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Smith\Desktop\"/>
    </mc:Choice>
  </mc:AlternateContent>
  <xr:revisionPtr revIDLastSave="0" documentId="8_{84D217AF-7878-4273-AB30-6E59D6AC104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yamap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</calcChain>
</file>

<file path=xl/sharedStrings.xml><?xml version="1.0" encoding="utf-8"?>
<sst xmlns="http://schemas.openxmlformats.org/spreadsheetml/2006/main" count="164181" uniqueCount="58976">
  <si>
    <t>ПрофЭкс</t>
  </si>
  <si>
    <t>Республика Марий Эл</t>
  </si>
  <si>
    <t>Йошкар-Ола</t>
  </si>
  <si>
    <t>ул. Свердлова, 36А, Йошкар-Ола</t>
  </si>
  <si>
    <t>+7 (8362) 93-45-45, +7 (8362) 72-02-40, +7 (8362) 49-63-12</t>
  </si>
  <si>
    <t xml:space="preserve">someone@woo.com, profex_yola@mail.ru  </t>
  </si>
  <si>
    <t>http://profex-yola.pro/</t>
  </si>
  <si>
    <t>Деловые услуги</t>
  </si>
  <si>
    <t>Автоэкспертиза, оценка автомобилей, Страховой брокер, Юридические услуги</t>
  </si>
  <si>
    <t>пн-пт 08:30–17:30</t>
  </si>
  <si>
    <t>https://vk.com/profex_yola</t>
  </si>
  <si>
    <t>47.866779 56.641652</t>
  </si>
  <si>
    <t>Гранд</t>
  </si>
  <si>
    <t>ул. Мира, 30А, Йошкар-Ола</t>
  </si>
  <si>
    <t>8 (800) 555-62-82, +7 (8362) 64-30-60</t>
  </si>
  <si>
    <t>+7 (937) 111-08-88</t>
  </si>
  <si>
    <t xml:space="preserve">www@grand12.ru  </t>
  </si>
  <si>
    <t>http://www.grand12.ru/</t>
  </si>
  <si>
    <t>Стройматериалы</t>
  </si>
  <si>
    <t>Двери, Деревообрабатывающее предприятие, Кованые изделия</t>
  </si>
  <si>
    <t>пн-пт 08:00–17:00, перерыв 12:00–13:00</t>
  </si>
  <si>
    <t>47.946756 56.63411</t>
  </si>
  <si>
    <t>Домострой</t>
  </si>
  <si>
    <t>Красноармейская ул., 84А, Йошкар-Ола</t>
  </si>
  <si>
    <t>+7 (8362) 98-06-81, +7 (8362) 30-67-00, +7 (8362) 30-67-70</t>
  </si>
  <si>
    <t>Недвижимость</t>
  </si>
  <si>
    <t>Агентство недвижимости, Продажа и аренда коммерческой недвижимости</t>
  </si>
  <si>
    <t>пн-пт 09:00–18:00</t>
  </si>
  <si>
    <t>47.871 56.6459</t>
  </si>
  <si>
    <t>Кукла</t>
  </si>
  <si>
    <t>ул. Машиностроителей, 2А, Йошкар-Ола</t>
  </si>
  <si>
    <t>+7 (8362) 32-90-72</t>
  </si>
  <si>
    <t>Уход за внешностью</t>
  </si>
  <si>
    <t>Косметология, Парикмахерская, Салон красоты</t>
  </si>
  <si>
    <t>пн-сб 09:00–20:00</t>
  </si>
  <si>
    <t>https://vk.com/club21079501</t>
  </si>
  <si>
    <t>47.873901 56.651811</t>
  </si>
  <si>
    <t>Дива</t>
  </si>
  <si>
    <t>ул. Машиностроителей, 61, Йошкар-Ола</t>
  </si>
  <si>
    <t>+7 (8362) 72-13-90</t>
  </si>
  <si>
    <t>Парикмахерская</t>
  </si>
  <si>
    <t>пн-пт 08:00–20:00; сб,вс 08:00–18:00</t>
  </si>
  <si>
    <t>47.868903 56.638089</t>
  </si>
  <si>
    <t>Астрон</t>
  </si>
  <si>
    <t>ул. Лобачевского, 10, Йошкар-Ола</t>
  </si>
  <si>
    <t>+7 (8362) 60-01-11, +7 (8362) 42-19-50</t>
  </si>
  <si>
    <t xml:space="preserve">admin@website.ru  </t>
  </si>
  <si>
    <t>http://www.astron.club/</t>
  </si>
  <si>
    <t>Фитнес и йога</t>
  </si>
  <si>
    <t>Бассейн, Фитнес-клуб</t>
  </si>
  <si>
    <t>пн-пт 06:50–23:10; сб,вс 07:30–20:10</t>
  </si>
  <si>
    <t>https://vk.com/astron.club</t>
  </si>
  <si>
    <t>https://www.facebook.com/astronfitness</t>
  </si>
  <si>
    <t>https://www.youtube.com/user/astronfitnes</t>
  </si>
  <si>
    <t>https://www.instagram.com/astronfitness</t>
  </si>
  <si>
    <t>47.876096 56.632433</t>
  </si>
  <si>
    <t>Удачный Выбор</t>
  </si>
  <si>
    <t>Ленинский просп., 38, Йошкар-Ола</t>
  </si>
  <si>
    <t>+7 (8362) 50-73-73</t>
  </si>
  <si>
    <t>Агентство недвижимости</t>
  </si>
  <si>
    <t>ежедневно, 08:00–22:00</t>
  </si>
  <si>
    <t>47.879908 56.633164</t>
  </si>
  <si>
    <t>Сбербанк России</t>
  </si>
  <si>
    <t>ул. Подольских Курсантов, 19А, Йошкар-Ола</t>
  </si>
  <si>
    <t>8 (800) 555-55-50, +7 (495) 500-55-50</t>
  </si>
  <si>
    <t xml:space="preserve">dobro@sberbank.ru, default@email.com, sberbank@sberbank.ru, kharlamov.m.y@sberbank.ru, assivolapov@sberbank.ru, fraudmonitoring@sberbank.ru, msbbol@sberbank.ru, corporate_flow@sberbank-cib.ru, pppi@sberbank.ru, upk_cib_ekaterinburg@sberbank.ru </t>
  </si>
  <si>
    <t>https://www.sberbank.ru/</t>
  </si>
  <si>
    <t>Банки и банкоматы</t>
  </si>
  <si>
    <t>Банк, Денежные переводы, Обмен валюты</t>
  </si>
  <si>
    <t>пн-пт 08:30–18:30; сб 08:30–15:00</t>
  </si>
  <si>
    <t>https://vk.com/sberbank</t>
  </si>
  <si>
    <t>https://twitter.com/sberbank</t>
  </si>
  <si>
    <t>https://www.facebook.com/sberbank</t>
  </si>
  <si>
    <t>https://www.instagram.com/sberbank/</t>
  </si>
  <si>
    <t>47.860952 56.649127</t>
  </si>
  <si>
    <t>Фитнеслайн</t>
  </si>
  <si>
    <t>ул. Эшкинина, 14, Йошкар-Ола</t>
  </si>
  <si>
    <t>+7 (8362) 21-28-00</t>
  </si>
  <si>
    <t xml:space="preserve">send@fitnessline-club.ru  </t>
  </si>
  <si>
    <t>http://fitnessline-club.ru/</t>
  </si>
  <si>
    <t>Спортивные клубы и базы</t>
  </si>
  <si>
    <t>Спортивный клуб, секция, Спортивный, тренажерный зал, Фитнес-клуб, Школа танцев</t>
  </si>
  <si>
    <t>пн-пт 08:30–21:30; сб 09:00–20:00; вс 09:00–19:00</t>
  </si>
  <si>
    <t>https://vk.com/fitnesslinegym</t>
  </si>
  <si>
    <t>47.909892 56.63073</t>
  </si>
  <si>
    <t>Ковры Специализированный магазин</t>
  </si>
  <si>
    <t>Советская ул., 128, Йошкар-Ола</t>
  </si>
  <si>
    <t>+7 (8362) 55-32-94</t>
  </si>
  <si>
    <t>Предметы интерьера</t>
  </si>
  <si>
    <t>Магазин ковров</t>
  </si>
  <si>
    <t>47.896779 56.634486</t>
  </si>
  <si>
    <t>Gloria Jeans</t>
  </si>
  <si>
    <t>ул. Карла Маркса, 99, Йошкар-Ола</t>
  </si>
  <si>
    <t>8 (800) 500-82-82</t>
  </si>
  <si>
    <t xml:space="preserve">inet@fortgroup.ru, site@gloria-jeans.ru, dostavka@gloria-jeans.ru, order@gloria-jeans.ru  </t>
  </si>
  <si>
    <t>https://www.gloria-jeans.ru/, https://corp.gloria-jeans.ru/store-locator/</t>
  </si>
  <si>
    <t>Одежда, обувь, аксессуары</t>
  </si>
  <si>
    <t>Магазин детской одежды, Магазин джинсовой одежды, Магазин одежды</t>
  </si>
  <si>
    <t>ежедневно, 10:00–21:00</t>
  </si>
  <si>
    <t>https://vk.com/gloria.jeans</t>
  </si>
  <si>
    <t>https://ok.ru/gloriajeanscorp</t>
  </si>
  <si>
    <t>http://www.facebook.com/gloriajeanscorp</t>
  </si>
  <si>
    <t>https://www.youtube.com/user/GloriaJeansVideos</t>
  </si>
  <si>
    <t>http://instagram.com/_gloriajeans_</t>
  </si>
  <si>
    <t>47.897345 56.628332</t>
  </si>
  <si>
    <t>Оптик</t>
  </si>
  <si>
    <t>бул. Чавайна, 32, Йошкар-Ола</t>
  </si>
  <si>
    <t>+7 (8362) 45-16-34</t>
  </si>
  <si>
    <t xml:space="preserve">optic-office@mail.ru  </t>
  </si>
  <si>
    <t>http://www.firma-optic.ru/</t>
  </si>
  <si>
    <t>Медицинские товары и оборудование</t>
  </si>
  <si>
    <t>Салон оптики</t>
  </si>
  <si>
    <t>пн-пт 10:00–19:00; сб,вс 10:00–17:00</t>
  </si>
  <si>
    <t>http://vk.com/firma_optic</t>
  </si>
  <si>
    <t>47.898881 56.634908</t>
  </si>
  <si>
    <t>Скиф</t>
  </si>
  <si>
    <t>ул. Крылова, 45А, Йошкар-Ола</t>
  </si>
  <si>
    <t>АЗС и стоянки</t>
  </si>
  <si>
    <t>Гаражный кооператив</t>
  </si>
  <si>
    <t>47.852285 56.619963</t>
  </si>
  <si>
    <t>Детский клуб Искорка</t>
  </si>
  <si>
    <t>ул. Анциферова, 7А, Йошкар-Ола</t>
  </si>
  <si>
    <t>+7 (8362) 55-46-07</t>
  </si>
  <si>
    <t>Детские сады и развивающие центры</t>
  </si>
  <si>
    <t>Дополнительное образование, Клуб для детей и подростков, Центр развития ребенка</t>
  </si>
  <si>
    <t>пн 11:00–17:00; вт 13:30–17:00; ср 12:40–17:00; чт 11:50–17:00; пт 12:40–17:00</t>
  </si>
  <si>
    <t>47.865997 56.648469</t>
  </si>
  <si>
    <t>Дворец культуры имени 30-летия Победы</t>
  </si>
  <si>
    <t>Первомайская ул., 109, Йошкар-Ола</t>
  </si>
  <si>
    <t>+7 (8362) 41-62-00, +7 (8362) 45-04-78, +7 (8362) 45-32-05, +7 (8362) 97-08-07</t>
  </si>
  <si>
    <t>http://dk30let.mari-el.muzkult.ru/</t>
  </si>
  <si>
    <t>Кино, театр</t>
  </si>
  <si>
    <t>Дом культуры, Театр</t>
  </si>
  <si>
    <t>ежедневно, 09:00–18:00</t>
  </si>
  <si>
    <t>http://vk.com/dvorecpobedu</t>
  </si>
  <si>
    <t>http://facebook.com/dkpobedi</t>
  </si>
  <si>
    <t>47.888874 56.638729</t>
  </si>
  <si>
    <t>Ланкорд</t>
  </si>
  <si>
    <t>ул. Йывана Кырли, 25, Йошкар-Ола</t>
  </si>
  <si>
    <t>+7 (8362) 33-02-29</t>
  </si>
  <si>
    <t>+7 (927) 883-02-29</t>
  </si>
  <si>
    <t xml:space="preserve">lankord-doors@mail.ru  </t>
  </si>
  <si>
    <t>http://lankord-doors.ru/, http://formuladveri.ru/</t>
  </si>
  <si>
    <t>Двери</t>
  </si>
  <si>
    <t>ежедневно, 10:00–20:00</t>
  </si>
  <si>
    <t>http://instagram.com/lankord_doors_2002</t>
  </si>
  <si>
    <t>47.833142 56.641832</t>
  </si>
  <si>
    <t>Жилищный капитал</t>
  </si>
  <si>
    <t>Красноармейская ул., 98А, Йошкар-Ола</t>
  </si>
  <si>
    <t>+7 (8362) 63-30-82, +7 (8362) 64-51-55</t>
  </si>
  <si>
    <t>+7 (8362) 64-50-98</t>
  </si>
  <si>
    <t>Юридические услуги</t>
  </si>
  <si>
    <t>пн-пт 09:00–17:00</t>
  </si>
  <si>
    <t>47.862579 56.646864</t>
  </si>
  <si>
    <t>Системный оператор Единой энергетической системы</t>
  </si>
  <si>
    <t>ул. Панфилова, 39А, Йошкар-Ола</t>
  </si>
  <si>
    <t>+7 (8362) 42-32-50</t>
  </si>
  <si>
    <t>+7 (8362) 42-00-57</t>
  </si>
  <si>
    <t xml:space="preserve">secr-kataeva@so-ups.ru, blivshits@np-sr.ru, sbr@so-ups.ru, festival@minenergo.gov.ru </t>
  </si>
  <si>
    <t>http://so-ups.ru/</t>
  </si>
  <si>
    <t>Коммунальные службы</t>
  </si>
  <si>
    <t>Энергетическая организация, Энергоснабжение</t>
  </si>
  <si>
    <t>47.876863 56.628258</t>
  </si>
  <si>
    <t>Спектр</t>
  </si>
  <si>
    <t>Первомайская ул., 115Ж, Йошкар-Ола</t>
  </si>
  <si>
    <t>+7 (8362) 31-08-33</t>
  </si>
  <si>
    <t xml:space="preserve">msga55@mail.ru </t>
  </si>
  <si>
    <t>http://www.spektr.com.ru/</t>
  </si>
  <si>
    <t>Товары для дома, Товары для интерьера</t>
  </si>
  <si>
    <t>пн-пт 09:00–17:30; сб 09:00–17:00; вс 09:00–16:00</t>
  </si>
  <si>
    <t>https://vk.com/club67746362</t>
  </si>
  <si>
    <t>https://www.instagram.com/optovyy_sklad_spektr</t>
  </si>
  <si>
    <t>47.8844 56.632738</t>
  </si>
  <si>
    <t>Алекс-сити</t>
  </si>
  <si>
    <t>ул. Ползунова, 46, Йошкар-Ола</t>
  </si>
  <si>
    <t>+7 (8362) 64-51-62</t>
  </si>
  <si>
    <t>Туризм</t>
  </si>
  <si>
    <t>Хостел</t>
  </si>
  <si>
    <t>47.85675 56.643129</t>
  </si>
  <si>
    <t>НП</t>
  </si>
  <si>
    <t>Красноармейская ул., 48, Йошкар-Ола</t>
  </si>
  <si>
    <t>+7 (8362) 41-63-52, +7 (8362) 99-00-34</t>
  </si>
  <si>
    <t>Салон красоты</t>
  </si>
  <si>
    <t>пн-сб 08:00–19:00; вс 09:00–16:00</t>
  </si>
  <si>
    <t>47.89102 56.641867</t>
  </si>
  <si>
    <t>Сурф-Сервис</t>
  </si>
  <si>
    <t>Комсомольская ул., 125, Йошкар-Ола</t>
  </si>
  <si>
    <t>+7 (8362) 45-30-41</t>
  </si>
  <si>
    <t>Прочее</t>
  </si>
  <si>
    <t>Нанесение покрытий</t>
  </si>
  <si>
    <t>47.896814 56.640718</t>
  </si>
  <si>
    <t>Детский клуб Орион</t>
  </si>
  <si>
    <t>ул. Петрова, 18, Йошкар-Ола</t>
  </si>
  <si>
    <t>+7 (8362) 21-80-17</t>
  </si>
  <si>
    <t xml:space="preserve">cttuclub@mail.ru  </t>
  </si>
  <si>
    <t>http://tehnik12.ru/</t>
  </si>
  <si>
    <t>Клуб для детей и подростков</t>
  </si>
  <si>
    <t>пн-пт 08:30–20:00; сб 09:00–16:00</t>
  </si>
  <si>
    <t>47.922686 56.634843</t>
  </si>
  <si>
    <t>Империя звука</t>
  </si>
  <si>
    <t>+7 (8362) 63-01-42</t>
  </si>
  <si>
    <t>+7 (902) 326-19-10</t>
  </si>
  <si>
    <t xml:space="preserve">isms2010@mail.ru </t>
  </si>
  <si>
    <t>http://www.isms97.com/</t>
  </si>
  <si>
    <t>Аудио-, видео и фототехника</t>
  </si>
  <si>
    <t>Звуковое и световое оборудование, Магазин электроники, Музыкальный магазин</t>
  </si>
  <si>
    <t>пн-пт 11:00–19:00; сб 11:00–15:00</t>
  </si>
  <si>
    <t>https://vk.com/imperia_zvuka</t>
  </si>
  <si>
    <t>http://www.facebook.com/pages/Империя-звука/620573078060513</t>
  </si>
  <si>
    <t>47.888927 56.639088</t>
  </si>
  <si>
    <t>Дворец творчества детей и молодёжи</t>
  </si>
  <si>
    <t>ул. Пушкина, 32, Йошкар-Ола</t>
  </si>
  <si>
    <t>+7 (8362) 42-51-11, +7 (8362) 33-92-79, +7 (8362) 42-54-81</t>
  </si>
  <si>
    <t xml:space="preserve">dtdim@mail.ru, ts25@inbox.ru  </t>
  </si>
  <si>
    <t>http://dtdim.org/, http://dtdim.org/obedinenia/viewgroup/3-detskoe-tvorcheskoe-ob-dinenie-elektronik, http://dtdim.org/obedinenia/viewgroup/5-fotovideostudiya</t>
  </si>
  <si>
    <t>Дом культуры, Дополнительное образование, Клуб для детей и подростков, Курсы и мастер-классы, Спортивный клуб, секция</t>
  </si>
  <si>
    <t>ежедневно, 08:00–20:00</t>
  </si>
  <si>
    <t>http://vk.com/dtdm_12rus</t>
  </si>
  <si>
    <t>47.886993 56.634893</t>
  </si>
  <si>
    <t>Марспецмонтаж филиал РТП Пригородное</t>
  </si>
  <si>
    <t>ул. Крылова, 53А, Йошкар-Ола</t>
  </si>
  <si>
    <t>+7 (8362) 63-53-90, +7 (8362) 63-53-40, +7 (8362) 63-66-70</t>
  </si>
  <si>
    <t xml:space="preserve">robot@marspec.ru, oao_msm@mail.ru, msmproekt@mail.ru, msmjur@mail.ru  </t>
  </si>
  <si>
    <t>http://www.marspec.ru/</t>
  </si>
  <si>
    <t>Металлургия</t>
  </si>
  <si>
    <t>Металлоконструкции</t>
  </si>
  <si>
    <t>пн-пт 08:00–17:00, перерыв 11:30–12:30</t>
  </si>
  <si>
    <t>47.829162 56.617309</t>
  </si>
  <si>
    <t>Сингента Россия</t>
  </si>
  <si>
    <t>Комсомольская ул., 125А, Йошкар-Ола</t>
  </si>
  <si>
    <t>8 (800) 200-82-82, +7 (495) 933-77-55</t>
  </si>
  <si>
    <t xml:space="preserve">aaiflowers@mail.ru, rutvo@eurochem.ru, ots-him@mail.ru, tdsehi@mail.ru, svetlana.ignatenko@agrodepartament.ru </t>
  </si>
  <si>
    <t>https://www.syngenta.ru/, https://apps.apple.com/ru/app/%D1%81%D0%B8%D0%BD%D0%B3%D0%B5%D0%BD%D1%82%D0%B0-%D1%80%D0%BE%D1%81%D1%81%D0%B8%D1%8F/id1449230064, https://www.syngenta.ru/contacts</t>
  </si>
  <si>
    <t>Агропром</t>
  </si>
  <si>
    <t>Селекция и семеноводство, Средства защиты растений, Удобрения</t>
  </si>
  <si>
    <t>пн-чт 09:00–18:00; пт 09:00–17:00</t>
  </si>
  <si>
    <t>https://www.youtube.com/syngentarussia</t>
  </si>
  <si>
    <t>47.89756 56.640832</t>
  </si>
  <si>
    <t>Копи центр на Чавайна</t>
  </si>
  <si>
    <t>бул. Чавайна, 36, Йошкар-Ола</t>
  </si>
  <si>
    <t>+7 (8362) 64-19-00, +7 (8362) 42-27-51</t>
  </si>
  <si>
    <t xml:space="preserve">info@abak12.ru, dokument.c@mail.ru  </t>
  </si>
  <si>
    <t>http://www.abak12.ru/</t>
  </si>
  <si>
    <t>Реклама</t>
  </si>
  <si>
    <t>Наружная реклама, Рекламное агентство</t>
  </si>
  <si>
    <t>пн-пт 08:30–18:00; сб 10:00–16:00</t>
  </si>
  <si>
    <t>47.897003 56.635323</t>
  </si>
  <si>
    <t>Дельта-тур</t>
  </si>
  <si>
    <t>Ленинский просп., 49, Йошкар-Ола</t>
  </si>
  <si>
    <t>+7 (8362) 65-17-78, +7 (8362) 56-57-70, +7 (8362) 65-71-85</t>
  </si>
  <si>
    <t>Турагентство</t>
  </si>
  <si>
    <t>пн-пт 10:00–18:00; сб 11:00–15:00</t>
  </si>
  <si>
    <t>47.878 56.6333</t>
  </si>
  <si>
    <t>Ната-Инфо</t>
  </si>
  <si>
    <t>Россия, Республика Марий Эл, Йошкар-Ола, микрорайон 9А</t>
  </si>
  <si>
    <t>+7 (8362) 68-90-00, +7 (8362) 63-58-10</t>
  </si>
  <si>
    <t>+7 (8362) 63-56-79</t>
  </si>
  <si>
    <t xml:space="preserve">info@nata-info.ru, sav@nata-info.ru  </t>
  </si>
  <si>
    <t>http://www.nata-info.ru/</t>
  </si>
  <si>
    <t>Наружная реклама</t>
  </si>
  <si>
    <t>пн-пт 09:00–18:00, перерыв 13:00–14:00</t>
  </si>
  <si>
    <t>https://vk.com/natainfo</t>
  </si>
  <si>
    <t>https://twitter.com/@natainfo</t>
  </si>
  <si>
    <t>47.835692 56.634591</t>
  </si>
  <si>
    <t>Ак Барс Банк</t>
  </si>
  <si>
    <t>Первомайская ул., 115, Йошкар-Ола</t>
  </si>
  <si>
    <t>8 (800) 200-53-03</t>
  </si>
  <si>
    <t xml:space="preserve">kanc@akbars.ru, order_site@akbars.ru  </t>
  </si>
  <si>
    <t>https://www.akbars.ru/</t>
  </si>
  <si>
    <t>Банкомат</t>
  </si>
  <si>
    <t>https://vk.com/akbars_ru</t>
  </si>
  <si>
    <t>https://ok.ru/akbarsbank</t>
  </si>
  <si>
    <t>https://twitter.com/akbars_ru</t>
  </si>
  <si>
    <t>https://www.facebook.com/akbarsbank</t>
  </si>
  <si>
    <t>https://www.instagram.com/akbars_bank/</t>
  </si>
  <si>
    <t>47.884957 56.632879</t>
  </si>
  <si>
    <t>Восток</t>
  </si>
  <si>
    <t>ул. Героев Сталинградской Битвы, 37, Йошкар-Ола</t>
  </si>
  <si>
    <t>+7 (8362) 64-28-55, +7 (8362) 64-28-36</t>
  </si>
  <si>
    <t>Общежитие</t>
  </si>
  <si>
    <t>пн-пт 08:00–17:00</t>
  </si>
  <si>
    <t>47.947202 56.624016</t>
  </si>
  <si>
    <t>Предприятие Учреждения Ош-25/6 ГУП</t>
  </si>
  <si>
    <t>ул. Строителей, 56А, Йошкар-Ола</t>
  </si>
  <si>
    <t>Машиностроение</t>
  </si>
  <si>
    <t>Автомобильные прицепы</t>
  </si>
  <si>
    <t>47.839412 56.629991</t>
  </si>
  <si>
    <t>Баррель</t>
  </si>
  <si>
    <t>Красноармейская ул., 107, Йошкар-Ола</t>
  </si>
  <si>
    <t>+7 (8362) 20-02-01</t>
  </si>
  <si>
    <t>Кафе</t>
  </si>
  <si>
    <t>Бар, паб, Кафе</t>
  </si>
  <si>
    <t>ежедневно, 12:00–01:00</t>
  </si>
  <si>
    <t>https://vk.com/barrelbar</t>
  </si>
  <si>
    <t>47.859495 56.644955</t>
  </si>
  <si>
    <t>Отделение почтовой связи Йошкар-ола 424002</t>
  </si>
  <si>
    <t>Кремлёвская ул., 39, Йошкар-Ола</t>
  </si>
  <si>
    <t>8 (800) 100-00-00, 8 (800) 200-58-88, +7 (8362) 48-38-60</t>
  </si>
  <si>
    <t xml:space="preserve">fulfillment@russianpost.ru, directmail@russianpost.ru, promo@russianpost.ru  </t>
  </si>
  <si>
    <t>https://www.pochta.ru/, https://www.pochta.ru/offices/424002</t>
  </si>
  <si>
    <t>Почта</t>
  </si>
  <si>
    <t>Почтовое отделение</t>
  </si>
  <si>
    <t>пн-пт 08:00–20:00; сб 09:00–18:00</t>
  </si>
  <si>
    <t>https://vk.com/russianpost</t>
  </si>
  <si>
    <t>https://twitter.com/ruspostofficial</t>
  </si>
  <si>
    <t>https://www.facebook.com/ruspost</t>
  </si>
  <si>
    <t>http://instagram.com/ruspostofficial</t>
  </si>
  <si>
    <t>47.879353 56.641446</t>
  </si>
  <si>
    <t>Маритал</t>
  </si>
  <si>
    <t>Первомайская ул., 160, Йошкар-Ола</t>
  </si>
  <si>
    <t>+7 (8362) 42-18-53</t>
  </si>
  <si>
    <t>Магазин кожи и меха</t>
  </si>
  <si>
    <t>ежедневно, 10:00–18:00</t>
  </si>
  <si>
    <t>47.882788 56.632382</t>
  </si>
  <si>
    <t>Дежурный аптекарь</t>
  </si>
  <si>
    <t>ул. Подольских Курсантов, 16, Йошкар-Ола</t>
  </si>
  <si>
    <t>+7 (8362) 41-99-61, +7 (8362) 45-29-90, +7 (8362) 41-58-54</t>
  </si>
  <si>
    <t xml:space="preserve">director@asna.ru, fb@asna.ru, public@optimapharm.ru, apteka67@optimapharm.ru, kadrovik@optimapharm.ru  </t>
  </si>
  <si>
    <t>http://www.daptekar.ru/, https://asna.ru/, https://zdravcity.ru/</t>
  </si>
  <si>
    <t>Аптеки и фармацевтика</t>
  </si>
  <si>
    <t>Аптека</t>
  </si>
  <si>
    <t>пн-пт 08:00–21:00; сб 08:00–19:00; вс 09:00–18:00</t>
  </si>
  <si>
    <t>https://vk.com/daptekar</t>
  </si>
  <si>
    <t>47.864197 56.650627</t>
  </si>
  <si>
    <t>Угория</t>
  </si>
  <si>
    <t>ул. Карла Либкнехта, 69, Йошкар-Ола</t>
  </si>
  <si>
    <t>+7 (8362) 50-34-64</t>
  </si>
  <si>
    <t>http://maridetective.ru/</t>
  </si>
  <si>
    <t>Безопасность бизнеса</t>
  </si>
  <si>
    <t>Детективное агентство</t>
  </si>
  <si>
    <t>ежедневно, круглосуточно</t>
  </si>
  <si>
    <t>47.941039 56.632288</t>
  </si>
  <si>
    <t>Вычислительный центр Минсельхоза Марий Эл</t>
  </si>
  <si>
    <t>Красноармейская ул., 41, Йошкар-Ола</t>
  </si>
  <si>
    <t>Программное обеспечение</t>
  </si>
  <si>
    <t>47.896779 56.639763</t>
  </si>
  <si>
    <t>Антураж-Т</t>
  </si>
  <si>
    <t>Первомайская ул., 181, Йошкар-Ола</t>
  </si>
  <si>
    <t>+7 (8362) 35-88-55, +7 (8362) 38-69-79</t>
  </si>
  <si>
    <t>Двери, Окна, Строительный магазин, Стройматериалы оптом</t>
  </si>
  <si>
    <t>пн-пт 10:00–18:00</t>
  </si>
  <si>
    <t>47.879456 56.628923</t>
  </si>
  <si>
    <t>Лесфорт</t>
  </si>
  <si>
    <t>ул. Суворова, 7, Йошкар-Ола</t>
  </si>
  <si>
    <t>http://lesfort.opt.ru/</t>
  </si>
  <si>
    <t>47.868895 56.631813</t>
  </si>
  <si>
    <t>Марат и Ко</t>
  </si>
  <si>
    <t>+7 (927) 882-84-89</t>
  </si>
  <si>
    <t>Мебель</t>
  </si>
  <si>
    <t>Корпусная мебель, Мебель на заказ</t>
  </si>
  <si>
    <t>Кэма - Регион</t>
  </si>
  <si>
    <t>ул. Волкова, 60, Йошкар-Ола</t>
  </si>
  <si>
    <t>Ремонт и отделка</t>
  </si>
  <si>
    <t>Строительные и отделочные работы</t>
  </si>
  <si>
    <t>47.901764 56.645767</t>
  </si>
  <si>
    <t>Строй Град</t>
  </si>
  <si>
    <t>ул. Йывана Кырли, 48, Йошкар-Ола</t>
  </si>
  <si>
    <t>+7 (8362) 30-40-00, +7 (8362) 45-88-05, +7 (8362) 33-10-89, +7 (8362) 46-01-14</t>
  </si>
  <si>
    <t>+7 (8362) 45-88-54</t>
  </si>
  <si>
    <t xml:space="preserve">info@stroygrad12.ru, info@digitalweb.ru, sg_dem73@mail.ru, nfo@stroygrad12.ru, komarik.olya92@gmail.com  </t>
  </si>
  <si>
    <t>http://stroygrad12.ru/, http://svk.stroygrad12.ru/</t>
  </si>
  <si>
    <t>Керамическая плитка, Магазин сантехники, Мебель для ванных комнат, Строительный магазин, Стройматериалы оптом</t>
  </si>
  <si>
    <t>пн-пт 09:00–18:00; сб,вс 09:00–17:00</t>
  </si>
  <si>
    <t>https://vk.com/stroy_grad12</t>
  </si>
  <si>
    <t>https://ok.ru/group/52273328750813</t>
  </si>
  <si>
    <t>https://www.facebook.com/stroygrad12</t>
  </si>
  <si>
    <t>47.82489 56.639503</t>
  </si>
  <si>
    <t>RoDzeta</t>
  </si>
  <si>
    <t>ул. Петрова, 24, Йошкар-Ола</t>
  </si>
  <si>
    <t>+7 (925) 820-40-01, +7 (927) 682-72-62</t>
  </si>
  <si>
    <t>http://rodzeta.ru/</t>
  </si>
  <si>
    <t>Системная интеграция, устройство сетей</t>
  </si>
  <si>
    <t>IT-компания</t>
  </si>
  <si>
    <t>47.924608 56.638733</t>
  </si>
  <si>
    <t>Contact</t>
  </si>
  <si>
    <t>Красноармейская ул., 42, Йошкар-Ола</t>
  </si>
  <si>
    <t>8 (800) 200-42-42, +7 (8362) 41-55-76</t>
  </si>
  <si>
    <t xml:space="preserve">claim@contact-sys.com  </t>
  </si>
  <si>
    <t>https://www.contact-sys.com/</t>
  </si>
  <si>
    <t>Финансы</t>
  </si>
  <si>
    <t>Денежные переводы</t>
  </si>
  <si>
    <t>пн-пт 09:00–19:00; сб 09:00–14:00</t>
  </si>
  <si>
    <t>https://vk.com/contact_sys</t>
  </si>
  <si>
    <t>https://www.facebook.com/contactsys</t>
  </si>
  <si>
    <t>47.894389 56.641639</t>
  </si>
  <si>
    <t>ПМП Щит</t>
  </si>
  <si>
    <t>ул. Кирова, 11В, Йошкар-Ола</t>
  </si>
  <si>
    <t>+7 (8362) 22-23-40, +7 (8362) 22-00-70</t>
  </si>
  <si>
    <t>Материалы, оборудование</t>
  </si>
  <si>
    <t>Охранное предприятие, Пожарное оборудование, Противопожарные системы, Системы безопасности и охраны</t>
  </si>
  <si>
    <t>пн-пт 08:00–18:00</t>
  </si>
  <si>
    <t>47.927052 56.631714</t>
  </si>
  <si>
    <t>Вега</t>
  </si>
  <si>
    <t>просп. Гагарина, 13, Йошкар-Ола</t>
  </si>
  <si>
    <t>+7 (8362) 45-35-25</t>
  </si>
  <si>
    <t xml:space="preserve">php.demian@gmail.com  </t>
  </si>
  <si>
    <t>http://www.vega-sound.ru/</t>
  </si>
  <si>
    <t>Запчасти, аксессуары</t>
  </si>
  <si>
    <t>Автоаксессуары, Автоакустика, Автосигнализация</t>
  </si>
  <si>
    <t>пн-пт 09:00–19:00; сб,вс 10:00–17:00</t>
  </si>
  <si>
    <t>https://vk.com/club17784363</t>
  </si>
  <si>
    <t>http://twitter.com/vega_sound</t>
  </si>
  <si>
    <t>47.887433 56.628007</t>
  </si>
  <si>
    <t>Дилижанс</t>
  </si>
  <si>
    <t>ул. Волкова, 164, Йошкар-Ола</t>
  </si>
  <si>
    <t>+7 (8362) 56-59-67, +7 (8362) 45-35-92</t>
  </si>
  <si>
    <t xml:space="preserve">isho@diligans.net, kreml-19@diligans.net, dost-74@diligans.net  </t>
  </si>
  <si>
    <t>http://www.diligans.net/</t>
  </si>
  <si>
    <t>Заказ и доставка билетов</t>
  </si>
  <si>
    <t>Железнодорожные и авиабилеты</t>
  </si>
  <si>
    <t>ежедневно, 08:00–19:00</t>
  </si>
  <si>
    <t>47.892849 56.632593</t>
  </si>
  <si>
    <t>Канон</t>
  </si>
  <si>
    <t>Первомайская ул., 100, Йошкар-Ола</t>
  </si>
  <si>
    <t>+7 (8362) 38-15-38, +7 (8362) 46-97-66, +7 (8362) 46-97-99</t>
  </si>
  <si>
    <t xml:space="preserve">mc_canon@mail.ru  </t>
  </si>
  <si>
    <t>http://kanon-stomatolog.ru/</t>
  </si>
  <si>
    <t>Стоматология</t>
  </si>
  <si>
    <t>Стоматологическая клиника</t>
  </si>
  <si>
    <t>пн-пт 08:00–20:00; сб 08:00–15:00</t>
  </si>
  <si>
    <t>47.889691 56.642934</t>
  </si>
  <si>
    <t>Детский сад № 65 Незабудка</t>
  </si>
  <si>
    <t>ул. Прохорова, 14А, Йошкар-Ола</t>
  </si>
  <si>
    <t>+7 (8362) 73-22-31, +7 (8362) 73-22-30, +7 (36227) 3-22-30, +7 (36227) 3-22-31</t>
  </si>
  <si>
    <t>Детский сад</t>
  </si>
  <si>
    <t>пн-пт 07:30–18:00</t>
  </si>
  <si>
    <t>47.842107 56.637427</t>
  </si>
  <si>
    <t>Свадебные аксессуары ручной работы</t>
  </si>
  <si>
    <t>Советская ул., 168, Йошкар-Ола</t>
  </si>
  <si>
    <t>+7 (8362) 96-47-37</t>
  </si>
  <si>
    <t>Организация праздников</t>
  </si>
  <si>
    <t>Свадебный салон</t>
  </si>
  <si>
    <t>47.883573 56.623593</t>
  </si>
  <si>
    <t>Риф-С</t>
  </si>
  <si>
    <t>ул. Строителей, 88, корп. 1, Йошкар-Ола</t>
  </si>
  <si>
    <t>+7 (8362) 61-63-05</t>
  </si>
  <si>
    <t xml:space="preserve">rifsv@rambler.ru </t>
  </si>
  <si>
    <t>Металлические заборы и ограждения, Металлоизделия</t>
  </si>
  <si>
    <t>47.849428 56.625143</t>
  </si>
  <si>
    <t>В гостях у сказки</t>
  </si>
  <si>
    <t>ул. Героев Сталинградской Битвы, 35, Йошкар-Ола</t>
  </si>
  <si>
    <t>+7 (917) 705-79-30</t>
  </si>
  <si>
    <t>Клуб для детей и подростков, Праздничное агентство</t>
  </si>
  <si>
    <t>47.947712 56.624539</t>
  </si>
  <si>
    <t>С-Плюс</t>
  </si>
  <si>
    <t>ул. Пугачёва, 1, Йошкар-Ола</t>
  </si>
  <si>
    <t>+7 (8362) 37-36-36</t>
  </si>
  <si>
    <t>Пищевая промышленность</t>
  </si>
  <si>
    <t>Производство продуктов питания</t>
  </si>
  <si>
    <t>47.87194 56.621132</t>
  </si>
  <si>
    <t>Здоровый климат</t>
  </si>
  <si>
    <t>ул. Панфилова, 33, Йошкар-Ола</t>
  </si>
  <si>
    <t>+7 (8362) 38-22-33, +7 (8362) 42-69-38</t>
  </si>
  <si>
    <t>+7 (8362) 42-69-38</t>
  </si>
  <si>
    <t xml:space="preserve">service@12air.ru </t>
  </si>
  <si>
    <t>http://12air.ru/</t>
  </si>
  <si>
    <t>Интернет</t>
  </si>
  <si>
    <t>Интернет-магазин, Кондиционеры, Магазин бытовой техники, Очистители, увлажнители и ароматизаторы воздуха, Системы вентиляции</t>
  </si>
  <si>
    <t>пн-пт 09:00–18:00; сб 10:00–16:00</t>
  </si>
  <si>
    <t>47.880312 56.625856</t>
  </si>
  <si>
    <t>Профсоюзный организация Мариэнерго</t>
  </si>
  <si>
    <t>+7 (8362) 42-52-07</t>
  </si>
  <si>
    <t>НКО</t>
  </si>
  <si>
    <t>Профсоюз</t>
  </si>
  <si>
    <t>Сестрица</t>
  </si>
  <si>
    <t>ул. Воинов-Интернационалистов, 20, Йошкар-Ола</t>
  </si>
  <si>
    <t>+7 (8362) 45-00-77</t>
  </si>
  <si>
    <t xml:space="preserve">example@mail.com, sales@voda-sestrica.ru  </t>
  </si>
  <si>
    <t>https://voda-sestrica.ru/, http://сестрица.рф/</t>
  </si>
  <si>
    <t>Доставка еды и напитков</t>
  </si>
  <si>
    <t>Доставка воды</t>
  </si>
  <si>
    <t>пн-пт 10:00–20:00; сб,вс 10:00–19:00</t>
  </si>
  <si>
    <t>https://vk.com/voda_sestrica</t>
  </si>
  <si>
    <t>http://twitter.com/voda_sestrica</t>
  </si>
  <si>
    <t>https://www.facebook.com/voda.sestrica</t>
  </si>
  <si>
    <t>https://www.instagram.com/vodasestrica/</t>
  </si>
  <si>
    <t>47.932954 56.63409</t>
  </si>
  <si>
    <t>Газета Кугарня</t>
  </si>
  <si>
    <t>ул. 70-летия Вооружённых Сил СССР, 20, Йошкар-Ола</t>
  </si>
  <si>
    <t>+7 (8362) 45-11-88, +7 (8362) 45-43-72</t>
  </si>
  <si>
    <t xml:space="preserve">izimiky@gmail.com, kugarnya@mari-el.ru </t>
  </si>
  <si>
    <t>http://kugarnja.ru/, http://кугарня.рф/</t>
  </si>
  <si>
    <t>Средства массовой информации</t>
  </si>
  <si>
    <t>Редакция СМИ</t>
  </si>
  <si>
    <t>47.891481 56.621564</t>
  </si>
  <si>
    <t>Детский сад № 90 Крепыш</t>
  </si>
  <si>
    <t>ул. Кирова, 13А, Йошкар-Ола</t>
  </si>
  <si>
    <t>+7 (8362) 21-62-12, +7 (8362) 21-62-96</t>
  </si>
  <si>
    <t xml:space="preserve">krepych@yandex.ru, uoa-yoshkar-ola@yandex.ru  </t>
  </si>
  <si>
    <t>http://edu.mari.ru/mouo-yoshkarola/dou90</t>
  </si>
  <si>
    <t>47.929653 56.635588</t>
  </si>
  <si>
    <t>Банк Йошкар-Ола</t>
  </si>
  <si>
    <t>Ленинский просп., 17, Йошкар-Ола</t>
  </si>
  <si>
    <t>+7 (8362) 42-57-80, +7 (8362) 45-53-64</t>
  </si>
  <si>
    <t xml:space="preserve">eku@olabank.ru, eku1@olabank.ru, support@zenon.net  </t>
  </si>
  <si>
    <t>http://www.olabank.ru/</t>
  </si>
  <si>
    <t>Банк, Банкомат</t>
  </si>
  <si>
    <t>пн-пт 08:00–19:00; сб 08:30–16:00</t>
  </si>
  <si>
    <t>47.894029 56.629427</t>
  </si>
  <si>
    <t>просп. Гагарина, 2, Йошкар-Ола</t>
  </si>
  <si>
    <t>+7 (8362) 45-25-77, +7 (8362) 56-63-33, +7 (8362) 56-63-12, +7 (8362) 41-76-93</t>
  </si>
  <si>
    <t xml:space="preserve">com-ria@mail.ru, yola@ural-press.ru, newsria@gmail.com, irina417693@yandex.ru </t>
  </si>
  <si>
    <t>http://gg12.ru/</t>
  </si>
  <si>
    <t>47.8981 56.6344</t>
  </si>
  <si>
    <t>Рубин</t>
  </si>
  <si>
    <t>Вознесенская ул., 74, Йошкар-Ола</t>
  </si>
  <si>
    <t>+7 (8362) 56-64-18</t>
  </si>
  <si>
    <t>Ювелирный магазин</t>
  </si>
  <si>
    <t>пн-сб 10:00–20:00; вс 10:00–17:00</t>
  </si>
  <si>
    <t>47.899848 56.635669</t>
  </si>
  <si>
    <t>Марикоммунэнерго</t>
  </si>
  <si>
    <t>ул. Зарубина, 53, Йошкар-Ола</t>
  </si>
  <si>
    <t>+7 (8362) 42-35-65, +7 (8362) 42-33-42, +7 (8362) 42-36-01</t>
  </si>
  <si>
    <t xml:space="preserve">priem@marike.ru  </t>
  </si>
  <si>
    <t>http://marike.ru/</t>
  </si>
  <si>
    <t>Коммунальная служба, Теплоснабжение, Энергоснабжение</t>
  </si>
  <si>
    <t>47.865418 56.638476</t>
  </si>
  <si>
    <t>Травматологоортопедический Диспансер филиал</t>
  </si>
  <si>
    <t>ул. Машиностроителей, 70, Йошкар-Ола</t>
  </si>
  <si>
    <t>Медицинские услуги</t>
  </si>
  <si>
    <t>Массажный салон, Медицинская реабилитация, Оздоровительный центр</t>
  </si>
  <si>
    <t>47.846194 56.629372</t>
  </si>
  <si>
    <t>Республиканский Фонд по Защите Прав Вкладчиков и Акционеров Республики Марий Эл</t>
  </si>
  <si>
    <t>Комсомольская ул., 134, Йошкар-Ола</t>
  </si>
  <si>
    <t xml:space="preserve">post@fedfond.ru, mfs@mfc22.ru, nikonchik@social.volganet.ru, codinsz@govvrn.ru, info@ivszn.ivanovoobl.ru, czio.kirov@yandex.ru, info@24mfc.ru, vsevusznlo@mail.ru, sozan@admlr.lipetsk.ru, viplat@socium.kreml.nnov.ru </t>
  </si>
  <si>
    <t>Общественный фонд</t>
  </si>
  <si>
    <t>47.889493 56.631788</t>
  </si>
  <si>
    <t>Приволжский региональный центр утилизации вооружения и военной техники</t>
  </si>
  <si>
    <t>ул. Суворова, 15, Йошкар-Ола</t>
  </si>
  <si>
    <t>+7 (8362) 72-03-11, +7 (8362) 68-32-94</t>
  </si>
  <si>
    <t>Отходы, вторсырье</t>
  </si>
  <si>
    <t>Прием вторсырья, Утилизация отходов</t>
  </si>
  <si>
    <t>47.8669 56.6339</t>
  </si>
  <si>
    <t>Йошкар-олинский аграрный колледж</t>
  </si>
  <si>
    <t>ул. Пушкина, 23, Йошкар-Ола</t>
  </si>
  <si>
    <t>+7 (8362) 45-36-94, +7 (8362) 45-43-40, +7 (8362) 68-29-31</t>
  </si>
  <si>
    <t xml:space="preserve">info@volgatech.net, priem@volgatech.net, press@volgatech.net, agrarniy@volgatech.net  </t>
  </si>
  <si>
    <t>https://www.volgatech.net/, http://agrarniy.marstu.net/, http://agrarniy.volgatech.net/</t>
  </si>
  <si>
    <t>Среднее специальное образование</t>
  </si>
  <si>
    <t>Колледж</t>
  </si>
  <si>
    <t>пн-пт 08:00–17:00; сб 08:00–16:00</t>
  </si>
  <si>
    <t>https://vk.com/volgatech</t>
  </si>
  <si>
    <t>https://www.facebook.com/volgatech</t>
  </si>
  <si>
    <t>https://www.instagram.com/volgatech</t>
  </si>
  <si>
    <t>47.889613 56.633465</t>
  </si>
  <si>
    <t>ТК Волеро</t>
  </si>
  <si>
    <t>ул. Петрова, 4В, Йошкар-Ола</t>
  </si>
  <si>
    <t>+7 (8362) 22-58-68</t>
  </si>
  <si>
    <t>Производство продуктов питания, Сельскохозяйственная техника</t>
  </si>
  <si>
    <t>47.917844 56.629401</t>
  </si>
  <si>
    <t>Художественная мастерская Пейзаж</t>
  </si>
  <si>
    <t>бул. Победы, 32, Йошкар-Ола</t>
  </si>
  <si>
    <t>+7 (919) 363-41-87</t>
  </si>
  <si>
    <t>Дизайн</t>
  </si>
  <si>
    <t>Студия дизайна</t>
  </si>
  <si>
    <t>47.874626 56.639184</t>
  </si>
  <si>
    <t>Искра ЖСК</t>
  </si>
  <si>
    <t>ул. Анциферова, 10А, Йошкар-Ола</t>
  </si>
  <si>
    <t>Строительные кооперативы</t>
  </si>
  <si>
    <t>Строительный кооператив</t>
  </si>
  <si>
    <t>47.863379 56.647692</t>
  </si>
  <si>
    <t>Сайвер</t>
  </si>
  <si>
    <t>ул. Зарубина, 35, Йошкар-Ола</t>
  </si>
  <si>
    <t>8 (800) 700-07-69, +7 (8362) 38-68-86, +7 (8362) 38-69-96</t>
  </si>
  <si>
    <t xml:space="preserve">admin@hotel-saiver.ru  </t>
  </si>
  <si>
    <t>http://hotel-saiver.ru/</t>
  </si>
  <si>
    <t>Гостиница</t>
  </si>
  <si>
    <t>http://vk.com/public66197163</t>
  </si>
  <si>
    <t>47.870652 56.635278</t>
  </si>
  <si>
    <t>Птица</t>
  </si>
  <si>
    <t>ул. Якова Эшпая, 137, Йошкар-Ола</t>
  </si>
  <si>
    <t>+7 (8362) 53-40-89, +7 (8362) 41-28-90</t>
  </si>
  <si>
    <t xml:space="preserve">zao@zaomari.ru, zaomariyskoe@gmail.com  </t>
  </si>
  <si>
    <t>http://zaomari.ru/</t>
  </si>
  <si>
    <t>Продукты питания</t>
  </si>
  <si>
    <t>Магазин мяса, колбас, Магазин продуктов, Яйцо и мясо птицы</t>
  </si>
  <si>
    <t>47.883918 56.638359</t>
  </si>
  <si>
    <t>ГБУ Бюро судебно-медицинской экспертизы</t>
  </si>
  <si>
    <t>ул. Крылова, 59, Йошкар-Ола</t>
  </si>
  <si>
    <t>+7 (8362) 73-25-27</t>
  </si>
  <si>
    <t>+7 (8362) 73-27-00</t>
  </si>
  <si>
    <t xml:space="preserve">informsreda@yandex.ru  </t>
  </si>
  <si>
    <t>http://mari-el.gov.ru/</t>
  </si>
  <si>
    <t>Судебно-медицинская экспертиза</t>
  </si>
  <si>
    <t>пн-пт 08:00–16:30</t>
  </si>
  <si>
    <t>47.833558 56.622843</t>
  </si>
  <si>
    <t>Корус</t>
  </si>
  <si>
    <t>+7 (8362) 43-02-43</t>
  </si>
  <si>
    <t>Таскер</t>
  </si>
  <si>
    <t>Краснофлотская ул., 33, Йошкар-Ола</t>
  </si>
  <si>
    <t>+7 (8362) 73-80-74</t>
  </si>
  <si>
    <t>Химическая промышленность</t>
  </si>
  <si>
    <t>Удобрения</t>
  </si>
  <si>
    <t>47.846509 56.632436</t>
  </si>
  <si>
    <t>Гидротехник Строительная фирма</t>
  </si>
  <si>
    <t>бул. Чавайна, 21, Йошкар-Ола</t>
  </si>
  <si>
    <t>+7 (8362) 21-67-69, +7 (8362) 21-54-52</t>
  </si>
  <si>
    <t xml:space="preserve">support@pulscen.ru, u003esupport@pulscen.ru  </t>
  </si>
  <si>
    <t>http://gidrotehnik-2.pulscen.ru/</t>
  </si>
  <si>
    <t>Изоляционные работы, Строительная компания</t>
  </si>
  <si>
    <t>47.912463 56.631214</t>
  </si>
  <si>
    <t>Партнёр</t>
  </si>
  <si>
    <t>ул. Крылова, 25Е, Йошкар-Ола</t>
  </si>
  <si>
    <t>+7 (8362) 38-14-14, +7 (8362) 38-02-20, +7 (8362) 34-80-80, +7 (8362) 34-70-70</t>
  </si>
  <si>
    <t>Магазин сантехники, Магазин хозтоваров и бытовой химии, Строительный инструмент</t>
  </si>
  <si>
    <t>пн-пт 08:00–19:00; сб,вс 08:00–17:00</t>
  </si>
  <si>
    <t>47.859906 56.624555</t>
  </si>
  <si>
    <t>Зеленый мир</t>
  </si>
  <si>
    <t>Комсомольская ул., 163/1, Йошкар-Ола</t>
  </si>
  <si>
    <t>+7 (8362) 56-63-97</t>
  </si>
  <si>
    <t xml:space="preserve">zelmir2008@yandex.ru  </t>
  </si>
  <si>
    <t>http://zelmir12.ru/</t>
  </si>
  <si>
    <t>Доставка цветов и букетов, Магазин цветов</t>
  </si>
  <si>
    <t>47.8915 56.6327</t>
  </si>
  <si>
    <t>ГСПК</t>
  </si>
  <si>
    <t>ул. Серова, 114, Йошкар-Ола</t>
  </si>
  <si>
    <t>+7 (8362) 41-88-80</t>
  </si>
  <si>
    <t>ср,вс 15:00–19:00</t>
  </si>
  <si>
    <t>47.882992 56.656022</t>
  </si>
  <si>
    <t>Бакалея-торг</t>
  </si>
  <si>
    <t>Складская ул., 8А, Йошкар-Ола</t>
  </si>
  <si>
    <t>+7 (8362) 42-47-91, +7 (8362) 41-69-98, +7 (8362) 45-13-90, +7 (8362) 41-61-39, +7 (8362) 64-48-88, +7 (8362) 35-16-92</t>
  </si>
  <si>
    <t xml:space="preserve">repin@kuvshinka.su  </t>
  </si>
  <si>
    <t>http://bakaleyatd.kuvshinka.su/</t>
  </si>
  <si>
    <t>Товары оптом</t>
  </si>
  <si>
    <t>Оптовая компания, Продукты питания оптом</t>
  </si>
  <si>
    <t>пн-пт 07:00–23:00; сб 08:00–13:00</t>
  </si>
  <si>
    <t>47.904371 56.614039</t>
  </si>
  <si>
    <t>ЕвроМех</t>
  </si>
  <si>
    <t>Кремлёвская ул., 19, Йошкар-Ола</t>
  </si>
  <si>
    <t>пн-сб 10:00–20:00; вс 10:00–18:00</t>
  </si>
  <si>
    <t>47.892741 56.638752</t>
  </si>
  <si>
    <t>Мстудио</t>
  </si>
  <si>
    <t>Сернурский тракт, 4А, Йошкар-Ола</t>
  </si>
  <si>
    <t>+7 (8362) 20-08-00</t>
  </si>
  <si>
    <t>Ателье по пошиву одежды, Спортивная одежда и обувь</t>
  </si>
  <si>
    <t>47.955996 56.651305</t>
  </si>
  <si>
    <t>Легион Мьюзик</t>
  </si>
  <si>
    <t>+7 (8362) 39-75-26</t>
  </si>
  <si>
    <t>+7 (927) 680-68-91</t>
  </si>
  <si>
    <t>Музыка и хореография</t>
  </si>
  <si>
    <t>Музыкальный магазин</t>
  </si>
  <si>
    <t>пн-пт 09:00–18:00; сб,вс 10:00–15:00</t>
  </si>
  <si>
    <t>47.8894 56.6427</t>
  </si>
  <si>
    <t>Славянка</t>
  </si>
  <si>
    <t>ул. Суворова, 42, Йошкар-Ола</t>
  </si>
  <si>
    <t>Магазин продуктов</t>
  </si>
  <si>
    <t>ежедневно, 07:00–20:00</t>
  </si>
  <si>
    <t>47.85951 56.641093</t>
  </si>
  <si>
    <t>Стринг</t>
  </si>
  <si>
    <t>ул. Строителей, 95, корп. 101А, Йошкар-Ола</t>
  </si>
  <si>
    <t>+7 (8362) 30-47-57, +7 (8362) 55-12-77, +7 (8362) 38-57-47</t>
  </si>
  <si>
    <t xml:space="preserve">string_25@mail.ru, string_bux@mail.ru </t>
  </si>
  <si>
    <t>http://www.string12.ru/</t>
  </si>
  <si>
    <t>Полиграфия</t>
  </si>
  <si>
    <t>Наружная реклама, Полиграфические услуги</t>
  </si>
  <si>
    <t>47.86143 56.618973</t>
  </si>
  <si>
    <t>Свэнс</t>
  </si>
  <si>
    <t>+7 (8362) 45-69-64</t>
  </si>
  <si>
    <t>Магазин обуви</t>
  </si>
  <si>
    <t>47.89292 56.638431</t>
  </si>
  <si>
    <t>Школа арабского танца Хайат</t>
  </si>
  <si>
    <t>Кремлёвская ул., 26, Йошкар-Ола</t>
  </si>
  <si>
    <t>Школа танцев</t>
  </si>
  <si>
    <t>47.888999 56.640271</t>
  </si>
  <si>
    <t>Лукойл-Марий Эл</t>
  </si>
  <si>
    <t>ул. Йывана Кырли, 21А, Йошкар-Ола</t>
  </si>
  <si>
    <t>+7 (8362) 22-66-90, +7 (8362) 22-66-50</t>
  </si>
  <si>
    <t>+7 (8362) 22-66-90</t>
  </si>
  <si>
    <t>Нефтегазовая промышленность</t>
  </si>
  <si>
    <t>Нефтепродукты</t>
  </si>
  <si>
    <t>47.836133 56.642099</t>
  </si>
  <si>
    <t>Сантехпласт</t>
  </si>
  <si>
    <t>ул. Луначарского, 52, Йошкар-Ола</t>
  </si>
  <si>
    <t>+7 (8362) 41-11-49, +7 (8362) 93-27-72</t>
  </si>
  <si>
    <t>+7 (8362) 41-11-49</t>
  </si>
  <si>
    <t>Магазин сантехники, Оптовая компания, Сантехника оптом</t>
  </si>
  <si>
    <t>пн-пт 08:00–19:00; сб 08:00–16:00; вс 09:00–15:00</t>
  </si>
  <si>
    <t>47.898153 56.617902</t>
  </si>
  <si>
    <t>Марийский Учебный Коллектор Наглядных Пособий и Учебного Оборудования</t>
  </si>
  <si>
    <t>+7 (8362) 72-24-10</t>
  </si>
  <si>
    <t>Учебные материалы и оборудование</t>
  </si>
  <si>
    <t>Магазин наглядных учебных пособий</t>
  </si>
  <si>
    <t>АртХолод Сервис</t>
  </si>
  <si>
    <t>Кокшайский пр., 46, Йошкар-Ола</t>
  </si>
  <si>
    <t>+7 (8362) 45-67-67, +7 (8362) 45-84-26</t>
  </si>
  <si>
    <t>+7 (8362) 45-84-26</t>
  </si>
  <si>
    <t>Инженерные системы</t>
  </si>
  <si>
    <t>Кондиционеры, Строительство и обслуживание инженерных сетей</t>
  </si>
  <si>
    <t>пн-пт 09:00–17:30</t>
  </si>
  <si>
    <t>47.879019 56.607406</t>
  </si>
  <si>
    <t>Гармония</t>
  </si>
  <si>
    <t>Советская ул., 170, Йошкар-Ола</t>
  </si>
  <si>
    <t>+7 (8362) 64-18-84</t>
  </si>
  <si>
    <t>+7 (937) 115-69-32</t>
  </si>
  <si>
    <t>Ателье по пошиву одежды</t>
  </si>
  <si>
    <t>пн-пт 09:00–18:00; сб 09:00–14:00</t>
  </si>
  <si>
    <t>47.882724 56.623299</t>
  </si>
  <si>
    <t>ЖелДорЭкспедиция</t>
  </si>
  <si>
    <t>Кокшайский пр., 46А, Йошкар-Ола</t>
  </si>
  <si>
    <t>8 (800) 100-55-05, +7 (8362) 41-77-17, +7 (831) 272-73-53, +7 (8362) 37-07-27</t>
  </si>
  <si>
    <t xml:space="preserve">moscow.dok@jde.ru, pretension@jde.ru, rybinsk@jde.ru  </t>
  </si>
  <si>
    <t>https://www.jde.ru/, https://www.jde.ru/branch/joshkar_ola/</t>
  </si>
  <si>
    <t>Экспедирование и перевозка грузов</t>
  </si>
  <si>
    <t>Автомобильные грузоперевозки, Железнодорожные грузоперевозки, Экспедирование грузов</t>
  </si>
  <si>
    <t>https://vk.com/jeldor</t>
  </si>
  <si>
    <t>https://twitter.com/jde_news</t>
  </si>
  <si>
    <t>https://www.facebook.com/ZhelDor.ru</t>
  </si>
  <si>
    <t>47.879801 56.607054</t>
  </si>
  <si>
    <t>ИнтерКом</t>
  </si>
  <si>
    <t>Арматурная ул., 11А, Йошкар-Ола</t>
  </si>
  <si>
    <t>Машиностроительный завод</t>
  </si>
  <si>
    <t>47.882603 56.615966</t>
  </si>
  <si>
    <t>Такси Регион</t>
  </si>
  <si>
    <t>Комсомольская ул., 77, Йошкар-Ола</t>
  </si>
  <si>
    <t>+7 (8362) 66-96-69, +7 (8362) 90-09-00</t>
  </si>
  <si>
    <t>Такси и аренда автомобилей</t>
  </si>
  <si>
    <t>Такси</t>
  </si>
  <si>
    <t>47.8867 56.6373</t>
  </si>
  <si>
    <t>Хозяюшка</t>
  </si>
  <si>
    <t>ул. Машиностроителей, 63, Йошкар-Ола</t>
  </si>
  <si>
    <t>+7 (8362) 72-29-30, +7 (8362) 72-63-91</t>
  </si>
  <si>
    <t>http://hozyayushka-magazin.pulscen.ru/</t>
  </si>
  <si>
    <t>Магазин посуды, Магазин сантехники, Строительный магазин</t>
  </si>
  <si>
    <t>пн-пт 08:30–19:00; сб 08:30–18:00; вс 08:30–17:00</t>
  </si>
  <si>
    <t>47.867412 56.637655</t>
  </si>
  <si>
    <t>Детский сад № 12 Ромашка</t>
  </si>
  <si>
    <t>ул. Героев Сталинградской Битвы, 39Б, Йошкар-Ола</t>
  </si>
  <si>
    <t>+7 (8362) 64-38-76, +7 (36226) 4-38-76, +7 (36226) 4-39-09</t>
  </si>
  <si>
    <t xml:space="preserve">mariy@rfdeti.ru  </t>
  </si>
  <si>
    <t>http://edu.mari.ru/mouo-yoshkarola/dou12</t>
  </si>
  <si>
    <t>Детский сад, Дополнительное образование</t>
  </si>
  <si>
    <t>47.948386 56.623663</t>
  </si>
  <si>
    <t>Автобан</t>
  </si>
  <si>
    <t>Ленинский просп., 73, Йошкар-Ола</t>
  </si>
  <si>
    <t>+7 (8362) 55-10-33</t>
  </si>
  <si>
    <t xml:space="preserve">example@mail.ru, direct.autoban12@yandex.ru  </t>
  </si>
  <si>
    <t>http://autoban12.ru/</t>
  </si>
  <si>
    <t>Продажа</t>
  </si>
  <si>
    <t>Магазин автозапчастей и автотоваров</t>
  </si>
  <si>
    <t>пн-пт 09:00–19:00; сб,вс 10:00–16:00</t>
  </si>
  <si>
    <t>http://vk.com/avtoban12</t>
  </si>
  <si>
    <t>47.87104 56.638155</t>
  </si>
  <si>
    <t>Инфокон</t>
  </si>
  <si>
    <t>Комсомольская ул., 110, Йошкар-Ола</t>
  </si>
  <si>
    <t>+7 (8362) 55-57-36</t>
  </si>
  <si>
    <t>Справочно-информационные системы</t>
  </si>
  <si>
    <t>Информационное агентство</t>
  </si>
  <si>
    <t>пн-пт 10:00–19:00; сб 10:00–18:00; вс 10:00–17:00</t>
  </si>
  <si>
    <t>47.894964 56.639634</t>
  </si>
  <si>
    <t>Баварские Окна ГрандПласт</t>
  </si>
  <si>
    <t>ул. Панфилова, 33А, Йошкар-Ола</t>
  </si>
  <si>
    <t>+7 (8362) 63-81-17</t>
  </si>
  <si>
    <t>+7 (917) 714-08-17</t>
  </si>
  <si>
    <t>Жалюзи и рулонные шторы, Окна</t>
  </si>
  <si>
    <t>47.880232 56.626143</t>
  </si>
  <si>
    <t>Арбат</t>
  </si>
  <si>
    <t>Советская ул., 106, Йошкар-Ола</t>
  </si>
  <si>
    <t>+7 (8362) 65-85-36, +7 (8362) 40-16-40, +7 (8362) 41-07-88</t>
  </si>
  <si>
    <t xml:space="preserve">ru.arbat12@rambler.ru </t>
  </si>
  <si>
    <t>47.898701 56.637125</t>
  </si>
  <si>
    <t>ЭкспрессДеньги</t>
  </si>
  <si>
    <t>бул. Чавайна, 12А, Йошкар-Ола</t>
  </si>
  <si>
    <t>8 (800) 700-77-06</t>
  </si>
  <si>
    <t xml:space="preserve">info@zaem.ru </t>
  </si>
  <si>
    <t>https://экспрессденьги.рф/</t>
  </si>
  <si>
    <t>Микрофинансирование</t>
  </si>
  <si>
    <t>ежедневно, 09:00–18:00, перерыв 14:00–15:00</t>
  </si>
  <si>
    <t>https://vk.com/expressmoney</t>
  </si>
  <si>
    <t>https://ok.ru/group/59069096198382</t>
  </si>
  <si>
    <t>https://twitter.com/zaemru</t>
  </si>
  <si>
    <t>https://www.facebook.com/zaem.ru</t>
  </si>
  <si>
    <t>https://www.instagram.com/express_dengi</t>
  </si>
  <si>
    <t>47.922475 56.630967</t>
  </si>
  <si>
    <t>Sofia</t>
  </si>
  <si>
    <t>ул. Рябинина, 15, Йошкар-Ола</t>
  </si>
  <si>
    <t>+7 (8362) 42-14-14</t>
  </si>
  <si>
    <t>Парикмахерская, Салон красоты</t>
  </si>
  <si>
    <t>пн-пт 09:00–20:00; сб 10:00–18:00; вс 10:00–16:00</t>
  </si>
  <si>
    <t>47.875593 56.637531</t>
  </si>
  <si>
    <t>Оптика плюс</t>
  </si>
  <si>
    <t>Кремлёвская ул., 26А, Йошкар-Ола</t>
  </si>
  <si>
    <t>+7 (8362) 31-47-80</t>
  </si>
  <si>
    <t>+7 (917) 071-47-80</t>
  </si>
  <si>
    <t>Контактные линзы, Салон оптики</t>
  </si>
  <si>
    <t>пн-пт 09:30–18:30; сб 09:30–16:00</t>
  </si>
  <si>
    <t>47.890587 56.639866</t>
  </si>
  <si>
    <t>Абак</t>
  </si>
  <si>
    <t>+7 (8362) 64-19-00, +7 (8362) 64-19-09, +7 (8362) 42-27-51, +7 (8362) 47-03-03</t>
  </si>
  <si>
    <t>+7 (8362) 64-19-09</t>
  </si>
  <si>
    <t>Компьютеры</t>
  </si>
  <si>
    <t>Компьютерный магазин, Магазин бытовой техники, Магазин электроники, Программное обеспечение, Расходные материалы для оргтехники</t>
  </si>
  <si>
    <t>47.896474 56.635328</t>
  </si>
  <si>
    <t>Уютный дом</t>
  </si>
  <si>
    <t>ул. Любови Шевцовой, 54В, Йошкар-Ола</t>
  </si>
  <si>
    <t>+7 (8362) 38-00-08, +7 (8362) 93-37-88, +7 (8362) 29-29-26</t>
  </si>
  <si>
    <t>+7 (902) 432-29-26, +7 (902) 124-37-88</t>
  </si>
  <si>
    <t>Бытовая техника</t>
  </si>
  <si>
    <t>Корпусная мебель, Магазин бытовой техники, Магазин мебели, Металлическая мебель</t>
  </si>
  <si>
    <t>ежедневно, 08:00–18:00</t>
  </si>
  <si>
    <t>47.935406 56.634575</t>
  </si>
  <si>
    <t>Реглан</t>
  </si>
  <si>
    <t>Красноармейская ул., 103, Йошкар-Ола</t>
  </si>
  <si>
    <t>Легкая промышленность</t>
  </si>
  <si>
    <t>Одежда оптом</t>
  </si>
  <si>
    <t>47.8639 56.645905</t>
  </si>
  <si>
    <t>Икс-L Информационная Комерческая Служба</t>
  </si>
  <si>
    <t>ул. Луначарского, 67/17, Йошкар-Ола</t>
  </si>
  <si>
    <t>+7 (8362) 74-12-56</t>
  </si>
  <si>
    <t>Информационная служба, Информационное агентство</t>
  </si>
  <si>
    <t>47.904738 56.616684</t>
  </si>
  <si>
    <t>Центр крепежа</t>
  </si>
  <si>
    <t>Красноармейская ул., 66, Йошкар-Ола</t>
  </si>
  <si>
    <t>+7 (8362) 99-95-99, +7 (8362) 73-67-95</t>
  </si>
  <si>
    <t>+7 (8362) 73-67-95</t>
  </si>
  <si>
    <t>Крепежные изделия</t>
  </si>
  <si>
    <t>пн-пт 08:00–19:00; сб,вс 08:00–16:00</t>
  </si>
  <si>
    <t>47.884051 56.643117</t>
  </si>
  <si>
    <t>МП УКС г. Йошкар-Ола</t>
  </si>
  <si>
    <t>Ленинский просп., 25, Йошкар-Ола</t>
  </si>
  <si>
    <t>+7 (8362) 45-33-66</t>
  </si>
  <si>
    <t>47.888119 56.630649</t>
  </si>
  <si>
    <t>Коралл Плюс</t>
  </si>
  <si>
    <t>Первомайская ул., 116А, Йошкар-Ола</t>
  </si>
  <si>
    <t>+7 (8362) 96-23-14</t>
  </si>
  <si>
    <t>+7 (902) 326-23-14, +7 (909) 368-34-83</t>
  </si>
  <si>
    <t>+7 (8362) 42-09-28</t>
  </si>
  <si>
    <t>пн-пт 09:00–17:00, перерыв 12:00–13:00; сб 09:00–15:00</t>
  </si>
  <si>
    <t>47.885226 56.639357</t>
  </si>
  <si>
    <t>АК Барс банк</t>
  </si>
  <si>
    <t>Успенская ул., 11, Йошкар-Ола</t>
  </si>
  <si>
    <t>https://akbars.ru/</t>
  </si>
  <si>
    <t>Банк</t>
  </si>
  <si>
    <t>пн-пт 09:00–18:30; сб 09:00–14:00</t>
  </si>
  <si>
    <t>http://www.youtube.com/user/akbarsbank</t>
  </si>
  <si>
    <t>47.885015 56.629176</t>
  </si>
  <si>
    <t>Книги</t>
  </si>
  <si>
    <t>ул. Пушкина, 30, Йошкар-Ола</t>
  </si>
  <si>
    <t>+7 (8362) 45-58-26</t>
  </si>
  <si>
    <t xml:space="preserve">nadisakova@mail.ru  </t>
  </si>
  <si>
    <t>https://www.pushkina30.ru/</t>
  </si>
  <si>
    <t>Хобби</t>
  </si>
  <si>
    <t>Книжный магазин, Товары для творчества и рукоделия, Учебная литература</t>
  </si>
  <si>
    <t>пн-пт 09:00–18:30; сб,вс 10:00–16:00</t>
  </si>
  <si>
    <t>https://www.facebook.com/knigiyola/</t>
  </si>
  <si>
    <t>https://www.instagram.com/knigi_yola/</t>
  </si>
  <si>
    <t>47.888747 56.634708</t>
  </si>
  <si>
    <t>U2b - Упаковка для бизнеса</t>
  </si>
  <si>
    <t>Складская ул., 22, Йошкар-Ола</t>
  </si>
  <si>
    <t>8 (800) 700-05-45, +7 (8362) 41-41-16, +7 (8362) 41-03-39, +7 (8362) 41-07-89</t>
  </si>
  <si>
    <t xml:space="preserve">116@u2b.ru, info@u2b.ru  </t>
  </si>
  <si>
    <t>https://i-ola.u2b.ru/</t>
  </si>
  <si>
    <t>Оптовый магазин, Тара и упаковочные материалы, Фасовочно-упаковочное оборудование</t>
  </si>
  <si>
    <t>пн-пт 08:00–17:30; сб 08:00–13:00</t>
  </si>
  <si>
    <t>http://vk.com/u2bclub</t>
  </si>
  <si>
    <t>47.895135 56.616561</t>
  </si>
  <si>
    <t>Стома-Двор</t>
  </si>
  <si>
    <t>+7 (8362) 63-39-99</t>
  </si>
  <si>
    <t xml:space="preserve">leadgenerationmos@yandex.ru, imonfenix@gmail.com, leadgenerationmos@gmail.com, tradculockce1980@mail.ru, nenbupojar1977@mail.ru  </t>
  </si>
  <si>
    <t>http://stomadvor.ru/</t>
  </si>
  <si>
    <t>47.859741 56.644914</t>
  </si>
  <si>
    <t>Маристройинвест</t>
  </si>
  <si>
    <t>ул. Свердлова, 37, Йошкар-Ола</t>
  </si>
  <si>
    <t>+7 (8362) 99-57-50</t>
  </si>
  <si>
    <t>Брокерская компания</t>
  </si>
  <si>
    <t>47.865769 56.641406</t>
  </si>
  <si>
    <t>Союз защиты прав потребителей РМЭ</t>
  </si>
  <si>
    <t>+7 (8362) 43-03-83</t>
  </si>
  <si>
    <t>Защита прав потребителя, Общественная организация, Юридические услуги</t>
  </si>
  <si>
    <t>пн-пт 09:00–16:00</t>
  </si>
  <si>
    <t>Автостоянка</t>
  </si>
  <si>
    <t>ул. Мира, 2А, Йошкар-Ола</t>
  </si>
  <si>
    <t>+7 (8362) 64-24-80</t>
  </si>
  <si>
    <t>Автомобильная парковка</t>
  </si>
  <si>
    <t>ежедневно, 00:24–00:00</t>
  </si>
  <si>
    <t>47.95375 56.629025</t>
  </si>
  <si>
    <t>Бизнес-Консультант</t>
  </si>
  <si>
    <t>+7 (8362) 70-42-07</t>
  </si>
  <si>
    <t>+7 (987) 707-24-54</t>
  </si>
  <si>
    <t xml:space="preserve">mail@bk12.ru, b-k12@mail.ru  </t>
  </si>
  <si>
    <t>http://bk12.ru/</t>
  </si>
  <si>
    <t>Бухгалтерские услуги, Регистрация и ликвидация предприятий, Юридические услуги</t>
  </si>
  <si>
    <t>https://vk.com/public193034059</t>
  </si>
  <si>
    <t>https://ok.ru/group/62810390593574</t>
  </si>
  <si>
    <t>https://twitter.com/bk1277438748</t>
  </si>
  <si>
    <t>https://www.instagram.com/bk12ru</t>
  </si>
  <si>
    <t>Центр Дистанционного Образования Маргу</t>
  </si>
  <si>
    <t>ул. Машиностроителей, 15, Йошкар-Ола</t>
  </si>
  <si>
    <t>Дополнительное образование</t>
  </si>
  <si>
    <t>http://www.youtube.com/user/ioomarsu</t>
  </si>
  <si>
    <t>47.874231 56.643277</t>
  </si>
  <si>
    <t>Сумерки</t>
  </si>
  <si>
    <t>+7 (8362) 90-90-25</t>
  </si>
  <si>
    <t>Магазин одежды</t>
  </si>
  <si>
    <t>пн-сб 11:00–19:30; вс 11:00–18:00</t>
  </si>
  <si>
    <t>47.892523 56.638114</t>
  </si>
  <si>
    <t>Вирджиния</t>
  </si>
  <si>
    <t>Первомайский пер., 12, Йошкар-Ола</t>
  </si>
  <si>
    <t>8 (800) 201-25-75, +7 (8362) 42-20-55, +7 (8362) 42-40-56</t>
  </si>
  <si>
    <t>+7 (902) 431-69-31</t>
  </si>
  <si>
    <t>+7 (8362) 42-40-56</t>
  </si>
  <si>
    <t xml:space="preserve">yohotel@mail.ru  </t>
  </si>
  <si>
    <t>http://www.hotel-yoshkar-ola.ru/</t>
  </si>
  <si>
    <t>https://vk.com/hotel_virginia</t>
  </si>
  <si>
    <t>47.88733 56.642902</t>
  </si>
  <si>
    <t>Окна и Двери от компании БАМ</t>
  </si>
  <si>
    <t>Пролетарская ул., 11, Йошкар-Ола</t>
  </si>
  <si>
    <t>+7 (8362) 38-20-20, +7 (8362) 38-20-90, +7 (8362) 38-20-10</t>
  </si>
  <si>
    <t xml:space="preserve">info@okna-bam.ru, msd009@yandex.ru, okna_new@bk.ru, bam_okna@mail.ru, bam_ok@mail.ru  </t>
  </si>
  <si>
    <t>https://www.okna-bam.ru/</t>
  </si>
  <si>
    <t>Автоматические двери и ворота, Окна, Остекление балконов и лоджий</t>
  </si>
  <si>
    <t>пн-пт 08:00–18:00; сб 09:00–14:00</t>
  </si>
  <si>
    <t>https://vk.com/okna_bam</t>
  </si>
  <si>
    <t>47.899424 56.643828</t>
  </si>
  <si>
    <t>ИП Попов Н. В.</t>
  </si>
  <si>
    <t>Первомайская ул., 130, Йошкар-Ола</t>
  </si>
  <si>
    <t>+7 (8362) 33-38-57</t>
  </si>
  <si>
    <t>47.884813 56.635516</t>
  </si>
  <si>
    <t>Компьютерные технологии</t>
  </si>
  <si>
    <t>Ленинский просп., 29, Йошкар-Ола</t>
  </si>
  <si>
    <t>+7 (8362) 64-00-67</t>
  </si>
  <si>
    <t xml:space="preserve">info@computech.ru  </t>
  </si>
  <si>
    <t>http://www.computech.ru/</t>
  </si>
  <si>
    <t>47.88449 56.630788</t>
  </si>
  <si>
    <t>Вип Сервис</t>
  </si>
  <si>
    <t>Изготовление печатей и штампов</t>
  </si>
  <si>
    <t>47.891703 56.621479</t>
  </si>
  <si>
    <t>Шиномонтаж</t>
  </si>
  <si>
    <t>ул. Панфилова, 35, Йошкар-Ола</t>
  </si>
  <si>
    <t>+7 (8362) 65-45-26</t>
  </si>
  <si>
    <t>Автосервис, услуги</t>
  </si>
  <si>
    <t>47.879077 56.626729</t>
  </si>
  <si>
    <t>ПК Северный</t>
  </si>
  <si>
    <t>ул. Труда, 29, Йошкар-Ола</t>
  </si>
  <si>
    <t>+7 (8362) 64-56-40</t>
  </si>
  <si>
    <t>47.85413 56.659827</t>
  </si>
  <si>
    <t>Торжество</t>
  </si>
  <si>
    <t>Советская ул., 133, Йошкар-Ола</t>
  </si>
  <si>
    <t>+7 (8362) 96-89-00, +7 (8362) 99-89-00</t>
  </si>
  <si>
    <t>+7 (905) 182-85-00</t>
  </si>
  <si>
    <t>Праздничное агентство</t>
  </si>
  <si>
    <t>пн-пт 10:00–19:00; сб,вс 10:00–18:00</t>
  </si>
  <si>
    <t>47.897389 56.634417</t>
  </si>
  <si>
    <t>МБДОУ детский сад № 27 Светлячок г. Йошкар-Олы</t>
  </si>
  <si>
    <t>Первомайская ул., 112А, Йошкар-Ола</t>
  </si>
  <si>
    <t>+7 (8362) 42-32-51, +7 (8362) 66-74-08</t>
  </si>
  <si>
    <t xml:space="preserve">info@school1yola.ru, uoa-yoshkar-ola@yandex.ru, mou-sh3-yoshkar-ola@yandex.ru, yoshgim4@mail.ru  </t>
  </si>
  <si>
    <t>http://edu.mari.ru/mouo-yoshkarola/dou27</t>
  </si>
  <si>
    <t>47.886374 56.639473</t>
  </si>
  <si>
    <t>Добрыня магазин Ргуп Марийский Хлеб</t>
  </si>
  <si>
    <t>Кремлёвская ул., 1, Йошкар-Ола</t>
  </si>
  <si>
    <t>+7 (8362) 55-58-80</t>
  </si>
  <si>
    <t>Булочная, пекарня</t>
  </si>
  <si>
    <t>47.897569 56.637684</t>
  </si>
  <si>
    <t>ГК Западный</t>
  </si>
  <si>
    <t>ул. Машиностроителей, 76А, Йошкар-Ола</t>
  </si>
  <si>
    <t>+7 (8362) 73-29-41</t>
  </si>
  <si>
    <t>47.835322 56.628764</t>
  </si>
  <si>
    <t>Браво</t>
  </si>
  <si>
    <t>Окна</t>
  </si>
  <si>
    <t>47.870863 56.645977</t>
  </si>
  <si>
    <t>ТД Стройсвязьком</t>
  </si>
  <si>
    <t>ул. Артёма, 55, Йошкар-Ола</t>
  </si>
  <si>
    <t>+7 (8362) 41-82-97</t>
  </si>
  <si>
    <t>ЖБИ</t>
  </si>
  <si>
    <t>47.847856 56.663213</t>
  </si>
  <si>
    <t>Детский сад № 34 Улыбка</t>
  </si>
  <si>
    <t>ул. Лазо, 1А, Йошкар-Ола</t>
  </si>
  <si>
    <t>+7 (8362) 42-48-41</t>
  </si>
  <si>
    <t>+7 (963) 239-33-50</t>
  </si>
  <si>
    <t xml:space="preserve">detsad-34@mail.ru, uoa-yoshkar-ola@yandex.ru  </t>
  </si>
  <si>
    <t>http://edu.mari.ru/mouo-yoshkarola/dou34</t>
  </si>
  <si>
    <t>47.880279 56.63158</t>
  </si>
  <si>
    <t>Белая орхидея</t>
  </si>
  <si>
    <t>ул. Якова Эшпая, 156Б, Йошкар-Ола</t>
  </si>
  <si>
    <t>+7 (8362) 42-34-22</t>
  </si>
  <si>
    <t xml:space="preserve">ooo-kreativ@mail.ru  </t>
  </si>
  <si>
    <t>http://belayaorhideya.ru/</t>
  </si>
  <si>
    <t>Медицинские центры и клиники</t>
  </si>
  <si>
    <t>Оздоровительный центр, СПА-салон, Стоматологическая клиника</t>
  </si>
  <si>
    <t>пн-пт 09:00–21:00; сб 09:00–18:00</t>
  </si>
  <si>
    <t>https://www.facebook.com/stomatologiabelaaorhidea</t>
  </si>
  <si>
    <t>47.879713 56.636864</t>
  </si>
  <si>
    <t>Радиомаш</t>
  </si>
  <si>
    <t>+7 (8362) 42-87-17</t>
  </si>
  <si>
    <t>Радиосвязь</t>
  </si>
  <si>
    <t>Предприятие связи, Радиотехника, Телекоммуникационное оборудование</t>
  </si>
  <si>
    <t>пн-пт 08:00–17:00, перерыв 13:00–14:00</t>
  </si>
  <si>
    <t>47.866684 56.63401</t>
  </si>
  <si>
    <t>Мода-клуб</t>
  </si>
  <si>
    <t>Комсомольская ул., 157Б, Йошкар-Ола</t>
  </si>
  <si>
    <t>+7 (8362) 41-68-13</t>
  </si>
  <si>
    <t>http://modaclub-tailor.business.site/</t>
  </si>
  <si>
    <t>47.893899 56.634168</t>
  </si>
  <si>
    <t>Chery</t>
  </si>
  <si>
    <t>Кокшайский пр., 49А, Йошкар-Ола</t>
  </si>
  <si>
    <t>8 (800) 555-99-98, +7 (8362) 64-20-40</t>
  </si>
  <si>
    <t xml:space="preserve">zaproschery@mag-motors.ru  </t>
  </si>
  <si>
    <t>http://www.mag-motors.chery.ru/</t>
  </si>
  <si>
    <t>Автосалон, Автосервис, автотехцентр, Магазин автозапчастей и автотоваров</t>
  </si>
  <si>
    <t>пн-пт 08:00–20:00; сб 08:00–18:00; вс 08:00–17:00</t>
  </si>
  <si>
    <t>47.88112 56.607097</t>
  </si>
  <si>
    <t>Эргономика</t>
  </si>
  <si>
    <t>ул. Строителей, 95, корп. 102Б, Йошкар-Ола</t>
  </si>
  <si>
    <t>+7 (8362) 42-47-00</t>
  </si>
  <si>
    <t>Продажа и аренда коммерческой недвижимости</t>
  </si>
  <si>
    <t>47.862679 56.617848</t>
  </si>
  <si>
    <t>Чайка ЖСК</t>
  </si>
  <si>
    <t>Первомайская ул., 112, Йошкар-Ола</t>
  </si>
  <si>
    <t>+7 (8362) 12-01-91</t>
  </si>
  <si>
    <t>47.887445 56.639402</t>
  </si>
  <si>
    <t>Глобал Принт</t>
  </si>
  <si>
    <t>ул. Панфилова, 41, Йошкар-Ола</t>
  </si>
  <si>
    <t>+7 (8362) 41-49-99, +7 (8362) 50-05-75</t>
  </si>
  <si>
    <t xml:space="preserve">reklama.global@gmail.com </t>
  </si>
  <si>
    <t>Наружная реклама, Рекламная продукция, Широкоформатная печать</t>
  </si>
  <si>
    <t>47.875021 56.62807</t>
  </si>
  <si>
    <t>Взаимокредит</t>
  </si>
  <si>
    <t>+7 (8362) 31-57-65</t>
  </si>
  <si>
    <t>Кредитный брокер, Потребительская кооперация</t>
  </si>
  <si>
    <t>пн-пт 08:00–19:00; сб,вс 09:00–17:00</t>
  </si>
  <si>
    <t>47.868228 56.637928</t>
  </si>
  <si>
    <t>Студия звукозаписи Sonic World</t>
  </si>
  <si>
    <t>ул. Прохорова, 44, Йошкар-Ола</t>
  </si>
  <si>
    <t>+7 (917) 711-34-48</t>
  </si>
  <si>
    <t>Шоу-бизнес</t>
  </si>
  <si>
    <t>Студия звукозаписи</t>
  </si>
  <si>
    <t>ежедневно, 09:00–20:00</t>
  </si>
  <si>
    <t>https://vk.com/dounaef</t>
  </si>
  <si>
    <t>47.826917 56.629921</t>
  </si>
  <si>
    <t>Адвокаты Лихошва Г. Б. и Куклина Н. С.</t>
  </si>
  <si>
    <t>Первомайская ул., 164, Йошкар-Ола</t>
  </si>
  <si>
    <t>+7 (8362) 65-20-82</t>
  </si>
  <si>
    <t>+7 (927) 870-76-67</t>
  </si>
  <si>
    <t>Адвокаты, Юридические услуги</t>
  </si>
  <si>
    <t>пн-пт 08:00–19:00</t>
  </si>
  <si>
    <t>47.881939 56.631531</t>
  </si>
  <si>
    <t>Салон дверей</t>
  </si>
  <si>
    <t>ул. Воинов-Интернационалистов, 19, Йошкар-Ола</t>
  </si>
  <si>
    <t>пн-пт 10:00–18:00; сб,вс 10:00–17:00</t>
  </si>
  <si>
    <t>47.92901 56.633491</t>
  </si>
  <si>
    <t>Дворец молодежи Республики Марий Эл</t>
  </si>
  <si>
    <t>Зелёная ул., 1, Йошкар-Ола</t>
  </si>
  <si>
    <t>+7 (8362) 55-36-45, +7 (8362) 55-36-58, +7 (8362) 55-36-17, +7 (8362) 73-29-99, +7 (8362) 55-36-11, +7 (8362) 73-00-22, +7 (8362) 73-82-04</t>
  </si>
  <si>
    <t xml:space="preserve">admin@website.ru, mol-dvorets@dm-mari.ru  </t>
  </si>
  <si>
    <t>http://www.dm-mari.ru/</t>
  </si>
  <si>
    <t>Развлечения</t>
  </si>
  <si>
    <t>Клуб для детей и подростков, Клуб досуга</t>
  </si>
  <si>
    <t>http://vk.com/club19268718</t>
  </si>
  <si>
    <t>47.849554 56.640229</t>
  </si>
  <si>
    <t>Строитель-2</t>
  </si>
  <si>
    <t>+7 (8362) 45-43-23</t>
  </si>
  <si>
    <t>+7 (917) 706-52-75</t>
  </si>
  <si>
    <t>Строительство</t>
  </si>
  <si>
    <t>Проектная организация, Электромонтажные работы</t>
  </si>
  <si>
    <t>Ботанический сад-институт ФГБОУ ВО ПГТУ</t>
  </si>
  <si>
    <t>ул. Мира, 2Б, Йошкар-Ола</t>
  </si>
  <si>
    <t>+7 (8362) 64-64-77, +7 (8362) 68-29-16, +7 (8362) 68-29-15, +7 (8362) 68-29-18, +7 (8362) 64-74-87</t>
  </si>
  <si>
    <t>+7 (8362) 64-64-77</t>
  </si>
  <si>
    <t xml:space="preserve">botsad@volgatech.net, mamaevaa@volgatech.net  </t>
  </si>
  <si>
    <t>http://botsad.volgatech.net/, http://botsad.marstu.net/</t>
  </si>
  <si>
    <t>Парки и зоопарки</t>
  </si>
  <si>
    <t>Парк культуры и отдыха</t>
  </si>
  <si>
    <t>http://vk.com/club32911052</t>
  </si>
  <si>
    <t>47.961869 56.621072</t>
  </si>
  <si>
    <t>Отделочные материалы</t>
  </si>
  <si>
    <t>+7 (8362) 56-67-21</t>
  </si>
  <si>
    <t>+7 (929) 734-69-62</t>
  </si>
  <si>
    <t xml:space="preserve">lider95yola@mail.ru  </t>
  </si>
  <si>
    <t>http://fanera12.ru/</t>
  </si>
  <si>
    <t>Облицовочные материалы, Пиломатериалы, Строительный магазин, Сухие строительные смеси, Фанера</t>
  </si>
  <si>
    <t>пн-пт 08:00–17:00; сб 08:00–14:00</t>
  </si>
  <si>
    <t>47.898153 56.617903</t>
  </si>
  <si>
    <t>Книга +</t>
  </si>
  <si>
    <t>+7 (8362) 42-99-98</t>
  </si>
  <si>
    <t>+7 (987) 727-01-34</t>
  </si>
  <si>
    <t xml:space="preserve">personal@kazanbooks.ru, marketing@kazanbooks.ru  </t>
  </si>
  <si>
    <t>https://bookskazan.ru/</t>
  </si>
  <si>
    <t>Товары для офиса</t>
  </si>
  <si>
    <t>Книжный магазин, Магазин канцтоваров, Учебная литература</t>
  </si>
  <si>
    <t>пн-пт 09:30–19:00; сб 10:00–18:00; вс 10:00–17:00</t>
  </si>
  <si>
    <t>https://vk.com/kazanbooks_ru</t>
  </si>
  <si>
    <t>https://www.instagram.com/domknigiknigaplus/</t>
  </si>
  <si>
    <t>47.89493 56.639437</t>
  </si>
  <si>
    <t>Евростиль</t>
  </si>
  <si>
    <t>ул. Строителей, 98, Йошкар-Ола</t>
  </si>
  <si>
    <t>+7 (8362) 45-68-60, +7 (8362) 45-38-36</t>
  </si>
  <si>
    <t>+7 (902) 739-35-55, +7 (902) 329-01-12</t>
  </si>
  <si>
    <t>+7 (8362) 45-68-60</t>
  </si>
  <si>
    <t xml:space="preserve">evrostyle@mail.ru  </t>
  </si>
  <si>
    <t>http://www.evrostyle12.ru/</t>
  </si>
  <si>
    <t>Корпусная мебель, Магазин мебели, Мебель на заказ, Торговое оборудование, Шкафы-купе</t>
  </si>
  <si>
    <t>https://vk.com/evrostyle12</t>
  </si>
  <si>
    <t>47.868591 56.61174</t>
  </si>
  <si>
    <t>Автосервис</t>
  </si>
  <si>
    <t>ул. Карла Маркса, 133А, Йошкар-Ола</t>
  </si>
  <si>
    <t>Автосервис, автотехцентр</t>
  </si>
  <si>
    <t>47.89155 56.61132</t>
  </si>
  <si>
    <t>Автоэвакуаторы</t>
  </si>
  <si>
    <t>+7 (8362) 33-11-33</t>
  </si>
  <si>
    <t>+7 (927) 883-11-33, +7 (927) 882-35-35</t>
  </si>
  <si>
    <t xml:space="preserve">support@evakuator.ru  </t>
  </si>
  <si>
    <t>http://evakuator12.ru/, http://evacuator12.ru/</t>
  </si>
  <si>
    <t>Автотехпомощь, эвакуация автомобилей, Страхование автомобилей</t>
  </si>
  <si>
    <t>47.870798 56.645929</t>
  </si>
  <si>
    <t>Мономах</t>
  </si>
  <si>
    <t>Магазин мебели, Мебель для кухни, Торговое оборудование, Шкафы-купе</t>
  </si>
  <si>
    <t>пн-пт 09:00–19:00; сб 10:00–17:00</t>
  </si>
  <si>
    <t>АвтоСервисЦентр</t>
  </si>
  <si>
    <t>Сернурский тракт, 18, Йошкар-Ола</t>
  </si>
  <si>
    <t>+7 (8362) 64-88-55, +7 (8362) 64-98-98</t>
  </si>
  <si>
    <t xml:space="preserve">auto@mari-el.ru  </t>
  </si>
  <si>
    <t>http://www.auto.mari-el.ru/</t>
  </si>
  <si>
    <t>Автосалон, Автосервис, автотехцентр, Кузовной ремонт, Ремонт АКПП, Шиномонтаж</t>
  </si>
  <si>
    <t>47.938394 56.644543</t>
  </si>
  <si>
    <t>Оптика</t>
  </si>
  <si>
    <t>Пролетарская ул., 46, Йошкар-Ола</t>
  </si>
  <si>
    <t>+7 (8362) 46-90-36</t>
  </si>
  <si>
    <t xml:space="preserve">ochcaricmari-el@mail.ru </t>
  </si>
  <si>
    <t>http://optika12.ru/</t>
  </si>
  <si>
    <t>пн-пт 09:00–19:00; сб 10:00–18:00; вс 10:00–17:00</t>
  </si>
  <si>
    <t>https://vk.com/optika12</t>
  </si>
  <si>
    <t>47.886976 56.646862</t>
  </si>
  <si>
    <t>Хлоя</t>
  </si>
  <si>
    <t>просп. Гагарина, 10А, Йошкар-Ола</t>
  </si>
  <si>
    <t>+7 (8362) 41-59-80</t>
  </si>
  <si>
    <t>пн-сб 07:00–20:00</t>
  </si>
  <si>
    <t>47.885664 56.628088</t>
  </si>
  <si>
    <t>Эврика</t>
  </si>
  <si>
    <t>ул. Чехова, 73, Йошкар-Ола</t>
  </si>
  <si>
    <t>+7 (8362) 46-90-83, +7 (8362) 46-90-74</t>
  </si>
  <si>
    <t xml:space="preserve">bron@evrikahotel.ru  </t>
  </si>
  <si>
    <t>http://evrikahotel.ru/ru</t>
  </si>
  <si>
    <t>https://vk.com/evrikahotel</t>
  </si>
  <si>
    <t>https://www.facebook.com/1241052922598139</t>
  </si>
  <si>
    <t>https://www.instagram.com/evrikahotel</t>
  </si>
  <si>
    <t>47.881813 56.645367</t>
  </si>
  <si>
    <t>Марийская Ассоциация Жертв Политических Репрессий</t>
  </si>
  <si>
    <t>ул. Палантая, 116, Йошкар-Ола</t>
  </si>
  <si>
    <t>+7 (8362) 42-28-69</t>
  </si>
  <si>
    <t>Общественная организация</t>
  </si>
  <si>
    <t>47.886996 56.632328</t>
  </si>
  <si>
    <t>Эльмаз</t>
  </si>
  <si>
    <t>ул. Рябинина, 26А, Йошкар-Ола</t>
  </si>
  <si>
    <t>+7 (8362) 52-26-65</t>
  </si>
  <si>
    <t>+7 (987) 729-11-52</t>
  </si>
  <si>
    <t>47.872344 56.636635</t>
  </si>
  <si>
    <t>Сбербанк</t>
  </si>
  <si>
    <t>ул. Карла Либкнехта, 80А, Йошкар-Ола</t>
  </si>
  <si>
    <t>8 (800) 555-55-50</t>
  </si>
  <si>
    <t xml:space="preserve">ks@sberins.ru, mkf@sberbank.ru, default@email.com, yanika.baranova@sberbank.ru </t>
  </si>
  <si>
    <t>http://www.sberbank.ru/, http://sbrf.ru/</t>
  </si>
  <si>
    <t>Бытовые услуги</t>
  </si>
  <si>
    <t>Платежный терминал</t>
  </si>
  <si>
    <t>http://vk.com/sberbank</t>
  </si>
  <si>
    <t>47.947322 56.637592</t>
  </si>
  <si>
    <t>МП Рубеж</t>
  </si>
  <si>
    <t>+7 (8362) 25-00-21</t>
  </si>
  <si>
    <t>+7 (927) 683-23-30</t>
  </si>
  <si>
    <t>Дезинфекция, дезинсекция, дератизация</t>
  </si>
  <si>
    <t>пн-сб 09:00–18:00</t>
  </si>
  <si>
    <t>https://vk.com/dezcentrses</t>
  </si>
  <si>
    <t>47.874996 56.628156</t>
  </si>
  <si>
    <t>Творчество</t>
  </si>
  <si>
    <t>http://tvorchestvo.in12.ru/</t>
  </si>
  <si>
    <t>Курсы и мастер-классы, Студия дизайна</t>
  </si>
  <si>
    <t>пн-пт 11:00–21:00; сб,вс 15:00–19:00</t>
  </si>
  <si>
    <t>47.8846 56.6308</t>
  </si>
  <si>
    <t>СБИС Тензор</t>
  </si>
  <si>
    <t>Вознесенская ул., 25, Йошкар-Ола</t>
  </si>
  <si>
    <t>+7 (8362) 23-27-61, +7 (8362) 32-00-69</t>
  </si>
  <si>
    <t xml:space="preserve">info@barnaul.tensor.ru, regcentr@krcentr.ru, info@prox-it.ru, hr@tensor.ru, tensor@tensor.ru  </t>
  </si>
  <si>
    <t>https://sbis.ru/, https://tensor.ru/</t>
  </si>
  <si>
    <t>Автоматизация документооборота, Программное обеспечение, Удостоверяющий центр</t>
  </si>
  <si>
    <t>https://vk.com/sbis_tensor</t>
  </si>
  <si>
    <t>https://ok.ru/group/53902033027279</t>
  </si>
  <si>
    <t>https://www.facebook.com/sbistensor/</t>
  </si>
  <si>
    <t>https://www.instagram.com/sbis.tensor/</t>
  </si>
  <si>
    <t>47.904342 56.640803</t>
  </si>
  <si>
    <t>Майнсофт</t>
  </si>
  <si>
    <t>Трудовой пер., 26, Йошкар-Ола</t>
  </si>
  <si>
    <t>+7 (8362) 33-00-80</t>
  </si>
  <si>
    <t>Электроника и электротехника</t>
  </si>
  <si>
    <t>Автоматизация производств</t>
  </si>
  <si>
    <t>47.8556 56.660008</t>
  </si>
  <si>
    <t>Детский сад № 33 Колосок</t>
  </si>
  <si>
    <t>ул. Зарубина, 9, Йошкар-Ола</t>
  </si>
  <si>
    <t>+7 (8362) 45-71-51, +7 (36224) 5-71-51</t>
  </si>
  <si>
    <t>47.88166 56.626792</t>
  </si>
  <si>
    <t>Известия Марий Эл</t>
  </si>
  <si>
    <t>Комсомольская ул., 112, Йошкар-Ола</t>
  </si>
  <si>
    <t>+7 (8362) 42-39-99</t>
  </si>
  <si>
    <t>http://izvestiya12.ru/</t>
  </si>
  <si>
    <t>47.894461 56.638951</t>
  </si>
  <si>
    <t>Марийагромаш</t>
  </si>
  <si>
    <t>ул. Ломоносова, 2Б, Йошкар-Ола</t>
  </si>
  <si>
    <t>+7 (8362) 41-50-89, +7 (8362) 45-34-73</t>
  </si>
  <si>
    <t>+7 (961) 373-81-86</t>
  </si>
  <si>
    <t xml:space="preserve">agromash12@yandex.ru, support@tiu.ru  </t>
  </si>
  <si>
    <t>http://www.agroprommash.ru/, http://mariagromash.ru/, http://www.lenta-pila.ru/</t>
  </si>
  <si>
    <t>Деревообрабатывающее оборудование, Сельскохозяйственное предприятие</t>
  </si>
  <si>
    <t>47.876773 56.615035</t>
  </si>
  <si>
    <t>Независимая экспертиза</t>
  </si>
  <si>
    <t>Водопроводная ул., 44А, Йошкар-Ола</t>
  </si>
  <si>
    <t>+7 (8362) 42-62-56</t>
  </si>
  <si>
    <t>Автоэкспертиза, оценка автомобилей, Экспертиза</t>
  </si>
  <si>
    <t>47.899734 56.649449</t>
  </si>
  <si>
    <t>Юничел</t>
  </si>
  <si>
    <t>Ленинский просп., 32, Йошкар-Ола</t>
  </si>
  <si>
    <t>8 (800) 250-29-09</t>
  </si>
  <si>
    <t>+7 (917) 705-30-47</t>
  </si>
  <si>
    <t xml:space="preserve">info@unichel.ru  </t>
  </si>
  <si>
    <t>https://unichel.ru/</t>
  </si>
  <si>
    <t>пн-сб 10:00–19:00; вс 10:00–18:00</t>
  </si>
  <si>
    <t>https://vk.com/unichel</t>
  </si>
  <si>
    <t>https://ok.ru/unichel</t>
  </si>
  <si>
    <t>https://www.facebook.com/unichel.shoes/</t>
  </si>
  <si>
    <t>https://www.youtube.com/channel/UClPmlovQTCzJ2XyPQffHZIA</t>
  </si>
  <si>
    <t>https://www.instagram.com/unichel_shoes/</t>
  </si>
  <si>
    <t>47.881104 56.632614</t>
  </si>
  <si>
    <t>ТК Артиграф</t>
  </si>
  <si>
    <t>ул. Палантая, 112В, Йошкар-Ола</t>
  </si>
  <si>
    <t>Видео- и фотоуслуги</t>
  </si>
  <si>
    <t>Видеосъемка</t>
  </si>
  <si>
    <t>47.887167 56.632699</t>
  </si>
  <si>
    <t>Региональное отделение Фонда социального страхования РФ по РМЭ</t>
  </si>
  <si>
    <t>бул. Победы, 16, Йошкар-Ола</t>
  </si>
  <si>
    <t>+7 (8362) 69-20-04, +7 (8362) 69-20-49, +7 (8362) 42-62-51, +7 (8362) 69-20-96, +7 (8362) 69-20-06</t>
  </si>
  <si>
    <t xml:space="preserve">ok_info@fss.ru  </t>
  </si>
  <si>
    <t>http://r12.fss.ru/, http://fss.ru/, http://fss.ru/ru/regional_office/in_republic/6618.shtml</t>
  </si>
  <si>
    <t>Социальная сфера</t>
  </si>
  <si>
    <t>Фонд социального страхования</t>
  </si>
  <si>
    <t>пн-пт 09:00–17:00, перерыв 12:00–13:00</t>
  </si>
  <si>
    <t>https://vk.com/fssrussia</t>
  </si>
  <si>
    <t>https://www.facebook.com/Фонд-социального-страхования-Российской-Федерации-501749196692990</t>
  </si>
  <si>
    <t>47.876868 56.639518</t>
  </si>
  <si>
    <t>Богема</t>
  </si>
  <si>
    <t>+7 (8362) 31-38-98</t>
  </si>
  <si>
    <t>пн 17:00–03:00; вт-чт 12:00–03:00; пт,сб 12:00–06:00; вс 12:00–03:00</t>
  </si>
  <si>
    <t>https://vk.com/bogemacafe</t>
  </si>
  <si>
    <t>47.889345 56.639907</t>
  </si>
  <si>
    <t>Оберон</t>
  </si>
  <si>
    <t>ул. Машиностроителей, 115, Йошкар-Ола</t>
  </si>
  <si>
    <t>+7 (8362) 73-79-40, +7 (8362) 73-00-70</t>
  </si>
  <si>
    <t>47.8376 56.6265</t>
  </si>
  <si>
    <t>ул. Карла Маркса, 109Б, Йошкар-Ола</t>
  </si>
  <si>
    <t>47.89062 56.623296</t>
  </si>
  <si>
    <t>ул. Осипенко, 24, Йошкар-Ола</t>
  </si>
  <si>
    <t>http://www.sberbank.ru/</t>
  </si>
  <si>
    <t>47.882568 56.649863</t>
  </si>
  <si>
    <t>Мета-хром</t>
  </si>
  <si>
    <t>ул. Баумана, 100В, Йошкар-Ола</t>
  </si>
  <si>
    <t>8 (800) 555-17-54, +7 (8362) 42-49-97, +7 (8362) 42-22-66, +7 (8362) 43-04-40, +7 (8362) 73-40-80, +7 (8362) 73-45-24, +7 (8362) 73-41-03</t>
  </si>
  <si>
    <t>+7 (8362) 42-22-66, +7 (8362) 43-04-40, +7 (8362) 73-40-80, +7 (8362) 73-45-24</t>
  </si>
  <si>
    <t xml:space="preserve">m_chrom@mari-el.ru  </t>
  </si>
  <si>
    <t>http://www.meta-chrom.ru/</t>
  </si>
  <si>
    <t>Контрольно-измерительные приборы, Химическое оборудование</t>
  </si>
  <si>
    <t>пн-пт 08:00–16:30, перерыв 12:00–12:30</t>
  </si>
  <si>
    <t>47.857345 56.627831</t>
  </si>
  <si>
    <t>Неолит ПП</t>
  </si>
  <si>
    <t>ул. Баумана, 100, Йошкар-Ола</t>
  </si>
  <si>
    <t>+7 (8362) 73-09-00</t>
  </si>
  <si>
    <t>Лесная промышленность, деревообработка</t>
  </si>
  <si>
    <t>Деревообрабатывающее предприятие</t>
  </si>
  <si>
    <t>47.857882 56.629085</t>
  </si>
  <si>
    <t>Дельфин</t>
  </si>
  <si>
    <t>Ленинский просп., 59В, Йошкар-Ола</t>
  </si>
  <si>
    <t>+7 (8362) 30-48-30, +7 (8362) 56-60-34</t>
  </si>
  <si>
    <t>Водный спорт</t>
  </si>
  <si>
    <t>Бассейн</t>
  </si>
  <si>
    <t>пн-сб 08:00–20:00</t>
  </si>
  <si>
    <t>47.875093 56.634382</t>
  </si>
  <si>
    <t>Ковчег</t>
  </si>
  <si>
    <t>Вознесенская ул., 39, Йошкар-Ола</t>
  </si>
  <si>
    <t>+7 (8362) 65-74-24</t>
  </si>
  <si>
    <t>Экскурсии</t>
  </si>
  <si>
    <t>47.902555 56.63808</t>
  </si>
  <si>
    <t>Двери на 5</t>
  </si>
  <si>
    <t>ул. Крылова, 47, Йошкар-Ола</t>
  </si>
  <si>
    <t>+7 (964) 862-79-01</t>
  </si>
  <si>
    <t>47.85039 56.608105</t>
  </si>
  <si>
    <t>Типография правительства республики Марий Эл</t>
  </si>
  <si>
    <t>+7 (8362) 45-02-94, +7 (8362) 55-02-94</t>
  </si>
  <si>
    <t>Полиграфические услуги, Типография</t>
  </si>
  <si>
    <t>47.893924 56.639409</t>
  </si>
  <si>
    <t>ПФ Эргономика</t>
  </si>
  <si>
    <t>ул. Луначарского, 97А, Йошкар-Ола</t>
  </si>
  <si>
    <t>+7 (906) 137-12-90</t>
  </si>
  <si>
    <t>47.893714 56.620226</t>
  </si>
  <si>
    <t>Марийское районное нефтепроводное управление</t>
  </si>
  <si>
    <t>ул. Анциферова, 1А, Йошкар-Ола</t>
  </si>
  <si>
    <t>+7 (8362) 41-82-61, +7 (8362) 41-82-63</t>
  </si>
  <si>
    <t>Нефтегазовая компания</t>
  </si>
  <si>
    <t>47.864116 56.651487</t>
  </si>
  <si>
    <t>Такси Вятка</t>
  </si>
  <si>
    <t>+7 (8362) 72-10-10, +7 (8362) 51-55-15, +7 (8362) 67-33-33, +7 (8362) 44-46-66</t>
  </si>
  <si>
    <t>47.8901 56.6398</t>
  </si>
  <si>
    <t>Комфорт</t>
  </si>
  <si>
    <t>ул. Мира, 48, Йошкар-Ола</t>
  </si>
  <si>
    <t>Товары потребления</t>
  </si>
  <si>
    <t>Оптовая компания</t>
  </si>
  <si>
    <t>47.941982 56.635115</t>
  </si>
  <si>
    <t>Аладдин</t>
  </si>
  <si>
    <t>ул. Рябинина, 29, Йошкар-Ола</t>
  </si>
  <si>
    <t>+7 (8362) 72-44-54, +7 (8362) 32-32-62, +7 (8362) 43-71-02</t>
  </si>
  <si>
    <t xml:space="preserve">t9177090963@yandex.ru  </t>
  </si>
  <si>
    <t>ежедневно, 11:00–23:00</t>
  </si>
  <si>
    <t>http://vk.com/aladdin12</t>
  </si>
  <si>
    <t>47.87129 56.635782</t>
  </si>
  <si>
    <t>Йошкар-Олинский ремонтный завод</t>
  </si>
  <si>
    <t>ул. Мира, 30, Йошкар-Ола</t>
  </si>
  <si>
    <t>+7 (8362) 64-28-54, +7 (8362) 64-23-00</t>
  </si>
  <si>
    <t>+7 (8362) 64-28-54</t>
  </si>
  <si>
    <t xml:space="preserve">remzavod2012@mail.ru  </t>
  </si>
  <si>
    <t>https://remzavod12.ru/</t>
  </si>
  <si>
    <t>Промышленные организации, предприятия</t>
  </si>
  <si>
    <t>Оборудование для легкой промышленности, Производственное предприятие, Промышленное оборудование</t>
  </si>
  <si>
    <t>47.945814 56.634262</t>
  </si>
  <si>
    <t>Межрегиональный открытый социальный институт</t>
  </si>
  <si>
    <t>ул. Прохорова, 28, Йошкар-Ола</t>
  </si>
  <si>
    <t>+7 (8362) 38-08-08</t>
  </si>
  <si>
    <t xml:space="preserve">rector@mosi.ru, nauka@mosi.ru, magnit.yola@gmail.com, pr@mosi.ru, fpps@mosi.ru  </t>
  </si>
  <si>
    <t>http://mosi.ru/</t>
  </si>
  <si>
    <t>Высшее образование</t>
  </si>
  <si>
    <t>ВУЗ</t>
  </si>
  <si>
    <t>http://vk.com/club_mosi</t>
  </si>
  <si>
    <t>http://www.facebook.com/groups/284466531637333</t>
  </si>
  <si>
    <t>https://www.instagram.com/my_mosi</t>
  </si>
  <si>
    <t>47.836527 56.633841</t>
  </si>
  <si>
    <t>Пегас Туристик</t>
  </si>
  <si>
    <t>ул. Льва Толстого, 70, Йошкар-Ола</t>
  </si>
  <si>
    <t>8 (800) 700-87-47, +7 (8362) 38-40-05, +7 (8362) 96-63-30</t>
  </si>
  <si>
    <t xml:space="preserve">retail@pegast.ru  </t>
  </si>
  <si>
    <t>https://pegast.ru/, http://pegast.com/</t>
  </si>
  <si>
    <t>пн-пт 10:00–18:00; сб 11:00–16:00</t>
  </si>
  <si>
    <t>http://vk.com/pegastouristik</t>
  </si>
  <si>
    <t>http://twitter.com/pegastourist</t>
  </si>
  <si>
    <t>http://www.facebook.com/pegastouristik</t>
  </si>
  <si>
    <t>http://instagram.com/pegas.touristik</t>
  </si>
  <si>
    <t>47.895148 56.647788</t>
  </si>
  <si>
    <t>Игрушки</t>
  </si>
  <si>
    <t>бул. Чавайна, 19, Йошкар-Ола</t>
  </si>
  <si>
    <t>+7 (8362) 96-74-91</t>
  </si>
  <si>
    <t>Товары для детей</t>
  </si>
  <si>
    <t>Детские игрушки и игры</t>
  </si>
  <si>
    <t>пн-сб 09:00–20:00; вс 09:00–19:00</t>
  </si>
  <si>
    <t>47.914745 56.630847</t>
  </si>
  <si>
    <t>Л'Этуаль</t>
  </si>
  <si>
    <t>Советская ул., 161, Йошкар-Ола</t>
  </si>
  <si>
    <t>8 (800) 200-23-45, 8 (800) 333-77-11, 8 (800) 333-77-11, 8 (800) 333-77-11</t>
  </si>
  <si>
    <t xml:space="preserve">contest@alkor.co.ru, maryelisteeva@yandex.ru </t>
  </si>
  <si>
    <t>http://www.letoile.ru/, https://www.letu.ru/</t>
  </si>
  <si>
    <t>Косметика и парфюмерия</t>
  </si>
  <si>
    <t>Магазин парфюмерии и косметики</t>
  </si>
  <si>
    <t>http://vk.com/club18523333</t>
  </si>
  <si>
    <t>https://www.facebook.com/letoile.ru</t>
  </si>
  <si>
    <t>https://www.instagram.com/letoile_official</t>
  </si>
  <si>
    <t>47.893495 56.629213</t>
  </si>
  <si>
    <t>Такси Иномарки</t>
  </si>
  <si>
    <t>Сернурский тракт, 20Ж, Йошкар-Ола</t>
  </si>
  <si>
    <t>+7 (8362) 64-91-08, +7 (8362) 77-77-70, +7 (8362) 77-70-00, +7 (8362) 42-30-00, +7 (8362) 41-31-31, +7 (8362) 96-00-06, +7 (8362) 41-14-11, +7 (8362) 50-05-00, +7 (8362) 26-26-26, +7 (8362) 42-00-00, +7 (8362) 50-00-00, +7 (8362) 24-24-24</t>
  </si>
  <si>
    <t>http://narodnoe-taxi.com/</t>
  </si>
  <si>
    <t>Автобусное сообщение</t>
  </si>
  <si>
    <t>Автобусные междугородные перевозки, Такси</t>
  </si>
  <si>
    <t>47.93484 56.644069</t>
  </si>
  <si>
    <t>Евромастер</t>
  </si>
  <si>
    <t>ул. Петрова, 2А, Йошкар-Ола</t>
  </si>
  <si>
    <t>+7 (8362) 93-00-51</t>
  </si>
  <si>
    <t xml:space="preserve">evromaster_12@mail.ru </t>
  </si>
  <si>
    <t>http://em12.ru/</t>
  </si>
  <si>
    <t>Комплектующие для окон, Окна, Строительные и отделочные работы</t>
  </si>
  <si>
    <t>47.917715 56.627424</t>
  </si>
  <si>
    <t>КвадРа</t>
  </si>
  <si>
    <t>+7 (8362) 38-02-40, +7 (8362) 38-02-30</t>
  </si>
  <si>
    <t>+7 (8362) 38-02-30</t>
  </si>
  <si>
    <t>http://kvadra-mari.ru/</t>
  </si>
  <si>
    <t>Канцтовары оптом, Производство и продажа бумаги</t>
  </si>
  <si>
    <t>47.887372 56.64774</t>
  </si>
  <si>
    <t>Регион 12</t>
  </si>
  <si>
    <t>+7 (8362) 45-16-29</t>
  </si>
  <si>
    <t xml:space="preserve">office@tk12region.ru </t>
  </si>
  <si>
    <t>Наружная реклама, Широкоформатная печать</t>
  </si>
  <si>
    <t>Обувная мастерская</t>
  </si>
  <si>
    <t>ул. Петрова, 19, Йошкар-Ола</t>
  </si>
  <si>
    <t>+7 (927) 879-71-61</t>
  </si>
  <si>
    <t>Ремонт обуви</t>
  </si>
  <si>
    <t>пн-пт 08:00–18:00, перерыв 12:00–13:00; сб 09:00–14:00, перерыв 12:00–13:00</t>
  </si>
  <si>
    <t>47.919946 56.635179</t>
  </si>
  <si>
    <t>Кирмар</t>
  </si>
  <si>
    <t>ул. Машиностроителей, 109, Йошкар-Ола</t>
  </si>
  <si>
    <t>+7 (8362) 73-81-41</t>
  </si>
  <si>
    <t>Архитектура и проектирование</t>
  </si>
  <si>
    <t>Проектная организация</t>
  </si>
  <si>
    <t>47.838505 56.625341</t>
  </si>
  <si>
    <t>Для тебя</t>
  </si>
  <si>
    <t>ул. Волкова, 116, Йошкар-Ола</t>
  </si>
  <si>
    <t>+7 (8362) 45-27-23</t>
  </si>
  <si>
    <t>пн-пт 08:00–18:00; сб 08:00–15:00; вс 10:00–15:00</t>
  </si>
  <si>
    <t>47.897662 56.639358</t>
  </si>
  <si>
    <t>Хрусталик</t>
  </si>
  <si>
    <t>+7 (8362) 77-40-49</t>
  </si>
  <si>
    <t>+7 (902) 739-40-49</t>
  </si>
  <si>
    <t xml:space="preserve">kord-lider@mail.ru </t>
  </si>
  <si>
    <t>http://hrustalik-optika.narod.ru/</t>
  </si>
  <si>
    <t>пн-пт 09:00–19:00; сб,вс 09:00–18:00</t>
  </si>
  <si>
    <t>47.884222 56.633383</t>
  </si>
  <si>
    <t>Дигрис</t>
  </si>
  <si>
    <t>+7 (961) 376-33-22, +7 (967) 757-62-49</t>
  </si>
  <si>
    <t xml:space="preserve">elena@digris.ru </t>
  </si>
  <si>
    <t>http://digris.ru/</t>
  </si>
  <si>
    <t>Двери, Кованые изделия, Окна</t>
  </si>
  <si>
    <t>пн-пт 08:00–16:30, перерыв 11:30–12:00</t>
  </si>
  <si>
    <t>47.870197 56.611776</t>
  </si>
  <si>
    <t>ТФ Аркон-Сервис</t>
  </si>
  <si>
    <t>+7 (8362) 45-71-63</t>
  </si>
  <si>
    <t>Алюминий, алюминиевые конструкции</t>
  </si>
  <si>
    <t>Торговая компания</t>
  </si>
  <si>
    <t>+7 (8362) 42-98-61</t>
  </si>
  <si>
    <t xml:space="preserve">ilsur@bk.ru </t>
  </si>
  <si>
    <t>Двери, Окна</t>
  </si>
  <si>
    <t>пн-пт 09:00–18:00; сб 10:00–14:00</t>
  </si>
  <si>
    <t>47.889457 56.642674</t>
  </si>
  <si>
    <t>Даниловское ПО</t>
  </si>
  <si>
    <t>Сернурский тракт, 4Б, Йошкар-Ола</t>
  </si>
  <si>
    <t>+7 (8362) 46-39-00</t>
  </si>
  <si>
    <t>пн-пт 13:00–17:00</t>
  </si>
  <si>
    <t>47.954296 56.649489</t>
  </si>
  <si>
    <t>Vianor</t>
  </si>
  <si>
    <t>Красноармейская слобода, 57, Йошкар-Ола</t>
  </si>
  <si>
    <t>8 (800) 250-33-60, 8 (800) 200-33-60, +7 (8362) 67-31-34</t>
  </si>
  <si>
    <t xml:space="preserve">vianor_russia@vianor.com, harchenko41@tyres.spb.ru, info@kolesa812.ru, spb@vershina98.ru, mail@alloshina.ru  </t>
  </si>
  <si>
    <t>https://vianor.ru/</t>
  </si>
  <si>
    <t>Шины и диски</t>
  </si>
  <si>
    <t>пн-пт 09:00–18:00; сб,вс 09:00–16:00</t>
  </si>
  <si>
    <t>47.916034 56.643657</t>
  </si>
  <si>
    <t>Технодекор</t>
  </si>
  <si>
    <t>ул. Соловьёва, 22Г, Йошкар-Ола</t>
  </si>
  <si>
    <t>+7 (8362) 33-07-21, +7 (8362) 38-33-44</t>
  </si>
  <si>
    <t xml:space="preserve">mari@t-dek.ru  </t>
  </si>
  <si>
    <t>https://mari.t-dek.ru/</t>
  </si>
  <si>
    <t>Декоративные покрытия, Лакокрасочные материалы, Стройматериалы оптом</t>
  </si>
  <si>
    <t>пн-пт 09:00–19:00; сб 10:00–15:00</t>
  </si>
  <si>
    <t>https://vk.com/tehnodecor_ru</t>
  </si>
  <si>
    <t>47.870889 56.625515</t>
  </si>
  <si>
    <t>Электроком</t>
  </si>
  <si>
    <t>Кабель и провод, Светотехника</t>
  </si>
  <si>
    <t>Сокрытое сокровище</t>
  </si>
  <si>
    <t>ул. Прохорова, 17/29, Йошкар-Ола</t>
  </si>
  <si>
    <t>+7 (8362) 73-82-54</t>
  </si>
  <si>
    <t>+7 (960) 099-22-20</t>
  </si>
  <si>
    <t xml:space="preserve">zayavka@sokrsokr.net  </t>
  </si>
  <si>
    <t>http://www.sokrsokr.net/</t>
  </si>
  <si>
    <t>пн-чт 09:00–18:00, перерыв 13:00–14:00; пт 09:00–13:00</t>
  </si>
  <si>
    <t>https://vk.com/sokritoe</t>
  </si>
  <si>
    <t>https://ok.ru/sokrsokr</t>
  </si>
  <si>
    <t>http://www.facebook.com/sokrsokr.net</t>
  </si>
  <si>
    <t>https://www.youtube.com/user/videoSokr</t>
  </si>
  <si>
    <t>https://www.instagram.com/sokr.sokr7</t>
  </si>
  <si>
    <t>47.846014 56.63686</t>
  </si>
  <si>
    <t>Райдер</t>
  </si>
  <si>
    <t>ул. Баумана, 11, Йошкар-Ола</t>
  </si>
  <si>
    <t>+7 (8362) 46-59-80</t>
  </si>
  <si>
    <t>+7 (906) 334-71-55</t>
  </si>
  <si>
    <t>Автоаксессуары, Магазин автозапчастей и автотоваров</t>
  </si>
  <si>
    <t>пн-пт 08:00–19:00; сб,вс 08:00–18:00</t>
  </si>
  <si>
    <t>47.846077 56.641829</t>
  </si>
  <si>
    <t>Византия</t>
  </si>
  <si>
    <t>Красноармейская ул., 113, Йошкар-Ола</t>
  </si>
  <si>
    <t>+7 (8362) 63-17-89, +7 (8362) 55-44-49, +7 (8362) 94-05-05</t>
  </si>
  <si>
    <t>+7 (8362) 63-17-89</t>
  </si>
  <si>
    <t>Продажа и аренда коммерческой недвижимости, Торговый центр</t>
  </si>
  <si>
    <t>47.856076 56.643789</t>
  </si>
  <si>
    <t>Пушкинский</t>
  </si>
  <si>
    <t>Первомайская ул., 111, Йошкар-Ола</t>
  </si>
  <si>
    <t>+7 (8362) 45-68-49</t>
  </si>
  <si>
    <t>Универсальные магазины</t>
  </si>
  <si>
    <t>Торговый центр</t>
  </si>
  <si>
    <t>https://vk.com/pushkincky</t>
  </si>
  <si>
    <t>47.886071 56.635427</t>
  </si>
  <si>
    <t>Элиф Оои</t>
  </si>
  <si>
    <t>+7 (8362) 63-02-95</t>
  </si>
  <si>
    <t>Архитектурное бюро, Строительные и отделочные работы</t>
  </si>
  <si>
    <t>Формекс</t>
  </si>
  <si>
    <t>просп. Гагарина, 21, Йошкар-Ола</t>
  </si>
  <si>
    <t>+7 (8362) 41-15-40</t>
  </si>
  <si>
    <t xml:space="preserve">zakaz@formeks-opt.ru, formekspro@yandex.ru, support@tiu.ru  </t>
  </si>
  <si>
    <t>http://www.formeks.ru/</t>
  </si>
  <si>
    <t>Военная форма, Спецодежда</t>
  </si>
  <si>
    <t>47.882919 56.62433</t>
  </si>
  <si>
    <t>Аудиторская компания Практика</t>
  </si>
  <si>
    <t>+7 (8362) 45-20-55</t>
  </si>
  <si>
    <t xml:space="preserve">info@akpraktika.com, piilyin@akpraktika.ru  </t>
  </si>
  <si>
    <t>http://akpraktika.ru/, http://akpraktika.com/</t>
  </si>
  <si>
    <t>Аудит, бухучет</t>
  </si>
  <si>
    <t>Аудиторская компания</t>
  </si>
  <si>
    <t>47.892414 56.632933</t>
  </si>
  <si>
    <t>Лея НПКФ</t>
  </si>
  <si>
    <t>ул. Йывана Кырли, 5, Йошкар-Ола</t>
  </si>
  <si>
    <t>+7 (8362) 46-66-26</t>
  </si>
  <si>
    <t>Кабель и провод</t>
  </si>
  <si>
    <t>47.847973 56.642099</t>
  </si>
  <si>
    <t>Прогресс</t>
  </si>
  <si>
    <t>Пролетарская ул., 53, Йошкар-Ола</t>
  </si>
  <si>
    <t>+7 (8362) 43-07-04</t>
  </si>
  <si>
    <t>Товары народного потребления</t>
  </si>
  <si>
    <t>ежедневно, 07:00–22:00</t>
  </si>
  <si>
    <t>47.884085 56.646999</t>
  </si>
  <si>
    <t>Новинка</t>
  </si>
  <si>
    <t>ул. Дружбы, 100, Йошкар-Ола</t>
  </si>
  <si>
    <t>+7 (8362) 51-58-55</t>
  </si>
  <si>
    <t>+7 (964) 861-58-55</t>
  </si>
  <si>
    <t xml:space="preserve">counter@corp.liveinternet.ru </t>
  </si>
  <si>
    <t>https://novinka12.ru/</t>
  </si>
  <si>
    <t>Химчистка, Чистка ковров</t>
  </si>
  <si>
    <t>пн-пт 09:00–19:00; сб,вс 09:00–15:00</t>
  </si>
  <si>
    <t>https://vk.com/novinka12</t>
  </si>
  <si>
    <t>https://ok.ru/group51765666250959</t>
  </si>
  <si>
    <t>47.873696 56.654503</t>
  </si>
  <si>
    <t>Студия Varden</t>
  </si>
  <si>
    <t>+7 (927) 879-45-82</t>
  </si>
  <si>
    <t xml:space="preserve">varden.ru@gmail.com  </t>
  </si>
  <si>
    <t>http://varden.ru/</t>
  </si>
  <si>
    <t>Интернет-маркетинг, Студия веб-дизайна</t>
  </si>
  <si>
    <t>Виктор</t>
  </si>
  <si>
    <t>ул. Чехова, 70, Йошкар-Ола</t>
  </si>
  <si>
    <t>+7 (8362) 70-77-72</t>
  </si>
  <si>
    <t>+7 (902) 743-20-43, +7 (987) 726-30-08</t>
  </si>
  <si>
    <t>Адвокаты, Оценочная компания, Регистрация и ликвидация предприятий, Юридические услуги</t>
  </si>
  <si>
    <t>пн-пт 08:00–17:00; сб 08:00–15:00</t>
  </si>
  <si>
    <t>47.882981 56.645636</t>
  </si>
  <si>
    <t>Отражение</t>
  </si>
  <si>
    <t>Красноармейская ул., 43, Йошкар-Ола</t>
  </si>
  <si>
    <t>+7 (8362) 42-21-81, +7 (8362) 37-44-78</t>
  </si>
  <si>
    <t>+7 (902) 433-44-78</t>
  </si>
  <si>
    <t>Студия дизайна, Фотоуслуги</t>
  </si>
  <si>
    <t>пн-пт 09:00–19:00; сб 10:00–18:00; вс 10:00–17:30</t>
  </si>
  <si>
    <t>47.89463 56.640236</t>
  </si>
  <si>
    <t>ПКФ Энергопромавтоматика</t>
  </si>
  <si>
    <t>Пролетарская ул., 55А, Йошкар-Ола</t>
  </si>
  <si>
    <t>+7 (8362) 42-36-34</t>
  </si>
  <si>
    <t>47.883492 56.646583</t>
  </si>
  <si>
    <t>Бриг</t>
  </si>
  <si>
    <t>Алаир</t>
  </si>
  <si>
    <t>ул. Ломоносова, 6Б, Йошкар-Ола</t>
  </si>
  <si>
    <t>Общественное питание</t>
  </si>
  <si>
    <t>Быстрое питание, Столовая</t>
  </si>
  <si>
    <t>пн-пт 11:00–14:00</t>
  </si>
  <si>
    <t>47.869607 56.616955</t>
  </si>
  <si>
    <t>Трест банно-прачечного и ритуального хозяйства</t>
  </si>
  <si>
    <t>ул. Подольских Курсантов, 28, Йошкар-Ола</t>
  </si>
  <si>
    <t>+7 (8362) 41-88-81, +7 (8362) 41-86-51, +7 (8362) 64-95-16, +7 (8362) 45-55-01</t>
  </si>
  <si>
    <t>+7 (8362) 41-88-81</t>
  </si>
  <si>
    <t>Ритуальные услуги</t>
  </si>
  <si>
    <t>Ритуальные принадлежности, Ритуальные услуги</t>
  </si>
  <si>
    <t>47.85629 56.6501</t>
  </si>
  <si>
    <t>Отделение Пенсионного фонда России по Республике Марий Эл</t>
  </si>
  <si>
    <t>ул. Пушкина, 7, Йошкар-Ола</t>
  </si>
  <si>
    <t>8 (800) 100-16-80, 8 (800) 600-44-44, +7 (8362) 45-32-23, +7 (8362) 56-64-50</t>
  </si>
  <si>
    <t xml:space="preserve">ucpfr@100.pfr.ru  </t>
  </si>
  <si>
    <t>http://www.pfrf.ru/</t>
  </si>
  <si>
    <t>Пенсионный фонд, Социальная служба</t>
  </si>
  <si>
    <t>http://vk.com/pension_fond</t>
  </si>
  <si>
    <t>http://twitter.com/pension_fond</t>
  </si>
  <si>
    <t>https://www.facebook.com/Пенсионный-фонд-Российской-Федерации-350819391602397</t>
  </si>
  <si>
    <t>47.896872 56.631907</t>
  </si>
  <si>
    <t>ААА</t>
  </si>
  <si>
    <t>ул. Машиностроителей, 107А, Йошкар-Ола</t>
  </si>
  <si>
    <t>Нефтепродукты, Перевозка нефтепродуктов</t>
  </si>
  <si>
    <t>47.839671 56.625789</t>
  </si>
  <si>
    <t>Рубль Бум</t>
  </si>
  <si>
    <t>8 (800) 333-01-23</t>
  </si>
  <si>
    <t xml:space="preserve">p.kudishin@tdabbat.ru  </t>
  </si>
  <si>
    <t>http://www.1b.ru/</t>
  </si>
  <si>
    <t>Хозтовары, бытовая химия, прочее</t>
  </si>
  <si>
    <t>Магазин парфюмерии и косметики, Магазин хозтоваров и бытовой химии</t>
  </si>
  <si>
    <t>http://vk.com/rublbum1bru</t>
  </si>
  <si>
    <t>http://ok.ru/roublebum</t>
  </si>
  <si>
    <t>http://www.facebook.com/rublbum</t>
  </si>
  <si>
    <t>http://instagram.com/1b.ru</t>
  </si>
  <si>
    <t>47.86324 56.64593</t>
  </si>
  <si>
    <t>Аптека 36,6</t>
  </si>
  <si>
    <t>+7 (8362) 41-28-71</t>
  </si>
  <si>
    <t xml:space="preserve">zabota@366.ru  </t>
  </si>
  <si>
    <t>http://www.366.ru/</t>
  </si>
  <si>
    <t>пн-пт 07:30–20:00; сб,вс 09:00–18:00</t>
  </si>
  <si>
    <t>http://vk.com/apteki366</t>
  </si>
  <si>
    <t>https://www.facebook.com/apteka366</t>
  </si>
  <si>
    <t>https://www.instagram.com/apteka366</t>
  </si>
  <si>
    <t>47.897466 56.634598</t>
  </si>
  <si>
    <t>Каравай</t>
  </si>
  <si>
    <t>ул. Чапаева, 77А, Йошкар-Ола</t>
  </si>
  <si>
    <t>+7 (8362) 74-16-90</t>
  </si>
  <si>
    <t>Хлебозавод</t>
  </si>
  <si>
    <t>47.908735 56.643817</t>
  </si>
  <si>
    <t>Фортуна</t>
  </si>
  <si>
    <t>+7 (8362) 77-77-00</t>
  </si>
  <si>
    <t>Агентство недвижимости, Оценочная компания, Юридические услуги</t>
  </si>
  <si>
    <t>пн-пт 10:00–18:00, перерыв 13:00–14:00</t>
  </si>
  <si>
    <t>47.888074 56.630278</t>
  </si>
  <si>
    <t>ЦЭАТ Маравтоэксперт</t>
  </si>
  <si>
    <t>Комсомольская ул., 79, Йошкар-Ола</t>
  </si>
  <si>
    <t>+7 (8362) 45-75-40, +7 (8362) 75-75-42</t>
  </si>
  <si>
    <t xml:space="preserve">maravtoexpert@mail.ru  </t>
  </si>
  <si>
    <t>http://maravtoexpert.narod.ru/</t>
  </si>
  <si>
    <t>Экспертиза и патентование</t>
  </si>
  <si>
    <t>Сертификация продукции и услуг, Экспертиза</t>
  </si>
  <si>
    <t>47.900792 56.646806</t>
  </si>
  <si>
    <t>Республиканская станция переливания крови</t>
  </si>
  <si>
    <t>Пролетарская ул., 66, Йошкар-Ола</t>
  </si>
  <si>
    <t>+7 (8362) 45-44-00, +7 (8362) 45-43-81</t>
  </si>
  <si>
    <t xml:space="preserve">notspam@mari-el.ru, webmaster@mari-el.ru </t>
  </si>
  <si>
    <t>Государственные лечебные учреждения</t>
  </si>
  <si>
    <t>Станция переливания крови</t>
  </si>
  <si>
    <t>пн-пт 08:00–11:30</t>
  </si>
  <si>
    <t>47.880573 56.648241</t>
  </si>
  <si>
    <t>Факел</t>
  </si>
  <si>
    <t>+7 (8362) 45-19-46</t>
  </si>
  <si>
    <t>Литература</t>
  </si>
  <si>
    <t>Книжный магазин</t>
  </si>
  <si>
    <t>пн-пт 09:30–18:30; сб,вс 09:30–16:00</t>
  </si>
  <si>
    <t>47.893415 56.629096</t>
  </si>
  <si>
    <t>Хорошие книги</t>
  </si>
  <si>
    <t>Ленинский просп., 39, Йошкар-Ола</t>
  </si>
  <si>
    <t>+7 (8362) 41-21-11</t>
  </si>
  <si>
    <t xml:space="preserve">42-88-55@mail.ru  </t>
  </si>
  <si>
    <t>http://yolabooks.ru/</t>
  </si>
  <si>
    <t>Канцтовары оптом, Книжный магазин, Магазин канцтоваров</t>
  </si>
  <si>
    <t>47.881626 56.631961</t>
  </si>
  <si>
    <t>Стамбул</t>
  </si>
  <si>
    <t>+7 (8362) 55-46-96</t>
  </si>
  <si>
    <t>47.856238 56.643752</t>
  </si>
  <si>
    <t>Б-Инвест</t>
  </si>
  <si>
    <t>ул. Палантая, 112, лит.А, Йошкар-Ола</t>
  </si>
  <si>
    <t>+7 (8362) 41-28-97</t>
  </si>
  <si>
    <t>47.887697 56.632674</t>
  </si>
  <si>
    <t>Оптан-Йошкар-Ола</t>
  </si>
  <si>
    <t>+7 (8362) 64-15-00, +7 (8362) 64-16-00</t>
  </si>
  <si>
    <t>Оптовый магазин</t>
  </si>
  <si>
    <t>пн-пт 08:00–17:30</t>
  </si>
  <si>
    <t>Перекресток</t>
  </si>
  <si>
    <t>+7 (8362) 42-44-47, +7 (8362) 64-16-31, +7 (8362) 56-57-10</t>
  </si>
  <si>
    <t>Кафе, Магазин кулинарии</t>
  </si>
  <si>
    <t>ежедневно, 10:00–22:00</t>
  </si>
  <si>
    <t>47.89717 56.640509</t>
  </si>
  <si>
    <t>ФБУ Марийский ЦСМ</t>
  </si>
  <si>
    <t>ул. Соловьёва, 3, Йошкар-Ола</t>
  </si>
  <si>
    <t>+7 (8362) 41-20-18, +7 (8362) 41-16-12</t>
  </si>
  <si>
    <t>+7 (8362) 41-16-94</t>
  </si>
  <si>
    <t xml:space="preserve">academy@roskachestvo.gov.ru, victor@maricsm.ru  </t>
  </si>
  <si>
    <t>http://maricsm.ru/</t>
  </si>
  <si>
    <t>Безопасность труда, Стандартизация и метрология</t>
  </si>
  <si>
    <t>http://vk.com/maricsm</t>
  </si>
  <si>
    <t>47.87958 56.617468</t>
  </si>
  <si>
    <t>Визион</t>
  </si>
  <si>
    <t>ул. Машиностроителей, 72, Йошкар-Ола</t>
  </si>
  <si>
    <t>+7 (8362) 34-66-57, +7 (8362) 32-63-34</t>
  </si>
  <si>
    <t>+7 (927) 882-63-34</t>
  </si>
  <si>
    <t xml:space="preserve">secretar@mail.finevision.ru, admin@public.finevision.ru </t>
  </si>
  <si>
    <t>http://ооо-визион.рф/</t>
  </si>
  <si>
    <t>Медцентр, клиника</t>
  </si>
  <si>
    <t>пн-пт 08:30–19:00; сб 10:00–14:00</t>
  </si>
  <si>
    <t>47.842996 56.628748</t>
  </si>
  <si>
    <t>МУП Ремонт, эксплуатация общежитий и нежилого фонда города Йошкар-Олы</t>
  </si>
  <si>
    <t>+7 (8362) 45-73-62, +7 (8362) 42-52-41, +7 (8362) 41-17-04, +7 (8362) 42-87-32</t>
  </si>
  <si>
    <t>+7 (8362) 45-73-62</t>
  </si>
  <si>
    <t xml:space="preserve">mupreonf@mari-el.ru, mupreonf@yola.roilcom.ru </t>
  </si>
  <si>
    <t>Коммунальная служба</t>
  </si>
  <si>
    <t>ЧОП Барс</t>
  </si>
  <si>
    <t>+7 (8362) 48-27-27, +7 (8362) 23-27-72, +7 (8362) 46-81-10</t>
  </si>
  <si>
    <t>Детский сад № 58 Золотой ключик</t>
  </si>
  <si>
    <t>ул. Чехова, 38, Йошкар-Ола</t>
  </si>
  <si>
    <t>+7 (8362) 45-56-63, +7 (8362) 55-56-63</t>
  </si>
  <si>
    <t xml:space="preserve">mdou58_yola@mail.ru, uoa-yoshkar-ola@yandex.ru  </t>
  </si>
  <si>
    <t>http://edu.mari.ru/mouo-yoshkarola/dou58</t>
  </si>
  <si>
    <t>47.896575 56.642895</t>
  </si>
  <si>
    <t>Тамада Екатерина</t>
  </si>
  <si>
    <t>Красноармейская ул., 90, Йошкар-Ола</t>
  </si>
  <si>
    <t>+7 (937) 116-97-93</t>
  </si>
  <si>
    <t>Ведущие праздников и мероприятий, Праздничное агентство</t>
  </si>
  <si>
    <t>пн-сб 10:00–18:00</t>
  </si>
  <si>
    <t>http://vk.com/tamada12</t>
  </si>
  <si>
    <t>47.869721 56.646668</t>
  </si>
  <si>
    <t>Тиражные решения 1С-Рарус</t>
  </si>
  <si>
    <t>Красноармейская ул., 61А, Йошкар-Ола</t>
  </si>
  <si>
    <t>+7 (495) 777-25-43</t>
  </si>
  <si>
    <t xml:space="preserve">clients@vdgb-soft.ru, otr@rarus.ru, mobile@uconto.com, mail@vgkh.ru  </t>
  </si>
  <si>
    <t>https://otr-soft.ru/, https://uconto.com/, https://vgkh.ru/</t>
  </si>
  <si>
    <t>Бизнес-консалтинг, Интернет-маркетинг, Программное обеспечение</t>
  </si>
  <si>
    <t>https://vk.com/otr_rarus</t>
  </si>
  <si>
    <t>https://ok.ru/group/55253329117296</t>
  </si>
  <si>
    <t>https://twitter.com/otr_rarus</t>
  </si>
  <si>
    <t>https://www.facebook.com/otr.rarus</t>
  </si>
  <si>
    <t>https://www.youtube.com/user/VDGBSOFT</t>
  </si>
  <si>
    <t>https://www.instagram.com/otr_rarus</t>
  </si>
  <si>
    <t>47.885751 56.64188</t>
  </si>
  <si>
    <t>СП Эрвит</t>
  </si>
  <si>
    <t>Ленинский просп., 3, Йошкар-Ола</t>
  </si>
  <si>
    <t>+7 (8362) 59-60-20</t>
  </si>
  <si>
    <t>Лесозаготовка, продажа леса</t>
  </si>
  <si>
    <t>47.906382 56.626743</t>
  </si>
  <si>
    <t>Градиент НПФ</t>
  </si>
  <si>
    <t>+7 (8362) 12-92-91</t>
  </si>
  <si>
    <t>Предприятия связи</t>
  </si>
  <si>
    <t>Предприятие связи</t>
  </si>
  <si>
    <t>Реконструкция и развитие</t>
  </si>
  <si>
    <t>+7 (8362) 46-07-82</t>
  </si>
  <si>
    <t>Пункт проката</t>
  </si>
  <si>
    <t>47.894775 56.640283</t>
  </si>
  <si>
    <t>Марийский центр сертификации и энергосбережения</t>
  </si>
  <si>
    <t>Советская ул., 173Б, Йошкар-Ола</t>
  </si>
  <si>
    <t>+7 (8362) 72-00-30, +7 (8362) 23-24-08, +7 (8362) 23-24-09, +7 (8362) 72-00-86</t>
  </si>
  <si>
    <t>+7 (8362) 72-05-96</t>
  </si>
  <si>
    <t xml:space="preserve">mtsse12@rambler.ru </t>
  </si>
  <si>
    <t>http://cse-mari.ru/</t>
  </si>
  <si>
    <t>Сертификация продукции и услуг</t>
  </si>
  <si>
    <t>47.892302 56.625804</t>
  </si>
  <si>
    <t>Доктор Дент</t>
  </si>
  <si>
    <t>+7 (8362) 21-03-37</t>
  </si>
  <si>
    <t>+7 (902) 744-84-47</t>
  </si>
  <si>
    <t xml:space="preserve">marigas@mari-el.ru  </t>
  </si>
  <si>
    <t>https://doctordent32.ru/</t>
  </si>
  <si>
    <t>пн-пт 08:00–19:00; сб 08:00–14:00</t>
  </si>
  <si>
    <t>http://vk.com/doctordent32</t>
  </si>
  <si>
    <t>47.927034 56.631694</t>
  </si>
  <si>
    <t>Дворец культуры имени В. И. Ленина</t>
  </si>
  <si>
    <t>ул. Машиностроителей, 22А, Йошкар-Ола</t>
  </si>
  <si>
    <t>+7 (8362) 42-15-32, +7 (8362) 72-30-90, +7 (8362) 72-30-70, +7 (8362) 72-31-50, +7 (8362) 45-28-33, +7 (8362) 56-62-12, +7 (8362) 45-11-60</t>
  </si>
  <si>
    <t xml:space="preserve">otd_dklenina@mail.ru, dklenina@mari-el.ru  </t>
  </si>
  <si>
    <t>http://dklenina.ru/</t>
  </si>
  <si>
    <t>Культурные центры</t>
  </si>
  <si>
    <t>Дом культуры</t>
  </si>
  <si>
    <t>пн-пт 08:30–17:30, перерыв 13:00–14:00</t>
  </si>
  <si>
    <t>http://vk.com/club15235465</t>
  </si>
  <si>
    <t>47.868934 56.639895</t>
  </si>
  <si>
    <t>Эльдорадо</t>
  </si>
  <si>
    <t>8 (800) 250-25-25</t>
  </si>
  <si>
    <t xml:space="preserve">0c9fcb8366d94c3d97fd25f8453f47cc@sentry.eldorado.ru  </t>
  </si>
  <si>
    <t>https://www.eldorado.ru/, https://www.eldorado.ru/info/shops/11283/555299</t>
  </si>
  <si>
    <t>Кондиционеры, Магазин бытовой техники, Магазин электроники, Ноутбуки и планшеты</t>
  </si>
  <si>
    <t>https://vk.com/eldorado_stores</t>
  </si>
  <si>
    <t>https://ok.ru/eldorado.stores</t>
  </si>
  <si>
    <t>https://www.facebook.com/Eldorado.Stores</t>
  </si>
  <si>
    <t>https://www.youtube.com/user/eldoradovideo</t>
  </si>
  <si>
    <t>https://instagram.com/eldorado_stores</t>
  </si>
  <si>
    <t>47.892862 56.638412</t>
  </si>
  <si>
    <t>Юридический центр</t>
  </si>
  <si>
    <t>Советская ул., 149, Йошкар-Ола</t>
  </si>
  <si>
    <t>47.895011 56.631216</t>
  </si>
  <si>
    <t>Первая Трастовая Компания</t>
  </si>
  <si>
    <t>+7 (8362) 21-97-80</t>
  </si>
  <si>
    <t>47.884427 56.630783</t>
  </si>
  <si>
    <t>Карлсон</t>
  </si>
  <si>
    <t>+7 (8362) 73-45-53</t>
  </si>
  <si>
    <t>Товары для дома</t>
  </si>
  <si>
    <t>47.836133 56.625198</t>
  </si>
  <si>
    <t>Аристократ</t>
  </si>
  <si>
    <t>ул. Маяковского, 34, Йошкар-Ола</t>
  </si>
  <si>
    <t>+7 (8362) 71-87-19</t>
  </si>
  <si>
    <t>Домашние животные</t>
  </si>
  <si>
    <t>Клуб любителей животных, Питомник животных, Приют для животных</t>
  </si>
  <si>
    <t>ежедневно, 10:00–19:00</t>
  </si>
  <si>
    <t>47.898413 56.648558</t>
  </si>
  <si>
    <t>Пресса-фирма по распространению печатной продукции</t>
  </si>
  <si>
    <t>ул. Павлика Морозова, 27, Йошкар-Ола</t>
  </si>
  <si>
    <t>+7 (8362) 63-94-94</t>
  </si>
  <si>
    <t>Агентство по подписке</t>
  </si>
  <si>
    <t>47.940113 56.638095</t>
  </si>
  <si>
    <t>Эксклюзив Мебель</t>
  </si>
  <si>
    <t>ул. Подольских Курсантов, 17, Йошкар-Ола</t>
  </si>
  <si>
    <t>+7 (8362) 33-39-95</t>
  </si>
  <si>
    <t>Корпусная мебель, Мебель на заказ, Эксклюзивная мебель</t>
  </si>
  <si>
    <t>47.862247 56.649454</t>
  </si>
  <si>
    <t>Элемент Лизинг</t>
  </si>
  <si>
    <t>+7 (8362) 38-39-93</t>
  </si>
  <si>
    <t xml:space="preserve">glav.buh@savtransavto.com, oksana.puzakova@yandex.ru, benzindizel@mail.ru, 010474@mail.ru, alena.anufrieva.83@mail.ru  </t>
  </si>
  <si>
    <t>https://elementleasing.ru/</t>
  </si>
  <si>
    <t>Лизинговая компания</t>
  </si>
  <si>
    <t>https://vk.com/pro_leasing</t>
  </si>
  <si>
    <t>https://www.facebook.com/ElementLeasing</t>
  </si>
  <si>
    <t>https://www.instagram.com/elementleasing/</t>
  </si>
  <si>
    <t>47.901845 56.645678</t>
  </si>
  <si>
    <t>Матрица</t>
  </si>
  <si>
    <t>Ленинский просп., 22А, Йошкар-Ола</t>
  </si>
  <si>
    <t>8 (800) 700-10-70, +7 (8362) 38-00-00</t>
  </si>
  <si>
    <t>+7 (964) 860-14-21</t>
  </si>
  <si>
    <t xml:space="preserve">victor@ivanov.ru, zl@380000.ru, um@380000.ru, b.sergey@380000.ru, taras@380000.ru  </t>
  </si>
  <si>
    <t>https://matrix12.ru/, https://matrix12.ru/about/, https://matrix12.ru/contacts/, https://www.pinterest.ru/matrix12reklama/pins/</t>
  </si>
  <si>
    <t>Компьютерный магазин, Компьютерный ремонт и услуги, Магазин бытовой техники</t>
  </si>
  <si>
    <t>https://vk.com/matrix12</t>
  </si>
  <si>
    <t>https://ok.ru/group/56931407429835</t>
  </si>
  <si>
    <t>https://twitter.com/matrix12_ru</t>
  </si>
  <si>
    <t>https://www.facebook.com/matrix12.ru/</t>
  </si>
  <si>
    <t>https://instagram.com/matrix12.ru</t>
  </si>
  <si>
    <t>47.906325 56.627564</t>
  </si>
  <si>
    <t>Сэмон</t>
  </si>
  <si>
    <t>+7 (8362) 73-44-99, +7 (8362) 73-40-13</t>
  </si>
  <si>
    <t>+7 (8362) 73-40-13</t>
  </si>
  <si>
    <t xml:space="preserve">mail@semon.ru  </t>
  </si>
  <si>
    <t>http://semon.ru/</t>
  </si>
  <si>
    <t>Электромонтажные работы</t>
  </si>
  <si>
    <t>Артикс-Пром</t>
  </si>
  <si>
    <t>ул. Йывана Кырли, 19Б, Йошкар-Ола</t>
  </si>
  <si>
    <t>+7 (8362) 61-01-01, +7 (8362) 46-56-55</t>
  </si>
  <si>
    <t>Двери, Домофоны, Системы безопасности и охраны</t>
  </si>
  <si>
    <t>47.838253 56.641614</t>
  </si>
  <si>
    <t>Томас</t>
  </si>
  <si>
    <t>Советская ул., 134, Йошкар-Ола</t>
  </si>
  <si>
    <t>+7 (8362) 60-01-05</t>
  </si>
  <si>
    <t>+7 (937) 110-19-22, +7 (964) 864-05-10</t>
  </si>
  <si>
    <t xml:space="preserve">shop@tomas12.ru </t>
  </si>
  <si>
    <t>https://tomas12.ru/</t>
  </si>
  <si>
    <t>Ветеринарная аптека, Ветеринарная клиника, Зоомагазин</t>
  </si>
  <si>
    <t>https://vk.com/zoo_tomas</t>
  </si>
  <si>
    <t>https://www.instagram.com/tomas12_ru/</t>
  </si>
  <si>
    <t>47.896052 56.633417</t>
  </si>
  <si>
    <t>Хозтовары</t>
  </si>
  <si>
    <t>+7 (8362) 64-19-68</t>
  </si>
  <si>
    <t>Магазин хозтоваров и бытовой химии</t>
  </si>
  <si>
    <t>47.894871 56.639744</t>
  </si>
  <si>
    <t>Полимермонтаж СерВиС</t>
  </si>
  <si>
    <t>Вознесенская ул., 74А, Йошкар-Ола</t>
  </si>
  <si>
    <t>+7 (8362) 42-15-52, +7 (8362) 45-84-84</t>
  </si>
  <si>
    <t>Оптовый магазин, Отопительное оборудование и системы, Строительная компания, Строительный магазин, Трубы и трубопроводная арматура</t>
  </si>
  <si>
    <t>47.900381 56.635946</t>
  </si>
  <si>
    <t>Магазин Бакалея № 8</t>
  </si>
  <si>
    <t>ул. Йывана Кырли, 29, Йошкар-Ола</t>
  </si>
  <si>
    <t>+7 (8362) 55-16-78</t>
  </si>
  <si>
    <t>47.832297 56.641723</t>
  </si>
  <si>
    <t>Станция Агрохимической Службы Марийская</t>
  </si>
  <si>
    <t>ул. Тельмана, 56А, Йошкар-Ола</t>
  </si>
  <si>
    <t>+7 (8362) 46-33-83, +7 (8362) 46-30-38</t>
  </si>
  <si>
    <t xml:space="preserve">agrohim12_1@mail.ru  </t>
  </si>
  <si>
    <t>http://agrohim12.ru/</t>
  </si>
  <si>
    <t>Органы законодательной и исполнительной власти</t>
  </si>
  <si>
    <t>Министерства, ведомства, государственные службы, Сельскохозяйственная продукция, Удобрения</t>
  </si>
  <si>
    <t>47.963184 56.644871</t>
  </si>
  <si>
    <t>Ремонт электроинструментов</t>
  </si>
  <si>
    <t>ул. Машиностроителей, 8Г, Йошкар-Ола</t>
  </si>
  <si>
    <t>+7 (8362) 24-11-11, +7 (8362) 31-02-43</t>
  </si>
  <si>
    <t>+7 (917) 712-62-02, +7 (987) 724-24-88</t>
  </si>
  <si>
    <t>Пункт проката, Ремонт электрооборудования</t>
  </si>
  <si>
    <t>пн-пт 09:00–18:00, перерыв 12:00–12:30; сб 09:00–13:00</t>
  </si>
  <si>
    <t>47.873557 56.647271</t>
  </si>
  <si>
    <t>ИП Титова</t>
  </si>
  <si>
    <t>Ленинский просп., 13, Йошкар-Ола</t>
  </si>
  <si>
    <t>+7 (8362) 21-13-32</t>
  </si>
  <si>
    <t>Промышленное оборудование</t>
  </si>
  <si>
    <t>47.915589 56.625445</t>
  </si>
  <si>
    <t>Ангстрем</t>
  </si>
  <si>
    <t>Пролетарская ул., 40, Йошкар-Ола</t>
  </si>
  <si>
    <t>8 (800) 100-68-68</t>
  </si>
  <si>
    <t>+7 (961) 334-77-14</t>
  </si>
  <si>
    <t xml:space="preserve">hotline@angstrem.net, example@mail.ru  </t>
  </si>
  <si>
    <t>https://www.angstrem-mebel.ru/</t>
  </si>
  <si>
    <t>Корпусная мебель, Магазин мебели, Матрасы</t>
  </si>
  <si>
    <t>пн-пт 09:00–19:00; сб,вс 10:00–18:00</t>
  </si>
  <si>
    <t>https://vk.com/angstremmebel</t>
  </si>
  <si>
    <t>https://ok.ru/angstrem</t>
  </si>
  <si>
    <t>https://www.facebook.com/mebelangstrem</t>
  </si>
  <si>
    <t>https://www.instagram.com/angstremmebel/</t>
  </si>
  <si>
    <t>47.890312 56.646183</t>
  </si>
  <si>
    <t>Большая Кокшага</t>
  </si>
  <si>
    <t>ул. Воинов-Интернационалистов, 26, Йошкар-Ола</t>
  </si>
  <si>
    <t>+7 (8362) 22-17-11, +7 (8362) 22-02-33</t>
  </si>
  <si>
    <t xml:space="preserve">gpzbk@bk.ru  </t>
  </si>
  <si>
    <t>http://www.b-kokshaga.ru/, http://zapoved.ru/catalog/11/Большая-Кокшага-государственный-природный-заповедник</t>
  </si>
  <si>
    <t>Лесопарк, заповедник, Экологическая организация</t>
  </si>
  <si>
    <t>47.923477 56.635777</t>
  </si>
  <si>
    <t>Клинико-диагностическая лаборатория</t>
  </si>
  <si>
    <t>+7 (8362) 45-88-25</t>
  </si>
  <si>
    <t>http://24osi.polickliniki.ru/</t>
  </si>
  <si>
    <t>Госпиталь, Диагностический центр</t>
  </si>
  <si>
    <t>47.882603 56.650117</t>
  </si>
  <si>
    <t>Праздник</t>
  </si>
  <si>
    <t>Комсомольская ул., 124, Йошкар-Ола</t>
  </si>
  <si>
    <t>+7 (8362) 64-19-82</t>
  </si>
  <si>
    <t>http://park-ola.ru/</t>
  </si>
  <si>
    <t>Творческий коллектив, Театр</t>
  </si>
  <si>
    <t>47.890913 56.638159</t>
  </si>
  <si>
    <t>Авто-стоп</t>
  </si>
  <si>
    <t>Водопроводная ул., 23А, Йошкар-Ола</t>
  </si>
  <si>
    <t>+7 (8362) 45-16-63</t>
  </si>
  <si>
    <t>Автокосметика, автохимия, Магазин автозапчастей и автотоваров, Мотосалон</t>
  </si>
  <si>
    <t>пн-пт 08:30–18:00; сб 08:30–16:00</t>
  </si>
  <si>
    <t>47.901705 56.648439</t>
  </si>
  <si>
    <t>Ива Общественная Организация Инвалидов Города</t>
  </si>
  <si>
    <t>ул. Якова Эшпая, 135А, Йошкар-Ола</t>
  </si>
  <si>
    <t>пн-пт 15:00–21:00; сб 10:00–20:00; вс 10:00–15:00</t>
  </si>
  <si>
    <t>47.883546 56.63908</t>
  </si>
  <si>
    <t>МУП Архитектор</t>
  </si>
  <si>
    <t>Советская ул., 173, Йошкар-Ола</t>
  </si>
  <si>
    <t>+7 (8362) 56-63-64, +7 (8362) 56-65-50, +7 (8362) 64-15-40, +7 (8362) 56-63-23, +7 (8362) 56-61-81</t>
  </si>
  <si>
    <t>Изыскательские работы, Проектная организация, Строительная компания</t>
  </si>
  <si>
    <t>47.891353 56.626158</t>
  </si>
  <si>
    <t>Магазин № 6 по Йошкар-Олинский Горкоопторг</t>
  </si>
  <si>
    <t>ул. Панфилова, 28, Йошкар-Ола</t>
  </si>
  <si>
    <t>+7 (8362) 72-44-61</t>
  </si>
  <si>
    <t>Сельскохозяйственная продукция</t>
  </si>
  <si>
    <t>47.880232 56.627114</t>
  </si>
  <si>
    <t>Ника-Эко ТПК</t>
  </si>
  <si>
    <t>Советская ул., 116, Йошкар-Ола</t>
  </si>
  <si>
    <t>+7 (8362) 42-64-28</t>
  </si>
  <si>
    <t xml:space="preserve">info@nika-eko.ru  </t>
  </si>
  <si>
    <t>http://nika-eko.ru/</t>
  </si>
  <si>
    <t>Бытовая химия оптом</t>
  </si>
  <si>
    <t>47.897955 56.636298</t>
  </si>
  <si>
    <t>ВТ Холдинг</t>
  </si>
  <si>
    <t>ул. Луначарского, 91, Йошкар-Ола</t>
  </si>
  <si>
    <t>47.89986 56.617952</t>
  </si>
  <si>
    <t>Рикс Плюс С</t>
  </si>
  <si>
    <t>+7 (8362) 42-27-26</t>
  </si>
  <si>
    <t>+7 (960) 090-02-00</t>
  </si>
  <si>
    <t xml:space="preserve">author@example.com, riks-s@list.ru  </t>
  </si>
  <si>
    <t>https://rikss_12.turbo.site/</t>
  </si>
  <si>
    <t>Изготовление вывесок, Наружная реклама, Рекламное агентство</t>
  </si>
  <si>
    <t>https://vk.com/rikss12</t>
  </si>
  <si>
    <t>https://www.instagram.com/rikss12</t>
  </si>
  <si>
    <t>Град</t>
  </si>
  <si>
    <t>ул. Строителей, 62А, Йошкар-Ола</t>
  </si>
  <si>
    <t>+7 (8362) 33-03-66, +7 (8362) 45-01-58, +7 (8362) 33-03-65, +7 (8362) 32-07-06</t>
  </si>
  <si>
    <t>Охранное предприятие</t>
  </si>
  <si>
    <t>47.846176 56.627792</t>
  </si>
  <si>
    <t>Марагропромстрой</t>
  </si>
  <si>
    <t>ул. Гоголя, 3, Йошкар-Ола</t>
  </si>
  <si>
    <t>+7 (8362) 64-18-01</t>
  </si>
  <si>
    <t xml:space="preserve">info@dra.ru  </t>
  </si>
  <si>
    <t>http://marstroy12.ru/</t>
  </si>
  <si>
    <t>Строительная компания</t>
  </si>
  <si>
    <t>47.898315 56.629476</t>
  </si>
  <si>
    <t>Just Travel</t>
  </si>
  <si>
    <t>+7 (495) 647-00-92</t>
  </si>
  <si>
    <t>Автокорея</t>
  </si>
  <si>
    <t>Водопроводная ул., 40, Йошкар-Ола</t>
  </si>
  <si>
    <t>+7 (8362) 28-70-50</t>
  </si>
  <si>
    <t>47.902419 56.648842</t>
  </si>
  <si>
    <t>Авто-Евро</t>
  </si>
  <si>
    <t>Красноармейская ул., 70, Йошкар-Ола</t>
  </si>
  <si>
    <t>+7 (8362) 52-55-25, +7 (8362) 63-00-60</t>
  </si>
  <si>
    <t xml:space="preserve">vipauto@mari-el.ru  </t>
  </si>
  <si>
    <t>http://ae12.ru/</t>
  </si>
  <si>
    <t>Автосервис, автотехцентр, Магазин автозапчастей и автотоваров</t>
  </si>
  <si>
    <t>пн-пт 09:00–18:30; сб 10:00–17:00</t>
  </si>
  <si>
    <t>47.882709 56.643425</t>
  </si>
  <si>
    <t>Центр Плюс</t>
  </si>
  <si>
    <t>Канцтовары оптом</t>
  </si>
  <si>
    <t>Информационно-прокатный центр</t>
  </si>
  <si>
    <t>Кремлёвская ул., 37, Йошкар-Ола</t>
  </si>
  <si>
    <t>Центр повышения квалификации</t>
  </si>
  <si>
    <t>47.880285 56.641208</t>
  </si>
  <si>
    <t>МебельER</t>
  </si>
  <si>
    <t>Первомайская ул., 132, Йошкар-Ола</t>
  </si>
  <si>
    <t>+7 (8362) 56-57-33</t>
  </si>
  <si>
    <t xml:space="preserve">otk21@mail.ru  </t>
  </si>
  <si>
    <t>http://www.mebeler21.ru/</t>
  </si>
  <si>
    <t>Корпусная мебель, Магазин мебели, Мебель для кухни, Мебель на заказ, Мягкая мебель</t>
  </si>
  <si>
    <t>https://vk.com/mebeler21</t>
  </si>
  <si>
    <t>47.885141 56.636156</t>
  </si>
  <si>
    <t>Марийская мемориальная компания</t>
  </si>
  <si>
    <t>ул. Прохорова, 22А, Йошкар-Ола</t>
  </si>
  <si>
    <t>+7 (8362) 73-33-51, +7 (8362) 73-05-85, +7 (8362) 73-24-95, +7 (8362) 25-94-05</t>
  </si>
  <si>
    <t xml:space="preserve">mmk12@mail.ru </t>
  </si>
  <si>
    <t>http://mmk-12.ru/</t>
  </si>
  <si>
    <t>Изготовление памятников и надгробий, Ритуальные принадлежности, Ритуальные услуги</t>
  </si>
  <si>
    <t>47.840122 56.636333</t>
  </si>
  <si>
    <t>Профсоюзный Комитет МПТТ</t>
  </si>
  <si>
    <t>ул. Машиностроителей, 1, Йошкар-Ола</t>
  </si>
  <si>
    <t>+7 (8362) 42-96-32, +7 (8362) 12-97-84</t>
  </si>
  <si>
    <t>47.876162 56.651992</t>
  </si>
  <si>
    <t>ФотоС</t>
  </si>
  <si>
    <t>ул. Прохорова, 20А, Йошкар-Ола</t>
  </si>
  <si>
    <t>+7 (902) 107-80-95</t>
  </si>
  <si>
    <t>Полиграфические услуги, Фотоуслуги</t>
  </si>
  <si>
    <t>пн-пт 08:30–18:00; сб 08:30–16:00; вс 10:00–15:00</t>
  </si>
  <si>
    <t>47.8407 56.6353</t>
  </si>
  <si>
    <t>Банк Русский Стандарт</t>
  </si>
  <si>
    <t>Комсомольская ул., 155, Йошкар-Ола</t>
  </si>
  <si>
    <t>8 (800) 200-62-00</t>
  </si>
  <si>
    <t xml:space="preserve">petrov@domain.ru  </t>
  </si>
  <si>
    <t>https://www.rsb.ru/api/?company=rsu0026get=pointsu0026lang=ruu0026limit=1000u0026offset=0u0026type=atm, https://www.rsb.ru/</t>
  </si>
  <si>
    <t>https://vk.com/rsb</t>
  </si>
  <si>
    <t>https://ok.ru/rsb</t>
  </si>
  <si>
    <t>https://twitter.com/bank_rs</t>
  </si>
  <si>
    <t>https://www.facebook.com/rsbank</t>
  </si>
  <si>
    <t>http://www.youtube.com/user/russianstandardbank</t>
  </si>
  <si>
    <t>https://www.instagram.com/bank_rs</t>
  </si>
  <si>
    <t>47.893128 56.635374</t>
  </si>
  <si>
    <t>МарийТелеРадиоБытТехника</t>
  </si>
  <si>
    <t>Вознесенская ул., 77, Йошкар-Ола</t>
  </si>
  <si>
    <t>+7 (8362) 64-19-96</t>
  </si>
  <si>
    <t>Ремонт аудиотехники и видеотехники</t>
  </si>
  <si>
    <t>47.899474 56.632793</t>
  </si>
  <si>
    <t>Компания Белая птица</t>
  </si>
  <si>
    <t>ул. Строителей, 32, Йошкар-Ола</t>
  </si>
  <si>
    <t>+7 (8362) 38-22-22, +7 (8362) 38-22-17</t>
  </si>
  <si>
    <t>Магазин продуктов, Мясная продукция оптом, Оптовый магазин, Продукты питания оптом</t>
  </si>
  <si>
    <t>47.830339 56.6393</t>
  </si>
  <si>
    <t>Баланс</t>
  </si>
  <si>
    <t>Красноармейская ул., 91, Йошкар-Ола</t>
  </si>
  <si>
    <t>+7 (8362) 97-54-34, +7 (8362) 93-85-65</t>
  </si>
  <si>
    <t>47.87009 56.645213</t>
  </si>
  <si>
    <t>Автострада</t>
  </si>
  <si>
    <t>ул. Суворова, 1А, Йошкар-Ола</t>
  </si>
  <si>
    <t>+7 (8362) 98-11-78, +7 (8362) 72-02-03, +7 (8362) 39-56-36, +7 (8362) 77-03-07, +7 (8362) 32-00-93, +7 (8362) 72-02-37</t>
  </si>
  <si>
    <t>+7 (917) 704-72-42</t>
  </si>
  <si>
    <t>Автомойка, Автосервис, автотехцентр, Магазин автозапчастей и автотоваров</t>
  </si>
  <si>
    <t>47.872785 56.628936</t>
  </si>
  <si>
    <t>Контрольно-Аналитическая Лаборатория Управления Лекарственного Обеспечения РМЭ</t>
  </si>
  <si>
    <t>ул. Крылова, 24, Йошкар-Ола</t>
  </si>
  <si>
    <t>+7 (8362) 64-17-29</t>
  </si>
  <si>
    <t>Медицинская лаборатория</t>
  </si>
  <si>
    <t>47.859921 56.625203</t>
  </si>
  <si>
    <t>Стройбаза</t>
  </si>
  <si>
    <t>ул. Строителей, 95, Йошкар-Ола</t>
  </si>
  <si>
    <t>+7 (8362) 99-00-01, +7 (8362) 30-42-09</t>
  </si>
  <si>
    <t>http://stroybaza12.pulscen.ru/</t>
  </si>
  <si>
    <t>Кирпич, Строительный магазин, Стройматериалы оптом</t>
  </si>
  <si>
    <t>47.858358 56.620998</t>
  </si>
  <si>
    <t>Окна Стиль</t>
  </si>
  <si>
    <t>Советская ул., 110, Йошкар-Ола</t>
  </si>
  <si>
    <t>+7 (8362) 45-07-64, +7 (8362) 47-84-07</t>
  </si>
  <si>
    <t>пн-пт 09:00–17:00, перерыв 13:00–14:00</t>
  </si>
  <si>
    <t>47.898324 56.636664</t>
  </si>
  <si>
    <t>Седьмое небо</t>
  </si>
  <si>
    <t>Советская ул., 132, Йошкар-Ола</t>
  </si>
  <si>
    <t>+7 (8362) 66-22-33</t>
  </si>
  <si>
    <t>47.896392 56.633966</t>
  </si>
  <si>
    <t>Партнер-2</t>
  </si>
  <si>
    <t>бул. Чавайна, 27, Йошкар-Ола</t>
  </si>
  <si>
    <t>+7 (8362) 22-57-60</t>
  </si>
  <si>
    <t>47.909651 56.631699</t>
  </si>
  <si>
    <t>Дезинфекционист</t>
  </si>
  <si>
    <t>ул. Волкова, 37, Йошкар-Ола</t>
  </si>
  <si>
    <t>+7 (8362) 42-93-99, +7 (8362) 45-24-27</t>
  </si>
  <si>
    <t>+7 (8362) 42-93-99</t>
  </si>
  <si>
    <t>пн-пт 08:00–14:45</t>
  </si>
  <si>
    <t>47.905474 56.647469</t>
  </si>
  <si>
    <t>Деревни Руси</t>
  </si>
  <si>
    <t>бул. Чавайна, 36/243, Йошкар-Ола</t>
  </si>
  <si>
    <t>+7 (927) 883-19-15</t>
  </si>
  <si>
    <t>http://www.derevnirusi.ru/</t>
  </si>
  <si>
    <t>Информационный интернет-сайт</t>
  </si>
  <si>
    <t>Эскулап</t>
  </si>
  <si>
    <t>Ленинский просп., 19, Йошкар-Ола</t>
  </si>
  <si>
    <t>+7 (8362) 41-07-55</t>
  </si>
  <si>
    <t>пн-пт 08:00–20:00; сб,вс 09:00–17:00</t>
  </si>
  <si>
    <t>47.892313 56.62985</t>
  </si>
  <si>
    <t>IT Help</t>
  </si>
  <si>
    <t>Ленинский просп., 52А, Йошкар-Ола</t>
  </si>
  <si>
    <t>+7 (8362) 32-49-60</t>
  </si>
  <si>
    <t>Компьютерный ремонт и услуги</t>
  </si>
  <si>
    <t>ежедневно, 09:00–19:00</t>
  </si>
  <si>
    <t>47.877007 56.635427</t>
  </si>
  <si>
    <t>Электрон-Сервис</t>
  </si>
  <si>
    <t>+7 (8362) 42-32-32, +7 (8362) 45-54-21</t>
  </si>
  <si>
    <t>+7 (909) 368-95-67</t>
  </si>
  <si>
    <t>Торговое и банковское оборудование</t>
  </si>
  <si>
    <t>Весы и весоизмерительное оборудование, Кассовые аппараты и расходные материалы, Маркировка товаров, штриховое кодирование</t>
  </si>
  <si>
    <t>47.875 56.6281</t>
  </si>
  <si>
    <t>Страховая компания МАКС</t>
  </si>
  <si>
    <t>+7 (8362) 56-63-88</t>
  </si>
  <si>
    <t xml:space="preserve">ipoteka_ga@makc.ru, ipoteka@makc.ru, sbulankina@makc.ru, tserebryakova@makc.ru, strofimova@makc.ru  </t>
  </si>
  <si>
    <t>http://www.makc.ru/, http://makclife.ru/, https://www.makc.ru/avtostrakhovanie/osago/?utm_campaign=Ya_Mapsu0026utm_medium=cpc_testu0026utm_source=Ya_Maps</t>
  </si>
  <si>
    <t>Страхование</t>
  </si>
  <si>
    <t>Страхование автомобилей, Страховая компания</t>
  </si>
  <si>
    <t>пн-чт 09:00–18:00, перерыв 13:00–13:45; пт 09:00–16:45, перерыв 13:00–13:45</t>
  </si>
  <si>
    <t>http://vk.com/makc.group</t>
  </si>
  <si>
    <t>http://www.facebook.com/group.makc</t>
  </si>
  <si>
    <t>47.885234 56.630585</t>
  </si>
  <si>
    <t>Фитлайн</t>
  </si>
  <si>
    <t>Красноармейская ул., 97А, Йошкар-Ола</t>
  </si>
  <si>
    <t>+7 (8362) 63-20-20</t>
  </si>
  <si>
    <t>Спортивный, тренажерный зал</t>
  </si>
  <si>
    <t>пн-пт 08:30–21:30; сб 09:00–21:00; вс 09:00–19:00</t>
  </si>
  <si>
    <t>http://vk.com/club14915341</t>
  </si>
  <si>
    <t>47.868988 56.64577</t>
  </si>
  <si>
    <t>Новосёл</t>
  </si>
  <si>
    <t>ул. Прохорова, 31, Йошкар-Ола</t>
  </si>
  <si>
    <t>+7 (8362) 26-20-26, +7 (8362) 63-00-84</t>
  </si>
  <si>
    <t>Магазин посуды, Магазин сантехники, Магазин хозтоваров и бытовой химии</t>
  </si>
  <si>
    <t>пн-пт 09:00–19:00; сб,вс 09:00–17:00</t>
  </si>
  <si>
    <t>47.840016 56.634286</t>
  </si>
  <si>
    <t>Теплица</t>
  </si>
  <si>
    <t>ул. Прохорова, 51, Йошкар-Ола</t>
  </si>
  <si>
    <t>+7 (8362) 63-65-18, +7 (8362) 64-11-06</t>
  </si>
  <si>
    <t>пн-пт 08:00–18:00, перерыв 12:00–13:00</t>
  </si>
  <si>
    <t>47.828142 56.629087</t>
  </si>
  <si>
    <t>Линда</t>
  </si>
  <si>
    <t>бул. Чавайна, 11, Йошкар-Ола</t>
  </si>
  <si>
    <t>+7 (8362) 21-70-80, +7 (8362) 39-41-54</t>
  </si>
  <si>
    <t>пн-пт 08:30–20:00; сб 08:30–16:00; вс 10:00–16:00</t>
  </si>
  <si>
    <t>47.926686 56.628371</t>
  </si>
  <si>
    <t>ТианДэ</t>
  </si>
  <si>
    <t>+7 (8362) 90-04-80</t>
  </si>
  <si>
    <t>Распространители косметики и бытовой химии</t>
  </si>
  <si>
    <t>пн-пт 09:00–19:00; сб,вс 11:00–15:00</t>
  </si>
  <si>
    <t>Трейд-Марк</t>
  </si>
  <si>
    <t>Сернурский тракт, 4В, Йошкар-Ола</t>
  </si>
  <si>
    <t>+7 (8362) 46-32-00, +7 (8362) 96-60-53, +7 (8362) 94-30-41</t>
  </si>
  <si>
    <t xml:space="preserve">info@tm12.ru  </t>
  </si>
  <si>
    <t>http://www.tm12.ru/</t>
  </si>
  <si>
    <t>Двери, Металлоизделия</t>
  </si>
  <si>
    <t>47.955426 56.651706</t>
  </si>
  <si>
    <t>ВрозлиВ</t>
  </si>
  <si>
    <t>бул. Ураева, 3, Йошкар-Ола</t>
  </si>
  <si>
    <t>Напитки, табак</t>
  </si>
  <si>
    <t>Магазин пива</t>
  </si>
  <si>
    <t>47.931509 56.637748</t>
  </si>
  <si>
    <t>Визит</t>
  </si>
  <si>
    <t>+7 (8362) 42-62-41, +7 (8362) 42-32-86</t>
  </si>
  <si>
    <t>http://instagram.com/kafe_vizit</t>
  </si>
  <si>
    <t>47.876786 56.628257</t>
  </si>
  <si>
    <t>Мираж</t>
  </si>
  <si>
    <t>ул. Анциферова, 21, Йошкар-Ола</t>
  </si>
  <si>
    <t>+7 (8362) 55-46-70</t>
  </si>
  <si>
    <t>Фотоуслуги</t>
  </si>
  <si>
    <t>47.865918 56.644805</t>
  </si>
  <si>
    <t>Верховой Круиз</t>
  </si>
  <si>
    <t>+7 (8362) 41-53-45, +7 (8362) 35-65-25, +7 (8362) 41-22-77, +7 (8362) 50-11-95</t>
  </si>
  <si>
    <t>+7 (8362) 41-22-77</t>
  </si>
  <si>
    <t xml:space="preserve">info@vkruiz.ru </t>
  </si>
  <si>
    <t>http://vkruiz.ru/</t>
  </si>
  <si>
    <t>http://vk.com/verhkruiz</t>
  </si>
  <si>
    <t>+7 (8362) 97-65-67</t>
  </si>
  <si>
    <t>+7 (917) 718-07-72</t>
  </si>
  <si>
    <t>Ремонт обуви, Ремонт сумок и чемоданов</t>
  </si>
  <si>
    <t>ВНК-Групп</t>
  </si>
  <si>
    <t>+7 (960) 099-93-21, +7 (967) 757-83-08</t>
  </si>
  <si>
    <t xml:space="preserve">support@tiu.ru  </t>
  </si>
  <si>
    <t>http://vnk-grupp.tiu.ru/</t>
  </si>
  <si>
    <t>Автомобильные грузоперевозки</t>
  </si>
  <si>
    <t>https://vk.com/perevozki12</t>
  </si>
  <si>
    <t>47.898252 56.63664</t>
  </si>
  <si>
    <t>Интеллектуальные технологии</t>
  </si>
  <si>
    <t>ул. Чехова, 12, Йошкар-Ола</t>
  </si>
  <si>
    <t>+7 (8362) 45-76-90</t>
  </si>
  <si>
    <t xml:space="preserve">yoshkar-ola@1cbit.ru  </t>
  </si>
  <si>
    <t>http://www.intel-tech.com/</t>
  </si>
  <si>
    <t>47.903749 56.641565</t>
  </si>
  <si>
    <t>Риэлт сервис</t>
  </si>
  <si>
    <t>+7 (8362) 31-20-12, +7 (8362) 40-14-18</t>
  </si>
  <si>
    <t>+7 (929) 733-14-20</t>
  </si>
  <si>
    <t>47.898443 56.636613</t>
  </si>
  <si>
    <t>Транс-Св</t>
  </si>
  <si>
    <t>+7 (8362) 55-72-28</t>
  </si>
  <si>
    <t>Гранит-Безопасность</t>
  </si>
  <si>
    <t>ул. Кирова, 4А, Йошкар-Ола</t>
  </si>
  <si>
    <t>8 (800) 700-99-50, +7 (8362) 49-57-57, +7 (8362) 49-56-56, +7 (8362) 49-58-58</t>
  </si>
  <si>
    <t xml:space="preserve">info@gk-granit.ru, s.esmeneeva@gk-granit.ru  </t>
  </si>
  <si>
    <t>http://gk-granit.ru/</t>
  </si>
  <si>
    <t>Охранное предприятие, Противопожарные системы, Системы безопасности и охраны</t>
  </si>
  <si>
    <t>https://vk.com/granitbezopasnostofficial</t>
  </si>
  <si>
    <t>http://twitter.com/@granitbezopasno</t>
  </si>
  <si>
    <t>47.928797 56.626785</t>
  </si>
  <si>
    <t>Тэд Графикс</t>
  </si>
  <si>
    <t>+7 (8362) 56-62-82</t>
  </si>
  <si>
    <t>http://ted-grafiks.pulscen.ru/</t>
  </si>
  <si>
    <t>Детский сад № 64 Колобок</t>
  </si>
  <si>
    <t>Пролетарская ул., 67, Йошкар-Ола</t>
  </si>
  <si>
    <t>+7 (8362) 42-60-79</t>
  </si>
  <si>
    <t>http://edu.mari.ru/mouo-yoshkarola/dou64/</t>
  </si>
  <si>
    <t>47.878291 56.647891</t>
  </si>
  <si>
    <t>Бекар</t>
  </si>
  <si>
    <t>+7 (8362) 55-78-55</t>
  </si>
  <si>
    <t>Пеленг</t>
  </si>
  <si>
    <t>Первомайская ул., 140, Йошкар-Ола</t>
  </si>
  <si>
    <t>+7 (8362) 42-69-30</t>
  </si>
  <si>
    <t>47.884328 56.634981</t>
  </si>
  <si>
    <t>Натяжные потолки</t>
  </si>
  <si>
    <t>ул. Машиностроителей, 128, Йошкар-Ола</t>
  </si>
  <si>
    <t>+7 (8362) 34-53-00, +7 (8362) 73-37-85</t>
  </si>
  <si>
    <t>+7 (8362) 73-37-85</t>
  </si>
  <si>
    <t>Натяжные и подвесные потолки, Окна</t>
  </si>
  <si>
    <t>47.820206 56.627154</t>
  </si>
  <si>
    <t>Национальная библиотека имени С. Г. Чавайна</t>
  </si>
  <si>
    <t>ул. Пушкина, 28, Йошкар-Ола</t>
  </si>
  <si>
    <t>+7 (8362) 64-15-99, +7 (8362) 45-29-12, +7 (8362) 45-57-91, +7 (8362) 41-10-00</t>
  </si>
  <si>
    <t xml:space="preserve">nbmariel12@mail.ru, chavajna@gmail.com  </t>
  </si>
  <si>
    <t>http://nbmariel.ru/</t>
  </si>
  <si>
    <t>Архивы и библиотеки</t>
  </si>
  <si>
    <t>Библиотека</t>
  </si>
  <si>
    <t>пн-чт 09:00–19:00; сб,вс 09:00–16:00</t>
  </si>
  <si>
    <t>https://vk.com/public37781895</t>
  </si>
  <si>
    <t>http://facebook.com/национальная-библиотека-марий-эл-949363871811693</t>
  </si>
  <si>
    <t>47.889908 56.634189</t>
  </si>
  <si>
    <t>Муссон</t>
  </si>
  <si>
    <t>ул. Соловьёва, 18, Йошкар-Ола</t>
  </si>
  <si>
    <t>8 (800) 700-04-71, +7 (8362) 30-80-20</t>
  </si>
  <si>
    <t xml:space="preserve">sales@musson-mari.ru  </t>
  </si>
  <si>
    <t>https://musson-mari.ru/</t>
  </si>
  <si>
    <t>Производственное предприятие, Системы вентиляции</t>
  </si>
  <si>
    <t>https://www.instagram.com/musson.vent</t>
  </si>
  <si>
    <t>47.876279 56.620478</t>
  </si>
  <si>
    <t>Салика</t>
  </si>
  <si>
    <t>бул. Победы, 5, Йошкар-Ола</t>
  </si>
  <si>
    <t>+7 (8362) 42-96-09</t>
  </si>
  <si>
    <t>Полиграфические услуги</t>
  </si>
  <si>
    <t>47.884256 56.637164</t>
  </si>
  <si>
    <t>Детский сад № 6 Аленький цветочек</t>
  </si>
  <si>
    <t>ул. Героев Сталинградской Битвы, 36А, Йошкар-Ола</t>
  </si>
  <si>
    <t>+7 (8362) 64-23-81</t>
  </si>
  <si>
    <t>47.944505 56.624135</t>
  </si>
  <si>
    <t>Дидона</t>
  </si>
  <si>
    <t>Красноармейская ул., 8, Йошкар-Ола</t>
  </si>
  <si>
    <t>+7 (8362) 41-12-41, +7 (8362) 65-22-09</t>
  </si>
  <si>
    <t>47.902025 56.639649</t>
  </si>
  <si>
    <t>Эйс</t>
  </si>
  <si>
    <t>Первомайская ул., 115А, Йошкар-Ола</t>
  </si>
  <si>
    <t>+7 (8362) 41-85-01, +7 (8332) 20-81-26, +7 (8332) 20-81-29, +7 (8332) 20-81-32</t>
  </si>
  <si>
    <t xml:space="preserve">clever@acewear.ru  </t>
  </si>
  <si>
    <t>http://www.acewear.ru/</t>
  </si>
  <si>
    <t>47.885918 56.633347</t>
  </si>
  <si>
    <t>Медико-санитарная часть № 1, поликлиника</t>
  </si>
  <si>
    <t>ул. Машиностроителей, 32, Йошкар-Ола</t>
  </si>
  <si>
    <t>+7 (8362) 42-13-55, +7 (8362) 42-33-90, +7 (8362) 41-18-21, +7 (8362) 73-13-00</t>
  </si>
  <si>
    <t>Поликлиника для взрослых</t>
  </si>
  <si>
    <t>пн-пт 07:00–18:00; сб 08:00–16:00</t>
  </si>
  <si>
    <t>47.856238 56.633979</t>
  </si>
  <si>
    <t>Орнамент</t>
  </si>
  <si>
    <t>Красноармейская ул., 114, Йошкар-Ола</t>
  </si>
  <si>
    <t>+7 (8362) 63-14-40</t>
  </si>
  <si>
    <t xml:space="preserve">info@ornament-gold.ru  </t>
  </si>
  <si>
    <t>http://ornament-gold.ru/</t>
  </si>
  <si>
    <t>Ювелирная мастерская, Ювелирный магазин</t>
  </si>
  <si>
    <t>пн-пт 10:00–18:30; сб 10:00–16:00</t>
  </si>
  <si>
    <t>https://vk.com/ornamentgold</t>
  </si>
  <si>
    <t>https://ok.ru/ornament.gold</t>
  </si>
  <si>
    <t>https://twitter.com/ornamentgold</t>
  </si>
  <si>
    <t>https://www.facebook.com/ornament.gold</t>
  </si>
  <si>
    <t>https://www.instagram.com/ornament.gold</t>
  </si>
  <si>
    <t>47.857674 56.645068</t>
  </si>
  <si>
    <t>СМУ Газстрой</t>
  </si>
  <si>
    <t>Элеваторный пр., 13, Йошкар-Ола</t>
  </si>
  <si>
    <t>+7 (8362) 45-48-35</t>
  </si>
  <si>
    <t>47.90383 56.609928</t>
  </si>
  <si>
    <t>Микрон Плюс</t>
  </si>
  <si>
    <t>ул. Якова Эшпая, 82А, Йошкар-Ола</t>
  </si>
  <si>
    <t>Инструментальная промышленность</t>
  </si>
  <si>
    <t>47.888788 56.64892</t>
  </si>
  <si>
    <t>Авиалайн</t>
  </si>
  <si>
    <t>ул. Пушкина, 4, Йошкар-Ола</t>
  </si>
  <si>
    <t>+7 (8362) 41-30-77, +7 (8362) 63-05-03, +7 (8362) 45-68-81</t>
  </si>
  <si>
    <t>пн-пт 08:00–18:30; сб,вс 08:00–16:30</t>
  </si>
  <si>
    <t>47.897596 56.632164</t>
  </si>
  <si>
    <t>МБДОУ детский сад № 15 Ёлочка</t>
  </si>
  <si>
    <t>ул. Подольских Курсантов, 20А, Йошкар-Ола</t>
  </si>
  <si>
    <t>+7 (8362) 64-57-52, +7 (8362) 41-80-41, +7 (36224) 1-80-41, +7 (36226) 4-57-52</t>
  </si>
  <si>
    <t xml:space="preserve">elochka_15@mail.ru  </t>
  </si>
  <si>
    <t>http://edu.mari.ru/mouo-yoshkarola/dou15</t>
  </si>
  <si>
    <t>47.86008 56.650519</t>
  </si>
  <si>
    <t>Звездный</t>
  </si>
  <si>
    <t>ул. Героев Сталинградской Битвы, 29, Йошкар-Ола</t>
  </si>
  <si>
    <t>47.947039 56.626218</t>
  </si>
  <si>
    <t>Redbridge, Красный Мост</t>
  </si>
  <si>
    <t>бул. Ураева, 9, Йошкар-Ола</t>
  </si>
  <si>
    <t>47.926153 56.638575</t>
  </si>
  <si>
    <t>Окна ДеЛюкс</t>
  </si>
  <si>
    <t>+7 (8362) 61-71-91, +7 (8362) 47-87-40</t>
  </si>
  <si>
    <t>+7 (987) 704-12-71</t>
  </si>
  <si>
    <t>пн-пт 08:30–17:00, перерыв 12:00–13:00</t>
  </si>
  <si>
    <t>Юнона</t>
  </si>
  <si>
    <t>Первомайская ул., 103, Йошкар-Ола</t>
  </si>
  <si>
    <t>+7 (8362) 45-10-00</t>
  </si>
  <si>
    <t>47.889627 56.641329</t>
  </si>
  <si>
    <t>Приокское Птус Связьтранснефть Телекоммуникационная Компания</t>
  </si>
  <si>
    <t>+7 (8362) 42-04-79</t>
  </si>
  <si>
    <t>Телекоммуникационная компания</t>
  </si>
  <si>
    <t>47.864179 56.651433</t>
  </si>
  <si>
    <t>Автономное учреждение Республики Марий Эл управление государственной экспертизы проектной документации и результатов инженерных изысканий</t>
  </si>
  <si>
    <t>+7 (8362) 30-44-74, +7 (8362) 30-44-75</t>
  </si>
  <si>
    <t xml:space="preserve">mail@marexpert.ru  </t>
  </si>
  <si>
    <t>http://marexpert.ru/</t>
  </si>
  <si>
    <t>Экспертиза</t>
  </si>
  <si>
    <t>47.88384 56.637312</t>
  </si>
  <si>
    <t>Лаборатория по Производству Ветпрепаратов</t>
  </si>
  <si>
    <t>ул. 8 Марта, 54А, Йошкар-Ола</t>
  </si>
  <si>
    <t>+7 (8362) 56-38-64</t>
  </si>
  <si>
    <t>Ветеринарная клиника</t>
  </si>
  <si>
    <t>47.962212 56.642797</t>
  </si>
  <si>
    <t>Свадебный мир</t>
  </si>
  <si>
    <t>+7 (8362) 67-36-73</t>
  </si>
  <si>
    <t>пн-пт круглосуточно</t>
  </si>
  <si>
    <t>Palmetta</t>
  </si>
  <si>
    <t>+7 (8362) 41-35-86</t>
  </si>
  <si>
    <t xml:space="preserve">zakaz@palmetta.ru  </t>
  </si>
  <si>
    <t>http://www.palmetta.ru/, http://www.palmetta.ru/plugins/salons/salons</t>
  </si>
  <si>
    <t>Магазин белья и купальников</t>
  </si>
  <si>
    <t>http://vk.com/palmettaofficial</t>
  </si>
  <si>
    <t>http://www.facebook.com/palmettaofficial</t>
  </si>
  <si>
    <t>http://instagram.com/palmetta_official</t>
  </si>
  <si>
    <t>47.896376 56.635343</t>
  </si>
  <si>
    <t>Пластиковые окна, жалюзи, натяжные потолки Эстет</t>
  </si>
  <si>
    <t>Красноармейская ул., 46, Йошкар-Ола</t>
  </si>
  <si>
    <t>+7 (8362) 39-51-20, +7 (8362) 41-75-07</t>
  </si>
  <si>
    <t xml:space="preserve">info@estet-group.ru  </t>
  </si>
  <si>
    <t>http://estet-group.ru/</t>
  </si>
  <si>
    <t>Жалюзи и рулонные шторы, Натяжные и подвесные потолки, Окна</t>
  </si>
  <si>
    <t>пн-пт 09:00–18:00; сб 10:00–15:00</t>
  </si>
  <si>
    <t>47.8927 56.6415</t>
  </si>
  <si>
    <t>Клининговая компания Добродел</t>
  </si>
  <si>
    <t>бул. Победы, 14, Йошкар-Ола</t>
  </si>
  <si>
    <t>+7 (8362) 94-02-94, +7 (8362) 29-92-99</t>
  </si>
  <si>
    <t>Клининговые услуги, Промышленный альпинизм</t>
  </si>
  <si>
    <t>47.878345 56.639224</t>
  </si>
  <si>
    <t>Прометей</t>
  </si>
  <si>
    <t>Комсомольская ул., 157, Йошкар-Ола</t>
  </si>
  <si>
    <t>+7 (8362) 42-35-63</t>
  </si>
  <si>
    <t>Канцтовары оптом, Книжный магазин</t>
  </si>
  <si>
    <t>пн-пт 10:00–18:30; сб,вс 10:00–16:00</t>
  </si>
  <si>
    <t>http://vk.com/prometey1999</t>
  </si>
  <si>
    <t>47.892887 56.633688</t>
  </si>
  <si>
    <t>Милавица</t>
  </si>
  <si>
    <t>бул. Чавайна, 41, Йошкар-Ола</t>
  </si>
  <si>
    <t>+7 (8362) 45-12-04</t>
  </si>
  <si>
    <t xml:space="preserve">info@silvanofashion.ru, franchising@silvanofashion.ru, sf@silvanofashion.by, office@milavitsa.ua, sales@milavitsa.by  </t>
  </si>
  <si>
    <t>http://milavitsa.com/, https://milavitsa-group.ru/</t>
  </si>
  <si>
    <t>пн-пт 10:00–20:00; сб,вс 10:00–18:00</t>
  </si>
  <si>
    <t>47.89567 56.634973</t>
  </si>
  <si>
    <t>Скань</t>
  </si>
  <si>
    <t>+7 (8362) 63-01-30</t>
  </si>
  <si>
    <t>Ювелирная мастерская</t>
  </si>
  <si>
    <t>47.89721 56.635163</t>
  </si>
  <si>
    <t>Адвокатский кабинет Цветкова Александра Ивановича</t>
  </si>
  <si>
    <t>+7 (8362) 22-14-45, +7 (8362) 78-42-11</t>
  </si>
  <si>
    <t>47.931678 56.637709</t>
  </si>
  <si>
    <t>Снежинка, ТСЖ</t>
  </si>
  <si>
    <t>Пролетарская ул., 25А, Йошкар-Ола</t>
  </si>
  <si>
    <t>+7 (8362) 72-69-49</t>
  </si>
  <si>
    <t>Коммунальная служба, ТСЖ</t>
  </si>
  <si>
    <t>47.894272 56.644109</t>
  </si>
  <si>
    <t>Сфера</t>
  </si>
  <si>
    <t>+7 (8362) 51-37-37</t>
  </si>
  <si>
    <t>47.894326 56.640616</t>
  </si>
  <si>
    <t>Йошкар-Олинский Леспромхоз</t>
  </si>
  <si>
    <t>Красноармейская ул., 94, Йошкар-Ола</t>
  </si>
  <si>
    <t>+7 (8362) 72-27-00</t>
  </si>
  <si>
    <t>Деревообрабатывающее предприятие, Пиломатериалы</t>
  </si>
  <si>
    <t>47.868086 56.646559</t>
  </si>
  <si>
    <t>Сам Себе Адвокат</t>
  </si>
  <si>
    <t>Комсомольская ул., 143, Йошкар-Ола</t>
  </si>
  <si>
    <t>+7 (8362) 41-52-31</t>
  </si>
  <si>
    <t>47.894461 56.637513</t>
  </si>
  <si>
    <t>СИТИЛАБ</t>
  </si>
  <si>
    <t>ул. Эшкинина, 23, Йошкар-Ола</t>
  </si>
  <si>
    <t>8 (800) 100-36-30, +7 (8362) 22-12-93, +7 (495) 276-08-08</t>
  </si>
  <si>
    <t xml:space="preserve">citilab@voxys.ru, info@citilab.ru  </t>
  </si>
  <si>
    <t>https://citilab.ru/</t>
  </si>
  <si>
    <t>Медицинская лаборатория, Медцентр, клиника</t>
  </si>
  <si>
    <t>пн-сб 07:00–19:00; вс 08:00–13:00</t>
  </si>
  <si>
    <t>https://vk.com/citilabru</t>
  </si>
  <si>
    <t>https://www.facebook.com/citilab.ru</t>
  </si>
  <si>
    <t>https://www.instagram.com/citilab.ru</t>
  </si>
  <si>
    <t>47.913888 56.634487</t>
  </si>
  <si>
    <t>Бизнес для бизнеса</t>
  </si>
  <si>
    <t>Красноармейская ул., 64, Йошкар-Ола</t>
  </si>
  <si>
    <t>+7 (8362) 33-35-00</t>
  </si>
  <si>
    <t>Бухгалтерские услуги</t>
  </si>
  <si>
    <t>47.884939 56.64299</t>
  </si>
  <si>
    <t>Молсет</t>
  </si>
  <si>
    <t>ул. Машиностроителей, 120, Йошкар-Ола</t>
  </si>
  <si>
    <t>+7 (8362) 63-76-67, +7 (8362) 73-19-50</t>
  </si>
  <si>
    <t>+7 (8362) 73-19-50</t>
  </si>
  <si>
    <t>Пищевое оборудование</t>
  </si>
  <si>
    <t>пн-пт 08:00–17:00; сб 09:00–14:00</t>
  </si>
  <si>
    <t>47.829108 56.626604</t>
  </si>
  <si>
    <t>Маркоммунпромкомплект ПНТП</t>
  </si>
  <si>
    <t>бул. Победы, 5А, Йошкар-Ола</t>
  </si>
  <si>
    <t>+7 (8362) 11-03-51</t>
  </si>
  <si>
    <t>Сантехника оптом</t>
  </si>
  <si>
    <t>47.884157 56.636744</t>
  </si>
  <si>
    <t>Йошкар-Олинский Спортивный Аэроклуб РОСТО</t>
  </si>
  <si>
    <t>ул. Дружбы, 96, Йошкар-Ола</t>
  </si>
  <si>
    <t>+7 (8362) 48-44-88, +7 (8362) 41-96-21</t>
  </si>
  <si>
    <t>Экстремальный спорт</t>
  </si>
  <si>
    <t>Аэроклуб</t>
  </si>
  <si>
    <t>https://vk.com/airclub12</t>
  </si>
  <si>
    <t>47.871177 56.654348</t>
  </si>
  <si>
    <t>Республиканский Радиотелевизионный Передающий центр РМЭ Йошкар-Олинский Участок Радиостанций</t>
  </si>
  <si>
    <t>ул. Панфилова, 12А, Йошкар-Ола</t>
  </si>
  <si>
    <t>+7 (8362) 45-02-81</t>
  </si>
  <si>
    <t>47.888819 56.621249</t>
  </si>
  <si>
    <t>Медико-санитарная часть № 1, стационар</t>
  </si>
  <si>
    <t>Водопроводная ул., 83Б, Йошкар-Ола</t>
  </si>
  <si>
    <t>+7 (8362) 41-18-21, +7 (8362) 41-57-77</t>
  </si>
  <si>
    <t>+7 (8362) 41-18-21</t>
  </si>
  <si>
    <t>http://mari-el.gov.ru/minzdrav/msco/pages/main.aspx</t>
  </si>
  <si>
    <t>Больница для взрослых, Медсанчасть</t>
  </si>
  <si>
    <t>47.880814 56.650708</t>
  </si>
  <si>
    <t>Гипрокоммунстрой</t>
  </si>
  <si>
    <t>ул. Прохорова, 21, Йошкар-Ола</t>
  </si>
  <si>
    <t>+7 (8362) 55-33-96, +7 (8362) 95-15-57</t>
  </si>
  <si>
    <t>47.844703 56.636234</t>
  </si>
  <si>
    <t>Школа Матур</t>
  </si>
  <si>
    <t>Советская ул., 97, Йошкар-Ола</t>
  </si>
  <si>
    <t>+7 (8362) 41-62-71, +7 (8362) 93-41-08</t>
  </si>
  <si>
    <t xml:space="preserve">dir@schoolmatour.ru, info@schoolmatour.ru  </t>
  </si>
  <si>
    <t>http://www.schoolmatour.ru/</t>
  </si>
  <si>
    <t>Дополнительное образование, Курсы иностранных языков</t>
  </si>
  <si>
    <t>пн-пт 08:00–20:00; сб 10:00–18:00</t>
  </si>
  <si>
    <t>https://vk.com/schoolmatour</t>
  </si>
  <si>
    <t>47.902266 56.640367</t>
  </si>
  <si>
    <t>Exist.ru</t>
  </si>
  <si>
    <t>Первомайская ул., 77, Йошкар-Ола</t>
  </si>
  <si>
    <t>+7 (8362) 39-00-35, +7 (8362) 39-00-36, +7 (8362) 34-55-08</t>
  </si>
  <si>
    <t xml:space="preserve">jurypol@gmail.com  </t>
  </si>
  <si>
    <t>https://exist.ru/?utm_medium=priorityu0026utm_source=yandex_maps</t>
  </si>
  <si>
    <t>Автокосметика, автохимия, Запчасти для мототехники, Магазин автозапчастей и автотоваров</t>
  </si>
  <si>
    <t>пн-пт 09:00–19:00; сб 10:00–16:00</t>
  </si>
  <si>
    <t>47.894138 56.648182</t>
  </si>
  <si>
    <t>ГК Союзавто</t>
  </si>
  <si>
    <t>ул. Любови Шевцовой, 54А, Йошкар-Ола</t>
  </si>
  <si>
    <t>+7 (8362) 64-80-41</t>
  </si>
  <si>
    <t>47.93496 56.634115</t>
  </si>
  <si>
    <t>Экорес ТЗФ</t>
  </si>
  <si>
    <t>+7 (8362) 42-47-20</t>
  </si>
  <si>
    <t xml:space="preserve">info@ekores.ru  </t>
  </si>
  <si>
    <t>http://ekores.ligraf.ru/</t>
  </si>
  <si>
    <t>Водосчетчики, газосчетчики, теплосчетчики, Монтаж и обслуживание систем водоснабжения и канализации, Сантехнические работы</t>
  </si>
  <si>
    <t>47.900866 56.646826</t>
  </si>
  <si>
    <t>Россельхозбанк</t>
  </si>
  <si>
    <t>8 (800) 100-78-70, 8 (800) 100-01-00</t>
  </si>
  <si>
    <t xml:space="preserve">office@rshb.ru  </t>
  </si>
  <si>
    <t>https://www.rshb.ru/</t>
  </si>
  <si>
    <t>https://vk.com/rshbru</t>
  </si>
  <si>
    <t>https://www.ok.ru/group/52665958400202</t>
  </si>
  <si>
    <t>https://twitter.com/RSHBmedia</t>
  </si>
  <si>
    <t>https://www.facebook.com/rshb.ru</t>
  </si>
  <si>
    <t>https://www.instagram.com/rshb_official</t>
  </si>
  <si>
    <t>47.896734 56.639773</t>
  </si>
  <si>
    <t>Мистер Шар</t>
  </si>
  <si>
    <t>ул. Авиации, 12, Йошкар-Ола</t>
  </si>
  <si>
    <t>+7 (927) 880-98-64</t>
  </si>
  <si>
    <t>Товары для праздника</t>
  </si>
  <si>
    <t>47.952124 56.636541</t>
  </si>
  <si>
    <t>АС</t>
  </si>
  <si>
    <t>ул. Воинов-Интернационалистов, 23, Йошкар-Ола</t>
  </si>
  <si>
    <t>+7 (8362) 21-66-99</t>
  </si>
  <si>
    <t xml:space="preserve">stomatolas@yandex.ru </t>
  </si>
  <si>
    <t>http://www.stomatolas.ru/</t>
  </si>
  <si>
    <t>пн-пт 09:00–19:00</t>
  </si>
  <si>
    <t>47.927 56.6338</t>
  </si>
  <si>
    <t>Сервисный центр по вычислительной технике ПГТУ</t>
  </si>
  <si>
    <t>Советская ул., 158, Йошкар-Ола</t>
  </si>
  <si>
    <t>+7 (8362) 68-60-86, +7 (8362) 68-68-50</t>
  </si>
  <si>
    <t>+7 (8362) 68-68-50</t>
  </si>
  <si>
    <t xml:space="preserve">info@volgatech.net, priem@volgatech.net, press@volgatech.net  </t>
  </si>
  <si>
    <t>https://volgatech.net/</t>
  </si>
  <si>
    <t>Компьютерный ремонт и услуги, Ремонт оргтехники</t>
  </si>
  <si>
    <t>47.89138 56.628391</t>
  </si>
  <si>
    <t>Гюрза</t>
  </si>
  <si>
    <t>+7 (917) 700-12-37, +7 (917) 700-50-56</t>
  </si>
  <si>
    <t xml:space="preserve">gyurza828@mail.ru </t>
  </si>
  <si>
    <t>http://www.опгюрза.рф/</t>
  </si>
  <si>
    <t>https://vk.com/gyurza12ru</t>
  </si>
  <si>
    <t>Кардан</t>
  </si>
  <si>
    <t>ул. Строителей, 44, Йошкар-Ола</t>
  </si>
  <si>
    <t>+7 (8362) 63-64-69</t>
  </si>
  <si>
    <t>Автоаксессуары, Автокосметика, автохимия, Аккумуляторы и зарядные устройства, Магазин автозапчастей и автотоваров</t>
  </si>
  <si>
    <t>ежедневно, 08:00–21:00</t>
  </si>
  <si>
    <t>47.83596 56.635435</t>
  </si>
  <si>
    <t>Мехис-центр</t>
  </si>
  <si>
    <t>ул. Алёнкино, 6, Йошкар-Ола</t>
  </si>
  <si>
    <t>+7 (8362) 64-12-67, +7 (8362) 64-12-72</t>
  </si>
  <si>
    <t>Спецтехника и спецавтомобили</t>
  </si>
  <si>
    <t>47.825614 56.619161</t>
  </si>
  <si>
    <t>Дизайн-студия Елены Беляевой</t>
  </si>
  <si>
    <t>Ленинский просп., 68, Йошкар-Ола</t>
  </si>
  <si>
    <t>+7 (8362) 98-55-92</t>
  </si>
  <si>
    <t>http://dizayn-studiya-eleny-belyaevoy.pulscen.ru/</t>
  </si>
  <si>
    <t>https://vk.com/club65458438</t>
  </si>
  <si>
    <t>47.8715 56.639313</t>
  </si>
  <si>
    <t>Работников Автотранспорта Профсоюзный Комитет</t>
  </si>
  <si>
    <t>+7 (8362) 55-17-73</t>
  </si>
  <si>
    <t>Медицентр ЦСМУ</t>
  </si>
  <si>
    <t>+7 (8362) 72-21-90</t>
  </si>
  <si>
    <t>Научные организации</t>
  </si>
  <si>
    <t>НИИ</t>
  </si>
  <si>
    <t>47.856085 56.63408</t>
  </si>
  <si>
    <t>Тгп-5 Марийский филиал</t>
  </si>
  <si>
    <t>+7 (8362) 73-19-12</t>
  </si>
  <si>
    <t>Энергоснабжение</t>
  </si>
  <si>
    <t>Театр юного зрителя</t>
  </si>
  <si>
    <t>Вознесенская ул., 87, Йошкар-Ола</t>
  </si>
  <si>
    <t>+7 (8362) 30-46-80, +7 (8362) 30-46-70, +7 (8362) 30-46-85</t>
  </si>
  <si>
    <t xml:space="preserve">mari_tuz@mail.ru </t>
  </si>
  <si>
    <t>Концертный зал, Творческий коллектив, Театр</t>
  </si>
  <si>
    <t>вт-вс 10:30–18:30, перерыв 14:00–15:00</t>
  </si>
  <si>
    <t>https://vk.com/mari_tuz</t>
  </si>
  <si>
    <t>https://www.facebook.com/maritheatrtuz</t>
  </si>
  <si>
    <t>https://www.youtube.com/channel/UCKeLrcgv5FSu_AXiD7YC2bQ</t>
  </si>
  <si>
    <t>https://instagram.com/mari_tuz</t>
  </si>
  <si>
    <t>47.898591 56.630601</t>
  </si>
  <si>
    <t>Стиль-Дизайн</t>
  </si>
  <si>
    <t>ул. Дружбы, 81А, Йошкар-Ола</t>
  </si>
  <si>
    <t>+7 (8362) 64-58-32, +7 (8362) 48-80-08</t>
  </si>
  <si>
    <t xml:space="preserve">ekomeleva@bk.ru, asmir0804@gmail.com  </t>
  </si>
  <si>
    <t>http://styledesign.blizko.ru/</t>
  </si>
  <si>
    <t>Автоателье, Ателье по пошиву одежды, Магазин ткани, Спецодежда</t>
  </si>
  <si>
    <t>http://vk.com/style_desing</t>
  </si>
  <si>
    <t>47.8574 56.652</t>
  </si>
  <si>
    <t>Союз художников России, Марийское региональное отделение</t>
  </si>
  <si>
    <t>+7 (8362) 45-04-54, +7 (8362) 45-36-78</t>
  </si>
  <si>
    <t xml:space="preserve">sekret-shr@mail.ru  </t>
  </si>
  <si>
    <t>http://shr.su/</t>
  </si>
  <si>
    <t>https://vk.com/club20837867</t>
  </si>
  <si>
    <t>https://www.facebook.com/%D0%A1%D0%BE%D1%8E%D0%B7-%D0%A5%D1%83%D0%B4%D0%BE%D0%B6%D0%BD%D0%B8%D0%BA%D0%BE%D0%B2-%D0%A0%D0%BE%D1%81%D1%81%D0%B8%D0%B8-830783923625579</t>
  </si>
  <si>
    <t>47.89 56.6398</t>
  </si>
  <si>
    <t>Инь-Янь</t>
  </si>
  <si>
    <t>Первомайская ул., 124, Йошкар-Ола</t>
  </si>
  <si>
    <t>+7 (8362) 70-15-01, +7 (8362) 77-00-06</t>
  </si>
  <si>
    <t>+7 (902) 465-15-01, +7 (917) 715-46-95</t>
  </si>
  <si>
    <t xml:space="preserve">yas2011@bk.ru  </t>
  </si>
  <si>
    <t>http://susi-bar.ru/</t>
  </si>
  <si>
    <t>Кафе, Курьерские услуги, Суши-бар</t>
  </si>
  <si>
    <t>ежедневно, 10:00–23:00</t>
  </si>
  <si>
    <t>https://vk.com/susi12</t>
  </si>
  <si>
    <t>https://www.facebook.com/inyan.susibar</t>
  </si>
  <si>
    <t>47.885821 56.636912</t>
  </si>
  <si>
    <t>Нотариальная палата Республики Марий Эл</t>
  </si>
  <si>
    <t>Ленинский просп., 69Б, Йошкар-Ола</t>
  </si>
  <si>
    <t>+7 (8362) 49-49-14</t>
  </si>
  <si>
    <t xml:space="preserve">a.busigin@notariat12.ru, s.busigina@notariat12.ru, a.byzova@notariat12.ru, l.vinogradova@notariat12.ru, n.voronzova@notariat12.ru, t.gabidullina@notariat12.ru, s.gaevskaya@notariat12.ru, t.galkina@notariat12.ru, g.gayazova@notariat12.ru, i.eremina@notariat12.ru </t>
  </si>
  <si>
    <t>http://notariat12.ru/</t>
  </si>
  <si>
    <t>Нотариусы</t>
  </si>
  <si>
    <t>47.87062 56.63713</t>
  </si>
  <si>
    <t>Региональная общественная приемная Полномочного представителя Президента Российской Федерации в Приволжском федеральном округе</t>
  </si>
  <si>
    <t>просп. Гагарина, 8, Йошкар-Ола</t>
  </si>
  <si>
    <t>Социальная служба</t>
  </si>
  <si>
    <t>47.885846 56.628857</t>
  </si>
  <si>
    <t>Золотая Роза плюс</t>
  </si>
  <si>
    <t>ул. Петрова, 8, Йошкар-Ола</t>
  </si>
  <si>
    <t>+7 (8362) 22-23-99</t>
  </si>
  <si>
    <t>пн-сб 08:00–20:00; вс 09:00–16:00</t>
  </si>
  <si>
    <t>47.919167 56.631554</t>
  </si>
  <si>
    <t>Палитра</t>
  </si>
  <si>
    <t>+7 (8362) 45-69-44, +7 (8362) 50-60-50</t>
  </si>
  <si>
    <t>+7 (8362) 42-03-64</t>
  </si>
  <si>
    <t xml:space="preserve">onr97@mail.ru  </t>
  </si>
  <si>
    <t>http://палитра12.рф/</t>
  </si>
  <si>
    <t>Рекламное агентство</t>
  </si>
  <si>
    <t>https://vk.com/club129155508</t>
  </si>
  <si>
    <t>Автопричал</t>
  </si>
  <si>
    <t>ул. Соловьёва, 3В, Йошкар-Ола</t>
  </si>
  <si>
    <t>+7 (8362) 99-05-72, +7 (8362) 47-05-05, +7 (8362) 20-05-00, +7 (8362) 44-44-90, +7 (8362) 27-73-77, +7 (8362) 97-10-38</t>
  </si>
  <si>
    <t>Автомойка, Автосервис, автотехцентр, Шиномонтаж</t>
  </si>
  <si>
    <t>ежедневно, 08:00–18:00, перерыв 13:00–14:00</t>
  </si>
  <si>
    <t>47.880665 56.616894</t>
  </si>
  <si>
    <t>ISpring</t>
  </si>
  <si>
    <t>Вознесенская ул., 110, Йошкар-Ола</t>
  </si>
  <si>
    <t>8 (800) 333-78-73, 8 (800) 302-83-47, +7 (495) 123-33-47, +7 (499) 705-22-50</t>
  </si>
  <si>
    <t xml:space="preserve">3esales@ispring.ru, 3esupport@ispring.ru, 3epartner@ispring.ru, 3ejob@ispring.ru, 3epress@ispring.ru  </t>
  </si>
  <si>
    <t>https://www.ispring.ru/company/contact, https://www.ispring.ru/</t>
  </si>
  <si>
    <t>IT-компания, Программное обеспечение</t>
  </si>
  <si>
    <t>https://vk.com/ispring_job</t>
  </si>
  <si>
    <t>http://twitter.com/ispring_ru</t>
  </si>
  <si>
    <t>http://facebook.com/ispringru</t>
  </si>
  <si>
    <t>47.89476 56.629824</t>
  </si>
  <si>
    <t>Интерфарм</t>
  </si>
  <si>
    <t>ул. Панфилова, 19, Йошкар-Ола</t>
  </si>
  <si>
    <t>+7 (8362) 45-06-08</t>
  </si>
  <si>
    <t xml:space="preserve">director@asna.ru, fb@asna.ru  </t>
  </si>
  <si>
    <t>https://asna.ru/, http://interfarm.mari-el.ru/</t>
  </si>
  <si>
    <t>пн-пт 08:00–20:00; сб,вс 09:00–18:00</t>
  </si>
  <si>
    <t>47.884631 56.62296</t>
  </si>
  <si>
    <t>Денди</t>
  </si>
  <si>
    <t>Ленинский просп., 61, Йошкар-Ола</t>
  </si>
  <si>
    <t>+7 (8362) 42-21-12</t>
  </si>
  <si>
    <t>47.874518 56.635481</t>
  </si>
  <si>
    <t>Планета сердец</t>
  </si>
  <si>
    <t>Красноармейская ул., 21, Йошкар-Ола</t>
  </si>
  <si>
    <t>+7 (8362) 28-81-28</t>
  </si>
  <si>
    <t>+7 (917) 704-15-81, +7 (903) 326-11-47</t>
  </si>
  <si>
    <t>Праздничное агентство, Товары для праздника</t>
  </si>
  <si>
    <t>пн-пт 10:00–18:00; сб 10:00–16:00</t>
  </si>
  <si>
    <t>47.898773 56.639753</t>
  </si>
  <si>
    <t>Автомиг</t>
  </si>
  <si>
    <t>+7 (8362) 73-01-23</t>
  </si>
  <si>
    <t>пн-пт 08:30–18:30; сб 08:30–16:00; вс 09:00–14:00</t>
  </si>
  <si>
    <t>47.838426 56.625349</t>
  </si>
  <si>
    <t>Автозапчасти</t>
  </si>
  <si>
    <t>+7 (905) 008-85-17</t>
  </si>
  <si>
    <t>пн-пт 09:00–18:00; сб 09:00–15:00</t>
  </si>
  <si>
    <t>Профсоюзный Комитет Силикат</t>
  </si>
  <si>
    <t>ул. Мира, 1, Йошкар-Ола</t>
  </si>
  <si>
    <t>+7 (8362) 22-37-30</t>
  </si>
  <si>
    <t>47.952609 56.630451</t>
  </si>
  <si>
    <t>ВТБ</t>
  </si>
  <si>
    <t>ул. Эшкинина, 22А, Йошкар-Ола</t>
  </si>
  <si>
    <t>47.914951 56.634154</t>
  </si>
  <si>
    <t>Седьмое Небо</t>
  </si>
  <si>
    <t>ул. Чапаева, 73, Йошкар-Ола</t>
  </si>
  <si>
    <t>+7 (8362) 32-25-35, +7 (8362) 32-10-05</t>
  </si>
  <si>
    <t>+7 (987) 709-09-96, +7 (917) 710-12-18</t>
  </si>
  <si>
    <t>http://nanoplast-okna.com/</t>
  </si>
  <si>
    <t>Натяжные и подвесные потолки</t>
  </si>
  <si>
    <t>пн-пт 08:00–18:00; сб 08:30–13:00</t>
  </si>
  <si>
    <t>47.909319 56.644411</t>
  </si>
  <si>
    <t>Билайн</t>
  </si>
  <si>
    <t>бул. Чавайна, 16, Йошкар-Ола</t>
  </si>
  <si>
    <t>8 (800) 700-06-11, +7 (8362) 50-00-02</t>
  </si>
  <si>
    <t xml:space="preserve">services@beeline.ru, support.partners@beeline.ru, 1a38601e05204e29b44bf0fdff593c14@raven.beeline.ru  </t>
  </si>
  <si>
    <t>http://yoshkar-ola.beeline.ru/, http://beeline.ru/, http://lk.beeline.ru/, http://my.beeline.ru/</t>
  </si>
  <si>
    <t>Мобильная связь</t>
  </si>
  <si>
    <t>Оператор сотовой связи, Салон связи</t>
  </si>
  <si>
    <t>https://vk.com/beeline</t>
  </si>
  <si>
    <t>https://twitter.com/beeline_rus</t>
  </si>
  <si>
    <t>https://www.facebook.com/beelinerus</t>
  </si>
  <si>
    <t>https://www.instagram.com/beelinerus/</t>
  </si>
  <si>
    <t>47.91751 56.631047</t>
  </si>
  <si>
    <t>Зооветснаб</t>
  </si>
  <si>
    <t>ул. Машиностроителей, 117, Йошкар-Ола</t>
  </si>
  <si>
    <t>+7 (8362) 73-02-14</t>
  </si>
  <si>
    <t>Ветеринарные препараты и оборудование</t>
  </si>
  <si>
    <t>47.834609 56.625378</t>
  </si>
  <si>
    <t>Орхидея</t>
  </si>
  <si>
    <t>бул. Чавайна, 12, Йошкар-Ола</t>
  </si>
  <si>
    <t>+7 (8362) 21-31-17</t>
  </si>
  <si>
    <t>Одежда оптом, Швейная фабрика</t>
  </si>
  <si>
    <t>47.922048 56.630407</t>
  </si>
  <si>
    <t>Завод Марихолодмаш</t>
  </si>
  <si>
    <t>+7 (8362) 45-08-95, +7 (8362) 45-06-70</t>
  </si>
  <si>
    <t>+7 (8362) 45-12-41</t>
  </si>
  <si>
    <t xml:space="preserve">zavod@mariholod.com, info@mari-holod.ru, tnp@zavod-kontakt.ru  </t>
  </si>
  <si>
    <t>http://www.mariholod.com/</t>
  </si>
  <si>
    <t>Промышленное холодильное оборудование</t>
  </si>
  <si>
    <t>http://vk.com/mariholodonline</t>
  </si>
  <si>
    <t>http://instagram.com/mariholodmash.official</t>
  </si>
  <si>
    <t>47.873143 56.617982</t>
  </si>
  <si>
    <t>Страховая группа Согаз</t>
  </si>
  <si>
    <t>Успенская ул., 17, Йошкар-Ола</t>
  </si>
  <si>
    <t>8 (800) 333-08-88, +7 (8362) 69-16-52</t>
  </si>
  <si>
    <t xml:space="preserve">altay@sogaz.ru, ipoteka68@sogaz.ru  </t>
  </si>
  <si>
    <t>https://www.sogaz.ru/</t>
  </si>
  <si>
    <t>https://vk.com/sogaz.insurance</t>
  </si>
  <si>
    <t>https://twitter.com/InsuranceSOGAZ</t>
  </si>
  <si>
    <t>http://www.facebook.com/SOGAZ.Insurance.Group</t>
  </si>
  <si>
    <t>47.882725 56.629753</t>
  </si>
  <si>
    <t>ПродЦентр</t>
  </si>
  <si>
    <t>Складская ул., 18, Йошкар-Ола</t>
  </si>
  <si>
    <t>+7 (8362) 41-37-12, +7 (8362) 41-08-78</t>
  </si>
  <si>
    <t xml:space="preserve">info@krupa-raduga.ru </t>
  </si>
  <si>
    <t>Продукты питания оптом</t>
  </si>
  <si>
    <t>47.897551 56.616268</t>
  </si>
  <si>
    <t>Огнезащита М</t>
  </si>
  <si>
    <t>+7 (8362) 52-05-09, +7 (8362) 45-92-50</t>
  </si>
  <si>
    <t>+7 (8362) 46-91-40</t>
  </si>
  <si>
    <t>http://ognezaschita-m.pulscen.ru/</t>
  </si>
  <si>
    <t>Огнезащита, Пожарное оборудование, Противопожарные системы</t>
  </si>
  <si>
    <t>47.900757 56.646835</t>
  </si>
  <si>
    <t>Лига</t>
  </si>
  <si>
    <t>Ленинский просп., 21, Йошкар-Ола</t>
  </si>
  <si>
    <t>+7 (8362) 42-58-94, +7 (8362) 41-37-40</t>
  </si>
  <si>
    <t>+7 (902) 744-43-21</t>
  </si>
  <si>
    <t>+7 (8362) 42-58-94</t>
  </si>
  <si>
    <t>Охранное предприятие, Системы безопасности и охраны</t>
  </si>
  <si>
    <t>47.890589 56.630169</t>
  </si>
  <si>
    <t>Fри-Sтайл</t>
  </si>
  <si>
    <t>+7 (8362) 94-29-92</t>
  </si>
  <si>
    <t>Магазин мебели, Торговое оборудование</t>
  </si>
  <si>
    <t>пн-пт 10:00–18:00, перерыв 14:00–15:00; сб 10:00–14:00</t>
  </si>
  <si>
    <t>Земля-Инвест</t>
  </si>
  <si>
    <t>+7 (8362) 41-75-00, +7 (8362) 42-01-27, +7 (8362) 41-72-72</t>
  </si>
  <si>
    <t>Инвестиционная компания</t>
  </si>
  <si>
    <t>47.888685 56.634753</t>
  </si>
  <si>
    <t>ПивПункт</t>
  </si>
  <si>
    <t>ул. Якова Эшпая, 135, Йошкар-Ола</t>
  </si>
  <si>
    <t>+7 (8362) 25-40-00</t>
  </si>
  <si>
    <t>http://pivpunkt.ru/</t>
  </si>
  <si>
    <t>Бар, паб, Магазин пива</t>
  </si>
  <si>
    <t>https://vk.com/pivpunkt</t>
  </si>
  <si>
    <t>47.882753 56.638531</t>
  </si>
  <si>
    <t>Ваш Силуэт</t>
  </si>
  <si>
    <t>Первомайская ул., 113, Йошкар-Ола</t>
  </si>
  <si>
    <t>+7 (8362) 45-02-04</t>
  </si>
  <si>
    <t>ежедневно, 09:30–17:00</t>
  </si>
  <si>
    <t>47.884957 56.633927</t>
  </si>
  <si>
    <t>Социомаркет Исследовательская фирма</t>
  </si>
  <si>
    <t>+7 (8362) 46-87-75</t>
  </si>
  <si>
    <t>Реклама, маркетинг, PR</t>
  </si>
  <si>
    <t>Маркетинговые услуги</t>
  </si>
  <si>
    <t>Европа</t>
  </si>
  <si>
    <t>ул. Машиностроителей, 2Б, Йошкар-Ола</t>
  </si>
  <si>
    <t>+7 (8362) 24-00-44</t>
  </si>
  <si>
    <t>+7 (917) 700-85-00</t>
  </si>
  <si>
    <t>Банкетный зал, Баня, Сауна</t>
  </si>
  <si>
    <t>ежедневно, 10:00–01:00</t>
  </si>
  <si>
    <t>47.873697 56.65237</t>
  </si>
  <si>
    <t>Агропроминвест</t>
  </si>
  <si>
    <t>ул. Баумана, 93, Йошкар-Ола</t>
  </si>
  <si>
    <t>+7 (8362) 73-29-62, +7 (8362) 99-30-97</t>
  </si>
  <si>
    <t>Смазочные материалы</t>
  </si>
  <si>
    <t>47.856588 56.629842</t>
  </si>
  <si>
    <t>Майами</t>
  </si>
  <si>
    <t>ул. Орая, 10, Йошкар-Ола</t>
  </si>
  <si>
    <t>+7 (8362) 47-80-80</t>
  </si>
  <si>
    <t>http://www.sauna12.com/</t>
  </si>
  <si>
    <t>Сауна</t>
  </si>
  <si>
    <t>47.899842 56.653495</t>
  </si>
  <si>
    <t>Ростэк-Марий Эл Дгуп филиал</t>
  </si>
  <si>
    <t>ул. Строителей, 109, Йошкар-Ола</t>
  </si>
  <si>
    <t>Таможенный склад, Таможня</t>
  </si>
  <si>
    <t>47.887014 56.609477</t>
  </si>
  <si>
    <t>+7 (8362) 46-34-37</t>
  </si>
  <si>
    <t xml:space="preserve">mb_drevo@mail.ru </t>
  </si>
  <si>
    <t>Двери, Мебельная фабрика</t>
  </si>
  <si>
    <t>Люмен</t>
  </si>
  <si>
    <t>+7 (8362) 67-67-35, +7 (8362) 31-32-90</t>
  </si>
  <si>
    <t>+7 (902) 107-67-35</t>
  </si>
  <si>
    <t xml:space="preserve">oknalumen@mail.ru  </t>
  </si>
  <si>
    <t>https://oknalumen12.ru/</t>
  </si>
  <si>
    <t>Жалюзи и рулонные шторы, Окна, Остекление балконов и лоджий</t>
  </si>
  <si>
    <t>пн-пт 09:00–18:00, перерыв 13:00–14:00; сб 09:00–13:00</t>
  </si>
  <si>
    <t>https://vk.com/club78791940</t>
  </si>
  <si>
    <t>47.919485 56.63558</t>
  </si>
  <si>
    <t>Профсоюзный Комитет РНМЦ</t>
  </si>
  <si>
    <t>Кремлёвская ул., 41, Йошкар-Ола</t>
  </si>
  <si>
    <t>47.877788 56.641748</t>
  </si>
  <si>
    <t>Ведущая Наталья</t>
  </si>
  <si>
    <t>+7 (8362) 33-20-86</t>
  </si>
  <si>
    <t>47.916892 56.631659</t>
  </si>
  <si>
    <t>Африка</t>
  </si>
  <si>
    <t>7, Архангельская слобода, Йошкар-Ола</t>
  </si>
  <si>
    <t>+7 (8362) 41-69-70</t>
  </si>
  <si>
    <t>Кафе, Кофейня</t>
  </si>
  <si>
    <t>пн-чт 11:00–00:00; пт,сб 10:00–01:00; вс 11:00–00:00</t>
  </si>
  <si>
    <t>47.901874 56.632846</t>
  </si>
  <si>
    <t>Окна 21 века</t>
  </si>
  <si>
    <t>+7 (8362) 42-02-42, +7 (8362) 29-02-02</t>
  </si>
  <si>
    <t>Жалюзи и рулонные шторы, Натяжные и подвесные потолки, Окна, Строительная компания</t>
  </si>
  <si>
    <t>Фирст</t>
  </si>
  <si>
    <t>ул. Анциферова, 8, Йошкар-Ола</t>
  </si>
  <si>
    <t>+7 (8362) 64-51-73</t>
  </si>
  <si>
    <t>пн-пт 09:00–19:00; сб 09:00–18:00; вс 09:00–17:00</t>
  </si>
  <si>
    <t>47.863823 56.649461</t>
  </si>
  <si>
    <t>Надежда</t>
  </si>
  <si>
    <t>+7 (8362) 32-80-31, +7 (8362) 31-23-45</t>
  </si>
  <si>
    <t>Кафе-пельменная</t>
  </si>
  <si>
    <t>просп. Гагарина, 18, Йошкар-Ола</t>
  </si>
  <si>
    <t>Кафе, Столовая</t>
  </si>
  <si>
    <t>ежедневно, 09:00–21:00</t>
  </si>
  <si>
    <t>47.88472 56.625515</t>
  </si>
  <si>
    <t>Интерфарм-Сомбатхей</t>
  </si>
  <si>
    <t>бул. Чавайна, 14, Йошкар-Ола</t>
  </si>
  <si>
    <t>+7 (8362) 22-13-86</t>
  </si>
  <si>
    <t>47.919288 56.630709</t>
  </si>
  <si>
    <t>Стройка Чувашии и Марий Эл</t>
  </si>
  <si>
    <t>просп. Гагарина, 4, Йошкар-Ола</t>
  </si>
  <si>
    <t>8 (800) 302-96-95</t>
  </si>
  <si>
    <t>+7 (8362) 63-01-47</t>
  </si>
  <si>
    <t xml:space="preserve">moscow@stroyka.ru  </t>
  </si>
  <si>
    <t>http://cheml.stroyka.ru/</t>
  </si>
  <si>
    <t>Интернет-магазин, Редакция СМИ</t>
  </si>
  <si>
    <t>47.887634 56.6296</t>
  </si>
  <si>
    <t>Автосуши</t>
  </si>
  <si>
    <t>ул. Волкова, 141, Йошкар-Ола</t>
  </si>
  <si>
    <t>+7 (8362) 38-30-00, +7 (8362) 65-64-64</t>
  </si>
  <si>
    <t xml:space="preserve">vk@avtosushi.ru, rekrut@avtosushi.ru  </t>
  </si>
  <si>
    <t>http://yo.avtosushi.ru/, http://www.avtosushi.ru/</t>
  </si>
  <si>
    <t>Кафе, Суши-бар</t>
  </si>
  <si>
    <t>http://vk.com/avtosushi_avtopizza</t>
  </si>
  <si>
    <t>http://twitter.com/Avtosushi</t>
  </si>
  <si>
    <t>http://instagram.com/avtosushi_avtopizza</t>
  </si>
  <si>
    <t>47.893007 56.631917</t>
  </si>
  <si>
    <t>Ассоль</t>
  </si>
  <si>
    <t>+7 (8362) 97-75-28, +7 (8362) 64-32-72</t>
  </si>
  <si>
    <t>47.946948 56.626271</t>
  </si>
  <si>
    <t>ТФ Унга</t>
  </si>
  <si>
    <t>ул. Анциферова, 12Б, Йошкар-Ола</t>
  </si>
  <si>
    <t>+7 (8362) 73-60-05, +7 (8362) 73-61-84</t>
  </si>
  <si>
    <t>47.863801 56.643114</t>
  </si>
  <si>
    <t>Профсоюзный Комитет Завода Искож</t>
  </si>
  <si>
    <t>ул. Крылова, 45, Йошкар-Ола</t>
  </si>
  <si>
    <t>+7 (8362) 59-50-21</t>
  </si>
  <si>
    <t>ПешСайСофт</t>
  </si>
  <si>
    <t>Интернет-магазин</t>
  </si>
  <si>
    <t>Марийская Заготовительная база Марпотребсоюза</t>
  </si>
  <si>
    <t>ул. Гончарова, 2А, Йошкар-Ола</t>
  </si>
  <si>
    <t>+7 (8362) 41-72-79</t>
  </si>
  <si>
    <t>Оптовая компания, Производство продуктов питания</t>
  </si>
  <si>
    <t>пн-пт 06:30–18:00; сб 06:30–15:00</t>
  </si>
  <si>
    <t>47.891667 56.615298</t>
  </si>
  <si>
    <t>Группа компаний Андрей Мокеев</t>
  </si>
  <si>
    <t>Первомайская ул., 76, Йошкар-Ола</t>
  </si>
  <si>
    <t>+7 (8362) 46-00-48, +7 (8362) 96-58-58, +7 (8362) 28-69-89, +7 (8362) 28-69-49</t>
  </si>
  <si>
    <t xml:space="preserve">ivan@mail.ru, anonimus@anon.ru  </t>
  </si>
  <si>
    <t>http://www.mokeev.ru/</t>
  </si>
  <si>
    <t>Магазин парфюмерии и косметики, Оборудование и материалы для салонов красоты, Парфюмерно-косметическая компания</t>
  </si>
  <si>
    <t>47.89252 56.649464</t>
  </si>
  <si>
    <t>Союз художников РМЭ</t>
  </si>
  <si>
    <t>+7 (8362) 45-18-63, +7 (8362) 45-04-54</t>
  </si>
  <si>
    <t>http://www.shr.su/</t>
  </si>
  <si>
    <t>Музеи и выставки</t>
  </si>
  <si>
    <t>Выставочный центр, Художественный салон</t>
  </si>
  <si>
    <t>http://vk.com/club20837867</t>
  </si>
  <si>
    <t>http://facebook.com/союз-художников-россии-830783923625579</t>
  </si>
  <si>
    <t>47.889256 56.639951</t>
  </si>
  <si>
    <t>Микросс</t>
  </si>
  <si>
    <t>Кокшайский пр., 46, стр. 1, Йошкар-Ола</t>
  </si>
  <si>
    <t>+7 (960) 095-40-00, +7 (960) 095-30-00</t>
  </si>
  <si>
    <t xml:space="preserve">mikross2007@yandex.ru  </t>
  </si>
  <si>
    <t>http://treiler-m.ru/</t>
  </si>
  <si>
    <t>Автоаксессуары, Автомобильные прицепы</t>
  </si>
  <si>
    <t>https://vk.com/pricep_farkop</t>
  </si>
  <si>
    <t>https://www.instagram.com/pritsep_farkop</t>
  </si>
  <si>
    <t>47.879567 56.606643</t>
  </si>
  <si>
    <t>Большое Чикаго</t>
  </si>
  <si>
    <t>Ленинский просп., 15В, Йошкар-Ола</t>
  </si>
  <si>
    <t>+7 (8362) 32-10-00</t>
  </si>
  <si>
    <t xml:space="preserve">leka_91@inbox.ru  </t>
  </si>
  <si>
    <t>Кальян-бар, Кафе, Ночной клуб</t>
  </si>
  <si>
    <t>пн-чт 12:00–02:00; пт,сб 12:00–05:00; вс 12:00–02:00</t>
  </si>
  <si>
    <t>http://vk.com/club22659286</t>
  </si>
  <si>
    <t>https://www.instagram.com/big_chicago_cafe</t>
  </si>
  <si>
    <t>47.90431 56.626047</t>
  </si>
  <si>
    <t>Автошкола Драйвер</t>
  </si>
  <si>
    <t>ул. Рябинина, 23, Йошкар-Ола</t>
  </si>
  <si>
    <t>+7 (927) 879-49-84</t>
  </si>
  <si>
    <t xml:space="preserve">center-driver@mail.ru  </t>
  </si>
  <si>
    <t>http://www.avtoshkola-driver.ru/, http://автошкола-драйвер.рф/</t>
  </si>
  <si>
    <t>Автошколы</t>
  </si>
  <si>
    <t>Автодром, Автошкола, Курсы и мастер-классы</t>
  </si>
  <si>
    <t>пн-пт 08:00–19:30; сб 09:00–14:00</t>
  </si>
  <si>
    <t>https://vk.com/driver_avtoshkola</t>
  </si>
  <si>
    <t>https://www.instagram.com/avtodriver12</t>
  </si>
  <si>
    <t>47.872876 56.636443</t>
  </si>
  <si>
    <t>Маргарита Клепцова: камины и печи</t>
  </si>
  <si>
    <t>ул. Соловьёва, 22А, Йошкар-Ола</t>
  </si>
  <si>
    <t>+7 (917) 713-57-21, +7 (902) 664-14-11</t>
  </si>
  <si>
    <t xml:space="preserve">mklepcova@yandex.ru  </t>
  </si>
  <si>
    <t>http://fireform.ru/</t>
  </si>
  <si>
    <t>Камины, печи, Монтажные работы</t>
  </si>
  <si>
    <t>ежедневно, 12:00–20:00</t>
  </si>
  <si>
    <t>http://www.youtube.com/c/FireformRu</t>
  </si>
  <si>
    <t>47.869919 56.625836</t>
  </si>
  <si>
    <t>Роза ветров</t>
  </si>
  <si>
    <t>ул. Лебедева, 47, Йошкар-Ола</t>
  </si>
  <si>
    <t>+7 (8362) 64-39-90, +7 (8362) 64-72-70</t>
  </si>
  <si>
    <t xml:space="preserve">directorrv12@yandex.ru, rgotdelrv12@yandex.ru  </t>
  </si>
  <si>
    <t>http://rv12.ru/</t>
  </si>
  <si>
    <t>Детский лагерь отдыха</t>
  </si>
  <si>
    <t>пн-пт 08:30–17:30, перерыв 12:30–13:30</t>
  </si>
  <si>
    <t>https://vk.com/rozavetrov12</t>
  </si>
  <si>
    <t>47.944014 56.622044</t>
  </si>
  <si>
    <t>Спортмастер</t>
  </si>
  <si>
    <t>8 (800) 777-77-71</t>
  </si>
  <si>
    <t xml:space="preserve">e-commerce@sportmaster.ru, it-hr@sportmaster.ru  </t>
  </si>
  <si>
    <t>https://www.sportmaster.ru/, https://www.sportmaster.ru/store/</t>
  </si>
  <si>
    <t>Спортивные товары</t>
  </si>
  <si>
    <t>Спортивная одежда и обувь, Спортивный магазин, Товары для отдыха и туризма</t>
  </si>
  <si>
    <t>https://vk.com/sportmaster</t>
  </si>
  <si>
    <t>https://ok.ru/sportmaster</t>
  </si>
  <si>
    <t>https://www.facebook.com/sportmaster.ru</t>
  </si>
  <si>
    <t>https://www.youtube.com/user/sportmasterRU</t>
  </si>
  <si>
    <t>https://www.instagram.com/sportmaster_official/</t>
  </si>
  <si>
    <t>47.897524 56.628406</t>
  </si>
  <si>
    <t>Детский клуб Счастливое детство</t>
  </si>
  <si>
    <t>ул. Кирова, 3, Йошкар-Ола</t>
  </si>
  <si>
    <t>+7 (927) 886-47-14</t>
  </si>
  <si>
    <t>Клуб для детей и подростков, Школа танцев</t>
  </si>
  <si>
    <t>пн-пт 09:20–19:00; сб,вс 09:20–18:00</t>
  </si>
  <si>
    <t>47.925887 56.627203</t>
  </si>
  <si>
    <t>Троллейбусный транспорт</t>
  </si>
  <si>
    <t>+7 (8362) 42-96-32, +7 (8362) 42-97-54, +7 (8362) 41-97-11</t>
  </si>
  <si>
    <t xml:space="preserve">mptt_12@mail.ru </t>
  </si>
  <si>
    <t>http://троллейбус12.рф/</t>
  </si>
  <si>
    <t>Общественный транспорт</t>
  </si>
  <si>
    <t>Троллейбусный парк</t>
  </si>
  <si>
    <t>http://vk.com/yotroll</t>
  </si>
  <si>
    <t>47.87534 56.652065</t>
  </si>
  <si>
    <t>Нельсон</t>
  </si>
  <si>
    <t>+7 (8362) 50-04-03</t>
  </si>
  <si>
    <t xml:space="preserve">nelsontravel@mail.ru  </t>
  </si>
  <si>
    <t>http://nelsontravel.ru/</t>
  </si>
  <si>
    <t>47.892619 56.641535</t>
  </si>
  <si>
    <t>Капремонт</t>
  </si>
  <si>
    <t>ул. Орая, 34А, Йошкар-Ола</t>
  </si>
  <si>
    <t>+7 (8362) 46-22-48, +7 (8362) 46-02-08, +7 (8362) 40-14-04</t>
  </si>
  <si>
    <t xml:space="preserve">marauto12@mail.ru, mtz@marauto.ru  </t>
  </si>
  <si>
    <t>http://marauto.ru/</t>
  </si>
  <si>
    <t>Аккумуляторы и зарядные устройства, Магазин автозапчастей и автотоваров, Спецтехника и спецавтомобили</t>
  </si>
  <si>
    <t>пн-пт 08:00–18:00; сб 08:00–14:00</t>
  </si>
  <si>
    <t>47.8978 56.6503</t>
  </si>
  <si>
    <t>Номинал</t>
  </si>
  <si>
    <t>47.839987 56.625846</t>
  </si>
  <si>
    <t>Фараон</t>
  </si>
  <si>
    <t>ул. Машиностроителей, 124Б, Йошкар-Ола</t>
  </si>
  <si>
    <t>8 (800) 555-34-66, +7 (8362) 73-48-17, +7 (8362) 73-10-10</t>
  </si>
  <si>
    <t xml:space="preserve">ev@faraondoors.ru, amp@faraondoors.ru, trc@faraondoors.ru  </t>
  </si>
  <si>
    <t>http://www.faraondoors.ru/</t>
  </si>
  <si>
    <t>47.827258 56.627876</t>
  </si>
  <si>
    <t>Мясокомбинат</t>
  </si>
  <si>
    <t>Кокшайский пр., 44, Йошкар-Ола</t>
  </si>
  <si>
    <t>+7 (8362) 68-56-03, +7 (8362) 65-86-28</t>
  </si>
  <si>
    <t xml:space="preserve">inform@yola-mkt.ru  </t>
  </si>
  <si>
    <t>http://www.yola-mkt.ru/</t>
  </si>
  <si>
    <t>Мясная продукция оптом, Производство продуктов питания</t>
  </si>
  <si>
    <t>http://vk.com/yolamarketru</t>
  </si>
  <si>
    <t>47.878384 56.608778</t>
  </si>
  <si>
    <t>Поликлиника МВД</t>
  </si>
  <si>
    <t>ул. Волкова, 93, Йошкар-Ола</t>
  </si>
  <si>
    <t>+7 (8362) 68-02-45</t>
  </si>
  <si>
    <t>http://мсч.12.мвд.рф/</t>
  </si>
  <si>
    <t>пн-пт 07:30–19:00; сб 08:00–15:00</t>
  </si>
  <si>
    <t>47.898179 56.639349</t>
  </si>
  <si>
    <t>Жилище</t>
  </si>
  <si>
    <t>+7 (8362) 56-60-81, +7 (8362) 56-64-90, +7 (8362) 56-58-05</t>
  </si>
  <si>
    <t>+7 (8362) 56-58-05</t>
  </si>
  <si>
    <t xml:space="preserve">zhilishe@mail.ru  </t>
  </si>
  <si>
    <t>http://domepages.narod.ru/</t>
  </si>
  <si>
    <t>Газета Йошкар-Ола</t>
  </si>
  <si>
    <t>+7 (8362) 45-25-77, +7 (8362) 41-76-93, +7 (8362) 45-63-12</t>
  </si>
  <si>
    <t xml:space="preserve">com-ria@mail.ru  </t>
  </si>
  <si>
    <t>https://gg12.ru/</t>
  </si>
  <si>
    <t>http://vk.com/ggyola</t>
  </si>
  <si>
    <t>http://facebook.com/ggyola12</t>
  </si>
  <si>
    <t>http://instagram.com/ggyola12</t>
  </si>
  <si>
    <t>47.887886 56.630074</t>
  </si>
  <si>
    <t>Калейдоскоп</t>
  </si>
  <si>
    <t>Красноармейская ул., 105, Йошкар-Ола</t>
  </si>
  <si>
    <t>+7 (8362) 63-24-38</t>
  </si>
  <si>
    <t>47.862122 56.645505</t>
  </si>
  <si>
    <t>Eмoney12</t>
  </si>
  <si>
    <t>+7 (8362) 99-98-99</t>
  </si>
  <si>
    <t xml:space="preserve">support@webmoney12.ru, support@finshark.ru </t>
  </si>
  <si>
    <t>пн-пт 10:00–19:00</t>
  </si>
  <si>
    <t>Аудит-центр</t>
  </si>
  <si>
    <t>Советская ул., 127, Йошкар-Ола</t>
  </si>
  <si>
    <t>+7 (8362) 45-74-46, +7 (8362) 45-89-66, +7 (8362) 26-13-20</t>
  </si>
  <si>
    <t xml:space="preserve">261320@mail.ru </t>
  </si>
  <si>
    <t>http://центр-аудита.рф/</t>
  </si>
  <si>
    <t>47.897973 56.635209</t>
  </si>
  <si>
    <t>Архитектурно-проектная мастерская Артель</t>
  </si>
  <si>
    <t>Заводской пер., 2, Йошкар-Ола</t>
  </si>
  <si>
    <t>+7 (8362) 72-08-92, +7 (8362) 72-08-56, +7 (8362) 72-08-39</t>
  </si>
  <si>
    <t xml:space="preserve">artel_12@mail.ru, ingos@ingos.ru, filiai@nnov.ingos.ru, npp.acep@mail.ru  </t>
  </si>
  <si>
    <t>http://aip-np.ru/reestr-i-priem/reestr/%D0%BE%D0%BE%D0%BE-%D0%B0%D1%80%D1%85%D0%B8%D1%82%D0%B5%D0%BA%D1%82%D1%83%D1%80%D0%BD%D0%BE-%D0%BF%D1%80%D0%BE%D0%B5%D0%BA%D1%82%D0%BD%D0%B0%D1%8F-%D0%BC%D0%B0%D1%81%D1%82%D0%B5%D1%80%D1%81%D0%BA/</t>
  </si>
  <si>
    <t>Архитектурное бюро, Инжиниринг</t>
  </si>
  <si>
    <t>47.873761 56.639202</t>
  </si>
  <si>
    <t>Зелёная дверь</t>
  </si>
  <si>
    <t>ул. Карла Либкнехта, 71А, Йошкар-Ола</t>
  </si>
  <si>
    <t>http://vk.com/club70374749</t>
  </si>
  <si>
    <t>47.940094 56.630718</t>
  </si>
  <si>
    <t>Пассаж ТД</t>
  </si>
  <si>
    <t>ул. Шумелёва, 1, Йошкар-Ола</t>
  </si>
  <si>
    <t>+7 (8362) 63-49-50</t>
  </si>
  <si>
    <t>47.853453 56.627104</t>
  </si>
  <si>
    <t>Азимут</t>
  </si>
  <si>
    <t>Ленинский просп., 10А, Йошкар-Ола</t>
  </si>
  <si>
    <t>+7 (8362) 56-07-63, +7 (8362) 56-07-95, +7 (8362) 57-06-95, +7 (36225) 6-07-95</t>
  </si>
  <si>
    <t xml:space="preserve">azimut-ola@rambler.ru </t>
  </si>
  <si>
    <t>http://azimut-ola12.mcdir.ru/</t>
  </si>
  <si>
    <t>Дополнительное образование, Клуб для детей и подростков</t>
  </si>
  <si>
    <t>пн-пт 09:00–18:00, перерыв 12:00–13:00</t>
  </si>
  <si>
    <t>47.921639 56.627186</t>
  </si>
  <si>
    <t>Право Пенсионера Ветерана Инвалида</t>
  </si>
  <si>
    <t>47.894596 56.637491</t>
  </si>
  <si>
    <t>Домис</t>
  </si>
  <si>
    <t>Сернурский тракт, 20В, Йошкар-Ола</t>
  </si>
  <si>
    <t>+7 (8362) 64-92-84</t>
  </si>
  <si>
    <t>+7 (917) 700-00-29</t>
  </si>
  <si>
    <t xml:space="preserve">ooo-domis@mail.ru  </t>
  </si>
  <si>
    <t>http://domis12.ru/</t>
  </si>
  <si>
    <t>Пожарное оборудование, Противопожарные системы, Системы безопасности и охраны</t>
  </si>
  <si>
    <t>47.93573 56.644157</t>
  </si>
  <si>
    <t>Агропромсервис</t>
  </si>
  <si>
    <t>47.887921 56.634347</t>
  </si>
  <si>
    <t>Монтессори-клуб</t>
  </si>
  <si>
    <t>Вашская ул., 8, Йошкар-Ола</t>
  </si>
  <si>
    <t>+7 (8362) 20-50-66</t>
  </si>
  <si>
    <t>Детский лагерь отдыха, Детский сад, Дополнительное образование, Клуб для детей и подростков</t>
  </si>
  <si>
    <t>пн-пт 10:00–19:30</t>
  </si>
  <si>
    <t>47.88917 56.628911</t>
  </si>
  <si>
    <t>Трафаретная печать</t>
  </si>
  <si>
    <t>Кирпичная ул., 1, Йошкар-Ола</t>
  </si>
  <si>
    <t>+7 (964) 860-03-47</t>
  </si>
  <si>
    <t>Полиграфические услуги, Рекламное агентство</t>
  </si>
  <si>
    <t>47.945683 56.628565</t>
  </si>
  <si>
    <t>Йошкар-Олинский консервный завод, филиал</t>
  </si>
  <si>
    <t>+7 (8362) 73-48-11, +7 (8362) 73-10-22, +7 (8362) 73-06-96</t>
  </si>
  <si>
    <t>http://www.iokz.ru/</t>
  </si>
  <si>
    <t>пн-пт 08:30–17:30, перерыв 12:00–13:00</t>
  </si>
  <si>
    <t>http://twitter.com/grani_ru</t>
  </si>
  <si>
    <t>47.842992 56.628747</t>
  </si>
  <si>
    <t>Шанс</t>
  </si>
  <si>
    <t>ул. Строителей, 84А, Йошкар-Ола</t>
  </si>
  <si>
    <t>+7 (8362) 20-62-04</t>
  </si>
  <si>
    <t>Автомойка, Автосервис, автотехцентр</t>
  </si>
  <si>
    <t>47.8487 56.6256</t>
  </si>
  <si>
    <t>Республиканский центр татарской культуры</t>
  </si>
  <si>
    <t>ул. Мира, 28, Йошкар-Ола</t>
  </si>
  <si>
    <t>+7 (8362) 64-67-19, +7 (8362) 64-67-90</t>
  </si>
  <si>
    <t xml:space="preserve">8613-1598918400-1622419200@tatcentr12.ru, 15048-1607500800-1639069200@tatcentr12.ru, tatcentr12@yandex.ru, rnkatmari-el@mail.ru  </t>
  </si>
  <si>
    <t>http://tatcentr12.ru/</t>
  </si>
  <si>
    <t>Культурный центр</t>
  </si>
  <si>
    <t>47.944269 56.634335</t>
  </si>
  <si>
    <t>Центр лечебной косметологии</t>
  </si>
  <si>
    <t>ул. Петрова, 13А, Йошкар-Ола</t>
  </si>
  <si>
    <t>Косметология</t>
  </si>
  <si>
    <t>47.916097 56.63242</t>
  </si>
  <si>
    <t>МБДОУ детский сад № 37 Красная шапочка</t>
  </si>
  <si>
    <t>ул. Эшкинина, 12, Йошкар-Ола</t>
  </si>
  <si>
    <t>+7 (8362) 21-21-82, +7 (8362) 21-21-84</t>
  </si>
  <si>
    <t xml:space="preserve">vopros@prosv.ru, help@rosuchebnik.ru, webinar@prosv.ru, vdec1@yandex.ru, skazkaads@yandex.ru  </t>
  </si>
  <si>
    <t>http://edu.mari.ru/</t>
  </si>
  <si>
    <t>47.908475 56.628594</t>
  </si>
  <si>
    <t>Снабженец</t>
  </si>
  <si>
    <t>+7 (8362) 41-28-30, +7 (8362) 41-20-21, +7 (8362) 33-04-40, +7 (8362) 41-57-57, +7 (8362) 74-17-06, +7 (8362) 27-90-00</t>
  </si>
  <si>
    <t xml:space="preserve">330440snab@mail.ru  </t>
  </si>
  <si>
    <t>http://snab12.ru/, http://snab-12.ru/</t>
  </si>
  <si>
    <t>Строительное оборудование и техника</t>
  </si>
  <si>
    <t>Магазин хозтоваров и бытовой химии, Строительный инструмент</t>
  </si>
  <si>
    <t>пн-пт 08:00–19:00; сб 08:00–17:00; вс 08:00–16:00</t>
  </si>
  <si>
    <t>https://vk.com/snab12</t>
  </si>
  <si>
    <t>47.898217 56.617925</t>
  </si>
  <si>
    <t>Унисервис</t>
  </si>
  <si>
    <t>ул. Луначарского, 24, Йошкар-Ола</t>
  </si>
  <si>
    <t>+7 (8362) 55-18-37</t>
  </si>
  <si>
    <t>47.912158 56.613777</t>
  </si>
  <si>
    <t>ПКФ Новые Технологии</t>
  </si>
  <si>
    <t>Советская ул., 120, Йошкар-Ола</t>
  </si>
  <si>
    <t>47.897389 56.635333</t>
  </si>
  <si>
    <t>ГК Огонёк</t>
  </si>
  <si>
    <t>ул. Дружбы, 94А, Йошкар-Ола</t>
  </si>
  <si>
    <t>+7 (8362) 42-78-25, +7 (8362) 12-78-25</t>
  </si>
  <si>
    <t>пн,пт 17:00–19:00; сб 08:00–11:00</t>
  </si>
  <si>
    <t>47.867645 56.65427</t>
  </si>
  <si>
    <t>Маристрой</t>
  </si>
  <si>
    <t>площадь имени В.И. Ленина, 69Б, Йошкар-Ола</t>
  </si>
  <si>
    <t>+7 (8362) 77-11-12</t>
  </si>
  <si>
    <t>Строительная компания, Строительные и отделочные работы</t>
  </si>
  <si>
    <t>47.890859 56.631025</t>
  </si>
  <si>
    <t>Аметист-1</t>
  </si>
  <si>
    <t>47.884768 56.62264</t>
  </si>
  <si>
    <t>Погребок</t>
  </si>
  <si>
    <t>Ленинский просп., 27, Йошкар-Ола</t>
  </si>
  <si>
    <t>+7 (8362) 45-62-11</t>
  </si>
  <si>
    <t>47.886978 56.630763</t>
  </si>
  <si>
    <t>Фгкдоу детский сад Вишенка</t>
  </si>
  <si>
    <t>ул. Зарубина, 5, Йошкар-Ола</t>
  </si>
  <si>
    <t>+7 (8362) 45-20-37, +7 (8362) 72-21-76</t>
  </si>
  <si>
    <t>пн-пт 07:00–19:00</t>
  </si>
  <si>
    <t>47.88264 56.62619</t>
  </si>
  <si>
    <t>Маяк</t>
  </si>
  <si>
    <t>ул. Мира, 68, Йошкар-Ола</t>
  </si>
  <si>
    <t>+7 (8362) 64-85-83</t>
  </si>
  <si>
    <t xml:space="preserve">mayak-07@yandex.ru  </t>
  </si>
  <si>
    <t>http://www.labmoroz.ru/</t>
  </si>
  <si>
    <t>Машиностроительный завод, Производственное предприятие</t>
  </si>
  <si>
    <t>47.9377 56.6376</t>
  </si>
  <si>
    <t>АвтоСпецТех</t>
  </si>
  <si>
    <t>ул. Машиностроителей, 114, Йошкар-Ола</t>
  </si>
  <si>
    <t>+7 (927) 872-30-30</t>
  </si>
  <si>
    <t>47.831669 56.625985</t>
  </si>
  <si>
    <t>НПО Омега</t>
  </si>
  <si>
    <t>ул. Добролюбова, 83, Йошкар-Ола</t>
  </si>
  <si>
    <t>+7 (8362) 73-68-88</t>
  </si>
  <si>
    <t>Кабельное телевидение</t>
  </si>
  <si>
    <t>47.945737 56.637135</t>
  </si>
  <si>
    <t>Сладкий мир</t>
  </si>
  <si>
    <t>+7 (8362) 74-20-85, +7 (8362) 74-08-78</t>
  </si>
  <si>
    <t>Кондитерская, Кондитерские изделия оптом</t>
  </si>
  <si>
    <t>пн-пт 07:00–16:00; сб 07:00–13:00</t>
  </si>
  <si>
    <t>Агропроект</t>
  </si>
  <si>
    <t>+7 (8362) 64-14-39</t>
  </si>
  <si>
    <t>+7 (8362) 45-00-41</t>
  </si>
  <si>
    <t xml:space="preserve">mariagroproekt@yandex.ru  </t>
  </si>
  <si>
    <t>http://www.mariagroproekt.ru/</t>
  </si>
  <si>
    <t>НИИ, Проектная организация</t>
  </si>
  <si>
    <t>НоутбукЦентр</t>
  </si>
  <si>
    <t>Первомайская ул., 107, Йошкар-Ола</t>
  </si>
  <si>
    <t>+7 (8362) 41-44-31</t>
  </si>
  <si>
    <t xml:space="preserve">fliginskih@gmail.com  </t>
  </si>
  <si>
    <t>http://nbc12.ru/</t>
  </si>
  <si>
    <t>Компьютерный магазин, Компьютерный ремонт и услуги, Ноутбуки и планшеты</t>
  </si>
  <si>
    <t>пн-пт 10:00–18:00, перерыв 11:40–12:20</t>
  </si>
  <si>
    <t>https://vk.com/nbc12ru</t>
  </si>
  <si>
    <t>47.888905 56.640312</t>
  </si>
  <si>
    <t>Зетта Страхование</t>
  </si>
  <si>
    <t>ул. Зарубина, 45, Йошкар-Ола</t>
  </si>
  <si>
    <t>8 (800) 700-77-07, +7 (8362) 22-77-07</t>
  </si>
  <si>
    <t xml:space="preserve">username@domain.ru, customer@zettains.ru, info@ru.zurich.com  </t>
  </si>
  <si>
    <t>https://zettains.ru/, https://zettains.ru/contacts/office_sale/201, https://zettains.ru/contacts/office_sale/maps/mapbasics.js</t>
  </si>
  <si>
    <t>Страхование автомобилей, Страховая компания, Страховой брокер</t>
  </si>
  <si>
    <t>https://vk.com/zetta_ins</t>
  </si>
  <si>
    <t>http://ok.ru/zettains</t>
  </si>
  <si>
    <t>http://www.facebook.com/zettains</t>
  </si>
  <si>
    <t>47.868201 56.637142</t>
  </si>
  <si>
    <t>Йошкар-Олинское Социально-Реабилитационное предприятие ВОГ</t>
  </si>
  <si>
    <t>Первомайский пер., 10, Йошкар-Ола</t>
  </si>
  <si>
    <t>Швейная фабрика</t>
  </si>
  <si>
    <t>47.887481 56.643183</t>
  </si>
  <si>
    <t>МБОУ СОШ № 5 Обыкновенное Чудо</t>
  </si>
  <si>
    <t>ул. Волкова, 124, Йошкар-Ола</t>
  </si>
  <si>
    <t>+7 (8362) 42-92-99, +7 (8362) 42-34-70</t>
  </si>
  <si>
    <t>http://usual-wonder.ru/, http://edu.mari.ru/mouo-yoshkarola/sh5</t>
  </si>
  <si>
    <t>Школы</t>
  </si>
  <si>
    <t>Общеобразовательная школа</t>
  </si>
  <si>
    <t>47.895422 56.637527</t>
  </si>
  <si>
    <t>Абтерм</t>
  </si>
  <si>
    <t>Ленинский просп., 36, Йошкар-Ола</t>
  </si>
  <si>
    <t>8 (800) 550-85-60, 8 (800) 333-08-25</t>
  </si>
  <si>
    <t xml:space="preserve">sale@abterm.ru  </t>
  </si>
  <si>
    <t>http://www.abterm.ru/</t>
  </si>
  <si>
    <t>47.880348 56.632798</t>
  </si>
  <si>
    <t>Фитнес-центр Рифор</t>
  </si>
  <si>
    <t>ул. Соловьёва, 9, Йошкар-Ола</t>
  </si>
  <si>
    <t>+7 (8362) 55-11-90</t>
  </si>
  <si>
    <t xml:space="preserve">rifor@rifor12.ru, buh@rifor12.ru, ipoteka@rifor12.ru  </t>
  </si>
  <si>
    <t>http://rifor12.ru/fitness.html</t>
  </si>
  <si>
    <t>Спортивный клуб, секция, Спортивный, тренажерный зал, Фитнес-клуб</t>
  </si>
  <si>
    <t>пн-пт 09:30–21:00; сб,вс 10:30–20:00</t>
  </si>
  <si>
    <t>https://vk.com/fitnescentrrifor</t>
  </si>
  <si>
    <t>47.872127 56.621226</t>
  </si>
  <si>
    <t>Центр Творчества Молодежи</t>
  </si>
  <si>
    <t>+7 (8362) 55-35-45</t>
  </si>
  <si>
    <t>Мрцаси</t>
  </si>
  <si>
    <t>Первомайская ул., 78, Йошкар-Ола</t>
  </si>
  <si>
    <t>+7 (8362) 72-62-40</t>
  </si>
  <si>
    <t>47.893311 56.648514</t>
  </si>
  <si>
    <t>Стройтранс</t>
  </si>
  <si>
    <t>ул. Крылова, 53, Йошкар-Ола</t>
  </si>
  <si>
    <t>+7 (8362) 73-02-64</t>
  </si>
  <si>
    <t xml:space="preserve">marstroitrans@yandex.ru </t>
  </si>
  <si>
    <t>Автотранспортное предприятие, автобаза, Ремонт двигателей</t>
  </si>
  <si>
    <t>пн-пт 08:00–12:00</t>
  </si>
  <si>
    <t>47.836282 56.619781</t>
  </si>
  <si>
    <t>Мостремстрой</t>
  </si>
  <si>
    <t>Пролетарская ул., 26, Йошкар-Ола</t>
  </si>
  <si>
    <t>+7 (8362) 46-06-44, +7 (8362) 45-05-88, +7 (8362) 46-79-29</t>
  </si>
  <si>
    <t xml:space="preserve">mrs74@mail.ru, support@pulscen.ru, u003esupport@pulscen.ru  </t>
  </si>
  <si>
    <t>http://most12.pulscen.ru/</t>
  </si>
  <si>
    <t>Бетон, бетонные изделия, ЖБИ, Промышленное строительство, Строительная компания</t>
  </si>
  <si>
    <t>47.895069 56.645294</t>
  </si>
  <si>
    <t>Ifresh</t>
  </si>
  <si>
    <t>+7 (8362) 45-18-58</t>
  </si>
  <si>
    <t>Компьютерный ремонт и услуги, Программное обеспечение</t>
  </si>
  <si>
    <t>Ремонт мебели</t>
  </si>
  <si>
    <t>Первомайская ул., 59, Йошкар-Ола</t>
  </si>
  <si>
    <t>+7 (8362) 24-85-10</t>
  </si>
  <si>
    <t>http://sasha.dsmariel.ru/</t>
  </si>
  <si>
    <t>47.894838 56.649439</t>
  </si>
  <si>
    <t>Сан</t>
  </si>
  <si>
    <t>Комсомольская ул., 145, Йошкар-Ола</t>
  </si>
  <si>
    <t>+7 (8362) 42-91-21</t>
  </si>
  <si>
    <t>http://сан12.рф/</t>
  </si>
  <si>
    <t>47.894179 56.636839</t>
  </si>
  <si>
    <t>ЗАО ПМК-5</t>
  </si>
  <si>
    <t>ул. Дружбы, 98А, Йошкар-Ола</t>
  </si>
  <si>
    <t>+7 (8362) 41-95-34, +7 (8362) 42-78-40</t>
  </si>
  <si>
    <t xml:space="preserve">pmk5@mari-el.ru  </t>
  </si>
  <si>
    <t>http://pmk5-info.ru/</t>
  </si>
  <si>
    <t>47.872806 56.654525</t>
  </si>
  <si>
    <t>Газета Ямде лий</t>
  </si>
  <si>
    <t>+7 (8362) 45-22-82, +7 (8362) 45-25-49</t>
  </si>
  <si>
    <t xml:space="preserve">yamde_lii@mari-el.ru  </t>
  </si>
  <si>
    <t>http://portal.mari.ru/mincult/Pages/gazeta_yamdelyi.aspx</t>
  </si>
  <si>
    <t>http://vk.com/yamde_lii</t>
  </si>
  <si>
    <t>47.891421 56.621493</t>
  </si>
  <si>
    <t>Спика-Металл</t>
  </si>
  <si>
    <t>Заводской пер., 2А, Йошкар-Ола</t>
  </si>
  <si>
    <t>+7 (8362) 55-12-22</t>
  </si>
  <si>
    <t xml:space="preserve">info@spika-metal.ru  </t>
  </si>
  <si>
    <t>http://spika-metal.ru/</t>
  </si>
  <si>
    <t>Металлоизделия, Металлопрокат, Строительный магазин</t>
  </si>
  <si>
    <t>47.872549 56.638783</t>
  </si>
  <si>
    <t>Стальной стиль</t>
  </si>
  <si>
    <t>ул. Крылова, 47А, Йошкар-Ола</t>
  </si>
  <si>
    <t>+7 (8362) 33-53-41</t>
  </si>
  <si>
    <t xml:space="preserve">st.style@bk.ru  </t>
  </si>
  <si>
    <t>http://steel-style12.ru/</t>
  </si>
  <si>
    <t>Двери, Деревообрабатывающее предприятие, Пиломатериалы</t>
  </si>
  <si>
    <t>47.838173 56.613515</t>
  </si>
  <si>
    <t>Ремонтно-монтажный комбинат</t>
  </si>
  <si>
    <t>ул. Лобачевского, 17, Йошкар-Ола</t>
  </si>
  <si>
    <t>+7 (8362) 42-51-40, +7 (8362) 42-17-59</t>
  </si>
  <si>
    <t xml:space="preserve">rmk-info@mail.ru </t>
  </si>
  <si>
    <t>Машиностроительный завод, Пищевое оборудование, Производственное предприятие, Торговое оборудование</t>
  </si>
  <si>
    <t>47.872127 56.629347</t>
  </si>
  <si>
    <t>Бакалея</t>
  </si>
  <si>
    <t>47.838179 56.641538</t>
  </si>
  <si>
    <t>Неофит</t>
  </si>
  <si>
    <t>+7 (8362) 45-71-40</t>
  </si>
  <si>
    <t>Оргтехника</t>
  </si>
  <si>
    <t>Нива</t>
  </si>
  <si>
    <t>ул. Волкова, 61, Йошкар-Ола</t>
  </si>
  <si>
    <t>+7 (8362) 45-14-12</t>
  </si>
  <si>
    <t>47.90233 56.645069</t>
  </si>
  <si>
    <t>Хотэй</t>
  </si>
  <si>
    <t>+7 (8362) 55-63-55</t>
  </si>
  <si>
    <t>+7 (927) 883-65-88</t>
  </si>
  <si>
    <t xml:space="preserve">info@ooohotey.ru  </t>
  </si>
  <si>
    <t>http://ooohotey.ru/</t>
  </si>
  <si>
    <t>Проектная организация, Строительная компания, Строительство бань и саун</t>
  </si>
  <si>
    <t>пн-пт 08:30–18:00; сб 09:00–15:00</t>
  </si>
  <si>
    <t>http://vk.com/ooohoteyru</t>
  </si>
  <si>
    <t>http://ok.ru/ooohotey</t>
  </si>
  <si>
    <t>http://facebook.com/groups/ooohotey</t>
  </si>
  <si>
    <t>https://www.instagram.com/ooohotey.ru</t>
  </si>
  <si>
    <t>47.838042 56.641592</t>
  </si>
  <si>
    <t>Подарки</t>
  </si>
  <si>
    <t>+7 (8362) 99-89-00</t>
  </si>
  <si>
    <t>Посуда, кухонные принадлежности</t>
  </si>
  <si>
    <t>Посуда оптом</t>
  </si>
  <si>
    <t>Военно-мемориальная компания</t>
  </si>
  <si>
    <t>Больничная ул., 25, Йошкар-Ола</t>
  </si>
  <si>
    <t>8 (800) 200-07-10, +7 (8362) 38-48-81, +7 (8362) 45-41-52, +7 (8362) 41-75-01</t>
  </si>
  <si>
    <t>+7 (917) 710-11-66, +7 (987) 709-78-55</t>
  </si>
  <si>
    <t xml:space="preserve">referent@vmk-ural.ru  </t>
  </si>
  <si>
    <t>http://www.vmkros.ru/</t>
  </si>
  <si>
    <t>http://www.facebook.com/vmkros</t>
  </si>
  <si>
    <t>47.888775 56.649914</t>
  </si>
  <si>
    <t>ТФ Ачалуки</t>
  </si>
  <si>
    <t>+7 (8362) 74-20-66</t>
  </si>
  <si>
    <t>Овощи и фрукты оптом</t>
  </si>
  <si>
    <t>Люльпанский Лесопромышленный комбинат</t>
  </si>
  <si>
    <t>Пиломатериалы</t>
  </si>
  <si>
    <t>Республиканская клиническая больница, Отделение ЛОР и ЧЛХ</t>
  </si>
  <si>
    <t>Пролетарская ул., 68А, Йошкар-Ола</t>
  </si>
  <si>
    <t xml:space="preserve">kaf_kgmu_rme@mail.ru, ovp2-kgmu@mail.ru, rkb@minzdrav12.ru </t>
  </si>
  <si>
    <t>Больница для взрослых</t>
  </si>
  <si>
    <t>47.87967 56.649545</t>
  </si>
  <si>
    <t>ГБУ Государственный архив Республики Марий Эл</t>
  </si>
  <si>
    <t>ул. Воинов-Интернационалистов, 28, Йошкар-Ола</t>
  </si>
  <si>
    <t>+7 (8362) 56-08-75, +7 (8362) 56-08-99, +7 (8362) 56-08-66</t>
  </si>
  <si>
    <t>Архив</t>
  </si>
  <si>
    <t>47.920533 56.636144</t>
  </si>
  <si>
    <t>Тохо-Мед</t>
  </si>
  <si>
    <t>ул. Прохорова, 14Б, Йошкар-Ола</t>
  </si>
  <si>
    <t>+7 (8362) 73-24-70, +7 (8362) 64-74-10</t>
  </si>
  <si>
    <t>+7 (964) 863-59-55, +7 (902) 325-74-10, +7 (964) 863-59-69</t>
  </si>
  <si>
    <t>http://kl6217.polzdr.ru/</t>
  </si>
  <si>
    <t>47.843161 56.636303</t>
  </si>
  <si>
    <t>Балатон</t>
  </si>
  <si>
    <t>+7 (8362) 42-69-93</t>
  </si>
  <si>
    <t xml:space="preserve">mosbalaton@mail.ru  </t>
  </si>
  <si>
    <t>http://www.balatongroup.ru/</t>
  </si>
  <si>
    <t>Металлоконструкции, Подъемное оборудование, Строительные леса</t>
  </si>
  <si>
    <t>Компания Новый Век</t>
  </si>
  <si>
    <t>ул. Баумана, 100К1, Йошкар-Ола</t>
  </si>
  <si>
    <t>+7 (8362) 73-48-98, +7 (8362) 53-01-00, +7 (8362) 73-30-75</t>
  </si>
  <si>
    <t>+7 (8362) 73-48-98, +7 (8362) 73-30-75</t>
  </si>
  <si>
    <t>Металлопрокат</t>
  </si>
  <si>
    <t>47.856884 56.62853</t>
  </si>
  <si>
    <t>Спецтехкомплект</t>
  </si>
  <si>
    <t>ул. Строителей, 88, Йошкар-Ола</t>
  </si>
  <si>
    <t>+7 (8362) 55-32-77, +7 (8362) 77-47-74, +7 (8362) 55-35-31, +7 (8362) 77-45-45</t>
  </si>
  <si>
    <t>+7 (8362) 73-12-41</t>
  </si>
  <si>
    <t xml:space="preserve">stechcom@mail.ru  </t>
  </si>
  <si>
    <t>http://ctk12.ru/</t>
  </si>
  <si>
    <t>Грузовые автомобили, грузовая техника, Спецтехника и спецавтомобили</t>
  </si>
  <si>
    <t>47.850291 56.625133</t>
  </si>
  <si>
    <t>Дублер</t>
  </si>
  <si>
    <t>+7 (8362) 46-24-61, +7 (8362) 46-24-71</t>
  </si>
  <si>
    <t>47.895674 56.647732</t>
  </si>
  <si>
    <t>Общественная Организация Инвалидов Единение</t>
  </si>
  <si>
    <t>Чудесные странички</t>
  </si>
  <si>
    <t>47.846069 56.636882</t>
  </si>
  <si>
    <t>Полномочный Представитель Президента РФ</t>
  </si>
  <si>
    <t>Посольство, консульство</t>
  </si>
  <si>
    <t>Английская школа Елены Джонсон</t>
  </si>
  <si>
    <t>+7 (8362) 52-70-07</t>
  </si>
  <si>
    <t xml:space="preserve">support@englishschool12.ru  </t>
  </si>
  <si>
    <t>http://englishschool12.ru/</t>
  </si>
  <si>
    <t>Клуб для детей и подростков, Курсы иностранных языков</t>
  </si>
  <si>
    <t>пн-пт 09:00–18:00; сб 10:00–18:00</t>
  </si>
  <si>
    <t>47.8975 56.6408</t>
  </si>
  <si>
    <t>СтильНО</t>
  </si>
  <si>
    <t>Пролетарская ул., 9А, Йошкар-Ола</t>
  </si>
  <si>
    <t>47.899155 56.644127</t>
  </si>
  <si>
    <t>Дом+авто</t>
  </si>
  <si>
    <t>+7 (8362) 55-08-05</t>
  </si>
  <si>
    <t>Новомедиа</t>
  </si>
  <si>
    <t>ул. Чехова, 66А, Йошкар-Ола</t>
  </si>
  <si>
    <t>+7 (8362) 99-33-66, +7 (8362) 46-13-66</t>
  </si>
  <si>
    <t>Издательские услуги, Рекламное агентство</t>
  </si>
  <si>
    <t>47.885038 56.645965</t>
  </si>
  <si>
    <t>IFresh</t>
  </si>
  <si>
    <t>Аутсорсинг, Компьютерный ремонт и услуги</t>
  </si>
  <si>
    <t>Плес</t>
  </si>
  <si>
    <t>ул. Подольских Курсантов, 5, Йошкар-Ола</t>
  </si>
  <si>
    <t>+7 (8362) 34-93-48</t>
  </si>
  <si>
    <t xml:space="preserve">spetr71@mail.ru  </t>
  </si>
  <si>
    <t>http://ples12.ru/</t>
  </si>
  <si>
    <t>Бытовая химия оптом, Магазин посуды, Магазин хозтоваров и бытовой химии</t>
  </si>
  <si>
    <t>47.869 56.65047</t>
  </si>
  <si>
    <t>Спекто строй</t>
  </si>
  <si>
    <t>Советская ул., 89, Йошкар-Ола</t>
  </si>
  <si>
    <t>+7 (917) 708-47-80</t>
  </si>
  <si>
    <t>Бетон, бетонные изделия, Строительный магазин, Цемент</t>
  </si>
  <si>
    <t>47.903417 56.642941</t>
  </si>
  <si>
    <t>Мегарусс-Д</t>
  </si>
  <si>
    <t>+7 (8362) 30-40-66, +7 (8362) 30-40-99</t>
  </si>
  <si>
    <t xml:space="preserve">info@megarussd.com  </t>
  </si>
  <si>
    <t>http://www.megarussd.com/, http://megaruss-d.ru/</t>
  </si>
  <si>
    <t>Страховая компания</t>
  </si>
  <si>
    <t>Секция настольного тенниса</t>
  </si>
  <si>
    <t>Спортивный клуб, секция</t>
  </si>
  <si>
    <t>47.869321 56.640083</t>
  </si>
  <si>
    <t>Мегаполис</t>
  </si>
  <si>
    <t>47.916502 56.631368</t>
  </si>
  <si>
    <t>Баня № 3</t>
  </si>
  <si>
    <t>ул. Зарубина, 32А, Йошкар-Ола</t>
  </si>
  <si>
    <t>+7 (8362) 42-26-51</t>
  </si>
  <si>
    <t xml:space="preserve">autoland@bk.ru, --info@autoland24.ru-- </t>
  </si>
  <si>
    <t>Баня, Кафе</t>
  </si>
  <si>
    <t>чт,пт 13:00–21:00; сб,вс 10:00–21:00</t>
  </si>
  <si>
    <t>https://vk.com/club135285616</t>
  </si>
  <si>
    <t>47.8757 56.6327</t>
  </si>
  <si>
    <t>Модуль</t>
  </si>
  <si>
    <t>ул. Суворова, 10, Йошкар-Ола</t>
  </si>
  <si>
    <t>+7 (8362) 72-62-22, +7 (8362) 30-72-00</t>
  </si>
  <si>
    <t xml:space="preserve">22@modul2.ru, modul22@inbox.ru, modu22@inbox.ru  </t>
  </si>
  <si>
    <t>http://www.modul2.ru/</t>
  </si>
  <si>
    <t>Автоаксессуары, Магазин бытовой техники, Магазин радиодеталей</t>
  </si>
  <si>
    <t>пн-сб 10:00–16:00</t>
  </si>
  <si>
    <t>47.868305 56.633962</t>
  </si>
  <si>
    <t>Йошкар-Оластрой</t>
  </si>
  <si>
    <t>+7 (8362) 45-28-46, +7 (8362) 45-37-94</t>
  </si>
  <si>
    <t>ГБУ РМЭ поликлиника № 4 г. Йошкар-Ола</t>
  </si>
  <si>
    <t>ул. Прохорова, 18, Йошкар-Ола</t>
  </si>
  <si>
    <t>+7 (8362) 73-23-13, +7 (8362) 73-22-10, +7 (8362) 73-23-03, +7 (8362) 73-34-83, +7 (8362) 73-23-40, +7 (8362) 73-23-41, +7 (8362) 73-84-83, +7 (8362) 73-23-02, +7 (8362) 73-23-20, +7 (8362) 73-23-42, +7 (8362) 73-23-22</t>
  </si>
  <si>
    <t>http://mari-el.gov.ru/minzdrav/gp4</t>
  </si>
  <si>
    <t>пн-пт 07:00–19:00; сб 08:00–16:00</t>
  </si>
  <si>
    <t>http://facebook.com/гбу-рмэ-поликлиника-4-г-йошкар-олы-223793584440075</t>
  </si>
  <si>
    <t>47.842042 56.635737</t>
  </si>
  <si>
    <t>Прогресс-М</t>
  </si>
  <si>
    <t>+7 (8362) 31-01-23</t>
  </si>
  <si>
    <t>Грифон</t>
  </si>
  <si>
    <t>ул. Свердлова, 40А, Йошкар-Ола</t>
  </si>
  <si>
    <t>47.869515 56.642184</t>
  </si>
  <si>
    <t>Алко-Сервис</t>
  </si>
  <si>
    <t>ул. Карла Маркса, 129, Йошкар-Ола</t>
  </si>
  <si>
    <t>+7 (8362) 30-75-00</t>
  </si>
  <si>
    <t>Магазин алкогольных напитков, Магазин продуктов</t>
  </si>
  <si>
    <t>пн-пт 09:00–19:00; сб 09:00–18:00; вс 09:00–16:00</t>
  </si>
  <si>
    <t>47.884259 56.61629</t>
  </si>
  <si>
    <t>ПКФ Анис</t>
  </si>
  <si>
    <t>ул. Васильева, 3А, Йошкар-Ола</t>
  </si>
  <si>
    <t>+7 (8362) 58-13-40, +7 (8362) 73-18-51</t>
  </si>
  <si>
    <t>47.831884 56.636065</t>
  </si>
  <si>
    <t>Спортивно-технический клуб</t>
  </si>
  <si>
    <t>+7 (8362) 56-58-47, +7 (8362) 45-38-76</t>
  </si>
  <si>
    <t>Клуб для детей и подростков, Спортивно-развлекательный центр, Спортивный клуб, секция</t>
  </si>
  <si>
    <t>47.890086 56.639743</t>
  </si>
  <si>
    <t>Снабжение</t>
  </si>
  <si>
    <t>ул. Луначарского, 26А, Йошкар-Ола</t>
  </si>
  <si>
    <t>+7 (8362) 56-42-18, +7 (8362) 74-07-97, +7 (8362) 56-41-37, +7 (8362) 74-10-62</t>
  </si>
  <si>
    <t>+7 (902) 329-99-03</t>
  </si>
  <si>
    <t xml:space="preserve">penetron-y-ola@mail.ru, support@pulscen.ru, u003esupport@pulscen.ru  </t>
  </si>
  <si>
    <t>http://kttron-mari.pulscen.ru/</t>
  </si>
  <si>
    <t>Изоляционные материалы</t>
  </si>
  <si>
    <t>47.9033 56.6159</t>
  </si>
  <si>
    <t>Данилова Т. В. ЧП</t>
  </si>
  <si>
    <t>+7 (8362) 72-01-96</t>
  </si>
  <si>
    <t>Константин К</t>
  </si>
  <si>
    <t>ул. Баумана, 100Б, Йошкар-Ола</t>
  </si>
  <si>
    <t>+7 (8362) 73-08-24, +7 (8362) 35-66-33, +7 (8362) 28-55-45, +7 (8362) 38-20-09</t>
  </si>
  <si>
    <t>Автокосметика, автохимия, Смазочные материалы</t>
  </si>
  <si>
    <t>47.855878 56.628372</t>
  </si>
  <si>
    <t>Западный-Апельсин</t>
  </si>
  <si>
    <t>ул. Строителей, 1, Йошкар-Ола</t>
  </si>
  <si>
    <t>47.832463 56.640011</t>
  </si>
  <si>
    <t>АвтоСила</t>
  </si>
  <si>
    <t>+7 (8362) 46-79-73, +7 (8362) 76-79-73</t>
  </si>
  <si>
    <t>Автоаксессуары, Автокосметика, автохимия, Магазин автозапчастей и автотоваров</t>
  </si>
  <si>
    <t>47.902306 56.64886</t>
  </si>
  <si>
    <t>СтомаТом</t>
  </si>
  <si>
    <t>ул. Карла Маркса, 113, Йошкар-Ола</t>
  </si>
  <si>
    <t>+7 (8362) 45-66-77, +7 (8362) 93-23-23</t>
  </si>
  <si>
    <t xml:space="preserve">stomatom013@mail.ru  </t>
  </si>
  <si>
    <t>http://stomatom.ru/</t>
  </si>
  <si>
    <t>Изготовление протезно-ортопедических изделий, Медцентр, клиника, Ортопедический салон, Стоматологическая клиника</t>
  </si>
  <si>
    <t>https://vk.com/stomatom</t>
  </si>
  <si>
    <t>47.887967 56.621597</t>
  </si>
  <si>
    <t>Ваш Ювелир</t>
  </si>
  <si>
    <t>ул. Панфилова, 21, Йошкар-Ола</t>
  </si>
  <si>
    <t>+7 (8362) 45-23-50</t>
  </si>
  <si>
    <t>+7 (937) 113-40-01</t>
  </si>
  <si>
    <t xml:space="preserve">info@penobet.ru, t.nikulina@formbeton.ru, service@stroymehanika.ru </t>
  </si>
  <si>
    <t>Ювелирная мастерская, Ювелирные изделия оптом, Ювелирные камни</t>
  </si>
  <si>
    <t>пн-пт 10:00–18:00; сб 10:00–15:00</t>
  </si>
  <si>
    <t>https://vk.com/club116767938</t>
  </si>
  <si>
    <t>https://www.instagram.com/vashuvelir2?igshid=1a7zfb06cdndj</t>
  </si>
  <si>
    <t>47.883295 56.623999</t>
  </si>
  <si>
    <t>Канон-М</t>
  </si>
  <si>
    <t>ул. Карла Маркса, 77А, Йошкар-Ола</t>
  </si>
  <si>
    <t>+7 (8362) 99-14-04</t>
  </si>
  <si>
    <t>Стройматериалы оптом</t>
  </si>
  <si>
    <t>47.887023 56.620756</t>
  </si>
  <si>
    <t>Хлебозавод № 1</t>
  </si>
  <si>
    <t>ул. Гончарова, 25А, Йошкар-Ола</t>
  </si>
  <si>
    <t>+7 (8362) 45-35-20</t>
  </si>
  <si>
    <t>https://www.игрушкинагончарова.рф/</t>
  </si>
  <si>
    <t>Детские игрушки и игры, Оптовый магазин</t>
  </si>
  <si>
    <t>пн-пт 08:00–18:00; сб 09:00–15:00</t>
  </si>
  <si>
    <t>47.884957 56.615763</t>
  </si>
  <si>
    <t>Мир фурнитуры</t>
  </si>
  <si>
    <t>ул. Луначарского, 28, Йошкар-Ола</t>
  </si>
  <si>
    <t>+7 (8362) 56-40-40, +7 (8362) 30-40-56, +7 (8362) 30-59-41</t>
  </si>
  <si>
    <t>+7 (967) 757-59-41</t>
  </si>
  <si>
    <t xml:space="preserve">manager@mirfurnitur.com </t>
  </si>
  <si>
    <t>http://mirfurnitur.com/</t>
  </si>
  <si>
    <t>Мебель для офиса, Мебель на заказ, Мебельная фурнитура и комплектующие</t>
  </si>
  <si>
    <t>пн-пт 08:00–17:30; сб 09:00–14:00</t>
  </si>
  <si>
    <t>https://www.instagram.com/mirfurnitur/</t>
  </si>
  <si>
    <t>47.9074 56.6151</t>
  </si>
  <si>
    <t>Детский сад № 87 Кече</t>
  </si>
  <si>
    <t>Кокшайский пр., 6, Йошкар-Ола</t>
  </si>
  <si>
    <t>+7 (8362) 64-17-74, +7 (8362) 55-74-64</t>
  </si>
  <si>
    <t xml:space="preserve">detskiisad87@mail.ru, uoa-cro@yandex.ru  </t>
  </si>
  <si>
    <t>http://edu.mari.ru/mouo-yoshkarola/dou87</t>
  </si>
  <si>
    <t>47.88366 56.621952</t>
  </si>
  <si>
    <t>АвтоТехник</t>
  </si>
  <si>
    <t>ул. Машиностроителей, 15А, Йошкар-Ола</t>
  </si>
  <si>
    <t>+7 (8362) 20-51-51, +7 (8362) 93-32-24</t>
  </si>
  <si>
    <t>+7 (902) 738-93-31</t>
  </si>
  <si>
    <t>http://avtotechnik12.ru/</t>
  </si>
  <si>
    <t>Автосервис, автотехцентр, Ремонт двигателей, Экспресс-пункт замены масла</t>
  </si>
  <si>
    <t>https://vk.com/club179281478</t>
  </si>
  <si>
    <t>https://www.instagram.com/avto.tekhnik</t>
  </si>
  <si>
    <t>47.875743 56.642622</t>
  </si>
  <si>
    <t>Veka</t>
  </si>
  <si>
    <t>бул. Победы, 15А, Йошкар-Ола</t>
  </si>
  <si>
    <t>+7 (8362) 31-29-29, +7 (8362) 42-50-30</t>
  </si>
  <si>
    <t>+7 (8362) 42-50-30</t>
  </si>
  <si>
    <t>Окна, Фасады и фасадные системы</t>
  </si>
  <si>
    <t>47.880609 56.63808</t>
  </si>
  <si>
    <t>Моя семья</t>
  </si>
  <si>
    <t>+7 (8362) 41-43-73</t>
  </si>
  <si>
    <t>47.882632 56.63835</t>
  </si>
  <si>
    <t>Аквастрой</t>
  </si>
  <si>
    <t>ул. Прохорова, 45, Йошкар-Ола</t>
  </si>
  <si>
    <t>+7 (8362) 55-36-22</t>
  </si>
  <si>
    <t>+7 (8362) 73-09-37</t>
  </si>
  <si>
    <t>Сантехника оптом, Стройматериалы оптом</t>
  </si>
  <si>
    <t>47.833861 56.629124</t>
  </si>
  <si>
    <t>Идеал-Оптика</t>
  </si>
  <si>
    <t>ул. Яналова, 4, Йошкар-Ола</t>
  </si>
  <si>
    <t>+7 (8362) 43-01-32</t>
  </si>
  <si>
    <t xml:space="preserve">opticservis@gmail.com, firma-optic@yandex.ru, ju18lia11985@mail.ru  </t>
  </si>
  <si>
    <t>http://ideal-optica.ru/, http://www.firma-optic.ru/</t>
  </si>
  <si>
    <t>https://vk.com/ideal_optica</t>
  </si>
  <si>
    <t>https://www.facebook.com/IdealOpticaKazan/</t>
  </si>
  <si>
    <t>47.882441 56.621761</t>
  </si>
  <si>
    <t>Медведевское РТП</t>
  </si>
  <si>
    <t>ул. Машиностроителей, 118А, Йошкар-Ола</t>
  </si>
  <si>
    <t>Сельскохозяйственная техника</t>
  </si>
  <si>
    <t>47.833384 56.628797</t>
  </si>
  <si>
    <t>Детский сад № 74 Родничок</t>
  </si>
  <si>
    <t>бул. Чавайна, 21А, Йошкар-Ола</t>
  </si>
  <si>
    <t>+7 (8362) 21-55-76</t>
  </si>
  <si>
    <t xml:space="preserve">detcad74@yandex.ru, doy74@mail.ru, uoa-yoskar-ola@yandex.ru  </t>
  </si>
  <si>
    <t>http://edu.mari.ru/mouo-yoshkarola/dou74</t>
  </si>
  <si>
    <t>47.912633 56.630413</t>
  </si>
  <si>
    <t>Коробейники</t>
  </si>
  <si>
    <t>ул. Палантая, 112, Йошкар-Ола</t>
  </si>
  <si>
    <t>+7 (8362) 65-69-92</t>
  </si>
  <si>
    <t>ежедневно, 09:00–17:00</t>
  </si>
  <si>
    <t>47.8872 56.6327</t>
  </si>
  <si>
    <t>Академия красоты</t>
  </si>
  <si>
    <t>ул. Рябинина, 18А, Йошкар-Ола</t>
  </si>
  <si>
    <t>+7 (8362) 72-44-46</t>
  </si>
  <si>
    <t xml:space="preserve">610010@mail.ru </t>
  </si>
  <si>
    <t>http://a-beauty.ru/</t>
  </si>
  <si>
    <t>47.875388 56.63874</t>
  </si>
  <si>
    <t>ГБОУ ДПО Республики Марий Эл Региональный методический центр развития квалификации</t>
  </si>
  <si>
    <t>Ленинский просп., 24Б, Йошкар-Ола</t>
  </si>
  <si>
    <t>+7 (8362) 45-70-57</t>
  </si>
  <si>
    <t>Инспекции, комиссии, контрольные органы</t>
  </si>
  <si>
    <t>Управление образованием, Центр повышения квалификации</t>
  </si>
  <si>
    <t>47.885468 56.631939</t>
  </si>
  <si>
    <t>Афродита</t>
  </si>
  <si>
    <t>бул. Победы, 35, Йошкар-Ола</t>
  </si>
  <si>
    <t>+7 (8362) 72-88-15</t>
  </si>
  <si>
    <t>пн-пт 08:00–19:00; сб 08:00–17:00; вс 09:00–16:00</t>
  </si>
  <si>
    <t>47.873324 56.639496</t>
  </si>
  <si>
    <t>Аранеус</t>
  </si>
  <si>
    <t>ул. Прохорова, 41, Йошкар-Ола</t>
  </si>
  <si>
    <t>+7 (8362) 63-83-83, +7 (8362) 63-83-80, +7 (8362) 64-11-03</t>
  </si>
  <si>
    <t>+7 (961) 374-99-65</t>
  </si>
  <si>
    <t xml:space="preserve">info@araneus.ru  </t>
  </si>
  <si>
    <t>http://araneus.ru/</t>
  </si>
  <si>
    <t>47.831915 56.630852</t>
  </si>
  <si>
    <t>Ваш консультант</t>
  </si>
  <si>
    <t>ул. Пушкина, 8, Йошкар-Ола</t>
  </si>
  <si>
    <t>+7 (8362) 45-29-01, +7 (8362) 31-50-92, +7 (8362) 92-91-10, +7 (8362) 99-16-16</t>
  </si>
  <si>
    <t>http://vkonsult.business.site/</t>
  </si>
  <si>
    <t>Аудиторская компания, Бухгалтерские услуги</t>
  </si>
  <si>
    <t>47.89693 56.632304</t>
  </si>
  <si>
    <t>Мартехстрой</t>
  </si>
  <si>
    <t>ул. Чехова, 14, Йошкар-Ола</t>
  </si>
  <si>
    <t>+7 (8362) 45-55-11, +7 (8362) 45-00-39</t>
  </si>
  <si>
    <t>Инжиниринг, Монтажные работы, Системы водоснабжения, отопления, канализации</t>
  </si>
  <si>
    <t>47.900614 56.642191</t>
  </si>
  <si>
    <t>Венеция</t>
  </si>
  <si>
    <t>ул. Баумана, 28А, Йошкар-Ола</t>
  </si>
  <si>
    <t>+7 (8362) 73-31-95, +7 (8362) 44-44-34</t>
  </si>
  <si>
    <t>+7 (902) 744-44-34</t>
  </si>
  <si>
    <t>Баня, Сауна</t>
  </si>
  <si>
    <t>47.847613 56.635066</t>
  </si>
  <si>
    <t>ТФ Ивица</t>
  </si>
  <si>
    <t>ул. Крылова, 53Б, Йошкар-Ола</t>
  </si>
  <si>
    <t>Лесозаготовка, продажа леса, Пиломатериалы</t>
  </si>
  <si>
    <t>47.839277 56.617923</t>
  </si>
  <si>
    <t>Модуль-Сервис</t>
  </si>
  <si>
    <t>Кремлёвская ул., 24, Йошкар-Ола</t>
  </si>
  <si>
    <t>+7 (8362) 45-27-59</t>
  </si>
  <si>
    <t>47.891173 56.639525</t>
  </si>
  <si>
    <t>Нашим Детям</t>
  </si>
  <si>
    <t>бул. Данилова, 6, Йошкар-Ола</t>
  </si>
  <si>
    <t>+7 (8362) 91-32-49, +7 (8362) 91-72-85, +7 (8362) 22-84-05</t>
  </si>
  <si>
    <t>+7 (902) 671-32-49, +7 (902) 671-72-85</t>
  </si>
  <si>
    <t xml:space="preserve">deti.yola@yandex.ru, ndetyam@mail.ru  </t>
  </si>
  <si>
    <t>http://ndetyam.ru/</t>
  </si>
  <si>
    <t>Детские товары оптом, Магазин детской одежды</t>
  </si>
  <si>
    <t>47.94889 56.629055</t>
  </si>
  <si>
    <t>Агропромтранс-2 АТП</t>
  </si>
  <si>
    <t>Транспортная ул., 74, Йошкар-Ола</t>
  </si>
  <si>
    <t>+7 (8362) 11-78-50</t>
  </si>
  <si>
    <t>Автотранспортное предприятие, автобаза</t>
  </si>
  <si>
    <t>47.8503 56.664969</t>
  </si>
  <si>
    <t>ТСЦ Торгтехника</t>
  </si>
  <si>
    <t>ул. Строителей, 105, Йошкар-Ола</t>
  </si>
  <si>
    <t>Весы и весоизмерительное оборудование, Торговое оборудование</t>
  </si>
  <si>
    <t>47.883708 56.610091</t>
  </si>
  <si>
    <t>Марийский Мемориальный народный музей истории ГУЛАГа</t>
  </si>
  <si>
    <t>Кремлёвская ул., 2, Йошкар-Ола</t>
  </si>
  <si>
    <t>+7 (902) 439-00-03</t>
  </si>
  <si>
    <t xml:space="preserve">sp10@vomiac.ru </t>
  </si>
  <si>
    <t>Музей</t>
  </si>
  <si>
    <t>http://vk.com/club34285617</t>
  </si>
  <si>
    <t>47.899047 56.637812</t>
  </si>
  <si>
    <t>Орфей</t>
  </si>
  <si>
    <t>Первомайская ул., 111, корп. 1, Йошкар-Ола</t>
  </si>
  <si>
    <t>+7 (8362) 94-60-85</t>
  </si>
  <si>
    <t>47.8889 56.641</t>
  </si>
  <si>
    <t>Альт 2 НПП</t>
  </si>
  <si>
    <t>ул. Машиностроителей, 112А, Йошкар-Ола</t>
  </si>
  <si>
    <t>47.833631 56.626687</t>
  </si>
  <si>
    <t>Мисс Марий Эл</t>
  </si>
  <si>
    <t>Берёзовая ул., 9, село Семёновка</t>
  </si>
  <si>
    <t>+7 (8362) 73-24-48</t>
  </si>
  <si>
    <t>+7 (917) 710-55-67</t>
  </si>
  <si>
    <t xml:space="preserve">kapelkina.nastya@yandex.ru </t>
  </si>
  <si>
    <t>http://miss-mariel.com/</t>
  </si>
  <si>
    <t>Организации</t>
  </si>
  <si>
    <t>Модельное агентство</t>
  </si>
  <si>
    <t>47.8691 56.6399</t>
  </si>
  <si>
    <t>Анорт</t>
  </si>
  <si>
    <t>+7 (8362) 65-10-66</t>
  </si>
  <si>
    <t>Интернет-маркетинг, Рекламное агентство, Студия веб-дизайна</t>
  </si>
  <si>
    <t>Фигаро</t>
  </si>
  <si>
    <t>+7 (937) 110-60-88</t>
  </si>
  <si>
    <t>Системы вентиляции</t>
  </si>
  <si>
    <t>Окна Вашего Дома</t>
  </si>
  <si>
    <t>+7 (8362) 52-52-72</t>
  </si>
  <si>
    <t>+7 (917) 717-15-00</t>
  </si>
  <si>
    <t>пн-пт 09:00–18:00, перерыв 13:00–14:00; сб 10:00–14:00</t>
  </si>
  <si>
    <t>Марийский национальный детский сад № 29 Ший Онгыр</t>
  </si>
  <si>
    <t>ул. Анциферова, 12А, Йошкар-Ола</t>
  </si>
  <si>
    <t>+7 (8362) 55-40-82, +7 (8362) 55-44-87, +7 (36225) 5-44-87</t>
  </si>
  <si>
    <t>+7 (8362) 55-40-82</t>
  </si>
  <si>
    <t xml:space="preserve">doy-29@yandex.ru, uoa-yoshkar-ola@yandex.ru  </t>
  </si>
  <si>
    <t>http://edu.mari.ru/mouo-yoshkarola/dou29</t>
  </si>
  <si>
    <t>47.863622 56.644107</t>
  </si>
  <si>
    <t>Стройпрофиль</t>
  </si>
  <si>
    <t>Красноармейская ул., 105А, Йошкар-Ола</t>
  </si>
  <si>
    <t xml:space="preserve">stroimari@yandex.ru  </t>
  </si>
  <si>
    <t>http://vk.com/stroyprofil_yoshkar_ola</t>
  </si>
  <si>
    <t>47.862694 56.644848</t>
  </si>
  <si>
    <t>Департамент труда и занятости населения</t>
  </si>
  <si>
    <t>Ленинский просп., 24А, Йошкар-Ола</t>
  </si>
  <si>
    <t>+7 (8362) 41-35-61</t>
  </si>
  <si>
    <t>http://portal.mari.ru/fgszn/Pages/about.aspx</t>
  </si>
  <si>
    <t>Кадры, консалтинг</t>
  </si>
  <si>
    <t>Центр занятости</t>
  </si>
  <si>
    <t>47.885735 56.63214</t>
  </si>
  <si>
    <t>Эдельвейс Общественная Организация Инвалидов</t>
  </si>
  <si>
    <t>Профсоюзный Комитет Мебельной Фабрики</t>
  </si>
  <si>
    <t>+7 (8362) 55-55-63</t>
  </si>
  <si>
    <t>Детский сад № 49 Лесная сказка</t>
  </si>
  <si>
    <t>3-я Целинная ул., 29, Йошкар-Ола</t>
  </si>
  <si>
    <t>+7 (8362) 64-25-87</t>
  </si>
  <si>
    <t xml:space="preserve">forest-49@mail.ru  </t>
  </si>
  <si>
    <t>http://edu.mari.ru/mouo-yoshkarola/dou49</t>
  </si>
  <si>
    <t>47.936242 56.63011</t>
  </si>
  <si>
    <t>Шоко.ru</t>
  </si>
  <si>
    <t>Россия, Республика Марий Эл, Йошкар-Ола, микрорайон Марково</t>
  </si>
  <si>
    <t>8 (800) 777-04-64</t>
  </si>
  <si>
    <t xml:space="preserve">mail@shocko.ru, shop@shocko.ru, shockoru@yandex.ru  </t>
  </si>
  <si>
    <t>https://shocko.ru/</t>
  </si>
  <si>
    <t>Изготовление и оптовая продажа сувениров, Кондитерская</t>
  </si>
  <si>
    <t>https://vk.com/shocko_ru</t>
  </si>
  <si>
    <t>https://twitter.com/shocko_ru</t>
  </si>
  <si>
    <t>https://www.facebook.com/shockoru</t>
  </si>
  <si>
    <t>https://www.instagram.com/shocko.ru</t>
  </si>
  <si>
    <t>47.872077 56.621114</t>
  </si>
  <si>
    <t>Столовая</t>
  </si>
  <si>
    <t>Комсомольская ул., 139, Йошкар-Ола</t>
  </si>
  <si>
    <t>+7 (8362) 96-61-52</t>
  </si>
  <si>
    <t>47.89481 56.637817</t>
  </si>
  <si>
    <t>Би-би-ка</t>
  </si>
  <si>
    <t>+7 (8362) 61-06-10, +7 (8362) 26-22-62, +7 (8362) 71-07-10</t>
  </si>
  <si>
    <t>47.8984 56.6474</t>
  </si>
  <si>
    <t>Грация</t>
  </si>
  <si>
    <t>Красноармейская ул., 57, Йошкар-Ола</t>
  </si>
  <si>
    <t>+7 (8362) 42-56-71</t>
  </si>
  <si>
    <t xml:space="preserve">salongraciya12@gmail.com, valek-23@mail.ru  </t>
  </si>
  <si>
    <t>http://graciya12.ru/</t>
  </si>
  <si>
    <t>http://vk.com/graciya425671</t>
  </si>
  <si>
    <t>47.88741 56.641971</t>
  </si>
  <si>
    <t>Тёплый дом</t>
  </si>
  <si>
    <t>ул. Волкова, 108, Йошкар-Ола</t>
  </si>
  <si>
    <t>+7 (8362) 45-01-28</t>
  </si>
  <si>
    <t>47.898477 56.640701</t>
  </si>
  <si>
    <t>Центр Кодекс Марий Эл</t>
  </si>
  <si>
    <t>+7 (8362) 45-53-74</t>
  </si>
  <si>
    <t>LeVall</t>
  </si>
  <si>
    <t>8 (800) 234-81-18, +7 (8362) 45-21-00, +7 (8362) 42-87-50, +7 (8362) 35-30-35, +7 (8362) 45-07-09</t>
  </si>
  <si>
    <t>+7 (927) 888-77-08</t>
  </si>
  <si>
    <t xml:space="preserve">21vek012@gmail.com </t>
  </si>
  <si>
    <t>http://www.levall.ru/, http://21vek12.ru/, http://ru.kari.com/</t>
  </si>
  <si>
    <t>Магазин верхней одежды, Магазин одежды</t>
  </si>
  <si>
    <t>https://vk.com/maisonlevall</t>
  </si>
  <si>
    <t>https://twitter.com/maisonlevall</t>
  </si>
  <si>
    <t>https://www.facebook.com/shopkari</t>
  </si>
  <si>
    <t>https://www.instagram.com/kari_club</t>
  </si>
  <si>
    <t>47.892929 56.638569</t>
  </si>
  <si>
    <t>Марийский политехнический техникум</t>
  </si>
  <si>
    <t>ул. Строителей, 25, Йошкар-Ола</t>
  </si>
  <si>
    <t>+7 (8362) 73-01-34, +7 (8362) 73-04-71, +7 (8362) 73-03-13, +7 (8362) 73-02-13</t>
  </si>
  <si>
    <t>+7 (8362) 73-01-34</t>
  </si>
  <si>
    <t xml:space="preserve">scol2@mail.ru, pochtamio@gmail.com, scharhipov@yandex.ru </t>
  </si>
  <si>
    <t>http://edu.mari.ru/prof/ou29/</t>
  </si>
  <si>
    <t>Техникум</t>
  </si>
  <si>
    <t>http://vk.com/avtoschool12</t>
  </si>
  <si>
    <t>47.841846 56.632822</t>
  </si>
  <si>
    <t>Ника</t>
  </si>
  <si>
    <t>бул. Чавайна, 36А, Йошкар-Ола</t>
  </si>
  <si>
    <t>+7 (8362) 56-70-07</t>
  </si>
  <si>
    <t>пн-пт 08:30–17:30; сб 08:30–12:30</t>
  </si>
  <si>
    <t>GoodZone</t>
  </si>
  <si>
    <t>+7 (8362) 95-29-41</t>
  </si>
  <si>
    <t>+7 (917) 701-05-55</t>
  </si>
  <si>
    <t xml:space="preserve">goodzone_12@mail.ru  </t>
  </si>
  <si>
    <t>Кадровое агентство</t>
  </si>
  <si>
    <t>http://vk.com/goodzone12</t>
  </si>
  <si>
    <t>Магазин Торгового Оборудования Mdm12</t>
  </si>
  <si>
    <t>ул. Пархоменко, 6, Йошкар-Ола</t>
  </si>
  <si>
    <t>+7 (8362) 42-02-03</t>
  </si>
  <si>
    <t>+7 (937) 110-95-15, +7 (937) 119-75-65, +7 (917) 719-71-43</t>
  </si>
  <si>
    <t xml:space="preserve">mdm12@mail.ru  </t>
  </si>
  <si>
    <t>https://mdm12.ru/</t>
  </si>
  <si>
    <t>Мебельная промышленность</t>
  </si>
  <si>
    <t>Металлическая мебель, Сейфы, Торговое оборудование</t>
  </si>
  <si>
    <t>пн-пт 09:00–18:00; сб 10:00–16:00; вс 10:00–14:00</t>
  </si>
  <si>
    <t>47.878177 56.631201</t>
  </si>
  <si>
    <t>Берег</t>
  </si>
  <si>
    <t>+7 (8362) 56-64-23</t>
  </si>
  <si>
    <t xml:space="preserve">allmsk@msk.bereg.net, office@spb.bereg.net, office@arh.bereg.net, alll@vldv.bereg.net, volg@yug.bereg.net  </t>
  </si>
  <si>
    <t>https://www.bereg.net/</t>
  </si>
  <si>
    <t>Производство и продажа бумаги</t>
  </si>
  <si>
    <t>https://vk.com/bereg_to4ka_net</t>
  </si>
  <si>
    <t>https://www.facebook.com/bereg.net</t>
  </si>
  <si>
    <t>https://www.instagram.com/bereg_msk</t>
  </si>
  <si>
    <t>Академия</t>
  </si>
  <si>
    <t>Ленинский просп., 24Д, Йошкар-Ола</t>
  </si>
  <si>
    <t>+7 (902) 466-71-17, +7 (937) 111-11-55</t>
  </si>
  <si>
    <t xml:space="preserve">kyk-academy@mail.ru  </t>
  </si>
  <si>
    <t>https://academy555.ru/</t>
  </si>
  <si>
    <t>ВУЗ, Услуги репетиторов, Учебный центр</t>
  </si>
  <si>
    <t>ежедневно, 08:00–17:00, перерыв 12:00–13:00</t>
  </si>
  <si>
    <t>https://vk.com/academy_12</t>
  </si>
  <si>
    <t>https://www.instagram.com/diplom_12/</t>
  </si>
  <si>
    <t>47.888249 56.631235</t>
  </si>
  <si>
    <t>Фарб</t>
  </si>
  <si>
    <t>ул. Машиностроителей, 16А, Йошкар-Ола</t>
  </si>
  <si>
    <t>+7 (8362) 40-54-05</t>
  </si>
  <si>
    <t xml:space="preserve">service@farbm.ru  </t>
  </si>
  <si>
    <t>https://vk.com/farbm</t>
  </si>
  <si>
    <t>https://twitter.com/farb_m</t>
  </si>
  <si>
    <t>https://www.instagram.com/farb_m</t>
  </si>
  <si>
    <t>47.871413 56.642773</t>
  </si>
  <si>
    <t>Ателье мебели Арт</t>
  </si>
  <si>
    <t>ул. Кирова, 9, Йошкар-Ола</t>
  </si>
  <si>
    <t>+7 (8362) 99-20-97</t>
  </si>
  <si>
    <t>Мебельная фабрика</t>
  </si>
  <si>
    <t>47.928121 56.630669</t>
  </si>
  <si>
    <t>Марийское предприятие Производственной комплектации</t>
  </si>
  <si>
    <t>+7 (8362) 73-28-23, +7 (8362) 73-28-30</t>
  </si>
  <si>
    <t>Лакокрасочные материалы, Строительный магазин, Стройматериалы оптом</t>
  </si>
  <si>
    <t>ежедневно, 08:00–17:00</t>
  </si>
  <si>
    <t>Аргон</t>
  </si>
  <si>
    <t>+7 (8362) 74-07-59</t>
  </si>
  <si>
    <t>Магазин алкогольных напитков, Магазин воды</t>
  </si>
  <si>
    <t>пн-пт 08:30–16:30; сб 08:30–13:30</t>
  </si>
  <si>
    <t>Техник</t>
  </si>
  <si>
    <t>ул. Строителей, 94, Йошкар-Ола</t>
  </si>
  <si>
    <t>+7 (8362) 52-03-52</t>
  </si>
  <si>
    <t xml:space="preserve">thermopro@yandex.ru  </t>
  </si>
  <si>
    <t>http://hemprom.ru/</t>
  </si>
  <si>
    <t>Товары для отдыха и туризма</t>
  </si>
  <si>
    <t>47.86311 56.615307</t>
  </si>
  <si>
    <t>Компания Главресурсы</t>
  </si>
  <si>
    <t>Складская ул., 22А, Йошкар-Ола</t>
  </si>
  <si>
    <t>+7 (8362) 64-17-22, +7 (8362) 45-54-71</t>
  </si>
  <si>
    <t>+7 (917) 717-93-71</t>
  </si>
  <si>
    <t>+7 (8362) 42-54-47</t>
  </si>
  <si>
    <t>http://glavresurs.business.site/</t>
  </si>
  <si>
    <t>Продажа и аренда коммерческой недвижимости, Складские услуги</t>
  </si>
  <si>
    <t>47.895751 56.617166</t>
  </si>
  <si>
    <t>Промснаб</t>
  </si>
  <si>
    <t>ул. Соловьёва, 22, Йошкар-Ола</t>
  </si>
  <si>
    <t>+7 (8362) 52-03-43, +7 (8362) 51-02-22</t>
  </si>
  <si>
    <t>Промышленное оборудование, Системы вентиляции, Электродвигатели</t>
  </si>
  <si>
    <t>пн-пт 08:00–17:00, перерыв 12:00–12:30</t>
  </si>
  <si>
    <t>47.870988 56.623885</t>
  </si>
  <si>
    <t>МебельКомплект</t>
  </si>
  <si>
    <t>+7 (917) 706-78-22, +7 (937) 937-14-01</t>
  </si>
  <si>
    <t xml:space="preserve">mebelkomplekt12@bk.ru  </t>
  </si>
  <si>
    <t>http://me-kom.ru/</t>
  </si>
  <si>
    <t>Мебель для кухни, Мебельная фурнитура и комплектующие, Шкафы-купе</t>
  </si>
  <si>
    <t>YVES ROCHER FRANCE</t>
  </si>
  <si>
    <t>+7 (8362) 41-19-63</t>
  </si>
  <si>
    <t xml:space="preserve">exemple@exemple.com  </t>
  </si>
  <si>
    <t>https://www.yves-rocher.ru/</t>
  </si>
  <si>
    <t>Косметология, Магазин парфюмерии и косметики, Салон красоты</t>
  </si>
  <si>
    <t>https://vk.com/yves.rocher.russia</t>
  </si>
  <si>
    <t>https://ok.ru/yves.rocher.russia</t>
  </si>
  <si>
    <t>https://www.facebook.com/YvesRocherRussia</t>
  </si>
  <si>
    <t>https://www.instagram.com/yvesrocher_russia/</t>
  </si>
  <si>
    <t>47.884861 56.635575</t>
  </si>
  <si>
    <t>Capital-E</t>
  </si>
  <si>
    <t>+7 (8362) 46-09-09</t>
  </si>
  <si>
    <t>Электронная коммерция</t>
  </si>
  <si>
    <t>ежедневно, 09:00–23:00</t>
  </si>
  <si>
    <t>Заречный</t>
  </si>
  <si>
    <t>Советская ул., 176, Йошкар-Ола</t>
  </si>
  <si>
    <t>+7 (8362) 70-30-50, +7 (8362) 42-39-02</t>
  </si>
  <si>
    <t>Комбинат питания, Столовая</t>
  </si>
  <si>
    <t>47.880833 56.622984</t>
  </si>
  <si>
    <t>Национальный музей Республики Марий Эл имени Тимофея Евсеева</t>
  </si>
  <si>
    <t>Советская ул., 153, Йошкар-Ола</t>
  </si>
  <si>
    <t>+7 (8362) 34-75-30, +7 (8362) 34-75-32, +7 (8362) 34-75-31</t>
  </si>
  <si>
    <t>http://fumus.ru/</t>
  </si>
  <si>
    <t>Выставочный центр, Музей</t>
  </si>
  <si>
    <t>ср-вс 10:00–18:00</t>
  </si>
  <si>
    <t>http://vk.com/evseevmuseum</t>
  </si>
  <si>
    <t>47.89434 56.630143</t>
  </si>
  <si>
    <t>СМебель</t>
  </si>
  <si>
    <t>ул. Пушкина, 34А, Йошкар-Ола</t>
  </si>
  <si>
    <t>+7 (8362) 28-49-49, +7 (8362) 43-18-18</t>
  </si>
  <si>
    <t>+7 (902) 438-49-49</t>
  </si>
  <si>
    <t xml:space="preserve">support@lpmotor.ru </t>
  </si>
  <si>
    <t>Мебель на заказ, Студия дизайна</t>
  </si>
  <si>
    <t>47.885639 56.635095</t>
  </si>
  <si>
    <t>СМУ № 14</t>
  </si>
  <si>
    <t>ул. Воинов-Интернационалистов, 24, Йошкар-Ола</t>
  </si>
  <si>
    <t>+7 (8362) 21-50-40</t>
  </si>
  <si>
    <t>Ремонт промышленного оборудования</t>
  </si>
  <si>
    <t>47.925408 56.635174</t>
  </si>
  <si>
    <t>Звездочка</t>
  </si>
  <si>
    <t>ул. Подольских Курсантов, 8, Йошкар-Ола</t>
  </si>
  <si>
    <t>+7 (8362) 41-90-81, +7 (8362) 41-90-91</t>
  </si>
  <si>
    <t>47.869564 56.651165</t>
  </si>
  <si>
    <t>Кондор-Плюс</t>
  </si>
  <si>
    <t>ул. Дружбы, 107, Йошкар-Ола</t>
  </si>
  <si>
    <t>+7 (8362) 60-03-00</t>
  </si>
  <si>
    <t xml:space="preserve">condor_avto@mail.ru, cheryauto@chery.ru  </t>
  </si>
  <si>
    <t>http://condor12.ru/, http://www.chery.ru/</t>
  </si>
  <si>
    <t>Автомойка, Автосалон, Автосервис, автотехцентр</t>
  </si>
  <si>
    <t>https://vk.com/kondor12rus</t>
  </si>
  <si>
    <t>https://www.facebook.com/pages/chery/199226306809125</t>
  </si>
  <si>
    <t>47.872784 56.653746</t>
  </si>
  <si>
    <t>Меделия</t>
  </si>
  <si>
    <t>Первомайская ул., 180А, Йошкар-Ола</t>
  </si>
  <si>
    <t>+7 (987) 724-17-31</t>
  </si>
  <si>
    <t>пн-пт 08:00–19:00; сб,вс 09:00–18:00</t>
  </si>
  <si>
    <t>47.877564 56.629431</t>
  </si>
  <si>
    <t>Знак</t>
  </si>
  <si>
    <t>+7 (8362) 66-77-88</t>
  </si>
  <si>
    <t>Фирма Савва</t>
  </si>
  <si>
    <t>+7 (8362) 31-03-02</t>
  </si>
  <si>
    <t>Алюминий, алюминиевые конструкции, Двери, Окна</t>
  </si>
  <si>
    <t>47.879872 56.63313</t>
  </si>
  <si>
    <t>Вертикаль</t>
  </si>
  <si>
    <t>ул. Мира, 21, Йошкар-Ола</t>
  </si>
  <si>
    <t>+7 (8362) 64-25-74, +7 (8362) 22-82-57</t>
  </si>
  <si>
    <t xml:space="preserve">642574@mail.com, 642574@mail.ru  </t>
  </si>
  <si>
    <t>http://vertola.ru/</t>
  </si>
  <si>
    <t>Копировальный центр, Полиграфические услуги</t>
  </si>
  <si>
    <t>http://vk.com/press12</t>
  </si>
  <si>
    <t>https://twitter.com/vertikalpress</t>
  </si>
  <si>
    <t>47.951953 56.622632</t>
  </si>
  <si>
    <t>Макдоналдс</t>
  </si>
  <si>
    <t>Первомайская ул., 109А, Йошкар-Ола</t>
  </si>
  <si>
    <t>+7 (8362) 49-75-16, +7 (843) 280-06-89</t>
  </si>
  <si>
    <t xml:space="preserve">info@ru.mcd.com  </t>
  </si>
  <si>
    <t>https://mcdonalds.ru/</t>
  </si>
  <si>
    <t>Быстрое питание, Ресторан</t>
  </si>
  <si>
    <t>ежедневно, 07:00–00:00</t>
  </si>
  <si>
    <t>https://vk.com/mcdonaldsrussia</t>
  </si>
  <si>
    <t>https://ok.ru/mcdonaldsrussia</t>
  </si>
  <si>
    <t>https://www.facebook.com/mcdonaldsrussia</t>
  </si>
  <si>
    <t>https://www.youtube.com/user/McDonaldsRussia</t>
  </si>
  <si>
    <t>https://www.instagram.com/mcdonalds_rus/</t>
  </si>
  <si>
    <t>47.887657 56.638072</t>
  </si>
  <si>
    <t>Золотой кий</t>
  </si>
  <si>
    <t>Кремлёвская ул., 31Б, Йошкар-Ола</t>
  </si>
  <si>
    <t>Бильярдный клуб</t>
  </si>
  <si>
    <t>ежедневно, 09:00–04:00</t>
  </si>
  <si>
    <t>47.88343 56.640474</t>
  </si>
  <si>
    <t>Автосегмент</t>
  </si>
  <si>
    <t>ул. Суворова, 15А, Йошкар-Ола</t>
  </si>
  <si>
    <t>+7 (8362) 43-76-77, +7 (8362) 92-07-99</t>
  </si>
  <si>
    <t>пн-пт 09:00–19:00; сб 09:00–15:00</t>
  </si>
  <si>
    <t>47.8661 56.6346</t>
  </si>
  <si>
    <t>Орион</t>
  </si>
  <si>
    <t>Советская ул., 101, Йошкар-Ола</t>
  </si>
  <si>
    <t>+7 (8362) 45-10-45, +7 (8362) 45-53-67</t>
  </si>
  <si>
    <t xml:space="preserve">info@orionrs.ru, support@orionrs.ru  </t>
  </si>
  <si>
    <t>http://www.orionrs.ru/</t>
  </si>
  <si>
    <t>Бизнес-консалтинг, Компьютерный магазин, Ноутбуки и планшеты, Расходные материалы для оргтехники, Системы безопасности и охраны</t>
  </si>
  <si>
    <t>пн-пт 09:00–18:00; сб 10:00–17:00</t>
  </si>
  <si>
    <t>47.901554 56.64019</t>
  </si>
  <si>
    <t>Зиг Заг</t>
  </si>
  <si>
    <t>+7 (927) 683-46-35</t>
  </si>
  <si>
    <t>вт-вс 09:00–16:00</t>
  </si>
  <si>
    <t>47.885586 56.632992</t>
  </si>
  <si>
    <t>Рысь</t>
  </si>
  <si>
    <t>+7 (8362) 63-04-82</t>
  </si>
  <si>
    <t>47.884804 56.629169</t>
  </si>
  <si>
    <t>Хамелеон</t>
  </si>
  <si>
    <t>+7 (927) 681-96-10, +7 (902) 433-55-88, +7 (927) 875-75-75</t>
  </si>
  <si>
    <t xml:space="preserve">nastenacccp@bk.ru, 89278757575@mail.ru  </t>
  </si>
  <si>
    <t>Изготовление печатей и штампов, Печать на футболках, Фотоуслуги</t>
  </si>
  <si>
    <t>пн-пт 10:00–19:00, перерыв 13:00–14:00; сб 10:00–17:00, перерыв 13:00–14:00</t>
  </si>
  <si>
    <t>https://vk.com/hameleon12</t>
  </si>
  <si>
    <t>https://www.instagram.com/podarok_yola</t>
  </si>
  <si>
    <t>47.922084 56.630128</t>
  </si>
  <si>
    <t>Быт</t>
  </si>
  <si>
    <t>ул. Маяковского, 51, Йошкар-Ола</t>
  </si>
  <si>
    <t>47.898252 56.647395</t>
  </si>
  <si>
    <t>Птицефабрика Птичий двор, оптовый склад</t>
  </si>
  <si>
    <t>+7 (8362) 46-36-22, +7 (8362) 94-88-88, +7 (8362) 30-52-16</t>
  </si>
  <si>
    <t>http://ptichiy-dvor-ptitsefabrika.pulscen.ru/</t>
  </si>
  <si>
    <t>47.9566 56.652188</t>
  </si>
  <si>
    <t>Специализированный Сантехнический Магазин</t>
  </si>
  <si>
    <t>+7 (8362) 45-15-77, +7 (8362) 46-87-28, +7 (8362) 33-30-16</t>
  </si>
  <si>
    <t xml:space="preserve">ssm-m@inbox.ru  </t>
  </si>
  <si>
    <t>http://teplossm.ru/</t>
  </si>
  <si>
    <t>Газовое оборудование, Котлы и котельное оборудование, Крепежные изделия, Магазин сантехники, Насосы, насосное оборудование</t>
  </si>
  <si>
    <t>https://vk.com/club146994113</t>
  </si>
  <si>
    <t>https://www.facebook.com/profile.php?id=100017180145340</t>
  </si>
  <si>
    <t>Проектно-сметное бюро по проектированию объектов дорожного хозяйства</t>
  </si>
  <si>
    <t>+7 (8362) 46-92-70</t>
  </si>
  <si>
    <t>+7 (8362) 46-91-80</t>
  </si>
  <si>
    <t>МБОУ Средняя общеобразовательная школа № 13 города Йошкар-Олы</t>
  </si>
  <si>
    <t>пер. Лёни Голикова, 4А, Йошкар-Ола</t>
  </si>
  <si>
    <t>+7 (8362) 74-19-72, +7 (8362) 74-20-47</t>
  </si>
  <si>
    <t xml:space="preserve">sh132006@yandex.ru, uoa-yoshkar-ola@yandex.ru, info@school1yola.ru  </t>
  </si>
  <si>
    <t>http://edu.mari.ru/mouo-yoshkarola/sh13</t>
  </si>
  <si>
    <t>http://vk.com/club8377665</t>
  </si>
  <si>
    <t>47.904324 56.618492</t>
  </si>
  <si>
    <t>Киноаттракцион 5d</t>
  </si>
  <si>
    <t>Кремлёвская ул., 21, Йошкар-Ола</t>
  </si>
  <si>
    <t>+7 (8362) 35-39-50</t>
  </si>
  <si>
    <t>Кинотеатр</t>
  </si>
  <si>
    <t>47.89164 56.638511</t>
  </si>
  <si>
    <t>Оптовый Склад</t>
  </si>
  <si>
    <t>+7 (8362) 22-25-70</t>
  </si>
  <si>
    <t>47.923836 56.635709</t>
  </si>
  <si>
    <t>Красотка</t>
  </si>
  <si>
    <t>47.890511 56.646291</t>
  </si>
  <si>
    <t>Техэнерго</t>
  </si>
  <si>
    <t>+7 (8362) 41-48-82, +7 (8362) 45-18-19, +7 (8362) 56-59-63</t>
  </si>
  <si>
    <t>Светотехника, Электротехническая продукция</t>
  </si>
  <si>
    <t>Пчелки</t>
  </si>
  <si>
    <t>ул. Осипенко, 53А, Йошкар-Ола</t>
  </si>
  <si>
    <t>+7 (8362) 35-15-12, +7 (8362) 30-52-65, +7 (8362) 73-11-80, +7 (8362) 30-49-59</t>
  </si>
  <si>
    <t>+7 (8362) 30-49-60</t>
  </si>
  <si>
    <t>Бытовые услуги, Клининговые услуги, Химчистка</t>
  </si>
  <si>
    <t>47.880348 56.643248</t>
  </si>
  <si>
    <t>Салют</t>
  </si>
  <si>
    <t>+7 (8362) 63-01-62, +7 (8362) 41-69-56, +7 (8362) 49-65-83</t>
  </si>
  <si>
    <t xml:space="preserve">moscow@evro-okno.ru, info@evro-okno.ru  </t>
  </si>
  <si>
    <t>http://evro-okno.ru/</t>
  </si>
  <si>
    <t>Деревообрабатывающее предприятие, Окна, Офис продаж, Строительная компания, Строительство бань и саун, Строительство дачных домов и коттеджей</t>
  </si>
  <si>
    <t>47.862916 56.617584</t>
  </si>
  <si>
    <t>Марийская топливная компания</t>
  </si>
  <si>
    <t>Аудит-класс</t>
  </si>
  <si>
    <t>+7 (8362) 64-15-08</t>
  </si>
  <si>
    <t>+7 (917) 712-67-67</t>
  </si>
  <si>
    <t xml:space="preserve">audit_klass@mail.ru  </t>
  </si>
  <si>
    <t>http://www.audit-klass.ru/</t>
  </si>
  <si>
    <t>Аудиторская компания, Юридические услуги</t>
  </si>
  <si>
    <t>ФинПотребСоюз</t>
  </si>
  <si>
    <t>Красноармейская ул., 44, Йошкар-Ола</t>
  </si>
  <si>
    <t>8 (800) 707-05-21</t>
  </si>
  <si>
    <t>+7 (903) 050-43-14</t>
  </si>
  <si>
    <t xml:space="preserve">info@spfu.ru, info@fin-victory.ru  </t>
  </si>
  <si>
    <t>http://www.finpotrebsouz.ru/</t>
  </si>
  <si>
    <t>http://vk.com/finpotrebsouz_vk</t>
  </si>
  <si>
    <t>http://www.facebook.com/finpotrebsouz</t>
  </si>
  <si>
    <t>47.893868 56.641476</t>
  </si>
  <si>
    <t>Художественное отделение детской школы искусств № 7</t>
  </si>
  <si>
    <t>+7 (8362) 22-18-10, +7 (8362) 21-43-18</t>
  </si>
  <si>
    <t xml:space="preserve">dschi-7-i-ola@yandex.ru  </t>
  </si>
  <si>
    <t>http://dschi7.ru/</t>
  </si>
  <si>
    <t>Живопись и художественные изделия</t>
  </si>
  <si>
    <t>Дополнительное образование, Школа искусств</t>
  </si>
  <si>
    <t>пн-сб 08:00–18:30</t>
  </si>
  <si>
    <t>47.926522 56.628148</t>
  </si>
  <si>
    <t>Арт-студия Борнеза</t>
  </si>
  <si>
    <t>ул. Волкова, 149, Йошкар-Ола</t>
  </si>
  <si>
    <t>+7 (8362) 33-30-42</t>
  </si>
  <si>
    <t>+7 (917) 716-57-12</t>
  </si>
  <si>
    <t xml:space="preserve">info@borneza.ru  </t>
  </si>
  <si>
    <t>http://borneza.ru/</t>
  </si>
  <si>
    <t>Художественная мастерская</t>
  </si>
  <si>
    <t>пн-пт 09:00–18:00; сб 10:00–13:00</t>
  </si>
  <si>
    <t>https://vk.com/borneza</t>
  </si>
  <si>
    <t>47.891092 56.629154</t>
  </si>
  <si>
    <t>Импульс</t>
  </si>
  <si>
    <t>+7 (8362) 63-97-70</t>
  </si>
  <si>
    <t xml:space="preserve">info@dveri-impuls.ru  </t>
  </si>
  <si>
    <t>http://dveri-impuls.ru/</t>
  </si>
  <si>
    <t>47.94571 56.634496</t>
  </si>
  <si>
    <t>Инверс</t>
  </si>
  <si>
    <t>ул. Суворова, 26, корп. 35В, Йошкар-Ола</t>
  </si>
  <si>
    <t>+7 (8362) 41-03-28, +7 (8362) 42-93-11</t>
  </si>
  <si>
    <t xml:space="preserve">invers@mari-el.ru </t>
  </si>
  <si>
    <t>Контактные линзы</t>
  </si>
  <si>
    <t>47.860506 56.636577</t>
  </si>
  <si>
    <t>Компьютерная школа Инфосфера</t>
  </si>
  <si>
    <t>+7 (8362) 34-73-87, +7 (8362) 34-72-67</t>
  </si>
  <si>
    <t xml:space="preserve">school@isphera.ru, name@mail.ru, info@infotech12.ru  </t>
  </si>
  <si>
    <t>https://isphera.ru/</t>
  </si>
  <si>
    <t>Дополнительное образование, Клуб для детей и подростков, Компьютерные курсы</t>
  </si>
  <si>
    <t>пн-сб 08:00–18:00</t>
  </si>
  <si>
    <t>http://vk.com/isphera</t>
  </si>
  <si>
    <t>http://facebook.com/isphera12</t>
  </si>
  <si>
    <t>https://www.instagram.com/isphera_school</t>
  </si>
  <si>
    <t>47.895322 56.630022</t>
  </si>
  <si>
    <t>Автокооператив Юпитер</t>
  </si>
  <si>
    <t>ул. Крылова, 43, Йошкар-Ола</t>
  </si>
  <si>
    <t>+7 (8362) 68-50-58</t>
  </si>
  <si>
    <t>47.853752 56.620348</t>
  </si>
  <si>
    <t>Светлена</t>
  </si>
  <si>
    <t>+7 (8362) 56-00-30, +7 (8362) 90-33-17, +7 (8362) 90-00-57</t>
  </si>
  <si>
    <t>пн-пт 10:00–18:00, перерыв 13:00–15:00</t>
  </si>
  <si>
    <t>47.913761 56.634625</t>
  </si>
  <si>
    <t>Семена Марий Эл</t>
  </si>
  <si>
    <t>Селекция и семеноводство, Удобрения</t>
  </si>
  <si>
    <t>Лаборатория социально-психологических исследований</t>
  </si>
  <si>
    <t>Психологическая служба</t>
  </si>
  <si>
    <t>Марийсккурорт</t>
  </si>
  <si>
    <t>ул. Льва Толстого, 60А, Йошкар-Ола</t>
  </si>
  <si>
    <t>+7 (8362) 45-17-66</t>
  </si>
  <si>
    <t>Санатории и дома отдыха</t>
  </si>
  <si>
    <t>Санаторий</t>
  </si>
  <si>
    <t>47.899168 56.647286</t>
  </si>
  <si>
    <t>Кадуцей</t>
  </si>
  <si>
    <t>ул. Якова Эшпая, 126, Йошкар-Ола</t>
  </si>
  <si>
    <t>+7 (8362) 42-55-90</t>
  </si>
  <si>
    <t>47.884772 56.643061</t>
  </si>
  <si>
    <t>Научный центр Финно-угроведения</t>
  </si>
  <si>
    <t>+7 (8362) 64-19-28, +7 (8362) 45-06-81</t>
  </si>
  <si>
    <t>Ценные Бумаги Инвестиционный Дом</t>
  </si>
  <si>
    <t>Westland</t>
  </si>
  <si>
    <t>8 (800) 555-53-45</t>
  </si>
  <si>
    <t xml:space="preserve">westland@westland.ru, mizonova@westland.ru, order@westland.ru, pischugina@westland.ru  </t>
  </si>
  <si>
    <t>https://www.westland.ru/</t>
  </si>
  <si>
    <t>Магазин верхней одежды, Магазин галантереи и аксессуаров, Магазин джинсовой одежды, Магазин одежды</t>
  </si>
  <si>
    <t>https://vk.com/westland_inc</t>
  </si>
  <si>
    <t>http://ok.ru/westland.officialgrouprussia</t>
  </si>
  <si>
    <t>http://www.facebook.com/westland.ru</t>
  </si>
  <si>
    <t>https://www.instagram.com/westland_inc</t>
  </si>
  <si>
    <t>47.895951 56.632514</t>
  </si>
  <si>
    <t>Марийобувьбыт</t>
  </si>
  <si>
    <t>+7 (8362) 21-94-72</t>
  </si>
  <si>
    <t>47.923628 56.635966</t>
  </si>
  <si>
    <t>ул. Луначарского, 34А, Йошкар-Ола</t>
  </si>
  <si>
    <t>47.906498 56.615352</t>
  </si>
  <si>
    <t>Фонд поддержки предпринимательства РМЭ</t>
  </si>
  <si>
    <t>ул. Эшкинина, 10Б, Йошкар-Ола</t>
  </si>
  <si>
    <t>+7 (8362) 21-02-12, +7 (8362) 23-28-28, +7 (8362) 21-02-32</t>
  </si>
  <si>
    <t xml:space="preserve">fond-region12@mail.ru, cpp_12@mail.ru, ciss12@mail.ru, rci12@mail.ru  </t>
  </si>
  <si>
    <t>http://www.fond12.ru/</t>
  </si>
  <si>
    <t>Микрофинансирование, Потребительская кооперация</t>
  </si>
  <si>
    <t>47.90742 56.631116</t>
  </si>
  <si>
    <t>Йошкар-Олинский дом-интернат для престарелых и инвалидов Сосновая роща</t>
  </si>
  <si>
    <t>Кирпичная ул., 58, Йошкар-Ола</t>
  </si>
  <si>
    <t>+7 (8362) 56-28-27, +7 (8362) 56-38-86</t>
  </si>
  <si>
    <t>+7 (8362) 56-38-86</t>
  </si>
  <si>
    <t>Дом инвалидов и престарелых, Патронажная служба</t>
  </si>
  <si>
    <t>47.940191 56.619435</t>
  </si>
  <si>
    <t>Мм-2000</t>
  </si>
  <si>
    <t>+7 (8362) 72-01-10</t>
  </si>
  <si>
    <t>Лесничество, лесхоз, Лесозаготовка, продажа леса</t>
  </si>
  <si>
    <t>47.869012 56.639981</t>
  </si>
  <si>
    <t>Перекрёсток</t>
  </si>
  <si>
    <t>Красноармейская ул., 47, Йошкар-Ола</t>
  </si>
  <si>
    <t>+7 (499) 271-12-82, 8 (800) 200-95-55</t>
  </si>
  <si>
    <t xml:space="preserve">crm@x5.ru </t>
  </si>
  <si>
    <t>https://www.perekrestok.ru/</t>
  </si>
  <si>
    <t>Супермаркет</t>
  </si>
  <si>
    <t>ежедневно, 07:00–23:00</t>
  </si>
  <si>
    <t>http://vk.com/club19098502</t>
  </si>
  <si>
    <t>http://ok.ru/group/54048360169715</t>
  </si>
  <si>
    <t>https://twitter.com/perekrestok</t>
  </si>
  <si>
    <t>http://www.facebook.com/pages/perekrestok/138252946208963</t>
  </si>
  <si>
    <t>http://www.youtube.com/user/x5retailgroup</t>
  </si>
  <si>
    <t>http://instagram.com/perekrestok</t>
  </si>
  <si>
    <t>47.892506 56.641015</t>
  </si>
  <si>
    <t>Дайвинг клуб Деп Тревел</t>
  </si>
  <si>
    <t>+7 (937) 111-63-04</t>
  </si>
  <si>
    <t xml:space="preserve">art@deep-travel.ru, lpv@deep-travel.ru, info@deep-travel.ru </t>
  </si>
  <si>
    <t>http://deep-travel.ru/</t>
  </si>
  <si>
    <t>Дайвинг</t>
  </si>
  <si>
    <t>47.879577 56.606558</t>
  </si>
  <si>
    <t>Серебряный ручей</t>
  </si>
  <si>
    <t>ул. Волкова, 166, Йошкар-Ола</t>
  </si>
  <si>
    <t>+7 (8362) 20-90-99</t>
  </si>
  <si>
    <t>Товары для рыбалки</t>
  </si>
  <si>
    <t>47.89247 56.63215</t>
  </si>
  <si>
    <t>Молодежная Корпорация Образовательный центр</t>
  </si>
  <si>
    <t>+7 (8362) 72-03-22</t>
  </si>
  <si>
    <t>Обучение</t>
  </si>
  <si>
    <t>Бизнес-школа</t>
  </si>
  <si>
    <t>Уникат</t>
  </si>
  <si>
    <t>ул. Воинов-Интернационалистов, 15А, Йошкар-Ола</t>
  </si>
  <si>
    <t>+7 (8362) 21-30-50, +7 (8362) 56-08-40</t>
  </si>
  <si>
    <t>+7 (8362) 21-30-50</t>
  </si>
  <si>
    <t>Изготовление и оптовая продажа сувениров, Наружная реклама, Полиграфические услуги</t>
  </si>
  <si>
    <t>47.933807 56.63262</t>
  </si>
  <si>
    <t>Автосервис-Т</t>
  </si>
  <si>
    <t>ул. Волкова, 58, Йошкар-Ола</t>
  </si>
  <si>
    <t>+7 (8362) 46-85-44, +7 (8362) 52-65-19</t>
  </si>
  <si>
    <t>+7 (917) 707-11-48</t>
  </si>
  <si>
    <t>Автомойка, Автосервис, автотехцентр, Кузовной ремонт, Ремонт АКПП</t>
  </si>
  <si>
    <t>47.902055 56.64655</t>
  </si>
  <si>
    <t>АртКов</t>
  </si>
  <si>
    <t>+7 (8362) 58-26-93</t>
  </si>
  <si>
    <t>пн-пт 08:00–17:00; сб 09:00–13:00</t>
  </si>
  <si>
    <t>Бюро экспертизы и оценки</t>
  </si>
  <si>
    <t>+7 (8362) 77-37-79</t>
  </si>
  <si>
    <t xml:space="preserve">expert@zakon12.ru, 1@zakon12.ru, invest-ru@mail.ru  </t>
  </si>
  <si>
    <t>https://бюро--экспертизы.рф/</t>
  </si>
  <si>
    <t>Автоэкспертиза, оценка автомобилей, Оценочная компания, Экспертиза, Юридические услуги</t>
  </si>
  <si>
    <t>ежедневно, 08:00–20:00, перерыв 12:00–13:00</t>
  </si>
  <si>
    <t>https://vk.com/expertiza12</t>
  </si>
  <si>
    <t>47.888206 56.630328</t>
  </si>
  <si>
    <t>Государственная телевизионная и радиовещательная компания Марий Эл</t>
  </si>
  <si>
    <t>ул. Машиностроителей, 7А, Йошкар-Ола</t>
  </si>
  <si>
    <t>+7 (8362) 41-86-11, +7 (8362) 42-40-68, +7 (8362) 41-82-89, +7 (8362) 45-07-07, +7 (8362) 23-29-72, +7 (8362) 42-32-22</t>
  </si>
  <si>
    <t xml:space="preserve">tvuver@yandex.ru  </t>
  </si>
  <si>
    <t>http://www.gtrkmariel.ru/</t>
  </si>
  <si>
    <t>Радиокомпания, Телекомпания</t>
  </si>
  <si>
    <t>http://vk.com/gtrkrme</t>
  </si>
  <si>
    <t>https://youtube.com/user/GTRKMariEl</t>
  </si>
  <si>
    <t>https://www.instagram.com/gtrkmariel</t>
  </si>
  <si>
    <t>47.876098 56.646858</t>
  </si>
  <si>
    <t>+7 (8362) 51-58-77</t>
  </si>
  <si>
    <t>Прачечная, Химчистка</t>
  </si>
  <si>
    <t>вт-пт 10:00–18:00; сб 10:00–15:00</t>
  </si>
  <si>
    <t>http://vk.com/novinka12</t>
  </si>
  <si>
    <t>http://ok.ru/group51765666250959</t>
  </si>
  <si>
    <t>47.885999 56.635501</t>
  </si>
  <si>
    <t>Республиканский музей изобразительных искусств</t>
  </si>
  <si>
    <t>ул. Гоголя, 15, Йошкар-Ола</t>
  </si>
  <si>
    <t>+7 (8362) 45-52-37, +7 (8362) 41-74-10, +7 (8362) 56-60-01, +7 (8362) 41-26-28, +7 (8362) 41-22-54</t>
  </si>
  <si>
    <t xml:space="preserve">rmii-ns@yandex.ru, popova.rmii@yandex.ru, nhg007@mail.ru, username@gmail.com, or.rmii@yandex.ru  </t>
  </si>
  <si>
    <t>http://rmii.ru/</t>
  </si>
  <si>
    <t>вт-вс 10:00–18:00</t>
  </si>
  <si>
    <t>http://vk.com/museum_izo</t>
  </si>
  <si>
    <t>http://twitter.com/rmii12ru</t>
  </si>
  <si>
    <t>47.894934 56.63018</t>
  </si>
  <si>
    <t>ПКФ Равиал</t>
  </si>
  <si>
    <t>ул. Ломоносова, 2, Йошкар-Ола</t>
  </si>
  <si>
    <t>+7 (8362) 45-58-09</t>
  </si>
  <si>
    <t>47.876315 56.614401</t>
  </si>
  <si>
    <t>Религиозное Просвещение</t>
  </si>
  <si>
    <t>Красноармейская ул., 76, Йошкар-Ола</t>
  </si>
  <si>
    <t>+7 (8362) 21-53-63</t>
  </si>
  <si>
    <t>Религия</t>
  </si>
  <si>
    <t>Религиозное объединение</t>
  </si>
  <si>
    <t>47.877779 56.64453</t>
  </si>
  <si>
    <t>Евродент</t>
  </si>
  <si>
    <t>ул. Лермонтова, 31, Йошкар-Ола</t>
  </si>
  <si>
    <t>+7 (8362) 55-12-67</t>
  </si>
  <si>
    <t>+7 (917) 700-67-77</t>
  </si>
  <si>
    <t xml:space="preserve">eurodent.me@yandex.ru  </t>
  </si>
  <si>
    <t>https://eurodent12.ru/</t>
  </si>
  <si>
    <t>пн-пт 08:00–20:00; сб 08:00–14:00</t>
  </si>
  <si>
    <t>47.864676 56.625075</t>
  </si>
  <si>
    <t>Адвокатский кабинет Куклина Сергея Дмитриевича</t>
  </si>
  <si>
    <t>+7 (902) 325-21-43</t>
  </si>
  <si>
    <t>Канцелярская компания</t>
  </si>
  <si>
    <t>Советская ул., 128А, Йошкар-Ола</t>
  </si>
  <si>
    <t>+7 (8362) 42-03-64, +7 (8362) 34-93-49, +7 (8362) 42-91-89</t>
  </si>
  <si>
    <t xml:space="preserve">testing@test.ru, kanckompany_yola@mail.ru  </t>
  </si>
  <si>
    <t>https://kanckompany.9-18ok.ru/, http://kanclerpark.ru/, https://www.office-planet.ru/</t>
  </si>
  <si>
    <t>Канцтовары оптом, Магазин канцтоваров, Производство и продажа бумаги</t>
  </si>
  <si>
    <t>пн-пт 08:00–19:00; сб,вс 09:00–19:00</t>
  </si>
  <si>
    <t>https://vk.com/kanckompany_yola</t>
  </si>
  <si>
    <t>https://www.instagram.com/kanckompany_yola/</t>
  </si>
  <si>
    <t>47.896633 56.634304</t>
  </si>
  <si>
    <t>Айкидо Федерация Марий Эл</t>
  </si>
  <si>
    <t>+7 (8362) 64-20-93</t>
  </si>
  <si>
    <t>+7 (961) 379-18-50, +7 (987) 716-11-92, +7 (960) 094-38-74</t>
  </si>
  <si>
    <t xml:space="preserve">aikido12@bk.ru, alexander.chufistov@yandex.ru  </t>
  </si>
  <si>
    <t>http://aikido12.ru/, http://aikido12.ru/?page_id=3561</t>
  </si>
  <si>
    <t>Дом культуры, Общественная организация, Спортивное объединение, Спортивный клуб, секция</t>
  </si>
  <si>
    <t>пн-пт 18:15–21:00</t>
  </si>
  <si>
    <t>http://vk.com/aikidomariel</t>
  </si>
  <si>
    <t>47.948405 56.624455</t>
  </si>
  <si>
    <t>Слободские бани</t>
  </si>
  <si>
    <t>Красноармейская слобода, 46А, Йошкар-Ола</t>
  </si>
  <si>
    <t>+7 (8362) 35-35-95</t>
  </si>
  <si>
    <t>+7 (962) 588-35-95</t>
  </si>
  <si>
    <t>Баня, Гостиница, Сауна</t>
  </si>
  <si>
    <t>https://vk.com/club43616284</t>
  </si>
  <si>
    <t>47.914143 56.642023</t>
  </si>
  <si>
    <t>Гелиос</t>
  </si>
  <si>
    <t>+7 (8362) 56-64-56</t>
  </si>
  <si>
    <t>Солярий</t>
  </si>
  <si>
    <t>пн-пт 10:00–19:00; сб 10:00–16:00</t>
  </si>
  <si>
    <t>47.898419 56.636593</t>
  </si>
  <si>
    <t>НПП Автомастер</t>
  </si>
  <si>
    <t>ул. Машиностроителей, 120, корп. 2, Йошкар-Ола</t>
  </si>
  <si>
    <t>+7 (927) 872-29-04, +7 (906) 336-39-35, +7 (902) 329-23-06, +7 (987) 720-68-12, +7 (927) 720-68-12</t>
  </si>
  <si>
    <t>Автосервис, автотехцентр, Грузовые автомобили, грузовая техника, Ремонт двигателей</t>
  </si>
  <si>
    <t>47.830285 56.627178</t>
  </si>
  <si>
    <t>Целевой Внебюджетный Фонд Жилищного Строительства и Газификации Республиканский</t>
  </si>
  <si>
    <t>Ленинский просп., 40, Йошкар-Ола</t>
  </si>
  <si>
    <t>47.878453 56.633773</t>
  </si>
  <si>
    <t>Техномед</t>
  </si>
  <si>
    <t>+7 (8362) 56-57-75, +7 (8362) 45-48-72</t>
  </si>
  <si>
    <t>+7 (987) 732-01-11</t>
  </si>
  <si>
    <t>Металлообработка</t>
  </si>
  <si>
    <t>Выбор</t>
  </si>
  <si>
    <t>Советская ул., 104/1, Йошкар-Ола</t>
  </si>
  <si>
    <t>+7 (8362) 42-49-24</t>
  </si>
  <si>
    <t>IT-компания, Бизнес-консалтинг</t>
  </si>
  <si>
    <t>47.898988 56.637491</t>
  </si>
  <si>
    <t>Гостевой дом</t>
  </si>
  <si>
    <t>Комсомольская ул., 26/52, Йошкар-Ола</t>
  </si>
  <si>
    <t>+7 (8362) 66-77-66</t>
  </si>
  <si>
    <t>47.902224 56.650356</t>
  </si>
  <si>
    <t>Книга-Сервис</t>
  </si>
  <si>
    <t>+7 (8362) 94-84-54</t>
  </si>
  <si>
    <t>Склад-магазин СтройДвор</t>
  </si>
  <si>
    <t>Сернурский тракт, 13А, Йошкар-Ола</t>
  </si>
  <si>
    <t>+7 (8362) 46-32-84</t>
  </si>
  <si>
    <t>Кровля и кровельные материалы, Магазин хозтоваров и бытовой химии, Строительный магазин</t>
  </si>
  <si>
    <t>пн-пт 08:00–18:00; сб 08:00–14:00; вс 09:00–14:00</t>
  </si>
  <si>
    <t>47.952869 56.649007</t>
  </si>
  <si>
    <t>Офисная техника</t>
  </si>
  <si>
    <t>площадь Революции, 5, Йошкар-Ола</t>
  </si>
  <si>
    <t>+7 (8362) 66-55-77, +7 (8362) 45-06-38</t>
  </si>
  <si>
    <t>+7 (8362) 45-06-38</t>
  </si>
  <si>
    <t>Канцтовары оптом, Оргтехника, Расходные материалы для оргтехники</t>
  </si>
  <si>
    <t>47.899466 56.636889</t>
  </si>
  <si>
    <t>AchLab</t>
  </si>
  <si>
    <t>Ленинский просп., 1, Йошкар-Ола</t>
  </si>
  <si>
    <t>+7 (937) 118-36-40</t>
  </si>
  <si>
    <t xml:space="preserve">admin@example.com, admin@example.ru  </t>
  </si>
  <si>
    <t>http://www.achlab.ru/</t>
  </si>
  <si>
    <t>Республиканский онкологический диспансер</t>
  </si>
  <si>
    <t>ул. Осипенко, 22, Йошкар-Ола</t>
  </si>
  <si>
    <t>+7 (8362) 42-26-20, +7 (8362) 46-05-86, +7 (8362) 42-64-40, +7 (8362) 42-65-11, +7 (8362) 42-22-99, +7 (8362) 42-65-50, +7 (8362) 23-18-06</t>
  </si>
  <si>
    <t>http://onko.maryl.ru/, http://portal.mari.ru/minzdrav/rod/Pages/contacts.aspx</t>
  </si>
  <si>
    <t>Диспансер</t>
  </si>
  <si>
    <t>47.882717 56.650546</t>
  </si>
  <si>
    <t>Седна</t>
  </si>
  <si>
    <t>+7 (8362) 42-87-96, +7 (8362) 32-02-15</t>
  </si>
  <si>
    <t xml:space="preserve">sedna@yola.ru  </t>
  </si>
  <si>
    <t>http://www.yola.ru/, http://sedna.yola.ru/</t>
  </si>
  <si>
    <t>Интернет-провайдер</t>
  </si>
  <si>
    <t>пн-пт 09:00–13:00</t>
  </si>
  <si>
    <t>Марийская Недвижимость</t>
  </si>
  <si>
    <t>ул. Анциферова, 19, Йошкар-Ола</t>
  </si>
  <si>
    <t>+7 (8362) 64-60-04, +7 (8362) 64-55-00, +7 (8362) 64-17-52</t>
  </si>
  <si>
    <t>47.865077 56.646895</t>
  </si>
  <si>
    <t>ул. Луначарского, 97, Йошкар-Ола</t>
  </si>
  <si>
    <t>+7 (8362) 56-44-22, +7 (8362) 56-44-44</t>
  </si>
  <si>
    <t xml:space="preserve">info@domsaiver.ru, len@td-saiver.ru  </t>
  </si>
  <si>
    <t>http://domsaiver.ru/</t>
  </si>
  <si>
    <t>Строительный магазин, Сухие строительные смеси</t>
  </si>
  <si>
    <t>пн-пт 08:00–18:30; сб,вс 10:00–18:00</t>
  </si>
  <si>
    <t>http://vk.com/tdsaiver</t>
  </si>
  <si>
    <t>47.892543 56.620162</t>
  </si>
  <si>
    <t>Железобетонные конструкции</t>
  </si>
  <si>
    <t>+7 (8362) 73-08-00, +7 (8362) 73-05-12, +7 (8362) 73-08-12</t>
  </si>
  <si>
    <t xml:space="preserve">gbk12_zavod@mail.ru, email@mail.ru  </t>
  </si>
  <si>
    <t>http://gbk12.ru/</t>
  </si>
  <si>
    <t>Бетон, бетонные изделия, ЖБИ, Окна, Строительные конструкции, Строительный магазин</t>
  </si>
  <si>
    <t>47.840508 56.625351</t>
  </si>
  <si>
    <t>Онлайн Мастер</t>
  </si>
  <si>
    <t>+7 (8362) 33-33-03</t>
  </si>
  <si>
    <t xml:space="preserve">info@onmaster.ru  </t>
  </si>
  <si>
    <t>http://onmaster.ru/</t>
  </si>
  <si>
    <t>47.869156 56.639904</t>
  </si>
  <si>
    <t>Древо</t>
  </si>
  <si>
    <t>ул. Мира, 27Б, Йошкар-Ола</t>
  </si>
  <si>
    <t>8 (800) 700-88-69</t>
  </si>
  <si>
    <t xml:space="preserve">srub@drevo12.ru, zuhra@drevohome.ru </t>
  </si>
  <si>
    <t>http://drevo12.ru/</t>
  </si>
  <si>
    <t>Агентство недвижимости, Строительная компания</t>
  </si>
  <si>
    <t>https://vk.com/srubipodkluch</t>
  </si>
  <si>
    <t>https://www.instagram.com/zuhrashakirova</t>
  </si>
  <si>
    <t>47.95189 56.624098</t>
  </si>
  <si>
    <t>Позитрон-Сервис</t>
  </si>
  <si>
    <t>ул. Строителей, 54А, Йошкар-Ола</t>
  </si>
  <si>
    <t>+7 (8362) 76-06-06, +7 (8362) 45-00-45</t>
  </si>
  <si>
    <t>+7 (902) 326-11-11</t>
  </si>
  <si>
    <t xml:space="preserve">pdol@mail.ru  </t>
  </si>
  <si>
    <t>http://pozitron12.ru/</t>
  </si>
  <si>
    <t>Бытовые услуги, Запчасти и аксессуары для бытовой техники, Ремонт бытовой техники</t>
  </si>
  <si>
    <t>http://vk.com/pozitron12</t>
  </si>
  <si>
    <t>47.841505 56.631063</t>
  </si>
  <si>
    <t>Продукты</t>
  </si>
  <si>
    <t>ул. Крылова, 23, Йошкар-Ола</t>
  </si>
  <si>
    <t>47.862477 56.625622</t>
  </si>
  <si>
    <t>Принтекс</t>
  </si>
  <si>
    <t>ул. Эшкинина, 25, Йошкар-Ола</t>
  </si>
  <si>
    <t>+7 (8362) 38-56-56</t>
  </si>
  <si>
    <t xml:space="preserve">info12@printecs.com, advert@printecs.com  </t>
  </si>
  <si>
    <t>http://www.printecs.com/</t>
  </si>
  <si>
    <t>Изготовление и оптовая продажа сувениров, Полиграфические услуги, Типография</t>
  </si>
  <si>
    <t>http://vk.com/printecs</t>
  </si>
  <si>
    <t>https://www.instagram.com/printecs</t>
  </si>
  <si>
    <t>47.878135 56.639217</t>
  </si>
  <si>
    <t>+7 (8362) 22-59-42</t>
  </si>
  <si>
    <t>Детский сад № 26 Теремок</t>
  </si>
  <si>
    <t>ул. Якова Эшпая, 120, Йошкар-Ола</t>
  </si>
  <si>
    <t>+7 (8362) 56-57-95, +7 (8362) 45-25-64</t>
  </si>
  <si>
    <t xml:space="preserve">olga.lejnina@yandex.ru  </t>
  </si>
  <si>
    <t>http://edu.mari.ru/mouo-yoshkarola/dou26</t>
  </si>
  <si>
    <t>47.884555 56.64366</t>
  </si>
  <si>
    <t>Адвокаты</t>
  </si>
  <si>
    <t>+7 (8362) 96-42-81, +7 (8362) 41-76-34</t>
  </si>
  <si>
    <t>47.882487 56.624174</t>
  </si>
  <si>
    <t>Емеля</t>
  </si>
  <si>
    <t>Ленинский просп., 16, Йошкар-Ола</t>
  </si>
  <si>
    <t>+7 (8362) 56-09-31</t>
  </si>
  <si>
    <t>Камины, печи</t>
  </si>
  <si>
    <t>пн-пт 09:00–18:00, перерыв 13:00–14:00; сб,вс 09:00–15:00</t>
  </si>
  <si>
    <t>47.9138 56.6273</t>
  </si>
  <si>
    <t>Дизайн-центр М</t>
  </si>
  <si>
    <t>ул. Лобачевского, 11, Йошкар-Ола</t>
  </si>
  <si>
    <t>+7 (8362) 72-01-45, +7 (8362) 72-22-67, +7 (8362) 72-28-01</t>
  </si>
  <si>
    <t>Магазин мебели, Мебельная фабрика</t>
  </si>
  <si>
    <t>47.874644 56.630456</t>
  </si>
  <si>
    <t>Ольстер</t>
  </si>
  <si>
    <t>ул. Палантая, 114Б, Йошкар-Ола</t>
  </si>
  <si>
    <t>47.885891 56.632436</t>
  </si>
  <si>
    <t>Дилайн</t>
  </si>
  <si>
    <t>+7 (8362) 42-51-05</t>
  </si>
  <si>
    <t>Расходные материалы для оргтехники</t>
  </si>
  <si>
    <t>Детский сад № 66 Рябинушка</t>
  </si>
  <si>
    <t>ул. Степана Разина, 45, Йошкар-Ола</t>
  </si>
  <si>
    <t>+7 (8362) 74-21-08</t>
  </si>
  <si>
    <t>47.901683 56.618564</t>
  </si>
  <si>
    <t>Mexx</t>
  </si>
  <si>
    <t>+7 (8362) 45-18-89</t>
  </si>
  <si>
    <t xml:space="preserve">vopros@bns-group.ru </t>
  </si>
  <si>
    <t>http://bns-group.ru/brand/mexx/</t>
  </si>
  <si>
    <t>Магазин верхней одежды, Магазин галантереи и аксессуаров, Магазин одежды</t>
  </si>
  <si>
    <t>Лидер</t>
  </si>
  <si>
    <t>+7 (8362) 43-88-85, +7 (8362) 99-84-03</t>
  </si>
  <si>
    <t>47.873315 56.639095</t>
  </si>
  <si>
    <t>ДНК</t>
  </si>
  <si>
    <t>+7 (927) 684-33-62</t>
  </si>
  <si>
    <t>Производственное предприятие</t>
  </si>
  <si>
    <t>47.858367 56.6209</t>
  </si>
  <si>
    <t>ВТБ24 Лизинг</t>
  </si>
  <si>
    <t>+7 (8362) 42-69-46, +7 (8362) 42-18-38</t>
  </si>
  <si>
    <t xml:space="preserve">info@sl24leasing.ru  </t>
  </si>
  <si>
    <t>https://vtb24leasing.ru/</t>
  </si>
  <si>
    <t>пн-пт 09:00–20:00</t>
  </si>
  <si>
    <t>47.889043 56.628788</t>
  </si>
  <si>
    <t>Согаз-Мед</t>
  </si>
  <si>
    <t>8 (800) 100-07-02, +7 (8362) 42-22-64, +7 (8362) 41-23-21</t>
  </si>
  <si>
    <t xml:space="preserve">mdbutovopark@sogaz-med.ru, moscowsky@sogaz-med.ru, podolsk@sogaz-med.ru, clinic-cs@sogaz-med.ru, roddom8@sogaz-med.ru  </t>
  </si>
  <si>
    <t>https://www.sogaz-med.ru/</t>
  </si>
  <si>
    <t>https://vk.com/sogaz_med</t>
  </si>
  <si>
    <t>https://ok.ru/oaosksogaz</t>
  </si>
  <si>
    <t>http://twitter.com/sogaz_med</t>
  </si>
  <si>
    <t>https://www.facebook.com/sogazmed</t>
  </si>
  <si>
    <t>47.882856 56.62969</t>
  </si>
  <si>
    <t>Милано</t>
  </si>
  <si>
    <t>Комсомольская ул., 124А, Йошкар-Ола</t>
  </si>
  <si>
    <t>+7 (8362) 44-40-42</t>
  </si>
  <si>
    <t xml:space="preserve">info@milanofood.ru, control@milanofood.ru  </t>
  </si>
  <si>
    <t>https://milano12.ru/</t>
  </si>
  <si>
    <t>Кафе, Пиццерия, Суши-бар</t>
  </si>
  <si>
    <t>ежедневно, 10:00–21:30</t>
  </si>
  <si>
    <t>http://vk.com/club83420066</t>
  </si>
  <si>
    <t>47.893121 56.636465</t>
  </si>
  <si>
    <t>ул. Петрова, 1, Йошкар-Ола</t>
  </si>
  <si>
    <t>+7 (8362) 66-19-88</t>
  </si>
  <si>
    <t>47.914818 56.627559</t>
  </si>
  <si>
    <t>KIA Mag Motors</t>
  </si>
  <si>
    <t>ул. Строителей, 110, Йошкар-Ола</t>
  </si>
  <si>
    <t>+7 (8362) 64-20-04</t>
  </si>
  <si>
    <t xml:space="preserve">prodaji@avto5kia.ru  </t>
  </si>
  <si>
    <t>http://avto-5.kia.ru/, http://mag-motors.ru/</t>
  </si>
  <si>
    <t>Автосалон, Автосервис, автотехцентр, Пункт техосмотра</t>
  </si>
  <si>
    <t>https://vk.com/kiamotorsrus</t>
  </si>
  <si>
    <t>https://twitter.com/KIAMotorsRussia</t>
  </si>
  <si>
    <t>https://www.facebook.com/kiamotorsrus</t>
  </si>
  <si>
    <t>https://www.instagram.com/kiamotorsrussia</t>
  </si>
  <si>
    <t>47.8863 56.6088</t>
  </si>
  <si>
    <t>Гатп-2</t>
  </si>
  <si>
    <t>Кокшайский пр., 32, Йошкар-Ола</t>
  </si>
  <si>
    <t>+7 (8362) 45-12-00, +7 (8362) 45-42-11, +7 (8362) 45-23-44</t>
  </si>
  <si>
    <t>+7 (8362) 45-12-00</t>
  </si>
  <si>
    <t>Автомобильные грузоперевозки, Автотранспортное предприятие, автобаза</t>
  </si>
  <si>
    <t>47.878884 56.613455</t>
  </si>
  <si>
    <t>Дуэт</t>
  </si>
  <si>
    <t>ул. Васильева, 4, Йошкар-Ола</t>
  </si>
  <si>
    <t>+7 (8362) 31-43-34</t>
  </si>
  <si>
    <t>47.831434 56.636801</t>
  </si>
  <si>
    <t>ул. Серова, 22/29, Йошкар-Ола</t>
  </si>
  <si>
    <t>Автосервис, автотехцентр, Кузовной ремонт, Шиномонтаж</t>
  </si>
  <si>
    <t>47.904975 56.650892</t>
  </si>
  <si>
    <t>Автозвук</t>
  </si>
  <si>
    <t>+7 (8362) 32-22-29</t>
  </si>
  <si>
    <t xml:space="preserve">eres@list.ru  </t>
  </si>
  <si>
    <t>http://avtozvuk12.ru/</t>
  </si>
  <si>
    <t>Автоаксессуары, Автоакустика</t>
  </si>
  <si>
    <t>https://vk.com/avtozvuk12</t>
  </si>
  <si>
    <t>47.8871 56.6273</t>
  </si>
  <si>
    <t>Компания Craft</t>
  </si>
  <si>
    <t>+7 (8362) 37-42-84</t>
  </si>
  <si>
    <t>http://craft-m.ru/</t>
  </si>
  <si>
    <t>Центр экологических решений Арена</t>
  </si>
  <si>
    <t>+7 (8362) 41-83-83, +7 (8362) 99-42-90, +7 (8362) 41-79-79</t>
  </si>
  <si>
    <t>+7 (902) 329-42-90</t>
  </si>
  <si>
    <t xml:space="preserve">ecoarenagroup@gmail.com, ecoarena@mail.ru, 14370afcdc17429f9e418d5ffbd0334a@sentry.wixpress.com, mail@ecoarena.ru, wixofday@wix.com  </t>
  </si>
  <si>
    <t>http://www.ecoarena.ru/, http://ecoarena-group.com/</t>
  </si>
  <si>
    <t>Бизнес-консалтинг, Утилизация отходов, Экологическая организация</t>
  </si>
  <si>
    <t>https://vk.com/ecoarena</t>
  </si>
  <si>
    <t>47.873401 56.654424</t>
  </si>
  <si>
    <t>АМАКС Сити-отель</t>
  </si>
  <si>
    <t>ул. Карла Маркса, 109, Йошкар-Ола</t>
  </si>
  <si>
    <t>8 (800) 555-52-25, +7 (8362) 49-68-29, +7 (8362) 49-68-43, +7 (8362) 49-68-56</t>
  </si>
  <si>
    <t xml:space="preserve">kazan@amaks-hotels.ru, info@amaks-hotels.ru, restoran-tlt@amaks-hotels.ru  </t>
  </si>
  <si>
    <t>https://yoshkar-ola.amaks-hotels.ru/, https://www.amaks-hotels.ru/</t>
  </si>
  <si>
    <t>https://vk.com/club17514820</t>
  </si>
  <si>
    <t>https://www.ok.ru/amaks.yoshkarola</t>
  </si>
  <si>
    <t>https://twitter.com/amaksyoshkarola</t>
  </si>
  <si>
    <t>https://www.facebook.com/amaksyoshkarola/</t>
  </si>
  <si>
    <t>https://www.instagram.com/amaks_hotel_yoshkar_ola/</t>
  </si>
  <si>
    <t>47.88954 56.62255</t>
  </si>
  <si>
    <t>Багетная мастерская</t>
  </si>
  <si>
    <t>ул. Эшкинина, 6, Йошкар-Ола</t>
  </si>
  <si>
    <t>+7 (8362) 22-19-92</t>
  </si>
  <si>
    <t xml:space="preserve">eskoda@mail.ru  </t>
  </si>
  <si>
    <t>http://konica12.ru/</t>
  </si>
  <si>
    <t>Багетные изделия, Студия дизайна, Фотомагазин, Фотоуслуги</t>
  </si>
  <si>
    <t>https://vk.com/konica12</t>
  </si>
  <si>
    <t>47.907939 56.630231</t>
  </si>
  <si>
    <t>Моя мебель</t>
  </si>
  <si>
    <t>ул. Карла Маркса, 25, Йошкар-Ола</t>
  </si>
  <si>
    <t>Магазин мебели</t>
  </si>
  <si>
    <t>Заготовитель</t>
  </si>
  <si>
    <t>+7 (8362) 75-10-00</t>
  </si>
  <si>
    <t>Экодом12</t>
  </si>
  <si>
    <t>+7 (987) 713-48-96</t>
  </si>
  <si>
    <t>http://ecodom12.ru/</t>
  </si>
  <si>
    <t>Строительная компания, Строительство бань и саун, Строительство дачных домов и коттеджей</t>
  </si>
  <si>
    <t>47.894775 56.640317</t>
  </si>
  <si>
    <t>Спортивное Охотничье Объединение ВОО Йошкар-Олинского Гарнизона</t>
  </si>
  <si>
    <t>+7 (8362) 91-19-04, +7 (8362) 64-72-93, +7 (8362) 55-41-93</t>
  </si>
  <si>
    <t>47.948826 56.624311</t>
  </si>
  <si>
    <t>ИП ТФ Экспресс</t>
  </si>
  <si>
    <t>Комсомольская ул., 114, Йошкар-Ола</t>
  </si>
  <si>
    <t>+7 (8362) 41-54-11</t>
  </si>
  <si>
    <t>47.89412 56.638337</t>
  </si>
  <si>
    <t>Мебель интер</t>
  </si>
  <si>
    <t>+7 (8362) 72-91-06</t>
  </si>
  <si>
    <t>47.870083 56.645233</t>
  </si>
  <si>
    <t>ПТП Станкостроитель</t>
  </si>
  <si>
    <t>+7 (8362) 45-22-62, +7 (8362) 45-21-51, +7 (8362) 72-05-70</t>
  </si>
  <si>
    <t xml:space="preserve">stankostroy@inbox.ru  </t>
  </si>
  <si>
    <t>http://www.stankostroy12rus.ru/</t>
  </si>
  <si>
    <t>Металлообработка, Пищевое оборудование</t>
  </si>
  <si>
    <t>http://vk.com/club29913658</t>
  </si>
  <si>
    <t>Щит</t>
  </si>
  <si>
    <t>+7 (8362) 45-21-14</t>
  </si>
  <si>
    <t xml:space="preserve">ivanov@ivan.ru, info@zpu-plomba.ru, counter@corp.liveinternet.ru </t>
  </si>
  <si>
    <t>Двери, Замки и запорные устройства</t>
  </si>
  <si>
    <t>47.872032 56.610702</t>
  </si>
  <si>
    <t>Стэси</t>
  </si>
  <si>
    <t>+7 (8362) 45-50-88</t>
  </si>
  <si>
    <t>Металлоизделия</t>
  </si>
  <si>
    <t>Бридж Тур</t>
  </si>
  <si>
    <t>бул. Чавайна, 8, Йошкар-Ола</t>
  </si>
  <si>
    <t>+7 (8362) 38-28-89</t>
  </si>
  <si>
    <t xml:space="preserve">bridge_tour@mari-el.ru  </t>
  </si>
  <si>
    <t>http://www.bridge-tour.ru/</t>
  </si>
  <si>
    <t>пн-пт 09:30–19:00</t>
  </si>
  <si>
    <t>https://vk.com/bridge_tour</t>
  </si>
  <si>
    <t>https://www.instagram.com/bridge_tour_yo/</t>
  </si>
  <si>
    <t>47.927174 56.629203</t>
  </si>
  <si>
    <t>Деллиз</t>
  </si>
  <si>
    <t>+7 (8362) 42-98-88, +7 (8362) 40-20-95</t>
  </si>
  <si>
    <t>47.907594 56.631288</t>
  </si>
  <si>
    <t>СантехниК</t>
  </si>
  <si>
    <t>ул. Прохорова, 36, Йошкар-Ола</t>
  </si>
  <si>
    <t>+7 (8362) 64-07-20</t>
  </si>
  <si>
    <t>+7 (902) 671-93-75</t>
  </si>
  <si>
    <t xml:space="preserve">info@laempe.com </t>
  </si>
  <si>
    <t>https://www.santehnika12.ru/</t>
  </si>
  <si>
    <t>Магазин сантехники, Насосы, насосное оборудование, Строительство и монтаж бассейнов, аквапарков</t>
  </si>
  <si>
    <t>ежедневно, 08:30–18:30</t>
  </si>
  <si>
    <t>47.830901 56.63219</t>
  </si>
  <si>
    <t>Мебельград</t>
  </si>
  <si>
    <t>Зелёная ул., 4, Йошкар-Ола</t>
  </si>
  <si>
    <t>+7 (8362) 73-03-09</t>
  </si>
  <si>
    <t xml:space="preserve">support@gmail.com, 411136@mail.ru  </t>
  </si>
  <si>
    <t>http://grad12.ru/mebelgrad-na-zelenoj</t>
  </si>
  <si>
    <t>пн-пт 09:30–18:00; сб 10:00–16:00</t>
  </si>
  <si>
    <t>47.847245 56.640273</t>
  </si>
  <si>
    <t>Флок Мастер</t>
  </si>
  <si>
    <t>Советская ул., 143, Йошкар-Ола</t>
  </si>
  <si>
    <t>+7 (8362) 21-45-70</t>
  </si>
  <si>
    <t>+7 (917) 701-88-77, +7 (917) 717-62-34</t>
  </si>
  <si>
    <t>Издательские услуги</t>
  </si>
  <si>
    <t>47.896518 56.632828</t>
  </si>
  <si>
    <t>НПП Марат</t>
  </si>
  <si>
    <t>+7 (8362) 72-10-97</t>
  </si>
  <si>
    <t xml:space="preserve">nppmarat@yandex.ru  </t>
  </si>
  <si>
    <t>http://www.nppmarat.ru/</t>
  </si>
  <si>
    <t>Металлоизделия, Металлургическое предприятие, НИИ, Производство и оптовая продажа автозапчастей</t>
  </si>
  <si>
    <t>47.872082 56.620459</t>
  </si>
  <si>
    <t>Профи-сервис</t>
  </si>
  <si>
    <t>+7 (8362) 70-11-90</t>
  </si>
  <si>
    <t>+7 (902) 465-11-90</t>
  </si>
  <si>
    <t xml:space="preserve">salon@allure-beauty.ru </t>
  </si>
  <si>
    <t>Компьютерный ремонт и услуги, Ремонт телефонов, Товары для мобильных телефонов</t>
  </si>
  <si>
    <t>https://vk.com/profiservgadget</t>
  </si>
  <si>
    <t>47.870842 56.645898</t>
  </si>
  <si>
    <t>Лагуна</t>
  </si>
  <si>
    <t>Сернурский тракт, 4, корп. 1, Йошкар-Ола</t>
  </si>
  <si>
    <t>+7 (8362) 90-30-39</t>
  </si>
  <si>
    <t>+7 (902) 670-30-39</t>
  </si>
  <si>
    <t xml:space="preserve">info@profsauna.ru  </t>
  </si>
  <si>
    <t>http://laguna12.ru/</t>
  </si>
  <si>
    <t>47.958348 56.650845</t>
  </si>
  <si>
    <t>Техно-сервис</t>
  </si>
  <si>
    <t>+7 (8362) 63-01-01, +7 (8362) 65-14-64</t>
  </si>
  <si>
    <t>47.9021 56.6396</t>
  </si>
  <si>
    <t>Милосердие</t>
  </si>
  <si>
    <t>Ленинградская ул., 3, Йошкар-Ола</t>
  </si>
  <si>
    <t>+7 (8362) 64-76-29</t>
  </si>
  <si>
    <t>Садоводческие товарищества и общества</t>
  </si>
  <si>
    <t>пн-пт 09:00–15:00</t>
  </si>
  <si>
    <t>47.979891 56.634605</t>
  </si>
  <si>
    <t>МарГУ, учебный корпус А</t>
  </si>
  <si>
    <t>площадь имени В.И. Ленина, 1, Йошкар-Ола</t>
  </si>
  <si>
    <t>+7 (8362) 64-15-41, +7 (8362) 68-80-02, +7 (8362) 68-80-00, +7 (8362) 42-65-88</t>
  </si>
  <si>
    <t>+7 (8362) 56-57-81</t>
  </si>
  <si>
    <t xml:space="preserve">noreply@marsu.ru, rector@marsu.ru, mfc@marsu.ru, idpo.marsu@gmail.com  </t>
  </si>
  <si>
    <t>https://marsu.ru/</t>
  </si>
  <si>
    <t>ВУЗ, Дополнительное образование</t>
  </si>
  <si>
    <t>https://vk.com/officialmarsu</t>
  </si>
  <si>
    <t>https://www.facebook.com/MariiskiGosudarstvenyiUniversitet</t>
  </si>
  <si>
    <t>https://www.youtube.com/user/maristateuniv</t>
  </si>
  <si>
    <t>http://instagram.com/facemarsu</t>
  </si>
  <si>
    <t>47.889195 56.631442</t>
  </si>
  <si>
    <t>Архимед</t>
  </si>
  <si>
    <t>+7 (8362) 41-16-45</t>
  </si>
  <si>
    <t>+7 (8362) 41-40-30</t>
  </si>
  <si>
    <t xml:space="preserve">ki@my-ki.ru </t>
  </si>
  <si>
    <t>Учебное оборудование</t>
  </si>
  <si>
    <t>47.879387 56.617517</t>
  </si>
  <si>
    <t>Торгово-технологический колледж</t>
  </si>
  <si>
    <t>ул. Машиностроителей, 105, Йошкар-Ола</t>
  </si>
  <si>
    <t>+7 (8362) 73-15-61, +7 (8362) 73-15-63, +7 (8362) 73-26-92, +7 (8362) 73-15-62</t>
  </si>
  <si>
    <t xml:space="preserve">gou-ttk@yandex.ru, priem.ttk@yandex.ru  </t>
  </si>
  <si>
    <t>http://edu.mari.ru/prof/ttk/</t>
  </si>
  <si>
    <t>http://vk.com/yola_ttk</t>
  </si>
  <si>
    <t>47.845593 56.62829</t>
  </si>
  <si>
    <t>+7 (8362) 72-92-79, +7 (8362) 63-14-40</t>
  </si>
  <si>
    <t>пн-пт 10:00–19:00; сб 10:00–18:00</t>
  </si>
  <si>
    <t>https://vk.com/ornamentgold?_smt=groups_list:2</t>
  </si>
  <si>
    <t>https://ok.ru/group/54054383452270</t>
  </si>
  <si>
    <t>47.882263 56.631533</t>
  </si>
  <si>
    <t>Резонансные системы</t>
  </si>
  <si>
    <t>площадь имени В.И. Ленина, 3, Йошкар-Ола</t>
  </si>
  <si>
    <t>+7 (8362) 53-27-99, +7 (8362) 43-60-20</t>
  </si>
  <si>
    <t>http://www.nmr-design.com/ru, http://www.nmr-design.com/</t>
  </si>
  <si>
    <t>КБ, НПО</t>
  </si>
  <si>
    <t>Магниты и магнитные системы, Научно-производственная организация, Оборудование для легкой промышленности</t>
  </si>
  <si>
    <t>47.892071 56.630718</t>
  </si>
  <si>
    <t>Компания Технологическая комплектация</t>
  </si>
  <si>
    <t>ул. Крылова, 58, корп. 3, Йошкар-Ола</t>
  </si>
  <si>
    <t>+7 (8362) 73-05-02, +7 (8362) 73-11-42</t>
  </si>
  <si>
    <t>Автомобильные грузоперевозки, Металлоизделия, Строительный магазин, Стройматериалы оптом, Трубы и трубопроводная арматура</t>
  </si>
  <si>
    <t>47.834194 56.622179</t>
  </si>
  <si>
    <t>Секрециум</t>
  </si>
  <si>
    <t>ул. Мира, 89, Йошкар-Ола</t>
  </si>
  <si>
    <t>+7 (8362) 38-44-38, +7 (8362) 32-65-65, +7 (8362) 23-11-81</t>
  </si>
  <si>
    <t>+7 (8362) 23-11-81</t>
  </si>
  <si>
    <t xml:space="preserve">webcrawl@usa.net, info@sekrecium.ru </t>
  </si>
  <si>
    <t>http://www.секрециум.рф/</t>
  </si>
  <si>
    <t>Охранное предприятие, Пожарное оборудование, Системы безопасности и охраны</t>
  </si>
  <si>
    <t>47.944695 56.633342</t>
  </si>
  <si>
    <t>Jline</t>
  </si>
  <si>
    <t>+7 (906) 138-83-48</t>
  </si>
  <si>
    <t>47.89274 56.638752</t>
  </si>
  <si>
    <t>Детский сад № 2 Облачко</t>
  </si>
  <si>
    <t>ул. Якова Эшпая, 171, Йошкар-Ола</t>
  </si>
  <si>
    <t>+7 (8362) 42-50-00, +7 (36224) 2-50-00</t>
  </si>
  <si>
    <t>47.880624 56.634049</t>
  </si>
  <si>
    <t>МастерОК</t>
  </si>
  <si>
    <t>Красноармейская ул., 44Б, Йошкар-Ола</t>
  </si>
  <si>
    <t>+7 (8362) 73-28-23</t>
  </si>
  <si>
    <t>+7 (917) 715-66-03</t>
  </si>
  <si>
    <t>Строительный магазин</t>
  </si>
  <si>
    <t>пн-пт 08:00–18:00; сб,вс 09:00–17:00</t>
  </si>
  <si>
    <t>47.893603 56.64237</t>
  </si>
  <si>
    <t>СФ Капитель</t>
  </si>
  <si>
    <t>+7 (8362) 45-00-56</t>
  </si>
  <si>
    <t>Знаечка</t>
  </si>
  <si>
    <t>ул. Свердлова, 40А/4, Йошкар-Ола</t>
  </si>
  <si>
    <t>+7 (8362) 31-16-16, +7 (8362) 33-64-16</t>
  </si>
  <si>
    <t xml:space="preserve">tamannews@rambler.ru </t>
  </si>
  <si>
    <t>http://www.znaechka.com/</t>
  </si>
  <si>
    <t>https://vk.com/znaechka12</t>
  </si>
  <si>
    <t>https://www.instagram.com/znaechka_yola</t>
  </si>
  <si>
    <t>47.869092 56.642426</t>
  </si>
  <si>
    <t>Сапфир</t>
  </si>
  <si>
    <t>ул. Петрова, 15А, Йошкар-Ола</t>
  </si>
  <si>
    <t>+7 (8362) 21-65-29</t>
  </si>
  <si>
    <t>пн-пт 09:00–18:00, перерыв 13:00–14:00; сб 09:00–14:00</t>
  </si>
  <si>
    <t>47.919014 56.633388</t>
  </si>
  <si>
    <t>Юрбизнесцентр</t>
  </si>
  <si>
    <t>ул. Палантая, 77, Йошкар-Ола</t>
  </si>
  <si>
    <t>+7 (917) 713-49-87</t>
  </si>
  <si>
    <t>пн-пт 10:00–16:00</t>
  </si>
  <si>
    <t>47.886403 56.629426</t>
  </si>
  <si>
    <t>Спецстроймеханизация</t>
  </si>
  <si>
    <t>ул. Рябинина, 17, Йошкар-Ола</t>
  </si>
  <si>
    <t>+7 (8362) 41-63-60</t>
  </si>
  <si>
    <t>47.874373 56.637039</t>
  </si>
  <si>
    <t>Калинка</t>
  </si>
  <si>
    <t>ул. Анциферова, 3А, Йошкар-Ола</t>
  </si>
  <si>
    <t>+7 (8362) 55-46-66, +7 (8362) 55-45-45, +7 (36225) 5-45-45, +7 (36225) 5-46-66</t>
  </si>
  <si>
    <t xml:space="preserve">kalinka.detsad@bk.ru, uoa-yoshkar-ola@yandex.ru  </t>
  </si>
  <si>
    <t>http://edu.mari.ru/mouo-yoshkarola/dou32</t>
  </si>
  <si>
    <t>47.867127 56.649361</t>
  </si>
  <si>
    <t>Magic Line</t>
  </si>
  <si>
    <t>+7 (8362) 45-43-36, +7 (8362) 25-32-32</t>
  </si>
  <si>
    <t>Салон красоты, Тату-салон</t>
  </si>
  <si>
    <t>47.892326 56.629818</t>
  </si>
  <si>
    <t>Город.Ок</t>
  </si>
  <si>
    <t>+7 (8362) 42-33-25</t>
  </si>
  <si>
    <t>+7 (902) 326-07-93</t>
  </si>
  <si>
    <t>PK-Trade12</t>
  </si>
  <si>
    <t>ул. Мира, 45/16, Йошкар-Ола</t>
  </si>
  <si>
    <t>+7 (937) 118-46-58</t>
  </si>
  <si>
    <t>http://www.pk.likiliks.ru/</t>
  </si>
  <si>
    <t>47.951496 56.627583</t>
  </si>
  <si>
    <t>Гуд Колор</t>
  </si>
  <si>
    <t>Складская ул., 18А, Йошкар-Ола</t>
  </si>
  <si>
    <t>+7 (499) 703-42-30, +7 (8362) 74-20-30</t>
  </si>
  <si>
    <t xml:space="preserve">sale@goodcolor.ru  </t>
  </si>
  <si>
    <t>http://goodcolor.ru/</t>
  </si>
  <si>
    <t>Лакокрасочные материалы, Пожарное оборудование, Системы безопасности и охраны</t>
  </si>
  <si>
    <t>https://vk.com/goodcolor</t>
  </si>
  <si>
    <t>47.898342 56.617016</t>
  </si>
  <si>
    <t>Центр дверей Ваяр</t>
  </si>
  <si>
    <t>+7 (8362) 46-96-22</t>
  </si>
  <si>
    <t>Двери, Корпусная мебель, Мягкая мебель, Светильники</t>
  </si>
  <si>
    <t>47.890751 56.639996</t>
  </si>
  <si>
    <t>Авторизованный СЦ СилингСервис</t>
  </si>
  <si>
    <t>+7 (8362) 50-55-05</t>
  </si>
  <si>
    <t>+7 (964) 860-55-05</t>
  </si>
  <si>
    <t xml:space="preserve">service@nbkservice.ru  </t>
  </si>
  <si>
    <t>Компьютерный ремонт и услуги, Ремонт телефонов</t>
  </si>
  <si>
    <t>https://vk.com/remont_noutbukov12</t>
  </si>
  <si>
    <t>47.8735 56.6473</t>
  </si>
  <si>
    <t>Одиссея</t>
  </si>
  <si>
    <t>просп. Гагарина, 14, Йошкар-Ола</t>
  </si>
  <si>
    <t>+7 (8362) 38-03-00</t>
  </si>
  <si>
    <t xml:space="preserve">odisseya12@yandex.ru  </t>
  </si>
  <si>
    <t>http://odisseya-tours.ru/</t>
  </si>
  <si>
    <t>Железнодорожные и авиабилеты, Турагентство</t>
  </si>
  <si>
    <t>http://facebook.com/odisseya12</t>
  </si>
  <si>
    <t>47.885962 56.626947</t>
  </si>
  <si>
    <t>Пора отдыхать</t>
  </si>
  <si>
    <t xml:space="preserve">prokatmaskarad@gmail.com </t>
  </si>
  <si>
    <t>http://trip-market.ru/</t>
  </si>
  <si>
    <t>http://vk.com/poraotdyhat</t>
  </si>
  <si>
    <t>http://instagram.com/pora_otdyhat</t>
  </si>
  <si>
    <t>47.89274 56.638748</t>
  </si>
  <si>
    <t>Лестехком</t>
  </si>
  <si>
    <t>+7 (8362) 64-12-90, +7 (8362) 64-12-80, +7 (8362) 63-59-80</t>
  </si>
  <si>
    <t xml:space="preserve">anzagaynov@yandex.ru, pav2183@yandex.ru  </t>
  </si>
  <si>
    <t>http://lestechcom.ru/</t>
  </si>
  <si>
    <t>47.825292 56.618971</t>
  </si>
  <si>
    <t>Ветеринарный центр ДокторВет</t>
  </si>
  <si>
    <t>Первомайская ул., 90, Йошкар-Ола</t>
  </si>
  <si>
    <t>+7 (927) 879-51-50</t>
  </si>
  <si>
    <t>http://doktorvet-vet.ru/</t>
  </si>
  <si>
    <t>Ветеринарная аптека, Ветеринарная клиника, Гостиница для животных</t>
  </si>
  <si>
    <t>http://vk.com/club131225015</t>
  </si>
  <si>
    <t>47.890377 56.644277</t>
  </si>
  <si>
    <t>ТМК Инструмент</t>
  </si>
  <si>
    <t>8 (800) 700-70-77, +7 (8362) 30-49-96, +7 (8362) 38-55-85, +7 (8362) 41-70-76, +7 (831) 220-82-00</t>
  </si>
  <si>
    <t xml:space="preserve">hello@tmktools.ru  </t>
  </si>
  <si>
    <t>https://yoshkar-ola.tmktools.ru/</t>
  </si>
  <si>
    <t>Садовый инвентарь и техника, Строительный инструмент, Электро- и бензоинструмент</t>
  </si>
  <si>
    <t>пн-пт 09:00–20:00; сб 09:00–18:00; вс 09:00–17:00</t>
  </si>
  <si>
    <t>https://vk.com/tmktools_official</t>
  </si>
  <si>
    <t>https://www.facebook.com/tmktools</t>
  </si>
  <si>
    <t>47.886951 56.627272</t>
  </si>
  <si>
    <t>Оперативная полиграфия Известия Марий Эл</t>
  </si>
  <si>
    <t>Советская ул., 105, Йошкар-Ола</t>
  </si>
  <si>
    <t>+7 (8362) 30-71-81, +7 (8362) 30-30-60, +7 (8362) 30-69-70</t>
  </si>
  <si>
    <t>+7 (8362) 30-30-60</t>
  </si>
  <si>
    <t>Полиграфические услуги, Редакция СМИ, Студия дизайна</t>
  </si>
  <si>
    <t>47.900262 56.638228</t>
  </si>
  <si>
    <t>Магазин автозапчастей Сигнал</t>
  </si>
  <si>
    <t>ул. Гончарова, 27, Йошкар-Ола</t>
  </si>
  <si>
    <t>+7 (8362) 42-86-36</t>
  </si>
  <si>
    <t>Автоаксессуары, Автокресла, Магазин автозапчастей и автотоваров</t>
  </si>
  <si>
    <t>пн-пт 08:00–22:00, перерыв 13:00–14:00; сб,вс 08:00–20:00, перерыв 13:00–14:00</t>
  </si>
  <si>
    <t>https://vk.com/clubsignal</t>
  </si>
  <si>
    <t>47.883136 56.616534</t>
  </si>
  <si>
    <t>Fix Price</t>
  </si>
  <si>
    <t>ул. Подольских Курсантов, 4, Йошкар-Ола</t>
  </si>
  <si>
    <t>8 (800) 775-35-15</t>
  </si>
  <si>
    <t xml:space="preserve">bonus@fix-price.ru, dobromir.sochi@gmail.com  </t>
  </si>
  <si>
    <t>https://fix-price.ru/</t>
  </si>
  <si>
    <t>Магазин подарков и сувениров, Магазин фиксированной цены, Магазин хозтоваров и бытовой химии, Товары для дома</t>
  </si>
  <si>
    <t>https://vk.com/club23509252</t>
  </si>
  <si>
    <t>https://ok.ru/fixprice</t>
  </si>
  <si>
    <t>https://twitter.com/fix_price</t>
  </si>
  <si>
    <t>https://www.facebook.com/fixprice36</t>
  </si>
  <si>
    <t>https://www.youtube.com/user/fixprice36</t>
  </si>
  <si>
    <t>https://www.instagram.com/fixprice.russia</t>
  </si>
  <si>
    <t>47.872315 56.65118</t>
  </si>
  <si>
    <t>Центурион центр Изучения Основ Общественной Безопасности</t>
  </si>
  <si>
    <t>Ленинский просп., 24, Йошкар-Ола</t>
  </si>
  <si>
    <t>47.887005 56.631897</t>
  </si>
  <si>
    <t>Фармацевтическое предприятие Марбиофарм</t>
  </si>
  <si>
    <t>ул. Карла Маркса, 121, Йошкар-Ола</t>
  </si>
  <si>
    <t>+7 (8362) 42-03-12</t>
  </si>
  <si>
    <t>+7 (8362) 45-00-00</t>
  </si>
  <si>
    <t xml:space="preserve">marbiopharm@marbiopharm.ru  </t>
  </si>
  <si>
    <t>https://marbiopharm.ru/</t>
  </si>
  <si>
    <t>Промышленная химия, Фармацевтическая компания</t>
  </si>
  <si>
    <t>47.886625 56.619715</t>
  </si>
  <si>
    <t>Парикмахерская Маэстро</t>
  </si>
  <si>
    <t>+7 (8362) 45-16-59</t>
  </si>
  <si>
    <t>47.895569 56.640148</t>
  </si>
  <si>
    <t>Колледж Профессионал</t>
  </si>
  <si>
    <t>+7 (8362) 46-99-90, +7 (8362) 66-22-67</t>
  </si>
  <si>
    <t xml:space="preserve">info@prodvizheniesayta.ru </t>
  </si>
  <si>
    <t>47.886836 56.646952</t>
  </si>
  <si>
    <t>АвтоЛидер</t>
  </si>
  <si>
    <t>ул. Васильева, 4А, Йошкар-Ола</t>
  </si>
  <si>
    <t>+7 (8362) 38-19-20, +7 (8362) 27-30-17</t>
  </si>
  <si>
    <t>+7 (987) 703-59-39, +7 (906) 336-00-17</t>
  </si>
  <si>
    <t xml:space="preserve">autoleader.yola@gmail.com </t>
  </si>
  <si>
    <t>Автостекла, Магазин автозапчастей и автотоваров</t>
  </si>
  <si>
    <t>пн-пт 09:00–19:00; сб 09:00–17:00</t>
  </si>
  <si>
    <t>47.829742 56.637437</t>
  </si>
  <si>
    <t>Республиканский научно-методический центр народного творчества и культурно-досуговой деятельности</t>
  </si>
  <si>
    <t>+7 (8362) 42-28-80</t>
  </si>
  <si>
    <t xml:space="preserve">cultur@mari-el.ru, cultur.rme@gmail.com, ont.rnmc@yandex.ru, kdd.rnmc@yandex.ru, iao.rnmc@yandex.ru  </t>
  </si>
  <si>
    <t>http://rnmc-rme.ru/</t>
  </si>
  <si>
    <t>Дом культуры, Культурный центр</t>
  </si>
  <si>
    <t>http://vk.com/rnmcrme</t>
  </si>
  <si>
    <t>47.877898 56.641637</t>
  </si>
  <si>
    <t>Эверест</t>
  </si>
  <si>
    <t>+7 (8362) 96-13-94, +7 (8362) 31-17-37</t>
  </si>
  <si>
    <t>Металлоремонт</t>
  </si>
  <si>
    <t>ДРС ГУП</t>
  </si>
  <si>
    <t>47.895176 56.645248</t>
  </si>
  <si>
    <t>Профиль Групп</t>
  </si>
  <si>
    <t>+7 (8362) 72-10-65</t>
  </si>
  <si>
    <t>http://profile-group.ru/</t>
  </si>
  <si>
    <t>Материально-техническое снабжение</t>
  </si>
  <si>
    <t>пн-пт 08:00–19:00; сб,вс 08:00–15:00</t>
  </si>
  <si>
    <t>47.860011 56.624598</t>
  </si>
  <si>
    <t>Nitron</t>
  </si>
  <si>
    <t>+7 (8362) 56-68-86</t>
  </si>
  <si>
    <t>Компьютерный магазин</t>
  </si>
  <si>
    <t>47.885878 56.635589</t>
  </si>
  <si>
    <t>Марийский машиностроительный завод</t>
  </si>
  <si>
    <t>+7 (8362) 42-14-38, +7 (8362) 45-27-77, +7 (8362) 68-32-94, +7 (8362) 68-32-89, +7 (8362) 68-39-22, +7 (8362) 68-31-89</t>
  </si>
  <si>
    <t xml:space="preserve">pgn@marimmz.ru, mmz@marimmz.ru, mts@marimmz.ru  </t>
  </si>
  <si>
    <t>https://www.marimmz.ru/, https://agro.marimmz.ru/, https://gazoduvki.marimmz.ru/, https://led.marimmz.ru/, https://stanki.marimmz.ru/</t>
  </si>
  <si>
    <t>Машиностроительный завод, Радиотехника, Сельскохозяйственная техника</t>
  </si>
  <si>
    <t>https://vk.com/aommz</t>
  </si>
  <si>
    <t>47.866859 56.634035</t>
  </si>
  <si>
    <t>ПоСтройКа</t>
  </si>
  <si>
    <t>+7 (8362) 75-01-77, +7 (8362) 30-43-43, +7 (8362) 75-01-75</t>
  </si>
  <si>
    <t>+7 (927) 882-12-32</t>
  </si>
  <si>
    <t xml:space="preserve">mail@krovli-12.ru  </t>
  </si>
  <si>
    <t>http://postroika12.ru/, https://krovli-12.ru/</t>
  </si>
  <si>
    <t>Кровля и кровельные материалы, Строительная компания, Строительный магазин, Фасады и фасадные системы</t>
  </si>
  <si>
    <t>47.926779 56.631677</t>
  </si>
  <si>
    <t>МКУ Йошкар-Олинское АСС</t>
  </si>
  <si>
    <t>просп. Гагарина, 7, Йошкар-Ола</t>
  </si>
  <si>
    <t>+7 (8362) 34-70-10</t>
  </si>
  <si>
    <t>Курсы и мастер-классы</t>
  </si>
  <si>
    <t>пн-пт 08:30–17:00, перерыв 12:30–13:30</t>
  </si>
  <si>
    <t>47.88828 56.629005</t>
  </si>
  <si>
    <t>Артемида плюс</t>
  </si>
  <si>
    <t>Пролетарская ул., 60А, Йошкар-Ола</t>
  </si>
  <si>
    <t>+7 (8362) 32-33-13</t>
  </si>
  <si>
    <t>+7 (927) 882-33-13</t>
  </si>
  <si>
    <t xml:space="preserve">adm@artemidaplus.ru, info@mail.ru  </t>
  </si>
  <si>
    <t>https://artemidaplus.ru/</t>
  </si>
  <si>
    <t>Ветеринарная аптека, Ветеринарная клиника, Гостиница для животных, Зоомагазин, Зоосалон, зоопарикмахерская</t>
  </si>
  <si>
    <t>https://vk.com/artemida_plus</t>
  </si>
  <si>
    <t>http://instagram.com/artemidaplus</t>
  </si>
  <si>
    <t>47.885047 56.648449</t>
  </si>
  <si>
    <t>Фея</t>
  </si>
  <si>
    <t>ул. Пушкина, 15, Йошкар-Ола</t>
  </si>
  <si>
    <t>+7 (8362) 41-40-51</t>
  </si>
  <si>
    <t>47.894164 56.632496</t>
  </si>
  <si>
    <t>Марспецавтоматика</t>
  </si>
  <si>
    <t>+7 (8362) 42-26-28</t>
  </si>
  <si>
    <t>Противопожарные системы</t>
  </si>
  <si>
    <t>47.877887 56.631154</t>
  </si>
  <si>
    <t>+7 (8362) 52-70-00, +7 (8362) 33-77-14, +7 (8362) 33-77-16</t>
  </si>
  <si>
    <t>+7 (917) 703-25-70</t>
  </si>
  <si>
    <t>Корпусная мебель, Магазин бытовой техники, Магазин мебели, Мебельная фурнитура и комплектующие</t>
  </si>
  <si>
    <t>47.88747 56.611492</t>
  </si>
  <si>
    <t>Творец</t>
  </si>
  <si>
    <t>+7 (8362) 42-51-11, +7 (8362) 42-03-18</t>
  </si>
  <si>
    <t xml:space="preserve">dtdim@mail.ru  </t>
  </si>
  <si>
    <t>http://dtdim.org/obedinenia/viewgroup/4-izostudiya-tvorets</t>
  </si>
  <si>
    <t>Детский лагерь отдыха, Клуб для детей и подростков</t>
  </si>
  <si>
    <t>47.887095 56.635169</t>
  </si>
  <si>
    <t>Альянс ТД Представительство</t>
  </si>
  <si>
    <t>ТФ Художественная Керамика</t>
  </si>
  <si>
    <t>ул. Героев Сталинградской Битвы, 27, Йошкар-Ола</t>
  </si>
  <si>
    <t>+7 (8362) 64-26-43</t>
  </si>
  <si>
    <t>47.94765 56.626802</t>
  </si>
  <si>
    <t>+7 (8362) 72-00-46</t>
  </si>
  <si>
    <t>47.870686 56.63534</t>
  </si>
  <si>
    <t>Преображение России</t>
  </si>
  <si>
    <t>ул. Прохорова, 44А, Йошкар-Ола</t>
  </si>
  <si>
    <t>Благотворительный фонд, Общественная организация</t>
  </si>
  <si>
    <t>47.826737 56.630619</t>
  </si>
  <si>
    <t>Управление по хозяйственному обслуживанию объединения организации профсоюзов республики Марий Эл</t>
  </si>
  <si>
    <t>47.856542 56.629854</t>
  </si>
  <si>
    <t>Свет</t>
  </si>
  <si>
    <t>+7 (8362) 72-14-01, +7 (8362) 72-14-32</t>
  </si>
  <si>
    <t xml:space="preserve">svet2005@bk.ru  </t>
  </si>
  <si>
    <t>Кабель и провод, Светильники, Электротехническая продукция</t>
  </si>
  <si>
    <t>https://vk.com/svet__12</t>
  </si>
  <si>
    <t>47.868734 56.638228</t>
  </si>
  <si>
    <t>Виолла</t>
  </si>
  <si>
    <t>ул. Баумана, 20А, Йошкар-Ола</t>
  </si>
  <si>
    <t>+7 (8362) 73-06-40</t>
  </si>
  <si>
    <t>пн-пт 07:00–18:00; сб 08:00–12:00</t>
  </si>
  <si>
    <t>47.842305 56.63804</t>
  </si>
  <si>
    <t>Газпром газораспределение Йошкар-Ола</t>
  </si>
  <si>
    <t>ул. Якова Эшпая, 145, Йошкар-Ола</t>
  </si>
  <si>
    <t>+7 (8362) 72-00-94, +7 (8362) 72-13-68, +7 (8362) 72-00-03, +7 (8362) 72-01-34</t>
  </si>
  <si>
    <t xml:space="preserve">panteleevaes@nmrg.oblgas.natm.ru  </t>
  </si>
  <si>
    <t>http://www.marigaz.ru/, http://gazoraspredelenie.gazprom.ru/</t>
  </si>
  <si>
    <t>Служба газового хозяйства</t>
  </si>
  <si>
    <t>http://vk.com/gpgr12</t>
  </si>
  <si>
    <t>http://facebook.com/gprg12</t>
  </si>
  <si>
    <t>47.881863 56.63673</t>
  </si>
  <si>
    <t>Копицентр</t>
  </si>
  <si>
    <t>47.888505 56.630627</t>
  </si>
  <si>
    <t>Пункт технического осмотра автотранспорта</t>
  </si>
  <si>
    <t>ул. Карла Маркса, 137, Йошкар-Ола</t>
  </si>
  <si>
    <t>+7 (8362) 42-40-58, +7 (8362) 45-30-30</t>
  </si>
  <si>
    <t>Пункт техосмотра</t>
  </si>
  <si>
    <t>пн-пт 09:00–18:00; сб 08:00–16:00</t>
  </si>
  <si>
    <t>47.881822 56.609091</t>
  </si>
  <si>
    <t>Выставочный зал Радуга</t>
  </si>
  <si>
    <t>http://radugaola.ru/</t>
  </si>
  <si>
    <t>пн-чт 09:00–17:00; пт 09:00–15:00; сб,вс 10:00–16:00</t>
  </si>
  <si>
    <t>http://vk.com/raduga_yola</t>
  </si>
  <si>
    <t>47.889215 56.634194</t>
  </si>
  <si>
    <t>Проектно-Производственное Государственное предприятие при Министерстве Строительства</t>
  </si>
  <si>
    <t>Адвокат. Мария Мельникова</t>
  </si>
  <si>
    <t>Комсомольская ул., 117, Йошкар-Ола</t>
  </si>
  <si>
    <t>+7 (927) 684-67-73, +7 (917) 708-81-78</t>
  </si>
  <si>
    <t>47.898728 56.643441</t>
  </si>
  <si>
    <t>ФотоЭкспресс Konica Minolta</t>
  </si>
  <si>
    <t>Фотомагазин, Фотоуслуги</t>
  </si>
  <si>
    <t>пн-пт 10:00–20:00; сб 10:00–18:00; вс 10:00–16:00</t>
  </si>
  <si>
    <t>47.892741 56.638754</t>
  </si>
  <si>
    <t>Центр замены масел</t>
  </si>
  <si>
    <t>ул. Соловьёва, 44А, Йошкар-Ола</t>
  </si>
  <si>
    <t>+7 (8362) 96-02-07, +7 (8362) 29-30-40</t>
  </si>
  <si>
    <t>+7 (902) 432-30-40, +7 (902) 325-74-18, +7 (902) 326-02-07</t>
  </si>
  <si>
    <t>Автосервис, автотехцентр, Аккумуляторы и зарядные устройства, Смазочные материалы, Экспресс-пункт замены масла</t>
  </si>
  <si>
    <t>пн-пт 08:30–18:00; сб 09:00–16:00; вс 09:00–15:00</t>
  </si>
  <si>
    <t>47.86812 56.627219</t>
  </si>
  <si>
    <t>Fox studio</t>
  </si>
  <si>
    <t xml:space="preserve">admin@megagold.ru, ykmegagold@mail.ru </t>
  </si>
  <si>
    <t>Перерабатывающая компания</t>
  </si>
  <si>
    <t>Ленинградская ул., 2, Йошкар-Ола</t>
  </si>
  <si>
    <t>+7 (8362) 64-75-69, +7 (8362) 64-72-61</t>
  </si>
  <si>
    <t>Магазин рыбы и морепродуктов, Производство продуктов питания</t>
  </si>
  <si>
    <t>пн-пт 07:30–16:30; сб 07:30–13:30</t>
  </si>
  <si>
    <t>47.97636 56.63564</t>
  </si>
  <si>
    <t>КИП-Комплект</t>
  </si>
  <si>
    <t>+7 (8362) 63-20-00, +7 (8362) 63-33-04</t>
  </si>
  <si>
    <t>+7 (902) 737-91-92</t>
  </si>
  <si>
    <t xml:space="preserve">egor.o.krylov@gmail.com  </t>
  </si>
  <si>
    <t>http://www.kip12.ru/</t>
  </si>
  <si>
    <t>Автоматизация производств, Контрольно-измерительные приборы, Электротехническая продукция</t>
  </si>
  <si>
    <t>47.872005 56.611612</t>
  </si>
  <si>
    <t>Мариполимер</t>
  </si>
  <si>
    <t>ул. Панфилова, 39, Йошкар-Ола</t>
  </si>
  <si>
    <t>+7 (8362) 72-09-72</t>
  </si>
  <si>
    <t>http://maripolimer.tiu.ru/</t>
  </si>
  <si>
    <t>Оптовая компания, Промышленная химия</t>
  </si>
  <si>
    <t>47.877501 56.627867</t>
  </si>
  <si>
    <t>Sirius service</t>
  </si>
  <si>
    <t>Сернурский тракт, 4Г, Йошкар-Ола</t>
  </si>
  <si>
    <t>+7 (8362) 77-88-74</t>
  </si>
  <si>
    <t xml:space="preserve">samokaev88@mail.ru  </t>
  </si>
  <si>
    <t>http://ss12.ru/</t>
  </si>
  <si>
    <t>пн-сб 09:00–19:00</t>
  </si>
  <si>
    <t>https://vk.com/clubsirius</t>
  </si>
  <si>
    <t>47.952708 56.650544</t>
  </si>
  <si>
    <t>Бильярдный клуб Шаровая молния</t>
  </si>
  <si>
    <t>+7 (8362) 72-33-93, +7 (8362) 42-75-25</t>
  </si>
  <si>
    <t>сб,вс 14:00–02:00</t>
  </si>
  <si>
    <t>47.873864 56.652382</t>
  </si>
  <si>
    <t>Калевала-Декор</t>
  </si>
  <si>
    <t>+7 (987) 700-54-72</t>
  </si>
  <si>
    <t>http://ковка12.рф/</t>
  </si>
  <si>
    <t>Кованые изделия, Металлические заборы и ограждения, Металлоконструкции</t>
  </si>
  <si>
    <t>47.957139 56.651428</t>
  </si>
  <si>
    <t>Магазин Электрика</t>
  </si>
  <si>
    <t>ул. Серова, 59, Йошкар-Ола</t>
  </si>
  <si>
    <t>+7 (8362) 30-51-31, +7 (8362) 38-00-09, +7 (8362) 52-13-34</t>
  </si>
  <si>
    <t xml:space="preserve">slava@bladegroup.ru </t>
  </si>
  <si>
    <t>Магазин электротоваров, Ремонт электрооборудования, Электро- и бензоинструмент</t>
  </si>
  <si>
    <t>пн-пт 09:00–18:00; сб 09:00–13:00</t>
  </si>
  <si>
    <t>47.899089 56.651516</t>
  </si>
  <si>
    <t>Лазурит</t>
  </si>
  <si>
    <t>+7 (8362) 75-17-41</t>
  </si>
  <si>
    <t>Ломбард</t>
  </si>
  <si>
    <t>47.89795 56.635303</t>
  </si>
  <si>
    <t>Стройметалл</t>
  </si>
  <si>
    <t>+7 (8362) 61-60-78</t>
  </si>
  <si>
    <t>Wazazi</t>
  </si>
  <si>
    <t>ул. Воинов-Интернационалистов, 36, Йошкар-Ола</t>
  </si>
  <si>
    <t>+7 (8362) 51-20-50</t>
  </si>
  <si>
    <t>+7 (964) 861-20-50</t>
  </si>
  <si>
    <t xml:space="preserve">info@wazazi.ru  </t>
  </si>
  <si>
    <t>http://www.wazazi.ru/</t>
  </si>
  <si>
    <t>https://vk.com/wazazi</t>
  </si>
  <si>
    <t>47.898732 56.645001</t>
  </si>
  <si>
    <t>Поволжская Торгово-Промышленная Компания</t>
  </si>
  <si>
    <t>+7 (8362) 42-32-92</t>
  </si>
  <si>
    <t>ТФ Спецтехкомплект</t>
  </si>
  <si>
    <t>Лесозаготовительная техника, Сельскохозяйственная техника</t>
  </si>
  <si>
    <t>Коллегия адвокатов Столица Марий Эл</t>
  </si>
  <si>
    <t>ул. Прохорова, 37Б, Йошкар-Ола</t>
  </si>
  <si>
    <t>+7 (8362) 63-61-32, +7 (8362) 30-59-69</t>
  </si>
  <si>
    <t>http://vk.com/yola_advokat</t>
  </si>
  <si>
    <t>47.83501 56.632031</t>
  </si>
  <si>
    <t>Детский сад № 61 Теремок</t>
  </si>
  <si>
    <t>ул. 40 лет Октября, 42, Йошкар-Ола</t>
  </si>
  <si>
    <t>+7 (8362) 46-67-99</t>
  </si>
  <si>
    <t xml:space="preserve">domik61@mail.ru, uoa-yoskar-ola@yandex.ru  </t>
  </si>
  <si>
    <t>http://edu.mari.ru/mouo-yoshkarola/dou61/</t>
  </si>
  <si>
    <t>47.842733 56.646005</t>
  </si>
  <si>
    <t>Корвет</t>
  </si>
  <si>
    <t>ул. Гончарова, 1Б, Йошкар-Ола</t>
  </si>
  <si>
    <t>+7 (8362) 45-31-46</t>
  </si>
  <si>
    <t xml:space="preserve">korvet2005@mail.ru  </t>
  </si>
  <si>
    <t>http://korvet12.ru/</t>
  </si>
  <si>
    <t>Бетон, бетонные изделия, ЖБИ, Строительный магазин</t>
  </si>
  <si>
    <t>47.893643 56.613762</t>
  </si>
  <si>
    <t>Смед</t>
  </si>
  <si>
    <t>+7 (927) 877-68-05</t>
  </si>
  <si>
    <t>Дачи и коттеджи</t>
  </si>
  <si>
    <t>Строительство дачных домов и коттеджей</t>
  </si>
  <si>
    <t>Книжный магазин Мир Книги</t>
  </si>
  <si>
    <t>+7 (8362) 40-19-45, +7 (8362) 33-22-65, +7 (8362) 30-44-58</t>
  </si>
  <si>
    <t xml:space="preserve">mknigi@yandex.ru  </t>
  </si>
  <si>
    <t>https://www.mknigi.ru/</t>
  </si>
  <si>
    <t>http://vk.com/mknigi</t>
  </si>
  <si>
    <t>47.8599 56.645088</t>
  </si>
  <si>
    <t>Унп Вторчемет</t>
  </si>
  <si>
    <t>ул. Ломоносова, 2А, Йошкар-Ола</t>
  </si>
  <si>
    <t>+7 (8362) 33-31-40</t>
  </si>
  <si>
    <t>Цветные металлы, Черная металлургия</t>
  </si>
  <si>
    <t>47.876899 56.61557</t>
  </si>
  <si>
    <t>Типография Мрипп. Марийское рекламно-издательское полиграфическое предприятие</t>
  </si>
  <si>
    <t>+7 (8362) 42-38-52, +7 (8362) 42-24-72</t>
  </si>
  <si>
    <t>+7 (937) 115-69-52</t>
  </si>
  <si>
    <t>http://mripp.net/</t>
  </si>
  <si>
    <t>Полиграфические услуги, Редакция СМИ, Типография</t>
  </si>
  <si>
    <t>47.8736 56.6472</t>
  </si>
  <si>
    <t>Марийский Кредит</t>
  </si>
  <si>
    <t>Кредитный брокер</t>
  </si>
  <si>
    <t>Аква</t>
  </si>
  <si>
    <t>ул. Мира, 2Е, Йошкар-Ола</t>
  </si>
  <si>
    <t>+7 (8362) 45-55-90, +7 (8362) 20-29-92</t>
  </si>
  <si>
    <t>Гостиница, Сауна</t>
  </si>
  <si>
    <t>47.953987 56.629685</t>
  </si>
  <si>
    <t>Кристалл-М</t>
  </si>
  <si>
    <t>ул. Машиностроителей, 131, Йошкар-Ола</t>
  </si>
  <si>
    <t>+7 (8362) 63-73-20</t>
  </si>
  <si>
    <t>47.820862 56.623712</t>
  </si>
  <si>
    <t>ПТК Тепловенткомплект</t>
  </si>
  <si>
    <t>ул. Чихайдарово, 1, Йошкар-Ола</t>
  </si>
  <si>
    <t>+7 (8362) 43-03-80, +7 (8362) 41-63-46</t>
  </si>
  <si>
    <t>+7 (987) 719-72-30</t>
  </si>
  <si>
    <t xml:space="preserve">tvkinfo@yandex.ru  </t>
  </si>
  <si>
    <t>http://www.ventcom.ru/, http://www.вэлт.рф/</t>
  </si>
  <si>
    <t>Котлы и котельное оборудование, Отопительное оборудование и системы, Промышленное оборудование, Системы вентиляции</t>
  </si>
  <si>
    <t>47.889323 56.612014</t>
  </si>
  <si>
    <t>Ремонт часов</t>
  </si>
  <si>
    <t>+7 (927) 872-29-55</t>
  </si>
  <si>
    <t>пн-пт 10:00–16:00; сб 10:00–13:00</t>
  </si>
  <si>
    <t>ТД Марснабкомплект</t>
  </si>
  <si>
    <t>+7 (8362) 73-64-85</t>
  </si>
  <si>
    <t>Металлообрабатывающее оборудование</t>
  </si>
  <si>
    <t>ГБУ РМЭ Комплексный центр социального обслуживания населения в городе Йошкар-Оле</t>
  </si>
  <si>
    <t>ул. Машиностроителей, 6Б, Йошкар-Ола</t>
  </si>
  <si>
    <t>+7 (8362) 41-88-82, +7 (8362) 63-41-39, +7 (8362) 64-40-93, +7 (8362) 41-88-61, +7 (8362) 41-82-72, +7 (8362) 72-31-30</t>
  </si>
  <si>
    <t xml:space="preserve">minso@mari-el.ru, gurmekcson@mail.ru, informsreda@yandex.ru  </t>
  </si>
  <si>
    <t>http://mari-el.gov.ru/minsoc/kcson_gyola/</t>
  </si>
  <si>
    <t>47.871638 56.64775</t>
  </si>
  <si>
    <t>Ферум Групп</t>
  </si>
  <si>
    <t>МариРемПромстройКомплект</t>
  </si>
  <si>
    <t>+7 (8362) 46-88-78</t>
  </si>
  <si>
    <t>Спецодежда</t>
  </si>
  <si>
    <t>47.900751 56.646672</t>
  </si>
  <si>
    <t>Национальная художественная галерея</t>
  </si>
  <si>
    <t>+7 (8362) 41-26-28, +7 (8362) 56-60-01, +7 (8362) 41-10-27</t>
  </si>
  <si>
    <t>Выставочный центр, Магазин подарков и сувениров, Художественный салон</t>
  </si>
  <si>
    <t>вт 11:00–20:00; ср-вс 09:00–18:00</t>
  </si>
  <si>
    <t>https://vk.com/nhgallery</t>
  </si>
  <si>
    <t>https://www.instagram.com/national_art_gallery12</t>
  </si>
  <si>
    <t>47.886922 56.631803</t>
  </si>
  <si>
    <t>Улыбка</t>
  </si>
  <si>
    <t>ул. Пушкина, 38, Йошкар-Ола</t>
  </si>
  <si>
    <t>+7 (8362) 41-63-33</t>
  </si>
  <si>
    <t xml:space="preserve">info@dentalux12.ru  </t>
  </si>
  <si>
    <t>https://dentalux12.ru/</t>
  </si>
  <si>
    <t>47.883909 56.635038</t>
  </si>
  <si>
    <t>Баня № 5</t>
  </si>
  <si>
    <t>Комсомольская ул., 38, Йошкар-Ола</t>
  </si>
  <si>
    <t>+7 (8362) 45-08-77</t>
  </si>
  <si>
    <t>Баня</t>
  </si>
  <si>
    <t>пт-вс 10:00–19:00</t>
  </si>
  <si>
    <t>47.900707 56.648212</t>
  </si>
  <si>
    <t>Профсоюзный Комитет Работников Строительства Республиканский</t>
  </si>
  <si>
    <t>+7 (8362) 55-69-73, +7 (8362) 59-53-11</t>
  </si>
  <si>
    <t>Пеледыш</t>
  </si>
  <si>
    <t>ул. Карла Либкнехта, 62, Йошкар-Ола</t>
  </si>
  <si>
    <t>47.9521 56.640151</t>
  </si>
  <si>
    <t>Тайга-М</t>
  </si>
  <si>
    <t>Журнал Ончыко</t>
  </si>
  <si>
    <t>+7 (8362) 45-34-64</t>
  </si>
  <si>
    <t xml:space="preserve">maribook@bk.ru  </t>
  </si>
  <si>
    <t>http://maribook12.ru/</t>
  </si>
  <si>
    <t>Сму-12</t>
  </si>
  <si>
    <t>+7 (8362) 64-97-62</t>
  </si>
  <si>
    <t>Продажа и аренда коммерческой недвижимости, Строительная компания</t>
  </si>
  <si>
    <t>47.93573 56.644072</t>
  </si>
  <si>
    <t>Православный центр</t>
  </si>
  <si>
    <t>ул. Карла Маркса, 81, Йошкар-Ола</t>
  </si>
  <si>
    <t>+7 (8362) 64-00-43</t>
  </si>
  <si>
    <t>Галактика</t>
  </si>
  <si>
    <t>+7 (8362) 21-95-32</t>
  </si>
  <si>
    <t>Магазин обоев, Магазин сантехники, Строительный магазин</t>
  </si>
  <si>
    <t>47.929199 56.633548</t>
  </si>
  <si>
    <t>Уют АН</t>
  </si>
  <si>
    <t>+7 (8362) 42-83-71</t>
  </si>
  <si>
    <t>47.899078 56.637828</t>
  </si>
  <si>
    <t>Авто Партнёр</t>
  </si>
  <si>
    <t>+7 (8362) 72-10-49</t>
  </si>
  <si>
    <t>47.871997 56.639913</t>
  </si>
  <si>
    <t>Взгляд</t>
  </si>
  <si>
    <t>+7 (8362) 41-70-10</t>
  </si>
  <si>
    <t>+7 (927) 682-21-70</t>
  </si>
  <si>
    <t xml:space="preserve">gazetaregion12@yandex.ru  </t>
  </si>
  <si>
    <t>https://vk.com/zvengazeta</t>
  </si>
  <si>
    <t>Детский сад № 11 Гнездышко</t>
  </si>
  <si>
    <t>бул. Чавайна, 10Б, Йошкар-Ола</t>
  </si>
  <si>
    <t>+7 (8362) 21-86-47, +7 (8362) 21-86-48</t>
  </si>
  <si>
    <t>http://edu.mari.ru/mouo-yoshkarola/dou11</t>
  </si>
  <si>
    <t>пн-пт 07:00–18:00</t>
  </si>
  <si>
    <t>47.924808 56.631396</t>
  </si>
  <si>
    <t>Motors</t>
  </si>
  <si>
    <t>ул. Карла Маркса, 148, Йошкар-Ола</t>
  </si>
  <si>
    <t>+7 (8362) 92-61-61, +7 (8362) 41-22-52</t>
  </si>
  <si>
    <t>Автоаксессуары, Автокосметика, автохимия, Магазин автозапчастей и автотоваров, Спецтехника и спецавтомобили</t>
  </si>
  <si>
    <t>47.882031 56.614488</t>
  </si>
  <si>
    <t>Лукоморье</t>
  </si>
  <si>
    <t>ул. 70-летия Вооружённых Сил СССР, 16, Йошкар-Ола</t>
  </si>
  <si>
    <t>+7 (8362) 77-76-04, +7 (8362) 74-11-22</t>
  </si>
  <si>
    <t>http://banya-sauna123.ru/, http://www.sauna-banya12.ru/</t>
  </si>
  <si>
    <t>47.893099 56.621455</t>
  </si>
  <si>
    <t>Аптека медсанчасти № 1</t>
  </si>
  <si>
    <t>+7 (8362) 56-56-96, +7 (8362) 41-41-94</t>
  </si>
  <si>
    <t>пн-пт 08:30–13:00</t>
  </si>
  <si>
    <t>47.880833 56.65076</t>
  </si>
  <si>
    <t>Геникс</t>
  </si>
  <si>
    <t>ул. Крылова, 26, Йошкар-Ола</t>
  </si>
  <si>
    <t>8 (800) 700-45-01, +7 (8362) 41-73-60, +7 (8362) 73-59-72</t>
  </si>
  <si>
    <t xml:space="preserve">sbit@geniks.ru, marketing@geniks.ru  </t>
  </si>
  <si>
    <t>https://geniks.ru/</t>
  </si>
  <si>
    <t>https://vk.com/geniks12</t>
  </si>
  <si>
    <t>https://www.facebook.com/nikageniks/</t>
  </si>
  <si>
    <t>https://www.instagram.com/geniks_nika/</t>
  </si>
  <si>
    <t>47.857984 56.624347</t>
  </si>
  <si>
    <t>Жемчужина</t>
  </si>
  <si>
    <t>47.885762 56.63561</t>
  </si>
  <si>
    <t>Банк ВТБ</t>
  </si>
  <si>
    <t>8 (800) 100-24-24</t>
  </si>
  <si>
    <t xml:space="preserve">info@vtb.ru  </t>
  </si>
  <si>
    <t>https://www.vtb.ru/</t>
  </si>
  <si>
    <t>https://vk.com/vtb</t>
  </si>
  <si>
    <t>https://www.facebook.com/vtbrussia/</t>
  </si>
  <si>
    <t>https://www.instagram.com/bankvtb</t>
  </si>
  <si>
    <t>47.889076 56.628922</t>
  </si>
  <si>
    <t>Аврора ТЦ Караван</t>
  </si>
  <si>
    <t>ул. Йывана Кырли, 28, Йошкар-Ола</t>
  </si>
  <si>
    <t>+7 (8362) 73-32-30</t>
  </si>
  <si>
    <t>47.837292 56.640095</t>
  </si>
  <si>
    <t>Марийская Фруктовая Компания</t>
  </si>
  <si>
    <t>+7 (8362) 42-07-72</t>
  </si>
  <si>
    <t>47.881876 56.631199</t>
  </si>
  <si>
    <t>Диал плюс</t>
  </si>
  <si>
    <t>ул. Пушкина, 37, Йошкар-Ола</t>
  </si>
  <si>
    <t>+7 (8362) 41-64-10, +7 (8362) 42-88-99</t>
  </si>
  <si>
    <t>47.881867 56.634704</t>
  </si>
  <si>
    <t>Полимер ресурс</t>
  </si>
  <si>
    <t>+7 (8362) 65-34-96</t>
  </si>
  <si>
    <t>Прием вторсырья</t>
  </si>
  <si>
    <t>Христофор Колумб</t>
  </si>
  <si>
    <t>+7 (8362) 50-02-00</t>
  </si>
  <si>
    <t xml:space="preserve">tm@reg.ru, sales@site.ru, user@example.ru, you@yourcompany.com, sig@ya.ru, test@example.com, test@test.ru, test@test.com, ncc@test.ru, ntest@test.ru </t>
  </si>
  <si>
    <t>http://www.12travel.ru/</t>
  </si>
  <si>
    <t>47.873285 56.654436</t>
  </si>
  <si>
    <t>+7 (8362) 93-02-90, +7 (8362) 33-42-72</t>
  </si>
  <si>
    <t>+7 (960) 096-66-62</t>
  </si>
  <si>
    <t>Агентство недвижимости, Квартиры в новостройках, Продажа земельных участков</t>
  </si>
  <si>
    <t>47.8744 56.6367</t>
  </si>
  <si>
    <t>ФГУП "Йошкар-Олинское ПрОП" Минтруда России</t>
  </si>
  <si>
    <t>Пролетарская ул., 43, Йошкар-Ола</t>
  </si>
  <si>
    <t>+7 (8362) 46-11-90, +7 (8362) 45-79-97, +7 (8362) 46-12-70, +7 (8362) 46-89-41</t>
  </si>
  <si>
    <t xml:space="preserve">prop-yola@mail.ru  </t>
  </si>
  <si>
    <t>http://prop-yola.ru/</t>
  </si>
  <si>
    <t>Изготовление протезно-ортопедических изделий, Медицинское оборудование, медтехника, Ортопедический салон</t>
  </si>
  <si>
    <t>47.888272 56.646237</t>
  </si>
  <si>
    <t>Отделение по Республике Марий Эл Волго-Вятского филиала АО Ростехинвентаризация - Федеральное БТИ</t>
  </si>
  <si>
    <t>+7 (8362) 45-19-01, +7 (8362) 42-98-07</t>
  </si>
  <si>
    <t xml:space="preserve">tatarstan@rosinv.ru, rti20@tatar.ru, rti52@tatar.ru, rti30@tatar.ru, rti42@tatar.ru  </t>
  </si>
  <si>
    <t>http://r12.rosinv.ru/, http://www.rosinv.ru/, http://www.rosinv.ru/respublika-mariy-el-kontakty-otdeleniy?utm_otdel=yoshkar-ola</t>
  </si>
  <si>
    <t>БТИ, Кадастровые работы</t>
  </si>
  <si>
    <t>пн-пт 08:30–17:00, перерыв 13:00–14:00</t>
  </si>
  <si>
    <t>47.891346 56.626195</t>
  </si>
  <si>
    <t>Мега-Дент</t>
  </si>
  <si>
    <t>+7 (8362) 64-88-99</t>
  </si>
  <si>
    <t>+7 (902) 358-31-11</t>
  </si>
  <si>
    <t>http://megadent12.ru/</t>
  </si>
  <si>
    <t>47.942359 56.635141</t>
  </si>
  <si>
    <t>Аркада</t>
  </si>
  <si>
    <t>ул. Рябинина, 22А, Йошкар-Ола</t>
  </si>
  <si>
    <t>+7 (8362) 72-06-60</t>
  </si>
  <si>
    <t>47.874051 56.637917</t>
  </si>
  <si>
    <t>СталКон</t>
  </si>
  <si>
    <t>+7 (8362) 33-33-36, +7 (8362) 67-42-52</t>
  </si>
  <si>
    <t>+7 (917) 701-70-70</t>
  </si>
  <si>
    <t xml:space="preserve">stallkon@list.ru  </t>
  </si>
  <si>
    <t>http://stallkon.ru/</t>
  </si>
  <si>
    <t>пн-пт 10:00–17:00</t>
  </si>
  <si>
    <t>http://vk.com/stalkonru</t>
  </si>
  <si>
    <t>Марилес Лесозаготовительная фирма ГП</t>
  </si>
  <si>
    <t>Комсомольская ул., 83, Йошкар-Ола</t>
  </si>
  <si>
    <t>47.900057 56.64542</t>
  </si>
  <si>
    <t>Буровая Компания Бурводстрой</t>
  </si>
  <si>
    <t>ул. Ломоносова, 47А, Йошкар-Ола</t>
  </si>
  <si>
    <t>+7 (8362) 73-00-90, +7 (8362) 73-01-73</t>
  </si>
  <si>
    <t>Буровые работы</t>
  </si>
  <si>
    <t>47.857882 56.626634</t>
  </si>
  <si>
    <t>Лидер Методический Учебный центр</t>
  </si>
  <si>
    <t>ул. Чехова, 72, лит.А, Йошкар-Ола</t>
  </si>
  <si>
    <t>Бизнес-школа, Дополнительное образование, Учебный центр</t>
  </si>
  <si>
    <t>47.882612 56.64593</t>
  </si>
  <si>
    <t>Италия</t>
  </si>
  <si>
    <t>+7 (8362) 42-60-50, +7 (8362) 45-34-09</t>
  </si>
  <si>
    <t>47.892706 56.632427</t>
  </si>
  <si>
    <t>Слаботочник</t>
  </si>
  <si>
    <t>Козьмодемьянский тракт, 146, Йошкар-Ола</t>
  </si>
  <si>
    <t>+7 (8362) 99-91-19</t>
  </si>
  <si>
    <t>47.854127 56.641312</t>
  </si>
  <si>
    <t>Центрпромснаб</t>
  </si>
  <si>
    <t>+7 (8362) 45-42-18</t>
  </si>
  <si>
    <t>Инталия</t>
  </si>
  <si>
    <t>+7 (8362) 45-87-14, +7 (8362) 98-37-13</t>
  </si>
  <si>
    <t>+7 (902) 358-37-13</t>
  </si>
  <si>
    <t xml:space="preserve">intaliy@mail.ru  </t>
  </si>
  <si>
    <t>http://intaliy.ru/, http://yoshkar-ola.granit-stone.com/</t>
  </si>
  <si>
    <t>Изготовление памятников и надгробий</t>
  </si>
  <si>
    <t>47.884719 56.643</t>
  </si>
  <si>
    <t>ул. Панфилова, 24, Йошкар-Ола</t>
  </si>
  <si>
    <t>Монтажные работы</t>
  </si>
  <si>
    <t>47.881606 56.626143</t>
  </si>
  <si>
    <t>Центр МТМ</t>
  </si>
  <si>
    <t>ул. Машиностроителей, 118Б, Йошкар-Ола</t>
  </si>
  <si>
    <t>47.831534 56.627862</t>
  </si>
  <si>
    <t>Формат</t>
  </si>
  <si>
    <t>ул. Строителей, 1Б, Йошкар-Ола</t>
  </si>
  <si>
    <t>+7 (8362) 91-26-00</t>
  </si>
  <si>
    <t>Магазин бытовой техники</t>
  </si>
  <si>
    <t>47.832504 56.639337</t>
  </si>
  <si>
    <t>Гермес</t>
  </si>
  <si>
    <t>+7 (8362) 38-58-14, +7 (8362) 38-58-24, +7 (8362) 73-16-45, +7 (8362) 38-58-18</t>
  </si>
  <si>
    <t xml:space="preserve">torg.germes12@yandex.ru, conf.germes12@yandex.ru  </t>
  </si>
  <si>
    <t>http://www.germes12.ru/</t>
  </si>
  <si>
    <t>Деревообрабатывающий завод</t>
  </si>
  <si>
    <t>+7 (8362) 56-66-38, +7 (8362) 73-62-08</t>
  </si>
  <si>
    <t>+7 (8362) 73-62-08</t>
  </si>
  <si>
    <t>Деревообрабатывающее предприятие, Окна</t>
  </si>
  <si>
    <t>Военторг-Центр</t>
  </si>
  <si>
    <t>ул. Героев Сталинградской Битвы, 40, Йошкар-Ола</t>
  </si>
  <si>
    <t>+7 (8362) 64-64-61</t>
  </si>
  <si>
    <t>+7 (8362) 64-26-89</t>
  </si>
  <si>
    <t>47.945099 56.622949</t>
  </si>
  <si>
    <t>ГБУ Республики Марий Эл Йошкар-Олинская горСББЖ</t>
  </si>
  <si>
    <t>ул. 8 Марта, 54, Йошкар-Ола</t>
  </si>
  <si>
    <t>+7 (8362) 46-38-87, +7 (8362) 46-40-57, +7 (8362) 46-40-90</t>
  </si>
  <si>
    <t xml:space="preserve">nimra@inbox.ru, sv_gp@mail.ru, annalisa@yandex.ru, barbaross@lenta.ru, aisblack@yandex.ru  </t>
  </si>
  <si>
    <t>http://101kote.ru/veterinarnye-kliniki/yoshkar_ola/yoshkar_ola_yoshkar_olinskaya_gorodskaya_stantsiya_po_borbe_s_boleznyami_zhivotnykh.html</t>
  </si>
  <si>
    <t>пн-пт 08:00–16:30, перерыв 12:30–13:00; сб 09:00–14:00</t>
  </si>
  <si>
    <t>47.96137 56.643254</t>
  </si>
  <si>
    <t>Фаркопы и багажники</t>
  </si>
  <si>
    <t>ул. Луначарского, 99, Йошкар-Ола</t>
  </si>
  <si>
    <t>+7 (903) 326-17-77</t>
  </si>
  <si>
    <t>Автоаксессуары</t>
  </si>
  <si>
    <t>47.891047 56.620652</t>
  </si>
  <si>
    <t>Министерство труда и социальной защиты населения</t>
  </si>
  <si>
    <t>ул. Якова Эшпая, 103, Йошкар-Ола</t>
  </si>
  <si>
    <t>Министерства, ведомства, государственные службы, Социальная служба</t>
  </si>
  <si>
    <t>47.88761 56.645614</t>
  </si>
  <si>
    <t>Джинсовый магазин № 1</t>
  </si>
  <si>
    <t>Магазин джинсовой одежды, Магазин одежды</t>
  </si>
  <si>
    <t>47.894828 56.639118</t>
  </si>
  <si>
    <t>Бастикрон</t>
  </si>
  <si>
    <t>+7 (8362) 70-49-07, +7 (8362) 43-04-24</t>
  </si>
  <si>
    <t>+7 (863) 243-04-24</t>
  </si>
  <si>
    <t>Двери, Металлоконструкции</t>
  </si>
  <si>
    <t>Мирра</t>
  </si>
  <si>
    <t>бул. Чавайна, 40, Йошкар-Ола</t>
  </si>
  <si>
    <t>+7 (8362) 45-23-38</t>
  </si>
  <si>
    <t>+7 (961) 337-00-23</t>
  </si>
  <si>
    <t xml:space="preserve">info@mirra-centr.ru  </t>
  </si>
  <si>
    <t>https://vk.com/mirra_yola</t>
  </si>
  <si>
    <t>https://ok.ru/profile/579973717467/groups</t>
  </si>
  <si>
    <t>https://www.instagram.com/mirra_eco_cosmetica</t>
  </si>
  <si>
    <t>47.895349 56.635614</t>
  </si>
  <si>
    <t>Марийский сельский строительный комбинат</t>
  </si>
  <si>
    <t>+7 (8362) 73-16-16, +7 (8362) 73-01-84, +7 (8362) 73-39-18, +7 (8362) 73-39-27, +7 (8362) 73-83-62, +7 (8362) 73-02-22</t>
  </si>
  <si>
    <t xml:space="preserve">tubing.jbi@mail.ru, stroim@pmk-9.ru, marssk@mail.ru  </t>
  </si>
  <si>
    <t>http://www.marssk.ru/, http://www.pmk-9.ru/</t>
  </si>
  <si>
    <t>ЖБИ, Строительная компания, Стройматериалы оптом</t>
  </si>
  <si>
    <t>https://vk.com/marssk12</t>
  </si>
  <si>
    <t>47.840582 56.625372</t>
  </si>
  <si>
    <t>Дамское счастье</t>
  </si>
  <si>
    <t>ул. Васильева, 1, Йошкар-Ола</t>
  </si>
  <si>
    <t>http://www.shvei12.ru/</t>
  </si>
  <si>
    <t>Нитки, пряжа, Товары для творчества и рукоделия, Швейная фурнитура, Швейные и вязальные машины</t>
  </si>
  <si>
    <t>47.833127 56.636865</t>
  </si>
  <si>
    <t>Ветеран ЖСК</t>
  </si>
  <si>
    <t>ул. Петрова, 4А, Йошкар-Ола</t>
  </si>
  <si>
    <t>+7 (8362) 21-85-86</t>
  </si>
  <si>
    <t>47.919138 56.629094</t>
  </si>
  <si>
    <t>Детский сад № 51 Подсолнушек</t>
  </si>
  <si>
    <t>ул. Дружбы, 91А, Йошкар-Ола</t>
  </si>
  <si>
    <t>+7 (8362) 63-35-01, +7 (8362) 64-52-23</t>
  </si>
  <si>
    <t xml:space="preserve">mdou51@mail.ru, uoa-yoshkar-ola@yandex.ru  </t>
  </si>
  <si>
    <t>http://edu.mari.ru/mouo-yoshkarola/dou51</t>
  </si>
  <si>
    <t>47.859912 56.651074</t>
  </si>
  <si>
    <t>Профсоюзный Комитет УСР АО Маригражданстрой</t>
  </si>
  <si>
    <t>+7 (8362) 74-15-66</t>
  </si>
  <si>
    <t>Коммерсант ТФ</t>
  </si>
  <si>
    <t>ул. Анциферова, 4, Йошкар-Ола</t>
  </si>
  <si>
    <t>47.862885 56.651176</t>
  </si>
  <si>
    <t>Пролетарская ул., 7, Йошкар-Ола</t>
  </si>
  <si>
    <t>+7 (8362) 39-07-08</t>
  </si>
  <si>
    <t xml:space="preserve">uk-realty12@yandex.ru, 9600984444@mail.ru, expert83@mail.ru, 9390308@gmail.com, alexander.vg@mail.ru, babush-kin@inbox.ru </t>
  </si>
  <si>
    <t>47.901674 56.643569</t>
  </si>
  <si>
    <t>Дельтастрой</t>
  </si>
  <si>
    <t>Элеваторный пр., 11А, Йошкар-Ола</t>
  </si>
  <si>
    <t>+7 (8362) 33-57-01, +7 (8362) 45-18-56</t>
  </si>
  <si>
    <t>+7 (927) 883-57-01</t>
  </si>
  <si>
    <t xml:space="preserve">info@dts12.ru  </t>
  </si>
  <si>
    <t>http://www.dts12.ru/</t>
  </si>
  <si>
    <t>Бетон, бетонные изделия, ЖБИ, Строительная компания</t>
  </si>
  <si>
    <t>https://vk.com/dts12</t>
  </si>
  <si>
    <t>https://www.instagram.com/dts12ru</t>
  </si>
  <si>
    <t>47.893832 56.611033</t>
  </si>
  <si>
    <t>Скорпион</t>
  </si>
  <si>
    <t>Ленинградская ул., 55, Йошкар-Ола</t>
  </si>
  <si>
    <t>+7 (8362) 33-08-45</t>
  </si>
  <si>
    <t>+7 (927) 875-50-56</t>
  </si>
  <si>
    <t>47.953274 56.630852</t>
  </si>
  <si>
    <t>Ювелирный магазин 585 Gold</t>
  </si>
  <si>
    <t>8 (800) 555-15-85, 8 (800) 555-15-85, +7 (8362) 41-14-18</t>
  </si>
  <si>
    <t xml:space="preserve">585@zoloto585.ru  </t>
  </si>
  <si>
    <t>https://zoloto585.ru/</t>
  </si>
  <si>
    <t>https://vk.com/zoloto585gold</t>
  </si>
  <si>
    <t>http://ok.ru/zoloto585gold</t>
  </si>
  <si>
    <t>http://facebook.com/zoloto585</t>
  </si>
  <si>
    <t>http://instagram.com/zoloto585.ru</t>
  </si>
  <si>
    <t>47.895771 56.634951</t>
  </si>
  <si>
    <t>1С-Рарус</t>
  </si>
  <si>
    <t>ул. Волкова, 68, Йошкар-Ола</t>
  </si>
  <si>
    <t>+7 (8362) 23-24-44</t>
  </si>
  <si>
    <t xml:space="preserve">1c@rarus.ru, webadmin@rarus.ru, rsale@rarus.ru, user@example.com, info.spb@rarus.ru  </t>
  </si>
  <si>
    <t>https://rarus.ru/, https://sc-12.ru/, https://www.avtorsoft.ru/</t>
  </si>
  <si>
    <t>IT-компания, Автоматизация документооборота, Программное обеспечение</t>
  </si>
  <si>
    <t>https://vk.com/rarus1c</t>
  </si>
  <si>
    <t>https://twitter.com/rarus</t>
  </si>
  <si>
    <t>https://www.facebook.com/1C.Rarus</t>
  </si>
  <si>
    <t>https://www.youtube.com/user/RarusVideo</t>
  </si>
  <si>
    <t>47.899745 56.642512</t>
  </si>
  <si>
    <t>Континент</t>
  </si>
  <si>
    <t>Советская ул., 125А, Йошкар-Ола</t>
  </si>
  <si>
    <t>+7 (8362) 45-01-21</t>
  </si>
  <si>
    <t xml:space="preserve">oao_kontinent@mail.ru  </t>
  </si>
  <si>
    <t>http://www.oaokontinent.ru/</t>
  </si>
  <si>
    <t>Квартиры в новостройках, Строительная компания</t>
  </si>
  <si>
    <t>47.898994 56.63575</t>
  </si>
  <si>
    <t>+7 (917) 707-80-90</t>
  </si>
  <si>
    <t>http://mebeler21.ru/</t>
  </si>
  <si>
    <t>Корпусная мебель, Магазин мебели, Мебель для кухни, Мягкая мебель</t>
  </si>
  <si>
    <t>47.890025 56.643304</t>
  </si>
  <si>
    <t>Альянс М</t>
  </si>
  <si>
    <t>+7 (8362) 21-05-23</t>
  </si>
  <si>
    <t>Консум</t>
  </si>
  <si>
    <t>+7 (8362) 67-50-50, +7 (8362) 45-71-33</t>
  </si>
  <si>
    <t>Бизнес-консалтинг, Бухгалтерские услуги</t>
  </si>
  <si>
    <t>47.879831 56.633179</t>
  </si>
  <si>
    <t>Салон Ритус</t>
  </si>
  <si>
    <t>+7 (8362) 45-40-05, +7 (8362) 45-10-54, +7 (8362) 44-00-05</t>
  </si>
  <si>
    <t>47.904383 56.640975</t>
  </si>
  <si>
    <t>Электрические Сети Мариэнерго</t>
  </si>
  <si>
    <t>ул. Машиностроителей, 123, Йошкар-Ола</t>
  </si>
  <si>
    <t>+7 (8362) 73-43-46, +7 (8362) 73-10-42</t>
  </si>
  <si>
    <t>+7 (8362) 73-06-32</t>
  </si>
  <si>
    <t>47.831053 56.625406</t>
  </si>
  <si>
    <t>Служба недвижимости</t>
  </si>
  <si>
    <t>+7 (8362) 35-71-18</t>
  </si>
  <si>
    <t>Интер-Маркет</t>
  </si>
  <si>
    <t>+7 (8362) 41-02-02</t>
  </si>
  <si>
    <t>+7 (967) 758-01-01</t>
  </si>
  <si>
    <t xml:space="preserve">im-ocenka@yandex.ru  </t>
  </si>
  <si>
    <t>http://im-ocenka.ru/</t>
  </si>
  <si>
    <t>Автоэкспертиза, оценка автомобилей, Оценочная компания, Экспертиза</t>
  </si>
  <si>
    <t>Зодчий</t>
  </si>
  <si>
    <t>+7 (8362) 45-71-07, +7 (8362) 41-54-13, +7 (8362) 98-16-62</t>
  </si>
  <si>
    <t xml:space="preserve">mir-dv@mail.ru  </t>
  </si>
  <si>
    <t>https://zodchij.kmarket12.ru/</t>
  </si>
  <si>
    <t>Строительный магазин, Стройматериалы оптом</t>
  </si>
  <si>
    <t>47.896302 56.618136</t>
  </si>
  <si>
    <t>Делия</t>
  </si>
  <si>
    <t>+7 (8362) 21-24-67, +7 (8362) 45-52-58</t>
  </si>
  <si>
    <t>http://deliya-apteka.pulscen.ru/</t>
  </si>
  <si>
    <t>пн-пт 08:00–20:00; сб,вс 09:00–19:00</t>
  </si>
  <si>
    <t>47.921229 56.630365</t>
  </si>
  <si>
    <t>ОргтехСервис</t>
  </si>
  <si>
    <t>ул. Йывана Кырли, 44, Йошкар-Ола</t>
  </si>
  <si>
    <t>+7 (8362) 96-89-31, +7 (8362) 64-11-99, +7 (8362) 38-00-36</t>
  </si>
  <si>
    <t>Компьютерный ремонт и услуги, Расходные материалы для оргтехники, Ремонт оргтехники</t>
  </si>
  <si>
    <t>47.829084 56.639761</t>
  </si>
  <si>
    <t>Вкус</t>
  </si>
  <si>
    <t>ул. Кирова, 9А, Йошкар-Ола</t>
  </si>
  <si>
    <t>+7 (8362) 22-59-93</t>
  </si>
  <si>
    <t>47.92758 56.629726</t>
  </si>
  <si>
    <t>Линко</t>
  </si>
  <si>
    <t>ул. Карла Маркса, 146, Йошкар-Ола</t>
  </si>
  <si>
    <t>+7 (8362) 35-37-82, +7 (8362) 55-33-37</t>
  </si>
  <si>
    <t>+7 (8362) 42-43-37</t>
  </si>
  <si>
    <t>47.882441 56.615005</t>
  </si>
  <si>
    <t>Комсомольская ул., 96, Йошкар-Ола</t>
  </si>
  <si>
    <t>8 (800) 100-01-00, 8 (800) 100-78-70</t>
  </si>
  <si>
    <t>https://rshb.ru/</t>
  </si>
  <si>
    <t>47.896101 56.641138</t>
  </si>
  <si>
    <t>Обособленное подразделение Русь-Телеком в Республике Марий-Эл</t>
  </si>
  <si>
    <t>+7 (8362) 30-55-77, +7 (8362) 73-10-02</t>
  </si>
  <si>
    <t>Удостоверяющий центр</t>
  </si>
  <si>
    <t>Агентство Информационной Безопасности</t>
  </si>
  <si>
    <t>+7 (8362) 75-59-99</t>
  </si>
  <si>
    <t>Информационная безопасность</t>
  </si>
  <si>
    <t>Лодки Поволжья</t>
  </si>
  <si>
    <t>Катера, лодки, яхты</t>
  </si>
  <si>
    <t>47.881963 56.630989</t>
  </si>
  <si>
    <t>Goodwin</t>
  </si>
  <si>
    <t>Детский магазин</t>
  </si>
  <si>
    <t>пн-пт 10:00–20:00; вс 10:00–18:00</t>
  </si>
  <si>
    <t>Дентал Мед</t>
  </si>
  <si>
    <t>Ленинский просп., 58, Йошкар-Ола</t>
  </si>
  <si>
    <t>+7 (8362) 55-14-13, +7 (8362) 75-14-13</t>
  </si>
  <si>
    <t xml:space="preserve">rznrme@mail.ru, roszdravnadzor@mari-el.ru, sanepid@12.rospotrebnadzor.ru  </t>
  </si>
  <si>
    <t>http://dentalmed12.ru/</t>
  </si>
  <si>
    <t>47.874193 56.636793</t>
  </si>
  <si>
    <t>Дентал студия</t>
  </si>
  <si>
    <t>Комсомольская ул., 88, Йошкар-Ола</t>
  </si>
  <si>
    <t>+7 (8362) 46-96-77, +7 (8362) 98-56-61</t>
  </si>
  <si>
    <t>+7 (902) 358-56-61</t>
  </si>
  <si>
    <t xml:space="preserve">dental.studia@yandex.ru, dental.studia2@yandex.ru  </t>
  </si>
  <si>
    <t>http://dentalstudia12.ru/</t>
  </si>
  <si>
    <t>https://vk.com/dental_studia</t>
  </si>
  <si>
    <t>47.898569 56.644821</t>
  </si>
  <si>
    <t>Интерсофт</t>
  </si>
  <si>
    <t>ул. Рябинина, 27, Йошкар-Ола</t>
  </si>
  <si>
    <t>+7 (8362) 44-51-80, +7 (8362) 72-22-64</t>
  </si>
  <si>
    <t>47.871732 56.635958</t>
  </si>
  <si>
    <t>Жемчуг</t>
  </si>
  <si>
    <t>+7 (917) 703-33-33</t>
  </si>
  <si>
    <t xml:space="preserve">info@jemchug-ola.ru </t>
  </si>
  <si>
    <t>https://jemchug.net/</t>
  </si>
  <si>
    <t>пн-пт 09:30–19:00; сб 09:30–18:00; вс 09:30–17:00</t>
  </si>
  <si>
    <t>https://vk.com/jemchug_ola</t>
  </si>
  <si>
    <t>https://www.instagram.com/jemchug_net</t>
  </si>
  <si>
    <t>47.896039 56.635512</t>
  </si>
  <si>
    <t>Орел</t>
  </si>
  <si>
    <t>+7 (8362) 45-66-68, +7 (8362) 45-73-92</t>
  </si>
  <si>
    <t xml:space="preserve">direktor@orel97.ru  </t>
  </si>
  <si>
    <t>http://orel97.ru/</t>
  </si>
  <si>
    <t>Металлоизделия, Металлообработка, Производственное предприятие</t>
  </si>
  <si>
    <t>47.8702 56.6118</t>
  </si>
  <si>
    <t>ArtProFy</t>
  </si>
  <si>
    <t>+7 (8362) 56-61-18, +7 (8362) 44-50-55, +7 (8362) 44-89-89</t>
  </si>
  <si>
    <t xml:space="preserve">artprofy@yandex.ru  </t>
  </si>
  <si>
    <t>https://vk.com/clubartprofy</t>
  </si>
  <si>
    <t>http://www.odnoklassniki.ru/group/45191729316090</t>
  </si>
  <si>
    <t>https://www.instagram.com/mr_artprofy</t>
  </si>
  <si>
    <t>47.8969 56.6407</t>
  </si>
  <si>
    <t>Киоск Хлебозавод № 1</t>
  </si>
  <si>
    <t>ул. Машиностроителей, 132А, Йошкар-Ола</t>
  </si>
  <si>
    <t>47.821078 56.629149</t>
  </si>
  <si>
    <t>Панацея</t>
  </si>
  <si>
    <t>Пролетарская ул., 57, Йошкар-Ола</t>
  </si>
  <si>
    <t>+7 (8362) 42-88-54, +7 (8362) 12-88-54</t>
  </si>
  <si>
    <t>47.883093 56.647279</t>
  </si>
  <si>
    <t>Ландшафтдизайнстрой</t>
  </si>
  <si>
    <t>+7 (8362) 65-25-02</t>
  </si>
  <si>
    <t>47.883232 56.645653</t>
  </si>
  <si>
    <t>Взаимопомощь</t>
  </si>
  <si>
    <t>Кремлёвская ул., 31, Йошкар-Ола</t>
  </si>
  <si>
    <t>47.8829 56.640649</t>
  </si>
  <si>
    <t>Элдис</t>
  </si>
  <si>
    <t>+7 (8362) 73-11-48</t>
  </si>
  <si>
    <t>Ланфорт</t>
  </si>
  <si>
    <t>+7 (8362) 63-01-00</t>
  </si>
  <si>
    <t>Программное обеспечение, Расходные материалы для оргтехники</t>
  </si>
  <si>
    <t>Зубной кабинет на Ленинском</t>
  </si>
  <si>
    <t>Ленинский просп., 71, Йошкар-Ола</t>
  </si>
  <si>
    <t>+7 (8362) 34-71-10, +7 (8362) 72-60-67</t>
  </si>
  <si>
    <t xml:space="preserve">info@stomatlen71.ru  </t>
  </si>
  <si>
    <t>https://stomatlen71.ru/</t>
  </si>
  <si>
    <t>47.871485 56.637897</t>
  </si>
  <si>
    <t>Евразия GSM</t>
  </si>
  <si>
    <t>+7 (8362) 43-03-53</t>
  </si>
  <si>
    <t>Салон связи</t>
  </si>
  <si>
    <t>47.884292 56.616154</t>
  </si>
  <si>
    <t>Сауна Сахара</t>
  </si>
  <si>
    <t>ул. Крылова, 9А, Йошкар-Ола</t>
  </si>
  <si>
    <t>+7 (8362) 90-80-80</t>
  </si>
  <si>
    <t>47.864353 56.626251</t>
  </si>
  <si>
    <t>Первомайская ул., 106, Йошкар-Ола</t>
  </si>
  <si>
    <t>+7 (8362) 42-09-07, +7 (8362) 42-01-24</t>
  </si>
  <si>
    <t>пн-пт 07:45–20:00; сб,вс 09:00–18:00</t>
  </si>
  <si>
    <t>47.888409 56.64124</t>
  </si>
  <si>
    <t>Акпарс</t>
  </si>
  <si>
    <t>Советская ул., 108, Йошкар-Ола</t>
  </si>
  <si>
    <t>+7 (8362) 42-30-85, +7 (8362) 64-20-02</t>
  </si>
  <si>
    <t>Бар, паб, Магазин кулинарии, Столовая</t>
  </si>
  <si>
    <t>47.89854 56.636765</t>
  </si>
  <si>
    <t>Столичный</t>
  </si>
  <si>
    <t>ул. Кирова, 3В, Йошкар-Ола</t>
  </si>
  <si>
    <t>+7 (8362) 21-83-81</t>
  </si>
  <si>
    <t>47.926262 56.627902</t>
  </si>
  <si>
    <t>Мик</t>
  </si>
  <si>
    <t>+7 (927) 680-81-57</t>
  </si>
  <si>
    <t>пн-пт 08:00–16:00</t>
  </si>
  <si>
    <t>Когис-Бит</t>
  </si>
  <si>
    <t>бул. Победы, 19Б, Йошкар-Ола</t>
  </si>
  <si>
    <t>+7 (8362) 66-77-11</t>
  </si>
  <si>
    <t>http://avtoservis12.ru/</t>
  </si>
  <si>
    <t>Автосервис, автотехцентр, Кондиционеры, Шиномонтаж</t>
  </si>
  <si>
    <t>47.878982 56.636605</t>
  </si>
  <si>
    <t>Всё для дома</t>
  </si>
  <si>
    <t>+7 (8362) 72-40-30</t>
  </si>
  <si>
    <t>Корпусная мебель, Магазин мебели, Мебель для офиса, Мягкая мебель</t>
  </si>
  <si>
    <t>пн-пт 09:30–19:00; сб 10:00–18:00; вс 10:00–16:00</t>
  </si>
  <si>
    <t>47.88206 56.631227</t>
  </si>
  <si>
    <t>Оазис</t>
  </si>
  <si>
    <t>+7 (8362) 33-31-60, +7 (8362) 72-11-47, +7 (8362) 39-33-33</t>
  </si>
  <si>
    <t>+7 (8362) 72-11-47</t>
  </si>
  <si>
    <t xml:space="preserve">oazismail@mail.ru  </t>
  </si>
  <si>
    <t>http://oazis-12.ru/</t>
  </si>
  <si>
    <t>Кондиционеры</t>
  </si>
  <si>
    <t>https://vk.com/club68104066</t>
  </si>
  <si>
    <t>Индустрия</t>
  </si>
  <si>
    <t>ул. Пушкина, 35, Йошкар-Ола</t>
  </si>
  <si>
    <t>+7 (8362) 34-19-14, +7 (8362) 42-51-21, +7 (8362) 41-18-03</t>
  </si>
  <si>
    <t>Изготовление и оптовая продажа сувениров, Изготовление печатей и штампов, Печать на футболках, Полиграфические услуги, Рекламное агентство</t>
  </si>
  <si>
    <t>47.882877 56.634562</t>
  </si>
  <si>
    <t>Фаст ФУД</t>
  </si>
  <si>
    <t>+7 (8362) 45-40-29</t>
  </si>
  <si>
    <t>ТФ Кабельснабкомплект</t>
  </si>
  <si>
    <t>+7 (8362) 73-82-34</t>
  </si>
  <si>
    <t>Компонент</t>
  </si>
  <si>
    <t>+7 (987) 713-56-53</t>
  </si>
  <si>
    <t>Милан</t>
  </si>
  <si>
    <t>47.874878 56.637239</t>
  </si>
  <si>
    <t>Профсоюзный Комитет Городской Больницы</t>
  </si>
  <si>
    <t>ул. Карла Либкнехта, 55, Йошкар-Ола</t>
  </si>
  <si>
    <t>+7 (8362) 64-71-19</t>
  </si>
  <si>
    <t>47.952016 56.63857</t>
  </si>
  <si>
    <t>Школа № 9</t>
  </si>
  <si>
    <t>ул. Эшкинина, 9А, Йошкар-Ола</t>
  </si>
  <si>
    <t>+7 (8362) 21-59-20, +7 (8362) 21-59-34</t>
  </si>
  <si>
    <t xml:space="preserve">uoa-yoshkar-ola@yandex.ru, school9iola@mail.ru  </t>
  </si>
  <si>
    <t>http://edu.mari.ru/mouo-yoshkarola/sh9</t>
  </si>
  <si>
    <t>http://vk.com/club936907</t>
  </si>
  <si>
    <t>47.911912 56.629072</t>
  </si>
  <si>
    <t>Штучки-дрючки</t>
  </si>
  <si>
    <t>+7 (8362) 33-05-52</t>
  </si>
  <si>
    <t xml:space="preserve">progorod@mail.ru  </t>
  </si>
  <si>
    <t>http://www.shtuchkishop.ru/</t>
  </si>
  <si>
    <t>Эротика</t>
  </si>
  <si>
    <t>Магазин подарков и сувениров, Секс-шоп</t>
  </si>
  <si>
    <t>http://vk.com/club21550971</t>
  </si>
  <si>
    <t>47.885815 56.635409</t>
  </si>
  <si>
    <t>Шик-потолок</t>
  </si>
  <si>
    <t>+7 (8362) 50-20-30, +7 (8362) 33-49-97</t>
  </si>
  <si>
    <t>Железобетон-2</t>
  </si>
  <si>
    <t>ул. Алёнкино, 4, Йошкар-Ола</t>
  </si>
  <si>
    <t>+7 (8362) 63-59-40</t>
  </si>
  <si>
    <t>47.827294 56.621914</t>
  </si>
  <si>
    <t>Дом в Марий Эл</t>
  </si>
  <si>
    <t>+7 (8362) 51-73-73</t>
  </si>
  <si>
    <t>47.869137 56.639966</t>
  </si>
  <si>
    <t>Музей очков</t>
  </si>
  <si>
    <t>+7 (8362) 45-66-67, +7 (8362) 45-32-92, +7 (8362) 45-66-52</t>
  </si>
  <si>
    <t>Контактные линзы, Музей, Салон оптики</t>
  </si>
  <si>
    <t>пн-пт 09:00–19:00; сб 09:00–16:00</t>
  </si>
  <si>
    <t>47.901267 56.638022</t>
  </si>
  <si>
    <t>Абажур</t>
  </si>
  <si>
    <t>+7 (8362) 78-98-32</t>
  </si>
  <si>
    <t>Светильники, Строительный магазин</t>
  </si>
  <si>
    <t>47.894653 56.639384</t>
  </si>
  <si>
    <t>Пилигрим</t>
  </si>
  <si>
    <t>47.894577 56.64051</t>
  </si>
  <si>
    <t>Кин</t>
  </si>
  <si>
    <t>+7 (8362) 72-68-84</t>
  </si>
  <si>
    <t>Мари-Нижний Новгород</t>
  </si>
  <si>
    <t>+7 (8362) 42-09-75</t>
  </si>
  <si>
    <t>47.882029 56.631086</t>
  </si>
  <si>
    <t>Мелета</t>
  </si>
  <si>
    <t>+7 (8362) 30-62-30</t>
  </si>
  <si>
    <t xml:space="preserve">kapalak.ru@yandex.ru </t>
  </si>
  <si>
    <t>Двери, Магазин мебели, Мебель на заказ, Металлоконструкции, Металлообработка</t>
  </si>
  <si>
    <t>Гамма-оптика</t>
  </si>
  <si>
    <t>47.892673 56.632506</t>
  </si>
  <si>
    <t>МАЗзапчасти</t>
  </si>
  <si>
    <t>ул. Крылова, 27, Йошкар-Ола</t>
  </si>
  <si>
    <t>+7 (8362) 38-25-30</t>
  </si>
  <si>
    <t>http://maz-zapchasti-mariy-el.pulscen.ru/</t>
  </si>
  <si>
    <t>Автоаксессуары, Аккумуляторы и зарядные устройства, Магазин автозапчастей и автотоваров</t>
  </si>
  <si>
    <t>пн-пт 08:00–18:00; сб,вс 09:00–15:00</t>
  </si>
  <si>
    <t>47.857495 56.622855</t>
  </si>
  <si>
    <t>+7 (8362) 55-83-18</t>
  </si>
  <si>
    <t xml:space="preserve">558318@bk.ru, admin@drbobah.com  </t>
  </si>
  <si>
    <t>Спортивный клуб, секция, Фитнес-клуб, Школа танцев</t>
  </si>
  <si>
    <t>пн-пт 06:50–23:00; сб,вс 07:30–20:00</t>
  </si>
  <si>
    <t>https://vk.com/vizantiya12</t>
  </si>
  <si>
    <t>47.855979 56.643642</t>
  </si>
  <si>
    <t>Территориальный фонд обязательного медицинского страхования Республики Марий Эл</t>
  </si>
  <si>
    <t>наб. Брюгге, 3, Йошкар-Ола</t>
  </si>
  <si>
    <t>+7 (8362) 41-51-01, +7 (8362) 42-13-72</t>
  </si>
  <si>
    <t xml:space="preserve">tfomskk@kubanoms.ru, general@ffoms.ru, tihoretsk@kubanoms.ru  </t>
  </si>
  <si>
    <t>http://www.rfoms.mari-el.ru/, http://www.ffoms.gov.ru/, http://www.ffoms.ru/</t>
  </si>
  <si>
    <t>47.910302 56.634205</t>
  </si>
  <si>
    <t>МеталлМонтажСервис</t>
  </si>
  <si>
    <t>+7 (8362) 77-90-88, +7 (8362) 75-00-75</t>
  </si>
  <si>
    <t>+7 (902) 739-90-88</t>
  </si>
  <si>
    <t>Камины, печи, Металлоизделия, Металлоконструкции</t>
  </si>
  <si>
    <t>47.830285 56.627089</t>
  </si>
  <si>
    <t>Автограф</t>
  </si>
  <si>
    <t>+7 (8362) 64-43-00</t>
  </si>
  <si>
    <t xml:space="preserve">root@autograph.com.ru  </t>
  </si>
  <si>
    <t>http://autograph.com.ru/</t>
  </si>
  <si>
    <t>Компьютерные аксессуары, Компьютерный магазин, Компьютерный ремонт и услуги, Компьютеры и комплектующие оптом</t>
  </si>
  <si>
    <t>47.869032 56.645696</t>
  </si>
  <si>
    <t>ПСБ по Проектированию Объектов Дорожного Хозяйства</t>
  </si>
  <si>
    <t>ул. Орая, 51, Йошкар-Ола</t>
  </si>
  <si>
    <t>47.896455 56.646029</t>
  </si>
  <si>
    <t>Магазин одежды и обуви O'STIN Дисконт</t>
  </si>
  <si>
    <t>8 (800) 777-49-99</t>
  </si>
  <si>
    <t xml:space="preserve">support@ostin.com </t>
  </si>
  <si>
    <t>https://ostin.com/</t>
  </si>
  <si>
    <t>Магазин верхней одежды, Магазин детской одежды, Магазин одежды</t>
  </si>
  <si>
    <t>https://vk.com/club20367999</t>
  </si>
  <si>
    <t>https://ok.ru/group/48170712760380</t>
  </si>
  <si>
    <t>https://www.facebook.com/ostin.stores</t>
  </si>
  <si>
    <t>https://www.youtube.com/channel/UCTquCLO9LNLWZDg3SKwu4XA</t>
  </si>
  <si>
    <t>https://www.instagram.com/ostin_official/</t>
  </si>
  <si>
    <t>47.885384 56.634204</t>
  </si>
  <si>
    <t>Клен</t>
  </si>
  <si>
    <t>Советская ул., 138, Йошкар-Ола</t>
  </si>
  <si>
    <t>+7 (8362) 39-43-53, +7 (8362) 39-09-48</t>
  </si>
  <si>
    <t>+7 (927) 888-58-78</t>
  </si>
  <si>
    <t xml:space="preserve">8b4e078a51d04e0e9efdf470027f0ec1@sentry.wixpress.com, 394353@mail.ru  </t>
  </si>
  <si>
    <t>http://ooosevlan.ru/</t>
  </si>
  <si>
    <t>Строительная компания, Строительство дачных домов и коттеджей</t>
  </si>
  <si>
    <t>47.895799 56.633164</t>
  </si>
  <si>
    <t>Энергетик</t>
  </si>
  <si>
    <t>+7 (8362) 46-83-86, +7 (8362) 45-18-21</t>
  </si>
  <si>
    <t>+7 (8362) 45-77-75</t>
  </si>
  <si>
    <t>Проектная организация, Строительная компания, Электромонтажные работы</t>
  </si>
  <si>
    <t>Позитив</t>
  </si>
  <si>
    <t>бул. Чавайна, 20, Йошкар-Ола</t>
  </si>
  <si>
    <t>+7 (8362) 90-36-55</t>
  </si>
  <si>
    <t>47.9139 56.632852</t>
  </si>
  <si>
    <t>Марийское АТП</t>
  </si>
  <si>
    <t>Кокшайский пр., 41, Йошкар-Ола</t>
  </si>
  <si>
    <t>+7 (8362) 42-22-57</t>
  </si>
  <si>
    <t>47.88095 56.607808</t>
  </si>
  <si>
    <t>Йошкар-Олинская ТЭЦ</t>
  </si>
  <si>
    <t>+7 (8362) 63-55-58</t>
  </si>
  <si>
    <t>Теплоснабжение, Энергоснабжение</t>
  </si>
  <si>
    <t>Парнас</t>
  </si>
  <si>
    <t>ул. Зарубина, 26, Йошкар-Ола</t>
  </si>
  <si>
    <t>+7 (8362) 11-06-70</t>
  </si>
  <si>
    <t>47.877168 56.631283</t>
  </si>
  <si>
    <t>Zooмир сервис</t>
  </si>
  <si>
    <t>+7 (8362) 78-66-04</t>
  </si>
  <si>
    <t>Ветеринарная аптека</t>
  </si>
  <si>
    <t>пн-пт 09:00–18:00; сб 09:00–17:00; вс 09:00–15:00</t>
  </si>
  <si>
    <t>47.8824 56.6217</t>
  </si>
  <si>
    <t>Соэкс-Марий Эл</t>
  </si>
  <si>
    <t>+7 (8362) 63-01-64</t>
  </si>
  <si>
    <t>+7 (8362) 63-04-26</t>
  </si>
  <si>
    <t xml:space="preserve">info@soex.ru, order@soex.ru  </t>
  </si>
  <si>
    <t>http://www.soex.ru/</t>
  </si>
  <si>
    <t>Оценочная компания, Экспертиза</t>
  </si>
  <si>
    <t>Центр пожарной безопасности</t>
  </si>
  <si>
    <t>ул. Луначарского, 93, Йошкар-Ола</t>
  </si>
  <si>
    <t>+7 (8362) 33-99-33, +7 (8362) 74-13-10</t>
  </si>
  <si>
    <t xml:space="preserve">info@339933.ru  </t>
  </si>
  <si>
    <t>http://339933.ru/</t>
  </si>
  <si>
    <t>Пожарное оборудование</t>
  </si>
  <si>
    <t>пн-пт 08:00–16:30, перерыв 12:00–13:00</t>
  </si>
  <si>
    <t>47.897273 56.618824</t>
  </si>
  <si>
    <t>Нефтеперерабатывающий завод</t>
  </si>
  <si>
    <t>Мебель для общепита</t>
  </si>
  <si>
    <t>+7 (8362) 38-35-38, +7 (8362) 38-50-03</t>
  </si>
  <si>
    <t xml:space="preserve">makss1205@yandex.ru  </t>
  </si>
  <si>
    <t>http://h-essen.ru/</t>
  </si>
  <si>
    <t>Оборудование для сферы услуг</t>
  </si>
  <si>
    <t>Оборудование для ресторанов</t>
  </si>
  <si>
    <t>пн-пт 08:30–17:00</t>
  </si>
  <si>
    <t>Нотариус Лежнина Л.Н.</t>
  </si>
  <si>
    <t>+7 (8362) 42-16-62, +7 (8362) 42-16-76</t>
  </si>
  <si>
    <t>+7 (960) 094-55-05</t>
  </si>
  <si>
    <t xml:space="preserve">a.busigin@notariat12.ru, s.busigina@notariat12.ru, a.byzova@notariat12.ru, l.vinogradova@notariat12.ru, n.voronzova@notariat12.ru  </t>
  </si>
  <si>
    <t>пн-пт 10:00–14:00</t>
  </si>
  <si>
    <t>47.887901 56.641872</t>
  </si>
  <si>
    <t>Westfalika</t>
  </si>
  <si>
    <t>8 (800) 555-25-53</t>
  </si>
  <si>
    <t xml:space="preserve">mail@example.com, info@westfalika.ru </t>
  </si>
  <si>
    <t>http://www.westfalika.ru/</t>
  </si>
  <si>
    <t>Магазин верхней одежды, Магазин галантереи и аксессуаров, Магазин обуви, Магазин одежды</t>
  </si>
  <si>
    <t>http://vk.com/westfalika</t>
  </si>
  <si>
    <t>https://www.facebook.com/westfalika</t>
  </si>
  <si>
    <t>https://www.instagram.com/Westfalika_rus</t>
  </si>
  <si>
    <t>47.900575 56.638261</t>
  </si>
  <si>
    <t>Мир рыболова</t>
  </si>
  <si>
    <t>+7 (8362) 29-77-04</t>
  </si>
  <si>
    <t>Товары для отдыха и туризма, Товары для рыбалки</t>
  </si>
  <si>
    <t>47.8928 56.6384</t>
  </si>
  <si>
    <t>Межрегиональная общественная организация потребителей</t>
  </si>
  <si>
    <t>ул. Якова Эшпая, 154, Йошкар-Ола</t>
  </si>
  <si>
    <t>+7 (8362) 35-28-32, +7 (8362) 38-21-87</t>
  </si>
  <si>
    <t>+7 (902) 325-09-84</t>
  </si>
  <si>
    <t>Защита прав потребителя, Общественная организация, Оценочная компания, Юридические услуги</t>
  </si>
  <si>
    <t>47.881499 56.637366</t>
  </si>
  <si>
    <t>МБУДО ДШИ № 4 г. Йошкар-олы</t>
  </si>
  <si>
    <t>ул. Лебедева, 51, Йошкар-Ола</t>
  </si>
  <si>
    <t>+7 (8362) 56-31-70, +7 (8362) 56-39-31</t>
  </si>
  <si>
    <t xml:space="preserve">harmonya.dshi@yandex.ru, dshi4-iola@yandex.ru  </t>
  </si>
  <si>
    <t>https://dshi-garmoniya.mari-el.muzkult.ru/</t>
  </si>
  <si>
    <t>47.940823 56.622652</t>
  </si>
  <si>
    <t>Альбатрос</t>
  </si>
  <si>
    <t>+7 (8362) 41-84-60</t>
  </si>
  <si>
    <t>Новоселье</t>
  </si>
  <si>
    <t>+7 (8362) 31-00-70</t>
  </si>
  <si>
    <t>+7 (902) 735-65-01, +7 (904) 724-00-70</t>
  </si>
  <si>
    <t>http://novoselye12.ru/</t>
  </si>
  <si>
    <t>47.887738 56.629626</t>
  </si>
  <si>
    <t>Социальный прогресс</t>
  </si>
  <si>
    <t>Комсомольская ул., 132, Йошкар-Ола</t>
  </si>
  <si>
    <t>+7 (8362) 41-00-60, +7 (8362) 42-12-87, +7 (8362) 45-15-35, +7 (8362) 31-10-67</t>
  </si>
  <si>
    <t xml:space="preserve">socprog94@mail.ru </t>
  </si>
  <si>
    <t>Потребительская кооперация</t>
  </si>
  <si>
    <t>47.889888 56.632432</t>
  </si>
  <si>
    <t>Пиалче</t>
  </si>
  <si>
    <t>ул. Мира, 103, Йошкар-Ола</t>
  </si>
  <si>
    <t>+7 (8362) 96-42-22</t>
  </si>
  <si>
    <t>Ногтевая студия, Парикмахерская</t>
  </si>
  <si>
    <t>пн-сб 09:30–19:00; вс 09:30–14:00</t>
  </si>
  <si>
    <t>47.939583 56.635036</t>
  </si>
  <si>
    <t>47.867914 56.637244</t>
  </si>
  <si>
    <t>Южное</t>
  </si>
  <si>
    <t>ул. Машиностроителей, 125, Йошкар-Ола</t>
  </si>
  <si>
    <t>47.825101 56.625686</t>
  </si>
  <si>
    <t>Меделанта</t>
  </si>
  <si>
    <t>+7 (8362) 48-04-04, +7 (8362) 33-87-28, +7 (8362) 52-51-33</t>
  </si>
  <si>
    <t>Агентство недвижимости, Юридические услуги</t>
  </si>
  <si>
    <t>Фея Люкс</t>
  </si>
  <si>
    <t>ул. Анциферова, 5А, Йошкар-Ола</t>
  </si>
  <si>
    <t>+7 (8362) 77-93-39</t>
  </si>
  <si>
    <t>пн-пт 08:00–19:00; сб 08:00–15:00</t>
  </si>
  <si>
    <t>47.866251 56.648973</t>
  </si>
  <si>
    <t>Народный фотоклуб Феникс</t>
  </si>
  <si>
    <t>+7 (8362) 41-59-40</t>
  </si>
  <si>
    <t>47.888802 56.63862</t>
  </si>
  <si>
    <t>Yo Design</t>
  </si>
  <si>
    <t>+7 (8362) 91-02-82</t>
  </si>
  <si>
    <t xml:space="preserve">allexx_pr@inbox.ru  </t>
  </si>
  <si>
    <t>http://yo-design.ru/</t>
  </si>
  <si>
    <t>47.897 56.6353</t>
  </si>
  <si>
    <t>Студия танца Арабеск</t>
  </si>
  <si>
    <t>ул. Васильева, 4В, Йошкар-Ола</t>
  </si>
  <si>
    <t>+7 (8362) 90-09-80</t>
  </si>
  <si>
    <t>пн-сб 09:00–21:00</t>
  </si>
  <si>
    <t>47.830428 56.63679</t>
  </si>
  <si>
    <t>СантехОпт</t>
  </si>
  <si>
    <t>Складская ул., 20А, Йошкар-Ола</t>
  </si>
  <si>
    <t>+7 (8362) 63-00-84, +7 (8362) 63-00-48</t>
  </si>
  <si>
    <t>https://сантехопт12.рф/</t>
  </si>
  <si>
    <t>Посуда оптом, Сантехника оптом</t>
  </si>
  <si>
    <t>47.896794 56.616821</t>
  </si>
  <si>
    <t>ТФ ГСМ</t>
  </si>
  <si>
    <t>СнимОК</t>
  </si>
  <si>
    <t>+7 (8362) 93-84-62, +7 (8362) 78-44-20</t>
  </si>
  <si>
    <t>+7 (902) 124-84-62, +7 (902) 738-44-20</t>
  </si>
  <si>
    <t xml:space="preserve">snimok08@mail.ru, taffi2@mail.ru  </t>
  </si>
  <si>
    <t>Полиграфические услуги, Студия дизайна, Фотоуслуги</t>
  </si>
  <si>
    <t>https://vk.com/snimok784420</t>
  </si>
  <si>
    <t>47.8845 56.633102</t>
  </si>
  <si>
    <t>Империя Праздника</t>
  </si>
  <si>
    <t>+7 (8362) 52-03-18, +7 (8362) 33-04-77, +7 (8362) 98-98-13</t>
  </si>
  <si>
    <t xml:space="preserve">imperia12rus@yandex.ru, imperiaprazdnika@yandex.ru  </t>
  </si>
  <si>
    <t>http://imperia12.ru/</t>
  </si>
  <si>
    <t>Праздничное агентство, Фейерверки и пиротехника</t>
  </si>
  <si>
    <t>https://vk.com/imprazdnika</t>
  </si>
  <si>
    <t>Марий-Эл Спектор и Ко</t>
  </si>
  <si>
    <t>+7 (8362) 30-66-66</t>
  </si>
  <si>
    <t>+7 (902) 745-87-97</t>
  </si>
  <si>
    <t>+7 (8362) 41-41-75</t>
  </si>
  <si>
    <t xml:space="preserve">support@1gb.ru  </t>
  </si>
  <si>
    <t>http://msk-mariel.ru/</t>
  </si>
  <si>
    <t>Изготовление и монтаж зеркал</t>
  </si>
  <si>
    <t>Бекар-Медиа</t>
  </si>
  <si>
    <t>+7 (8362) 61-11-44, +7 (8362) 45-55-62</t>
  </si>
  <si>
    <t>+7 (927) 680-02-37</t>
  </si>
  <si>
    <t xml:space="preserve">kandrew@rambler.ru  </t>
  </si>
  <si>
    <t>http://www.bekar-media.info/</t>
  </si>
  <si>
    <t>Рекламная продукция, Рекламное агентство</t>
  </si>
  <si>
    <t>пн-пт 10:00–17:30, перерыв 13:00–14:00</t>
  </si>
  <si>
    <t>47.885705 56.635523</t>
  </si>
  <si>
    <t>Dl service</t>
  </si>
  <si>
    <t>+7 (8362) 61-18-58, +7 (8362) 33-57-87</t>
  </si>
  <si>
    <t xml:space="preserve">dlservice@mail.ru  </t>
  </si>
  <si>
    <t>пн-пт 10:00–19:00; сб 10:00–14:00</t>
  </si>
  <si>
    <t>https://vk.com/dlservice</t>
  </si>
  <si>
    <t>Ваши окна</t>
  </si>
  <si>
    <t>Первомайская ул., 122, Йошкар-Ола</t>
  </si>
  <si>
    <t>+7 (8362) 64-00-40</t>
  </si>
  <si>
    <t xml:space="preserve">os374444@mail.ru, vashioknakanash89@mail.ru, vokna12@mail.ru, info@info.ru  </t>
  </si>
  <si>
    <t>http://www.vokna.info/</t>
  </si>
  <si>
    <t>https://vk.com/vokna21</t>
  </si>
  <si>
    <t>47.886439 56.638025</t>
  </si>
  <si>
    <t>Газпромбанк</t>
  </si>
  <si>
    <t>ул. Мира, 113, Йошкар-Ола</t>
  </si>
  <si>
    <t>8 (800) 100-07-01, 8 (800) 100-00-89</t>
  </si>
  <si>
    <t xml:space="preserve">cardpartner@gazprombank.ru, ir@gazprombank.ru, msbinfo@gazprombank.ru, alexey.demkin@gazprombank.ru, zakupki@gazprombank.ru  </t>
  </si>
  <si>
    <t>https://www.gazprombank.ru/?utm_campaign=d:dkm%7Cag:gpb&amp;utm_medium=maps&amp;utm_source=yandex, https://www.gazprombank.ru/?utm_campaign=d:dkm|ag:gpb&amp;utm_medium=maps&amp;utm_source=yandex</t>
  </si>
  <si>
    <t>пн-пт 09:00–19:30; сб 09:00–18:30; вс 09:00–18:00</t>
  </si>
  <si>
    <t>https://vk.com/gazprombank</t>
  </si>
  <si>
    <t>https://ok.ru/gazprombank</t>
  </si>
  <si>
    <t>https://www.facebook.com/gazprombank/</t>
  </si>
  <si>
    <t>https://www.youtube.com/channel/UCwtYpm9ay6jsJjAdeSj4f2g</t>
  </si>
  <si>
    <t>https://www.instagram.com/gazprombank/</t>
  </si>
  <si>
    <t>47.936143 56.636783</t>
  </si>
  <si>
    <t>Марийская Мехколонна № 115 Волгосельэлектросетьстрой</t>
  </si>
  <si>
    <t>ул. Машиностроителей, 124, Йошкар-Ола</t>
  </si>
  <si>
    <t>Промышленное строительство</t>
  </si>
  <si>
    <t>47.828758 56.62597</t>
  </si>
  <si>
    <t>Белый аист</t>
  </si>
  <si>
    <t>+7 (960) 095-39-35</t>
  </si>
  <si>
    <t>Марийский радиомеханический техникум</t>
  </si>
  <si>
    <t>ул. Пушкина, 25/110, Йошкар-Ола</t>
  </si>
  <si>
    <t xml:space="preserve">scienceport@sfedu.ru, info@mon.gov.ru </t>
  </si>
  <si>
    <t>47.88798 56.633764</t>
  </si>
  <si>
    <t>ГБУ РМЭ поликлиника № 2</t>
  </si>
  <si>
    <t>Советская ул., 56, Йошкар-Ола</t>
  </si>
  <si>
    <t>+7 (8362) 46-89-82</t>
  </si>
  <si>
    <t>пн-пт 07:30–19:00; сб 08:00–16:00</t>
  </si>
  <si>
    <t>47.903076 56.64399</t>
  </si>
  <si>
    <t>ИП Волков К. Е.</t>
  </si>
  <si>
    <t>ул. Строителей, 95, корп. 102А, Йошкар-Ола</t>
  </si>
  <si>
    <t>+7 (927) 874-01-39</t>
  </si>
  <si>
    <t>Мебель на заказ</t>
  </si>
  <si>
    <t>Эталон-центр</t>
  </si>
  <si>
    <t>Россия, Республика Марий Эл, Йошкар-Ола, улица Гончарова</t>
  </si>
  <si>
    <t>+7 (8362) 55-30-06</t>
  </si>
  <si>
    <t>+7 (917) 793-55-97</t>
  </si>
  <si>
    <t xml:space="preserve">sale@etalon-ufa.ru, support@etalon-ufa.ru, info@etalon-ufa.ru  </t>
  </si>
  <si>
    <t>http://etalon-ufa.ru/</t>
  </si>
  <si>
    <t>Весы и весоизмерительное оборудование, Промышленное оборудование</t>
  </si>
  <si>
    <t>47.885011 56.616298</t>
  </si>
  <si>
    <t>Салон красоты Вельможа</t>
  </si>
  <si>
    <t>ул. Эшкинина, 2, Йошкар-Ола</t>
  </si>
  <si>
    <t>+7 (8362) 21-83-66, +7 (8362) 91-00-57</t>
  </si>
  <si>
    <t>47.905774 56.628266</t>
  </si>
  <si>
    <t>Новатор</t>
  </si>
  <si>
    <t>+7 (8362) 45-54-27, +7 (8362) 45-66-91</t>
  </si>
  <si>
    <t xml:space="preserve">novator-s@yandex.ru  </t>
  </si>
  <si>
    <t>http://novator-s.ru/</t>
  </si>
  <si>
    <t>Энергетика</t>
  </si>
  <si>
    <t>Обслуживание электросетей</t>
  </si>
  <si>
    <t>Евротрак</t>
  </si>
  <si>
    <t>+7 (8362) 45-66-90</t>
  </si>
  <si>
    <t>+7 (917) 705-10-01</t>
  </si>
  <si>
    <t>Автокосметика, автохимия, Автомобильные прицепы, Запчасти для автобусов, Магазин автозапчастей и автотоваров, Производство и оптовая продажа автозапчастей</t>
  </si>
  <si>
    <t>Опторгсервис</t>
  </si>
  <si>
    <t>+7 (8362) 57-31-65</t>
  </si>
  <si>
    <t>Демонстрационно-выставочный зал Нуга Бест</t>
  </si>
  <si>
    <t>ул. Палантая, 114, Йошкар-Ола</t>
  </si>
  <si>
    <t>Медицинское оборудование, медтехника</t>
  </si>
  <si>
    <t>Ананас</t>
  </si>
  <si>
    <t>+7 (8362) 32-99-59</t>
  </si>
  <si>
    <t>IT-компания, Студия веб-дизайна</t>
  </si>
  <si>
    <t>47.835001 56.631996</t>
  </si>
  <si>
    <t>ПГТУ Лаборатория Новая техника подразделение Технопарка</t>
  </si>
  <si>
    <t>ул. Строителей, 99, Йошкар-Ола</t>
  </si>
  <si>
    <t>+7 (987) 703-07-19</t>
  </si>
  <si>
    <t>пн-пт 09:00–16:30, перерыв 12:00–12:30</t>
  </si>
  <si>
    <t>47.870063 56.61456</t>
  </si>
  <si>
    <t>Компания Монолит</t>
  </si>
  <si>
    <t>+7 (8362) 32-30-91</t>
  </si>
  <si>
    <t>Кирпич, Тротуарная плитка</t>
  </si>
  <si>
    <t>Деметра</t>
  </si>
  <si>
    <t>+7 (8362) 45-76-44</t>
  </si>
  <si>
    <t>пн-пт 08:00–19:00; сб 09:00–17:00; вс 10:00–17:00</t>
  </si>
  <si>
    <t>47.899381 56.642365</t>
  </si>
  <si>
    <t>12 Одуванчиков</t>
  </si>
  <si>
    <t>Ленинский просп., 64Б, Йошкар-Ола</t>
  </si>
  <si>
    <t>+7 (8362) 24-62-42</t>
  </si>
  <si>
    <t>47.873952 56.638367</t>
  </si>
  <si>
    <t>АКС пласт</t>
  </si>
  <si>
    <t>47.879463 56.628911</t>
  </si>
  <si>
    <t>Sling. MariMama</t>
  </si>
  <si>
    <t>ул. Воинов-Интернационалистов, 25, Йошкар-Ола</t>
  </si>
  <si>
    <t>47.925219 56.634045</t>
  </si>
  <si>
    <t>Созидание</t>
  </si>
  <si>
    <t>+7 (8362) 42-09-50</t>
  </si>
  <si>
    <t xml:space="preserve">mail@leasing12.ru  </t>
  </si>
  <si>
    <t>http://www.leasing12.ru/</t>
  </si>
  <si>
    <t>47.877533 56.627854</t>
  </si>
  <si>
    <t>Еврокомфорт</t>
  </si>
  <si>
    <t>+7 (8362) 64-92-64, +7 (8362) 64-87-06</t>
  </si>
  <si>
    <t xml:space="preserve">mail@evrokomfort12.ru, nikitaesmeneev@gmail.com  </t>
  </si>
  <si>
    <t>https://evrokomfort12.ru/</t>
  </si>
  <si>
    <t>https://www.vk.com/evrokomfort12</t>
  </si>
  <si>
    <t>https://www.instagram.com/evrokomfort12/</t>
  </si>
  <si>
    <t>Юцсб Русское право</t>
  </si>
  <si>
    <t>+7 (8362) 41-71-71</t>
  </si>
  <si>
    <t>+7 (927) 883-55-11</t>
  </si>
  <si>
    <t xml:space="preserve">pravo1111@mail.ru </t>
  </si>
  <si>
    <t>Бизнес-консалтинг, Кадастровые работы, Юридические услуги</t>
  </si>
  <si>
    <t>https://vk.com/russkoepravo12</t>
  </si>
  <si>
    <t>Холдинг риэлтерских агенств</t>
  </si>
  <si>
    <t>ул. Свердлова, 5, Йошкар-Ола</t>
  </si>
  <si>
    <t>+7 (8362) 92-90-50</t>
  </si>
  <si>
    <t>+7 (917) 706-53-47</t>
  </si>
  <si>
    <t xml:space="preserve">ii1972@rambler.ru  </t>
  </si>
  <si>
    <t>http://geny55555.narod.ru/</t>
  </si>
  <si>
    <t>47.86602 56.641228</t>
  </si>
  <si>
    <t>Эксклюзив</t>
  </si>
  <si>
    <t>Кремлёвская ул., 20, Йошкар-Ола</t>
  </si>
  <si>
    <t>+7 (8362) 56-61-04</t>
  </si>
  <si>
    <t>+7 (927) 885-54-43</t>
  </si>
  <si>
    <t>Ногтевая студия, Парикмахерская, Салон красоты</t>
  </si>
  <si>
    <t>https://vk.com/salonbeautyexlusive</t>
  </si>
  <si>
    <t>https://www.instagram.com/_exclusive2020?igshid=1jrl8cp8dj3ap</t>
  </si>
  <si>
    <t>47.893122 56.63911</t>
  </si>
  <si>
    <t>Сенсум-РМЭ</t>
  </si>
  <si>
    <t>ул. Палантая, 63Б, Йошкар-Ола</t>
  </si>
  <si>
    <t>+7 (8362) 38-13-82, +7 (8362) 38-13-71</t>
  </si>
  <si>
    <t>Бизнес-консалтинг</t>
  </si>
  <si>
    <t>47.888918 56.633283</t>
  </si>
  <si>
    <t>Ваш ремонт часов</t>
  </si>
  <si>
    <t>+7 (902) 326-95-94</t>
  </si>
  <si>
    <t>https://clock-repair-service-38.business.site/</t>
  </si>
  <si>
    <t>пн-пт 09:00–18:30; сб 09:30–15:00</t>
  </si>
  <si>
    <t>47.86443 56.645974</t>
  </si>
  <si>
    <t>Энергосберегающее отопление</t>
  </si>
  <si>
    <t>+7 (8362) 99-13-89, +7 (8362) 46-14-44</t>
  </si>
  <si>
    <t>+7 (8362) 46-14-44</t>
  </si>
  <si>
    <t>Котлы и котельное оборудование, Отопительное оборудование и системы, Строительная компания, Электротехническая продукция, Энергосбережение и энергоаудит</t>
  </si>
  <si>
    <t>Красноармейская ул., 98В, Йошкар-Ола</t>
  </si>
  <si>
    <t>+7 (8362) 32-80-08</t>
  </si>
  <si>
    <t>пн-пт 10:00–19:00; сб 10:00–15:00</t>
  </si>
  <si>
    <t>https://vk.com/club91058607</t>
  </si>
  <si>
    <t>47.864498 56.646822</t>
  </si>
  <si>
    <t>Продмедоборудование ОКБ</t>
  </si>
  <si>
    <t>+7 (8362) 99-61-41</t>
  </si>
  <si>
    <t>47.834921 56.625267</t>
  </si>
  <si>
    <t>Завод ёмкостного оборудования</t>
  </si>
  <si>
    <t>+7 (8362) 45-32-85</t>
  </si>
  <si>
    <t>+7 (927) 872-50-00</t>
  </si>
  <si>
    <t xml:space="preserve">zavodeo@bk.ru, zavodeo@list.ru  </t>
  </si>
  <si>
    <t>http://zavodeo.ru/</t>
  </si>
  <si>
    <t>Тара и упаковка</t>
  </si>
  <si>
    <t>Емкостное оборудование, резервуары</t>
  </si>
  <si>
    <t>Скрепка</t>
  </si>
  <si>
    <t>ул. Мира, 70Б, Йошкар-Ола</t>
  </si>
  <si>
    <t>47.936592 56.637724</t>
  </si>
  <si>
    <t>Стрела</t>
  </si>
  <si>
    <t>ул. Яналова, 4А, Йошкар-Ола</t>
  </si>
  <si>
    <t>+7 (937) 112-89-27, +7 (905) 008-51-51</t>
  </si>
  <si>
    <t xml:space="preserve">info@alkovar-rf.ru, info@samogonok.ru  </t>
  </si>
  <si>
    <t>http://alkovar-rf.ru/</t>
  </si>
  <si>
    <t>47.883229 56.621088</t>
  </si>
  <si>
    <t>СКБ Хроматэк</t>
  </si>
  <si>
    <t>+7 (8362) 68-59-68, +7 (8362) 68-59-01, +7 (8362) 68-59-32, +7 (8362) 68-59-71, +7 (8362) 68-59-70</t>
  </si>
  <si>
    <t>+7 (987) 709-42-00</t>
  </si>
  <si>
    <t>+7 (8362) 68-59-16</t>
  </si>
  <si>
    <t xml:space="preserve">mail@chromatec.ru, 32@chromatec.ru  </t>
  </si>
  <si>
    <t>http://www.chromatec.ru/</t>
  </si>
  <si>
    <t>47.86197 56.616106</t>
  </si>
  <si>
    <t>Диана</t>
  </si>
  <si>
    <t>+7 (8362) 12-98-70</t>
  </si>
  <si>
    <t>Производство и продажа тканей</t>
  </si>
  <si>
    <t>ЖСК Колос</t>
  </si>
  <si>
    <t>Ленинский просп., 56, Йошкар-Ола</t>
  </si>
  <si>
    <t>+7 (8362) 41-15-34</t>
  </si>
  <si>
    <t>47.875165 56.636907</t>
  </si>
  <si>
    <t>Магистраль</t>
  </si>
  <si>
    <t>+7 (8362) 32-20-30</t>
  </si>
  <si>
    <t>пн-пт 09:00–18:00, перерыв 12:30–13:30; сб 11:00–15:00</t>
  </si>
  <si>
    <t>47.893446 56.649444</t>
  </si>
  <si>
    <t>Премьер Дент</t>
  </si>
  <si>
    <t>+7 (8362) 56-09-99</t>
  </si>
  <si>
    <t>пн-пт 09:00–20:00; сб 09:00–15:00</t>
  </si>
  <si>
    <t>47.914395 56.627337</t>
  </si>
  <si>
    <t>Фирма Мускат-Трейдинг</t>
  </si>
  <si>
    <t>+7 (8362) 42-99-14, +7 (8362) 56-43-96</t>
  </si>
  <si>
    <t>Алкогольная продукция оптом</t>
  </si>
  <si>
    <t>Центр Специальной Связи при Правительстве Республики Марий Эл</t>
  </si>
  <si>
    <t>Кремлёвская ул., 3, Йошкар-Ола</t>
  </si>
  <si>
    <t>+7 (8362) 41-50-11</t>
  </si>
  <si>
    <t>ИП Аухадиева</t>
  </si>
  <si>
    <t>Glenfield</t>
  </si>
  <si>
    <t xml:space="preserve">help@glen-flo.ru, help@glenfield.ru  </t>
  </si>
  <si>
    <t>http://www.glenfield.ru/</t>
  </si>
  <si>
    <t>Магазин одежды, Трикотаж, трикотажные изделия</t>
  </si>
  <si>
    <t>47.892655 56.63242</t>
  </si>
  <si>
    <t>Компания Макф</t>
  </si>
  <si>
    <t>ул. Карла Маркса, 144, Йошкар-Ола</t>
  </si>
  <si>
    <t>+7 (8362) 41-62-89</t>
  </si>
  <si>
    <t>Булочная, пекарня, Продажа и аренда коммерческой недвижимости, Хлебозавод</t>
  </si>
  <si>
    <t>47.88387 56.6172</t>
  </si>
  <si>
    <t>32 Жемчужины</t>
  </si>
  <si>
    <t>+7 (8362) 41-44-88, +7 (8362) 44-48-44</t>
  </si>
  <si>
    <t>пн-пт 08:30–19:00; сб 09:00–15:00</t>
  </si>
  <si>
    <t>47.902099 56.640332</t>
  </si>
  <si>
    <t>Строй Арсенал</t>
  </si>
  <si>
    <t>+7 (8362) 20-62-24</t>
  </si>
  <si>
    <t>+7 (917) 714-37-94, +7 (902) 105-22-05</t>
  </si>
  <si>
    <t xml:space="preserve">info@pro-decking.ru  </t>
  </si>
  <si>
    <t>http://www.parket12.ru/, http://www.pro-decking.ru/</t>
  </si>
  <si>
    <t>Керамическая плитка, Паркет, Покрытия для площадок</t>
  </si>
  <si>
    <t>пн-пт 09:00–18:30; сб 09:00–16:00</t>
  </si>
  <si>
    <t>47.877942 56.633227</t>
  </si>
  <si>
    <t>Проведение праздников</t>
  </si>
  <si>
    <t>Красноармейская ул., 95, Йошкар-Ола</t>
  </si>
  <si>
    <t>+7 (960) 096-66-69</t>
  </si>
  <si>
    <t>47.868841 56.64542</t>
  </si>
  <si>
    <t>Кокшайский пр., 19, Йошкар-Ола</t>
  </si>
  <si>
    <t>47.883196 56.62024</t>
  </si>
  <si>
    <t>Йошкар-Олинский Специализированный Участок Гидроспецстрой СУ</t>
  </si>
  <si>
    <t>ул. Строителей, 94Г, Йошкар-Ола</t>
  </si>
  <si>
    <t>+7 (8362) 73-82-37</t>
  </si>
  <si>
    <t>47.853004 56.614916</t>
  </si>
  <si>
    <t>Автотехника</t>
  </si>
  <si>
    <t>+7 (8362) 64-87-10</t>
  </si>
  <si>
    <t>Строительные и отделочные работы, Стройматериалы оптом</t>
  </si>
  <si>
    <t>Планета ЖСК</t>
  </si>
  <si>
    <t>ул. Петрова, 5, Йошкар-Ола</t>
  </si>
  <si>
    <t>+7 (8362) 21-96-85</t>
  </si>
  <si>
    <t>47.916416 56.629659</t>
  </si>
  <si>
    <t>Видеостудия Каир</t>
  </si>
  <si>
    <t>просп. Гагарина, 28, Йошкар-Ола</t>
  </si>
  <si>
    <t>+7 (8362) 65-58-76</t>
  </si>
  <si>
    <t>пн-пт 09:00–21:00</t>
  </si>
  <si>
    <t>47.880052 56.624291</t>
  </si>
  <si>
    <t>Алмаз-Холдинг</t>
  </si>
  <si>
    <t>8 (800) 333-89-89</t>
  </si>
  <si>
    <t xml:space="preserve">reklama2@fran.almaz-holding.ru  </t>
  </si>
  <si>
    <t>https://almazholding.ru/, http://www.almaz-holding.ru/</t>
  </si>
  <si>
    <t>https://vk.com/almazholding</t>
  </si>
  <si>
    <t>https://www.facebook.com/almazhold</t>
  </si>
  <si>
    <t>https://www.instagram.com/almaz_holding</t>
  </si>
  <si>
    <t>47.895566 56.635605</t>
  </si>
  <si>
    <t>Старый Амбар</t>
  </si>
  <si>
    <t>Комсомольская ул., 124Д, Йошкар-Ола</t>
  </si>
  <si>
    <t>8 (800) 333-30-07, +7 (8362) 49-75-80</t>
  </si>
  <si>
    <t xml:space="preserve">zairaambar@yandex.ru, gasimowa.olga@yandex.ru  </t>
  </si>
  <si>
    <t>http://www.old-ambar.ru/</t>
  </si>
  <si>
    <t>Бар, паб, Кафе, Ресторан</t>
  </si>
  <si>
    <t>пн-чт 11:00–00:00; пт,сб 11:00–01:00; вс 11:00–00:00</t>
  </si>
  <si>
    <t>http://instagram.com/staryi_ambar</t>
  </si>
  <si>
    <t>47.892474 56.635655</t>
  </si>
  <si>
    <t>Йошкар-Ола - Москва Маркетинговый центр</t>
  </si>
  <si>
    <t>Советская ул., 140, Йошкар-Ола</t>
  </si>
  <si>
    <t>+7 (8362) 21-70-52</t>
  </si>
  <si>
    <t>47.895422 56.632773</t>
  </si>
  <si>
    <t>Вознесенская ул., 30, Йошкар-Ола</t>
  </si>
  <si>
    <t>+7 (8362) 38-15-15, +7 (8362) 38-09-09, +7 (8362) 54-55-22, +7 (8362) 38-49-59, +7 (8362) 45-01-21</t>
  </si>
  <si>
    <t>+7 (8362) 38-49-79</t>
  </si>
  <si>
    <t>https://oaokontinent.ru/</t>
  </si>
  <si>
    <t>Агентство недвижимости, Квартиры в новостройках, Строительная компания, Строительные и отделочные работы</t>
  </si>
  <si>
    <t>47.905157 56.643311</t>
  </si>
  <si>
    <t>Детский сад № 70 Ягодка</t>
  </si>
  <si>
    <t>ул. Чехова, 45, Йошкар-Ола</t>
  </si>
  <si>
    <t>+7 (8362) 56-67-61, +7 (8362) 45-42-82, +7 (36224) 5-42-82</t>
  </si>
  <si>
    <t xml:space="preserve">yagodka.70@mail.ru, uoa-yoshkar-ola@yandex.ru, 12osh@mvd.ru  </t>
  </si>
  <si>
    <t>http://edu.mari.ru/mouo-yoshkarola/dou70</t>
  </si>
  <si>
    <t>47.894449 56.642801</t>
  </si>
  <si>
    <t>Газета Ещё бесплатнее</t>
  </si>
  <si>
    <t>+7 (929) 717-58-58</t>
  </si>
  <si>
    <t>Интернет-маркетинг, Редакция СМИ</t>
  </si>
  <si>
    <t>Детский сад № 1 Пчелка</t>
  </si>
  <si>
    <t>ул. Строителей, 34А, Йошкар-Ола</t>
  </si>
  <si>
    <t>+7 (8362) 63-64-76</t>
  </si>
  <si>
    <t xml:space="preserve">info@school1yola.ru, uoa-yoshkar-ola@yandex.ru  </t>
  </si>
  <si>
    <t>http://edu.mari.ru/mouo-yoshkarola/dou1/</t>
  </si>
  <si>
    <t>47.830078 56.638471</t>
  </si>
  <si>
    <t>Столплит</t>
  </si>
  <si>
    <t>Красноармейская ул., 53, Йошкар-Ола</t>
  </si>
  <si>
    <t>8 (800) 551-06-76</t>
  </si>
  <si>
    <t xml:space="preserve">3d@stolplit.ru </t>
  </si>
  <si>
    <t>https://www.stolplit.ru/</t>
  </si>
  <si>
    <t>Магазин мебели, Мебель для кухни, Мягкая мебель</t>
  </si>
  <si>
    <t>https://vk.com/stolplit</t>
  </si>
  <si>
    <t>https://ok.ru/stolplit</t>
  </si>
  <si>
    <t>https://www.facebook.com/stolplit</t>
  </si>
  <si>
    <t>https://www.instagram.com/stolplit</t>
  </si>
  <si>
    <t>47.889784 56.641588</t>
  </si>
  <si>
    <t>Офис Романа Зильбермана</t>
  </si>
  <si>
    <t>+7 (8362) 65-09-84</t>
  </si>
  <si>
    <t xml:space="preserve">zrj@yandex.ru  </t>
  </si>
  <si>
    <t>http://bankrot12.nethouse.ru/</t>
  </si>
  <si>
    <t>47.881437 56.637434</t>
  </si>
  <si>
    <t>+7 (8362) 36-63-63, +7 (8362) 36-53-53, +7 (8362) 91-32-49</t>
  </si>
  <si>
    <t>http://ndetyam.ru/contacts/</t>
  </si>
  <si>
    <t>Детский магазин, Магазин детской одежды</t>
  </si>
  <si>
    <t>47.885752 56.635609</t>
  </si>
  <si>
    <t>Ваш юрист</t>
  </si>
  <si>
    <t>+7 (8362) 63-32-35</t>
  </si>
  <si>
    <t>+7 (917) 710-27-77</t>
  </si>
  <si>
    <t>47.864464 56.646628</t>
  </si>
  <si>
    <t>ЦТЭ Ростелеком</t>
  </si>
  <si>
    <t>Красноармейская ул., 76В, Йошкар-Ола</t>
  </si>
  <si>
    <t xml:space="preserve">wink@rt.ru </t>
  </si>
  <si>
    <t>47.878795 56.645405</t>
  </si>
  <si>
    <t>Правовая основа бизнеса</t>
  </si>
  <si>
    <t>+7 (8362) 99-19-19</t>
  </si>
  <si>
    <t xml:space="preserve">pravov@list.ru  </t>
  </si>
  <si>
    <t>http://biz-pravo12.ru/</t>
  </si>
  <si>
    <t>Красноармейская ул., 59, Йошкар-Ола</t>
  </si>
  <si>
    <t>+7 (8362) 41-76-60</t>
  </si>
  <si>
    <t>47.886511 56.64203</t>
  </si>
  <si>
    <t>+7 (8362) 41-69-40</t>
  </si>
  <si>
    <t xml:space="preserve">sample@domain.ru, evs12@mail.ru  </t>
  </si>
  <si>
    <t>http://svet12.ru/</t>
  </si>
  <si>
    <t>Магазин бытовой техники, Светильники, Строительный магазин</t>
  </si>
  <si>
    <t>47.877533 56.630913</t>
  </si>
  <si>
    <t>Волгателеком в РМЭ Радио-М Ирс Филиала</t>
  </si>
  <si>
    <t>Советская ул., 138А, Йошкар-Ола</t>
  </si>
  <si>
    <t>+7 (8362) 42-31-23, +7 (8362) 42-37-77</t>
  </si>
  <si>
    <t>Радиокомпания</t>
  </si>
  <si>
    <t>Промснабкомплект фирма</t>
  </si>
  <si>
    <t>Электротехническая продукция</t>
  </si>
  <si>
    <t>Ленинский просп., 28, Йошкар-Ола</t>
  </si>
  <si>
    <t>+7 (8362) 34-93-48, +7 (8362) 42-36-22</t>
  </si>
  <si>
    <t>47.882431 56.632396</t>
  </si>
  <si>
    <t>КомиС - Системы Безопасности</t>
  </si>
  <si>
    <t>+7 (8362) 42-67-41, +7 (8362) 63-80-93</t>
  </si>
  <si>
    <t xml:space="preserve">ksb@k-sb.ru  </t>
  </si>
  <si>
    <t>http://www.k-sb.ru/</t>
  </si>
  <si>
    <t>Пожарное оборудование, Системы безопасности и охраны</t>
  </si>
  <si>
    <t>47.898982 56.643796</t>
  </si>
  <si>
    <t>Интеллект-центр</t>
  </si>
  <si>
    <t>+7 (8362) 33-35-80, +7 (8362) 99-96-96</t>
  </si>
  <si>
    <t>Оценочная компания, Экспертиза, Юридические услуги</t>
  </si>
  <si>
    <t>47.870897 56.645899</t>
  </si>
  <si>
    <t>Махагони</t>
  </si>
  <si>
    <t>Сернурский тракт, 4, Йошкар-Ола</t>
  </si>
  <si>
    <t>+7 (8362) 46-37-03</t>
  </si>
  <si>
    <t xml:space="preserve">showorld@mail.ru </t>
  </si>
  <si>
    <t>Деревообрабатывающее оборудование, Инструментальная промышленность</t>
  </si>
  <si>
    <t>47.95442 56.65016</t>
  </si>
  <si>
    <t>Отдел воинской славы</t>
  </si>
  <si>
    <t>Первомайская ул., 128, Йошкар-Ола</t>
  </si>
  <si>
    <t>+7 (8362) 45-84-94, +7 (8362) 42-36-32</t>
  </si>
  <si>
    <t xml:space="preserve">muzeiyola@gmail.com  </t>
  </si>
  <si>
    <t>http://i-ola-museum.ru/</t>
  </si>
  <si>
    <t>https://vk.com/muzeiyola</t>
  </si>
  <si>
    <t>http://facebook.com/muzeiyola</t>
  </si>
  <si>
    <t>47.884755 56.636913</t>
  </si>
  <si>
    <t>Автоэлектрик-диагност</t>
  </si>
  <si>
    <t>ул. Карла Либкнехта, 16, Йошкар-Ола</t>
  </si>
  <si>
    <t>+7 (8362) 29-95-44</t>
  </si>
  <si>
    <t>+7 (902) 432-95-44</t>
  </si>
  <si>
    <t>47.953911 56.646034</t>
  </si>
  <si>
    <t>Межшкольный Учебно-Производственный комбинат</t>
  </si>
  <si>
    <t>ул. Мира, 91, Йошкар-Ола</t>
  </si>
  <si>
    <t>+7 (8362) 64-78-76</t>
  </si>
  <si>
    <t>Учебный комбинат</t>
  </si>
  <si>
    <t>47.943985 56.633159</t>
  </si>
  <si>
    <t>Наш</t>
  </si>
  <si>
    <t>Первомайская ул., 166, Йошкар-Ола</t>
  </si>
  <si>
    <t>+7 (8362) 41-47-22, +7 (8362) 45-70-70</t>
  </si>
  <si>
    <t>47.881238 56.630553</t>
  </si>
  <si>
    <t>КомпЭл</t>
  </si>
  <si>
    <t>Автокар-Сервис</t>
  </si>
  <si>
    <t>+7 (8362) 41-75-57, +7 (8362) 41-73-93, +7 (8362) 64-00-28</t>
  </si>
  <si>
    <t xml:space="preserve">info@avtokar12.ru  </t>
  </si>
  <si>
    <t>https://avtokar12.ru/</t>
  </si>
  <si>
    <t>Пивной</t>
  </si>
  <si>
    <t>ул. Воинов-Интернационалистов, 27, Йошкар-Ола</t>
  </si>
  <si>
    <t>+7 (987) 733-48-71</t>
  </si>
  <si>
    <t>Магазин алкогольных напитков, Магазин пива, Магазин продуктов</t>
  </si>
  <si>
    <t>47.925136 56.634458</t>
  </si>
  <si>
    <t>Экспертная Компания НЦ</t>
  </si>
  <si>
    <t>+7 (8362) 63-01-93</t>
  </si>
  <si>
    <t>47.879778 56.633108</t>
  </si>
  <si>
    <t>Магазин подарков и сувениров</t>
  </si>
  <si>
    <t>47.891492 56.638426</t>
  </si>
  <si>
    <t>Службы Эвакуации</t>
  </si>
  <si>
    <t>+7 (8362) 78-60-60</t>
  </si>
  <si>
    <t>Автотехпомощь, эвакуация автомобилей</t>
  </si>
  <si>
    <t>Компания Цитрус</t>
  </si>
  <si>
    <t>ул. Орая, 66, Йошкар-Ола</t>
  </si>
  <si>
    <t>+7 (8362) 38-10-80, +7 (8362) 38-16-08</t>
  </si>
  <si>
    <t xml:space="preserve">info@citrus-soft.ru, promo@citrus-soft.ru  </t>
  </si>
  <si>
    <t>https://citrus-soft.ru/, https://promo.citrus-soft.ru/</t>
  </si>
  <si>
    <t>IT-компания, Интернет-маркетинг, Студия веб-дизайна</t>
  </si>
  <si>
    <t>47.894829 56.646455</t>
  </si>
  <si>
    <t>Федеральный интернет-экзамен в сфере профессионального образования</t>
  </si>
  <si>
    <t>ул. Якова Эшпая, 155, Йошкар-Ола</t>
  </si>
  <si>
    <t>+7 (8362) 64-16-88, +7 (8362) 42-25-04, +7 (8362) 42-24-68, +7 (8362) 42-13-16</t>
  </si>
  <si>
    <t>+7 (8362) 42-17-54</t>
  </si>
  <si>
    <t xml:space="preserve">nii.mko@gmail.com  </t>
  </si>
  <si>
    <t>Новые технологии</t>
  </si>
  <si>
    <t>Магазин наглядных учебных пособий, Новые технологии</t>
  </si>
  <si>
    <t>https://vk.com/niimko</t>
  </si>
  <si>
    <t>https://twitter.com/nii_mko</t>
  </si>
  <si>
    <t>https://www.facebook.com/niimko</t>
  </si>
  <si>
    <t>47.880807 56.635451</t>
  </si>
  <si>
    <t>Детский сад № 13 Клюковка</t>
  </si>
  <si>
    <t>Заводской пер., 20, Йошкар-Ола</t>
  </si>
  <si>
    <t>+7 (8362) 72-31-31</t>
  </si>
  <si>
    <t xml:space="preserve">kliukovka13@bk.ru, uoa-yoshkar-ola@yandex.ru  </t>
  </si>
  <si>
    <t>http://edu.mari.ru/mouo-yoshkarola/dou13</t>
  </si>
  <si>
    <t>47.866711 56.636293</t>
  </si>
  <si>
    <t>Центр предоставления мер социальной поддержки населению в городе Йошкар-Оле Республики Марий Эл</t>
  </si>
  <si>
    <t>Советская ул., 181, Йошкар-Ола</t>
  </si>
  <si>
    <t>+7 (8362) 45-38-08, +7 (8362) 56-69-96, +7 (8362) 42-91-76</t>
  </si>
  <si>
    <t xml:space="preserve">info@lgoty-expert.ru  </t>
  </si>
  <si>
    <t>http://lgoty-expert.ru/</t>
  </si>
  <si>
    <t>пн-чт 08:00–15:00, перерыв 12:00–13:00</t>
  </si>
  <si>
    <t>47.882903 56.62244</t>
  </si>
  <si>
    <t>Магнат</t>
  </si>
  <si>
    <t>+7 (8362) 45-90-35, +7 (8362) 39-30-09</t>
  </si>
  <si>
    <t>+7 (917) 700-99-92</t>
  </si>
  <si>
    <t xml:space="preserve">mail@law-magnat.ru  </t>
  </si>
  <si>
    <t>http://www.law-magnat.ru/</t>
  </si>
  <si>
    <t>Бухгалтерские услуги, Налоговые консультанты, Юридические услуги</t>
  </si>
  <si>
    <t>Экострой</t>
  </si>
  <si>
    <t>+7 (8362) 33-33-01</t>
  </si>
  <si>
    <t xml:space="preserve">evro-ola@yandex.ru  </t>
  </si>
  <si>
    <t>http://eco12.ru/</t>
  </si>
  <si>
    <t>Натяжные и подвесные потолки, Окна, Строительные и отделочные работы, Строительный магазин</t>
  </si>
  <si>
    <t>https://vk.com/ekostroy12</t>
  </si>
  <si>
    <t>ПДМ плюс</t>
  </si>
  <si>
    <t>+7 (8362) 64-28-90</t>
  </si>
  <si>
    <t xml:space="preserve">pdm03@mail.ru </t>
  </si>
  <si>
    <t>http://pdmplus.ru/, http://artglass12.ru/</t>
  </si>
  <si>
    <t>Изготовление витражей, Лазерная резка и гравировка, Стекло, стекольная продукция</t>
  </si>
  <si>
    <t>47.945087 56.634447</t>
  </si>
  <si>
    <t>Марийский Научно-исследовательский институт языка, литературы и истории им. В. М. Васильева</t>
  </si>
  <si>
    <t>+7 (8362) 45-14-73, +7 (8362) 45-33-50</t>
  </si>
  <si>
    <t>http://portal.mari.ru/marnii</t>
  </si>
  <si>
    <t>пн-чт 08:30–17:30, перерыв 13:00–14:00; пт 08:30–17:15, перерыв 13:00–14:00</t>
  </si>
  <si>
    <t>47.893818 56.641417</t>
  </si>
  <si>
    <t>Легенды Йошкар-Олы</t>
  </si>
  <si>
    <t>Царьградский просп., 37, Йошкар-Ола</t>
  </si>
  <si>
    <t>+7 (987) 727-27-27</t>
  </si>
  <si>
    <t>47.907499 56.637218</t>
  </si>
  <si>
    <t>Горкооптторг</t>
  </si>
  <si>
    <t>+7 (8362) 12-08-27</t>
  </si>
  <si>
    <t>47.898685 56.636927</t>
  </si>
  <si>
    <t>Дом мечты</t>
  </si>
  <si>
    <t>ул. Карла Маркса, 101А, Йошкар-Ола</t>
  </si>
  <si>
    <t>+7 (8362) 77-11-77, +7 (8362) 46-97-77</t>
  </si>
  <si>
    <t xml:space="preserve">info@m-dom.com  </t>
  </si>
  <si>
    <t>http://www.m-dom.com/</t>
  </si>
  <si>
    <t>Агентство недвижимости, Строительная компания, Элитная недвижимость, Юридические услуги</t>
  </si>
  <si>
    <t>https://vk.com/club37951175</t>
  </si>
  <si>
    <t>47.8967 56.6273</t>
  </si>
  <si>
    <t>Дизайнцентр</t>
  </si>
  <si>
    <t>+7 (8362) 46-93-20</t>
  </si>
  <si>
    <t xml:space="preserve">reklama_design@mail.ru  </t>
  </si>
  <si>
    <t>http://designcenter.com.ru/</t>
  </si>
  <si>
    <t>47.89485 56.640192</t>
  </si>
  <si>
    <t>Центр строительного крепежа</t>
  </si>
  <si>
    <t>+7 (8362) 42-47-46, +7 (8362) 30-62-82, +7 (8362) 42-49-59</t>
  </si>
  <si>
    <t>+7 (964) 860-64-46, +7 (963) 127-55-68</t>
  </si>
  <si>
    <t xml:space="preserve">offis21@csk-technogroup.ru, kazan@csk-technogroup.ru, offis12@csk-technogroup.ru, kirov@csk-technogroup.ru, kama@csk-technogroup.ru  </t>
  </si>
  <si>
    <t>http://csk-technogroup.ru/</t>
  </si>
  <si>
    <t>Крепежные изделия, Магазин хозтоваров и бытовой химии, Строительный инструмент, Строительный магазин, Стройматериалы оптом</t>
  </si>
  <si>
    <t>пн-пт 08:00–18:00; сб,вс 08:00–14:00</t>
  </si>
  <si>
    <t>47.880396 56.626948</t>
  </si>
  <si>
    <t>Союз ломбардов</t>
  </si>
  <si>
    <t>8 (800) 100-05-09, 8 (800) 100-33-46</t>
  </si>
  <si>
    <t>+7 (927) 884-40-78</t>
  </si>
  <si>
    <t xml:space="preserve">info@lombardunion.com, vanov@mail.ru, ivanov@mail.ru, chumachenko@consultcentr.ru  </t>
  </si>
  <si>
    <t>http://www.lombard-union.ru/</t>
  </si>
  <si>
    <t>Автоломбард, Ломбард</t>
  </si>
  <si>
    <t>пн-чт 09:00–17:30, перерыв 12:30–13:00; пт 09:00–17:00, перерыв 12:30–13:00</t>
  </si>
  <si>
    <t>https://vk.com/lombard_union</t>
  </si>
  <si>
    <t>https://www.ok.ru/lombardunion</t>
  </si>
  <si>
    <t>47.871141 56.645896</t>
  </si>
  <si>
    <t>Домоффон</t>
  </si>
  <si>
    <t>ул. Строителей, 44А, Йошкар-Ола</t>
  </si>
  <si>
    <t>+7 (8362) 30-40-55</t>
  </si>
  <si>
    <t>+7 (902) 104-90-14</t>
  </si>
  <si>
    <t xml:space="preserve">8362@304055.ru </t>
  </si>
  <si>
    <t>http://домоффон.рф/</t>
  </si>
  <si>
    <t>Домофоны, Оптовый магазин, Системы безопасности и охраны</t>
  </si>
  <si>
    <t>пн-пт 09:00–18:00, перерыв 13:00–14:00; сб,вс 10:00–18:00, перерыв 13:00–14:00</t>
  </si>
  <si>
    <t>https://vk.com/club95829278</t>
  </si>
  <si>
    <t>47.8352 56.6352</t>
  </si>
  <si>
    <t>Стройкоммунналадка</t>
  </si>
  <si>
    <t>+7 (8362) 42-10-01, +7 (8362) 42-32-91</t>
  </si>
  <si>
    <t>Котлы и котельное оборудование, Теплоснабжение</t>
  </si>
  <si>
    <t>Национальный центр профессионально-общественной аккредитации</t>
  </si>
  <si>
    <t>ул. Волкова, 206А, Йошкар-Ола</t>
  </si>
  <si>
    <t>+7 (8362) 42-18-79, +7 (8362) 30-49-51</t>
  </si>
  <si>
    <t>+7 (927) 888-60-00</t>
  </si>
  <si>
    <t xml:space="preserve">accred@mail.ru, info@best-edu.ru  </t>
  </si>
  <si>
    <t>https://ncpa.ru/, https://best-edu.ru/</t>
  </si>
  <si>
    <t>Лицензирование, Экспертиза</t>
  </si>
  <si>
    <t>47.889026 56.62698</t>
  </si>
  <si>
    <t>НПК Эколог</t>
  </si>
  <si>
    <t>пер. Лёни Голикова, 9, Йошкар-Ола</t>
  </si>
  <si>
    <t>+7 (8362) 74-18-07</t>
  </si>
  <si>
    <t>47.904225 56.617279</t>
  </si>
  <si>
    <t>Домоуправление № 12</t>
  </si>
  <si>
    <t>+7 (8362) 73-04-10, +7 (8362) 73-33-34, +7 (8362) 73-13-98, +7 (8362) 73-10-51, +7 (8362) 73-40-44, +7 (8362) 73-48-22</t>
  </si>
  <si>
    <t xml:space="preserve">oao-zavod@mail.ru  </t>
  </si>
  <si>
    <t>http://ooodu12.ru/</t>
  </si>
  <si>
    <t>47.844451 56.636198</t>
  </si>
  <si>
    <t>Марийский кооперативный техникум</t>
  </si>
  <si>
    <t>ул. Лобачевского, 1, Йошкар-Ола</t>
  </si>
  <si>
    <t>47.878409 56.631912</t>
  </si>
  <si>
    <t>Всероссийское общество глухих</t>
  </si>
  <si>
    <t>+7 (8362) 42-58-74</t>
  </si>
  <si>
    <t xml:space="preserve">secretariat@voginfo.ru, p.2640021@yandex.ru, admin@voginfo.ru  </t>
  </si>
  <si>
    <t>http://voginfo.ru/</t>
  </si>
  <si>
    <t>https://vk.com/voginfo</t>
  </si>
  <si>
    <t>https://twitter.com/voginfo</t>
  </si>
  <si>
    <t>https://www.facebook.com/voginfo</t>
  </si>
  <si>
    <t>https://www.instagram.com/voginfo</t>
  </si>
  <si>
    <t>47.887479 56.643033</t>
  </si>
  <si>
    <t>Золотая роза</t>
  </si>
  <si>
    <t>Красноармейская ул., 110, Йошкар-Ола</t>
  </si>
  <si>
    <t>+7 (8362) 64-57-57</t>
  </si>
  <si>
    <t>http://vk.com/club62730746</t>
  </si>
  <si>
    <t>47.860442 56.645927</t>
  </si>
  <si>
    <t>Мир окон Марий Эл</t>
  </si>
  <si>
    <t>+7 (8362) 33-86-06</t>
  </si>
  <si>
    <t>https://oknamari.ru/</t>
  </si>
  <si>
    <t>Двери, Окна, Остекление балконов и лоджий</t>
  </si>
  <si>
    <t>https://vk.com/oknamari</t>
  </si>
  <si>
    <t>https://www.instagram.com/oknamari</t>
  </si>
  <si>
    <t>47.865238 56.646702</t>
  </si>
  <si>
    <t>+7 (8362) 45-69-97</t>
  </si>
  <si>
    <t>пн-пт 08:00–16:30; сб 08:00–13:00</t>
  </si>
  <si>
    <t>Теплоград</t>
  </si>
  <si>
    <t>ул. Кутрухина, 8, Йошкар-Ола</t>
  </si>
  <si>
    <t>+7 (8362) 45-52-21, +7 (8362) 23-18-88</t>
  </si>
  <si>
    <t>Напольные покрытия</t>
  </si>
  <si>
    <t>47.948486 56.627525</t>
  </si>
  <si>
    <t>Мета-Сервис</t>
  </si>
  <si>
    <t>+7 (8362) 41-78-75, +7 (8362) 41-79-26</t>
  </si>
  <si>
    <t>+7 (902) 102-44-07</t>
  </si>
  <si>
    <t xml:space="preserve">meta-center@mari-el.ru  </t>
  </si>
  <si>
    <t>https://metaservice12.ru/</t>
  </si>
  <si>
    <t>https://vk.com/metaservice12</t>
  </si>
  <si>
    <t>47.872302 56.651029</t>
  </si>
  <si>
    <t>ТСЦ Спецтехника</t>
  </si>
  <si>
    <t>+7 (8362) 42-13-90, +7 (8362) 42-92-70, +7 (8362) 97-87-77</t>
  </si>
  <si>
    <t xml:space="preserve">js@example.com </t>
  </si>
  <si>
    <t>http://spectech12.ru/</t>
  </si>
  <si>
    <t>Кассовые аппараты и расходные материалы, Торговое оборудование</t>
  </si>
  <si>
    <t>пн-сб 08:00–17:00</t>
  </si>
  <si>
    <t>47.882044 56.631152</t>
  </si>
  <si>
    <t>Дезцентр Рубеж</t>
  </si>
  <si>
    <t>+7 (8362) 43-03-77, +7 (8362) 32-03-57, 8 (800) 700-58-50</t>
  </si>
  <si>
    <t>+7 (927) 882-03-57</t>
  </si>
  <si>
    <t xml:space="preserve">rubeg705@rambler.ru  </t>
  </si>
  <si>
    <t>https://www.dezcentr-rubeg12.ru/</t>
  </si>
  <si>
    <t>https://vk.com/public_rubeg12</t>
  </si>
  <si>
    <t>https://www.instagram.com/dezcentr_rubeg/</t>
  </si>
  <si>
    <t>47.869015 56.642359</t>
  </si>
  <si>
    <t>Олимп</t>
  </si>
  <si>
    <t>ул. Петрова, 6, Йошкар-Ола</t>
  </si>
  <si>
    <t>+7 (8362) 21-82-26, +7 (8362) 21-52-00</t>
  </si>
  <si>
    <t>Спортивный инвентарь и оборудование, Спортивный магазин, Товары для рыбалки</t>
  </si>
  <si>
    <t>47.918238 56.630149</t>
  </si>
  <si>
    <t>Топ-Топ</t>
  </si>
  <si>
    <t>47.838405 56.641547</t>
  </si>
  <si>
    <t>Стазер</t>
  </si>
  <si>
    <t>ул. Тельмана, 56, Йошкар-Ола</t>
  </si>
  <si>
    <t>Средства защиты растений</t>
  </si>
  <si>
    <t>47.962248 56.644282</t>
  </si>
  <si>
    <t>Детский сад № 35 Подснежник</t>
  </si>
  <si>
    <t>ул. Осипенко, 37, Йошкар-Ола</t>
  </si>
  <si>
    <t>+7 (8362) 45-11-23</t>
  </si>
  <si>
    <t>http://edu.mari.ru/mouo-yoshkarola/dou35</t>
  </si>
  <si>
    <t>47.882127 56.646647</t>
  </si>
  <si>
    <t>ул. Ползунова, 25, Йошкар-Ола</t>
  </si>
  <si>
    <t>пн-пт 09:30–19:00; сб,вс 09:30–17:30</t>
  </si>
  <si>
    <t>47.859031 56.64297</t>
  </si>
  <si>
    <t>Космос</t>
  </si>
  <si>
    <t>47.887237 56.627669</t>
  </si>
  <si>
    <t>Илыш</t>
  </si>
  <si>
    <t>Кокшайский пр., 44Б, Йошкар-Ола</t>
  </si>
  <si>
    <t>+7 (8362) 41-45-20</t>
  </si>
  <si>
    <t xml:space="preserve">paneldoors@mail.ru  </t>
  </si>
  <si>
    <t>http://dveriilysh.ru/</t>
  </si>
  <si>
    <t>47.876611 56.610196</t>
  </si>
  <si>
    <t>Марийская Охота</t>
  </si>
  <si>
    <t>+7 (8362) 45-18-24</t>
  </si>
  <si>
    <t xml:space="preserve">admin@website.ru </t>
  </si>
  <si>
    <t>http://www.marioxota.ru/</t>
  </si>
  <si>
    <t>Оружие и средства самозащиты, Спортивный магазин, Средства индивидуальной защиты, Товары для отдыха и туризма, Товары для охоты</t>
  </si>
  <si>
    <t>http://vk.com/marihunting</t>
  </si>
  <si>
    <t>47.892713 56.638512</t>
  </si>
  <si>
    <t>ул. Героев Сталинградской Битвы, 17, Йошкар-Ола</t>
  </si>
  <si>
    <t>47.947443 56.629077</t>
  </si>
  <si>
    <t>Предприятие Технокомплект</t>
  </si>
  <si>
    <t>ул. Панфилова, 37А, Йошкар-Ола</t>
  </si>
  <si>
    <t>+7 (8362) 45-38-99, +7 (8362) 37-77-61</t>
  </si>
  <si>
    <t xml:space="preserve">tehnokomplekt12region@mail.ru  </t>
  </si>
  <si>
    <t>http://www.tehnokomplekt12reg.ru/</t>
  </si>
  <si>
    <t>Оборудование для ресторанов, Посуда оптом, Стеллажи, Торговое оборудование</t>
  </si>
  <si>
    <t>47.875375 56.62726</t>
  </si>
  <si>
    <t>Генетик</t>
  </si>
  <si>
    <t>+7 (8362) 64-13-63</t>
  </si>
  <si>
    <t>Животноводческое хозяйство, Сельскохозяйственное предприятие</t>
  </si>
  <si>
    <t>Детский сад № 41 Василинка</t>
  </si>
  <si>
    <t>ул. Рябинина, 13А, Йошкар-Ола</t>
  </si>
  <si>
    <t>+7 (8362) 42-92-28, +7 (8362) 72-06-62, +7 (36224) 2-92-28</t>
  </si>
  <si>
    <t xml:space="preserve">vasilinka41@mail.ru, uoa-yoshkar-ola@yandex.ru  </t>
  </si>
  <si>
    <t>http://edu.mari.ru/mouo-yoshkarola/dou41</t>
  </si>
  <si>
    <t>47.876352 56.637507</t>
  </si>
  <si>
    <t>Управление мелиорации земель и сельскохозяйственного водоснабжения по Республике Марий Эл</t>
  </si>
  <si>
    <t>+7 (8362) 42-14-87, +7 (8362) 41-54-36, +7 (8362) 42-52-80, +7 (8362) 42-14-94</t>
  </si>
  <si>
    <t>Мелиоративные работы</t>
  </si>
  <si>
    <t>47.886062 56.632095</t>
  </si>
  <si>
    <t>Отделение - Национальный банк по Республике Марий Эл Волго-Вятского главного управления Центрального банка Российской Федерации</t>
  </si>
  <si>
    <t>ул. Палантая, 67, Йошкар-Ола</t>
  </si>
  <si>
    <t>8 (800) 300-30-00, +7 (8362) 68-14-00, +7 (8362) 68-14-87, +7 (8362) 42-40-00, +7 (8362) 68-14-75</t>
  </si>
  <si>
    <t>+7 (8362) 68-14-27</t>
  </si>
  <si>
    <t xml:space="preserve">webmaster@www.cbr.ru  </t>
  </si>
  <si>
    <t>http://www.cbr.ru/, http://www.cbr.ru/mariel/contacts/</t>
  </si>
  <si>
    <t>https://vk.com/cbr_official</t>
  </si>
  <si>
    <t>https://twitter.com/bank_of_russia</t>
  </si>
  <si>
    <t>https://www.facebook.com/cbr.ru</t>
  </si>
  <si>
    <t>https://www.youtube.com/channel/UC9uayMAC_wWlEh96vCKq1Jw</t>
  </si>
  <si>
    <t>47.888313 56.632209</t>
  </si>
  <si>
    <t>Автодеталь</t>
  </si>
  <si>
    <t>+7 (8362) 38-00-88, +7 (8362) 76-25-28</t>
  </si>
  <si>
    <t>пн-пт 08:00–17:00; сб 08:00–12:00</t>
  </si>
  <si>
    <t>47.83 56.6296</t>
  </si>
  <si>
    <t>+7 (8362) 96-87-96, +7 (8362) 72-46-73</t>
  </si>
  <si>
    <t>Сашенька</t>
  </si>
  <si>
    <t>Кремлёвская ул., 34, Йошкар-Ола</t>
  </si>
  <si>
    <t>+7 (8362) 42-31-20</t>
  </si>
  <si>
    <t>Канцтовары оптом, Магазин ткани, Швейная фурнитура</t>
  </si>
  <si>
    <t>47.884797 56.640721</t>
  </si>
  <si>
    <t>Азурит</t>
  </si>
  <si>
    <t>+7 (8362) 64-15-10, +7 (8362) 32-10-07</t>
  </si>
  <si>
    <t xml:space="preserve">plaza12@mail.ru </t>
  </si>
  <si>
    <t>Бизнес Сервис</t>
  </si>
  <si>
    <t>ул. Зарубина, 20А, Йошкар-Ола</t>
  </si>
  <si>
    <t>+7 (8362) 45-70-07, +7 (8362) 41-06-34, +7 (8362) 46-01-51</t>
  </si>
  <si>
    <t>+7 (8362) 45-70-07</t>
  </si>
  <si>
    <t xml:space="preserve">457007@rambler.ru, info@reg.ru  </t>
  </si>
  <si>
    <t>http://www.ocenim-vse.ru/, http://avtoexpertiza12.ru/</t>
  </si>
  <si>
    <t>Автоэкспертиза, оценка автомобилей, Агентство недвижимости, Оценочная компания, Экспертиза, Юридические услуги</t>
  </si>
  <si>
    <t>https://vk.com/avtoexpertiza12</t>
  </si>
  <si>
    <t>47.879477 56.629517</t>
  </si>
  <si>
    <t>Автокооператив Нива</t>
  </si>
  <si>
    <t>Северная ул., 4, Йошкар-Ола</t>
  </si>
  <si>
    <t>+7 (8362) 64-56-29</t>
  </si>
  <si>
    <t>пн,ср,пт 13:00–17:00</t>
  </si>
  <si>
    <t>47.849312 56.660493</t>
  </si>
  <si>
    <t>Шинник</t>
  </si>
  <si>
    <t>47.909564 56.644641</t>
  </si>
  <si>
    <t>Новый стиль</t>
  </si>
  <si>
    <t>47.879863 56.633315</t>
  </si>
  <si>
    <t>Первомайская ул., 158, Йошкар-Ола</t>
  </si>
  <si>
    <t>+7 (8362) 77-22-02</t>
  </si>
  <si>
    <t xml:space="preserve">info@kord-optika.ru, example@email.com  </t>
  </si>
  <si>
    <t>https://hrustalik.kord-optika.ru/</t>
  </si>
  <si>
    <t>https://vk.com/kordoptika</t>
  </si>
  <si>
    <t>https://www.facebook.com/kordoptika</t>
  </si>
  <si>
    <t>https://www.instagram.com/kord_optika</t>
  </si>
  <si>
    <t>47.883034 56.632993</t>
  </si>
  <si>
    <t>Марийский национальный театр драмы имени М. Шкетана</t>
  </si>
  <si>
    <t>площадь имени В.И. Ленина, 2, Йошкар-Ола</t>
  </si>
  <si>
    <t>+7 (8362) 78-13-78, +7 (8362) 45-16-04, +7 (8362) 63-00-18, +7 (8362) 64-15-02</t>
  </si>
  <si>
    <t>+7 (8362) 63-00-18</t>
  </si>
  <si>
    <t xml:space="preserve">shketan@mail.ru, m.shketan@gmail.com  </t>
  </si>
  <si>
    <t>http://shketan.ru/</t>
  </si>
  <si>
    <t>Достопримечательность, Театр, Театрально-концертная касса</t>
  </si>
  <si>
    <t>https://vk.com/shketan</t>
  </si>
  <si>
    <t>https://ok.ru/shketan</t>
  </si>
  <si>
    <t>https://www.facebook.com/shketan.ru/</t>
  </si>
  <si>
    <t>https://www.instagram.com/shketan/</t>
  </si>
  <si>
    <t>47.891456 56.631653</t>
  </si>
  <si>
    <t>Ваяние</t>
  </si>
  <si>
    <t>ул. Строителей, 95Г, Йошкар-Ола</t>
  </si>
  <si>
    <t>+7 (8362) 65-07-01</t>
  </si>
  <si>
    <t xml:space="preserve">vayanie100@mail.ru </t>
  </si>
  <si>
    <t>47.865427 56.617492</t>
  </si>
  <si>
    <t>Подкогольная</t>
  </si>
  <si>
    <t>+7 (8362) 42-45-64, +7 (8362) 56-60-16, +7 (8362) 77-55-75</t>
  </si>
  <si>
    <t>47.892303 56.632205</t>
  </si>
  <si>
    <t>Лидер плюс</t>
  </si>
  <si>
    <t>+7 (8362) 46-37-56</t>
  </si>
  <si>
    <t>Ваш бутик</t>
  </si>
  <si>
    <t>+7 (8362) 45-53-18</t>
  </si>
  <si>
    <t>Бюро путешествий Южный Берег</t>
  </si>
  <si>
    <t>+7 (8362) 64-20-20</t>
  </si>
  <si>
    <t xml:space="preserve">bereg-mari@mail.ru  </t>
  </si>
  <si>
    <t>https://travelub.ru/</t>
  </si>
  <si>
    <t>Турагентство, Туроператор</t>
  </si>
  <si>
    <t>https://vk.com/ubtravel</t>
  </si>
  <si>
    <t>Центр по Трудовой Реабилитации Инвалидов</t>
  </si>
  <si>
    <t>+7 (8362) 42-19-00</t>
  </si>
  <si>
    <t>http://kl6253.polzdr.ru/</t>
  </si>
  <si>
    <t>Медицинская реабилитация</t>
  </si>
  <si>
    <t>Детский сад № 17 Ивушка</t>
  </si>
  <si>
    <t>ул. Димитрова, 60А, Йошкар-Ола</t>
  </si>
  <si>
    <t>+7 (8362) 55-61-87, +7 (8362) 46-45-96</t>
  </si>
  <si>
    <t xml:space="preserve">vushka-17@mail.ru, uoa-yoshkar-ola@yandex.ru  </t>
  </si>
  <si>
    <t>http://edu.mari.ru/mouo-yoshkarola/dou17</t>
  </si>
  <si>
    <t>47.848725 56.64495</t>
  </si>
  <si>
    <t>Айболит</t>
  </si>
  <si>
    <t>+7 (8362) 41-69-54</t>
  </si>
  <si>
    <t>пн-пт 07:30–20:00; сб 08:00–18:00; вс 08:00–17:00</t>
  </si>
  <si>
    <t>47.88149 56.632081</t>
  </si>
  <si>
    <t>Aptech</t>
  </si>
  <si>
    <t>Кремлёвская ул., 44, Йошкар-Ола</t>
  </si>
  <si>
    <t>+7 (8362) 45-43-12, +7 (8362) 42-16-88</t>
  </si>
  <si>
    <t>Курсы и мастер-классы, Центр повышения квалификации</t>
  </si>
  <si>
    <t>пн-пт 08:00–20:00</t>
  </si>
  <si>
    <t>47.880833 56.642134</t>
  </si>
  <si>
    <t>Банк Открытие</t>
  </si>
  <si>
    <t>Пролетарская ул., 14, Йошкар-Ола</t>
  </si>
  <si>
    <t>8 (800) 444-44-00, 8 (800) 500-37-10</t>
  </si>
  <si>
    <t xml:space="preserve">info@open.ru, otkritie@otkritie.ru, pr@open.ru, lifestyle@qrussia.com  </t>
  </si>
  <si>
    <t>https://www.open.ru/</t>
  </si>
  <si>
    <t>Банк, Обмен валюты</t>
  </si>
  <si>
    <t>https://vk.com/otkritiecorp</t>
  </si>
  <si>
    <t>https://twitter.com/otkritie</t>
  </si>
  <si>
    <t>https://www.facebook.com/otkritie</t>
  </si>
  <si>
    <t>https://www.youtube.com/user/otkritiebank</t>
  </si>
  <si>
    <t>https://www.instagram.com/open.bank/</t>
  </si>
  <si>
    <t>47.897686 56.644797</t>
  </si>
  <si>
    <t>ТехТоргСнаб</t>
  </si>
  <si>
    <t>ул. Карла Маркса, 131, корп. 3, Йошкар-Ола</t>
  </si>
  <si>
    <t>+7 (8362) 41-01-79, +7 (8362) 33-62-02, +7 (8362) 34-45-67</t>
  </si>
  <si>
    <t>+7 (927) 682-87-26</t>
  </si>
  <si>
    <t>+7 (8362) 74-12-13</t>
  </si>
  <si>
    <t xml:space="preserve">ttsn@bk.ru  </t>
  </si>
  <si>
    <t>http://tehtorgsnab.ru/</t>
  </si>
  <si>
    <t>Торговое оборудование</t>
  </si>
  <si>
    <t>47.883439 56.615025</t>
  </si>
  <si>
    <t>+7 (8362) 68-31-66</t>
  </si>
  <si>
    <t>+7 (8362) 42-13-35</t>
  </si>
  <si>
    <t>Машиностроительный завод, Металлоизделия, Металлообработка</t>
  </si>
  <si>
    <t>пн-пт 07:30–16:30</t>
  </si>
  <si>
    <t>47.866928 56.633902</t>
  </si>
  <si>
    <t>Учебно-методический центр</t>
  </si>
  <si>
    <t>+7 (8362) 55-62-13</t>
  </si>
  <si>
    <t>47.879852 56.63324</t>
  </si>
  <si>
    <t>Тополь-М</t>
  </si>
  <si>
    <t>+7 (917) 704-28-46</t>
  </si>
  <si>
    <t>Двери, Деревообрабатывающее предприятие</t>
  </si>
  <si>
    <t>47.88488 56.634051</t>
  </si>
  <si>
    <t>Стоматология Поволжье</t>
  </si>
  <si>
    <t>+7 (927) 879-50-22</t>
  </si>
  <si>
    <t xml:space="preserve">povolje12@mail.ru </t>
  </si>
  <si>
    <t>http://povolje12.ru/</t>
  </si>
  <si>
    <t>Зуботехническая лаборатория, Стоматологическая клиника, Стоматологическая поликлиника</t>
  </si>
  <si>
    <t>пн-пт 08:00–19:30; сб 09:00–19:30</t>
  </si>
  <si>
    <t>http://vk.com/povolje12</t>
  </si>
  <si>
    <t>https://www.instagram.com/povolje_12/</t>
  </si>
  <si>
    <t>47.873705 56.647024</t>
  </si>
  <si>
    <t>Россия, Республика Марий Эл, Йошкар-Ола, улица Мышино</t>
  </si>
  <si>
    <t>+7 (8362) 98-34-56</t>
  </si>
  <si>
    <t>+7 (902) 358-34-56, +7 (929) 734-68-34</t>
  </si>
  <si>
    <t xml:space="preserve">info@leowing.ru </t>
  </si>
  <si>
    <t>http://lipa-mari.ru/</t>
  </si>
  <si>
    <t>47.827946 56.656727</t>
  </si>
  <si>
    <t>Студия мебели Браво</t>
  </si>
  <si>
    <t>ул. Волкова, 198А, Йошкар-Ола</t>
  </si>
  <si>
    <t>+7 (8362) 45-69-57, +7 (8362) 45-70-72, +7 (8362) 45-31-92, +7 (8362) 38-32-28</t>
  </si>
  <si>
    <t xml:space="preserve">bravo2@mail.ru </t>
  </si>
  <si>
    <t>http://kuhni-bravo.ru/</t>
  </si>
  <si>
    <t>Корпусная мебель, Магазин мебели, Мебель для кухни, Мебель на заказ</t>
  </si>
  <si>
    <t>пн-пт 10:00–19:00; сб 10:00–17:00</t>
  </si>
  <si>
    <t>47.889446 56.629335</t>
  </si>
  <si>
    <t>Девяточка</t>
  </si>
  <si>
    <t>+7 (8362) 63-75-31</t>
  </si>
  <si>
    <t>47.828857 56.639585</t>
  </si>
  <si>
    <t>Горизонт</t>
  </si>
  <si>
    <t>+7 (8362) 21-21-54, +7 (8362) 32-50-80, +7 (8362) 24-16-80, +7 (8362) 55-03-50</t>
  </si>
  <si>
    <t>+7 (927) 873-34-74</t>
  </si>
  <si>
    <t xml:space="preserve">avt.gorizont@yandex.ru </t>
  </si>
  <si>
    <t>http://gorizont12.ru/</t>
  </si>
  <si>
    <t>Автошкола</t>
  </si>
  <si>
    <t>пн-пт 08:30–18:00</t>
  </si>
  <si>
    <t>47.913642 56.62719</t>
  </si>
  <si>
    <t>Таможня Республики Марий Эл</t>
  </si>
  <si>
    <t>Таможенный брокер</t>
  </si>
  <si>
    <t>Градиент-Дилер</t>
  </si>
  <si>
    <t>+7 (8362) 41-92-91</t>
  </si>
  <si>
    <t>АУ УСС Республики Марий Эл</t>
  </si>
  <si>
    <t>ул. Карла Маркса, 105А, Йошкар-Ола</t>
  </si>
  <si>
    <t>+7 (8362) 42-94-04, +7 (8362) 42-02-56, +7 (8362) 42-99-10</t>
  </si>
  <si>
    <t xml:space="preserve">megaticc@gmail.com  </t>
  </si>
  <si>
    <t>http://minsport-mari.ru/</t>
  </si>
  <si>
    <t>Спортивные организации</t>
  </si>
  <si>
    <t>Спортивное объединение</t>
  </si>
  <si>
    <t>47.894982 56.624336</t>
  </si>
  <si>
    <t>Фирма Ракурс</t>
  </si>
  <si>
    <t>Коммунальник</t>
  </si>
  <si>
    <t>ул. Луначарского, 41, Йошкар-Ола</t>
  </si>
  <si>
    <t>+7 (8362) 74-20-33, +7 (8362) 74-21-73</t>
  </si>
  <si>
    <t>47.914826 56.614173</t>
  </si>
  <si>
    <t>Луч здоровья</t>
  </si>
  <si>
    <t>просп. Гагарина, 17, Йошкар-Ола</t>
  </si>
  <si>
    <t>+7 (8362) 34-75-84, +7 (8362) 32-13-42, +7 (8362) 32-11-85, +7 (8362) 32-18-62, +7 (8362) 47-73-73, +7 (8362) 33-30-63, +7 (8362) 41-63-63, +7 (8362) 46-73-73</t>
  </si>
  <si>
    <t>http://lzmed.ru/</t>
  </si>
  <si>
    <t>Гинекологическая клиника, Медцентр, клиника</t>
  </si>
  <si>
    <t>пн-пт 08:00–20:00; сб 08:00–13:00</t>
  </si>
  <si>
    <t>https://vk.com/lzmed</t>
  </si>
  <si>
    <t>http://www.odnoklassniki.ru/group/52397555777608</t>
  </si>
  <si>
    <t>47.886227 56.626246</t>
  </si>
  <si>
    <t>Управление по хозяйственному обслуживанию Республиканского совета профсоюзов</t>
  </si>
  <si>
    <t>+7 (8362) 73-15-75, +7 (8362) 73-82-41</t>
  </si>
  <si>
    <t>Марагрострой</t>
  </si>
  <si>
    <t>+7 (8362) 45-53-50</t>
  </si>
  <si>
    <t>Агентство недвижимости, Продажа и аренда коммерческой недвижимости, Строительная компания</t>
  </si>
  <si>
    <t>47.895215 56.629897</t>
  </si>
  <si>
    <t>Сувенир фирма ГУП</t>
  </si>
  <si>
    <t>ул. Якова Эшпая, 150, Йошкар-Ола</t>
  </si>
  <si>
    <t>+7 (8362) 41-75-08</t>
  </si>
  <si>
    <t>Кондитерские изделия оптом, Хлебозавод</t>
  </si>
  <si>
    <t>47.88274 56.639724</t>
  </si>
  <si>
    <t>Мебель 12</t>
  </si>
  <si>
    <t>+7 (8362) 42-32-61, +7 (8362) 39-04-00</t>
  </si>
  <si>
    <t>Корпусная мебель, Мебель для кухни, Мебель для офиса, Окна</t>
  </si>
  <si>
    <t>пн-пт 08:00–17:00, перерыв 12:00–13:00; сб 09:00–14:00</t>
  </si>
  <si>
    <t>47.907406 56.615095</t>
  </si>
  <si>
    <t>Жираф</t>
  </si>
  <si>
    <t>+7 (8362) 41-35-75</t>
  </si>
  <si>
    <t xml:space="preserve">tuttif.rutti@yandex.ru  </t>
  </si>
  <si>
    <t>http://жираф12.com/</t>
  </si>
  <si>
    <t>https://vk.com/cafegiraf</t>
  </si>
  <si>
    <t>47.892154 56.63221</t>
  </si>
  <si>
    <t>Лицей Бауманский</t>
  </si>
  <si>
    <t>ул. Машиностроителей, 44А, Йошкар-Ола</t>
  </si>
  <si>
    <t>+7 (8362) 38-55-55, +7 (8362) 38-60-60</t>
  </si>
  <si>
    <t xml:space="preserve">priem@volgatech.net, lb@my18.ru, 62@my18.ru, m.tirtishnia@my18.ru, s.ulyanova@my18.ru  </t>
  </si>
  <si>
    <t>http://my18.ru/</t>
  </si>
  <si>
    <t>Лицей</t>
  </si>
  <si>
    <t>http://vk.com/baumansky</t>
  </si>
  <si>
    <t>https://twitter.com/dobrograd</t>
  </si>
  <si>
    <t>https://www.youtube.com/user/baumansky</t>
  </si>
  <si>
    <t>http://instagram.com/dobrograd_12</t>
  </si>
  <si>
    <t>47.85066 56.632036</t>
  </si>
  <si>
    <t>РМЭ Стоматологическая поликлиника</t>
  </si>
  <si>
    <t>ул. Героев Сталинградской Битвы, 36, Йошкар-Ола</t>
  </si>
  <si>
    <t>+7 (8362) 22-81-11, +7 (8362) 64-69-77</t>
  </si>
  <si>
    <t>http://s1645.polizd.ru/</t>
  </si>
  <si>
    <t>Стоматологическая поликлиника</t>
  </si>
  <si>
    <t>47.945424 56.62359</t>
  </si>
  <si>
    <t>Трин ПКФ</t>
  </si>
  <si>
    <t>Продукты питания оптом, Производство продуктов питания</t>
  </si>
  <si>
    <t>Энко</t>
  </si>
  <si>
    <t>+7 (8362) 64-04-71</t>
  </si>
  <si>
    <t>47.834954 56.632075</t>
  </si>
  <si>
    <t>Даниловские двери</t>
  </si>
  <si>
    <t>+7 (8362) 64-79-59</t>
  </si>
  <si>
    <t>+7 (927) 684-25-15</t>
  </si>
  <si>
    <t xml:space="preserve">danildoors@yandex.ru  </t>
  </si>
  <si>
    <t>http://www.dandoors.ru/</t>
  </si>
  <si>
    <t>Двери, Деревообрабатывающее предприятие, Строительный магазин</t>
  </si>
  <si>
    <t>ЧОП Антей</t>
  </si>
  <si>
    <t>+7 (8362) 45-53-29</t>
  </si>
  <si>
    <t>+7 (902) 432-70-85</t>
  </si>
  <si>
    <t xml:space="preserve">antey2009@mail.ru  </t>
  </si>
  <si>
    <t>http://antey12.ru/, http://op-antei.narod.ru/</t>
  </si>
  <si>
    <t>Ленинский просп., 12, Йошкар-Ола</t>
  </si>
  <si>
    <t>+7 (905) 008-97-22</t>
  </si>
  <si>
    <t>47.919632 56.626767</t>
  </si>
  <si>
    <t>Полимер</t>
  </si>
  <si>
    <t>+7 (8362) 65-42-10</t>
  </si>
  <si>
    <t>+7 (929) 732-00-90</t>
  </si>
  <si>
    <t>Предприятие Кант</t>
  </si>
  <si>
    <t>ул. Тургенева, 7, Йошкар-Ола</t>
  </si>
  <si>
    <t>+7 (8362) 72-59-19, +7 (8362) 72-61-66</t>
  </si>
  <si>
    <t>+7 (927) 680-68-05</t>
  </si>
  <si>
    <t xml:space="preserve">kant@yolamail.ru  </t>
  </si>
  <si>
    <t>https://kant-ltd.ru/</t>
  </si>
  <si>
    <t>Насосы, насосное оборудование, Нефтегазовое оборудование, Производственное предприятие</t>
  </si>
  <si>
    <t>пн-пт 07:00–16:00, перерыв 12:00–13:00</t>
  </si>
  <si>
    <t>47.868193 56.621192</t>
  </si>
  <si>
    <t>Музей истории города Йошкар-Олы</t>
  </si>
  <si>
    <t>8 (800) 222-11-05, +7 (8362) 42-36-32, +7 (8362) 42-43-84, +7 (36224) 2-36-32, +7 (36224) 2-43-84</t>
  </si>
  <si>
    <t>вт-пт 09:00–17:00; сб,вс 10:00–16:00</t>
  </si>
  <si>
    <t>47.902453 56.638022</t>
  </si>
  <si>
    <t>Реестр</t>
  </si>
  <si>
    <t>+7 (8362) 21-10-33</t>
  </si>
  <si>
    <t xml:space="preserve">reestr@aoreestr.ru  </t>
  </si>
  <si>
    <t>https://www.aoreestr.ru/, http://www.aoreestr.ru/about/filials/joshkar-ola</t>
  </si>
  <si>
    <t>Депозитарии и реестродержатели</t>
  </si>
  <si>
    <t>пн-чт 10:00–16:00</t>
  </si>
  <si>
    <t>https://www.facebook.com/aoreestr/</t>
  </si>
  <si>
    <t>47.910181 56.634209</t>
  </si>
  <si>
    <t>Путевочки</t>
  </si>
  <si>
    <t>Ленинский просп., 24В, Йошкар-Ола</t>
  </si>
  <si>
    <t>+7 (8362) 45-31-70, +7 (8362) 33-54-75, +7 (8362) 35-25-35</t>
  </si>
  <si>
    <t>+7 (8362) 45-31-70</t>
  </si>
  <si>
    <t>пн-пт 10:00–18:30; сб 10:00–15:00</t>
  </si>
  <si>
    <t>47.887666 56.631755</t>
  </si>
  <si>
    <t>Мебельная фабрика OtherLife И. П. Ляшук И. П.</t>
  </si>
  <si>
    <t>ул. Суворова, 19Б, Йошкар-Ола</t>
  </si>
  <si>
    <t>8 (804) 333-68-69</t>
  </si>
  <si>
    <t xml:space="preserve">info@otherlife.su, info@modelent.ru  </t>
  </si>
  <si>
    <t>http://otherlife.su/, http://yoshkar-ola.otherlife.su/</t>
  </si>
  <si>
    <t>Магазин мебели, Мебельная фабрика, Мягкая мебель</t>
  </si>
  <si>
    <t>47.859148 56.639664</t>
  </si>
  <si>
    <t>Евросвет</t>
  </si>
  <si>
    <t>+7 (8362) 63-42-85, +7 (8362) 63-42-80</t>
  </si>
  <si>
    <t xml:space="preserve">info@evrosvet12.ru, evstorg@mail.ru, bolder699@mail.ru </t>
  </si>
  <si>
    <t>Светильники, Шторы, карнизы</t>
  </si>
  <si>
    <t>https://vk.com/evrosvet12</t>
  </si>
  <si>
    <t>47.860179 56.645199</t>
  </si>
  <si>
    <t>Строитель</t>
  </si>
  <si>
    <t>ул. Волкова, 89, Йошкар-Ола</t>
  </si>
  <si>
    <t>+7 (8362) 46-04-50</t>
  </si>
  <si>
    <t xml:space="preserve">kelena12@yandex.ru  </t>
  </si>
  <si>
    <t>Спортивный клуб, секция, Спортивный комплекс, Фитнес-клуб</t>
  </si>
  <si>
    <t>пн-пт 08:00–21:30; сб 09:00–20:00; вс 09:00–18:00</t>
  </si>
  <si>
    <t>https://vk.com/club31983749</t>
  </si>
  <si>
    <t>47.899421 56.641144</t>
  </si>
  <si>
    <t>Все для сварки</t>
  </si>
  <si>
    <t>ул. Карла Маркса, 133, Йошкар-Ола</t>
  </si>
  <si>
    <t>+7 (8362) 91-58-48, +7 (8362) 36-11-16, +7 (8362) 25-22-55</t>
  </si>
  <si>
    <t xml:space="preserve">info@svarka12.ru, svarka12@bk.ru, svarka212@bk.ru  </t>
  </si>
  <si>
    <t>https://svarka12.ru/</t>
  </si>
  <si>
    <t>Сварочное оборудование</t>
  </si>
  <si>
    <t>Сварочное оборудование и материалы</t>
  </si>
  <si>
    <t>47.881687 56.611384</t>
  </si>
  <si>
    <t>НОЧУ ДПО Уиц КОМПиЯ</t>
  </si>
  <si>
    <t>8 (800) 555-42-10, +7 (8362) 63-48-00, +7 (8362) 63-48-08, +7 (8362) 30-44-62</t>
  </si>
  <si>
    <t xml:space="preserve">info@kompia.ru, info@kompia.com, my@example.com  </t>
  </si>
  <si>
    <t>http://www.kompia.com/, https://kompia.ru/</t>
  </si>
  <si>
    <t>Дополнительное образование, Компьютерные курсы, Центр повышения квалификации</t>
  </si>
  <si>
    <t>https://vk.com/club183590322</t>
  </si>
  <si>
    <t>https://ok.ru/group/55992201183239</t>
  </si>
  <si>
    <t>https://www.youtube.com/channel/UCVtVyVhOcqPkkEe5xzdp0nQ</t>
  </si>
  <si>
    <t>47.828976 56.639613</t>
  </si>
  <si>
    <t>Папиллон</t>
  </si>
  <si>
    <t>ул. Карла Маркса, 126, Йошкар-Ола</t>
  </si>
  <si>
    <t>+7 (8362) 23-04-34</t>
  </si>
  <si>
    <t>Магазин мебели, Шторы, карнизы</t>
  </si>
  <si>
    <t>пн-пт 10:00–19:00, перерыв 13:30–14:00; сб 10:00–17:00, перерыв 13:30–14:00</t>
  </si>
  <si>
    <t>47.892142 56.624912</t>
  </si>
  <si>
    <t>Жэук Южная</t>
  </si>
  <si>
    <t>ул. Карла Маркса, 119, Йошкар-Ола</t>
  </si>
  <si>
    <t>+7 (8362) 45-70-87, +7 (8362) 45-67-96, +7 (8362) 23-26-99</t>
  </si>
  <si>
    <t>+7 (8362) 45-72-97</t>
  </si>
  <si>
    <t xml:space="preserve">jeuk@oaosouth.ru  </t>
  </si>
  <si>
    <t>http://jeuk.oaosouth.ru/</t>
  </si>
  <si>
    <t>47.887122 56.620243</t>
  </si>
  <si>
    <t>Пятая Власть журнал</t>
  </si>
  <si>
    <t>ул. Луначарского, 67, Йошкар-Ола</t>
  </si>
  <si>
    <t>КПК Климат</t>
  </si>
  <si>
    <t>+7 (8362) 45-32-28, +7 (8362) 42-19-23</t>
  </si>
  <si>
    <t>+7 (963) 127-44-44</t>
  </si>
  <si>
    <t xml:space="preserve">info@kpk-klimat.ru, director@kpk-klimat.ru, kulalaev@kpk-klimat.ru, engineer@kpk-klimat.ru, pto@kpk-klimat.ru, buhgalter@kpk-klimat.ru </t>
  </si>
  <si>
    <t>http://www.kpk-klimat.ru/, https://t.me/79631274444</t>
  </si>
  <si>
    <t>Кондиционеры, Отопительное оборудование и системы, Системы вентиляции</t>
  </si>
  <si>
    <t>https://www.facebook.com/kpk.klimat</t>
  </si>
  <si>
    <t>https://www.instagram.com/kpk.klimat</t>
  </si>
  <si>
    <t>47.869912 56.61096</t>
  </si>
  <si>
    <t>UBA-records</t>
  </si>
  <si>
    <t>+7 (8362) 99-51-03</t>
  </si>
  <si>
    <t>Звуковое и световое оборудование, Студия звукозаписи</t>
  </si>
  <si>
    <t>https://vk.com/ubarecords12</t>
  </si>
  <si>
    <t>47.896582 56.63278</t>
  </si>
  <si>
    <t>Садоводческое товарищество Мир</t>
  </si>
  <si>
    <t>Ленинградская ул., 1, Йошкар-Ола</t>
  </si>
  <si>
    <t>+7 (8362) 64-35-92</t>
  </si>
  <si>
    <t>ежедневно, 08:00–14:00</t>
  </si>
  <si>
    <t>47.978696 56.63329</t>
  </si>
  <si>
    <t>Нефертити</t>
  </si>
  <si>
    <t>ул. Якова Эшпая, 156А, Йошкар-Ола</t>
  </si>
  <si>
    <t>+7 (8362) 50-48-48</t>
  </si>
  <si>
    <t>+7 (964) 860-48-48, +7 (964) 861-88-77</t>
  </si>
  <si>
    <t>Салон красоты, СПА-салон</t>
  </si>
  <si>
    <t>вс 08:00–20:00</t>
  </si>
  <si>
    <t>http://vk.com/club54607372</t>
  </si>
  <si>
    <t>47.880865 56.636798</t>
  </si>
  <si>
    <t>Луч</t>
  </si>
  <si>
    <t>+7 (8362) 45-88-03, +7 (8362) 61-06-15</t>
  </si>
  <si>
    <t xml:space="preserve">458803@rambler.ru  </t>
  </si>
  <si>
    <t>http://luch.pro/</t>
  </si>
  <si>
    <t>https://vk.com/club10669184</t>
  </si>
  <si>
    <t>http://instagram.com/avtoluch12</t>
  </si>
  <si>
    <t>47.890734 56.639897</t>
  </si>
  <si>
    <t>Линия защиты</t>
  </si>
  <si>
    <t>+7 (8362) 34-65-36, +7 (8362) 94-05-55</t>
  </si>
  <si>
    <t>Страховая компания, Юридические услуги</t>
  </si>
  <si>
    <t>47.8909 56.6257</t>
  </si>
  <si>
    <t>Баня № 4</t>
  </si>
  <si>
    <t>ул. Героев Сталинградской Битвы, 10, Йошкар-Ола</t>
  </si>
  <si>
    <t>+7 (8362) 64-25-36</t>
  </si>
  <si>
    <t>47.946835 56.629941</t>
  </si>
  <si>
    <t>Глория</t>
  </si>
  <si>
    <t>Кремлёвская ул., 25, Йошкар-Ола</t>
  </si>
  <si>
    <t>+7 (8362) 45-77-89</t>
  </si>
  <si>
    <t>http://kl6212.polzdr.ru/</t>
  </si>
  <si>
    <t>пн-пт 09:00–19:00, перерыв 12:00–13:00</t>
  </si>
  <si>
    <t>47.887244 56.63978</t>
  </si>
  <si>
    <t>Окна фаворит</t>
  </si>
  <si>
    <t>+7 (8362) 31-03-53, +7 (8362) 30-40-57, +7 (8362) 31-03-25</t>
  </si>
  <si>
    <t>47.875668 56.637441</t>
  </si>
  <si>
    <t>Завод Контакт</t>
  </si>
  <si>
    <t>+7 (8362) 45-27-90, +7 (8362) 68-86-52, +7 (8362) 68-86-21, +7 (8362) 64-15-88, +7 (8362) 68-86-71, +7 (8362) 68-86-36</t>
  </si>
  <si>
    <t>+7 (8362) 64-14-73</t>
  </si>
  <si>
    <t xml:space="preserve">admin@website.ru, tnp@zavod-kontakt.ru, kontakt@mari-el.ru, rezistor@zavod-kontakt.ru, zavod@mariholod.com </t>
  </si>
  <si>
    <t>http://zavod-kontakt.ru/</t>
  </si>
  <si>
    <t>Аккумуляторы и зарядные устройства, Машиностроительный завод, Торговое оборудование, Хозтовары оптом</t>
  </si>
  <si>
    <t>пн-пт 08:00–16:45, перерыв 12:30–13:15</t>
  </si>
  <si>
    <t>47.8814 56.611424</t>
  </si>
  <si>
    <t>Киоск парфюмерии и косметики</t>
  </si>
  <si>
    <t>+7 (917) 703-28-89</t>
  </si>
  <si>
    <t>пн-пт 09:30–19:00; сб,вс 09:00–18:00</t>
  </si>
  <si>
    <t>Мечта невесты</t>
  </si>
  <si>
    <t>+7 (8362) 43-00-88</t>
  </si>
  <si>
    <t>+7 (927) 870-64-48</t>
  </si>
  <si>
    <t>Салон вечерней одежды, Свадебный салон</t>
  </si>
  <si>
    <t>https://vk.com/mn_12</t>
  </si>
  <si>
    <t>47.894329 56.640614</t>
  </si>
  <si>
    <t>Вторресурсы</t>
  </si>
  <si>
    <t>ул. Гончарова, 39, Йошкар-Ола</t>
  </si>
  <si>
    <t>+7 (8362) 45-16-81</t>
  </si>
  <si>
    <t>47.8815 56.6171</t>
  </si>
  <si>
    <t>Интернет-портал Мой город</t>
  </si>
  <si>
    <t>+7 (8362) 29-02-90</t>
  </si>
  <si>
    <t>пн-пт 09:30–18:30</t>
  </si>
  <si>
    <t>Фрау Мюллер</t>
  </si>
  <si>
    <t>Ленинский просп., 6, Йошкар-Ола</t>
  </si>
  <si>
    <t>+7 (8362) 51-33-30, +7 (8362) 50-10-03, +7 (8362) 38-00-58</t>
  </si>
  <si>
    <t xml:space="preserve">nataly-bo@yandex.ru  </t>
  </si>
  <si>
    <t>http://mullerhall.ru/</t>
  </si>
  <si>
    <t>Бильярдный клуб, Боулинг-клуб, Кафе, Развлекательный центр, Ресторан</t>
  </si>
  <si>
    <t>вт-чт 18:00–00:00; пт 18:00–03:00; сб,вс 12:00–03:00</t>
  </si>
  <si>
    <t>https://vk.com/mullerhall_12</t>
  </si>
  <si>
    <t>http://instagram.com/mullerhall</t>
  </si>
  <si>
    <t>47.929308 56.625158</t>
  </si>
  <si>
    <t>Совет Профсоюзов Республиканский</t>
  </si>
  <si>
    <t>+7 (8362) 55-63-90</t>
  </si>
  <si>
    <t>Oriflame</t>
  </si>
  <si>
    <t>8 (800) 770-88-88, +7 (8362) 62-91-10</t>
  </si>
  <si>
    <t>+7 (917) 701-57-55, +7 (902) 102-91-10</t>
  </si>
  <si>
    <t xml:space="preserve">moderator@oriflame.com, bulatov.89@list.ru  </t>
  </si>
  <si>
    <t>http://www.oriflame.ru/</t>
  </si>
  <si>
    <t>пн-пт 12:00–19:00; сб 13:00–16:00</t>
  </si>
  <si>
    <t>https://vk.com/ru_oriflame</t>
  </si>
  <si>
    <t>https://twitter.com/@oriflamerussia</t>
  </si>
  <si>
    <t>http://facebook.com/oriflamerussiaofficial</t>
  </si>
  <si>
    <t>https://www.youtube.com/user/OriflameCommunityRu</t>
  </si>
  <si>
    <t>http://instagram.com/oriflame_ru</t>
  </si>
  <si>
    <t>47.887569 56.629609</t>
  </si>
  <si>
    <t>Vitesse</t>
  </si>
  <si>
    <t>+7 (987) 718-75-86, +7 (917) 706-52-75</t>
  </si>
  <si>
    <t>Магазин посуды, Посуда оптом, Светильники</t>
  </si>
  <si>
    <t>пн-пт 09:30–18:30; сб 10:00–18:00; вс 10:00–17:00</t>
  </si>
  <si>
    <t>47.895173 56.639881</t>
  </si>
  <si>
    <t>+7 (8362) 72-30-20</t>
  </si>
  <si>
    <t>Родина РСУ</t>
  </si>
  <si>
    <t>+7 (8362) 55-06-96</t>
  </si>
  <si>
    <t>Gran Mobili</t>
  </si>
  <si>
    <t>+7 (8362) 38-32-28</t>
  </si>
  <si>
    <t xml:space="preserve">info@granmobili.ru  </t>
  </si>
  <si>
    <t>http://granmobili.ru/</t>
  </si>
  <si>
    <t>Дизайн интерьеров, Мебель для кухни, Мебель на заказ</t>
  </si>
  <si>
    <t>Антенна-Телесемь</t>
  </si>
  <si>
    <t>+7 (8362) 73-71-88</t>
  </si>
  <si>
    <t>+7 (927) 876-21-21</t>
  </si>
  <si>
    <t xml:space="preserve">olgrishina@hsmedia.ru  </t>
  </si>
  <si>
    <t>http://www.antenna-telesem.ru/, http://www.telesem.ru/</t>
  </si>
  <si>
    <t>https://vk.com/antennatelesem</t>
  </si>
  <si>
    <t>47.874499 56.630323</t>
  </si>
  <si>
    <t>Ассортимент</t>
  </si>
  <si>
    <t>+7 (8362) 45-28-97</t>
  </si>
  <si>
    <t>47.884313 56.635328</t>
  </si>
  <si>
    <t>Магазин техники Karcher</t>
  </si>
  <si>
    <t>ул. Свердлова, 50, Йошкар-Ола</t>
  </si>
  <si>
    <t>8 (800) 505-87-61, +7 (8362) 55-15-10, +7 (8362) 55-14-10</t>
  </si>
  <si>
    <t xml:space="preserve">sale@green-ray.ru, karchercenter.kazan@green-ray.ru, sale_yola@green-ray.ru, sale.vladimir@green-ray.ru, sale_kirov@green-ray.ru  </t>
  </si>
  <si>
    <t>http://green-ray.ru/</t>
  </si>
  <si>
    <t>Автомоечное оборудование, Клининговое оборудование и инвентарь, Магазин бытовой техники, Ремонт бытовой техники</t>
  </si>
  <si>
    <t>пн-пт 09:00–18:00; сб,вс 09:00–14:00</t>
  </si>
  <si>
    <t>https://twitter.com/Green_Ray_OOO</t>
  </si>
  <si>
    <t>47.863945 56.641913</t>
  </si>
  <si>
    <t>Технологический колледж</t>
  </si>
  <si>
    <t>Кремлёвская ул., 22, Йошкар-Ола</t>
  </si>
  <si>
    <t>+7 (8362) 41-13-11, +7 (8362) 45-07-36, +7 (8362) 45-15-34, +7 (8362) 45-02-82, +7 (8362) 45-09-29, +7 (8362) 45-02-34</t>
  </si>
  <si>
    <t xml:space="preserve">yotc.priem@mail.ru, yotc@inbox.ru, yotc@mari-el.ru  </t>
  </si>
  <si>
    <t>http://www.yotc.ru/</t>
  </si>
  <si>
    <t>http://vk.com/club2140791</t>
  </si>
  <si>
    <t>http://facebook.com/pages/йошкар-олинский-технологический-колледж/105375606180470</t>
  </si>
  <si>
    <t>47.892253 56.639457</t>
  </si>
  <si>
    <t>ЛесТоргСервис</t>
  </si>
  <si>
    <t>+7 (8362) 72-36-10, +7 (8362) 42-38-65</t>
  </si>
  <si>
    <t>+7 (8362) 42-38-65</t>
  </si>
  <si>
    <t>http://kkm12.ru/</t>
  </si>
  <si>
    <t>IT-компания, Кассовые аппараты и расходные материалы, Оргтехника, Расходные материалы для оргтехники, Ремонт кассовых аппаратов, Ремонт торгового оборудования, Торговое оборудование</t>
  </si>
  <si>
    <t>47.87282 56.638917</t>
  </si>
  <si>
    <t>ГБУ Городская стоматологическая поликлиника Ортопедическое отделение</t>
  </si>
  <si>
    <t>Советская ул., 130А, Йошкар-Ола</t>
  </si>
  <si>
    <t>+7 (8362) 56-67-10</t>
  </si>
  <si>
    <t>http://s1644.polizd.ru/</t>
  </si>
  <si>
    <t>пн-пт 07:30–19:00</t>
  </si>
  <si>
    <t>47.896051 56.634407</t>
  </si>
  <si>
    <t>Детский сад № 79</t>
  </si>
  <si>
    <t>ул. Анциферова, 8Б, Йошкар-Ола</t>
  </si>
  <si>
    <t>+7 (8362) 55-45-96, +7 (8362) 63-24-90</t>
  </si>
  <si>
    <t xml:space="preserve">zolotkolosok79@yandex.ru, uoa-yoshkar-ola@yandex.ru  </t>
  </si>
  <si>
    <t>http://edu.mari.ru/mouo-yoshkarola/dou79/</t>
  </si>
  <si>
    <t>47.862661 56.648448</t>
  </si>
  <si>
    <t>Марсистемсервис</t>
  </si>
  <si>
    <t>ул. Строителей, 84Б, Йошкар-Ола</t>
  </si>
  <si>
    <t>+7 (8362) 73-61-84, +7 (8362) 73-60-05</t>
  </si>
  <si>
    <t>Электромонтажные работы, Электротехническая продукция</t>
  </si>
  <si>
    <t>47.847648 56.625449</t>
  </si>
  <si>
    <t>Общественно-политический центр Республики Марий Эл</t>
  </si>
  <si>
    <t>+7 (8362) 42-25-47, +7 (8362) 42-28-00</t>
  </si>
  <si>
    <t>+7 (8362) 42-26-01</t>
  </si>
  <si>
    <t>Организация деловых мероприятий</t>
  </si>
  <si>
    <t>Организация и обслуживание выставок, Организация конференций и семинаров</t>
  </si>
  <si>
    <t>47.8858 56.628854</t>
  </si>
  <si>
    <t>АйТи-Сервис М</t>
  </si>
  <si>
    <t>+7 (8362) 92-95-56</t>
  </si>
  <si>
    <t xml:space="preserve">webmaster@mari-it.ru </t>
  </si>
  <si>
    <t>http://mari-it.ru/</t>
  </si>
  <si>
    <t>IP-телефония, IT-компания, Аутсорсинг, Устройство сетей</t>
  </si>
  <si>
    <t>47.8799 56.6331</t>
  </si>
  <si>
    <t>ПКФ Гина</t>
  </si>
  <si>
    <t>+7 (8362) 73-28-13</t>
  </si>
  <si>
    <t>47.836735 56.619379</t>
  </si>
  <si>
    <t>Вариант</t>
  </si>
  <si>
    <t>+7 (8362) 20-44-00, +7 (8362) 45-22-85</t>
  </si>
  <si>
    <t xml:space="preserve">comment@localhost.ru </t>
  </si>
  <si>
    <t>http://variant-12.ru/</t>
  </si>
  <si>
    <t>Двери, Корпусная мебель, Мебель на заказ, Металлическая мебель</t>
  </si>
  <si>
    <t>47.909482 56.644651</t>
  </si>
  <si>
    <t>МариАйс</t>
  </si>
  <si>
    <t>ул. Машиностроителей, 126, корп. 1, Йошкар-Ола</t>
  </si>
  <si>
    <t>+7 (8362) 73-15-02, +7 (8362) 73-01-50, +7 (8362) 73-00-30, +7 (8362) 55-36-56, +7 (8362) 73-01-54</t>
  </si>
  <si>
    <t>+7 (8362) 63-77-00</t>
  </si>
  <si>
    <t xml:space="preserve">marketing@mariice.ru, promo@mariice.ru, anna.surdina@mariice.ru  </t>
  </si>
  <si>
    <t>http://mariice.ru/</t>
  </si>
  <si>
    <t>Молочная продукция оптом, Мороженое, Продукты питания оптом, Производство продуктов питания, Хладокомбинат</t>
  </si>
  <si>
    <t>https://vk.com/ice12</t>
  </si>
  <si>
    <t>47.824415 56.627167</t>
  </si>
  <si>
    <t>Тамада Валентина + DJ Фёдор</t>
  </si>
  <si>
    <t>ул. Пирогова, 26, Йошкар-Ола</t>
  </si>
  <si>
    <t>+7 (8362) 31-08-75</t>
  </si>
  <si>
    <t>Организация и проведение детских праздников, Праздничное агентство</t>
  </si>
  <si>
    <t>пт,сб 17:00–00:00</t>
  </si>
  <si>
    <t>47.84959 56.635065</t>
  </si>
  <si>
    <t>Граверные работы</t>
  </si>
  <si>
    <t>+7 (8362) 99-59-24, +7 (8362) 35-70-80</t>
  </si>
  <si>
    <t>Граверные работы, Ювелирная мастерская</t>
  </si>
  <si>
    <t>пн-пт 12:00–18:00</t>
  </si>
  <si>
    <t>47.894327 56.640617</t>
  </si>
  <si>
    <t>Красноармейская ул., 436, Йошкар-Ола</t>
  </si>
  <si>
    <t>+7 (8362) 41-15-51</t>
  </si>
  <si>
    <t>47.876764 56.644356</t>
  </si>
  <si>
    <t>Электротехмонтаж Монтажно-Производственная фирма</t>
  </si>
  <si>
    <t>ул. Мира, 70, Йошкар-Ола</t>
  </si>
  <si>
    <t>+7 (8362) 64-84-68, +7 (8362) 36-33-66</t>
  </si>
  <si>
    <t>+7 (8362) 64-84-68</t>
  </si>
  <si>
    <t>47.935235 56.637803</t>
  </si>
  <si>
    <t>АЗС № 5</t>
  </si>
  <si>
    <t>ул. Йывана Кырли, 7, Йошкар-Ола</t>
  </si>
  <si>
    <t>+7 (8362) 46-57-90</t>
  </si>
  <si>
    <t>АЗС</t>
  </si>
  <si>
    <t>47.8466 56.6413</t>
  </si>
  <si>
    <t>Отдел Детское питание</t>
  </si>
  <si>
    <t>47.874391 56.637087</t>
  </si>
  <si>
    <t>Теплоэнергомонтаж Строительно-Монтажная фирма</t>
  </si>
  <si>
    <t>+7 (8362) 73-84-33</t>
  </si>
  <si>
    <t>Альпика</t>
  </si>
  <si>
    <t>+7 (927) 684-21-93</t>
  </si>
  <si>
    <t xml:space="preserve">vadimvs@list.ru  </t>
  </si>
  <si>
    <t>http://alpica.info/</t>
  </si>
  <si>
    <t>Общественная организация, Спортивный, тренажерный зал, Центр йоги</t>
  </si>
  <si>
    <t>вт,чт 17:00–21:00</t>
  </si>
  <si>
    <t>https://vk.com/club638784</t>
  </si>
  <si>
    <t>http://facebook.com/alpicaclimbclub</t>
  </si>
  <si>
    <t>https://www.instagram.com/alpica_climbclub/</t>
  </si>
  <si>
    <t>47.894502 56.632401</t>
  </si>
  <si>
    <t>+7 (8362) 64-90-14</t>
  </si>
  <si>
    <t>Домофоны</t>
  </si>
  <si>
    <t>Детская поликлиника № 1</t>
  </si>
  <si>
    <t>ул. Чехова, 21, Йошкар-Ола</t>
  </si>
  <si>
    <t>+7 (8362) 23-27-75</t>
  </si>
  <si>
    <t>http://21che.polickliniki.ru/</t>
  </si>
  <si>
    <t>Детская поликлиника</t>
  </si>
  <si>
    <t>47.89927 56.642008</t>
  </si>
  <si>
    <t>ИП Беляев А. И.</t>
  </si>
  <si>
    <t>ул. Эшкинина, 3, Йошкар-Ола</t>
  </si>
  <si>
    <t>+7 (8362) 39-38-73</t>
  </si>
  <si>
    <t>+7 (937) 939-38-73</t>
  </si>
  <si>
    <t xml:space="preserve">beluaev@qip.ru  </t>
  </si>
  <si>
    <t>http://e-r.int.ru/</t>
  </si>
  <si>
    <t>Бытовые услуги, Сантехнические работы, Услуги частных специалистов</t>
  </si>
  <si>
    <t>47.906974 56.62907</t>
  </si>
  <si>
    <t>Азбука комфорта</t>
  </si>
  <si>
    <t>+7 (8362) 41-14-51, +7 (8362) 32-15-32, +7 (8362) 33-13-14</t>
  </si>
  <si>
    <t>47.882747 56.616585</t>
  </si>
  <si>
    <t>Марэл Анимал Нутрицион</t>
  </si>
  <si>
    <t>ул. Машиностроителей, 8Д, Йошкар-Ола</t>
  </si>
  <si>
    <t>+7 (4752) 61-24-41, +7 (83645) 6-63-35, +7 (8362) 43-02-77, +7 (8362) 43-02-63, +7 (8362) 63-07-48</t>
  </si>
  <si>
    <t xml:space="preserve">siteadmin@marel.ru </t>
  </si>
  <si>
    <t>http://www.marel.ru/</t>
  </si>
  <si>
    <t>Комбикорма и кормовые добавки, Сельскохозяйственная продукция</t>
  </si>
  <si>
    <t>47.872518 56.648008</t>
  </si>
  <si>
    <t>АртЛок</t>
  </si>
  <si>
    <t>+7 (8362) 45-01-72</t>
  </si>
  <si>
    <t xml:space="preserve">dveri02@rambler.ru </t>
  </si>
  <si>
    <t>http://guardian02.ru/</t>
  </si>
  <si>
    <t>Двери, Замки и запорные устройства, Оптовый магазин</t>
  </si>
  <si>
    <t>Союз ЖСК</t>
  </si>
  <si>
    <t>ул. Сомбатхей, 9, Йошкар-Ола</t>
  </si>
  <si>
    <t>+7 (8362) 21-53-99</t>
  </si>
  <si>
    <t>47.910505 56.629273</t>
  </si>
  <si>
    <t>Железнодорожный вокзал</t>
  </si>
  <si>
    <t>ул. Яналова, 3, Йошкар-Ола</t>
  </si>
  <si>
    <t>8 (800) 775-00-00, 8 (800) 510-11-11, +7 (8362) 45-18-65</t>
  </si>
  <si>
    <t xml:space="preserve">info@yovokzal.ru, info@rzd.ru, ticket@rzd.ru  </t>
  </si>
  <si>
    <t>http://yovokzal.ru/, http://dzvr.ru/, http://ticket.rzd.ru/, http://yoshkar-ola.dzvr.ru/</t>
  </si>
  <si>
    <t>Железнодорожные и авиабилеты, Железнодорожный вокзал</t>
  </si>
  <si>
    <t>ежедневно, 06:00–21:00</t>
  </si>
  <si>
    <t>https://vk.com/rzd_official</t>
  </si>
  <si>
    <t>https://ok.ru/group/52571620376641</t>
  </si>
  <si>
    <t>https://twitter.com/rzd_official</t>
  </si>
  <si>
    <t>https://www.facebook.com/rzd.official</t>
  </si>
  <si>
    <t>https://www.instagram.com/rzd_official</t>
  </si>
  <si>
    <t>47.88013 56.621782</t>
  </si>
  <si>
    <t>Жак</t>
  </si>
  <si>
    <t>Нокс</t>
  </si>
  <si>
    <t>Красноармейская ул., 65А, Йошкар-Ола</t>
  </si>
  <si>
    <t>+7 (8362) 45-23-05</t>
  </si>
  <si>
    <t>47.88245 56.642777</t>
  </si>
  <si>
    <t>Город праздника</t>
  </si>
  <si>
    <t>ул. Лебедева, 57А, Йошкар-Ола</t>
  </si>
  <si>
    <t>+7 (8362) 35-39-03</t>
  </si>
  <si>
    <t>+7 (987) 711-34-35, +7 (917) 718-30-74</t>
  </si>
  <si>
    <t>47.936781 56.624707</t>
  </si>
  <si>
    <t>Регион</t>
  </si>
  <si>
    <t>ул. Якова Эшпая, 107, Йошкар-Ола</t>
  </si>
  <si>
    <t>+7 (8362) 38-53-63, +7 (8362) 38-10-83, +7 (8362) 96-14-96</t>
  </si>
  <si>
    <t>http://ан-регион.com/</t>
  </si>
  <si>
    <t>47.887167 56.64497</t>
  </si>
  <si>
    <t>+7 (8362) 25-20-40</t>
  </si>
  <si>
    <t>ежедневно, 09:00–18:00, перерыв 10:00–14:00</t>
  </si>
  <si>
    <t>47.887591 56.642</t>
  </si>
  <si>
    <t>Такси Городская служба</t>
  </si>
  <si>
    <t>+7 (8362) 97-83-33, +7 (8362) 33-34-44</t>
  </si>
  <si>
    <t>47.842107 56.632635</t>
  </si>
  <si>
    <t>ТНС энерго Марий Эл, центральный офис</t>
  </si>
  <si>
    <t>ул. Йывана Кырли, 21В, Йошкар-Ола</t>
  </si>
  <si>
    <t>8 (800) 775-12-88, +7 (8362) 34-71-27, +7 (8362) 46-51-80, +7 (8362) 68-20-20</t>
  </si>
  <si>
    <t xml:space="preserve">info@tns-e.ru </t>
  </si>
  <si>
    <t>https://mari-el.tns-e.ru/, https://corp.tns-e.ru/</t>
  </si>
  <si>
    <t>https://vk.com/tnsenergomariel</t>
  </si>
  <si>
    <t>https://ok.ru/group/58003975110707</t>
  </si>
  <si>
    <t>https://twitter.com/TNSenergoMariEl</t>
  </si>
  <si>
    <t>https://www.facebook.com/TNSenergoMariEl</t>
  </si>
  <si>
    <t>47.836924 56.641471</t>
  </si>
  <si>
    <t>Стэп-12</t>
  </si>
  <si>
    <t>+7 (8362) 45-04-30, +7 (8362) 76-00-60, +7 (8362) 65-12-13</t>
  </si>
  <si>
    <t>Окна, Строительная компания</t>
  </si>
  <si>
    <t>Союз композиторов Республики Марий Эл</t>
  </si>
  <si>
    <t>+7 (8362) 56-66-84</t>
  </si>
  <si>
    <t>пн-пт 10:00–13:00</t>
  </si>
  <si>
    <t>47.886492 56.629445</t>
  </si>
  <si>
    <t>Вымпел</t>
  </si>
  <si>
    <t>ул. Петрова, 21, Йошкар-Ола</t>
  </si>
  <si>
    <t>+7 (8362) 21-59-83, +7 (8362) 21-00-02, +7 (8362) 21-32-06, +7 (8362) 32-17-97</t>
  </si>
  <si>
    <t>+7 (8362) 21-32-06</t>
  </si>
  <si>
    <t xml:space="preserve">ohrana-vimpel@yandex.ru  </t>
  </si>
  <si>
    <t>http://ohrana-vimpel.ru/</t>
  </si>
  <si>
    <t>47.921054 56.637128</t>
  </si>
  <si>
    <t>Мебельные технологии</t>
  </si>
  <si>
    <t>+7 (8362) 73-32-28, +7 (8362) 38-32-28, +7 (8362) 73-13-29</t>
  </si>
  <si>
    <t>+7 (8362) 73-32-28</t>
  </si>
  <si>
    <t>Мебель для кухни, Мебель для офиса, Мебель на заказ</t>
  </si>
  <si>
    <t>Редакция газеты Голос Правды</t>
  </si>
  <si>
    <t>+7 (8362) 45-91-86</t>
  </si>
  <si>
    <t xml:space="preserve">kprf12@yandex.ru  </t>
  </si>
  <si>
    <t>http://kprf12.ru/, https://голосправды.рф/</t>
  </si>
  <si>
    <t>47.899851 56.642847</t>
  </si>
  <si>
    <t>Компания Бам</t>
  </si>
  <si>
    <t>+7 (8362) 42-32-90</t>
  </si>
  <si>
    <t xml:space="preserve">info@okna-bam.ru, msd009@yandex.ru  </t>
  </si>
  <si>
    <t>http://www.okna-bam.ru/</t>
  </si>
  <si>
    <t>Автоматические двери и ворота, Окна</t>
  </si>
  <si>
    <t>Эльф</t>
  </si>
  <si>
    <t>Советская ул., 141Б, Йошкар-Ола</t>
  </si>
  <si>
    <t>+7 (8362) 56-66-58, +7 (8362) 42-89-52, +7 (8362) 36-00-22, +7 (8362) 52-94-94</t>
  </si>
  <si>
    <t xml:space="preserve">elfy-ola@yandex.ru </t>
  </si>
  <si>
    <t>https://elf-mebel.ru/, http://lp.elf-mebel.ru/</t>
  </si>
  <si>
    <t>Мебель для кухни, Мебель на заказ, Шкафы-купе</t>
  </si>
  <si>
    <t>пн-пт 09:00–18:00; сб 09:00–17:00; вс 10:00–16:00</t>
  </si>
  <si>
    <t>https://vk.com/club_elf_mebel</t>
  </si>
  <si>
    <t>https://www.instagram.com/elf_ola/</t>
  </si>
  <si>
    <t>47.896409 56.633197</t>
  </si>
  <si>
    <t>+7 (8362) 31-47-90, +7 (8362) 21-99-21</t>
  </si>
  <si>
    <t>пн-пт 10:00–18:30; сб,вс 09:30–16:00</t>
  </si>
  <si>
    <t>47.919071 56.633477</t>
  </si>
  <si>
    <t>Мастер стружкин</t>
  </si>
  <si>
    <t>+7 (8362) 73-46-13, +7 (8362) 44-31-44, +7 (8362) 44-34-44</t>
  </si>
  <si>
    <t>+7 (902) 744-31-44</t>
  </si>
  <si>
    <t>+7 (8362) 44-34-44</t>
  </si>
  <si>
    <t xml:space="preserve">master.str@mail.ru </t>
  </si>
  <si>
    <t>Камины, печи, Пиломатериалы, Товары для бани и сауны</t>
  </si>
  <si>
    <t>пн-пт 09:00–18:00; сб 09:00–16:00; вс 09:00–14:00</t>
  </si>
  <si>
    <t>Сетевые Технологии</t>
  </si>
  <si>
    <t>Домоуправление № 10</t>
  </si>
  <si>
    <t>ул. Подольских Курсантов, 21, Йошкар-Ола</t>
  </si>
  <si>
    <t>+7 (8362) 38-35-50, +7 (8362) 38-30-40, +7 (8362) 38-35-55, +7 (8362) 38-30-41</t>
  </si>
  <si>
    <t>http://ooodu10.ru/</t>
  </si>
  <si>
    <t>47.8617 56.6516</t>
  </si>
  <si>
    <t>ЭкспертСтрой плюс</t>
  </si>
  <si>
    <t>+7 (903) 050-71-06</t>
  </si>
  <si>
    <t xml:space="preserve">proektdom@mail.ru </t>
  </si>
  <si>
    <t>http://expertstroy.net/</t>
  </si>
  <si>
    <t>Трансформ</t>
  </si>
  <si>
    <t>+7 (8362) 11-41-59</t>
  </si>
  <si>
    <t>47.899527 56.643807</t>
  </si>
  <si>
    <t>Поволжская экологическая компания: вывоз мусора, бытовых отходов</t>
  </si>
  <si>
    <t>+7 (8362) 55-15-07</t>
  </si>
  <si>
    <t xml:space="preserve">pek.iola@ecocompany.ru  </t>
  </si>
  <si>
    <t>http://joshkar-ola.ecocompany.ru/</t>
  </si>
  <si>
    <t>Вывоз мусора и отходов, Прием вторсырья, Утилизация отходов</t>
  </si>
  <si>
    <t>https://vk.com/ecocompany_group</t>
  </si>
  <si>
    <t>https://twitter.com/ecocompany_ru</t>
  </si>
  <si>
    <t>https://www.facebook.com/ecocompany.group</t>
  </si>
  <si>
    <t>Марийский государственный театр оперы и балета имени Эрика Сапаева</t>
  </si>
  <si>
    <t>Комсомольская ул., 130/21, Йошкар-Ола</t>
  </si>
  <si>
    <t>+7 (8362) 64-19-52, +7 (8362) 56-60-70</t>
  </si>
  <si>
    <t xml:space="preserve">saptheatre@yandex.ru  </t>
  </si>
  <si>
    <t>http://www.operaballet.net/</t>
  </si>
  <si>
    <t>Концертный зал, Культурный центр, Театр</t>
  </si>
  <si>
    <t>пн-пт 11:30–18:30, перерыв 14:00–15:00; сб,вс 11:30–16:00</t>
  </si>
  <si>
    <t>https://vk.com/club5966326</t>
  </si>
  <si>
    <t>https://www.facebook.com/Марийский-государственный-академический-театр-оперы-и-балета-им-Э-Сапаева-1135006613260342/</t>
  </si>
  <si>
    <t>47.89041 56.633</t>
  </si>
  <si>
    <t>Гимназия № 4 им. А. С. Пушкина</t>
  </si>
  <si>
    <t>ул. Якова Эшпая, 156, Йошкар-Ола</t>
  </si>
  <si>
    <t>+7 (8362) 45-01-15, +7 (8362) 45-04-13</t>
  </si>
  <si>
    <t xml:space="preserve">yoshgim4@mail.ru  </t>
  </si>
  <si>
    <t>http://yoshgim4.ru/</t>
  </si>
  <si>
    <t>Гимназия</t>
  </si>
  <si>
    <t>http://vk.com/club71670224</t>
  </si>
  <si>
    <t>47.87978 56.635666</t>
  </si>
  <si>
    <t>Квартет</t>
  </si>
  <si>
    <t>Спутник ЖСК</t>
  </si>
  <si>
    <t>ул. Осипенко, 44, Йошкар-Ола</t>
  </si>
  <si>
    <t>+7 (8362) 72-61-82</t>
  </si>
  <si>
    <t>47.881337 56.646776</t>
  </si>
  <si>
    <t>Потребительский гаражно-строительный кооператив Импульс</t>
  </si>
  <si>
    <t>ул. Карла Либкнехта, 106, Йошкар-Ола</t>
  </si>
  <si>
    <t>+7 (8362) 56-27-74</t>
  </si>
  <si>
    <t>ср 13:00–19:00; сб,вс 09:00–15:00</t>
  </si>
  <si>
    <t>47.93279 56.62541</t>
  </si>
  <si>
    <t>Алкон Истейт</t>
  </si>
  <si>
    <t>Общество добрых этологов и экологов по защите окружающей среды</t>
  </si>
  <si>
    <t>+7 (8362) 41-66-89</t>
  </si>
  <si>
    <t>ТД Пилар</t>
  </si>
  <si>
    <t>+7 (8362) 41-00-68</t>
  </si>
  <si>
    <t>Отопительное оборудование и системы</t>
  </si>
  <si>
    <t>Sela</t>
  </si>
  <si>
    <t>Советская ул., 142, Йошкар-Ола</t>
  </si>
  <si>
    <t>+7 (8362) 42-56-64</t>
  </si>
  <si>
    <t xml:space="preserve">sela.msk@sela.ru, sela.spb@sela.ru, sela.il@sela.ru, sela.rb@sela.ru, sela.kz@sela.ru, sela.sh@sela.ru, eshop@sela.ru, client@sela.ru, anastasiya.vashkevich@sela.ru, zefirova@sela.ru </t>
  </si>
  <si>
    <t>https://www.sela.ru/</t>
  </si>
  <si>
    <t>ежедневно, 09:30–20:00</t>
  </si>
  <si>
    <t>https://vk.com/sela_yola</t>
  </si>
  <si>
    <t>http://ok.ru/sela.ru</t>
  </si>
  <si>
    <t>http://twitter.com/sela_fashion</t>
  </si>
  <si>
    <t>https://www.facebook.com/sela.shop</t>
  </si>
  <si>
    <t>https://www.instagram.com/sela_ru</t>
  </si>
  <si>
    <t>47.894881 56.632137</t>
  </si>
  <si>
    <t>№ 1 Мойдодыр</t>
  </si>
  <si>
    <t>+7 (8362) 42-14-97</t>
  </si>
  <si>
    <t>Аптека у стадиона</t>
  </si>
  <si>
    <t>ул. Свердлова, 32, Йошкар-Ола</t>
  </si>
  <si>
    <t>+7 (8362) 72-11-56</t>
  </si>
  <si>
    <t>47.870872 56.640846</t>
  </si>
  <si>
    <t>Francesco Donni</t>
  </si>
  <si>
    <t>Красноармейская ул., 80А, Йошкар-Ола</t>
  </si>
  <si>
    <t>8 (800) 707-58-27, +7 (8362) 72-04-03</t>
  </si>
  <si>
    <t xml:space="preserve">info@francesco-donni.com, obuv.33@bk.ru  </t>
  </si>
  <si>
    <t>https://francesco.ru/</t>
  </si>
  <si>
    <t>Магазин обуви, Магазин одежды</t>
  </si>
  <si>
    <t>пн-пт 09:00–20:00; сб 09:00–19:00; вс 09:00–18:00</t>
  </si>
  <si>
    <t>https://vk.com/francescodonnimoscow</t>
  </si>
  <si>
    <t>https://www.facebook.com/francescodonnimoscow</t>
  </si>
  <si>
    <t>https://www.instagram.com/francesco_donni</t>
  </si>
  <si>
    <t>47.873683 56.645338</t>
  </si>
  <si>
    <t>ТЦ Дом Быта</t>
  </si>
  <si>
    <t>+7 (8362) 54-22-22</t>
  </si>
  <si>
    <t>+7 (964) 864-22-22</t>
  </si>
  <si>
    <t xml:space="preserve">dbarenda@mail.ru  </t>
  </si>
  <si>
    <t>Бытовые услуги, Ремонт телефонов, Торговый центр</t>
  </si>
  <si>
    <t>https://vk.com/dombyta12</t>
  </si>
  <si>
    <t>47.894901 56.640332</t>
  </si>
  <si>
    <t>Региональный базовый центр охраны труда и промышленной безопасности ПГТУ</t>
  </si>
  <si>
    <t>+7 (8362) 68-60-28, +7 (8362) 98-13-46</t>
  </si>
  <si>
    <t xml:space="preserve">miheevav@volgatech.net  </t>
  </si>
  <si>
    <t>http://cot.volgatech.net/</t>
  </si>
  <si>
    <t>Безопасность труда, Дополнительное образование, Центр повышения квалификации</t>
  </si>
  <si>
    <t>Аптека № 43</t>
  </si>
  <si>
    <t>ул. Пушкина, 12А, Йошкар-Ола</t>
  </si>
  <si>
    <t>47.894784 56.632857</t>
  </si>
  <si>
    <t>Торговое оборудование предприятий</t>
  </si>
  <si>
    <t>ул. Йывана Кырли, 3А, Йошкар-Ола</t>
  </si>
  <si>
    <t>+7 (8362) 46-21-77, +7 (8362) 46-22-06</t>
  </si>
  <si>
    <t>+7 (929) 734-55-19</t>
  </si>
  <si>
    <t xml:space="preserve">sale@462206.ru  </t>
  </si>
  <si>
    <t>http://www.462206.ru/</t>
  </si>
  <si>
    <t>Кассовые аппараты и расходные материалы, Оборудование для ресторанов, Пищевое оборудование, Промышленное холодильное оборудование, Торговое оборудование</t>
  </si>
  <si>
    <t>https://vk.com/club148298910</t>
  </si>
  <si>
    <t>https://www.instagram.com/torg_12</t>
  </si>
  <si>
    <t>47.848655 56.642715</t>
  </si>
  <si>
    <t>Магазин Махаон 06</t>
  </si>
  <si>
    <t>пн-сб 08:00–20:00, перерыв 14:00–14:30; вс 08:00–19:30, перерыв 14:00–14:30</t>
  </si>
  <si>
    <t>Стоун</t>
  </si>
  <si>
    <t>8 (800) 700-01-80, +7 (8362) 35-01-00, +7 (8362) 42-27-57, +7 (8362) 41-72-15, +7 (8362) 32-03-20, +7 (8362) 35-01-03, +7 (8362) 35-01-04</t>
  </si>
  <si>
    <t>+7 (8362) 41-72-15</t>
  </si>
  <si>
    <t xml:space="preserve">417215@bk.ru, hotel@clubstone.ru  </t>
  </si>
  <si>
    <t>http://hotelstone.ru/</t>
  </si>
  <si>
    <t>https://vk.com/club19567088</t>
  </si>
  <si>
    <t>https://twitter.com/hotel_stone</t>
  </si>
  <si>
    <t>https://www.facebook.com/groups/247447572039529</t>
  </si>
  <si>
    <t>47.889884 56.638678</t>
  </si>
  <si>
    <t>ул. Крылова, 61, Йошкар-Ола</t>
  </si>
  <si>
    <t>+7 (8362) 45-21-51</t>
  </si>
  <si>
    <t>http://stankostroy12rus.ru/</t>
  </si>
  <si>
    <t>47.833295 56.622905</t>
  </si>
  <si>
    <t>Труженица и К</t>
  </si>
  <si>
    <t>ул. Чехова, 61, Йошкар-Ола</t>
  </si>
  <si>
    <t>+7 (8362) 35-16-09</t>
  </si>
  <si>
    <t>47.886753 56.644455</t>
  </si>
  <si>
    <t>Проноут</t>
  </si>
  <si>
    <t>Советская ул., 141, Йошкар-Ола</t>
  </si>
  <si>
    <t>+7 (8362) 35-55-54</t>
  </si>
  <si>
    <t xml:space="preserve">355554@bk.ru  </t>
  </si>
  <si>
    <t>пн-пт 09:00–19:00; сб 09:00–17:00; вс 10:00–17:00</t>
  </si>
  <si>
    <t>https://vk.com/pronote12</t>
  </si>
  <si>
    <t>47.896868 56.633583</t>
  </si>
  <si>
    <t>Новотроицк ЖСК</t>
  </si>
  <si>
    <t>+7 (8362) 55-34-44</t>
  </si>
  <si>
    <t>Микс</t>
  </si>
  <si>
    <t>Йошкар-олинская кондитерская фабрика</t>
  </si>
  <si>
    <t>ул. Якова Эшпая, 136, Йошкар-Ола</t>
  </si>
  <si>
    <t>+7 (8362) 42-20-96, +7 (8362) 42-20-11, +7 (8362) 42-21-70, +7 (8362) 42-28-65</t>
  </si>
  <si>
    <t xml:space="preserve">candy@chokomuseum.ru  </t>
  </si>
  <si>
    <t>http://www.uniconf.ru/</t>
  </si>
  <si>
    <t>Кондитерские изделия оптом, Производство продуктов питания</t>
  </si>
  <si>
    <t>47.882137 56.638797</t>
  </si>
  <si>
    <t>ул. Дружбы, 77, Йошкар-Ола</t>
  </si>
  <si>
    <t>+7 (8362) 62-13-32</t>
  </si>
  <si>
    <t>Автосервис, автотехцентр, Шиномонтаж, Шины и диски</t>
  </si>
  <si>
    <t>https://vk.com/shinka_12</t>
  </si>
  <si>
    <t>47.852918 56.651581</t>
  </si>
  <si>
    <t>Альфа-Дент</t>
  </si>
  <si>
    <t>+7 (8362) 72-05-05</t>
  </si>
  <si>
    <t>+7 (937) 931-33-33</t>
  </si>
  <si>
    <t xml:space="preserve">ya.alfa-dent@yandex.ru  </t>
  </si>
  <si>
    <t>http://alfadent12.ru/</t>
  </si>
  <si>
    <t>Зуботехническая лаборатория, Стоматологическая клиника</t>
  </si>
  <si>
    <t>https://www.instagram.com/alfadent12/</t>
  </si>
  <si>
    <t>47.880259 56.625816</t>
  </si>
  <si>
    <t>Санрайз</t>
  </si>
  <si>
    <t>Ленинский просп., 63, Йошкар-Ола</t>
  </si>
  <si>
    <t>+7 (8362) 41-42-11</t>
  </si>
  <si>
    <t xml:space="preserve">group@coral.ru  </t>
  </si>
  <si>
    <t>http://www.coral.ru/</t>
  </si>
  <si>
    <t>https://vk.com/coraltravel</t>
  </si>
  <si>
    <t>47.874114 56.63608</t>
  </si>
  <si>
    <t>Дизель Плюс</t>
  </si>
  <si>
    <t>+7 (8362) 63-62-64</t>
  </si>
  <si>
    <t>Ремонт двигателей</t>
  </si>
  <si>
    <t>Фирма Инструмент-Н</t>
  </si>
  <si>
    <t>+7 (8362) 41-60-70</t>
  </si>
  <si>
    <t>http://www.zao-novator.ru/</t>
  </si>
  <si>
    <t>пн,пт 07:30–16:15</t>
  </si>
  <si>
    <t>47.870958 56.611267</t>
  </si>
  <si>
    <t>Оптовый склад Сахарок</t>
  </si>
  <si>
    <t>ул. Соловьёва, 44, корп. 3, Йошкар-Ола</t>
  </si>
  <si>
    <t>+7 (8362) 42-27-20, +7 (8362) 73-65-06, +7 (8362) 42-04-04, +7 (8362) 76-57-69</t>
  </si>
  <si>
    <t>http://optovyy-sklad-saharok-shabvlin-i-yu.pulscen.ru/</t>
  </si>
  <si>
    <t>Магазин продуктов, Оптовый магазин</t>
  </si>
  <si>
    <t>47.86764 56.627909</t>
  </si>
  <si>
    <t>ТехГазСервис</t>
  </si>
  <si>
    <t>+7 (8362) 30-77-64</t>
  </si>
  <si>
    <t>+7 (967) 757-77-64</t>
  </si>
  <si>
    <t xml:space="preserve">gaz116@mail.ru, tehgazmari@yandex.ru, gaz116@list.ru  </t>
  </si>
  <si>
    <t>http://www.tehgaz.ru/</t>
  </si>
  <si>
    <t>Сварочное оборудование и материалы, Технические и медицинские газы</t>
  </si>
  <si>
    <t>47.844633 56.622183</t>
  </si>
  <si>
    <t>ГеоПринт</t>
  </si>
  <si>
    <t>+7 (8362) 32-38-82</t>
  </si>
  <si>
    <t>+7 (902) 436-21-55</t>
  </si>
  <si>
    <t>Изготовление вывесок, Наружная реклама, Широкоформатная печать</t>
  </si>
  <si>
    <t>https://vk.com/club128418107</t>
  </si>
  <si>
    <t>47.84355 56.628393</t>
  </si>
  <si>
    <t>Мы женимся</t>
  </si>
  <si>
    <t>+7 (8362) 34-43-20, +7 (8352) 62-30-40</t>
  </si>
  <si>
    <t xml:space="preserve">feedback@feedback.ru, mi_zhenimsya@mail.ru, sale@mi-zhenimsya.ru  </t>
  </si>
  <si>
    <t>http://www.mi-zhenimsya.ru/</t>
  </si>
  <si>
    <t>http://vk.com/mi_zhenimsya</t>
  </si>
  <si>
    <t>http://www.facebook.com/pages/Мы-женимся/256535211104822</t>
  </si>
  <si>
    <t>http://instagram.com/mi_zhenimsya</t>
  </si>
  <si>
    <t>Попов Николай Валерьевич</t>
  </si>
  <si>
    <t>+7 (8362) 33-72-80, +7 (8362) 63-80-93, +7 (8362) 42-67-41</t>
  </si>
  <si>
    <t>Системы безопасности и охраны</t>
  </si>
  <si>
    <t>Ай Си Эн Волго-Вятский центр Дистрибьюции филиал</t>
  </si>
  <si>
    <t>ул. Йывана Кырли, 46, Йошкар-Ола</t>
  </si>
  <si>
    <t>+7 (8362) 64-08-90</t>
  </si>
  <si>
    <t>Фармацевтическая компания</t>
  </si>
  <si>
    <t>47.826683 56.639436</t>
  </si>
  <si>
    <t>Асс-центр</t>
  </si>
  <si>
    <t>+7 (8362) 42-52-67</t>
  </si>
  <si>
    <t>Радиотехника</t>
  </si>
  <si>
    <t>Миллион Друзей</t>
  </si>
  <si>
    <t>ул. Строителей, 19, Йошкар-Ола</t>
  </si>
  <si>
    <t>+7 (8362) 55-33-99</t>
  </si>
  <si>
    <t xml:space="preserve">info@vetcentre12.ru  </t>
  </si>
  <si>
    <t>Ветеринарная клиника, Гостиница для животных, Зоосалон, зоопарикмахерская, Приют для животных</t>
  </si>
  <si>
    <t>https://vk.com/millfriends</t>
  </si>
  <si>
    <t>https://www.facebook.com/m.milliondryzei/?ref=bookmarks</t>
  </si>
  <si>
    <t>https://www.instagram.com/https://vk.com/away.php?cc_key=u0026to=https://instagram.com/millionfriend?igshid%3D1gachxw5tlmd4</t>
  </si>
  <si>
    <t>47.838317 56.63527</t>
  </si>
  <si>
    <t>НПП Литник</t>
  </si>
  <si>
    <t>ул. Чехова, 12, корп. 1, Йошкар-Ола</t>
  </si>
  <si>
    <t>+7 (8362) 58-32-90</t>
  </si>
  <si>
    <t xml:space="preserve">omegakeramic@mail.ru  </t>
  </si>
  <si>
    <t>http://omegakeramic.ru/</t>
  </si>
  <si>
    <t>Промышленная химия</t>
  </si>
  <si>
    <t>Вау оптика</t>
  </si>
  <si>
    <t>+7 (8362) 44-42-05</t>
  </si>
  <si>
    <t xml:space="preserve">optika12@inbox.ru </t>
  </si>
  <si>
    <t>пн-пт 09:00–18:30</t>
  </si>
  <si>
    <t>47.839837 56.634205</t>
  </si>
  <si>
    <t>Колесо</t>
  </si>
  <si>
    <t>Оршанское ш., 25, Йошкар-Ола</t>
  </si>
  <si>
    <t>+7 (8362) 46-03-84</t>
  </si>
  <si>
    <t xml:space="preserve">avtoremont777@yandex.ru  </t>
  </si>
  <si>
    <t>http://www.avtoremont12.ru/</t>
  </si>
  <si>
    <t>47.89865 56.650573</t>
  </si>
  <si>
    <t>Канцтовары</t>
  </si>
  <si>
    <t>+7 (8362) 54-96-69, +7 (8362) 26-08-60, +7 (8362) 41-70-21</t>
  </si>
  <si>
    <t>пн-пт 09:00–18:30; сб,вс 10:00–18:00</t>
  </si>
  <si>
    <t>47.894124 56.640555</t>
  </si>
  <si>
    <t>Школа Семи Гномов</t>
  </si>
  <si>
    <t>Красноармейская ул., 49, Йошкар-Ола</t>
  </si>
  <si>
    <t>8 (800) 775-80-25</t>
  </si>
  <si>
    <t>+7 (927) 447-77-40</t>
  </si>
  <si>
    <t xml:space="preserve">orp@msbook.ru  </t>
  </si>
  <si>
    <t>http://shkola7gnomov.ru/, http://www.msbook.ru/</t>
  </si>
  <si>
    <t>Детские игрушки и игры, Канцтовары оптом, Книжный магазин, Логопеды</t>
  </si>
  <si>
    <t>https://vk.com/shkola7gnomov</t>
  </si>
  <si>
    <t>https://ok.ru/shkola7gnomov</t>
  </si>
  <si>
    <t>https://twitter.com/shkola7gnomov</t>
  </si>
  <si>
    <t>47.891411 56.640968</t>
  </si>
  <si>
    <t>2 Партизана</t>
  </si>
  <si>
    <t>+7 (8362) 70-45-45</t>
  </si>
  <si>
    <t>http://www.2partizana.ru/</t>
  </si>
  <si>
    <t>Компания БАМ</t>
  </si>
  <si>
    <t>+7 (8362) 38-20-10, +7 (8362) 38-20-20, +7 (8362) 43-01-66, +7 (8362) 45-34-44</t>
  </si>
  <si>
    <t>+7 (964) 864-14-74</t>
  </si>
  <si>
    <t>http://okna-bam.ru/</t>
  </si>
  <si>
    <t>Двери, Окна, Фасады и фасадные системы</t>
  </si>
  <si>
    <t>47.885091 56.640733</t>
  </si>
  <si>
    <t>Дорожный центр Фирменного Транспортного Обслуживания</t>
  </si>
  <si>
    <t>ул. Яналова, 5, Йошкар-Ола</t>
  </si>
  <si>
    <t>+7 (8362) 55-44-37</t>
  </si>
  <si>
    <t>47.880214 56.621805</t>
  </si>
  <si>
    <t>Спорттовары</t>
  </si>
  <si>
    <t>ул. Анциферова, 46, Йошкар-Ола</t>
  </si>
  <si>
    <t>+7 (8362) 99-90-82</t>
  </si>
  <si>
    <t xml:space="preserve">sportmagrme@rambler.ru  </t>
  </si>
  <si>
    <t>Веломагазин, Спортивная одежда и обувь, Спортивный магазин</t>
  </si>
  <si>
    <t>пн-пт 10:00–19:00; сб 10:00–18:00; вс 10:00–16:00</t>
  </si>
  <si>
    <t>http://vk.com/sportmagrme</t>
  </si>
  <si>
    <t>47.8622 56.6397</t>
  </si>
  <si>
    <t>Энерго ППК</t>
  </si>
  <si>
    <t>Энергетическое оборудование, Энергоснабжение</t>
  </si>
  <si>
    <t>47.86547 56.638806</t>
  </si>
  <si>
    <t>Технотех</t>
  </si>
  <si>
    <t>+7 (8362) 60-00-03</t>
  </si>
  <si>
    <t xml:space="preserve">sd@tehnoteh.ru, info@tehnoteh.ru, tehnoteh@mail.ru  </t>
  </si>
  <si>
    <t>http://www.tehnoteh.ru/</t>
  </si>
  <si>
    <t>https://vk.com/tehnoteh_ru</t>
  </si>
  <si>
    <t>47.872915 56.610545</t>
  </si>
  <si>
    <t>Марифарм</t>
  </si>
  <si>
    <t>+7 (8362) 64-80-65</t>
  </si>
  <si>
    <t xml:space="preserve">office@marifarm.ru  </t>
  </si>
  <si>
    <t>http://www.marifarm.mari-el.ru/</t>
  </si>
  <si>
    <t>47.946012 56.636955</t>
  </si>
  <si>
    <t>ПрофиОкна плюс</t>
  </si>
  <si>
    <t>+7 (8362) 35-11-55, +7 (8362) 46-88-97</t>
  </si>
  <si>
    <t>47.884671 56.642997</t>
  </si>
  <si>
    <t>Какшан ЖСК</t>
  </si>
  <si>
    <t>ул. Петрова, 11, Йошкар-Ола</t>
  </si>
  <si>
    <t>+7 (8362) 21-49-90</t>
  </si>
  <si>
    <t>47.918248 56.632333</t>
  </si>
  <si>
    <t>Лакомка</t>
  </si>
  <si>
    <t>+7 (8362) 41-35-11</t>
  </si>
  <si>
    <t>пн-пт 10:00–15:00</t>
  </si>
  <si>
    <t>47.87504 56.628125</t>
  </si>
  <si>
    <t>Профессионал</t>
  </si>
  <si>
    <t>ул. Панфилова, 20, Йошкар-Ола</t>
  </si>
  <si>
    <t>+7 (8362) 41-73-77</t>
  </si>
  <si>
    <t>Военная форма</t>
  </si>
  <si>
    <t>пн-пт 09:00–18:30; сб 10:00–16:00</t>
  </si>
  <si>
    <t>47.883041 56.624944</t>
  </si>
  <si>
    <t>Радуга</t>
  </si>
  <si>
    <t>бул. Победы, 6, Йошкар-Ола</t>
  </si>
  <si>
    <t>+7 (962) 321-08-79</t>
  </si>
  <si>
    <t>https://www.modnica21.com/</t>
  </si>
  <si>
    <t>Магазин ткани, Товары для творчества и рукоделия, Швейная фурнитура</t>
  </si>
  <si>
    <t>https://vk.com/modnica_21</t>
  </si>
  <si>
    <t>https://www.instagram.com/radugatkani12/</t>
  </si>
  <si>
    <t>47.883463 56.638105</t>
  </si>
  <si>
    <t>По Охране и Использованию Памятников Истории и Культуры НПЦ</t>
  </si>
  <si>
    <t>Первомайская ул., 91, Йошкар-Ола</t>
  </si>
  <si>
    <t>47.890957 56.643545</t>
  </si>
  <si>
    <t>Фолиант РИА филиал</t>
  </si>
  <si>
    <t>+7 (8362) 64-17-91</t>
  </si>
  <si>
    <t>Йуксо-ер кафе</t>
  </si>
  <si>
    <t>Стежок</t>
  </si>
  <si>
    <t>+7 (8362) 65-68-67</t>
  </si>
  <si>
    <t>Ткани, текстиль, матрасы</t>
  </si>
  <si>
    <t>Швейная фурнитура</t>
  </si>
  <si>
    <t>Бюро Трудоустройства и Финансового Инвестирования</t>
  </si>
  <si>
    <t>47.884932 56.622669</t>
  </si>
  <si>
    <t>Волга</t>
  </si>
  <si>
    <t>ул. Суворова, 26, Йошкар-Ола</t>
  </si>
  <si>
    <t>+7 (83645) 6-80-91</t>
  </si>
  <si>
    <t>+7 (927) 878-88-79</t>
  </si>
  <si>
    <t>47.863244 56.637699</t>
  </si>
  <si>
    <t>Текстиль групп</t>
  </si>
  <si>
    <t>+7 (8362) 38-63-87, +7 (8362) 49-62-72</t>
  </si>
  <si>
    <t>Автоателье, Оптовый магазин, Спецодежда</t>
  </si>
  <si>
    <t>47.8825 56.615</t>
  </si>
  <si>
    <t>Мототех</t>
  </si>
  <si>
    <t>ул. Крылова, 44, Йошкар-Ола</t>
  </si>
  <si>
    <t>+7 (8362) 33-45-43</t>
  </si>
  <si>
    <t>+7 (927) 883-45-43, +7 (927) 680-58-21</t>
  </si>
  <si>
    <t xml:space="preserve">bendyuzhko@gmail.com, info@moto-power.ru, motozap-ola@mail.ru  </t>
  </si>
  <si>
    <t>http://www.moto-power.ru/</t>
  </si>
  <si>
    <t>Запчасти для мототехники, Мотосалон, Ремонт мототехники</t>
  </si>
  <si>
    <t>http://vk.com/club15072832</t>
  </si>
  <si>
    <t>47.845381 56.620566</t>
  </si>
  <si>
    <t>Фодог</t>
  </si>
  <si>
    <t>+7 (83641) 2-32-99</t>
  </si>
  <si>
    <t>+7 (917) 710-04-10</t>
  </si>
  <si>
    <t xml:space="preserve">partnership@fordog.ru, info@fordog.ru, opt@fordog.ru, email@domain.com  </t>
  </si>
  <si>
    <t>http://www.fordog.ru/</t>
  </si>
  <si>
    <t>Ветеринарные препараты и оборудование, Товары для животных оптом</t>
  </si>
  <si>
    <t>47.87463 56.636434</t>
  </si>
  <si>
    <t>ТК Марилен</t>
  </si>
  <si>
    <t>ул. Луначарского, 44, Йошкар-Ола</t>
  </si>
  <si>
    <t>+7 (8362) 74-18-29, +7 (8362) 12-53-95</t>
  </si>
  <si>
    <t>Логистическая компания</t>
  </si>
  <si>
    <t>47.902195 56.616343</t>
  </si>
  <si>
    <t>Комплексные системы безопасности</t>
  </si>
  <si>
    <t>Центр управленческой подготовки кадров</t>
  </si>
  <si>
    <t>Дополнительное образование, Издательские услуги, Учебный центр</t>
  </si>
  <si>
    <t>пн-пт 08:30–16:00</t>
  </si>
  <si>
    <t>Кухни Rits</t>
  </si>
  <si>
    <t>+7 (8362) 31-14-21</t>
  </si>
  <si>
    <t xml:space="preserve">favorkuhni12@bk.ru, sell@ritskuhni.ru, sbfavor@yandex.ru, sell@rits-fasad.ru  </t>
  </si>
  <si>
    <t>http://ritskuhni.ru/, http://favorkuhni.ru/</t>
  </si>
  <si>
    <t>Магазин мебели, Мебель для кухни, Мебель на заказ</t>
  </si>
  <si>
    <t>https://vk.com/public98090888</t>
  </si>
  <si>
    <t>47.885491 56.635219</t>
  </si>
  <si>
    <t>Гриф Оои</t>
  </si>
  <si>
    <t>Полимерные материалы</t>
  </si>
  <si>
    <t>Веселый малыш</t>
  </si>
  <si>
    <t>47.916917 56.631521</t>
  </si>
  <si>
    <t>Панатэк</t>
  </si>
  <si>
    <t>+7 (8362) 63-64-68, +7 (8362) 64-06-91, +7 (8362) 64-07-72</t>
  </si>
  <si>
    <t xml:space="preserve">info.sale.panatek@yandex.ru </t>
  </si>
  <si>
    <t>http://vk.com/panatek</t>
  </si>
  <si>
    <t>47.835541 56.635812</t>
  </si>
  <si>
    <t>Центр профессионального обучения</t>
  </si>
  <si>
    <t>Красноармейская ул., 55, Йошкар-Ола</t>
  </si>
  <si>
    <t>+7 (8362) 42-39-68</t>
  </si>
  <si>
    <t>пн-пт 08:00–20:00; сб 08:00–16:00</t>
  </si>
  <si>
    <t>47.888509 56.641846</t>
  </si>
  <si>
    <t>Марийская картонажная мануфактура</t>
  </si>
  <si>
    <t>+7 (8362) 63-02-79, +7 (8362) 63-02-67, +7 (8362) 63-02-78</t>
  </si>
  <si>
    <t>+7 (8362) 63-02-66</t>
  </si>
  <si>
    <t>http://promopack.pro/</t>
  </si>
  <si>
    <t>Производство и продажа бумаги, Тара и упаковочные материалы, Товары народного потребления</t>
  </si>
  <si>
    <t>Мебель на заказ Пластик - Style</t>
  </si>
  <si>
    <t>+7 (8362) 99-49-94</t>
  </si>
  <si>
    <t xml:space="preserve">salonps@mail.ru  </t>
  </si>
  <si>
    <t>http://plastik-style.ru/</t>
  </si>
  <si>
    <t>Корпусная мебель, Магазин мебели, Мебель для кухни, Торговое оборудование</t>
  </si>
  <si>
    <t>47.917907 56.627485</t>
  </si>
  <si>
    <t>Монотоп</t>
  </si>
  <si>
    <t>+7 (8362) 63-55-50, +7 (8362) 63-69-40</t>
  </si>
  <si>
    <t>47.833241 56.636694</t>
  </si>
  <si>
    <t>Талис</t>
  </si>
  <si>
    <t>+7 (8362) 64-49-19</t>
  </si>
  <si>
    <t xml:space="preserve">schooltalis@gmail.com, nou_talis@mail.ru </t>
  </si>
  <si>
    <t>http://studytalis.ru/</t>
  </si>
  <si>
    <t>Курсы иностранных языков</t>
  </si>
  <si>
    <t>пн-пт 09:00–18:00; сб 09:00–16:00</t>
  </si>
  <si>
    <t>47.863426 56.645058</t>
  </si>
  <si>
    <t>Флаер Плюс</t>
  </si>
  <si>
    <t>+7 (8362) 45-90-57</t>
  </si>
  <si>
    <t>47.8775 56.6279</t>
  </si>
  <si>
    <t>WebMoney12</t>
  </si>
  <si>
    <t>Электронная платежная система</t>
  </si>
  <si>
    <t>Товары для творчества и рукоделия, Швейные и вязальные машины</t>
  </si>
  <si>
    <t>https://vk.com/ds_yola</t>
  </si>
  <si>
    <t>47.88572 56.632545</t>
  </si>
  <si>
    <t>Колизей</t>
  </si>
  <si>
    <t>47.894863 56.639488</t>
  </si>
  <si>
    <t>ГК Строитель</t>
  </si>
  <si>
    <t>ул. Дружбы, 105А, Йошкар-Ола</t>
  </si>
  <si>
    <t>47.871422 56.653298</t>
  </si>
  <si>
    <t>Печать</t>
  </si>
  <si>
    <t>Вектор</t>
  </si>
  <si>
    <t>+7 (8362) 41-90-84, +7 (8362) 96-91-94</t>
  </si>
  <si>
    <t>пн-пт 08:00–18:00; сб,вс 09:00–13:00</t>
  </si>
  <si>
    <t>47.87378 56.652739</t>
  </si>
  <si>
    <t>ул. Героев Сталинградской Битвы, 26Б, Йошкар-Ола</t>
  </si>
  <si>
    <t>+7 (8362) 31-03-03, +7 (8362) 51-47-67</t>
  </si>
  <si>
    <t>+7 (8362) 64-31-71</t>
  </si>
  <si>
    <t>Алюминий, алюминиевые конструкции, Ателье по пошиву одежды, Двери, Окна</t>
  </si>
  <si>
    <t>47.946114 56.626583</t>
  </si>
  <si>
    <t>Ингосстрах, офис продаж</t>
  </si>
  <si>
    <t>+7 (8362) 42-94-39, +7 (8362) 42-94-22</t>
  </si>
  <si>
    <t xml:space="preserve">www@ingos.ru  </t>
  </si>
  <si>
    <t>https://www.ingos.ru/?utm_campaign=link_from_office_moscowu0026utm_medium=referralu0026utm_source=yandex_maps</t>
  </si>
  <si>
    <t>Мартрансагентство</t>
  </si>
  <si>
    <t>+7 (8362) 45-11-02</t>
  </si>
  <si>
    <t>Детский сад № 7 для детей с туберкулёзной интоксикацией Золушка</t>
  </si>
  <si>
    <t>Советская ул., 22А, Йошкар-Ола</t>
  </si>
  <si>
    <t>+7 (8362) 45-10-46</t>
  </si>
  <si>
    <t xml:space="preserve">uoa-yoshkar-ola@yandex.ru  </t>
  </si>
  <si>
    <t>http://edu.mari.ru/mouo-yoshkarola/dou7/</t>
  </si>
  <si>
    <t>47.9471 56.6387</t>
  </si>
  <si>
    <t>Детский клуб Лучик</t>
  </si>
  <si>
    <t>+7 (8362) 96-39-97, +7 (8362) 77-25-60, +7 (8362) 61-88-40</t>
  </si>
  <si>
    <t>+7 (987) 711-80-82</t>
  </si>
  <si>
    <t>Детский лагерь отдыха, Дополнительное образование, Клуб для детей и подростков, Курсы иностранных языков, Логопеды, Услуги репетиторов, Школа искусств</t>
  </si>
  <si>
    <t>ежедневно, 09:30–19:00</t>
  </si>
  <si>
    <t>Марагропромдорстрой</t>
  </si>
  <si>
    <t>+7 (8362) 45-10-70, +7 (8362) 64-18-78</t>
  </si>
  <si>
    <t>+7 (8362) 64-18-78</t>
  </si>
  <si>
    <t xml:space="preserve">getbuyers.blizko@yandex.ru, agrodor12@mail.ru, spk.mads@yandex.ru </t>
  </si>
  <si>
    <t>ежедневно, 07:00–21:00</t>
  </si>
  <si>
    <t>Альфа</t>
  </si>
  <si>
    <t>+7 (8362) 42-70-70</t>
  </si>
  <si>
    <t>+7 (927) 870-90-00</t>
  </si>
  <si>
    <t xml:space="preserve">info@prof-podrayd.ru  </t>
  </si>
  <si>
    <t>Автокосметика, автохимия, Магазин автозапчастей и автотоваров</t>
  </si>
  <si>
    <t>https://vk.com/club112787889</t>
  </si>
  <si>
    <t>47.871263 56.638085</t>
  </si>
  <si>
    <t>+7 (8362) 65-35-00, +7 (8362) 72-13-40</t>
  </si>
  <si>
    <t xml:space="preserve">info@energoresurs-irk.ru </t>
  </si>
  <si>
    <t>47.867931 56.637294</t>
  </si>
  <si>
    <t>Художник Кооператив</t>
  </si>
  <si>
    <t>ул. Волкова, 65А, Йошкар-Ола</t>
  </si>
  <si>
    <t>+7 (8362) 11-62-79</t>
  </si>
  <si>
    <t>47.902025 56.643946</t>
  </si>
  <si>
    <t>Союз театральных деятелей РФ, Марийская региональная общественная организация</t>
  </si>
  <si>
    <t>наб. Амстердам, 2, Йошкар-Ола</t>
  </si>
  <si>
    <t>+7 (8362) 45-58-44</t>
  </si>
  <si>
    <t xml:space="preserve">std-mari@list.ru  </t>
  </si>
  <si>
    <t>http://std-mari.ru/</t>
  </si>
  <si>
    <t>Общественная организация, Театр</t>
  </si>
  <si>
    <t>https://vk.com/stdmari</t>
  </si>
  <si>
    <t>47.898623 56.631155</t>
  </si>
  <si>
    <t>Моё образование</t>
  </si>
  <si>
    <t>+7 (8362) 72-02-62, +7 (8362) 41-32-95, +7 (8362) 72-30-40</t>
  </si>
  <si>
    <t>+7 (8362) 72-02-62, +7 (8362) 41-32-95</t>
  </si>
  <si>
    <t xml:space="preserve">press@akvobr.ru  </t>
  </si>
  <si>
    <t>http://www.akvobr.ru/</t>
  </si>
  <si>
    <t>Издательские услуги, Информационная служба, Информационный интернет-сайт, Рекламное агентство</t>
  </si>
  <si>
    <t>https://vk.com/akvobr</t>
  </si>
  <si>
    <t>https://twitter.com/akvobrru</t>
  </si>
  <si>
    <t>https://www.facebook.com/pages/%D0%96%D1%83%D1%80%D0%BD%D0%B0%D0%BB-%D0%90%D0%BA%D0%BA%D1%80%D0%B5%D0%B4%D0%B8%D1%82%D0%B0%D1%86%D0%B8%D1%8F-%D0%B2-%D0%BE%D0%B1%D1%80%D0%B0%D0%B7%D0%BE%D0%B2%D0%B0%D0%BD%D0%B8%D0%B8/281018918577024</t>
  </si>
  <si>
    <t>47.8716 56.6388</t>
  </si>
  <si>
    <t>Бьюти Хауз</t>
  </si>
  <si>
    <t>Красноармейская ул., 17, Йошкар-Ола</t>
  </si>
  <si>
    <t>+7 (8362) 25-52-55</t>
  </si>
  <si>
    <t>пн-пт 09:00–21:00; сб,вс 09:00–19:00</t>
  </si>
  <si>
    <t>47.900235 56.639386</t>
  </si>
  <si>
    <t>Гфбу по Обеспечению Инженерных Защит Чебоксарского Водохранилища по Республике Марий Эл</t>
  </si>
  <si>
    <t>+7 (8362) 41-64-87, +7 (8362) 41-61-90</t>
  </si>
  <si>
    <t xml:space="preserve">water@mari-el.ru  </t>
  </si>
  <si>
    <t>http://gfu.mari-el.ru/</t>
  </si>
  <si>
    <t>Очистные сооружения и оборудование</t>
  </si>
  <si>
    <t>Samaya</t>
  </si>
  <si>
    <t>ул. Мира, 34, Йошкар-Ола</t>
  </si>
  <si>
    <t>+7 (8362) 39-23-17</t>
  </si>
  <si>
    <t>47.943428 56.63463</t>
  </si>
  <si>
    <t>Муромец Плюс</t>
  </si>
  <si>
    <t>+7 (8362) 66-52-92, +7 (8362) 27-58-68, +7 (8362) 73-17-09</t>
  </si>
  <si>
    <t xml:space="preserve">muromets15@mail.ru </t>
  </si>
  <si>
    <t>http://muromec.net/</t>
  </si>
  <si>
    <t>Корпусная мебель, Мебель для офиса, Мебельная фабрика, Учебное оборудование</t>
  </si>
  <si>
    <t>Фемида</t>
  </si>
  <si>
    <t>+7 (8362) 56-06-99</t>
  </si>
  <si>
    <t>пн-сб 09:00–20:00; вс 09:00–16:00</t>
  </si>
  <si>
    <t>47.921063 56.636976</t>
  </si>
  <si>
    <t>Адвокатский кабинет Леммет Пегашева Дмитрия Леонидовича</t>
  </si>
  <si>
    <t>+7 (8362) 31-94-94, +7 (8362) 54-99-44</t>
  </si>
  <si>
    <t>+7 (964) 864-99-44</t>
  </si>
  <si>
    <t xml:space="preserve">lemmet@mail.ru  </t>
  </si>
  <si>
    <t>http://www.lemmet.ru/</t>
  </si>
  <si>
    <t>Марийстрой УКК</t>
  </si>
  <si>
    <t>ул. Петрова, 14, Йошкар-Ола</t>
  </si>
  <si>
    <t>+7 (8362) 73-41-90</t>
  </si>
  <si>
    <t>47.920898 56.633214</t>
  </si>
  <si>
    <t>Баня № 2</t>
  </si>
  <si>
    <t>Комсомольская ул., 147, Йошкар-Ола</t>
  </si>
  <si>
    <t>+7 (8362) 45-05-45</t>
  </si>
  <si>
    <t>пн,пт 13:00–21:00; сб,вс 10:00–21:00</t>
  </si>
  <si>
    <t>47.894237 56.636415</t>
  </si>
  <si>
    <t>Железобетон СМУ АО</t>
  </si>
  <si>
    <t>Элегант</t>
  </si>
  <si>
    <t>+7 (8362) 45-21-67</t>
  </si>
  <si>
    <t>47.887628 56.629569</t>
  </si>
  <si>
    <t>Люкс Вуд</t>
  </si>
  <si>
    <t>ул. Строителей, 98А, Йошкар-Ола</t>
  </si>
  <si>
    <t>47.869155 56.60813</t>
  </si>
  <si>
    <t>Народный хор ветеранов войны и труда</t>
  </si>
  <si>
    <t>+7 (8362) 72-30-70</t>
  </si>
  <si>
    <t>Творческий коллектив, Хор, хоровая студия</t>
  </si>
  <si>
    <t>пн,чт 11:00–13:00</t>
  </si>
  <si>
    <t>Аквамарин</t>
  </si>
  <si>
    <t>ул. Воинов-Интернационалистов, 24А, Йошкар-Ола</t>
  </si>
  <si>
    <t>+7 (8362) 24-11-24</t>
  </si>
  <si>
    <t>Магазин бытовой техники, Ремонт бытовой техники</t>
  </si>
  <si>
    <t>47.926092 56.635086</t>
  </si>
  <si>
    <t>Политехнический лицей-интернат</t>
  </si>
  <si>
    <t>ул. Карла Либкнехта, 53, Йошкар-Ола</t>
  </si>
  <si>
    <t>+7 (8362) 22-33-32, +7 (8362) 22-32-63</t>
  </si>
  <si>
    <t xml:space="preserve">licei@mari-el.ru, minobr@mari-el.ru  </t>
  </si>
  <si>
    <t>http://edu.mari.ru/ou_respub/sh2/</t>
  </si>
  <si>
    <t>Школа-интернат</t>
  </si>
  <si>
    <t>47.954782 56.641144</t>
  </si>
  <si>
    <t>КолорХим</t>
  </si>
  <si>
    <t>+7 (8362) 41-25-10</t>
  </si>
  <si>
    <t>+7 (927) 873-88-00</t>
  </si>
  <si>
    <t>http://colorhim.ru/</t>
  </si>
  <si>
    <t>47.887735 56.634967</t>
  </si>
  <si>
    <t>Адвокатская палата Республики Марий Эл</t>
  </si>
  <si>
    <t>+7 (8362) 42-64-15</t>
  </si>
  <si>
    <t xml:space="preserve">advpalatamari@yandex.ru  </t>
  </si>
  <si>
    <t>http://advpalata.ter12.ru/</t>
  </si>
  <si>
    <t>47.885415 56.627827</t>
  </si>
  <si>
    <t>Триада</t>
  </si>
  <si>
    <t>+7 (8362) 45-66-73, +7 (8362) 25-52-26, +7 (8362) 45-26-45</t>
  </si>
  <si>
    <t xml:space="preserve">op_triada@mail.ru, asheff6@yandex.ru  </t>
  </si>
  <si>
    <t>http://www.triada12.ru/</t>
  </si>
  <si>
    <t>пн-пт 08:30–18:30</t>
  </si>
  <si>
    <t>https://vk.com/op_triada</t>
  </si>
  <si>
    <t>https://www.facebook.com/Andrey-Schevlyakov-240268263456655/</t>
  </si>
  <si>
    <t>Запчасти12</t>
  </si>
  <si>
    <t>Россия, Республика Марий Эл, Йошкар-Ола</t>
  </si>
  <si>
    <t>+7 (8362) 33-75-55</t>
  </si>
  <si>
    <t>+7 (917) 702-32-43, +7 (927) 883-75-55</t>
  </si>
  <si>
    <t>http://zapchasti12.ru/</t>
  </si>
  <si>
    <t>47.839001 56.63272</t>
  </si>
  <si>
    <t>Аквариум под ключ</t>
  </si>
  <si>
    <t>ул. Анникова, 1А, Йошкар-Ола</t>
  </si>
  <si>
    <t>+7 (961) 333-84-41, +7 (927) 881-40-91, +7 (969) 778-08-27</t>
  </si>
  <si>
    <t>Зоомагазин, Магазин аквариумов</t>
  </si>
  <si>
    <t>ср-вс 11:00–16:00</t>
  </si>
  <si>
    <t>47.844128 56.643762</t>
  </si>
  <si>
    <t>ул. Баумана, 20Б, Йошкар-Ола</t>
  </si>
  <si>
    <t>+7 (8362) 75-03-34</t>
  </si>
  <si>
    <t>+7 (902) 745-03-34</t>
  </si>
  <si>
    <t>http://obuv-mariel.dsmariel.ru/</t>
  </si>
  <si>
    <t>47.843985 56.638733</t>
  </si>
  <si>
    <t>+7 (8362) 72-24-30, +7 (8362) 63-01-25</t>
  </si>
  <si>
    <t>http://www.yolabooks.ru/</t>
  </si>
  <si>
    <t>47.874559 56.637136</t>
  </si>
  <si>
    <t>+7 (8362) 45-11-56, +7 (8362) 42-01-27</t>
  </si>
  <si>
    <t>http://kl6242.polzdr.ru/</t>
  </si>
  <si>
    <t>Оздоровительный центр</t>
  </si>
  <si>
    <t>Monte Carlo</t>
  </si>
  <si>
    <t>пн-пт 10:00–20:00; сб,вс 11:00–19:00</t>
  </si>
  <si>
    <t>47.887709 56.631773</t>
  </si>
  <si>
    <t>Сервисный центр Хайтэк-Сервис</t>
  </si>
  <si>
    <t>+7 (8362) 31-43-20, +7 (8362) 31-43-21</t>
  </si>
  <si>
    <t xml:space="preserve">kurdanov@e-hitech.ru  </t>
  </si>
  <si>
    <t>GPS-навигаторы, Компьютерный ремонт и услуги, Ремонт телефонов</t>
  </si>
  <si>
    <t>http://vk.com/xs9170714320</t>
  </si>
  <si>
    <t>https://www.instagram.com/hitech_service_</t>
  </si>
  <si>
    <t>47.887212 56.627627</t>
  </si>
  <si>
    <t>Отдел Продовольственного Обеспечения и Организации Торговли МВД</t>
  </si>
  <si>
    <t>+7 (8362) 41-30-01</t>
  </si>
  <si>
    <t>47.895108 56.63807</t>
  </si>
  <si>
    <t>Неаполь</t>
  </si>
  <si>
    <t>ул. Кутрухина, 13, Йошкар-Ола</t>
  </si>
  <si>
    <t>8 (800) 250-03-13</t>
  </si>
  <si>
    <t>+7 (917) 711-11-17</t>
  </si>
  <si>
    <t xml:space="preserve">info@ritual-opt.ru  </t>
  </si>
  <si>
    <t>http://ritual-opt.ru/</t>
  </si>
  <si>
    <t>Искусственные растения и цветы, Ритуальные принадлежности</t>
  </si>
  <si>
    <t>47.949863 56.626826</t>
  </si>
  <si>
    <t>47.940479 56.622636</t>
  </si>
  <si>
    <t>Механика-Сервис</t>
  </si>
  <si>
    <t>ул. Крылова, 58, Йошкар-Ола</t>
  </si>
  <si>
    <t>+7 (8362) 73-37-11</t>
  </si>
  <si>
    <t>Насосы, насосное оборудование, Промышленное оборудование, Системы вентиляции</t>
  </si>
  <si>
    <t>47.829414 56.622925</t>
  </si>
  <si>
    <t>Colin's</t>
  </si>
  <si>
    <t>ул. Кирова, 6, Йошкар-Ола</t>
  </si>
  <si>
    <t>8 (800) 555-53-26</t>
  </si>
  <si>
    <t xml:space="preserve">inet@fortgroup.ru  </t>
  </si>
  <si>
    <t>https://www.colins.ru/, http://www.colinsjeans.com/</t>
  </si>
  <si>
    <t>Магазин верхней одежды, Магазин джинсовой одежды, Магазин одежды</t>
  </si>
  <si>
    <t>https://vk.com/colins_russia</t>
  </si>
  <si>
    <t>https://www.facebook.com/Colins.Russia</t>
  </si>
  <si>
    <t>https://www.instagram.com/colins.russia</t>
  </si>
  <si>
    <t>47.930584 56.627764</t>
  </si>
  <si>
    <t>+7 (8362) 45-19-46, +7 (8362) 63-01-25, +7 (8362) 42-88-55</t>
  </si>
  <si>
    <t>+7 (919) 412-20-20</t>
  </si>
  <si>
    <t>http://vk.com/goodbooks12</t>
  </si>
  <si>
    <t>47.893661 56.629179</t>
  </si>
  <si>
    <t>Омега</t>
  </si>
  <si>
    <t>Краснофлотская ул., 15, Йошкар-Ола</t>
  </si>
  <si>
    <t>Инструментальная промышленность, Машиностроительный завод, Металлообработка</t>
  </si>
  <si>
    <t>47.843203 56.635253</t>
  </si>
  <si>
    <t>Дека</t>
  </si>
  <si>
    <t>+7 (8362) 30-40-32</t>
  </si>
  <si>
    <t xml:space="preserve">kpf_deka@mail.ru  </t>
  </si>
  <si>
    <t>http://www.kpf-deka.ru/</t>
  </si>
  <si>
    <t>Автотранссервис</t>
  </si>
  <si>
    <t>+7 (8362) 72-84-30</t>
  </si>
  <si>
    <t>Мельник</t>
  </si>
  <si>
    <t>+7 (8362) 45-87-64, +7 (8362) 45-75-22</t>
  </si>
  <si>
    <t>+7 (8362) 45-75-22</t>
  </si>
  <si>
    <t>Здоровье</t>
  </si>
  <si>
    <t>+7 (8362) 46-87-88</t>
  </si>
  <si>
    <t>Медцентр, клиника, Оздоровительный центр</t>
  </si>
  <si>
    <t>47.889847 56.643151</t>
  </si>
  <si>
    <t>Дантист-К</t>
  </si>
  <si>
    <t>бул. Победы, 7, Йошкар-Ола</t>
  </si>
  <si>
    <t>+7 (8362) 42-90-83</t>
  </si>
  <si>
    <t>47.883615 56.637507</t>
  </si>
  <si>
    <t>Отечество</t>
  </si>
  <si>
    <t>+7 (8362) 42-98-97</t>
  </si>
  <si>
    <t>Наш профиль</t>
  </si>
  <si>
    <t>+7 (8362) 73-32-28, +7 (8362) 73-13-29</t>
  </si>
  <si>
    <t>Белошвейка</t>
  </si>
  <si>
    <t>+7 (8362) 45-74-54, +7 (8362) 99-59-27</t>
  </si>
  <si>
    <t>Нитки, пряжа, Товары для творчества и рукоделия, Швейные и вязальные машины</t>
  </si>
  <si>
    <t>пн-пт 09:30–19:00; сб,вс 09:30–18:00</t>
  </si>
  <si>
    <t>47.8839 56.6432</t>
  </si>
  <si>
    <t>Издательский дом ОТО</t>
  </si>
  <si>
    <t>+7 (8362) 21-05-98</t>
  </si>
  <si>
    <t>МБОУ Средняя общеобразовательная школа № 19 г. Йошкар-Олы</t>
  </si>
  <si>
    <t>ул. Йывана Кырли, 19, корп. Б, Йошкар-Ола</t>
  </si>
  <si>
    <t>+7 (8362) 46-56-50, +7 (8362) 46-54-80, +7 (8362) 46-56-30, +7 (8362) 46-54-90</t>
  </si>
  <si>
    <t xml:space="preserve">korifei19@mail.ru </t>
  </si>
  <si>
    <t>http://www.корифеи19.рф/</t>
  </si>
  <si>
    <t>пн-пт 08:00–19:00; сб 08:00–17:00</t>
  </si>
  <si>
    <t>http://vk.com/school19_ola</t>
  </si>
  <si>
    <t>47.839421 56.643435</t>
  </si>
  <si>
    <t>ежедневно, 12:00–22:00</t>
  </si>
  <si>
    <t>47.92256 56.63021</t>
  </si>
  <si>
    <t>Практика</t>
  </si>
  <si>
    <t>+7 (8362) 42-48-09</t>
  </si>
  <si>
    <t>TravelLine</t>
  </si>
  <si>
    <t>Ленинский просп., 56А, Йошкар-Ола</t>
  </si>
  <si>
    <t>8 (800) 555-20-30, +7 (8362) 63-00-98</t>
  </si>
  <si>
    <t xml:space="preserve">welcome@travelline.ru, pr@travelline.ru, sales@travelline.ru, support@travelline.ru, hr@travelline.ru  </t>
  </si>
  <si>
    <t>https://www.travelline.ru/</t>
  </si>
  <si>
    <t>IT-компания, Интернет-маркетинг, Программное обеспечение, Студия веб-дизайна</t>
  </si>
  <si>
    <t>пн-пт 08:00–23:00; сб,вс 08:00–19:00</t>
  </si>
  <si>
    <t>https://vk.com/TravelLine_ru</t>
  </si>
  <si>
    <t>https://www.facebook.com/TravelLineRu</t>
  </si>
  <si>
    <t>https://www.instagram.com/travelline_ru</t>
  </si>
  <si>
    <t>47.877221 56.636959</t>
  </si>
  <si>
    <t>Марийский Республиканский центр Повышения Квалификации Специалистов Со Средним Медицинским и Фармацевтическим Образованием ГОУ Дополнительного Профессионального Образования</t>
  </si>
  <si>
    <t>ул. Йывана Кырли, 10, Йошкар-Ола</t>
  </si>
  <si>
    <t>+7 (8362) 73-33-50</t>
  </si>
  <si>
    <t>47.842987 56.640327</t>
  </si>
  <si>
    <t>Габбро</t>
  </si>
  <si>
    <t>+7 (8362) 42-96-91, +7 (8362) 41-35-62, +7 (8362) 72-11-33</t>
  </si>
  <si>
    <t>+7 (8362) 41-35-62</t>
  </si>
  <si>
    <t xml:space="preserve">ivanivanovich@mail.ru  </t>
  </si>
  <si>
    <t>http://www.gabbro.su/</t>
  </si>
  <si>
    <t>Изготовление памятников и надгробий, Изделия из камня, Ритуальные принадлежности</t>
  </si>
  <si>
    <t>47.890828 56.640023</t>
  </si>
  <si>
    <t>D-GATe</t>
  </si>
  <si>
    <t>+7 (902) 664-78-39</t>
  </si>
  <si>
    <t xml:space="preserve">qualitative.sites@gmail.com </t>
  </si>
  <si>
    <t>Студия веб-дизайна</t>
  </si>
  <si>
    <t>Марийхимчистка</t>
  </si>
  <si>
    <t>+7 (8362) 41-86-01</t>
  </si>
  <si>
    <t xml:space="preserve">test@test.ru, alex9637@yandex.ru  </t>
  </si>
  <si>
    <t>http://mari-him.ru/</t>
  </si>
  <si>
    <t>Прачечная, Химчистка, Чистка ковров</t>
  </si>
  <si>
    <t>47.873501 56.654701</t>
  </si>
  <si>
    <t>Шале</t>
  </si>
  <si>
    <t>Ленинский просп., 15Г, Йошкар-Ола</t>
  </si>
  <si>
    <t>+7 (8362) 21-06-16, +7 (8362) 24-06-16</t>
  </si>
  <si>
    <t>+7 (902) 105-39-06</t>
  </si>
  <si>
    <t xml:space="preserve">chalet.cafe@mail.ru  </t>
  </si>
  <si>
    <t>пн-чт 12:00–00:00; пт 12:00–02:00; сб 13:00–02:00; вс 12:00–00:00</t>
  </si>
  <si>
    <t>http://vk.com/cafechalet</t>
  </si>
  <si>
    <t>http://facebook.com/groups/cafechalet</t>
  </si>
  <si>
    <t>https://www.instagram.com/cafechalet/</t>
  </si>
  <si>
    <t>47.903062 56.626248</t>
  </si>
  <si>
    <t>БизнесКар</t>
  </si>
  <si>
    <t>ул. Строителей, 98Г, Йошкар-Ола</t>
  </si>
  <si>
    <t>47.871839 56.609254</t>
  </si>
  <si>
    <t>НПП Поиск</t>
  </si>
  <si>
    <t>+7 (8362) 65-00-85</t>
  </si>
  <si>
    <t>пн-пт 07:00–16:00</t>
  </si>
  <si>
    <t>Страж-ВЕ</t>
  </si>
  <si>
    <t>+7 (8362) 73-45-00, +7 (8362) 63-56-14, +7 (8362) 73-45-12</t>
  </si>
  <si>
    <t>Замки и запорные устройства</t>
  </si>
  <si>
    <t>Подборное</t>
  </si>
  <si>
    <t>+7 (8362) 41-13-80</t>
  </si>
  <si>
    <t>47.877099 56.631289</t>
  </si>
  <si>
    <t>Простая еда</t>
  </si>
  <si>
    <t>бул. Чавайна, 31, корп. 1, Йошкар-Ола</t>
  </si>
  <si>
    <t>+7 (909) 369-10-00</t>
  </si>
  <si>
    <t>https://vk.com/prostayaeda_cafe</t>
  </si>
  <si>
    <t>https://www.instagram.com/prostayaeda_cafe/</t>
  </si>
  <si>
    <t>47.900751 56.633869</t>
  </si>
  <si>
    <t>Mobi-Help</t>
  </si>
  <si>
    <t>47.864089 56.650849</t>
  </si>
  <si>
    <t>Астория</t>
  </si>
  <si>
    <t>+7 (8362) 42-90-96</t>
  </si>
  <si>
    <t>+7 (902) 329-18-52, +7 (902) 671-62-49</t>
  </si>
  <si>
    <t>Стоматологический кабинет</t>
  </si>
  <si>
    <t>+7 (8362) 56-66-65</t>
  </si>
  <si>
    <t>47.89835 56.636576</t>
  </si>
  <si>
    <t>Кларио центр</t>
  </si>
  <si>
    <t>Авиценна</t>
  </si>
  <si>
    <t>ул. Героев Сталинградской Битвы, 34, Йошкар-Ола</t>
  </si>
  <si>
    <t>+7 (8362) 64-33-13</t>
  </si>
  <si>
    <t>47.945798 56.625204</t>
  </si>
  <si>
    <t>Толстяк Оптовый Склад</t>
  </si>
  <si>
    <t>ул. Луначарского, 52/3, Йошкар-Ола</t>
  </si>
  <si>
    <t>+7 (8362) 74-18-67, +7 (8362) 41-55-96, +7 (8362) 63-03-95, +7 (8362) 42-49-77</t>
  </si>
  <si>
    <t>+7 (8362) 41-55-96</t>
  </si>
  <si>
    <t xml:space="preserve">48@li.ru  </t>
  </si>
  <si>
    <t>Безалкогольные напитки оптом, Оптовая компания, Продукты питания оптом, Складские услуги</t>
  </si>
  <si>
    <t>http://vk.com/club5810197</t>
  </si>
  <si>
    <t>47.898753 56.617448</t>
  </si>
  <si>
    <t>Марийский Технопарк</t>
  </si>
  <si>
    <t>+7 (8362) 59-68-29</t>
  </si>
  <si>
    <t>Professional Cosmetics</t>
  </si>
  <si>
    <t>Красноармейская ул., 86А, Йошкар-Ола</t>
  </si>
  <si>
    <t>+7 (8362) 30-44-66, +7 (8362) 30-44-00</t>
  </si>
  <si>
    <t>+7 (937) 935-65-15</t>
  </si>
  <si>
    <t xml:space="preserve">strategia@list.ru </t>
  </si>
  <si>
    <t>Магазин парфюмерии и косметики, Оборудование и материалы для салонов красоты, Торговое оборудование</t>
  </si>
  <si>
    <t>https://vk.com/club29155762</t>
  </si>
  <si>
    <t>47.870389 56.645982</t>
  </si>
  <si>
    <t>Софьян</t>
  </si>
  <si>
    <t>+7 (8362) 42-69-41</t>
  </si>
  <si>
    <t>47.880712 56.625969</t>
  </si>
  <si>
    <t>КПКГ Дельтакредит-М</t>
  </si>
  <si>
    <t>Glance</t>
  </si>
  <si>
    <t>+7 (8362) 42-93-18</t>
  </si>
  <si>
    <t xml:space="preserve">tcmitino@mail.ru  </t>
  </si>
  <si>
    <t>http://glance.ru/</t>
  </si>
  <si>
    <t>https://vk.com/public_glance</t>
  </si>
  <si>
    <t>https://twitter.com/glance_official</t>
  </si>
  <si>
    <t>https://www.facebook.com/glance.ru</t>
  </si>
  <si>
    <t>http://www.youtube.com/user/glancefashion#p/u</t>
  </si>
  <si>
    <t>Завод Диском</t>
  </si>
  <si>
    <t>+7 (8362) 77-78-01, +7 (8362) 96-63-79, +7 (8362) 73-50-07, +7 (8362) 73-50-11</t>
  </si>
  <si>
    <t xml:space="preserve">discom12@mail.ru, discom12@yandex.ru  </t>
  </si>
  <si>
    <t>http://discom12.ru/</t>
  </si>
  <si>
    <t>Машиностроительный завод, Металлообработка, Металлопрокат</t>
  </si>
  <si>
    <t>47.829013 56.617238</t>
  </si>
  <si>
    <t>Волшебный Вояж</t>
  </si>
  <si>
    <t>+7 (8362) 35-45-55, +7 (8362) 45-21-65</t>
  </si>
  <si>
    <t>+7 (8362) 45-21-65</t>
  </si>
  <si>
    <t xml:space="preserve">volshebniy-voyaj@yandex.ru  </t>
  </si>
  <si>
    <t>пн-пт 10:00–19:00; сб 11:00–15:00</t>
  </si>
  <si>
    <t>http://vk.com/club24925024</t>
  </si>
  <si>
    <t>47.885746 56.635613</t>
  </si>
  <si>
    <t>Медис</t>
  </si>
  <si>
    <t>+7 (8362) 21-92-16, +7 (8362) 21-97-23, +7 (8362) 21-37-56</t>
  </si>
  <si>
    <t>Спартак</t>
  </si>
  <si>
    <t>+7 (843) 277-03-03, +7 (8362) 56-08-60</t>
  </si>
  <si>
    <t xml:space="preserve">orp@spartak-shoes.ru </t>
  </si>
  <si>
    <t>Магазин детской обуви, Магазин обуви</t>
  </si>
  <si>
    <t>https://vk.com/spartak_shoes</t>
  </si>
  <si>
    <t>47.907881 56.630104</t>
  </si>
  <si>
    <t>Магазин одежды Дева</t>
  </si>
  <si>
    <t>+7 (927) 683-46-10</t>
  </si>
  <si>
    <t>Марстройкомплект</t>
  </si>
  <si>
    <t>+7 (8362) 65-82-59, +7 (8362) 96-04-70</t>
  </si>
  <si>
    <t>+7 (987) 718-33-31</t>
  </si>
  <si>
    <t xml:space="preserve">kripkov@rambler.ru, tsibrintsibes@gmail.com </t>
  </si>
  <si>
    <t>Дочки-Сыночки</t>
  </si>
  <si>
    <t>ул. Баумана, 16, Йошкар-Ола</t>
  </si>
  <si>
    <t>+7 (8362) 49-75-14</t>
  </si>
  <si>
    <t xml:space="preserve">info@tc-edelweiss.ru  </t>
  </si>
  <si>
    <t>https://www.dochkisinochki.ru/</t>
  </si>
  <si>
    <t>Детские игрушки и игры, Детский магазин, Магазин детской одежды</t>
  </si>
  <si>
    <t>https://vk.com/public40926256</t>
  </si>
  <si>
    <t>https://ok.ru/dochkisinochki</t>
  </si>
  <si>
    <t>https://www.facebook.com/dochkisynochki/</t>
  </si>
  <si>
    <t>https://www.instagram.com/dochkisinochki/</t>
  </si>
  <si>
    <t>47.843152 56.64107</t>
  </si>
  <si>
    <t>Центр Судебных Экспертиз</t>
  </si>
  <si>
    <t>Автоэкспертиза, оценка автомобилей, Строительная экспертиза и технадзор, Судебно-медицинская экспертиза</t>
  </si>
  <si>
    <t>Дом-музей И.С. Ключникова-Палантая</t>
  </si>
  <si>
    <t>ул. Льва Толстого, 25, Йошкар-Ола</t>
  </si>
  <si>
    <t>+7 (8362) 45-19-19</t>
  </si>
  <si>
    <t xml:space="preserve">evseev-museum@mail.ru, mip12reg@yandex.ru  </t>
  </si>
  <si>
    <t>http://www.fumus.ru/?Itemid=819u0026lang=ruu0026layout=categoryu0026option=com_k2u0026view=itemlist</t>
  </si>
  <si>
    <t>вт-сб 09:00–17:00</t>
  </si>
  <si>
    <t>47.903072 56.645439</t>
  </si>
  <si>
    <t>Бизнес Консалтинг</t>
  </si>
  <si>
    <t>+7 (8362) 54-15-55, +7 (8362) 36-15-55</t>
  </si>
  <si>
    <t>+7 (917) 710-30-11</t>
  </si>
  <si>
    <t>http://bcc-training.ru/, http://bccsales.ru/</t>
  </si>
  <si>
    <t>Бизнес-консалтинг, Кадровое агентство</t>
  </si>
  <si>
    <t>https://www.facebook.com/bcc.training</t>
  </si>
  <si>
    <t>47.90076 56.64684</t>
  </si>
  <si>
    <t>Вестерн Юнион</t>
  </si>
  <si>
    <t>Пролетарская ул., 17, Йошкар-Ола</t>
  </si>
  <si>
    <t>8 (800) 200-22-32</t>
  </si>
  <si>
    <t xml:space="preserve">russia.customer@westernunion.ru  </t>
  </si>
  <si>
    <t>https://smart.link/wbfa4w2hgpam2, https://www.westernunion.com/, https://www.westernunion.ru/</t>
  </si>
  <si>
    <t>вт-сб 09:00–18:00</t>
  </si>
  <si>
    <t>https://twitter.com/WesternUnion</t>
  </si>
  <si>
    <t>https://www.facebook.com/WesternUnionRussia/</t>
  </si>
  <si>
    <t>http://www.youtube.com/westernunion</t>
  </si>
  <si>
    <t>47.897578 56.644302</t>
  </si>
  <si>
    <t>Магнит</t>
  </si>
  <si>
    <t>Пролетарская ул., 34, Йошкар-Ола</t>
  </si>
  <si>
    <t>8 (800) 200-90-02</t>
  </si>
  <si>
    <t xml:space="preserve">ccms@comarch.com, yaroslavtseva_ov@magnit.ru, info@magnit.ru, example@mail.ru, ofd@magnit.ru  </t>
  </si>
  <si>
    <t>https://magnit.ru/</t>
  </si>
  <si>
    <t>ежедневно, 08:30–22:00</t>
  </si>
  <si>
    <t>https://twitter.com/magnit_info</t>
  </si>
  <si>
    <t>https://www.instagram.com/magnitkrd/</t>
  </si>
  <si>
    <t>47.891283 56.646192</t>
  </si>
  <si>
    <t>MMGroup</t>
  </si>
  <si>
    <t>+7 (8362) 40-12-74</t>
  </si>
  <si>
    <t>http://twitter.com/makemneygroup</t>
  </si>
  <si>
    <t>Экспертиза проектов и смет</t>
  </si>
  <si>
    <t>+7 (904) 441-51-24</t>
  </si>
  <si>
    <t xml:space="preserve">expertiza-ps@biz-mail.ru  </t>
  </si>
  <si>
    <t>http://expertiza-ps.ru/</t>
  </si>
  <si>
    <t>Проектная организация, Строительная экспертиза и технадзор</t>
  </si>
  <si>
    <t>47.900453 56.638466</t>
  </si>
  <si>
    <t>Mirabel</t>
  </si>
  <si>
    <t>+7 (8362) 60-03-22, +7 (8362) 46-03-22, +7 (8362) 33-62-54</t>
  </si>
  <si>
    <t>+7 (937) 935-61-73, +7 (927) 680-19-95</t>
  </si>
  <si>
    <t>Багетные изделия, Изготовление и монтаж зеркал</t>
  </si>
  <si>
    <t>47.889561 56.642846</t>
  </si>
  <si>
    <t>БалтБет</t>
  </si>
  <si>
    <t>ул. Карла Либкнехта, 75, Йошкар-Ола</t>
  </si>
  <si>
    <t>8 (800) 700-29-90</t>
  </si>
  <si>
    <t xml:space="preserve">report@baltbet.ru  </t>
  </si>
  <si>
    <t>https://www.baltbet.ru/</t>
  </si>
  <si>
    <t>Азартные игры</t>
  </si>
  <si>
    <t>Букмекерская контора, Лотереи</t>
  </si>
  <si>
    <t>ежедневно, 11:00–01:00</t>
  </si>
  <si>
    <t>http://vk.com/rubaltbet</t>
  </si>
  <si>
    <t>http://twitter.com/ppkbaltbet</t>
  </si>
  <si>
    <t>https://www.youtube.com/channel/UCY7ssb-tGQPBQIMl25xuo5A/featured</t>
  </si>
  <si>
    <t>https://www.instagram.com/baltbet_inst</t>
  </si>
  <si>
    <t>47.93846 56.629758</t>
  </si>
  <si>
    <t>Окна+Сервис</t>
  </si>
  <si>
    <t>+7 (8362) 33-40-04, +7 (8362) 32-00-40</t>
  </si>
  <si>
    <t xml:space="preserve">tm@reg.ru, sales@mycompany.ru, user@example.ru, you@yourcompany.com, test@example.com, test@test.ru, ncc@test.ru, ntest@test.ru, adm-group@newtime.ru, sidor@newtime.msk.su </t>
  </si>
  <si>
    <t>Автоматические двери и ворота, Металлические заборы и ограждения, Окна</t>
  </si>
  <si>
    <t>пн-пт 08:30–18:30; сб 09:00–14:00</t>
  </si>
  <si>
    <t>Zooмир</t>
  </si>
  <si>
    <t>ул. Димитрова, 66, Йошкар-Ола</t>
  </si>
  <si>
    <t>+7 (8362) 23-21-21, +7 (8362) 23-05-35</t>
  </si>
  <si>
    <t xml:space="preserve">vn.30@yandex.ru </t>
  </si>
  <si>
    <t>https://www.песикот.рф/</t>
  </si>
  <si>
    <t>Ветеринарная аптека, Зоомагазин</t>
  </si>
  <si>
    <t>47.855576 56.645223</t>
  </si>
  <si>
    <t>Шелковый путь</t>
  </si>
  <si>
    <t>+7 (8362) 42-64-99, +7 (8362) 56-61-03</t>
  </si>
  <si>
    <t>+7 (917) 719-15-26</t>
  </si>
  <si>
    <t xml:space="preserve">ivanov@mail.ru, ansar11@mail.ru, silkway12@yandex.ru  </t>
  </si>
  <si>
    <t>http://silkway12.ru/</t>
  </si>
  <si>
    <t>Помощь в оформлении виз и загранпаспортов, Турагентство, Туроператор</t>
  </si>
  <si>
    <t>http://vk.com/silkway12</t>
  </si>
  <si>
    <t>https://www.instagram.com/silkway12.ru</t>
  </si>
  <si>
    <t>47.892657 56.632362</t>
  </si>
  <si>
    <t>Срочное изготовление ключей</t>
  </si>
  <si>
    <t>47.870861 56.64587</t>
  </si>
  <si>
    <t>Дом свадьбы</t>
  </si>
  <si>
    <t>Ленинский просп., 10Б, Йошкар-Ола</t>
  </si>
  <si>
    <t>+7 (8362) 50-40-70</t>
  </si>
  <si>
    <t xml:space="preserve">email@gmail.com, vedernikova-lesya@ya.ru, olesya@svadbayola.ru, dencaps@ya.ru, zags@mari-el.ru, zags-med@mari-el.ru </t>
  </si>
  <si>
    <t>http://svadbayola.ru/</t>
  </si>
  <si>
    <t>Магазин одежды, Свадебный салон</t>
  </si>
  <si>
    <t>47.920349 56.626542</t>
  </si>
  <si>
    <t>Автобусная остановка Йошкар-Ола Морки</t>
  </si>
  <si>
    <t>Ленинский просп., 41, Йошкар-Ола</t>
  </si>
  <si>
    <t xml:space="preserve">mail@7klogistics.ru, email@mail.com </t>
  </si>
  <si>
    <t>Автобусные междугородные перевозки, Автовокзал, автостанция</t>
  </si>
  <si>
    <t>ежедневно, 05:00–19:00</t>
  </si>
  <si>
    <t>47.881127 56.632266</t>
  </si>
  <si>
    <t>Штукатур 12</t>
  </si>
  <si>
    <t>+7 (8362) 99-77-77</t>
  </si>
  <si>
    <t xml:space="preserve">mail@shtukatur12.ru  </t>
  </si>
  <si>
    <t>http://www.shtukatur12.ru/</t>
  </si>
  <si>
    <t>47.877599 56.627911</t>
  </si>
  <si>
    <t>ИгроParty</t>
  </si>
  <si>
    <t>+7 (8362) 65-71-53</t>
  </si>
  <si>
    <t>+7 (917) 710-49-99</t>
  </si>
  <si>
    <t xml:space="preserve">info@igroparty.ru </t>
  </si>
  <si>
    <t>Интернет-магазин, Магазин подарков и сувениров, Настольные и интеллектуальные игры</t>
  </si>
  <si>
    <t>https://vk.com/igroparty</t>
  </si>
  <si>
    <t>47.89457 56.64051</t>
  </si>
  <si>
    <t>Мега-Леста</t>
  </si>
  <si>
    <t>+7 (902) 329-01-27, +7 (902) 329-05-51</t>
  </si>
  <si>
    <t xml:space="preserve">info@megalesta.ru  </t>
  </si>
  <si>
    <t>http://megalesta.ru/</t>
  </si>
  <si>
    <t>Деревообрабатывающее предприятие, Пиломатериалы, Строительные и отделочные работы</t>
  </si>
  <si>
    <t>М.Видео</t>
  </si>
  <si>
    <t>8 (800) 600-77-75</t>
  </si>
  <si>
    <t xml:space="preserve">24@mvideo.ru  </t>
  </si>
  <si>
    <t>https://www.mvideo.ru/</t>
  </si>
  <si>
    <t>Магазин бытовой техники, Магазин электроники</t>
  </si>
  <si>
    <t>https://vk.com/mvideo</t>
  </si>
  <si>
    <t>https://ok.ru/mvideo</t>
  </si>
  <si>
    <t>https://twitter.com/mvideo</t>
  </si>
  <si>
    <t>https://www.facebook.com/mvideo.ru</t>
  </si>
  <si>
    <t>https://www.youtube.com/channel/UC84Z1707LlhS2zervmoqt3A</t>
  </si>
  <si>
    <t>https://www.instagram.com/mvideo_ru/</t>
  </si>
  <si>
    <t>47.843157 56.641061</t>
  </si>
  <si>
    <t>ул. Прохорова, 37, Йошкар-Ола</t>
  </si>
  <si>
    <t>+7 (8362) 61-96-19, +7 (8362) 75-57-77</t>
  </si>
  <si>
    <t>Автосервис, автотехцентр, Ремонт двигателей, Сварочные работы, Шиномонтаж</t>
  </si>
  <si>
    <t>47.834313 56.631662</t>
  </si>
  <si>
    <t>Вертикаль Строй Групп</t>
  </si>
  <si>
    <t>ул. Лебедева, 51В, Йошкар-Ола</t>
  </si>
  <si>
    <t>+7 (8362) 38-08-88</t>
  </si>
  <si>
    <t>+7 (8362) 38-07-77</t>
  </si>
  <si>
    <t xml:space="preserve">sales@m2lab.ru  </t>
  </si>
  <si>
    <t>http://v-s-group.com/</t>
  </si>
  <si>
    <t>http://twitter.com/vertikalstroy</t>
  </si>
  <si>
    <t>47.940569 56.623028</t>
  </si>
  <si>
    <t>ТЦ РусАвтоПром</t>
  </si>
  <si>
    <t>+7 (8362) 52-30-68</t>
  </si>
  <si>
    <t>Грузовые автомобили, грузовая техника, Спецтехника и спецавтомобили, Строительное оборудование и техника</t>
  </si>
  <si>
    <t>http://vk.com/rusterex</t>
  </si>
  <si>
    <t>http://twitter.com/Rusterex</t>
  </si>
  <si>
    <t>http://www.facebook.com/РСТ-Групп-302979840073172</t>
  </si>
  <si>
    <t>Мастерская Красивое время</t>
  </si>
  <si>
    <t>+7 (927) 878-21-33</t>
  </si>
  <si>
    <t>http://mkv12.ru/</t>
  </si>
  <si>
    <t>Магазин часов, Ремонт часов</t>
  </si>
  <si>
    <t>https://vk.com/mkv12</t>
  </si>
  <si>
    <t>47.884357 56.63323</t>
  </si>
  <si>
    <t>Собор Вознесения Господня</t>
  </si>
  <si>
    <t>Вознесенская ул., 31, Йошкар-Ола</t>
  </si>
  <si>
    <t>+7 (8362) 45-00-09</t>
  </si>
  <si>
    <t xml:space="preserve">mariortho@gmail.com, sobor12@bk.ru  </t>
  </si>
  <si>
    <t>http://voznesenie-ola.cerkov.ru/, http://eparhia.ter12.ru/temples.htm?page_id=1</t>
  </si>
  <si>
    <t>Православный храм</t>
  </si>
  <si>
    <t>пн-сб 08:00–18:00; вс 07:00–18:00</t>
  </si>
  <si>
    <t>http://vk.com/club142112283</t>
  </si>
  <si>
    <t>47.903712 56.639527</t>
  </si>
  <si>
    <t>ОКБ Минстроя и ЖКХ Республики Марий Эл</t>
  </si>
  <si>
    <t>+7 (8362) 42-02-61, +7 (8362) 54-14-11</t>
  </si>
  <si>
    <t xml:space="preserve">oaookb@yandex.ru  </t>
  </si>
  <si>
    <t>http://okb12.ru/</t>
  </si>
  <si>
    <t>Инжиниринг, Проектная организация, Строительная компания</t>
  </si>
  <si>
    <t>Столица</t>
  </si>
  <si>
    <t>+7 (8362) 33-40-16, +7 (8362) 65-00-19</t>
  </si>
  <si>
    <t>+7 (927) 883-40-16</t>
  </si>
  <si>
    <t>Аргус</t>
  </si>
  <si>
    <t>ул. Карла Маркса, 131, Йошкар-Ола</t>
  </si>
  <si>
    <t>8 (800) 234-96-86, +7 (8362) 45-55-45, +7 (8362) 45-06-50</t>
  </si>
  <si>
    <t xml:space="preserve">zakaz@dveriargus.ru, massiv@dveriargus.ru, market.argus@mail.ru, argusrabota@inbox.ru </t>
  </si>
  <si>
    <t>http://www.dveriargus.ru/</t>
  </si>
  <si>
    <t>Двери, Замки и запорные устройства, Изготовление и монтаж зеркал, Кованые изделия</t>
  </si>
  <si>
    <t>https://vk.com/dveriargus12</t>
  </si>
  <si>
    <t>https://www.instagram.com/argusdveri/</t>
  </si>
  <si>
    <t>47.883257 56.615066</t>
  </si>
  <si>
    <t>Лукошко</t>
  </si>
  <si>
    <t xml:space="preserve">skovorodazakaz@tdbars.ru  </t>
  </si>
  <si>
    <t>Быстрое питание</t>
  </si>
  <si>
    <t>Телекарта</t>
  </si>
  <si>
    <t>8 (800) 100-10-47, +7 (8362) 45-41-90, +7 (495) 781-41-01, +7 (495) 781-41-70</t>
  </si>
  <si>
    <t xml:space="preserve">support@uniteller.ru, e.alekseev@orion-express.ru, krasnoyarsk@orion-express.ru, habarovsk@orion-express.ru, mitino-9@yandex.ru  </t>
  </si>
  <si>
    <t>https://www.telekarta.tv/</t>
  </si>
  <si>
    <t>Интернет-провайдер, Спутниковое телевидение</t>
  </si>
  <si>
    <t>пн-пт 09:00–18:30; сб 10:00–15:00</t>
  </si>
  <si>
    <t>http://vk.com/public41536241</t>
  </si>
  <si>
    <t>http://www.facebook.com/telekarta</t>
  </si>
  <si>
    <t>Синергия</t>
  </si>
  <si>
    <t>ул. Соловьёва, 22А, корп. 1, Йошкар-Ола</t>
  </si>
  <si>
    <t xml:space="preserve">feedback@synergy.ru, kchibiskov@synergy.ru, media@synergy.ru  </t>
  </si>
  <si>
    <t>Бизнес-центр, ВУЗ, Продажа и аренда коммерческой недвижимости, Управление недвижимостью</t>
  </si>
  <si>
    <t>47.869825 56.627328</t>
  </si>
  <si>
    <t>Гостиничные номера в Нагорном</t>
  </si>
  <si>
    <t>ул. Лебедева, 53, Йошкар-Ола</t>
  </si>
  <si>
    <t>+7 (8362) 75-72-12, +7 (8362) 95-39-45</t>
  </si>
  <si>
    <t>47.939459 56.622853</t>
  </si>
  <si>
    <t>МегаФон</t>
  </si>
  <si>
    <t>8 (800) 550-05-00</t>
  </si>
  <si>
    <t xml:space="preserve">mnp_in@megafon.ru, mnp@megafon.ru  </t>
  </si>
  <si>
    <t>http://mariel.megafon.ru/, http://www.megafon.ru/, https://www.megafon.ru/regions.action?rid=90</t>
  </si>
  <si>
    <t>Оператор сотовой связи, Салон связи, Товары для мобильных телефонов</t>
  </si>
  <si>
    <t>http://vk.com/megafon</t>
  </si>
  <si>
    <t>http://ok.ru/megafon</t>
  </si>
  <si>
    <t>http://www.facebook.com/megafon.ru</t>
  </si>
  <si>
    <t>http://www.youtube.com/user/megafontv</t>
  </si>
  <si>
    <t>https://www.instagram.com/megafon</t>
  </si>
  <si>
    <t>47.8932 56.635483</t>
  </si>
  <si>
    <t>+7 (8362) 45-45-54</t>
  </si>
  <si>
    <t>Монтажные работы, Строительная компания, Строительные конструкции</t>
  </si>
  <si>
    <t>Товары для Сада и Дома</t>
  </si>
  <si>
    <t>ул. Лебедева, 35, Йошкар-Ола</t>
  </si>
  <si>
    <t>+7 (8362) 23-12-79</t>
  </si>
  <si>
    <t>+7 (903) 050-62-17</t>
  </si>
  <si>
    <t xml:space="preserve">tovsad12@yandex.ru, konsad@yandex.ru  </t>
  </si>
  <si>
    <t>http://tovsad12.ru/</t>
  </si>
  <si>
    <t>Товары для садоводов</t>
  </si>
  <si>
    <t>Магазин для садоводов, Магазин семян, Удобрения</t>
  </si>
  <si>
    <t>вт-пт 08:00–17:00; сб,вс 08:00–14:00</t>
  </si>
  <si>
    <t>47.950408 56.621909</t>
  </si>
  <si>
    <t>Добрый Путь</t>
  </si>
  <si>
    <t>+7 (967) 757-83-96, +7 (967) 756-16-19, +7 (967) 756-23-09</t>
  </si>
  <si>
    <t xml:space="preserve">fart.ivanovo@gmail.com  </t>
  </si>
  <si>
    <t>Автомобильные грузоперевозки, Экспедирование грузов</t>
  </si>
  <si>
    <t>https://vk.com/kindway12</t>
  </si>
  <si>
    <t>47.834954 56.632072</t>
  </si>
  <si>
    <t>Интеллект-Сервис</t>
  </si>
  <si>
    <t>+7 (8362) 45-41-54, +7 (8362) 71-01-50</t>
  </si>
  <si>
    <t xml:space="preserve">info@addoracul.ru </t>
  </si>
  <si>
    <t>Ремонт кассовых аппаратов, Торговое оборудование</t>
  </si>
  <si>
    <t>47.877875 56.631109</t>
  </si>
  <si>
    <t>ЭТМ</t>
  </si>
  <si>
    <t>ул. Соловьёва, 22АК5, Йошкар-Ола</t>
  </si>
  <si>
    <t>8 (800) 775-17-71, +7 (8362) 38-11-70, +7 (8362) 38-11-75</t>
  </si>
  <si>
    <t xml:space="preserve">8800@etm.ru, etm@etm.ru, constantinov@gmail.com  </t>
  </si>
  <si>
    <t>https://www.etm.ru/, https://www.etm.ru/im</t>
  </si>
  <si>
    <t>Кабель и провод, Магазин электротоваров, Светотехника, Электротехническая продукция</t>
  </si>
  <si>
    <t>https://vk.com/etm_company</t>
  </si>
  <si>
    <t>https://twitter.com/ETM_company</t>
  </si>
  <si>
    <t>https://www.facebook.com/etm.ru</t>
  </si>
  <si>
    <t>https://www.youtube.com/channel/UCev9T3Qx_ZRiEM6VN5yc2ww</t>
  </si>
  <si>
    <t>47.870079 56.62512</t>
  </si>
  <si>
    <t>Оценка Всем, филиал</t>
  </si>
  <si>
    <t>+7 (8352) 39-54-28</t>
  </si>
  <si>
    <t xml:space="preserve">ocenka.cbx@mail.ru </t>
  </si>
  <si>
    <t>http://оценкавсем.рф/</t>
  </si>
  <si>
    <t>Автоэкспертиза, оценка автомобилей, Оценочная компания</t>
  </si>
  <si>
    <t>Кладка</t>
  </si>
  <si>
    <t>Комсомольская ул., 62А, Йошкар-Ола</t>
  </si>
  <si>
    <t>+7 (8362) 45-27-01, +7 (8362) 65-65-02</t>
  </si>
  <si>
    <t xml:space="preserve">kladka-ok@mail.ru  </t>
  </si>
  <si>
    <t>http://www.kladka-ok.ru/</t>
  </si>
  <si>
    <t>Кирпич, Металлоизделия, Оптовый магазин, Строительный магазин, Сухие строительные смеси, Цемент</t>
  </si>
  <si>
    <t>47.899608 56.646192</t>
  </si>
  <si>
    <t>Частный дизайнер интерьера Гордеева Елена Викторовна</t>
  </si>
  <si>
    <t>+7 (927) 875-76-77</t>
  </si>
  <si>
    <t>Дизайн интерьеров</t>
  </si>
  <si>
    <t>47.88298 56.637674</t>
  </si>
  <si>
    <t>Шторы Карнизы</t>
  </si>
  <si>
    <t>Красноармейская ул., 81, Йошкар-Ола</t>
  </si>
  <si>
    <t>+7 (906) 121-68-68</t>
  </si>
  <si>
    <t>Шторы, карнизы</t>
  </si>
  <si>
    <t>47.872632 56.64497</t>
  </si>
  <si>
    <t>Алтрейд</t>
  </si>
  <si>
    <t>ул. Якова Эшпая, 108А, Йошкар-Ола</t>
  </si>
  <si>
    <t>+7 (8362) 31-46-96</t>
  </si>
  <si>
    <t>47.886448 56.646232</t>
  </si>
  <si>
    <t>СитиМед</t>
  </si>
  <si>
    <t>ул. Петрова, 14А, Йошкар-Ола</t>
  </si>
  <si>
    <t>+7 (8362) 38-40-54, +7 (8362) 54-11-11, +7 (8362) 54-11-12, +7 (8362) 38-40-56</t>
  </si>
  <si>
    <t xml:space="preserve">sanepid@12.rospotrebnadzor.ru </t>
  </si>
  <si>
    <t>http://mccitymed.ru/</t>
  </si>
  <si>
    <t>Диагностический центр, Медцентр, клиника</t>
  </si>
  <si>
    <t>пн-пт 08:00–20:00; сб 08:00–18:00; вс 08:00–14:00</t>
  </si>
  <si>
    <t>https://vk.com/citimed</t>
  </si>
  <si>
    <t>https://ok.ru/citymed</t>
  </si>
  <si>
    <t>https://www.facebook.com/mccitymed</t>
  </si>
  <si>
    <t>47.924865 56.632204</t>
  </si>
  <si>
    <t>Транспортная компания Объем</t>
  </si>
  <si>
    <t>+7 (8362) 90-67-78</t>
  </si>
  <si>
    <t xml:space="preserve">objem@mail.ru, info@objem83.ru  </t>
  </si>
  <si>
    <t>http://www.objem.ru/</t>
  </si>
  <si>
    <t>Xenon12</t>
  </si>
  <si>
    <t>Фестивальная ул., 72А, Йошкар-Ола</t>
  </si>
  <si>
    <t>+7 (8362) 51-35-55</t>
  </si>
  <si>
    <t>+7 (964) 831-35-55</t>
  </si>
  <si>
    <t xml:space="preserve">opt@xenon99.ru  </t>
  </si>
  <si>
    <t>http://xenon12.ru/</t>
  </si>
  <si>
    <t>Автоаксессуары, Автосвет, Автосигнализация, Тонирование стекол</t>
  </si>
  <si>
    <t>https://vk.com/xenon12</t>
  </si>
  <si>
    <t>https://www.instagram.com/xenon12.ru/</t>
  </si>
  <si>
    <t>47.834764 56.643673</t>
  </si>
  <si>
    <t>ЗооРай</t>
  </si>
  <si>
    <t>+7 (8362) 98-28-96</t>
  </si>
  <si>
    <t>Зоомагазин</t>
  </si>
  <si>
    <t>пн-пт 10:00–18:30; сб 10:00–18:00; вс 10:00–17:00</t>
  </si>
  <si>
    <t>47.9179 56.6275</t>
  </si>
  <si>
    <t>Юрга</t>
  </si>
  <si>
    <t>+7 (8362) 56-66-66, +7 (8362) 99-08-79, +7 (8362) 78-54-92</t>
  </si>
  <si>
    <t>Комбикорма и кормовые добавки, Производство продуктов питания</t>
  </si>
  <si>
    <t>SP Studio</t>
  </si>
  <si>
    <t>ул. Панфилова, 29, Йошкар-Ола</t>
  </si>
  <si>
    <t>+7 (8362) 96-65-16</t>
  </si>
  <si>
    <t>+7 (960) 094-91-70, +7 (902) 326-65-16, +7 (902) 325-38-15</t>
  </si>
  <si>
    <t xml:space="preserve">studiopca@gmail.com  </t>
  </si>
  <si>
    <t>http://spstudio.umi.ru/</t>
  </si>
  <si>
    <t>Праздничное агентство, Студия звукозаписи, Фотоуслуги</t>
  </si>
  <si>
    <t>пн,вт,ср,чт,пт,вс 14:00–23:00</t>
  </si>
  <si>
    <t>http://vk.com/spstd</t>
  </si>
  <si>
    <t>47.881462 56.625341</t>
  </si>
  <si>
    <t>ИнтерАвто</t>
  </si>
  <si>
    <t>Сернурский тракт, 10, Йошкар-Ола</t>
  </si>
  <si>
    <t>+7 (8362) 34-50-60</t>
  </si>
  <si>
    <t xml:space="preserve">info@interavto12.ru  </t>
  </si>
  <si>
    <t>http://interavto12.ru/</t>
  </si>
  <si>
    <t>Автосервис, автотехцентр, Системы безопасности и охраны, Студия автотюнинга, Тонирование стекол, Шиномонтаж</t>
  </si>
  <si>
    <t>47.944663 56.647105</t>
  </si>
  <si>
    <t>Справедливая Россия</t>
  </si>
  <si>
    <t>ул. Эшкинина, 23А, Йошкар-Ола</t>
  </si>
  <si>
    <t>+7 (8362) 23-15-75</t>
  </si>
  <si>
    <t xml:space="preserve">info@spravedlivo.ru, msr@spravedlivo.ru  </t>
  </si>
  <si>
    <t>http://mari-el.spravedlivo.ru/contacts.html, http://www.spravedlivo.center/?set_town=1129, http://www.spravedlivo.ru/</t>
  </si>
  <si>
    <t>Политика</t>
  </si>
  <si>
    <t>Политическая партия</t>
  </si>
  <si>
    <t>https://vk.com/spravo_ross</t>
  </si>
  <si>
    <t>https://ok.ru/spravoross</t>
  </si>
  <si>
    <t>https://twitter.com/spravoross</t>
  </si>
  <si>
    <t>https://www.facebook.com/spravoross</t>
  </si>
  <si>
    <t>https://www.instagram.com/spravoross</t>
  </si>
  <si>
    <t>47.9133 56.6342</t>
  </si>
  <si>
    <t>Тандемом эс</t>
  </si>
  <si>
    <t>+7 (8362) 63-81-11</t>
  </si>
  <si>
    <t>Деловой туризм, Турагентство</t>
  </si>
  <si>
    <t>Лазертаг-центр Вольный стрелок</t>
  </si>
  <si>
    <t>+7 (8362) 99-99-76, +7 (8362) 96-98-76</t>
  </si>
  <si>
    <t xml:space="preserve">vstrelok12@mail.ru  </t>
  </si>
  <si>
    <t>http://strelok12.ru/</t>
  </si>
  <si>
    <t>Веревочный парк, Лазертаг, Спортивно-развлекательный центр</t>
  </si>
  <si>
    <t>ежедневно, 09:00–22:00</t>
  </si>
  <si>
    <t>https://vk.com/lasertag_yoshkarola</t>
  </si>
  <si>
    <t>https://www.facebook.com/lasertag.yoshkarola</t>
  </si>
  <si>
    <t>https://www.instagram.com/lasertag_yoshkarola</t>
  </si>
  <si>
    <t>47.849181 56.640038</t>
  </si>
  <si>
    <t>Семейный чемодан</t>
  </si>
  <si>
    <t>8 (800) 505-30-12, +7 (8362) 30-40-33, +7 (8362) 98-08-28</t>
  </si>
  <si>
    <t xml:space="preserve">s.chemodan@gmail.com, semchemodan16@mail.ru  </t>
  </si>
  <si>
    <t>https://chemodan-tour.ru/</t>
  </si>
  <si>
    <t>Турагентство, Экскурсии</t>
  </si>
  <si>
    <t>https://vk.com/schemodan_tour</t>
  </si>
  <si>
    <t>https://www.facebook.com/chemodantours</t>
  </si>
  <si>
    <t>https://www.instagram.com/semeinyichemodan</t>
  </si>
  <si>
    <t>47.8975 56.640485</t>
  </si>
  <si>
    <t>Волга-Бункер</t>
  </si>
  <si>
    <t>ул. Строителей, 96, Йошкар-Ола</t>
  </si>
  <si>
    <t>+7 (8362) 39-73-74</t>
  </si>
  <si>
    <t>+7 (905) 008-29-62</t>
  </si>
  <si>
    <t xml:space="preserve">volga397374@yandex.ru  </t>
  </si>
  <si>
    <t>http://dverivb.ru/</t>
  </si>
  <si>
    <t>http://vk.com/dverivb</t>
  </si>
  <si>
    <t>47.865991 56.613645</t>
  </si>
  <si>
    <t>Лайф</t>
  </si>
  <si>
    <t>+7 (902) 744-10-66, +7 (902) 744-50-66</t>
  </si>
  <si>
    <t xml:space="preserve">info@shina.su </t>
  </si>
  <si>
    <t>https://lifeyo.ru/</t>
  </si>
  <si>
    <t>пн-пт 10:00–18:30; сб,вс 10:00–17:30</t>
  </si>
  <si>
    <t>https://vk.com/life_meb</t>
  </si>
  <si>
    <t>https://www.ok.ru/group/lifemeb</t>
  </si>
  <si>
    <t>https://www.instagram.com/lifeyo.ru/</t>
  </si>
  <si>
    <t>47.829735 56.639645</t>
  </si>
  <si>
    <t>Марто</t>
  </si>
  <si>
    <t>ул. Луначарского, 52/1, Йошкар-Ола</t>
  </si>
  <si>
    <t>+7 (8362) 74-16-20, +7 (8362) 74-10-32, +7 (8362) 38-14-80, +7 (8362) 38-14-81</t>
  </si>
  <si>
    <t xml:space="preserve">info@kassa12.ru  </t>
  </si>
  <si>
    <t>http://kassa12.ru/</t>
  </si>
  <si>
    <t>Банковское оборудование, Весы и весоизмерительное оборудование, Кассовые аппараты и расходные материалы, Кондиционеры, Промышленное холодильное оборудование, Системы безопасности и охраны, Торговое оборудование</t>
  </si>
  <si>
    <t>47.901968 56.616738</t>
  </si>
  <si>
    <t>Татнефть</t>
  </si>
  <si>
    <t>ул. Крылова, 31, Йошкар-Ола</t>
  </si>
  <si>
    <t>8 (800) 555-59-11</t>
  </si>
  <si>
    <t xml:space="preserve">tn@88001004112.ru, rafikova.tm@yandex.ru, market@oilchelny.ru, maksim.podin@mail.ru, gulnazsirazeva@yandex.ru  </t>
  </si>
  <si>
    <t>https://azs.tatneft.ru/</t>
  </si>
  <si>
    <t>http://vk.com/azs.tatneft</t>
  </si>
  <si>
    <t>https://ok.ru/azs.tatneft</t>
  </si>
  <si>
    <t>http://twitter.com/azs_tatneft</t>
  </si>
  <si>
    <t>https://www.facebook.com/azs.tatneft</t>
  </si>
  <si>
    <t>https://www.instagram.com/azs.tatneft/</t>
  </si>
  <si>
    <t>47.856128 56.622805</t>
  </si>
  <si>
    <t>Текстильоптторг</t>
  </si>
  <si>
    <t>8 (800) 250-03-65</t>
  </si>
  <si>
    <t xml:space="preserve">tekstilopttorg@mail.ru  </t>
  </si>
  <si>
    <t>http://www.tekstilopttorg.ru/</t>
  </si>
  <si>
    <t>Производство и продажа тканей, Швейная фабрика</t>
  </si>
  <si>
    <t>Старый Георг</t>
  </si>
  <si>
    <t>+7 (8362) 72-44-44</t>
  </si>
  <si>
    <t xml:space="preserve">restoran@oldgeorge.ru, biluch@inbox.ru, event@oldgeorge.ru  </t>
  </si>
  <si>
    <t>http://oldgeorge.ru/</t>
  </si>
  <si>
    <t>Бар, паб, Магазин кулинарии, Ресторан</t>
  </si>
  <si>
    <t>https://vk.com/oldgeorge</t>
  </si>
  <si>
    <t>https://www.facebook.com/paboldgeorge</t>
  </si>
  <si>
    <t>47.866889 56.641846</t>
  </si>
  <si>
    <t>Френч Авто</t>
  </si>
  <si>
    <t>Ленинский просп., 8, Йошкар-Ола</t>
  </si>
  <si>
    <t>+7 (8362) 38-62-38</t>
  </si>
  <si>
    <t xml:space="preserve">info@reg.ru  </t>
  </si>
  <si>
    <t>http://fa12.ru/, http://auto-zapchasti.su/</t>
  </si>
  <si>
    <t>https://vk.com/frenchavto</t>
  </si>
  <si>
    <t>47.923267 56.625931</t>
  </si>
  <si>
    <t>Юлианна</t>
  </si>
  <si>
    <t>+7 (8362) 41-21-50</t>
  </si>
  <si>
    <t xml:space="preserve">info@ortho-julianna.ru, magazin@julianna.ru  </t>
  </si>
  <si>
    <t>https://julianna.ru/, https://www.julianna.ru/ortho_center/locations/?ELEMENT_ID=7362</t>
  </si>
  <si>
    <t>Магазин медицинских товаров, Ортопедический салон</t>
  </si>
  <si>
    <t>https://vk.com/public70314220</t>
  </si>
  <si>
    <t>https://www.facebook.com/julianna.orthopedic.center/</t>
  </si>
  <si>
    <t>47.887283 56.641986</t>
  </si>
  <si>
    <t>Срочноденьги</t>
  </si>
  <si>
    <t>8 (800) 100-13-63</t>
  </si>
  <si>
    <t>+7 (961) 336-37-02</t>
  </si>
  <si>
    <t xml:space="preserve">info@srochnodengi.ru, pr@srochnodengi.ru  </t>
  </si>
  <si>
    <t>https://srochnodengi.ru/</t>
  </si>
  <si>
    <t>пн-пт 08:00–20:00; сб,вс 09:00–20:00</t>
  </si>
  <si>
    <t>https://vk.com/srochnodengi</t>
  </si>
  <si>
    <t>https://ok.ru/srochnodengi</t>
  </si>
  <si>
    <t>https://www.facebook.com/officialsrochnodengi</t>
  </si>
  <si>
    <t>https://www.youtube.com/channel/UCRajMjR-gDkELJW7FuDeE_g</t>
  </si>
  <si>
    <t>https://www.instagram.com/srochnodengi/</t>
  </si>
  <si>
    <t>47.884156 56.633277</t>
  </si>
  <si>
    <t>Первомайская ул., 101, Йошкар-Ола</t>
  </si>
  <si>
    <t>+7 (8362) 46-98-90</t>
  </si>
  <si>
    <t>+7 (902) 325-45-54</t>
  </si>
  <si>
    <t xml:space="preserve">studiom2008@yandex.ru  </t>
  </si>
  <si>
    <t>http://photo12.ru/</t>
  </si>
  <si>
    <t>Аренда фотостудий, Фотомагазин, Фотоуслуги</t>
  </si>
  <si>
    <t>пн-чт 09:00–19:00; пт 09:00–18:00; сб,вс 10:00–16:00</t>
  </si>
  <si>
    <t>https://vk.com/studiovirginia</t>
  </si>
  <si>
    <t>http://facebook.com/studiovirginia12</t>
  </si>
  <si>
    <t>http://instagram.com/studiovirginia</t>
  </si>
  <si>
    <t>47.890174 56.642054</t>
  </si>
  <si>
    <t>Бис Клининг</t>
  </si>
  <si>
    <t>Пролетарская ул., 14Д, Йошкар-Ола</t>
  </si>
  <si>
    <t>8 (800) 700-49-53, +7 (8362) 38-02-69</t>
  </si>
  <si>
    <t xml:space="preserve">yola@bis-cleaning.ru  </t>
  </si>
  <si>
    <t>https://bis-cleaning.ru/</t>
  </si>
  <si>
    <t>Клининговые услуги</t>
  </si>
  <si>
    <t>https://vk.com/bis_cleaning</t>
  </si>
  <si>
    <t>https://www.instagram.com/biscleaning/</t>
  </si>
  <si>
    <t>47.897821 56.646514</t>
  </si>
  <si>
    <t>Связной</t>
  </si>
  <si>
    <t>ул. Карла Маркса, 99А, Йошкар-Ола</t>
  </si>
  <si>
    <t>8 (800) 700-50-00, 8 (800) 700-43-43</t>
  </si>
  <si>
    <t xml:space="preserve">corpzapros@tele2.ru  </t>
  </si>
  <si>
    <t>https://www.svyaznoy.ru/, https://www.svyaznoy.ru/?city_id=101</t>
  </si>
  <si>
    <t>https://vk.com/svyaznoy</t>
  </si>
  <si>
    <t>https://www.facebook.com/svyaznoy.ru</t>
  </si>
  <si>
    <t>https://www.youtube.com/channel/UCg9qf-iQM3zD5lW41NMZq9A</t>
  </si>
  <si>
    <t>47.895958 56.628537</t>
  </si>
  <si>
    <t>Региональное отделение ДОСААФ России РМЭ</t>
  </si>
  <si>
    <t>+7 (8362) 45-08-37, +7 (8362) 38-50-40, +7 (8362) 45-18-55, +7 (8362) 45-05-36</t>
  </si>
  <si>
    <t xml:space="preserve">pressa.dosaaf@mail.ru, otshrostodosaaf@mail.ru  </t>
  </si>
  <si>
    <t>http://dosaaf12.ru/</t>
  </si>
  <si>
    <t>Автошкола, Общественная организация</t>
  </si>
  <si>
    <t>пн-пт 08:00–17:00, перерыв 12:30–13:30</t>
  </si>
  <si>
    <t>http://vk.com/dosaafru</t>
  </si>
  <si>
    <t>http://twitter.com/dosaaf_rf</t>
  </si>
  <si>
    <t>http://www.facebook.com/ДОСААФ-России-258535800949482</t>
  </si>
  <si>
    <t>47.902126 56.639595</t>
  </si>
  <si>
    <t>Шоу-техника</t>
  </si>
  <si>
    <t>+7 (8362) 41-25-61</t>
  </si>
  <si>
    <t xml:space="preserve">info@muzmari.ru, showtech12@yandex.ru  </t>
  </si>
  <si>
    <t>http://muzmari.ru/</t>
  </si>
  <si>
    <t>Звуковое и световое оборудование, Музыкальный магазин</t>
  </si>
  <si>
    <t>пн-пт 09:30–18:30; сб,вс 10:00–17:00</t>
  </si>
  <si>
    <t>https://vk.com/muzmari</t>
  </si>
  <si>
    <t>47.882876 56.632536</t>
  </si>
  <si>
    <t>Дропшоппинг</t>
  </si>
  <si>
    <t>+7 (8362) 32-80-85</t>
  </si>
  <si>
    <t>http://dropshopping.ru/</t>
  </si>
  <si>
    <t>http://vk.com/dropshipping</t>
  </si>
  <si>
    <t>47.870754 56.637986</t>
  </si>
  <si>
    <t>Инвитро</t>
  </si>
  <si>
    <t>Советская ул., 103/10, Йошкар-Ола</t>
  </si>
  <si>
    <t>+7 (8362) 34-13-42, 8 (800) 200-36-30</t>
  </si>
  <si>
    <t xml:space="preserve">login@mail.ru, info@invitro.ru  </t>
  </si>
  <si>
    <t>https://www.invitro.ru/</t>
  </si>
  <si>
    <t>Диагностический центр, Медицинская лаборатория</t>
  </si>
  <si>
    <t>пн-пт 07:30–20:00; сб 08:00–14:00</t>
  </si>
  <si>
    <t>https://vk.com/invitro</t>
  </si>
  <si>
    <t>https://ok.ru/invitrolab</t>
  </si>
  <si>
    <t>https://www.facebook.com/invitro.ru</t>
  </si>
  <si>
    <t>https://www.instagram.com/invitro.ru/</t>
  </si>
  <si>
    <t>47.901278 56.639778</t>
  </si>
  <si>
    <t>Agent12.ru</t>
  </si>
  <si>
    <t>+7 (8362) 65-66-66</t>
  </si>
  <si>
    <t xml:space="preserve">prorab12@gmail.com, info@prorab12.ru  </t>
  </si>
  <si>
    <t>http://prorab12.ru/</t>
  </si>
  <si>
    <t>Агентство недвижимости, Информационный интернет-сайт, Продажа и аренда коммерческой недвижимости, Строительная компания, Строительные и отделочные работы</t>
  </si>
  <si>
    <t>http://vk.com/prorab12ru</t>
  </si>
  <si>
    <t>47.889664 56.642826</t>
  </si>
  <si>
    <t>Спас - производитель дверей</t>
  </si>
  <si>
    <t>+7 (8362) 73-16-15</t>
  </si>
  <si>
    <t xml:space="preserve">info@dveri-spas.ru, dveri-spas.ru@yandex.ru, site_testing@alronix.com  </t>
  </si>
  <si>
    <t>https://dveri-spas.ru/, https://dveri-spas.ru/catalog/, https://dveri-spas.ru/catalog/beluga_doors/, https://dveri-spas.ru/catalog/dveri-spas/, https://dveri-spas.ru/catalog/furniture/, https://dveri-spas.ru/catalog/handle/, https://dveri-spas.ru/catalog/lock, https://dveri-spas.ru/catalog/modeli-dverey/, https://dveri-spas.ru/catalog/modeli-dverey/altay/, https://dveri-spas.ru/catalog/plate/, https://dveri-spas.ru/dveri-yoshkar-ola/, https://dveri-spas.ru/dveri_optom/, https://dveri-spas.ru/dveri_s_kovkoj/, https://dveri-spas.ru/metallicheskie-dveri/, https://dveri-spas.ru/proizvodstvo-dverey/, https://dveri-spas.ru/stalnye-dveri/, https://dveri-spas.ru/ulichnye-vhodnye-dveri/, https://dveri-spas.ru/vkhodnye-dveri/, https://dveri-spas.ru/zheleznye-dveri/</t>
  </si>
  <si>
    <t>Двери, Замки и запорные устройства, Производственное предприятие</t>
  </si>
  <si>
    <t>47.833717 56.626703</t>
  </si>
  <si>
    <t>Мелодия здоровья</t>
  </si>
  <si>
    <t>+7 (8362) 38-53-54</t>
  </si>
  <si>
    <t xml:space="preserve">bonus@melzdrav.ru, rus.info@gsk.com  </t>
  </si>
  <si>
    <t>http://www.melzdrav.ru/</t>
  </si>
  <si>
    <t>47.932225 56.634004</t>
  </si>
  <si>
    <t>Дом-музей Н. С. Мухина</t>
  </si>
  <si>
    <t>+7 (8362) 25-23-33</t>
  </si>
  <si>
    <t>47.894276 56.630153</t>
  </si>
  <si>
    <t>Тенториум</t>
  </si>
  <si>
    <t>8 (800) 200-19-57</t>
  </si>
  <si>
    <t xml:space="preserve">info@tentorium.ru  </t>
  </si>
  <si>
    <t>https://tentorium.ru/</t>
  </si>
  <si>
    <t>Пункт выдачи</t>
  </si>
  <si>
    <t>https://vk.com/tentoriumrus</t>
  </si>
  <si>
    <t>47.893176 56.641386</t>
  </si>
  <si>
    <t>ул. Строителей, 9, Йошкар-Ола</t>
  </si>
  <si>
    <t>+7 (8362) 98-81-88</t>
  </si>
  <si>
    <t>+7 (902) 358-81-88</t>
  </si>
  <si>
    <t>47.842901 56.632185</t>
  </si>
  <si>
    <t>Инреко</t>
  </si>
  <si>
    <t>+7 (8362) 42-58-48, +7 (8362) 42-94-95</t>
  </si>
  <si>
    <t xml:space="preserve">mail@inreko.ru, poinreko@mail.ru </t>
  </si>
  <si>
    <t>https://inreko.ru/</t>
  </si>
  <si>
    <t>Оптовый магазин, Производственное предприятие</t>
  </si>
  <si>
    <t>https://vk.com/inreko</t>
  </si>
  <si>
    <t>47.89141 56.615262</t>
  </si>
  <si>
    <t>Blizko.ru</t>
  </si>
  <si>
    <t>ул. Льва Толстого, 45, Йошкар-Ола</t>
  </si>
  <si>
    <t>8 (800) 700-01-91</t>
  </si>
  <si>
    <t xml:space="preserve">spravka@blizko.ru, urist@ek.apress.ru  </t>
  </si>
  <si>
    <t>http://ola.blizko.ru/</t>
  </si>
  <si>
    <t>Информационный интернет-сайт, Справочник</t>
  </si>
  <si>
    <t>47.898656 56.646712</t>
  </si>
  <si>
    <t>Калифорнийский камень</t>
  </si>
  <si>
    <t>+7 (8362) 70-05-76, +7 (8362) 33-01-30</t>
  </si>
  <si>
    <t>+7 (927) 883-01-30, +7 (902) 465-05-76</t>
  </si>
  <si>
    <t xml:space="preserve">calif-camen@mail.ru  </t>
  </si>
  <si>
    <t>http://califcamen.com/</t>
  </si>
  <si>
    <t>Облицовочные материалы, Строительный магазин, Тротуарная плитка</t>
  </si>
  <si>
    <t>пн-пт 08:00–18:00; сб 08:00–12:00</t>
  </si>
  <si>
    <t>https://vk.com/califcamen</t>
  </si>
  <si>
    <t>47.8711 56.6239</t>
  </si>
  <si>
    <t>Мегаснаб</t>
  </si>
  <si>
    <t>+7 (8362) 27-77-00, +7 (8362) 46-33-33, +7 (8362) 46-28-48</t>
  </si>
  <si>
    <t>+7 (902) 664-28-89</t>
  </si>
  <si>
    <t xml:space="preserve">info@megasnab12.ru  </t>
  </si>
  <si>
    <t>https://megasnab12.ru/</t>
  </si>
  <si>
    <t>Магазин хозтоваров и бытовой химии, Строительный магазин, Стройматериалы оптом</t>
  </si>
  <si>
    <t>https://vk.com/megasnab12</t>
  </si>
  <si>
    <t>47.952143 56.648037</t>
  </si>
  <si>
    <t>Мега-Мир</t>
  </si>
  <si>
    <t>Складская ул., 22А, корп. 2, Йошкар-Ола</t>
  </si>
  <si>
    <t>+7 (8362) 34-37-38, +7 (8362) 33-40-12</t>
  </si>
  <si>
    <t>+7 (8362) 45-03-01</t>
  </si>
  <si>
    <t>Полимерные материалы, Строительный магазин, Теплоизоляционные материалы</t>
  </si>
  <si>
    <t>пн-пт 08:30–17:00; сб 09:00–15:00</t>
  </si>
  <si>
    <t>47.896694 56.617744</t>
  </si>
  <si>
    <t>Бережная аптека</t>
  </si>
  <si>
    <t>Советская ул., 87, Йошкар-Ола</t>
  </si>
  <si>
    <t>+7 (8362) 54-15-37</t>
  </si>
  <si>
    <t xml:space="preserve">info@b-apteka.ru, vopros@farmaimpex.ru  </t>
  </si>
  <si>
    <t>https://b-apteka.ru/</t>
  </si>
  <si>
    <t>пн-пт 07:00–20:00; сб,вс 08:00–20:00</t>
  </si>
  <si>
    <t>http://www.facebook.com/BereznayaApteka</t>
  </si>
  <si>
    <t>47.903784 56.643543</t>
  </si>
  <si>
    <t>ВТБ Лизинг</t>
  </si>
  <si>
    <t>ул. Палантая, 63В, Йошкар-Ола</t>
  </si>
  <si>
    <t>8 (800) 551-93-18</t>
  </si>
  <si>
    <t xml:space="preserve">example@vtb-leasing.ru, client@vtb-leasing.com  </t>
  </si>
  <si>
    <t>https://vtb-leasing.ru/client-form/?utm_campaign=yandex-kartyu0026utm_medium=cpcu0026utm_source=yandex-karty</t>
  </si>
  <si>
    <t>47.88855 56.632783</t>
  </si>
  <si>
    <t>Аварийный Комиссар</t>
  </si>
  <si>
    <t>+7 (8362) 51-75-17</t>
  </si>
  <si>
    <t>пн-пт 09:00–20:00; сб,вс 09:00–17:00</t>
  </si>
  <si>
    <t>Какаду</t>
  </si>
  <si>
    <t>+7 (8362) 32-04-66, +7 (8362) 40-31-41, +7 (8362) 41-31-41</t>
  </si>
  <si>
    <t>+7 (939) 722-26-28, +7 (987) 709-37-34</t>
  </si>
  <si>
    <t xml:space="preserve">ilnara.bogatyreva@mail.ru  </t>
  </si>
  <si>
    <t>http://kakady12.ru/</t>
  </si>
  <si>
    <t>47.895302 56.647703</t>
  </si>
  <si>
    <t>Наклейки с Доставкой</t>
  </si>
  <si>
    <t>8 (800) 200-24-55</t>
  </si>
  <si>
    <t xml:space="preserve">avto@nakleykiavto.ru  </t>
  </si>
  <si>
    <t>https://nakleykiavto.ru/, https://наклейки.онлайн/</t>
  </si>
  <si>
    <t>Автоаксессуары, Полиграфические услуги, Рекламная продукция</t>
  </si>
  <si>
    <t>Агентство недвижимости Йошкар-Ола</t>
  </si>
  <si>
    <t>+7 (8362) 76-03-09, +7 (8362) 91-12-32</t>
  </si>
  <si>
    <t xml:space="preserve">elena14_anyola@mail.ru  </t>
  </si>
  <si>
    <t>http://novdom7.ru/</t>
  </si>
  <si>
    <t>47.898387 56.640733</t>
  </si>
  <si>
    <t>Безопасность и охрана труда</t>
  </si>
  <si>
    <t>+7 (8362) 42-86-11</t>
  </si>
  <si>
    <t>+7 (8362) 72-00-84</t>
  </si>
  <si>
    <t>Безопасность труда</t>
  </si>
  <si>
    <t>Юнистрим</t>
  </si>
  <si>
    <t>8 (800) 333-22-44, +7 (8362) 42-31-95</t>
  </si>
  <si>
    <t xml:space="preserve">relations@unistream.com, name@example.com  </t>
  </si>
  <si>
    <t>http://unistream.ru/</t>
  </si>
  <si>
    <t>пн-пт 08:00–19:00; сб 09:00–16:00</t>
  </si>
  <si>
    <t>https://vk.com/unistreambank</t>
  </si>
  <si>
    <t>https://ok.ru/unistream/</t>
  </si>
  <si>
    <t>https://twitter.com/UnistreamMT/</t>
  </si>
  <si>
    <t>https://www.facebook.com/uniastrum</t>
  </si>
  <si>
    <t>47.900596 56.642154</t>
  </si>
  <si>
    <t>+7 (967) 758-33-30, +7 (961) 335-20-44</t>
  </si>
  <si>
    <t xml:space="preserve">office@cks.lazurit.com, brn_altay2@lazurit-sibir.ru, dommer_brn@lazurit-sibir.ru, brn_galaktika@lazurit-sibir.ru  </t>
  </si>
  <si>
    <t>https://lazurit.com/, https://yoshkar-ola.lazurit.com/</t>
  </si>
  <si>
    <t>Детская мебель, Мебель для кухни, Мягкая мебель</t>
  </si>
  <si>
    <t>https://vk.com/lazurit</t>
  </si>
  <si>
    <t>http://www.facebook.com/1lazurit</t>
  </si>
  <si>
    <t>http://instagram.com/mebel.lazurit</t>
  </si>
  <si>
    <t>47.843506 56.64112</t>
  </si>
  <si>
    <t>8 (800) 333-22-44, +7 (8362) 21-04-04</t>
  </si>
  <si>
    <t>https://vk.com/unistreambank/</t>
  </si>
  <si>
    <t>47.919287 56.626831</t>
  </si>
  <si>
    <t>Служба компьютерной помощи</t>
  </si>
  <si>
    <t>Первомайская ул., 11, Йошкар-Ола</t>
  </si>
  <si>
    <t>+7 (843) 239-47-22</t>
  </si>
  <si>
    <t>+7 (902) 100-04-88</t>
  </si>
  <si>
    <t xml:space="preserve">info@pk-stom.ru </t>
  </si>
  <si>
    <t>Интернет-провайдер, Компьютерный ремонт и услуги</t>
  </si>
  <si>
    <t>http://vk.com/kompyuternaya_pomosch_kazan_help</t>
  </si>
  <si>
    <t>47.897776 56.654071</t>
  </si>
  <si>
    <t>Лесторгсервис</t>
  </si>
  <si>
    <t>+7 (8362) 42-38-65, +7 (8362) 42-50-40</t>
  </si>
  <si>
    <t>+7 (964) 864-48-48</t>
  </si>
  <si>
    <t>Кассовые аппараты и расходные материалы, Расходные материалы для оргтехники, Торговое оборудование</t>
  </si>
  <si>
    <t>Центр творческого развития детей и взрослых Марибель</t>
  </si>
  <si>
    <t>+7 (8362) 66-27-79</t>
  </si>
  <si>
    <t xml:space="preserve">marina.elsukova@list.ru </t>
  </si>
  <si>
    <t>http://maribel.info/</t>
  </si>
  <si>
    <t>https://vk.com/publicmaribel</t>
  </si>
  <si>
    <t>47.829624 56.636779</t>
  </si>
  <si>
    <t>EUROSPAR</t>
  </si>
  <si>
    <t>8 (800) 500-13-29</t>
  </si>
  <si>
    <t xml:space="preserve">office@spar-nn.ru, podlesov@spar-nn.ru, markin@spar-nn.ru, chernov@spar-nn.ru, voronina@spar-nn.ru  </t>
  </si>
  <si>
    <t>https://myspar.ru/</t>
  </si>
  <si>
    <t>Магазин продуктов, Супермаркет</t>
  </si>
  <si>
    <t>https://vk.com/spar.russia</t>
  </si>
  <si>
    <t>https://www.facebook.com/spar.russia</t>
  </si>
  <si>
    <t>https://instagram.com/spar.russia</t>
  </si>
  <si>
    <t>47.907158 56.637377</t>
  </si>
  <si>
    <t>Студия-лаборатория практического освоения принципов Айки</t>
  </si>
  <si>
    <t>+7 (8362) 91-99-98</t>
  </si>
  <si>
    <t xml:space="preserve">ttvleon@mail.ru  </t>
  </si>
  <si>
    <t>http://aiki-lab.ru/</t>
  </si>
  <si>
    <t>пн,ср,пт 19:00–21:00</t>
  </si>
  <si>
    <t>https://vk.com/club18385987</t>
  </si>
  <si>
    <t>Сервис+</t>
  </si>
  <si>
    <t>+7 (927) 877-70-89</t>
  </si>
  <si>
    <t>Ремонт бытовой техники</t>
  </si>
  <si>
    <t>47.826674 56.639466</t>
  </si>
  <si>
    <t>Лесозаготовка</t>
  </si>
  <si>
    <t>+7 (8362) 36-65-56</t>
  </si>
  <si>
    <t>+7 (909) 366-68-68</t>
  </si>
  <si>
    <t>Деревообрабатывающее предприятие, Лесозаготовка, продажа леса, Пиломатериалы</t>
  </si>
  <si>
    <t>Тандем</t>
  </si>
  <si>
    <t>+7 (927) 875-26-73, +7 (927) 887-11-51</t>
  </si>
  <si>
    <t>Магазин мебели, Мебель на заказ, Мягкая мебель</t>
  </si>
  <si>
    <t>+7 (8362) 99-35-52, +7 (8362) 72-22-44, +7 (8362) 73-78-97, +7 (8362) 35-46-03</t>
  </si>
  <si>
    <t xml:space="preserve">mebelvgoroderu@mail.ru  </t>
  </si>
  <si>
    <t>Корпусная мебель, Магазин мебели, Матрасы, Мебель для кухни, Мягкая мебель</t>
  </si>
  <si>
    <t>https://vk.com/diva_yola</t>
  </si>
  <si>
    <t>47.868302 56.637838</t>
  </si>
  <si>
    <t>Веломаркет12</t>
  </si>
  <si>
    <t>ул. Кирова, 1, Йошкар-Ола</t>
  </si>
  <si>
    <t>+7 (927) 870-21-94</t>
  </si>
  <si>
    <t xml:space="preserve">karen-65@mail.ru  </t>
  </si>
  <si>
    <t>http://velomarket12.ru/</t>
  </si>
  <si>
    <t>Веломагазин, Спортивный магазин</t>
  </si>
  <si>
    <t>http://vk.com/club58446820</t>
  </si>
  <si>
    <t>47.924869 56.625822</t>
  </si>
  <si>
    <t>Мир Книги</t>
  </si>
  <si>
    <t>Ленинский просп., 43, Йошкар-Ола</t>
  </si>
  <si>
    <t>+7 (8362) 39-15-60</t>
  </si>
  <si>
    <t>http://www.mknigi.ru/</t>
  </si>
  <si>
    <t>47.880244 56.632395</t>
  </si>
  <si>
    <t>Jenavi</t>
  </si>
  <si>
    <t>+7 (8362) 43-32-21</t>
  </si>
  <si>
    <t>+7 (927) 684-15-87</t>
  </si>
  <si>
    <t>Магазин бижутерии</t>
  </si>
  <si>
    <t>47.884198 56.633387</t>
  </si>
  <si>
    <t>Мастерская сценических костюмов Микс</t>
  </si>
  <si>
    <t>ул. Пугачёва, 1А, Йошкар-Ола</t>
  </si>
  <si>
    <t>+7 (8362) 44-45-34</t>
  </si>
  <si>
    <t>+7 (960) 090-15-73, +7 (960) 090-15-72</t>
  </si>
  <si>
    <t xml:space="preserve">info.miks12@mail.ru  </t>
  </si>
  <si>
    <t>https://miks12.ru/</t>
  </si>
  <si>
    <t>Карнавальные, театральные и танцевальные костюмы, Меховое ателье, Одежда оптом</t>
  </si>
  <si>
    <t>47.869892 56.620681</t>
  </si>
  <si>
    <t>Эталон качества</t>
  </si>
  <si>
    <t>+7 (8362) 75-13-13</t>
  </si>
  <si>
    <t>http://эталон12.рф/</t>
  </si>
  <si>
    <t>47.887695 56.629654</t>
  </si>
  <si>
    <t>Автошкола ДОСААФ</t>
  </si>
  <si>
    <t>ул. Дружбы, 98, Йошкар-Ола</t>
  </si>
  <si>
    <t>+7 (8362) 41-95-21, +7 (8362) 41-97-01, +7 (8362) 41-95-01</t>
  </si>
  <si>
    <t xml:space="preserve">otshrostodosaaf@mail.ru  </t>
  </si>
  <si>
    <t>http://tc-dosaaf.ru/</t>
  </si>
  <si>
    <t>https://vk.com/tc_dosaaf</t>
  </si>
  <si>
    <t>47.872009 56.654446</t>
  </si>
  <si>
    <t>ВТБ Страхование</t>
  </si>
  <si>
    <t>8 (800) 100-44-40</t>
  </si>
  <si>
    <t xml:space="preserve">info@vtbins.ru, adminvtb@vtb.ru  </t>
  </si>
  <si>
    <t>https://www.vtbins.ru/</t>
  </si>
  <si>
    <t>пн-пт 09:00–20:00; сб 10:00–17:00</t>
  </si>
  <si>
    <t>47.889064 56.628826</t>
  </si>
  <si>
    <t>Дол</t>
  </si>
  <si>
    <t>+7 (8362) 63-72-42, +7 (8362) 63-75-75</t>
  </si>
  <si>
    <t xml:space="preserve">dveri-dol@yandex.ru  </t>
  </si>
  <si>
    <t>http://www.dveridol.ru/</t>
  </si>
  <si>
    <t>Двери, Деревообрабатывающее предприятие, Напольные покрытия, Пиломатериалы</t>
  </si>
  <si>
    <t>Y-ola12</t>
  </si>
  <si>
    <t>+7 (8362) 77-07-75</t>
  </si>
  <si>
    <t>+7 (917) 712-79-80</t>
  </si>
  <si>
    <t xml:space="preserve">info@y-ola12.ru  </t>
  </si>
  <si>
    <t>http://y-ola12.ru/</t>
  </si>
  <si>
    <t>Добрый мастер</t>
  </si>
  <si>
    <t>+7 (8362) 33-35-42</t>
  </si>
  <si>
    <t>+7 (927) 883-35-42</t>
  </si>
  <si>
    <t>Йошкар-Ола - привод</t>
  </si>
  <si>
    <t>Мастерская заточки дорогих ножей</t>
  </si>
  <si>
    <t>ул. Карла Маркса, 78, Йошкар-Ола</t>
  </si>
  <si>
    <t>+7 (917) 709-27-89</t>
  </si>
  <si>
    <t>Услуги частных специалистов</t>
  </si>
  <si>
    <t>https://vk.com/club27709636</t>
  </si>
  <si>
    <t>47.899284 56.634262</t>
  </si>
  <si>
    <t>Грузовое такси</t>
  </si>
  <si>
    <t>Первомайская ул., 120, Йошкар-Ола</t>
  </si>
  <si>
    <t>+7 (8362) 25-06-06</t>
  </si>
  <si>
    <t>47.885675 56.638347</t>
  </si>
  <si>
    <t>Официальный дилер Bomag Йошкар Ола - Дортранс</t>
  </si>
  <si>
    <t>Советская ул., 10, Йошкар-Ола</t>
  </si>
  <si>
    <t>8 (800) 222-01-77</t>
  </si>
  <si>
    <t>+7 (937) 397-05-54</t>
  </si>
  <si>
    <t xml:space="preserve">dor-trans@bk.ru  </t>
  </si>
  <si>
    <t>https://bomag-service.ru/</t>
  </si>
  <si>
    <t>Дорожно-строительная техника, Спецтехника и спецавтомобили</t>
  </si>
  <si>
    <t>https://vk.com/bomagservice</t>
  </si>
  <si>
    <t>https://twitter.com/bomagservice</t>
  </si>
  <si>
    <t>https://www.facebook.com/dortransofficial/</t>
  </si>
  <si>
    <t>https://www.instagram.com/bomag_service/</t>
  </si>
  <si>
    <t>47.913496 56.650874</t>
  </si>
  <si>
    <t>Афалина</t>
  </si>
  <si>
    <t>+7 (927) 882-34-91</t>
  </si>
  <si>
    <t>Водоочистка, водоочистное оборудование, Фильтры для воды</t>
  </si>
  <si>
    <t>Информационно-консалтинговый центр</t>
  </si>
  <si>
    <t>+7 (8362) 38-30-63, +7 (8362) 31-08-99, +7 (8362) 38-30-83, +7 (8362) 38-40-74, +7 (8362) 44-20-08</t>
  </si>
  <si>
    <t>+7 (8362) 38-30-63</t>
  </si>
  <si>
    <t xml:space="preserve">zakupki@kontur.ru, 310899@ofd12.ru  </t>
  </si>
  <si>
    <t>https://ca.kontur.ru/, http://egais12.ru/, http://ofd12.ru/, https://zakupki.kontur.ru/</t>
  </si>
  <si>
    <t>Аудиторская компания, Кассовые аппараты и расходные материалы, Удостоверяющий центр</t>
  </si>
  <si>
    <t>http://vk.com/club128272314</t>
  </si>
  <si>
    <t>Калифорния мебель</t>
  </si>
  <si>
    <t>ул. Крылова, 46, Йошкар-Ола</t>
  </si>
  <si>
    <t>+7 (8362) 40-25-00</t>
  </si>
  <si>
    <t>+7 (969) 627-88-99</t>
  </si>
  <si>
    <t xml:space="preserve">info@mebelmob.com, opt@slayn.ru, mebel-prime-ros@yandex.ru, user@gmail.ru  </t>
  </si>
  <si>
    <t>https://mebelmob.com/</t>
  </si>
  <si>
    <t>Интернет-магазин, Мебельная фабрика</t>
  </si>
  <si>
    <t>https://vk.com/californiamebel</t>
  </si>
  <si>
    <t>https://ok.ru/californiyamebel</t>
  </si>
  <si>
    <t>https://www.facebook.com/californiamebel/</t>
  </si>
  <si>
    <t>https://www.youtube.com/channel/UCTnnjNGVoca25PN052Hydmg?view_as=subscriber</t>
  </si>
  <si>
    <t>https://www.instagram.com/california_mebel/</t>
  </si>
  <si>
    <t>47.845413 56.621445</t>
  </si>
  <si>
    <t>Редуктор</t>
  </si>
  <si>
    <t>+7 (495) 227-63-20, +7 (495) 227-64-20</t>
  </si>
  <si>
    <t>+7 (903) 462-48-62</t>
  </si>
  <si>
    <t xml:space="preserve">info@artesk.ru </t>
  </si>
  <si>
    <t>http://joshkar-ola1.maz21.ru/</t>
  </si>
  <si>
    <t>Ленинский просп., 11, Йошкар-Ола</t>
  </si>
  <si>
    <t xml:space="preserve">bekar@bekar12.ru, cetan-mariel@mail.ru  </t>
  </si>
  <si>
    <t>http://www.bekar12.ru/</t>
  </si>
  <si>
    <t>47.912791 56.626318</t>
  </si>
  <si>
    <t>Империя сумок</t>
  </si>
  <si>
    <t>8 (800) 100-77-70, +7 (8362) 23-16-89</t>
  </si>
  <si>
    <t xml:space="preserve">feedback@imperiasumok.ru </t>
  </si>
  <si>
    <t>https://www.imperiasumok.ru/</t>
  </si>
  <si>
    <t>Магазин галантереи и аксессуаров, Магазин сумок и чемоданов</t>
  </si>
  <si>
    <t>https://vk.com/imperiasumok</t>
  </si>
  <si>
    <t>https://www.ok.ru/imperiasumok</t>
  </si>
  <si>
    <t>https://twitter.com/imperiasumok</t>
  </si>
  <si>
    <t>https://www.facebook.com/imperia.sumok</t>
  </si>
  <si>
    <t>https://www.instagram.com/imperia_sumok</t>
  </si>
  <si>
    <t>47.8434 56.641141</t>
  </si>
  <si>
    <t>ТМК Рим</t>
  </si>
  <si>
    <t>ул. Карла Маркса, 131, корп. 11, Йошкар-Ола</t>
  </si>
  <si>
    <t>+7 (8362) 39-55-14, +7 (8362) 54-16-62</t>
  </si>
  <si>
    <t xml:space="preserve">tmkrim@yandex.ru  </t>
  </si>
  <si>
    <t>Кровельные работы, Системы вентиляции, Системы водоснабжения, отопления, канализации, Строительная компания</t>
  </si>
  <si>
    <t>https://vk.com/id226921861</t>
  </si>
  <si>
    <t>47.88364 56.61521</t>
  </si>
  <si>
    <t>Народный государственный ансамбль бального танца Молодость Республики Марий Эл</t>
  </si>
  <si>
    <t>+7 (987) 703-71-76, +7 (927) 680-50-12</t>
  </si>
  <si>
    <t xml:space="preserve">ballroom12@yandex.ru  </t>
  </si>
  <si>
    <t>http://ballroom12.ru/</t>
  </si>
  <si>
    <t>Спортивный клуб, секция, Школа танцев</t>
  </si>
  <si>
    <t>пн-пт 09:00–22:00</t>
  </si>
  <si>
    <t>https://vk.com/club11782590</t>
  </si>
  <si>
    <t>https://ok.ru/group/52824167153743</t>
  </si>
  <si>
    <t>https://twitter.com/molodost12ru</t>
  </si>
  <si>
    <t>https://www.facebook.com/groups/1452496858413765</t>
  </si>
  <si>
    <t>https://www.instagram.com/tsk_molodost</t>
  </si>
  <si>
    <t>47.888885 56.638737</t>
  </si>
  <si>
    <t>Фант-Окна</t>
  </si>
  <si>
    <t>+7 (83631) 6-13-41</t>
  </si>
  <si>
    <t xml:space="preserve">info@fant-okna.ru  </t>
  </si>
  <si>
    <t>http://fant-okna.ru/</t>
  </si>
  <si>
    <t>Комплектующие для окон, Окна</t>
  </si>
  <si>
    <t>Dingo</t>
  </si>
  <si>
    <t>Россия, Республика Марий Эл, Йошкар-Ола, Красноармейская улица</t>
  </si>
  <si>
    <t>+7 (8362) 99-99-28</t>
  </si>
  <si>
    <t>47.87973 56.643726</t>
  </si>
  <si>
    <t>Стилист Ирина Обухова</t>
  </si>
  <si>
    <t>+7 (903) 326-57-22</t>
  </si>
  <si>
    <t>Клаксон</t>
  </si>
  <si>
    <t>Красноармейская ул., 96А, Йошкар-Ола</t>
  </si>
  <si>
    <t>+7 (8362) 50-60-70, +7 (8362) 50-60-40</t>
  </si>
  <si>
    <t>http://автошкола-клаксон.рф/</t>
  </si>
  <si>
    <t>https://vk.com/klakson12rus</t>
  </si>
  <si>
    <t>47.867099 56.646829</t>
  </si>
  <si>
    <t>ПЭК</t>
  </si>
  <si>
    <t>ул. Строителей, 99Б, Йошкар-Ола</t>
  </si>
  <si>
    <t>+7 (8362) 49-50-01</t>
  </si>
  <si>
    <t xml:space="preserve">press@pecom.ru, svo@pecom.ru  </t>
  </si>
  <si>
    <t>https://pecom.ru/</t>
  </si>
  <si>
    <t>Автомобильные грузоперевозки, Грузовые авиаперевозки, Экспедирование грузов</t>
  </si>
  <si>
    <t>https://vk.com/pecom</t>
  </si>
  <si>
    <t>https://www.facebook.com/pecom.ru</t>
  </si>
  <si>
    <t>https://www.youtube.com/channel/UCkB-vf454lND1P-YzE_Z_PQ</t>
  </si>
  <si>
    <t>https://www.instagram.com/pecom.ru/</t>
  </si>
  <si>
    <t>47.866854 56.614796</t>
  </si>
  <si>
    <t>Кузовной ремонт на Зелёной 9</t>
  </si>
  <si>
    <t>Зелёная ул., 9, Йошкар-Ола</t>
  </si>
  <si>
    <t>Кузовной ремонт, Нанесение покрытий, Сварочные работы, Шиномонтаж</t>
  </si>
  <si>
    <t>47.850093 56.637506</t>
  </si>
  <si>
    <t>ТД Премиум</t>
  </si>
  <si>
    <t>+7 (8362) 91-05-50</t>
  </si>
  <si>
    <t>+7 (917) 717-55-99</t>
  </si>
  <si>
    <t xml:space="preserve">pf.premium@yandex.ru  </t>
  </si>
  <si>
    <t>http://premium12.ru/</t>
  </si>
  <si>
    <t>Облицовочные материалы</t>
  </si>
  <si>
    <t>Блисс</t>
  </si>
  <si>
    <t>Красноармейская ул., 93, Йошкар-Ола</t>
  </si>
  <si>
    <t>+7 (8362) 28-04-04</t>
  </si>
  <si>
    <t>47.870087 56.645448</t>
  </si>
  <si>
    <t>Новотэк</t>
  </si>
  <si>
    <t>+7 (922) 300-58-18</t>
  </si>
  <si>
    <t>http://1k62.com/</t>
  </si>
  <si>
    <t>47.905627 56.628119</t>
  </si>
  <si>
    <t>СейкоФуджи</t>
  </si>
  <si>
    <t>+7 (8362) 26-11-22</t>
  </si>
  <si>
    <t>+7 (902) 436-11-22</t>
  </si>
  <si>
    <t xml:space="preserve">mari-fuji@yandex.ru  </t>
  </si>
  <si>
    <t>http://fujifilm12.ru/</t>
  </si>
  <si>
    <t>пн-пт 09:00–19:00; сб,вс 09:00–16:00</t>
  </si>
  <si>
    <t>https://vk.com/club64108808</t>
  </si>
  <si>
    <t>47.890268 56.639664</t>
  </si>
  <si>
    <t>ВисАрт групп</t>
  </si>
  <si>
    <t>+7 (8362) 43-60-90</t>
  </si>
  <si>
    <t>+7 (964) 863-60-90</t>
  </si>
  <si>
    <t xml:space="preserve">visart_group@mail.ru </t>
  </si>
  <si>
    <t>Натяжные и подвесные потолки, Окна, Студия дизайна</t>
  </si>
  <si>
    <t>пн-пт 09:00–17:00; сб 09:00–13:00</t>
  </si>
  <si>
    <t>47.88811 56.630394</t>
  </si>
  <si>
    <t>Миладенежка</t>
  </si>
  <si>
    <t>8 (800) 100-17-69</t>
  </si>
  <si>
    <t>https://miladenegka.ru/</t>
  </si>
  <si>
    <t>47.884693 56.632838</t>
  </si>
  <si>
    <t>Вокальная студия Голос Ок</t>
  </si>
  <si>
    <t>+7 (964) 864-24-44</t>
  </si>
  <si>
    <t xml:space="preserve">golosok.11@mail.ru  </t>
  </si>
  <si>
    <t>Дополнительное образование, Музыкальное образование, Творческий коллектив</t>
  </si>
  <si>
    <t>пн-пт 17:00–21:00</t>
  </si>
  <si>
    <t>https://vk.com/golosok2011</t>
  </si>
  <si>
    <t>47.829869 56.636613</t>
  </si>
  <si>
    <t>Центр экономических исследований Развитие</t>
  </si>
  <si>
    <t>Красноармейская ул., 71, Йошкар-Ола</t>
  </si>
  <si>
    <t>+7 (8362) 42-58-75</t>
  </si>
  <si>
    <t>+7 (917) 913-53-24</t>
  </si>
  <si>
    <t>Аутсорсинг, Бизнес-консалтинг, Маркетинговые услуги</t>
  </si>
  <si>
    <t>47.877842 56.643678</t>
  </si>
  <si>
    <t>Фант</t>
  </si>
  <si>
    <t>+7 (8362) 56-40-01</t>
  </si>
  <si>
    <t xml:space="preserve">fant-mebel@bk.ru, fant-mebel@inbox.ru  </t>
  </si>
  <si>
    <t>http://fant-mebel.ru/</t>
  </si>
  <si>
    <t>Империя Меха</t>
  </si>
  <si>
    <t>+7 (902) 739-19-93</t>
  </si>
  <si>
    <t>47.892662 56.638785</t>
  </si>
  <si>
    <t>Звон</t>
  </si>
  <si>
    <t>+7 (8362) 37-92-77</t>
  </si>
  <si>
    <t>47.88625 56.62602</t>
  </si>
  <si>
    <t>Энерготранзит</t>
  </si>
  <si>
    <t>+7 (8362) 44-57-80</t>
  </si>
  <si>
    <t>Красноармейская ул., 98Б, Йошкар-Ола</t>
  </si>
  <si>
    <t>+7 (937) 112-68-77</t>
  </si>
  <si>
    <t>47.863536 56.646758</t>
  </si>
  <si>
    <t>Аленкинская ПМК</t>
  </si>
  <si>
    <t>+7 (8362) 63-61-50, +7 (8362) 53-70-00, +7 (8362) 49-54-00, +7 (8362) 63-61-34</t>
  </si>
  <si>
    <t>ПрофТоргОборудование</t>
  </si>
  <si>
    <t>+7 (8362) 41-61-85, +7 (8362) 99-19-30, +7 (8362) 65-28-16</t>
  </si>
  <si>
    <t>Студия английского языка</t>
  </si>
  <si>
    <t>ул. Свердлова, 34, Йошкар-Ола</t>
  </si>
  <si>
    <t>+7 (8362) 37-25-57, +7 (8362) 99-56-73</t>
  </si>
  <si>
    <t xml:space="preserve">studioofenglish@yandex.ru  </t>
  </si>
  <si>
    <t>http://studioofenglish.ru/</t>
  </si>
  <si>
    <t>47.8699 56.641</t>
  </si>
  <si>
    <t>Копеечка. на сайте вирус</t>
  </si>
  <si>
    <t>+7 (8362) 56-43-67, +7 (8362) 99-85-67, +7 (8362) 67-01-01, +7 (8362) 76-01-01</t>
  </si>
  <si>
    <t xml:space="preserve">koop01@mail.ru  </t>
  </si>
  <si>
    <t>http://koop01.ru/</t>
  </si>
  <si>
    <t>Кровля и кровельные материалы, Строительный магазин, Фанера</t>
  </si>
  <si>
    <t>https://vk.com/koop01</t>
  </si>
  <si>
    <t>https://www.instagram.com/kopeechka01/</t>
  </si>
  <si>
    <t>47.897874 56.618072</t>
  </si>
  <si>
    <t>Промтехнологии</t>
  </si>
  <si>
    <t>8 (800) 350-40-64</t>
  </si>
  <si>
    <t xml:space="preserve">rn@magazinform.ru  </t>
  </si>
  <si>
    <t>https://формыдляплитки.рф/</t>
  </si>
  <si>
    <t>Пластмассовые и пластиковые изделия, Производственное предприятие, Рекламная продукция</t>
  </si>
  <si>
    <t>https://vk.com/magazinform</t>
  </si>
  <si>
    <t>https://www.facebook.com/magazinform/</t>
  </si>
  <si>
    <t>47.862121 56.618114</t>
  </si>
  <si>
    <t>АльянсГрупп</t>
  </si>
  <si>
    <t>ул. Анциферова, 40, Йошкар-Ола</t>
  </si>
  <si>
    <t>+7 (927) 883-58-00, +7 (927) 888-68-88</t>
  </si>
  <si>
    <t xml:space="preserve">alians12@inbox.ru  </t>
  </si>
  <si>
    <t>https://12alliance.ru/</t>
  </si>
  <si>
    <t>Автобусные междугородные перевозки</t>
  </si>
  <si>
    <t>https://vk.com/alians12</t>
  </si>
  <si>
    <t>http://www.odnoklassniki.ru/group/54350351826945</t>
  </si>
  <si>
    <t>http://www.facebook.com/alliancegroup12</t>
  </si>
  <si>
    <t>http://www.youtube.com/channel/UCnvylAcL4TVgLBDfHiTtwtg</t>
  </si>
  <si>
    <t>https://www.instagram.com/al_group12</t>
  </si>
  <si>
    <t>47.8638 56.640265</t>
  </si>
  <si>
    <t>Русский Фейерверк</t>
  </si>
  <si>
    <t>Кремлёвская ул., 33, Йошкар-Ола</t>
  </si>
  <si>
    <t>+7 (8362) 42-42-96, +7 (8362) 71-41-41</t>
  </si>
  <si>
    <t>http://www.salutopt.ru/</t>
  </si>
  <si>
    <t>Фейерверки и пиротехника</t>
  </si>
  <si>
    <t>пн-сб 09:00–19:00; вс 10:00–18:00</t>
  </si>
  <si>
    <t>47.882155 56.640797</t>
  </si>
  <si>
    <t>Периодика Марий Эл</t>
  </si>
  <si>
    <t>ул. Строителей, 89, Йошкар-Ола</t>
  </si>
  <si>
    <t>+7 (8362) 45-11-40, +7 (8362) 54-09-79</t>
  </si>
  <si>
    <t>+7 (927) 885-47-37</t>
  </si>
  <si>
    <t>47.85132 56.62552</t>
  </si>
  <si>
    <t>Почта банк</t>
  </si>
  <si>
    <t>8 (800) 550-07-70</t>
  </si>
  <si>
    <t xml:space="preserve">pr@pochtabank.ru, webmaster@letobank.ru, info@pochtabank.ru, fb@pochtabank.ru  </t>
  </si>
  <si>
    <t>https://www.pochtabank.ru/</t>
  </si>
  <si>
    <t>пн-пт 09:00–21:00; сб,вс 10:00–17:00</t>
  </si>
  <si>
    <t>https://vk.com/pochtabank_official</t>
  </si>
  <si>
    <t>https://ok.ru/pochtabank</t>
  </si>
  <si>
    <t>https://twitter.com/pochtabank</t>
  </si>
  <si>
    <t>http://www.facebook.com/pochtabank</t>
  </si>
  <si>
    <t>https://www.youtube.com/channel/UCs2NW4p10fwTar-zqw7mUIw</t>
  </si>
  <si>
    <t>https://www.instagram.com/pochtabank/</t>
  </si>
  <si>
    <t>47.881745 56.631969</t>
  </si>
  <si>
    <t>Высота</t>
  </si>
  <si>
    <t>+7 (8362) 94-13-01, +7 (8362) 98-25-91, +7 (8362) 91-06-17</t>
  </si>
  <si>
    <t>8 (800) 555-55-50, +7 (8362) 68-40-11, +7 (8362) 41-30-79, +7 (495) 500-55-50</t>
  </si>
  <si>
    <t>47.886248 56.637611</t>
  </si>
  <si>
    <t>ЛипаСервис</t>
  </si>
  <si>
    <t>Звёздная ул., 4, Йошкар-Ола</t>
  </si>
  <si>
    <t>+7 (927) 888-73-03</t>
  </si>
  <si>
    <t xml:space="preserve">reserve@balmont.ru </t>
  </si>
  <si>
    <t>47.963559 56.6145</t>
  </si>
  <si>
    <t>ГБОУ ДОД РМЭ центр детского и юношеского технического творчества</t>
  </si>
  <si>
    <t>+7 (8362) 42-01-21, +7 (8362) 42-01-19</t>
  </si>
  <si>
    <t>http://vk.com/yolatehnik</t>
  </si>
  <si>
    <t>47.888325 56.633689</t>
  </si>
  <si>
    <t>Салон-магазин МТС</t>
  </si>
  <si>
    <t>8 (800) 250-08-90, +7 (8362) 68-18-18</t>
  </si>
  <si>
    <t xml:space="preserve">mtskassa@litebox.ru, ivan@mail.ru  </t>
  </si>
  <si>
    <t>https://mari-el.mts.ru/, https://kassa.mts.ru/, https://shop.mts.ru/</t>
  </si>
  <si>
    <t>https://vk.com/mts</t>
  </si>
  <si>
    <t>https://ok.ru/mts</t>
  </si>
  <si>
    <t>https://twitter.com/ru_mts</t>
  </si>
  <si>
    <t>https://www.facebook.com/mts</t>
  </si>
  <si>
    <t>https://www.instagram.com/mts.official/</t>
  </si>
  <si>
    <t>47.843578 56.640978</t>
  </si>
  <si>
    <t>Неон</t>
  </si>
  <si>
    <t>+7 (8362) 79-27-92, +7 (8362) 79-07-50</t>
  </si>
  <si>
    <t>+7 (960) 091-60-00</t>
  </si>
  <si>
    <t>https://vk.com/club67932204</t>
  </si>
  <si>
    <t>Доктор Климат</t>
  </si>
  <si>
    <t>+7 (8362) 71-11-71</t>
  </si>
  <si>
    <t>+7 (927) 876-14-36</t>
  </si>
  <si>
    <t>Кондиционеры, Магазин бытовой техники, Ремонт климатических систем</t>
  </si>
  <si>
    <t>47.919644 56.63557</t>
  </si>
  <si>
    <t>Текстиль</t>
  </si>
  <si>
    <t>+7 (8362) 46-34-62, +7 (8362) 78-60-00, +7 (8362) 77-20-22</t>
  </si>
  <si>
    <t xml:space="preserve">977000@bk.ru </t>
  </si>
  <si>
    <t>https://textil12.ru/</t>
  </si>
  <si>
    <t>Магазин постельных принадлежностей, Матрасы</t>
  </si>
  <si>
    <t>http://vk.com/textil12</t>
  </si>
  <si>
    <t>47.95197 56.64801</t>
  </si>
  <si>
    <t>Ангел</t>
  </si>
  <si>
    <t>Пролетарская ул., 39, Йошкар-Ола</t>
  </si>
  <si>
    <t>+7 (909) 369-28-38, +7 (917) 708-84-63</t>
  </si>
  <si>
    <t xml:space="preserve">ooo-petrovich@mail.ru, support@ritualodejda.ru  </t>
  </si>
  <si>
    <t>http://ritualodejda.ru/</t>
  </si>
  <si>
    <t>47.889637 56.64597</t>
  </si>
  <si>
    <t>Павловопосадские платки</t>
  </si>
  <si>
    <t>+7 (927) 871-70-77</t>
  </si>
  <si>
    <t xml:space="preserve">otdelved@platki.ru  </t>
  </si>
  <si>
    <t>https://platki.ru/</t>
  </si>
  <si>
    <t>Магазин галантереи и аксессуаров</t>
  </si>
  <si>
    <t>47.893255 56.638579</t>
  </si>
  <si>
    <t>Магнит Семейный</t>
  </si>
  <si>
    <t>8 (800) 200-90-02, +7 (8362) 21-11-00</t>
  </si>
  <si>
    <t xml:space="preserve">info@magnit.ru, ccms@comarch.com, yaroslavtseva_ov@magnit.ru, example@mail.ru, ofd@magnit.ru  </t>
  </si>
  <si>
    <t>Продуктовый гипермаркет</t>
  </si>
  <si>
    <t>https://vk.com/magnitretail</t>
  </si>
  <si>
    <t>47.9329 56.634</t>
  </si>
  <si>
    <t>Паллада Лекс</t>
  </si>
  <si>
    <t>+7 (8362) 21-21-12, +7 (8362) 65-07-18, +7 (8362) 77-49-84</t>
  </si>
  <si>
    <t xml:space="preserve">info@dra.ru </t>
  </si>
  <si>
    <t>Бизнес-консалтинг, Юридические услуги</t>
  </si>
  <si>
    <t>47.922327 56.63106</t>
  </si>
  <si>
    <t>Академический русский театр драмы имени Георгия Константинова</t>
  </si>
  <si>
    <t>площадь имени В.П. Никонова, 1, Йошкар-Ола</t>
  </si>
  <si>
    <t>+7 (8362) 56-61-90, +7 (8362) 45-08-90, +7 (8362) 45-34-82, +7 (8362) 26-90-27, +7 (8362) 45-34-95, +7 (8362) 45-04-28, +7 (8362) 45-19-43</t>
  </si>
  <si>
    <t xml:space="preserve">maska@mari-el.ru </t>
  </si>
  <si>
    <t>http://rusdramtheatre.ru/</t>
  </si>
  <si>
    <t>Театр</t>
  </si>
  <si>
    <t>пн-пт 11:00–18:00; сб,вс 10:00–17:00</t>
  </si>
  <si>
    <t>http://vk.com/club5791134</t>
  </si>
  <si>
    <t>http://facebook.com/rusdramtheatre164</t>
  </si>
  <si>
    <t>47.90239 56.634642</t>
  </si>
  <si>
    <t>Круассан</t>
  </si>
  <si>
    <t>Первомайская ул., 114, Йошкар-Ола</t>
  </si>
  <si>
    <t>Булочная, пекарня, Кафе, Кофейня</t>
  </si>
  <si>
    <t>47.887005 56.638712</t>
  </si>
  <si>
    <t>Промлизинг</t>
  </si>
  <si>
    <t>Медицинская ул., 3/1, Йошкар-Ола</t>
  </si>
  <si>
    <t>+7 (8362) 33-80-00</t>
  </si>
  <si>
    <t>+7 (905) 008-00-16, +7 (917) 715-24-98, +7 (927) 883-80-00</t>
  </si>
  <si>
    <t xml:space="preserve">mail@ooopromlizing.ru  </t>
  </si>
  <si>
    <t>http://ooopromlizing.ru/</t>
  </si>
  <si>
    <t>Автосалон, Лизинговая компания, Спецтехника и спецавтомобили</t>
  </si>
  <si>
    <t>47.957199 56.6411</t>
  </si>
  <si>
    <t>ItalON</t>
  </si>
  <si>
    <t xml:space="preserve">info@parket-surgut.ru  </t>
  </si>
  <si>
    <t>https://ital-on.ru/, http://www.leganzadoors.ru/</t>
  </si>
  <si>
    <t>Двери, Системы перегородок, Стеклянные двери</t>
  </si>
  <si>
    <t>https://vk.com/italondoors</t>
  </si>
  <si>
    <t>https://www.facebook.com/italonporte/</t>
  </si>
  <si>
    <t>https://www.instagram.com/italondoors_official/</t>
  </si>
  <si>
    <t>47.890717 56.63998</t>
  </si>
  <si>
    <t>8 (800) 333-22-44, +7 (8362) 22-64-20, +7 (8362) 22-64-50</t>
  </si>
  <si>
    <t>ГлавСпорт</t>
  </si>
  <si>
    <t>Вознесенская ул., 78, Йошкар-Ола</t>
  </si>
  <si>
    <t>+7 (8362) 70-02-07</t>
  </si>
  <si>
    <t>+7 (902) 465-02-07</t>
  </si>
  <si>
    <t>Веломагазин, Ремонт велосипедов, Спортивный инвентарь и оборудование, Спортивный магазин</t>
  </si>
  <si>
    <t>https://vk.com/glavsport700207</t>
  </si>
  <si>
    <t>47.898663 56.634077</t>
  </si>
  <si>
    <t>8 (800) 333-22-44, +7 (495) 710-86-06</t>
  </si>
  <si>
    <t>47.843643 56.640997</t>
  </si>
  <si>
    <t>Кабинетоф Йошкар-Ола</t>
  </si>
  <si>
    <t>+7 (8362) 31-35-71</t>
  </si>
  <si>
    <t xml:space="preserve">info@kabinetof.ru  </t>
  </si>
  <si>
    <t>http://yoshkar-ola.kabinetof.ru/</t>
  </si>
  <si>
    <t>Магазин мебели, Мебель для офиса, Сейфы, Шкафы-купе</t>
  </si>
  <si>
    <t>47.867269 56.61509</t>
  </si>
  <si>
    <t>Молодая Гвардия Единой России</t>
  </si>
  <si>
    <t>+7 (960) 098-74-44, +7 (987) 700-61-31</t>
  </si>
  <si>
    <t xml:space="preserve">mgerinternational@gmail.com, studcampus@mail.ru, prava-studentov@inbox.ru, peregudovajulia@yandex.ru, studcss@mail.ru, studstazhirovki@mail.ru, mediagvardia@mail.ru, dk3gorka@gmail.com </t>
  </si>
  <si>
    <t>https://vk.com/vmgere</t>
  </si>
  <si>
    <t>https://www.facebook.com/vmgere</t>
  </si>
  <si>
    <t>https://www.instagram.com/Vmgere</t>
  </si>
  <si>
    <t>Бит</t>
  </si>
  <si>
    <t>+7 (8362) 42-31-04, +7 (8362) 33-36-20</t>
  </si>
  <si>
    <t xml:space="preserve">bit12rus@gmail.com  </t>
  </si>
  <si>
    <t>http://bit12.ru/</t>
  </si>
  <si>
    <t>Компьютерный ремонт и услуги, Ремонт аудиотехники и видеотехники</t>
  </si>
  <si>
    <t>https://vk.com/bit12</t>
  </si>
  <si>
    <t>47.900901 56.638907</t>
  </si>
  <si>
    <t>Йола-маркет</t>
  </si>
  <si>
    <t>Ленинский просп., 60, Йошкар-Ола</t>
  </si>
  <si>
    <t>+7 (917) 700-03-13</t>
  </si>
  <si>
    <t>https://www.yola-agro.ru/</t>
  </si>
  <si>
    <t>Магазин мяса, колбас, Магазин продуктов, Молочный магазин</t>
  </si>
  <si>
    <t>пн-сб 08:00–20:00, перерыв 14:30–15:00; вс 08:00–19:30, перерыв 14:30–15:00</t>
  </si>
  <si>
    <t>https://vk.com/yolamarketru</t>
  </si>
  <si>
    <t>https://www.facebook.com/yolamarket.ru</t>
  </si>
  <si>
    <t>https://www.instagram.com/yolamarket.ru/</t>
  </si>
  <si>
    <t>47.873394 56.637342</t>
  </si>
  <si>
    <t>Пилот Групп Рус</t>
  </si>
  <si>
    <t>+7 (8362) 38-04-02</t>
  </si>
  <si>
    <t xml:space="preserve">yanar@pilotgroup.net, hr@pilotgroup.net, istepanova@pilotgroup.net, ceo@pilotgroup.net, alexander@pilotgroup.net  </t>
  </si>
  <si>
    <t>http://www.pilotgroup.net/</t>
  </si>
  <si>
    <t>IT-компания, Автоматизация производств, Программное обеспечение</t>
  </si>
  <si>
    <t>http://vk.com/club1708830</t>
  </si>
  <si>
    <t>http://twitter.com/pilotgroup_net</t>
  </si>
  <si>
    <t>http://www.facebook.com/pilotgroup.net</t>
  </si>
  <si>
    <t>http://instagram.com/pilotgroupnet</t>
  </si>
  <si>
    <t>Межрегиональная Благотворительная Общественная Организация Помощи Социально Неблагополучным Гражданам Новый Путь</t>
  </si>
  <si>
    <t>+7 (8362) 42-32-99</t>
  </si>
  <si>
    <t>http://vk.com/antinark12</t>
  </si>
  <si>
    <t>47.886951 56.638634</t>
  </si>
  <si>
    <t>8 (800) 333-22-44, +7 (8362) 42-22-47, +7 (8362) 41-32-90, +7 (8362) 56-07-40</t>
  </si>
  <si>
    <t>+7 (987) 730-82-64, +7 (937) 114-77-22, +7 (937) 113-92-07</t>
  </si>
  <si>
    <t>http://mto-progress.narod.ru/</t>
  </si>
  <si>
    <t>PickPoint</t>
  </si>
  <si>
    <t>8 (800) 700-79-09</t>
  </si>
  <si>
    <t xml:space="preserve">info@pickpoint.ru  </t>
  </si>
  <si>
    <t>http://www.pickpoint.ru/</t>
  </si>
  <si>
    <t>Почтовый терминал</t>
  </si>
  <si>
    <t>пн-пт 07:30–18:00; сб 09:00–15:00</t>
  </si>
  <si>
    <t>http://vk.com/club24434985</t>
  </si>
  <si>
    <t>https://www.facebook.com/PickPoint/</t>
  </si>
  <si>
    <t>https://www.instagram.com/pickpoint_rus/</t>
  </si>
  <si>
    <t>47.891623 56.62144</t>
  </si>
  <si>
    <t>Фиера</t>
  </si>
  <si>
    <t>+7 (8362) 49-71-72</t>
  </si>
  <si>
    <t xml:space="preserve">penza@fiera.ru, wayparkmanagers@fiera.ru, info@fiera.ru, salesekaterinburg@fiera.ru  </t>
  </si>
  <si>
    <t>https://yoshkar-ola.fierashop.ru/</t>
  </si>
  <si>
    <t>Магазин мебели, Мебельная фурнитура и комплектующие</t>
  </si>
  <si>
    <t>https://vk.com/fierashopru</t>
  </si>
  <si>
    <t>https://www.facebook.com/fierashopru/</t>
  </si>
  <si>
    <t>https://www.youtube.com/channel/UCsC5nlshhkzoeo3VqFDCbrg</t>
  </si>
  <si>
    <t>https://www.instagram.com/fierashopru/</t>
  </si>
  <si>
    <t>Благамед</t>
  </si>
  <si>
    <t>ул. Зарубина, 40А, Йошкар-Ола</t>
  </si>
  <si>
    <t>+7 (8362) 65-64-28</t>
  </si>
  <si>
    <t>Медицинские изделия и расходные материалы, Медицинское оборудование, медтехника, Стоматологические материалы и оборудование</t>
  </si>
  <si>
    <t>47.872138 56.635432</t>
  </si>
  <si>
    <t>ТК Локомотив</t>
  </si>
  <si>
    <t>+7 (8362) 30-54-94</t>
  </si>
  <si>
    <t>+7 (967) 757-54-94</t>
  </si>
  <si>
    <t>47.92583 56.627267</t>
  </si>
  <si>
    <t>Cardinbox.ru</t>
  </si>
  <si>
    <t>+7 (917) 709-38-38, +7 (987) 716-49-64</t>
  </si>
  <si>
    <t xml:space="preserve">mail@cardinbox.ru  </t>
  </si>
  <si>
    <t>http://cardinbox.ru/</t>
  </si>
  <si>
    <t>http://vk.com/cardinbox_yola</t>
  </si>
  <si>
    <t>http://ok.ru/group/52330361847973</t>
  </si>
  <si>
    <t>http://instagram.com/cardinbox</t>
  </si>
  <si>
    <t>Безопасность труда и жизни</t>
  </si>
  <si>
    <t>+7 (8362) 42-92-30</t>
  </si>
  <si>
    <t>Золотая рыбка</t>
  </si>
  <si>
    <t>+7 (8362) 62-93-62</t>
  </si>
  <si>
    <t>пн-пт 09:00–20:00; сб,вс 10:00–18:00</t>
  </si>
  <si>
    <t>47.869732 56.640995</t>
  </si>
  <si>
    <t>ИП Максимов Е.М.</t>
  </si>
  <si>
    <t>+7 (8362) 38-35-38</t>
  </si>
  <si>
    <t>+7 (909) 369-34-34</t>
  </si>
  <si>
    <t>http://www.h-essen.ru/</t>
  </si>
  <si>
    <t>Оборудование для ресторанов, Производственное предприятие</t>
  </si>
  <si>
    <t>Ноутбук-Сервис</t>
  </si>
  <si>
    <t>+7 (8362) 90-00-33</t>
  </si>
  <si>
    <t>Компьютерный магазин, Компьютерный ремонт и услуги, Ноутбуки и планшеты, Ремонт аудиотехники и видеотехники, Ремонт бытовой техники</t>
  </si>
  <si>
    <t>http://instagram.com/dlservicespb</t>
  </si>
  <si>
    <t>47.841592 56.632404</t>
  </si>
  <si>
    <t>Спецтехника</t>
  </si>
  <si>
    <t>+7 (8352) 48-46-64</t>
  </si>
  <si>
    <t>Складское и архивное оборудование</t>
  </si>
  <si>
    <t>Складское оборудование</t>
  </si>
  <si>
    <t>Смарт, филиал</t>
  </si>
  <si>
    <t>+7 (8352) 22-42-02</t>
  </si>
  <si>
    <t>Автоматизация производств, Системы безопасности и охраны</t>
  </si>
  <si>
    <t>Сцта</t>
  </si>
  <si>
    <t>+7 (8362) 45-33-06, +7 (8362) 34-31-12</t>
  </si>
  <si>
    <t>+7 (917) 700-28-10</t>
  </si>
  <si>
    <t xml:space="preserve">usm12@mail.ru  </t>
  </si>
  <si>
    <t>http://diesel-mari.ru/, http://sctamari.narod.ru/</t>
  </si>
  <si>
    <t>http://vk.com/diesel_mari_ru</t>
  </si>
  <si>
    <t>Регион Строй</t>
  </si>
  <si>
    <t>+7 (929) 734-57-37</t>
  </si>
  <si>
    <t>Бытовая техника оптом, Корпусная мебель, Магазин мебели, Стройматериалы оптом</t>
  </si>
  <si>
    <t>Колеса даром</t>
  </si>
  <si>
    <t>Фестивальная ул., 72Б, Йошкар-Ола</t>
  </si>
  <si>
    <t>8 (800) 300-62-57</t>
  </si>
  <si>
    <t xml:space="preserve">clientcenter@kolesa-darom.ru  </t>
  </si>
  <si>
    <t>https://vk.com/kolesa_darom</t>
  </si>
  <si>
    <t>https://twitter.com/Kolesa_Darom</t>
  </si>
  <si>
    <t>https://www.youtube.com/channel/UCxVFSPl8vZGpEhIReRm8Xog</t>
  </si>
  <si>
    <t>https://www.instagram.com/kolesa_darom</t>
  </si>
  <si>
    <t>47.834922 56.642804</t>
  </si>
  <si>
    <t>Эль-Гуна</t>
  </si>
  <si>
    <t>Медицинская ул., 10Б, Йошкар-Ола</t>
  </si>
  <si>
    <t>+7 (8362) 55-68-48</t>
  </si>
  <si>
    <t>+7 (967) 755-68-48, +7 (939) 722-91-81</t>
  </si>
  <si>
    <t>https://vk.com/club147204378</t>
  </si>
  <si>
    <t>47.965147 56.640131</t>
  </si>
  <si>
    <t>Трасса</t>
  </si>
  <si>
    <t>Сернурский тракт, 20, Йошкар-Ола</t>
  </si>
  <si>
    <t>+7 (8362) 61-59-99</t>
  </si>
  <si>
    <t>+7 (963) 126-44-33, +7 (927) 870-22-88, +7 (902) 743-31-99</t>
  </si>
  <si>
    <t xml:space="preserve">masla.blagodarova@yandex.ru  </t>
  </si>
  <si>
    <t>Автокосметика, автохимия, Автосервис, автотехцентр, Магазин автозапчастей и автотоваров, Шиномонтаж, Шины и диски</t>
  </si>
  <si>
    <t>пн-пт 08:00–20:00; сб,вс 08:00–19:00</t>
  </si>
  <si>
    <t>https://vk.com/avtomagazintrassa</t>
  </si>
  <si>
    <t>47.933137 56.644101</t>
  </si>
  <si>
    <t>Максимус</t>
  </si>
  <si>
    <t>ул. Анникова, 8, Йошкар-Ола</t>
  </si>
  <si>
    <t>+7 (8362) 46-56-13</t>
  </si>
  <si>
    <t xml:space="preserve">info@clubmaximus.ru  </t>
  </si>
  <si>
    <t>http://clubmaximus.ru/</t>
  </si>
  <si>
    <t>Солярий, Спортивный клуб, секция, Фитнес-клуб</t>
  </si>
  <si>
    <t>пн-пт 08:00–21:00; сб,вс 08:00–19:00</t>
  </si>
  <si>
    <t>http://vk.com/club.maximus</t>
  </si>
  <si>
    <t>47.839114 56.644844</t>
  </si>
  <si>
    <t>Артиллект</t>
  </si>
  <si>
    <t>ул. Строителей, 95Б, Йошкар-Ола</t>
  </si>
  <si>
    <t>Полиграфические услуги, Рекламное агентство, Студия дизайна</t>
  </si>
  <si>
    <t>http://vk.com/artillekt</t>
  </si>
  <si>
    <t>47.859858 56.619483</t>
  </si>
  <si>
    <t>Сириус</t>
  </si>
  <si>
    <t>ул. Якова Эшпая, 114/63, Йошкар-Ола</t>
  </si>
  <si>
    <t>+7 (8362) 45-80-24</t>
  </si>
  <si>
    <t xml:space="preserve">info@planeta-sirius.ru, info@siriusn.ru  </t>
  </si>
  <si>
    <t>https://www.planeta-sirius.ru/</t>
  </si>
  <si>
    <t>Магазин хозтоваров и бытовой химии, Спецодежда</t>
  </si>
  <si>
    <t>http://twitter.com/SiriusPlaneta</t>
  </si>
  <si>
    <t>https://www.facebook.com/SiriusPlaneta</t>
  </si>
  <si>
    <t>https://www.instagram.com/planeta_sirius/</t>
  </si>
  <si>
    <t>47.886063 56.644339</t>
  </si>
  <si>
    <t>Универсалтранс</t>
  </si>
  <si>
    <t>ул. Осипенко, 2Б, Йошкар-Ола</t>
  </si>
  <si>
    <t>+7 (8362) 78-25-77</t>
  </si>
  <si>
    <t>http://kolca12.ru/</t>
  </si>
  <si>
    <t>ЖБИ, Строительный магазин</t>
  </si>
  <si>
    <t>пн-пт 07:30–17:00; сб 07:30–13:00</t>
  </si>
  <si>
    <t>47.886367 56.655402</t>
  </si>
  <si>
    <t>Волжская сетевая компания</t>
  </si>
  <si>
    <t>Успенская ул., 15, Йошкар-Ола</t>
  </si>
  <si>
    <t>+7 (8362) 38-42-04</t>
  </si>
  <si>
    <t xml:space="preserve">vsk.mariel@yandex.ru </t>
  </si>
  <si>
    <t>Обслуживание электросетей, Энергоснабжение</t>
  </si>
  <si>
    <t>47.884042 56.629408</t>
  </si>
  <si>
    <t>Двери Вам</t>
  </si>
  <si>
    <t>+7 (8362) 70-30-50</t>
  </si>
  <si>
    <t xml:space="preserve">dverivam12@gmail.com, dverivam12@yandex.ru  </t>
  </si>
  <si>
    <t>http://dverivam.nethouse.ru/</t>
  </si>
  <si>
    <t>Двери, Оптовый магазин, Строительный магазин, Стройматериалы оптом</t>
  </si>
  <si>
    <t>47.8435 56.6157</t>
  </si>
  <si>
    <t>8 (800) 333-22-44, +7 (8362) 45-02-33</t>
  </si>
  <si>
    <t>+7 (927) 293-07-77</t>
  </si>
  <si>
    <t>47.88473 56.63328</t>
  </si>
  <si>
    <t>Клаб Трэвэл</t>
  </si>
  <si>
    <t>Вознесенская ул., 80, Йошкар-Ола</t>
  </si>
  <si>
    <t>+7 (8362) 41-25-65</t>
  </si>
  <si>
    <t>47.898952 56.633783</t>
  </si>
  <si>
    <t>ОптПром</t>
  </si>
  <si>
    <t>+7 (8362) 73-09-23</t>
  </si>
  <si>
    <t xml:space="preserve">info@cryodom.ru  </t>
  </si>
  <si>
    <t>https://cryodom.ru/</t>
  </si>
  <si>
    <t>Криогенная техника, Промышленная химия, Технические и медицинские газы</t>
  </si>
  <si>
    <t>47.832522 56.627069</t>
  </si>
  <si>
    <t>Интерстом</t>
  </si>
  <si>
    <t>+7 (8362) 49-53-33</t>
  </si>
  <si>
    <t xml:space="preserve">interstom1215@mail.ru  </t>
  </si>
  <si>
    <t>http://interstom12.ru/</t>
  </si>
  <si>
    <t>47.887573 56.646743</t>
  </si>
  <si>
    <t>Автономная некоммерческая организация Бизнес-инкубатор Республики Марий Эл</t>
  </si>
  <si>
    <t>+7 (8362) 21-02-20, +7 (8362) 21-07-07, +7 (8362) 21-05-00, +7 (8362) 21-06-00, +7 (8362) 39-05-90</t>
  </si>
  <si>
    <t xml:space="preserve">cpp_12@mai.ru, dir@bink12.ru, glavbuh@bink12.ru, jurist@bink12.ru, reklama@bink12.ru  </t>
  </si>
  <si>
    <t>http://bink12.ru/</t>
  </si>
  <si>
    <t>Бизнес-инкубатор, Бизнес-консалтинг, Бухгалтерские услуги, Продажа и аренда коммерческой недвижимости, Юридические услуги</t>
  </si>
  <si>
    <t>https://vk.com/club115977794</t>
  </si>
  <si>
    <t>https://www.facebook.com/groups/bink12</t>
  </si>
  <si>
    <t>47.907515 56.631233</t>
  </si>
  <si>
    <t>Доступный балкон</t>
  </si>
  <si>
    <t>+7 (8362) 24-41-40, +7 (8362) 36-51-51</t>
  </si>
  <si>
    <t>+7 (964) 864-15-15</t>
  </si>
  <si>
    <t>Металлические заборы и ограждения, Окна, Тепличное оборудование</t>
  </si>
  <si>
    <t>пн-пт 09:00–18:00, перерыв 12:00–13:00; сб 09:00–13:00</t>
  </si>
  <si>
    <t>https://vk.com/balkon12official</t>
  </si>
  <si>
    <t>Дентал-Ревю</t>
  </si>
  <si>
    <t>+7 (8362) 45-77-70, +7 (8362) 94-04-04</t>
  </si>
  <si>
    <t xml:space="preserve">dental-revue@yandex.ru, roszdravnadzor@mari-el.ru, www.rznrme@mail.ru, sanepid@12.rospotrebnadzor.ru, minzdrav@mari-el.ru, rsockanc12@rsoc.ru, u12@r12.nalog.ru </t>
  </si>
  <si>
    <t>пн-чт 08:00–18:00, перерыв 12:00–13:00; пт,сб 08:00–13:00</t>
  </si>
  <si>
    <t>Great sound studio</t>
  </si>
  <si>
    <t>ул. Павлова, 26А, Йошкар-Ола</t>
  </si>
  <si>
    <t>+7 (927) 880-27-37, +7 (927) 680-92-14</t>
  </si>
  <si>
    <t>Курсы и мастер-классы, Музыкальное образование, Пункт проката, Студия звукозаписи</t>
  </si>
  <si>
    <t>http://vk.com/greatsoundstudio</t>
  </si>
  <si>
    <t>47.866298 56.620883</t>
  </si>
  <si>
    <t>Кировские меха</t>
  </si>
  <si>
    <t>Коммунальная ул., 19, Йошкар-Ола</t>
  </si>
  <si>
    <t>+7 (903) 326-90-63</t>
  </si>
  <si>
    <t>Магазин верхней одежды, Магазин головных уборов</t>
  </si>
  <si>
    <t>47.860855 56.657193</t>
  </si>
  <si>
    <t>Кладка, склад № 2</t>
  </si>
  <si>
    <t>Кокшайский пр., 99, Йошкар-Ола</t>
  </si>
  <si>
    <t>+7 (8362) 31-43-14</t>
  </si>
  <si>
    <t>Кирпич, Строительный магазин, Стройматериалы оптом, Цемент</t>
  </si>
  <si>
    <t>47.883519 56.607486</t>
  </si>
  <si>
    <t>Волжанин-Сервис</t>
  </si>
  <si>
    <t>ул. Якова Эшпая, 121Б, Йошкар-Ола</t>
  </si>
  <si>
    <t>8 (800) 200-17-45</t>
  </si>
  <si>
    <t xml:space="preserve">zakaz@volzhanin.com  </t>
  </si>
  <si>
    <t>http://volzhanin-service.ru/</t>
  </si>
  <si>
    <t>Лазерная резка и гравировка, Металлообработка, Сварочные работы</t>
  </si>
  <si>
    <t>47.885424 56.641525</t>
  </si>
  <si>
    <t>Управляющая компания Добротный дом</t>
  </si>
  <si>
    <t>ул. Рябинина, 6, Йошкар-Ола</t>
  </si>
  <si>
    <t>+7 (903) 050-33-44</t>
  </si>
  <si>
    <t>47.877986 56.641085</t>
  </si>
  <si>
    <t>Ленинский просп., 24Г, Йошкар-Ола</t>
  </si>
  <si>
    <t>8 (800) 333-22-44, +7 (8362) 41-16-41</t>
  </si>
  <si>
    <t>пн-пт 08:00–20:00; сб 09:00–17:00</t>
  </si>
  <si>
    <t>47.88537 56.632263</t>
  </si>
  <si>
    <t>Империя Праздников</t>
  </si>
  <si>
    <t>пн-пт 11:00–18:00; сб 10:00–14:00</t>
  </si>
  <si>
    <t>http://vk.com/imperiya12</t>
  </si>
  <si>
    <t>Бим</t>
  </si>
  <si>
    <t>47.922714 56.630229</t>
  </si>
  <si>
    <t>Центр оценки и автоэкспертизы Центр-Прайс</t>
  </si>
  <si>
    <t>+7 (8362) 45-30-61</t>
  </si>
  <si>
    <t>47.877685 56.627748</t>
  </si>
  <si>
    <t>+7 (987) 700-33-39</t>
  </si>
  <si>
    <t xml:space="preserve">support@beget.com, bills@beget.com, manager@beget.com  </t>
  </si>
  <si>
    <t>http://stroitel12.ru/</t>
  </si>
  <si>
    <t>47.883523 56.609811</t>
  </si>
  <si>
    <t>Семеро козлят</t>
  </si>
  <si>
    <t>+7 (8362) 35-82-56</t>
  </si>
  <si>
    <t>+7 (917) 717-77-55, +7 (902) 433-22-34</t>
  </si>
  <si>
    <t>47.830261 56.636674</t>
  </si>
  <si>
    <t>Автокузов</t>
  </si>
  <si>
    <t>Сернурский тракт, 4Е, Йошкар-Ола</t>
  </si>
  <si>
    <t>+7 (8362) 70-06-10, +7 (8362) 66-11-15</t>
  </si>
  <si>
    <t>+7 (902) 456-06-10</t>
  </si>
  <si>
    <t xml:space="preserve">avtokuzov12@yandex.ru  </t>
  </si>
  <si>
    <t>Автокосметика, автохимия, Автоэмали, автомобильные краски, Магазин автозапчастей и автотоваров</t>
  </si>
  <si>
    <t>https://vk.com/avtokuzov12</t>
  </si>
  <si>
    <t>47.954938 56.649159</t>
  </si>
  <si>
    <t>Фотограф Бастраков Денис</t>
  </si>
  <si>
    <t>ул. Героев Сталинградской Битвы, 24, Йошкар-Ола</t>
  </si>
  <si>
    <t>+7 (927) 886-99-21</t>
  </si>
  <si>
    <t xml:space="preserve">.ns@mail.ru, 89@bk.ru </t>
  </si>
  <si>
    <t>https://vk.com/fotograf12</t>
  </si>
  <si>
    <t>47.946213 56.627183</t>
  </si>
  <si>
    <t>Селена</t>
  </si>
  <si>
    <t>Красноармейская ул., 61, Йошкар-Ола</t>
  </si>
  <si>
    <t>+7 (8362) 42-08-97</t>
  </si>
  <si>
    <t>+7 (964) 860-83-27, +7 (902) 102-72-16</t>
  </si>
  <si>
    <t>47.885909 56.642184</t>
  </si>
  <si>
    <t>Круиз</t>
  </si>
  <si>
    <t>+7 (987) 726-66-66, +7 (961) 333-90-00, +7 (906) 069-14-44, +7 (915) 157-40-47</t>
  </si>
  <si>
    <t xml:space="preserve">alians12@inbox.ru </t>
  </si>
  <si>
    <t>https://mos12.ru/</t>
  </si>
  <si>
    <t>https://vk.com/cruiseyola</t>
  </si>
  <si>
    <t>https://facebook.com/alliancegroup12</t>
  </si>
  <si>
    <t>+7 (909) 369-89-78</t>
  </si>
  <si>
    <t>http://www.fant-mebel.ru/</t>
  </si>
  <si>
    <t>Корпусная мебель, Магазин мебели</t>
  </si>
  <si>
    <t>47.889588 56.642718</t>
  </si>
  <si>
    <t>Перфекто</t>
  </si>
  <si>
    <t>+7 (8362) 65-27-72</t>
  </si>
  <si>
    <t xml:space="preserve">support@hostline.ru </t>
  </si>
  <si>
    <t>Норвик банк</t>
  </si>
  <si>
    <t>ул. Машиностроителей, 9, Йошкар-Ола</t>
  </si>
  <si>
    <t>8 (800) 100-17-77, +7 (8362) 68-27-03, +7 (8362) 68-27-04, +7 (8362) 68-27-05</t>
  </si>
  <si>
    <t xml:space="preserve">bank@norvikbank.ru, tvbog@norvikbank.ru, hr@vtkbank.vyatka.ru  </t>
  </si>
  <si>
    <t>http://norvikbank.ru/</t>
  </si>
  <si>
    <t>https://vk.com/norvikbank</t>
  </si>
  <si>
    <t>https://www.instagram.com/norvikbank_official</t>
  </si>
  <si>
    <t>47.875642 56.646327</t>
  </si>
  <si>
    <t>Бош центр Марий Эл</t>
  </si>
  <si>
    <t>ул. Кирова, 14, Йошкар-Ола</t>
  </si>
  <si>
    <t>8 (800) 707-87-08, +7 (8362) 38-59-11, +7 (8362) 91-19-11, +7 (8362) 38-69-11</t>
  </si>
  <si>
    <t xml:space="preserve">dieseltechnic@mail.ru  </t>
  </si>
  <si>
    <t>https://bosch12.ru/, http://online.boschcarservice.ru/, http://online.boschcarservice.ru/?utm_campaign=yandex_kartyu0026utm_medium=cpu0026utm_source=maps, https://www.boschcarservice.com/ru/ru/about_us_1/auto_service_network/sto_name/bosch_sto_joshkar_ola_marijskji_benzin</t>
  </si>
  <si>
    <t>https://www.instagram.com/boschcentrmariel/</t>
  </si>
  <si>
    <t>47.932451 56.634595</t>
  </si>
  <si>
    <t>Быстроденьги</t>
  </si>
  <si>
    <t>8 (800) 700-43-44</t>
  </si>
  <si>
    <t xml:space="preserve">callcenter@bistrodengi.ru  </t>
  </si>
  <si>
    <t>https://bistrodengi.ru/?utm_campaign=ofp_map_cardu0026utm_medium=geou0026utm_source=yandexmap</t>
  </si>
  <si>
    <t>Инвестиционная компания, Микрофинансирование</t>
  </si>
  <si>
    <t>пн-пт 09:00–20:00; сб,вс 10:00–19:00</t>
  </si>
  <si>
    <t>http://vk.com/bistrouspeh</t>
  </si>
  <si>
    <t>http://ok.ru/group/53768889827571</t>
  </si>
  <si>
    <t>http://www.facebook.com/bistrouspeh</t>
  </si>
  <si>
    <t>https://www.youtube.com/channel/UCl0syyH7rCoVSz7k76CBGxA</t>
  </si>
  <si>
    <t>http://instagram.com/bistrouspeh</t>
  </si>
  <si>
    <t>47.884288 56.633483</t>
  </si>
  <si>
    <t>Грузовое такси 900-200</t>
  </si>
  <si>
    <t>+7 (8362) 90-02-00</t>
  </si>
  <si>
    <t>Автомобильные грузоперевозки, Перевозка негабаритных грузов</t>
  </si>
  <si>
    <t>47.887346 56.642946</t>
  </si>
  <si>
    <t>Энергия солнце</t>
  </si>
  <si>
    <t>+7 (8362) 51-17-17, +7 (8362) 32-11-22</t>
  </si>
  <si>
    <t>Кондиционеры, Светотехника, Электротехническая продукция, Энергетическое оборудование, Энергосбережение и энергоаудит</t>
  </si>
  <si>
    <t>https://vk.com/sun_12</t>
  </si>
  <si>
    <t>СКМ</t>
  </si>
  <si>
    <t>Элеваторный пр., 11А, корп. 2, Йошкар-Ола</t>
  </si>
  <si>
    <t>+7 (8362) 33-38-80</t>
  </si>
  <si>
    <t xml:space="preserve">support@bazium.com  </t>
  </si>
  <si>
    <t>http://skm12.bazium.com/</t>
  </si>
  <si>
    <t>47.896088 56.610844</t>
  </si>
  <si>
    <t>Бункер</t>
  </si>
  <si>
    <t>+7 (8362) 26-60-00, +7 (8362) 36-66-60</t>
  </si>
  <si>
    <t>+7 (967) 756-66-60</t>
  </si>
  <si>
    <t>https://vk.com/sauna_relax_bunker</t>
  </si>
  <si>
    <t>https://www.instagram.com/sauna_relax_bunker</t>
  </si>
  <si>
    <t>47.861195 56.619135</t>
  </si>
  <si>
    <t>Аэрокомфорт</t>
  </si>
  <si>
    <t>ул. Суворова, 16, Йошкар-Ола</t>
  </si>
  <si>
    <t>+7 (8362) 55-13-33</t>
  </si>
  <si>
    <t>Кондиционеры, Системы вентиляции</t>
  </si>
  <si>
    <t>47.8666 56.6353</t>
  </si>
  <si>
    <t>Новая Эра</t>
  </si>
  <si>
    <t>+7 (8362) 36-10-40, +7 (8362) 39-46-00</t>
  </si>
  <si>
    <t>+7 (967) 756-10-30</t>
  </si>
  <si>
    <t xml:space="preserve">new-era-12@yandex.ru </t>
  </si>
  <si>
    <t>https://new-era12.ru/</t>
  </si>
  <si>
    <t>Натяжные и подвесные потолки, Окна, Строительные и отделочные работы</t>
  </si>
  <si>
    <t>пн-пт 09:30–18:00</t>
  </si>
  <si>
    <t>https://vk.com/novya_yera</t>
  </si>
  <si>
    <t>https://www.facebook.com/remont.kvartir.yo12</t>
  </si>
  <si>
    <t>https://www.youtube.com/channel/UCFqoMP2r94PJSJqkVkW5gew/featured?reload=9</t>
  </si>
  <si>
    <t>https://www.instagram.com/remont_kvartir_yo12_</t>
  </si>
  <si>
    <t>47.885554 56.635131</t>
  </si>
  <si>
    <t>Смарт-Сервис+</t>
  </si>
  <si>
    <t>+7 (8362) 48-85-40</t>
  </si>
  <si>
    <t>+7 (917) 711-70-07</t>
  </si>
  <si>
    <t xml:space="preserve">info@kss12.ru, video.kss12@mail.ru  </t>
  </si>
  <si>
    <t>http://video.kss12.ru/</t>
  </si>
  <si>
    <t>Домофоны, Системы безопасности и охраны</t>
  </si>
  <si>
    <t>47.89511 56.62984</t>
  </si>
  <si>
    <t>Нордман12</t>
  </si>
  <si>
    <t>+7 (8362) 30-59-59, +7 (1283) 62-30-56</t>
  </si>
  <si>
    <t>Бетон, бетонные изделия, Нерудные материалы, Цемент</t>
  </si>
  <si>
    <t>http://vk.com/public54303516</t>
  </si>
  <si>
    <t>ул. Соловьёва, 44Б, Йошкар-Ола</t>
  </si>
  <si>
    <t>+7 (8362) 31-33-16, +7 (8362) 41-49-09</t>
  </si>
  <si>
    <t>47.867979 56.628079</t>
  </si>
  <si>
    <t>Агросфера</t>
  </si>
  <si>
    <t>+7 (963) 480-70-50</t>
  </si>
  <si>
    <t xml:space="preserve">agrosfera18@bk.ru, agrosfera18@inbox.ru, grosfera18@inbox.ru, agrosfera18-logistika@yandex.ru, agrosfera18-snab@yandex.ru </t>
  </si>
  <si>
    <t>http://agrosfera18.ru/</t>
  </si>
  <si>
    <t>Комбикорма и кормовые добавки, Пищевое сырье, Сельскохозяйственная продукция</t>
  </si>
  <si>
    <t>Бтэ</t>
  </si>
  <si>
    <t>+7 (8362) 61-00-20, +7 (8362) 45-00-76, +7 (8362) 96-95-90, +7 (8362) 98-00-20</t>
  </si>
  <si>
    <t xml:space="preserve">bte12@bk.ru  </t>
  </si>
  <si>
    <t>http://www.bte.su/</t>
  </si>
  <si>
    <t>Строительная экспертиза и технадзор, Экспертиза</t>
  </si>
  <si>
    <t>Baon</t>
  </si>
  <si>
    <t>8 (800) 500-73-17</t>
  </si>
  <si>
    <t>+7 (927) 882-79-81</t>
  </si>
  <si>
    <t xml:space="preserve">vozvrat@baon.ru, shop@baon.ru, info@baon.ru </t>
  </si>
  <si>
    <t>https://baon.ru/</t>
  </si>
  <si>
    <t>Магазин верхней одежды, Магазин галантереи и аксессуаров, Магазин одежды, Спортивная одежда и обувь</t>
  </si>
  <si>
    <t>http://vk.com/club23812176</t>
  </si>
  <si>
    <t>https://twitter.com/BAONSHOP</t>
  </si>
  <si>
    <t>https://www.facebook.com/baon.club</t>
  </si>
  <si>
    <t>https://www.instagram.com/baonshop</t>
  </si>
  <si>
    <t>47.8929 56.6385</t>
  </si>
  <si>
    <t>Магазин Пузожитель</t>
  </si>
  <si>
    <t>+7 (8362) 39-56-11</t>
  </si>
  <si>
    <t>+7 (937) 939-56-11</t>
  </si>
  <si>
    <t xml:space="preserve">puzozhitel@gmail.com  </t>
  </si>
  <si>
    <t>http://www.puzozhitel.com/</t>
  </si>
  <si>
    <t>Магазин белья и купальников, Магазин для будущих мам, Магазин одежды</t>
  </si>
  <si>
    <t>http://vk.com/public24779906</t>
  </si>
  <si>
    <t>https://www.instagram.com/Puzozhitel_yo</t>
  </si>
  <si>
    <t>47.88679 56.639925</t>
  </si>
  <si>
    <t>МеталлИНСТ</t>
  </si>
  <si>
    <t>+7 (961) 333-95-45</t>
  </si>
  <si>
    <t xml:space="preserve">mmetallinst@bk.ru  </t>
  </si>
  <si>
    <t>http://plomba12.ru/</t>
  </si>
  <si>
    <t>Пломбираторы и пломбы безопасности</t>
  </si>
  <si>
    <t>Фант-окна</t>
  </si>
  <si>
    <t>47.863532 56.646806</t>
  </si>
  <si>
    <t>Автошкола Молодость</t>
  </si>
  <si>
    <t>Красноармейская ул., 118А, Йошкар-Ола</t>
  </si>
  <si>
    <t xml:space="preserve">stk_molodost@mail.ru  </t>
  </si>
  <si>
    <t>http://autoyouth.tiamatt.ru/</t>
  </si>
  <si>
    <t>Автошкола, Курсы и мастер-классы</t>
  </si>
  <si>
    <t>47.856147 56.644903</t>
  </si>
  <si>
    <t>+7 (8362) 77-97-98, +7 (8362) 44-38-44</t>
  </si>
  <si>
    <t>Экспертиза, Юридические услуги</t>
  </si>
  <si>
    <t>47.862687 56.644841</t>
  </si>
  <si>
    <t>МиК</t>
  </si>
  <si>
    <t>+7 (8362) 61-73-83</t>
  </si>
  <si>
    <t>+7 (906) 335-74-74</t>
  </si>
  <si>
    <t xml:space="preserve">aelf22@mail.ru </t>
  </si>
  <si>
    <t>Деревообрабатывающее предприятие, Пиломатериалы, Строительная компания</t>
  </si>
  <si>
    <t>https://www.instagram.com/dom_mik12</t>
  </si>
  <si>
    <t>Банк Хлынов</t>
  </si>
  <si>
    <t>8 (800) 250-27-77, +7 (8362) 23-01-10</t>
  </si>
  <si>
    <t xml:space="preserve">callcenter@bank-hlynov.ru  </t>
  </si>
  <si>
    <t>https://bank-hlynov.ru/, http://банк-хлынов.рф/</t>
  </si>
  <si>
    <t>Банк, Кредитный брокер, Расчетно-кассовый центр</t>
  </si>
  <si>
    <t>пн-пт 09:00–19:00; сб 09:00–12:00</t>
  </si>
  <si>
    <t>https://vk.com/bankhlynov</t>
  </si>
  <si>
    <t>https://twitter.com/bankhlynov</t>
  </si>
  <si>
    <t>https://www.facebook.com/BankHlynov</t>
  </si>
  <si>
    <t>https://www.instagram.com/bank_hlynov/</t>
  </si>
  <si>
    <t>47.894932 56.629125</t>
  </si>
  <si>
    <t>МСТ-Рус</t>
  </si>
  <si>
    <t>+7 (917) 071-07-70, +7 (980) 739-00-62</t>
  </si>
  <si>
    <t xml:space="preserve">info@mst-rus.ru </t>
  </si>
  <si>
    <t>Автосалон, Спецтехника и спецавтомобили</t>
  </si>
  <si>
    <t>47.888727 56.622649</t>
  </si>
  <si>
    <t>8 (800) 333-22-44, +7 (8362) 41-55-76, +7 (8362) 45-30-08</t>
  </si>
  <si>
    <t>МобиРаунд</t>
  </si>
  <si>
    <t>+7 (8362) 75-65-65, +7 (8362) 24-34-75, 8 (800) 550-74-84</t>
  </si>
  <si>
    <t xml:space="preserve">clients@mobiround.ru, admin@mobiround.ru  </t>
  </si>
  <si>
    <t>https://mobiround.ru/</t>
  </si>
  <si>
    <t>http://vk.com/mobiround</t>
  </si>
  <si>
    <t>https://www.instagram.com/mobiround.ru/</t>
  </si>
  <si>
    <t>+7 (927) 878-00-26</t>
  </si>
  <si>
    <t>47.858418 56.621089</t>
  </si>
  <si>
    <t>Дармэн</t>
  </si>
  <si>
    <t>+7 (964) 861-39-30, +7 (905) 379-18-01</t>
  </si>
  <si>
    <t xml:space="preserve">info@darmen.ru  </t>
  </si>
  <si>
    <t>http://darmen.ru/</t>
  </si>
  <si>
    <t>Канцтовары оптом, Магазин подарков и сувениров, Праздничное агентство</t>
  </si>
  <si>
    <t>http://vk.com/club46878036</t>
  </si>
  <si>
    <t>https://ok.ru/group/52875165630707</t>
  </si>
  <si>
    <t>http://twitter.com/darmenru</t>
  </si>
  <si>
    <t>https://www.facebook.com/pages/%D0%9E%D1%80%D0%B8%D0%B3%D0%B8%D0%BD%D0%B0%D0%BB%D1%8C%D0%BD%D1%8B%D0%B5-%D0%BF%D0%BE%D0%B4%D0%B0%D1%80%D0%BA%D0%B8-%D0%94%D0%B0%D1%80%D0%BC%D1%8D%D0%BD-%D0%B3-%D0%99%D0%BE%D1%88%D0%BA%D0%B0%D1%80-%D0%9E%D0%BB%D0%B0/269546866510123</t>
  </si>
  <si>
    <t>https://www.youtube.com/channel/UCGGGuRwr6yNvGQK5HoHha5A?feature=watch</t>
  </si>
  <si>
    <t>https://www.instagram.com/darmen.ru</t>
  </si>
  <si>
    <t>Республиканский центр по профилактике и борьбе со СПИД</t>
  </si>
  <si>
    <t>ул. Дружбы, 95, Йошкар-Ола</t>
  </si>
  <si>
    <t>+7 (8362) 63-05-80, +7 (8362) 41-91-81, +7 (8362) 23-20-44</t>
  </si>
  <si>
    <t>http://95dru.polickliniki.ru/</t>
  </si>
  <si>
    <t>Медцентр, клиника, Специализированная больница, Центр профилактики СПИДа</t>
  </si>
  <si>
    <t>пн-пт 08:00–17:00, перерыв 11:30–12:00</t>
  </si>
  <si>
    <t>47.864021 56.652736</t>
  </si>
  <si>
    <t>Теплоизоляция-Холдинг</t>
  </si>
  <si>
    <t>8 (800) 200-12-37</t>
  </si>
  <si>
    <t>+7 (901) 421-53-76</t>
  </si>
  <si>
    <t xml:space="preserve">info@ppu37.ru--, info@ppu37.ru  </t>
  </si>
  <si>
    <t>http://www.ppu37.ru/</t>
  </si>
  <si>
    <t>Водоканал, водное хозяйство, Водопроводное оборудование, Монтаж и обслуживание систем водоснабжения и канализации, Системы водоснабжения, отопления, канализации, Строительство и обслуживание инженерных сетей</t>
  </si>
  <si>
    <t>Внавигаторе</t>
  </si>
  <si>
    <t>+7 (902) 439-15-99</t>
  </si>
  <si>
    <t xml:space="preserve">info@vnavigatore.ru </t>
  </si>
  <si>
    <t>http://vk.com/vnavigatoreru</t>
  </si>
  <si>
    <t>http://twitter.com/vnavigatore</t>
  </si>
  <si>
    <t>http://www.facebook.com/vnavigatore.ru</t>
  </si>
  <si>
    <t>http://instagram.com/vnavigatore</t>
  </si>
  <si>
    <t>ЦентрКонсалт</t>
  </si>
  <si>
    <t>ул. Льва Толстого, 80, Йошкар-Ола</t>
  </si>
  <si>
    <t>8 (800) 700-11-14</t>
  </si>
  <si>
    <t xml:space="preserve">info@centrconsult.ru  </t>
  </si>
  <si>
    <t>https://центрконсалт.рф/, http://центрконсалт.рф/joshkar-ola/contacts/</t>
  </si>
  <si>
    <t>Бизнес-консалтинг, Лицензирование, Регистрация и ликвидация предприятий</t>
  </si>
  <si>
    <t>47.892368 56.648429</t>
  </si>
  <si>
    <t>Кирпичная база</t>
  </si>
  <si>
    <t>+7 (8362) 30-68-68</t>
  </si>
  <si>
    <t>+7 (967) 757-68-68</t>
  </si>
  <si>
    <t xml:space="preserve">mari.tgk@yandex.ru  </t>
  </si>
  <si>
    <t>http://kirpich12.ru/</t>
  </si>
  <si>
    <t>Кирпич, Стройматериалы оптом, Цемент</t>
  </si>
  <si>
    <t>Интерио</t>
  </si>
  <si>
    <t>ул. Волкова, 147, Йошкар-Ола</t>
  </si>
  <si>
    <t>+7 (917) 716-19-75, +7 (987) 709-25-89</t>
  </si>
  <si>
    <t xml:space="preserve">salon-interio@mail.ru  </t>
  </si>
  <si>
    <t>http://interio12.ru/</t>
  </si>
  <si>
    <t>Дизайн интерьеров, Керамическая плитка, Фотообои и фрески</t>
  </si>
  <si>
    <t>https://vk.com/interio12ru</t>
  </si>
  <si>
    <t>https://www.instagram.com/saloninterio/</t>
  </si>
  <si>
    <t>47.891527 56.62986</t>
  </si>
  <si>
    <t>АльпА</t>
  </si>
  <si>
    <t>+7 (8362) 33-77-73</t>
  </si>
  <si>
    <t>+7 (987) 722-65-52, +7 (927) 883-77-73</t>
  </si>
  <si>
    <t xml:space="preserve">alpa.alpa@list.ru  </t>
  </si>
  <si>
    <t>http://alpapro.ru/, http://alpa.umi.ru/</t>
  </si>
  <si>
    <t>Монтажные работы, Промышленный альпинизм, Строительная компания, Фасады и фасадные системы</t>
  </si>
  <si>
    <t>http://vk.com/alpaproffi</t>
  </si>
  <si>
    <t>47.830663 56.636328</t>
  </si>
  <si>
    <t>Стройбиз</t>
  </si>
  <si>
    <t>+7 (8362) 66-69-91</t>
  </si>
  <si>
    <t xml:space="preserve">yola@stroibiz.org, cheb@stroibiz.org  </t>
  </si>
  <si>
    <t>http://vk.com/stoibiz</t>
  </si>
  <si>
    <t>Avanak</t>
  </si>
  <si>
    <t>+7 (917) 700-45-37</t>
  </si>
  <si>
    <t xml:space="preserve">info@avanak.ru  </t>
  </si>
  <si>
    <t>http://avanak.ru/</t>
  </si>
  <si>
    <t>http://vk.com/avanak</t>
  </si>
  <si>
    <t>https://www.facebook.com/pages/avanakru/1418911534989823</t>
  </si>
  <si>
    <t>47.90803 56.63172</t>
  </si>
  <si>
    <t>Incity</t>
  </si>
  <si>
    <t>8 (800) 100-83-33, +7 (8362) 61-15-04</t>
  </si>
  <si>
    <t xml:space="preserve">info@incity.poravinternet.ru, info@incity.ru, info@tc-edelweiss.ru  </t>
  </si>
  <si>
    <t>https://incity.ru/</t>
  </si>
  <si>
    <t>Магазин белья и купальников, Магазин детской одежды, Магазин одежды</t>
  </si>
  <si>
    <t>http://vk.com/club21035513</t>
  </si>
  <si>
    <t>http://twitter.com/incity_fashion</t>
  </si>
  <si>
    <t>https://www.facebook.com/incity.ru</t>
  </si>
  <si>
    <t>http://www.youtube.com/user/incityfashionbrand</t>
  </si>
  <si>
    <t>https://www.instagram.com/incity_official</t>
  </si>
  <si>
    <t>47.843466 56.640913</t>
  </si>
  <si>
    <t>New Express</t>
  </si>
  <si>
    <t>+7 (8362) 35-47-74</t>
  </si>
  <si>
    <t>+7 (937) 111-24-79</t>
  </si>
  <si>
    <t xml:space="preserve">info@newpartner.ru </t>
  </si>
  <si>
    <t>Автомобильные грузоперевозки, Курьерские услуги</t>
  </si>
  <si>
    <t>ГБУ РМЭ Марийский республиканский центр хранения документов по личному составу</t>
  </si>
  <si>
    <t>ул. Ломоносова, 6, Йошкар-Ола</t>
  </si>
  <si>
    <t>+7 (8362) 45-22-90, +7 (8362) 45-67-14, +7 (8362) 56-66-39</t>
  </si>
  <si>
    <t xml:space="preserve">mrcdoc@yandex.ru  </t>
  </si>
  <si>
    <t>http://marrescentr-mariel.ru/</t>
  </si>
  <si>
    <t>пн,вт,чт 08:30–16:00, перерыв 12:30–13:30</t>
  </si>
  <si>
    <t>47.871392 56.617517</t>
  </si>
  <si>
    <t>Торговый дом ДваКрат</t>
  </si>
  <si>
    <t>ул. Крылова, 53Г, Йошкар-Ола</t>
  </si>
  <si>
    <t>8 (800) 707-71-60</t>
  </si>
  <si>
    <t xml:space="preserve">info@td2k.ru, 319413@mail.ru  </t>
  </si>
  <si>
    <t>http://td2k.ru/</t>
  </si>
  <si>
    <t>http://vk.com/td2k_dveri</t>
  </si>
  <si>
    <t>http://twitter.com/td2k_dveri</t>
  </si>
  <si>
    <t>47.839684 56.62001</t>
  </si>
  <si>
    <t>Мега-сервис НН</t>
  </si>
  <si>
    <t>Красноармейская ул., 138, Йошкар-Ола</t>
  </si>
  <si>
    <t>+7 (903) 602-61-77</t>
  </si>
  <si>
    <t xml:space="preserve">mega.servis.2010@mail.ru  </t>
  </si>
  <si>
    <t>https://paz52.ru/</t>
  </si>
  <si>
    <t>Магазин автозапчастей и автотоваров, Переоборудование транспортных средств, Продажа и ремонт автобусов, Производство и оптовая продажа автозапчастей</t>
  </si>
  <si>
    <t>https://vk.com/autoservisnn52</t>
  </si>
  <si>
    <t>47.876755 56.644356</t>
  </si>
  <si>
    <t>Funday</t>
  </si>
  <si>
    <t>8 (800) 770-01-01, +7 (8362) 23-17-30</t>
  </si>
  <si>
    <t xml:space="preserve">helpme@fundayshop.com  </t>
  </si>
  <si>
    <t>http://fundayshop.com/</t>
  </si>
  <si>
    <t>Магазин верхней одежды, Магазин галантереи и аксессуаров, Магазин детской одежды, Магазин одежды</t>
  </si>
  <si>
    <t>https://vk.com/fundayshop</t>
  </si>
  <si>
    <t>https://ok.ru/fundayshop</t>
  </si>
  <si>
    <t>http://facebook.com/fundayshop</t>
  </si>
  <si>
    <t>http://instagram.com/fundayshop</t>
  </si>
  <si>
    <t>47.843079 56.641124</t>
  </si>
  <si>
    <t>Ель</t>
  </si>
  <si>
    <t>ул. Гоголя, 14А, Йошкар-Ола</t>
  </si>
  <si>
    <t>Гостиница, Хостел</t>
  </si>
  <si>
    <t>https://vk.com/hostelrio</t>
  </si>
  <si>
    <t>47.893442 56.631066</t>
  </si>
  <si>
    <t>Герц</t>
  </si>
  <si>
    <t>ул. Кирова, 3АК1, Йошкар-Ола</t>
  </si>
  <si>
    <t>+7 (8362) 21-58-48, +7 (8362) 56-07-04</t>
  </si>
  <si>
    <t xml:space="preserve">gerz06@mail.ru  </t>
  </si>
  <si>
    <t>http://lift12.ru/</t>
  </si>
  <si>
    <t>47.924887 56.627936</t>
  </si>
  <si>
    <t>Красноармейская ул., 95Б, Йошкар-Ола</t>
  </si>
  <si>
    <t>+7 (8362) 50-44-49</t>
  </si>
  <si>
    <t>Кровельные работы, Строительная компания, Строительные и отделочные работы</t>
  </si>
  <si>
    <t>пн-сб 08:30–19:00</t>
  </si>
  <si>
    <t>47.868338 56.644747</t>
  </si>
  <si>
    <t>Авто прокат</t>
  </si>
  <si>
    <t>Заказ автомобилей, Прокат автомобилей, Пункт проката</t>
  </si>
  <si>
    <t>Твоё</t>
  </si>
  <si>
    <t>8 (800) 555-56-96, +7 (8362) 22-42-05</t>
  </si>
  <si>
    <t xml:space="preserve">rabota@tvoe.ru, v.israilova@tvoe.ru, arenda@tvoe.ru  </t>
  </si>
  <si>
    <t>http://tvoe.ru/</t>
  </si>
  <si>
    <t>Магазин белья и купальников, Магазин верхней одежды, Магазин детской одежды, Магазин одежды</t>
  </si>
  <si>
    <t>http://vk.com/club20039828</t>
  </si>
  <si>
    <t>http://twitter.com/_tboe_</t>
  </si>
  <si>
    <t>http://www.facebook.com/odezda.tvoe</t>
  </si>
  <si>
    <t>https://www.instagram.com/tvoe_official</t>
  </si>
  <si>
    <t>47.843189 56.640911</t>
  </si>
  <si>
    <t>Мастер-Профи</t>
  </si>
  <si>
    <t>+7 (8362) 23-27-47, +7 (8362) 47-97-47</t>
  </si>
  <si>
    <t>+7 (902) 743-97-47, +7 (902) 670-27-10</t>
  </si>
  <si>
    <t xml:space="preserve">company@master-profy12.ru </t>
  </si>
  <si>
    <t>Монтажные работы, Строительная компания, Строительные и отделочные работы, Строительство бань и саун</t>
  </si>
  <si>
    <t>То да сё</t>
  </si>
  <si>
    <t>пер. Ушакова, 42А, Йошкар-Ола</t>
  </si>
  <si>
    <t>+7 (8362) 46-24-24, +7 (8362) 33-22-22</t>
  </si>
  <si>
    <t>+7 (927) 882-44-00</t>
  </si>
  <si>
    <t>http://vk.com/sauna_yoshkarola</t>
  </si>
  <si>
    <t>47.84835 56.649814</t>
  </si>
  <si>
    <t>Представительство Daewoo Enertec</t>
  </si>
  <si>
    <t>ул. Машиностроителей, 126, Йошкар-Ола</t>
  </si>
  <si>
    <t>+7 (8362) 55-36-66, +7 (8362) 26-20-00</t>
  </si>
  <si>
    <t xml:space="preserve">daewoo-msk@yandex.ru  </t>
  </si>
  <si>
    <t>http://daewoo-enertec.com/</t>
  </si>
  <si>
    <t>Напольные покрытия, Отопительное оборудование и системы</t>
  </si>
  <si>
    <t>https://vk.com/daewoo.enertec</t>
  </si>
  <si>
    <t>https://www.instagram.com/teplo_ot_pola</t>
  </si>
  <si>
    <t>47.822865 56.626658</t>
  </si>
  <si>
    <t>Podarki-Yola.ru</t>
  </si>
  <si>
    <t>+7 (902) 100-61-33</t>
  </si>
  <si>
    <t xml:space="preserve">pochta@podarki-yola.ru </t>
  </si>
  <si>
    <t>http://podarki-yola.ru/</t>
  </si>
  <si>
    <t>Интернет-магазин, Магазин подарков и сувениров, Товары для интерьера</t>
  </si>
  <si>
    <t>пн-пт 09:00–20:00; сб,вс 09:00–12:00</t>
  </si>
  <si>
    <t>http://ok.ru/group/54683475116037</t>
  </si>
  <si>
    <t>http://twitter.com/podarkiyolaru</t>
  </si>
  <si>
    <t>http://facebook.com/podarkiyola</t>
  </si>
  <si>
    <t>47.906822 56.637441</t>
  </si>
  <si>
    <t>BaitekMachinery</t>
  </si>
  <si>
    <t>8 (800) 775-77-55</t>
  </si>
  <si>
    <t xml:space="preserve">info@bm-corp.ru  </t>
  </si>
  <si>
    <t>http://www.baitekmachinery.ru/</t>
  </si>
  <si>
    <t>Аренда строительной и спецтехники, Грузовые автомобили, грузовая техника, Спецтехника и спецавтомобили</t>
  </si>
  <si>
    <t>Рулевой +</t>
  </si>
  <si>
    <t>+7 (8362) 52-42-52</t>
  </si>
  <si>
    <t>+7 (964) 862-42-52</t>
  </si>
  <si>
    <t>https://vk.com/rulevoy12</t>
  </si>
  <si>
    <t>47.946302 56.629497</t>
  </si>
  <si>
    <t>Карго Протекшн</t>
  </si>
  <si>
    <t>ул. Прохорова, 49, Йошкар-Ола</t>
  </si>
  <si>
    <t>+7 (8362) 95-00-10</t>
  </si>
  <si>
    <t>Автомобильные прицепы, Грузовые автомобили, грузовая техника</t>
  </si>
  <si>
    <t>47.82777 56.629094</t>
  </si>
  <si>
    <t>Адвокатский кабинет Иванова Владимира Кузьмича</t>
  </si>
  <si>
    <t>+7 (960) 094-34-05</t>
  </si>
  <si>
    <t xml:space="preserve">sarze@mail.ru  </t>
  </si>
  <si>
    <t>http://mari-advocat.ru/</t>
  </si>
  <si>
    <t>Йошкин кот</t>
  </si>
  <si>
    <t>ул. Лобачевского, 9, Йошкар-Ола</t>
  </si>
  <si>
    <t>+7 (987) 719-02-49, +7 (967) 758-01-74, +7 (937) 113-99-16</t>
  </si>
  <si>
    <t xml:space="preserve">yoshkinkot.hostel@gmail.com  </t>
  </si>
  <si>
    <t>http://yoshkinkot.com/</t>
  </si>
  <si>
    <t>https://vk.com/public72045706</t>
  </si>
  <si>
    <t>https://twitter.com/yoshkinkotcom</t>
  </si>
  <si>
    <t>http://facebook.com/pages/хостел-йошкин-кот-гйошкар-ола/769665943077808</t>
  </si>
  <si>
    <t>47.874907 56.630711</t>
  </si>
  <si>
    <t>Мир без опасности</t>
  </si>
  <si>
    <t>+7 (8362) 52-05-90, +7 (8362) 35-49-99</t>
  </si>
  <si>
    <t>+7 (962) 588-49-99</t>
  </si>
  <si>
    <t xml:space="preserve">info@kom-sb.ru  </t>
  </si>
  <si>
    <t>http://www.kom-sb.com/</t>
  </si>
  <si>
    <t>Магазин электроники, Противопожарные системы, Системы безопасности и охраны</t>
  </si>
  <si>
    <t>пн-пт 08:00–18:00; сб 09:00–13:00</t>
  </si>
  <si>
    <t>https://vk.com/komsb/</t>
  </si>
  <si>
    <t>https://www.facebook.com/videokomsb/</t>
  </si>
  <si>
    <t>https://www.instagram.com/mir_bez_opasnosti/</t>
  </si>
  <si>
    <t>47.834787 56.643536</t>
  </si>
  <si>
    <t>Чебоксарский Стройкомбинат</t>
  </si>
  <si>
    <t>+7 (987) 724-61-34</t>
  </si>
  <si>
    <t xml:space="preserve">mail@skb21.ru  </t>
  </si>
  <si>
    <t>https://skb21.ru/</t>
  </si>
  <si>
    <t>Производственное предприятие, Строительство дачных домов и коттеджей, Стройматериалы оптом</t>
  </si>
  <si>
    <t>пн-пт 09:00–18:00; сб,вс 10:00–18:00</t>
  </si>
  <si>
    <t>https://vk.com/chebskb</t>
  </si>
  <si>
    <t>https://ok.ru/chebskb</t>
  </si>
  <si>
    <t>https://twitter.com/chebskb</t>
  </si>
  <si>
    <t>https://www.facebook.com/chebskb</t>
  </si>
  <si>
    <t>https://www.youtube.com/chebskb</t>
  </si>
  <si>
    <t>https://www.instagram.com/skb21.ru</t>
  </si>
  <si>
    <t>Треатек</t>
  </si>
  <si>
    <t>+7 (8362) 77-77-69, +7 (8362) 33-95-69, +7 (8362) 31-10-10</t>
  </si>
  <si>
    <t xml:space="preserve">support@tiu.ru, treatec@treatec.ru, snab@treatec.ru  </t>
  </si>
  <si>
    <t>https://treatec.ru/, https://trimolotka.ru/</t>
  </si>
  <si>
    <t>https://vk.com/treatec</t>
  </si>
  <si>
    <t>https://www.facebook.com/treatech</t>
  </si>
  <si>
    <t>https://www.youtube.com/channel/UCXfqVySbgXz116tAV7BI2IA</t>
  </si>
  <si>
    <t>https://www.instagram.com/treatec/?r=nametag</t>
  </si>
  <si>
    <t>СоюзТехРесурс</t>
  </si>
  <si>
    <t>ул. Крылова, 59А, Йошкар-Ола</t>
  </si>
  <si>
    <t>+7 (8362) 38-20-30, +7 (8362) 38-30-20</t>
  </si>
  <si>
    <t xml:space="preserve">str-dveri@mail.ru  </t>
  </si>
  <si>
    <t>http://str12.ru/</t>
  </si>
  <si>
    <t>47.831264 56.614139</t>
  </si>
  <si>
    <t>Аркон</t>
  </si>
  <si>
    <t>+7 (8362) 77-00-34</t>
  </si>
  <si>
    <t xml:space="preserve">arcon12@inbox.ru, arconsnab@inbox.ru  </t>
  </si>
  <si>
    <t>https://arcon12.ru/</t>
  </si>
  <si>
    <t>Монтаж и обслуживание систем водоснабжения и канализации, Строительная компания, Строительство дачных домов и коттеджей</t>
  </si>
  <si>
    <t>http://vk.com/arcon12</t>
  </si>
  <si>
    <t>47.855993 56.644713</t>
  </si>
  <si>
    <t>Росбанк</t>
  </si>
  <si>
    <t>+7 (495) 789-88-77</t>
  </si>
  <si>
    <t xml:space="preserve">fi@rosbank.ru, u003efi@rosbank.ru  </t>
  </si>
  <si>
    <t>https://www.rosbank.ru/?utm_campaign=ag:rosbank|pr:roz|plt:geoserviceu0026utm_medium=geou0026utm_source=yandex</t>
  </si>
  <si>
    <t>https://vk.com/rosbank/</t>
  </si>
  <si>
    <t>https://twitter.com/Rosbank_Info/</t>
  </si>
  <si>
    <t>https://www.facebook.com/rosbank/</t>
  </si>
  <si>
    <t>https://www.youtube.com/user/rosbanksg/</t>
  </si>
  <si>
    <t>https://www.instagram.com/rosbank_team/</t>
  </si>
  <si>
    <t>ИП</t>
  </si>
  <si>
    <t>Россия, Республика Марий Эл, Йошкар-Ола, Первомайская улица</t>
  </si>
  <si>
    <t>+7 (8362) 53-10-86</t>
  </si>
  <si>
    <t>Мясная продукция оптом</t>
  </si>
  <si>
    <t>47.886673 56.637264</t>
  </si>
  <si>
    <t>Транзит-М</t>
  </si>
  <si>
    <t>8 (800) 333-47-19, +7 (8362) 23-25-65</t>
  </si>
  <si>
    <t xml:space="preserve">info@tranzitm.ru  </t>
  </si>
  <si>
    <t>http://yoshkar-ola.tranzitm.ru/</t>
  </si>
  <si>
    <t>Усадьба</t>
  </si>
  <si>
    <t>ул. Тарханово, 29А, Йошкар-Ола</t>
  </si>
  <si>
    <t>+7 (8362) 75-52-22</t>
  </si>
  <si>
    <t xml:space="preserve">eda@usadbalux.ru </t>
  </si>
  <si>
    <t>https://usadbalux.ru/</t>
  </si>
  <si>
    <t>Баня, Кафе, Сауна</t>
  </si>
  <si>
    <t>https://vk.com/club41885218</t>
  </si>
  <si>
    <t>https://www.facebook.com/%D0%9A%D0%BE%D0%BC%D0%BF%D0%BB%D0%B5%D0%BA%D1%81-%D0%A3%D1%81%D0%B0%D0%B4%D1%8C%D0%B1%D0%B0-101746113509425</t>
  </si>
  <si>
    <t>http://instagram.com/usadbalux</t>
  </si>
  <si>
    <t>47.842126 56.658153</t>
  </si>
  <si>
    <t>Дровосек</t>
  </si>
  <si>
    <t>8 (800) 200-76-96, +7 (8362) 41-97-70, +7 (8362) 41-95-42, +7 (8362) 41-80-31</t>
  </si>
  <si>
    <t>+7 (963) 554-12-22</t>
  </si>
  <si>
    <t xml:space="preserve">shop@drovosek-profi.ru, seryikh@drovosek-profi.ru, shop@tscdrovosek.ru  </t>
  </si>
  <si>
    <t>https://yola.drovosek-profi.ru/, https://drovosek-profi.ru/info/offices/yoshkar-ola/4882, https://yola.drovosek-profi.ru/info/offices/yoshkar-ola</t>
  </si>
  <si>
    <t>https://vk.com/tskdrovosek</t>
  </si>
  <si>
    <t>https://twitter.com/tskdrovosek</t>
  </si>
  <si>
    <t>https://www.facebook.com/tskdrovosek</t>
  </si>
  <si>
    <t>47.873957 56.652608</t>
  </si>
  <si>
    <t>Parmer</t>
  </si>
  <si>
    <t>+7 (927) 873-54-05</t>
  </si>
  <si>
    <t xml:space="preserve">info@parmer.ru  </t>
  </si>
  <si>
    <t>http://parmer.ru/</t>
  </si>
  <si>
    <t>IT-компания, Интернет-маркетинг, Рекламное агентство</t>
  </si>
  <si>
    <t>Happy Day</t>
  </si>
  <si>
    <t>+7 (8362) 34-44-19</t>
  </si>
  <si>
    <t>ежедневно, 10:30–19:00</t>
  </si>
  <si>
    <t>http://vk.com/happyday12rus</t>
  </si>
  <si>
    <t>47.922165 56.630163</t>
  </si>
  <si>
    <t>Театр-студия Лик</t>
  </si>
  <si>
    <t>Аренда коммерческой недвижимости</t>
  </si>
  <si>
    <t>Сернурский тракт, 13, Йошкар-Ола</t>
  </si>
  <si>
    <t>+7 (8362) 23-07-96</t>
  </si>
  <si>
    <t>47.950803 56.648132</t>
  </si>
  <si>
    <t>BrandCase</t>
  </si>
  <si>
    <t>http://brandcase.info/</t>
  </si>
  <si>
    <t>Интернет-маркетинг, Информационный интернет-сайт</t>
  </si>
  <si>
    <t>http://vk.com/brandcase</t>
  </si>
  <si>
    <t>Аренда квартир в Йошкар-Оле</t>
  </si>
  <si>
    <t>ул. Кирова, 15, Йошкар-Ола</t>
  </si>
  <si>
    <t>+7 (8362) 31-11-08, +7 (8362) 31-22-38, +7 (8362) 43-39-94</t>
  </si>
  <si>
    <t>+7 (917) 707-29-24, +7 (917) 714-11-87</t>
  </si>
  <si>
    <t xml:space="preserve">tatyana@yolaarenda.ru, emma@yolarenda.ru, olga@yolarenda.ru </t>
  </si>
  <si>
    <t>Агентство недвижимости, Гостиница</t>
  </si>
  <si>
    <t>http://vk.com/nedvishimost</t>
  </si>
  <si>
    <t>http://www.odnoklassniki.ru/yolaarenda</t>
  </si>
  <si>
    <t>http://twitter.com/yolaarenda</t>
  </si>
  <si>
    <t>http://www.facebook.com/yolaarenda.ru</t>
  </si>
  <si>
    <t>47.931364 56.635343</t>
  </si>
  <si>
    <t>Планета</t>
  </si>
  <si>
    <t>+7 (8362) 90-10-20, +7 (8362) 65-44-24</t>
  </si>
  <si>
    <t>+7 (902) 325-44-24, +7 (961) 378-59-50</t>
  </si>
  <si>
    <t xml:space="preserve">adiyatullin.b@gmail.com, arenda@planetamall.ru  </t>
  </si>
  <si>
    <t>http://planetamall.ru/</t>
  </si>
  <si>
    <t>http://vk.com/mallplaneta</t>
  </si>
  <si>
    <t>http://instagram.com/planetamall</t>
  </si>
  <si>
    <t>47.843233 56.641019</t>
  </si>
  <si>
    <t>Топ-окна</t>
  </si>
  <si>
    <t>ул. Волкова, 60/209, Йошкар-Ола</t>
  </si>
  <si>
    <t>8 (800) 200-81-08, +7 (8362) 41-32-86, +7 (8362) 67-77-22, +7 (8362) 67-77-33</t>
  </si>
  <si>
    <t>+7 (902) 432-92-62</t>
  </si>
  <si>
    <t xml:space="preserve">aksioma-ekat@mail.ru, okna.sibay@mail.ru  </t>
  </si>
  <si>
    <t>https://top-okna.com/</t>
  </si>
  <si>
    <t>https://vk.com/topokna_vk</t>
  </si>
  <si>
    <t>http://www.facebook.com/top.okna.russia</t>
  </si>
  <si>
    <t>8 (800) 200-54-34</t>
  </si>
  <si>
    <t>https://www.rosbank.ru/</t>
  </si>
  <si>
    <t>47.888408 56.632659</t>
  </si>
  <si>
    <t>Уником</t>
  </si>
  <si>
    <t>+7 (8362) 73-36-50</t>
  </si>
  <si>
    <t>+7 (917) 702-83-64</t>
  </si>
  <si>
    <t xml:space="preserve">info@unicom12.ru  </t>
  </si>
  <si>
    <t>http://unicom12.ru/</t>
  </si>
  <si>
    <t>Двери, Металлоизделия, Металлоконструкции</t>
  </si>
  <si>
    <t>Энсай</t>
  </si>
  <si>
    <t>+7 (967) 757-99-77</t>
  </si>
  <si>
    <t>Магазин одежды, Магазин подарков и сувениров</t>
  </si>
  <si>
    <t>47.890056 56.630329</t>
  </si>
  <si>
    <t>Фабрика Москва</t>
  </si>
  <si>
    <t>+7 (8362) 45-15-68, +7 (8362) 45-15-58</t>
  </si>
  <si>
    <t>+7 (962) 590-02-80</t>
  </si>
  <si>
    <t>47.919661 56.626632</t>
  </si>
  <si>
    <t>Вагонка12</t>
  </si>
  <si>
    <t>+7 (917) 708-53-66</t>
  </si>
  <si>
    <t>http://vagonka12.ru/</t>
  </si>
  <si>
    <t>+7 (8362) 30-56-00</t>
  </si>
  <si>
    <t>+7 (967) 757-56-00</t>
  </si>
  <si>
    <t xml:space="preserve">ya@doctormakarova.ru </t>
  </si>
  <si>
    <t>Строительные и отделочные работы, Строительный магазин, Стройматериалы оптом</t>
  </si>
  <si>
    <t>Дакар-Кардан</t>
  </si>
  <si>
    <t>ул. Анциферова, 9Б, Йошкар-Ола</t>
  </si>
  <si>
    <t>+7 (8362) 43-40-75</t>
  </si>
  <si>
    <t>+7 (964) 863-40-75</t>
  </si>
  <si>
    <t>47.868695 56.647694</t>
  </si>
  <si>
    <t>Автосервис на Складской</t>
  </si>
  <si>
    <t>Складская ул., 6, Йошкар-Ола</t>
  </si>
  <si>
    <t>+7 (8362) 90-46-17</t>
  </si>
  <si>
    <t>+7 (987) 700-02-27, +7 (902) 670-46-17</t>
  </si>
  <si>
    <t xml:space="preserve">avtoservice12@gmail.com  </t>
  </si>
  <si>
    <t>http://www.avtoservice12.ru/</t>
  </si>
  <si>
    <t>Автосервис, автотехцентр, Кузовной ремонт</t>
  </si>
  <si>
    <t>https://vk.com/public32901987</t>
  </si>
  <si>
    <t>47.8978 56.6155</t>
  </si>
  <si>
    <t>АтмоСпектр</t>
  </si>
  <si>
    <t>+7 (8362) 73-64-64</t>
  </si>
  <si>
    <t>Кондиционеры, Торговое оборудование</t>
  </si>
  <si>
    <t>Церковь Христиан Адвентистов Седьмого Дня</t>
  </si>
  <si>
    <t xml:space="preserve">support@adventist.su  </t>
  </si>
  <si>
    <t>http://adventist.ru/, http://adventist.su/, http://church.adventist.ru/listing/yoshkar-ola-2-ya-tserkov-ozhidayushhaya/</t>
  </si>
  <si>
    <t>Протестантская церковь, Религиозное объединение</t>
  </si>
  <si>
    <t>47.84617 56.636807</t>
  </si>
  <si>
    <t>Modis</t>
  </si>
  <si>
    <t>8 (800) 700-57-00, 8 (800) 700-57-00, +7 (8362) 56-70-00</t>
  </si>
  <si>
    <t xml:space="preserve">modis@email.ru  </t>
  </si>
  <si>
    <t>https://modis.ru/</t>
  </si>
  <si>
    <t>https://vk.com/modis</t>
  </si>
  <si>
    <t>https://ok.ru/modis</t>
  </si>
  <si>
    <t>https://www.facebook.com/modisfashionrussia</t>
  </si>
  <si>
    <t>https://www.instagram.com/modis_rus</t>
  </si>
  <si>
    <t>47.896895 56.628512</t>
  </si>
  <si>
    <t>Ваш Выбор</t>
  </si>
  <si>
    <t>Ленинский просп., 16/1, Йошкар-Ола</t>
  </si>
  <si>
    <t>+7 (8362) 38-20-22, +7 (8362) 38-20-21</t>
  </si>
  <si>
    <t xml:space="preserve">cheb@npotolok.com, iola@npotolok.com  </t>
  </si>
  <si>
    <t>https://npotolok.com/, https://npotolok.com/clients/price/, https://npotolok.com/stretch-ceilings/fabric-stretch-ceilings-descor/, https://npotolok.com/stretch-ceilings/matte/, https://npotolok.com/stretch-ceilings/soaring-ceilings/</t>
  </si>
  <si>
    <t>Натяжные и подвесные потолки, Светильники, Фотообои и фрески</t>
  </si>
  <si>
    <t>http://vk.com/club27865943</t>
  </si>
  <si>
    <t>https://ok.ru/group55363694886938</t>
  </si>
  <si>
    <t>https://www.instagram.com/potolki_vash_vibor/</t>
  </si>
  <si>
    <t>47.913841 56.627136</t>
  </si>
  <si>
    <t xml:space="preserve">info@vtb.ru </t>
  </si>
  <si>
    <t>https://www.facebook.com/vtbrussia</t>
  </si>
  <si>
    <t>https://www.instagram.com/bankvtb/</t>
  </si>
  <si>
    <t>47.884813 56.633189</t>
  </si>
  <si>
    <t>ПрофСистемы</t>
  </si>
  <si>
    <t>+7 (8362) 31-17-47</t>
  </si>
  <si>
    <t>Кондиционеры, Системы вентиляции, Системы водоснабжения, отопления, канализации</t>
  </si>
  <si>
    <t>http://vk.com/condik</t>
  </si>
  <si>
    <t>Роспоставка</t>
  </si>
  <si>
    <t>+7 (8362) 40-14-46, +7 (8362) 76-14-49, +7 (8362) 40-14-45</t>
  </si>
  <si>
    <t xml:space="preserve">ab@rpka.ru, omtsom@yandex.ru  </t>
  </si>
  <si>
    <t>http://www.rpka.ru/</t>
  </si>
  <si>
    <t>Оптовая компания, Химические реактивы</t>
  </si>
  <si>
    <t>47.885199 56.643094</t>
  </si>
  <si>
    <t>Академ-Сервис</t>
  </si>
  <si>
    <t>+7 (8362) 41-40-88, +7 (8362) 41-22-43</t>
  </si>
  <si>
    <t xml:space="preserve">info@vetkzn.ru  </t>
  </si>
  <si>
    <t>http://www.vetkzn.ru/</t>
  </si>
  <si>
    <t>https://www.facebook.com/pages/ветеринарная-клиника-ветклиника-академ-сервис-казань/621935021258503</t>
  </si>
  <si>
    <t>Русский Стандарт</t>
  </si>
  <si>
    <t>http://www.rsb.ru/</t>
  </si>
  <si>
    <t>http://vk.com/rsb</t>
  </si>
  <si>
    <t>http://www.ok.ru/rsb</t>
  </si>
  <si>
    <t>http://twitter.com/bank_rs</t>
  </si>
  <si>
    <t>http://www.facebook.com/rsbank</t>
  </si>
  <si>
    <t>47.893159 56.635422</t>
  </si>
  <si>
    <t>Giraffffes</t>
  </si>
  <si>
    <t>+7 (917) 714-53-89</t>
  </si>
  <si>
    <t>Библиотека № 27</t>
  </si>
  <si>
    <t>ул. Якова Эшпая, 84, Йошкар-Ола</t>
  </si>
  <si>
    <t>+7 (8362) 46-01-28</t>
  </si>
  <si>
    <t xml:space="preserve">cbsola@mail.ru </t>
  </si>
  <si>
    <t>пн-чт 10:00–18:00; пт,сб 10:00–17:00</t>
  </si>
  <si>
    <t>47.888514 56.648638</t>
  </si>
  <si>
    <t>Оконный мастер</t>
  </si>
  <si>
    <t>ул. Якова Эшпая, 141, Йошкар-Ола</t>
  </si>
  <si>
    <t>+7 (8362) 99-17-20</t>
  </si>
  <si>
    <t>47.881938 56.637248</t>
  </si>
  <si>
    <t>Топаз, склад</t>
  </si>
  <si>
    <t>+7 (8362) 45-35-89, +7 (8362) 73-38-48</t>
  </si>
  <si>
    <t>Комбикорма и кормовые добавки, Мука и крупы</t>
  </si>
  <si>
    <t>пн-пт 08:00–16:30; сб 08:00–14:00</t>
  </si>
  <si>
    <t>Редакция журнала Астрон</t>
  </si>
  <si>
    <t>+7 (8362) 45-70-02, +7 (8362) 45-54-40</t>
  </si>
  <si>
    <t>+7 (917) 700-82-42</t>
  </si>
  <si>
    <t>Редакция СМИ, Рекламное агентство</t>
  </si>
  <si>
    <t>47.8997 56.6368</t>
  </si>
  <si>
    <t>Бизнес Трейд</t>
  </si>
  <si>
    <t>47.897767 56.644792</t>
  </si>
  <si>
    <t>Экодом12.рф</t>
  </si>
  <si>
    <t>+7 (927) 885-77-79, +7 (937) 110-40-78</t>
  </si>
  <si>
    <t xml:space="preserve">ekodom12-rf@mail.ru </t>
  </si>
  <si>
    <t>http://экодом12.рф/</t>
  </si>
  <si>
    <t>Камины, печи, Лестницы и лестничные ограждения, Пиломатериалы</t>
  </si>
  <si>
    <t>пн-пт 08:30–17:30; сб 08:30–14:00</t>
  </si>
  <si>
    <t>Электробензоинструменты</t>
  </si>
  <si>
    <t>+7 (8362) 24-75-35, +7 (8362) 76-42-77</t>
  </si>
  <si>
    <t>+7 (902) 736-42-77, +7 (902) 434-75-35</t>
  </si>
  <si>
    <t>Запчасти и аксессуары для бытовой техники, Садовый инвентарь и техника, Электро- и бензоинструмент</t>
  </si>
  <si>
    <t>https://vk.com/public108073797</t>
  </si>
  <si>
    <t>47.885892 56.635439</t>
  </si>
  <si>
    <t>5 звезд</t>
  </si>
  <si>
    <t>+7 (917) 710-67-77, +7 (917) 700-92-00</t>
  </si>
  <si>
    <t>Экспресс Ломбард</t>
  </si>
  <si>
    <t>+7 (8362) 64-98-95</t>
  </si>
  <si>
    <t xml:space="preserve">mail@mail.ru  </t>
  </si>
  <si>
    <t>http://nashlombard.ru/</t>
  </si>
  <si>
    <t>ежедневно, 08:30–21:00</t>
  </si>
  <si>
    <t>https://vk.com/express_lombard</t>
  </si>
  <si>
    <t>https://ok.ru/group/57908544995551</t>
  </si>
  <si>
    <t>https://www.facebook.com/%D0%AD%D0%BA%D1%81%D0%BF%D1%80%D0%B5%D1%81%D1%81-%D0%9B%D0%BE%D0%BC%D0%B1%D0%B0%D1%80%D0%B4-109192780823003/</t>
  </si>
  <si>
    <t>https://www.instagram.com/express_lombard12</t>
  </si>
  <si>
    <t>47.945912 56.636912</t>
  </si>
  <si>
    <t>Karamel</t>
  </si>
  <si>
    <t>+7 (8362) 95-99-91, +7 (8362) 36-20-50</t>
  </si>
  <si>
    <t>Салон красоты, Солярий</t>
  </si>
  <si>
    <t>пн-пт 09:00–20:00; сб,вс 09:00–19:00</t>
  </si>
  <si>
    <t>47.856047 56.644798</t>
  </si>
  <si>
    <t>+7 (8362) 33-25-69</t>
  </si>
  <si>
    <t>47.880402 56.638156</t>
  </si>
  <si>
    <t>+7 (8362) 34-42-01</t>
  </si>
  <si>
    <t>47.827867 56.639367</t>
  </si>
  <si>
    <t>Марийский радиомеханический техникум, общежитие</t>
  </si>
  <si>
    <t>Советская ул., 156, Йошкар-Ола</t>
  </si>
  <si>
    <t>+7 (8362) 42-66-28, +7 (8362) 42-98-04, +7 (8362) 68-26-37</t>
  </si>
  <si>
    <t xml:space="preserve">info@mon.gov.ru, scienceport@sfedu.ru </t>
  </si>
  <si>
    <t>https://mrmt.edu.ru/studentu/obshchezhitie.html, https://mrmt.edu.ru/</t>
  </si>
  <si>
    <t>https://vk.com/club2596467</t>
  </si>
  <si>
    <t>47.89257 56.628902</t>
  </si>
  <si>
    <t>Акконд</t>
  </si>
  <si>
    <t>+7 (987) 717-60-76</t>
  </si>
  <si>
    <t xml:space="preserve">market@akkond.com  </t>
  </si>
  <si>
    <t>http://www.akkond.ru/</t>
  </si>
  <si>
    <t>Кондитерская</t>
  </si>
  <si>
    <t>ежедневно, 07:30–19:30</t>
  </si>
  <si>
    <t>https://www.facebook.com/akkond.kf</t>
  </si>
  <si>
    <t>https://www.instagram.com/akkond_kf/</t>
  </si>
  <si>
    <t>47.901321 56.639947</t>
  </si>
  <si>
    <t>Наше дело</t>
  </si>
  <si>
    <t>+7 (8362) 41-30-30</t>
  </si>
  <si>
    <t>47.885918 56.632446</t>
  </si>
  <si>
    <t>Распик</t>
  </si>
  <si>
    <t>ул. Свердлова, 49А, Йошкар-Ола</t>
  </si>
  <si>
    <t>+7 (8362) 39-17-01, +7 (499) 409-96-90</t>
  </si>
  <si>
    <t xml:space="preserve">card-mari@bk.ru, card-moscow@bk.ru, card-sochi@bk.ru, card-chuvashia@bk.ru, card-kirov@bk.ru  </t>
  </si>
  <si>
    <t>http://card-mari.ru/</t>
  </si>
  <si>
    <t>Оборудование для АЗС и автосервиса</t>
  </si>
  <si>
    <t>Строительство и оснащение АЗС, Топливные карты</t>
  </si>
  <si>
    <t>47.864008 56.641184</t>
  </si>
  <si>
    <t>Дом быта Смена</t>
  </si>
  <si>
    <t>+7 (8362) 42-91-79</t>
  </si>
  <si>
    <t>ежедневно, 07:30–20:00</t>
  </si>
  <si>
    <t>47.896867 56.635362</t>
  </si>
  <si>
    <t>Автосервис Империя Авто</t>
  </si>
  <si>
    <t>2-я Деповская ул., 19, Йошкар-Ола</t>
  </si>
  <si>
    <t>+7 (8362) 28-09-36</t>
  </si>
  <si>
    <t>+7 (917) 707-56-40</t>
  </si>
  <si>
    <t>47.8733 56.6193</t>
  </si>
  <si>
    <t>Hilding Anders</t>
  </si>
  <si>
    <t>8 (800) 220-30-00, +7 (8362) 45-34-37, +7 (8362) 42-97-55</t>
  </si>
  <si>
    <t xml:space="preserve">oplata@hilding-anders.ru  </t>
  </si>
  <si>
    <t>https://hilding-anders.ru/</t>
  </si>
  <si>
    <t>Магазин мебели, Магазин постельных принадлежностей, Матрасы, Мягкая мебель</t>
  </si>
  <si>
    <t>https://vk.com/hilding_anders</t>
  </si>
  <si>
    <t>http://www.facebook.com/hildinganders.ru</t>
  </si>
  <si>
    <t>https://www.youtube.com/user/HildingAndersRU</t>
  </si>
  <si>
    <t>https://www.instagram.com/hildinganders_russia</t>
  </si>
  <si>
    <t>Оранжевое небо</t>
  </si>
  <si>
    <t>+7 (8362) 39-83-21</t>
  </si>
  <si>
    <t>+7 (909) 366-02-39</t>
  </si>
  <si>
    <t>Наша аптека</t>
  </si>
  <si>
    <t>ежедневно, 07:00–19:00</t>
  </si>
  <si>
    <t>Старый Мастер</t>
  </si>
  <si>
    <t>+7 (8362) 64-06-06</t>
  </si>
  <si>
    <t>пн-пт 08:00–17:00, перерыв 12:00–13:00; сб 08:00–14:00, перерыв 12:00–13:00</t>
  </si>
  <si>
    <t>47.89725 56.616536</t>
  </si>
  <si>
    <t>RemTech design</t>
  </si>
  <si>
    <t>+7 (8362) 27-01-07</t>
  </si>
  <si>
    <t>Мак</t>
  </si>
  <si>
    <t>+7 (8362) 50-03-45</t>
  </si>
  <si>
    <t>Магазин ткани</t>
  </si>
  <si>
    <t>Специализированная детско-юношеская спортивная школа по борьбе на поясах и борьбе кореш</t>
  </si>
  <si>
    <t>Советская ул., 179, Йошкар-Ола</t>
  </si>
  <si>
    <t>+7 (8362) 21-93-98, +7 (8362) 21-45-96, +7 (8362) 64-19-85</t>
  </si>
  <si>
    <t>+7 (905) 008-56-67</t>
  </si>
  <si>
    <t>Спортивная школа</t>
  </si>
  <si>
    <t>47.88687 56.623152</t>
  </si>
  <si>
    <t>Участие</t>
  </si>
  <si>
    <t>Кремлёвская ул., 27, Йошкар-Ола</t>
  </si>
  <si>
    <t>+7 (8362) 65-30-20, +7 (8362) 33-53-06</t>
  </si>
  <si>
    <t>+7 (927) 883-76-17, +7 (927) 680-13-94</t>
  </si>
  <si>
    <t>47.885873 56.640055</t>
  </si>
  <si>
    <t>Царевококшайский Богородице-Сергиевский Черемисский женский монастырь</t>
  </si>
  <si>
    <t>Монастырь</t>
  </si>
  <si>
    <t>47.897558 56.633043</t>
  </si>
  <si>
    <t>Малаховские бани</t>
  </si>
  <si>
    <t>ул. Воинов-Интернационалистов, 18, Йошкар-Ола</t>
  </si>
  <si>
    <t>+7 (8362) 38-60-38</t>
  </si>
  <si>
    <t>вт-чт 12:00–22:00; пт 12:00–23:00; сб 10:00–23:00; вс 10:00–22:00</t>
  </si>
  <si>
    <t>http://vk.com/malakhovskie_bani</t>
  </si>
  <si>
    <t>http://instagram.com/explore/locations/4847032</t>
  </si>
  <si>
    <t>47.934616 56.633486</t>
  </si>
  <si>
    <t>Йошкар-Олинское бюро по землеустройству</t>
  </si>
  <si>
    <t>+7 (8362) 45-72-94</t>
  </si>
  <si>
    <t>Изыскательские работы, Кадастровые работы</t>
  </si>
  <si>
    <t>Домоуправление № 18</t>
  </si>
  <si>
    <t>ул. Карла Либкнехта, 76А, Йошкар-Ола</t>
  </si>
  <si>
    <t>+7 (8362) 46-32-40, +7 (8362) 46-29-61, +7 (8362) 46-30-16, +7 (8362) 46-32-51</t>
  </si>
  <si>
    <t>47.948648 56.638309</t>
  </si>
  <si>
    <t>Кобальт</t>
  </si>
  <si>
    <t>+7 (8362) 72-07-21</t>
  </si>
  <si>
    <t>47.86838 56.637655</t>
  </si>
  <si>
    <t>Blackton12 Тонирование</t>
  </si>
  <si>
    <t>Комсомольская ул., 9, Йошкар-Ола</t>
  </si>
  <si>
    <t>+7 (8362) 90-14-90</t>
  </si>
  <si>
    <t>Автоакустика, Тонирование стекол</t>
  </si>
  <si>
    <t>https://vk.com/blackton12</t>
  </si>
  <si>
    <t>47.905474 56.653716</t>
  </si>
  <si>
    <t>Строчка</t>
  </si>
  <si>
    <t>Гарантпост</t>
  </si>
  <si>
    <t>8 (800) 200-65-65, 8 (800) 250-46-42</t>
  </si>
  <si>
    <t>+7 (927) 681-49-58</t>
  </si>
  <si>
    <t xml:space="preserve">ekb@garantpost.ru  </t>
  </si>
  <si>
    <t>http://www.garantpost.ru/, http://www.garantpost.ru/contact</t>
  </si>
  <si>
    <t>Курьерские услуги</t>
  </si>
  <si>
    <t>https://vk.com/garantpost</t>
  </si>
  <si>
    <t>https://www.facebook.com/emcgarantpost</t>
  </si>
  <si>
    <t>Мотор</t>
  </si>
  <si>
    <t>+7 (8362) 30-11-11</t>
  </si>
  <si>
    <t>+7 (902) 671-11-31</t>
  </si>
  <si>
    <t xml:space="preserve">motul.m.l@mail.ru, e777vn@mail.ru  </t>
  </si>
  <si>
    <t>Магазин автозапчастей и автотоваров, Производство и оптовая продажа автозапчастей, Смазочные материалы</t>
  </si>
  <si>
    <t>http://vk.com/avtomagazinmotor</t>
  </si>
  <si>
    <t>47.9017 56.638227</t>
  </si>
  <si>
    <t>Пятый угол</t>
  </si>
  <si>
    <t>ул. Строителей, 108, корп. 2, Йошкар-Ола</t>
  </si>
  <si>
    <t>+7 (8362) 92-49-13</t>
  </si>
  <si>
    <t>+7 (987) 709-76-37</t>
  </si>
  <si>
    <t>47.873 56.608932</t>
  </si>
  <si>
    <t>СтройГрад</t>
  </si>
  <si>
    <t>+7 (8362) 45-88-05, +7 (8362) 45-88-54, +7 (8362) 34-71-01, +7 (8362) 62-21-12, +7 (8362) 33-10-89, +7 (8362) 30-40-00</t>
  </si>
  <si>
    <t xml:space="preserve">info@stroygrad12.ru, info@digitalweb.ru, komarik.olya92@gmail.com  </t>
  </si>
  <si>
    <t>http://stroygrad12.ru/</t>
  </si>
  <si>
    <t>Строительный магазин, Стройматериалы оптом, Сухие строительные смеси</t>
  </si>
  <si>
    <t>47.898629 56.650434</t>
  </si>
  <si>
    <t>ГБУ Республики Марий Эл Врачебно-физкультурный диспансер</t>
  </si>
  <si>
    <t>ул. Якова Эшпая, 147, Йошкар-Ола</t>
  </si>
  <si>
    <t>+7 (8362) 41-39-21, +7 (8362) 42-53-11, +7 (8362) 42-88-74</t>
  </si>
  <si>
    <t xml:space="preserve">vfd-rme@mail.ru  </t>
  </si>
  <si>
    <t>http://vfd12.ru/, http://ya147.polickliniki.ru/</t>
  </si>
  <si>
    <t>пн-пт 08:00–18:00, перерыв 12:30–13:00</t>
  </si>
  <si>
    <t>http://vk.com/club31508470</t>
  </si>
  <si>
    <t>http://instagram.com/vfd_rme</t>
  </si>
  <si>
    <t>47.882181 56.636026</t>
  </si>
  <si>
    <t>Зелёный мир</t>
  </si>
  <si>
    <t>+7 (8362) 45-28-50</t>
  </si>
  <si>
    <t>47.893082 56.640884</t>
  </si>
  <si>
    <t>Модная Семья</t>
  </si>
  <si>
    <t>Первомайская ул., 115Е, Йошкар-Ола</t>
  </si>
  <si>
    <t>47.885626 56.632975</t>
  </si>
  <si>
    <t>Кокетка</t>
  </si>
  <si>
    <t>ул. Кирова, 12, Йошкар-Ола</t>
  </si>
  <si>
    <t>+7 (8362) 38-61-46</t>
  </si>
  <si>
    <t>Кафе, Ресторан</t>
  </si>
  <si>
    <t>47.931816 56.632875</t>
  </si>
  <si>
    <t>Современный дом</t>
  </si>
  <si>
    <t>+7 (8362) 35-24-33, +7 (8362) 36-76-76</t>
  </si>
  <si>
    <t xml:space="preserve">352433@mail.ru  </t>
  </si>
  <si>
    <t>http://sovdom12.ru/</t>
  </si>
  <si>
    <t>Строительная компания, Стройматериалы оптом</t>
  </si>
  <si>
    <t>пн-пт 09:00–17:00, перерыв 12:00–13:00; сб 10:00–15:00, перерыв 12:00–13:00</t>
  </si>
  <si>
    <t>47.888047 56.631654</t>
  </si>
  <si>
    <t>Golddizain</t>
  </si>
  <si>
    <t>+7 (8362) 52-23-27</t>
  </si>
  <si>
    <t xml:space="preserve">golddizain@inbox.ru  </t>
  </si>
  <si>
    <t>http://golddizain.ru/</t>
  </si>
  <si>
    <t>ЦАФАП ГИБДД МВД по Республике Марий Эл</t>
  </si>
  <si>
    <t>+7 (8362) 68-00-47, +7 (8362) 68-34-72, +7 (8362) 68-34-75</t>
  </si>
  <si>
    <t xml:space="preserve">support@gosuslugi.ru, fcp-pbdd@fcp-pbdd.ru, bdd@ceki.ru, otn07@mvd.ru, peregudov@mvd.ru </t>
  </si>
  <si>
    <t>https://гибдд.рф/, https://гибдд.рф/r/12, https://гибдд.рф/r/12/divisions/2909</t>
  </si>
  <si>
    <t>ГИБДД, МРЭО</t>
  </si>
  <si>
    <t>Госавтоинспекция</t>
  </si>
  <si>
    <t>https://vk.com/guobdd1</t>
  </si>
  <si>
    <t>https://www.facebook.com/gibdd.ru</t>
  </si>
  <si>
    <t>https://www.instagram.com/gibdd.rus/</t>
  </si>
  <si>
    <t>47.894257 56.638304</t>
  </si>
  <si>
    <t>Школа английского языка Start!</t>
  </si>
  <si>
    <t>+7 (8362) 90-53-90</t>
  </si>
  <si>
    <t>+7 (987) 703-51-80</t>
  </si>
  <si>
    <t>пн-пт 09:00–20:00; сб 10:00–18:00</t>
  </si>
  <si>
    <t>Центр автоматизированного машиностроения</t>
  </si>
  <si>
    <t>+7 (8362) 33-66-52</t>
  </si>
  <si>
    <t>+7 (909) 366-42-22</t>
  </si>
  <si>
    <t>Автоматизация производств, Машиностроительный завод</t>
  </si>
  <si>
    <t>пн-сб 08:30–17:30</t>
  </si>
  <si>
    <t>47.840275 56.634045</t>
  </si>
  <si>
    <t>Техномир</t>
  </si>
  <si>
    <t>ул. Чехова, 65, Йошкар-Ола</t>
  </si>
  <si>
    <t>+7 (8362) 42-35-62, +7 (8362) 42-54-27</t>
  </si>
  <si>
    <t>+7 (903) 050-55-22</t>
  </si>
  <si>
    <t>+7 (8362) 42-35-62</t>
  </si>
  <si>
    <t xml:space="preserve">company@mail.ru </t>
  </si>
  <si>
    <t>Пищевое оборудование, Промышленное холодильное оборудование</t>
  </si>
  <si>
    <t>47.885154 56.644891</t>
  </si>
  <si>
    <t>Эксперт плюс</t>
  </si>
  <si>
    <t>ТСЖ Эшкинина-6</t>
  </si>
  <si>
    <t>+7 (8362) 75-75-66</t>
  </si>
  <si>
    <t>ТСЖ</t>
  </si>
  <si>
    <t>47.908016 56.629956</t>
  </si>
  <si>
    <t>СКТБ Сатурн</t>
  </si>
  <si>
    <t>+7 (8362) 74-14-22, +7 (8362) 74-09-85</t>
  </si>
  <si>
    <t xml:space="preserve">sktbsaturn@yandex.ru, kozlov@sktbsaturn.ru, kovalev@sktbsaturn.ru, laptev@sktbsaturn.ru, vorobev@sktbsaturn.ru  </t>
  </si>
  <si>
    <t>http://sktbsaturn.ru/</t>
  </si>
  <si>
    <t>Информационная безопасность, Пожарное оборудование, Противопожарные системы, Системы безопасности и охраны</t>
  </si>
  <si>
    <t>47.907477 56.614302</t>
  </si>
  <si>
    <t>Ленинский просп., 5, Йошкар-Ола</t>
  </si>
  <si>
    <t>+7 (8362) 21-25-97</t>
  </si>
  <si>
    <t>+7 (902) 465-71-10</t>
  </si>
  <si>
    <t xml:space="preserve">ipsergeev2018@mail.ru, zelmir2008@yandex.ru  </t>
  </si>
  <si>
    <t>http://vk.com/zelmir12</t>
  </si>
  <si>
    <t>47.906392 56.626797</t>
  </si>
  <si>
    <t>Новострой</t>
  </si>
  <si>
    <t>ул. Карла Маркса, 110, Йошкар-Ола</t>
  </si>
  <si>
    <t>+7 (8362) 34-53-25, +7 (8362) 34-53-40</t>
  </si>
  <si>
    <t>47.895072 56.628961</t>
  </si>
  <si>
    <t>М+</t>
  </si>
  <si>
    <t>+7 (8362) 97-77-79, +7 (8362) 50-77-99</t>
  </si>
  <si>
    <t>http://medcentr12.ru/</t>
  </si>
  <si>
    <t>Гинекологическая клиника, Медцентр, клиника, Стоматологическая клиника, Урологический центр</t>
  </si>
  <si>
    <t>47.85582 56.644549</t>
  </si>
  <si>
    <t>Строительные материалы</t>
  </si>
  <si>
    <t>ул. Дружбы, 96А, Йошкар-Ола</t>
  </si>
  <si>
    <t>+7 (8362) 41-90-03, +7 (8362) 42-74-69</t>
  </si>
  <si>
    <t>Крепежные изделия, Кровля и кровельные материалы, Магазин хозтоваров и бытовой химии, Металлоизделия, Строительный инструмент, Строительный магазин</t>
  </si>
  <si>
    <t>47.869801 56.6544</t>
  </si>
  <si>
    <t>ФКУ ГБ МСЭ по Республике Марий Эл Минтруда России, Бюро № 4</t>
  </si>
  <si>
    <t>+7 (8362) 42-29-70, +7 (8362) 46-93-99</t>
  </si>
  <si>
    <t xml:space="preserve">margbmse@mari-el.ru, info.mse@rosmintrud.ru </t>
  </si>
  <si>
    <t>http://rosmintrud12.ru/, http://www.rosmintrud12.ru/news/news19_180216.htm</t>
  </si>
  <si>
    <t>Медико-социальная экспертиза</t>
  </si>
  <si>
    <t>47.887562 56.645554</t>
  </si>
  <si>
    <t>Вираж</t>
  </si>
  <si>
    <t>ул. Любови Шевцовой, 54, Йошкар-Ола</t>
  </si>
  <si>
    <t>+7 (8362) 64-87-77</t>
  </si>
  <si>
    <t>47.93369 56.635125</t>
  </si>
  <si>
    <t>Традиции Востока</t>
  </si>
  <si>
    <t>+7 (917) 702-05-15, +7 (937) 936-71-17</t>
  </si>
  <si>
    <t>Магазин продуктов, Магазин чая и кофе</t>
  </si>
  <si>
    <t>47.84347 56.641082</t>
  </si>
  <si>
    <t>Реал</t>
  </si>
  <si>
    <t>Советская ул., 183, Йошкар-Ола</t>
  </si>
  <si>
    <t>+7 (8362) 45-16-18, +7 (8362) 41-54-00</t>
  </si>
  <si>
    <t>ежедневно, 14:00–18:00</t>
  </si>
  <si>
    <t>47.88192 56.62204</t>
  </si>
  <si>
    <t>Rafa GSM</t>
  </si>
  <si>
    <t>пн-пт 09:00–19:00; сб 09:00–18:00; вс 10:00–18:00</t>
  </si>
  <si>
    <t>47.894554 56.640289</t>
  </si>
  <si>
    <t>ТСЖ Октябрь</t>
  </si>
  <si>
    <t>Первомайская ул., 110, Йошкар-Ола</t>
  </si>
  <si>
    <t>+7 (927) 883-99-04</t>
  </si>
  <si>
    <t>47.88802 56.640421</t>
  </si>
  <si>
    <t>Диспетчерский отдел администрации г. Йошкар-Ола</t>
  </si>
  <si>
    <t>+7 (8362) 56-62-16</t>
  </si>
  <si>
    <t xml:space="preserve">admiola@i-ola.ru  </t>
  </si>
  <si>
    <t>http://i-ola.ru/</t>
  </si>
  <si>
    <t>https://vk.com/yoshkarola_12reg</t>
  </si>
  <si>
    <t>Карамболь</t>
  </si>
  <si>
    <t>ул. Анциферова, 8В, Йошкар-Ола</t>
  </si>
  <si>
    <t>+7 (937) 939-67-99</t>
  </si>
  <si>
    <t>http://fbs12.ru/</t>
  </si>
  <si>
    <t>ежедневно, 12:00–02:00</t>
  </si>
  <si>
    <t>47.863288 56.649576</t>
  </si>
  <si>
    <t>Cryptostore.ru</t>
  </si>
  <si>
    <t>8 (800) 555-39-05, +7 (499) 653-82-05</t>
  </si>
  <si>
    <t xml:space="preserve">sales@cryptostore.ru  </t>
  </si>
  <si>
    <t>https://cryptostore.ru/</t>
  </si>
  <si>
    <t>IT-компания, Интернет-магазин, Информационная безопасность</t>
  </si>
  <si>
    <t>47.914502 56.627366</t>
  </si>
  <si>
    <t>Wm12</t>
  </si>
  <si>
    <t>+7 (8362) 96-77-11</t>
  </si>
  <si>
    <t>Бассейн ТЭЦ-1</t>
  </si>
  <si>
    <t>ул. Зарубина, 29, Йошкар-Ола</t>
  </si>
  <si>
    <t>+7 (8362) 68-81-37</t>
  </si>
  <si>
    <t>пн 17:00–20:00; вт-чт 08:00–20:00; сб,вс 09:00–18:00</t>
  </si>
  <si>
    <t>47.874571 56.632387</t>
  </si>
  <si>
    <t>Анкора</t>
  </si>
  <si>
    <t>47.8825 56.6217</t>
  </si>
  <si>
    <t>Санком</t>
  </si>
  <si>
    <t>+7 (8362) 90-20-77, +7 (8362) 46-39-86</t>
  </si>
  <si>
    <t>http://sancom12.ru/</t>
  </si>
  <si>
    <t>Сантехнические работы</t>
  </si>
  <si>
    <t>ТСЖ Куйбышево</t>
  </si>
  <si>
    <t>ул. Куйбышева, 55, Йошкар-Ола</t>
  </si>
  <si>
    <t>+7 (8362) 30-00-40, +7 (8362) 39-76-64</t>
  </si>
  <si>
    <t>пн-пт 17:00–19:00</t>
  </si>
  <si>
    <t>47.848027 56.646242</t>
  </si>
  <si>
    <t>ТВ-транс</t>
  </si>
  <si>
    <t>+7 (8362) 52-62-22</t>
  </si>
  <si>
    <t xml:space="preserve">sales@tv-trans.ru, melnikoff86@mail.ru, buhgalter.tv-trans@mail.ru  </t>
  </si>
  <si>
    <t>http://tv-trans.ru/</t>
  </si>
  <si>
    <t>https://vk.com/club40554067</t>
  </si>
  <si>
    <t>http://twitter.com/#!/ra_tv_trans</t>
  </si>
  <si>
    <t>http://www.facebook.com/pages/ТВ-транс/438102402890894</t>
  </si>
  <si>
    <t>Детский сад Времена года</t>
  </si>
  <si>
    <t>ул. Рябинина, 25, Йошкар-Ола</t>
  </si>
  <si>
    <t>+7 (8362) 72-31-56</t>
  </si>
  <si>
    <t xml:space="preserve">vremena-goda2015@inbox.ru </t>
  </si>
  <si>
    <t>47.872516 56.635865</t>
  </si>
  <si>
    <t>Павильон Деревяшечка</t>
  </si>
  <si>
    <t>+7 (8362) 41-25-69, +7 (8362) 98-46-14</t>
  </si>
  <si>
    <t>Транспортный аутсорсинг</t>
  </si>
  <si>
    <t>+7 (8362) 45-15-52, +7 (8362) 46-00-56</t>
  </si>
  <si>
    <t>Агентство Счастливых Моментов</t>
  </si>
  <si>
    <t>Ленинский просп., 69А, Йошкар-Ола</t>
  </si>
  <si>
    <t>ежедневно, 09:00–00:00</t>
  </si>
  <si>
    <t>47.871159 56.636937</t>
  </si>
  <si>
    <t>АвтоЛайн</t>
  </si>
  <si>
    <t>+7 (8362) 38-73-87</t>
  </si>
  <si>
    <t>+7 (963) 239-22-22, +7 (963) 239-33-33, +7 (963) 239-66-66, +7 (963) 239-11-11</t>
  </si>
  <si>
    <t xml:space="preserve">manager@avtolainer.com, manager@avtoline.com, manager@avtoliner.com </t>
  </si>
  <si>
    <t>Перевозка негабаритных грузов, Экспедирование грузов</t>
  </si>
  <si>
    <t>Марпромвентиляция</t>
  </si>
  <si>
    <t>ул. Машиностроителей, 124Б, корп. 1, Йошкар-Ола</t>
  </si>
  <si>
    <t>+7 (8362) 73-18-62, +7 (8362) 73-50-04, +7 (8362) 73-18-52</t>
  </si>
  <si>
    <t>http://marpromvent.business.site/</t>
  </si>
  <si>
    <t>47.82618 56.628015</t>
  </si>
  <si>
    <t>Комфортный дом</t>
  </si>
  <si>
    <t>+7 (8362) 39-92-65</t>
  </si>
  <si>
    <t>МОУ Средняя общеобразовательная школа № 1</t>
  </si>
  <si>
    <t>ул. Петрова, 15, Йошкар-Ола</t>
  </si>
  <si>
    <t>+7 (8362) 21-58-75, +7 (8362) 21-58-28, +7 (8362) 21-88-17</t>
  </si>
  <si>
    <t>https://school1yola.ru/</t>
  </si>
  <si>
    <t>47.917477 56.63442</t>
  </si>
  <si>
    <t>MoneyGram</t>
  </si>
  <si>
    <t>8 (800) 500-92-53</t>
  </si>
  <si>
    <t xml:space="preserve">customerservice@moneygram.com, salesforcesupport@moneygram.com  </t>
  </si>
  <si>
    <t>http://moneygram.com.ru/</t>
  </si>
  <si>
    <t>https://twitter.com/MoneyGram</t>
  </si>
  <si>
    <t>https://www.facebook.com/moneygram</t>
  </si>
  <si>
    <t>https://www.youtube.com/moneygram</t>
  </si>
  <si>
    <t>47.896802 56.634598</t>
  </si>
  <si>
    <t>Стальные двери</t>
  </si>
  <si>
    <t>ул. Ломоносова, 4, Йошкар-Ола</t>
  </si>
  <si>
    <t>+7 (8362) 67-42-88</t>
  </si>
  <si>
    <t>47.873216 56.61557</t>
  </si>
  <si>
    <t>Айс Групп</t>
  </si>
  <si>
    <t>+7 (927) 684-54-27</t>
  </si>
  <si>
    <t>Кровля и кровельные материалы, Строительная компания</t>
  </si>
  <si>
    <t>АвтоЗавал</t>
  </si>
  <si>
    <t>ул. Соловьёва, 44, корп. 2, Йошкар-Ола</t>
  </si>
  <si>
    <t>+7 (8362) 66-55-50, +7 (8362) 66-77-70, +7 (8362) 99-20-77</t>
  </si>
  <si>
    <t>+7 (902) 439-55-50, +7 (902) 329-20-77</t>
  </si>
  <si>
    <t xml:space="preserve">avtozaval@yandex.ru  </t>
  </si>
  <si>
    <t>http://avtorazbor12.ru/</t>
  </si>
  <si>
    <t>Авторазбор, Выкуп автомобилей</t>
  </si>
  <si>
    <t>пн-пт 08:00–19:00; сб 09:00–17:00</t>
  </si>
  <si>
    <t>https://vk.com/avtorazbor12</t>
  </si>
  <si>
    <t>47.86659 56.628095</t>
  </si>
  <si>
    <t>Мемориал</t>
  </si>
  <si>
    <t>ул. Суворова, 9, Йошкар-Ола</t>
  </si>
  <si>
    <t>+7 (8362) 31-61-90</t>
  </si>
  <si>
    <t>+7 (902) 671-11-24</t>
  </si>
  <si>
    <t xml:space="preserve">salonmemorial@mail.ru  </t>
  </si>
  <si>
    <t>http://memorial12.ru/</t>
  </si>
  <si>
    <t>пн-пт 08:00–17:00; сб 08:00–13:00</t>
  </si>
  <si>
    <t>47.868266 56.632347</t>
  </si>
  <si>
    <t>Цветы</t>
  </si>
  <si>
    <t>+7 (8362) 31-51-01</t>
  </si>
  <si>
    <t>+7 (902) 713-13-75</t>
  </si>
  <si>
    <t>Доставка цветов и букетов</t>
  </si>
  <si>
    <t>47.896105 56.641213</t>
  </si>
  <si>
    <t>Культурно-спортивный реабилитационный центр инвалидов</t>
  </si>
  <si>
    <t>Пролетарская ул., 37, Йошкар-Ола</t>
  </si>
  <si>
    <t>+7 (8362) 46-04-42</t>
  </si>
  <si>
    <t>http://kl6252.polzdr.ru/</t>
  </si>
  <si>
    <t>47.890275 56.645544</t>
  </si>
  <si>
    <t>Адвокатский кабинет Копылова Олега Борисовича</t>
  </si>
  <si>
    <t>+7 (8362) 96-83-58</t>
  </si>
  <si>
    <t>Белоснежка</t>
  </si>
  <si>
    <t>+7 (8362) 42-86-91, +7 (8362) 42-40-62</t>
  </si>
  <si>
    <t>Кафе, Кондитерская</t>
  </si>
  <si>
    <t>пн-сб 08:00–20:00; вс 08:00–19:00</t>
  </si>
  <si>
    <t>47.898856 56.63574</t>
  </si>
  <si>
    <t>Аметист</t>
  </si>
  <si>
    <t>+7 (8362) 29-72-97, +7 (8362) 24-12-41</t>
  </si>
  <si>
    <t>47.8602 56.64599</t>
  </si>
  <si>
    <t>ТСЖ Смена</t>
  </si>
  <si>
    <t>ул. Петрова, 20, Йошкар-Ола</t>
  </si>
  <si>
    <t>+7 (906) 335-00-38</t>
  </si>
  <si>
    <t>47.922946 56.63707</t>
  </si>
  <si>
    <t>+7 (8362) 30-86-33</t>
  </si>
  <si>
    <t>Алкогольная продукция оптом, Безалкогольные напитки оптом, Магазин алкогольных напитков</t>
  </si>
  <si>
    <t>47.897993 56.644239</t>
  </si>
  <si>
    <t>Арена</t>
  </si>
  <si>
    <t>+7 (927) 886-40-00, +7 (987) 716-76-77</t>
  </si>
  <si>
    <t>47.8888 56.6386</t>
  </si>
  <si>
    <t>Драйв</t>
  </si>
  <si>
    <t>ул. Якова Эшпая, 109, Йошкар-Ола</t>
  </si>
  <si>
    <t>+7 (8362) 38-50-83, +7 (8362) 30-65-94, +7 (8362) 30-63-49, +7 (8362) 38-39-70, +7 (8362) 38-39-90</t>
  </si>
  <si>
    <t xml:space="preserve">drive12.yola@gmail.com, drive12.reclama@gmail.com  </t>
  </si>
  <si>
    <t>http://drive12.ru/</t>
  </si>
  <si>
    <t>Запчасти для мототехники, Мотосалон</t>
  </si>
  <si>
    <t>https://vk.com/drivemoto12</t>
  </si>
  <si>
    <t>https://ok.ru/group/52385756086417</t>
  </si>
  <si>
    <t>https://www.facebook.com/pages/%D0%A0%D1%83%D1%81%D1%81%D0%BA%D0%B0%D1%8F-%D0%BC%D0%B5%D1%85%D0%B0%D0%BD%D0%B8%D0%BA%D0%B0/156915037847934</t>
  </si>
  <si>
    <t>http://instagram.com/drivemoto12</t>
  </si>
  <si>
    <t>47.886367 56.643913</t>
  </si>
  <si>
    <t>Панели МДФ</t>
  </si>
  <si>
    <t>+7 (8362) 74-18-20</t>
  </si>
  <si>
    <t>+7 (927) 680-75-88</t>
  </si>
  <si>
    <t>Арон</t>
  </si>
  <si>
    <t>+7 (8362) 73-65-32, +7 (8362) 73-08-30</t>
  </si>
  <si>
    <t>La Dolce Vita</t>
  </si>
  <si>
    <t>+7 (8362) 50-64-66</t>
  </si>
  <si>
    <t>Магазин парфюмерии и косметики, Салон красоты</t>
  </si>
  <si>
    <t>вт-пт 09:30–20:00; сб,вс 10:00–20:00</t>
  </si>
  <si>
    <t>Строительная продукция</t>
  </si>
  <si>
    <t>http://деревобетон12.рф/</t>
  </si>
  <si>
    <t>Бетон, бетонные изделия, Курьерские услуги, Строительный магазин, Стройматериалы оптом</t>
  </si>
  <si>
    <t>пн-пт 08:00–17:00; сб,вс 12:00–13:00</t>
  </si>
  <si>
    <t>47.8305 56.6368</t>
  </si>
  <si>
    <t>Тепломир Эко</t>
  </si>
  <si>
    <t>ул. Йывана Кырли, 18, Йошкар-Ола</t>
  </si>
  <si>
    <t>+7 (916) 711-06-00</t>
  </si>
  <si>
    <t>Изоляционные материалы, Изоляционные работы, Строительный магазин</t>
  </si>
  <si>
    <t>47.839879 56.639466</t>
  </si>
  <si>
    <t>Дельта Медика</t>
  </si>
  <si>
    <t>47.873557 56.654521</t>
  </si>
  <si>
    <t>Спецгидрострой</t>
  </si>
  <si>
    <t>ул. Строителей, 96А, Йошкар-Ола</t>
  </si>
  <si>
    <t>+7 (8362) 21-54-52, +7 (8362) 21-67-69, +7 (8362) 73-82-40</t>
  </si>
  <si>
    <t>Спецтехника и спецавтомобили, Строительная компания</t>
  </si>
  <si>
    <t>пн-пт 08:30–17:30, перерыв 12:00–13:30</t>
  </si>
  <si>
    <t>47.856304 56.620759</t>
  </si>
  <si>
    <t>Вита</t>
  </si>
  <si>
    <t>ул. Героев Сталинградской Битвы, 39, Йошкар-Ола</t>
  </si>
  <si>
    <t>+7 (8362) 23-12-39</t>
  </si>
  <si>
    <t>47.94647 56.623078</t>
  </si>
  <si>
    <t>Мариподшипник</t>
  </si>
  <si>
    <t>+7 (8362) 64-79-13, +7 (8362) 95-90-10, +7 (8362) 64-70-46, +7 (8362) 64-95-79</t>
  </si>
  <si>
    <t xml:space="preserve">podshipnik@mari-pod.ru, manager@mari-pod.ru, mariipk@mail.ru  </t>
  </si>
  <si>
    <t>http://mari-pod.narod.ru/</t>
  </si>
  <si>
    <t>Инструментальная промышленность, Магазин автозапчастей и автотоваров, Подшипники, Промышленное оборудование, Резиновые и резинотехнические изделия</t>
  </si>
  <si>
    <t>пн-пт 08:00–18:00; сб 08:00–15:00</t>
  </si>
  <si>
    <t>https://vk.com/maripodshipnik</t>
  </si>
  <si>
    <t>47.944777 56.633333</t>
  </si>
  <si>
    <t>Оконница</t>
  </si>
  <si>
    <t>Деповская ул., 20, Йошкар-Ола</t>
  </si>
  <si>
    <t>+7 (8362) 62-95-09</t>
  </si>
  <si>
    <t xml:space="preserve">kostyaaftor@bk.ru  </t>
  </si>
  <si>
    <t>http://balkonov12.ru/</t>
  </si>
  <si>
    <t>47.878983 56.620775</t>
  </si>
  <si>
    <t>Вам на радость</t>
  </si>
  <si>
    <t>+7 (987) 725-47-02</t>
  </si>
  <si>
    <t>http://vamnaradost.jimdo.com/</t>
  </si>
  <si>
    <t>Зоомагазин, Питомник животных</t>
  </si>
  <si>
    <t>ежедневно, 11:00–20:00</t>
  </si>
  <si>
    <t>47.845718 56.642228</t>
  </si>
  <si>
    <t>+7 (8362) 92-97-42</t>
  </si>
  <si>
    <t>Автозапчасти КоДиП</t>
  </si>
  <si>
    <t>+7 (964) 864-49-71, +7 (902) 358-88-82</t>
  </si>
  <si>
    <t>Автоаксессуары, Авторазбор, Магазин автозапчастей и автотоваров</t>
  </si>
  <si>
    <t>Welcome</t>
  </si>
  <si>
    <t>Клуб для детей и подростков, Курсы и мастер-классы</t>
  </si>
  <si>
    <t>47.878291 56.631892</t>
  </si>
  <si>
    <t>ТехОтпТорг</t>
  </si>
  <si>
    <t>Элеваторный пр., 4, Йошкар-Ола</t>
  </si>
  <si>
    <t>+7 (8362) 38-17-77, +7 (8362) 39-70-93</t>
  </si>
  <si>
    <t>+7 (8362) 38-17-77</t>
  </si>
  <si>
    <t>http://texopttorg.pulscen.ru/</t>
  </si>
  <si>
    <t>пн-пт 08:00–17:00, перерыв 12:30–13:30; сб 09:00–14:00</t>
  </si>
  <si>
    <t>47.896388 56.614439</t>
  </si>
  <si>
    <t>Советская ул., 72, Йошкар-Ола</t>
  </si>
  <si>
    <t>+7 (8362) 45-10-89, +7 (8362) 48-30-03</t>
  </si>
  <si>
    <t>+7 (902) 249-77-77, +7 (961) 342-22-78</t>
  </si>
  <si>
    <t>Магазин хозтоваров и бытовой химии, Строительный инструмент, Строительный магазин</t>
  </si>
  <si>
    <t>47.900866 56.643145</t>
  </si>
  <si>
    <t>Затейники</t>
  </si>
  <si>
    <t>просп. Гагарина, 5, Йошкар-Ола</t>
  </si>
  <si>
    <t>+7 (919) 412-84-22, +7 (903) 326-41-85</t>
  </si>
  <si>
    <t>Детский сад, Центр развития ребенка</t>
  </si>
  <si>
    <t>47.888715 56.62954</t>
  </si>
  <si>
    <t>Техпромснаб</t>
  </si>
  <si>
    <t>ул. Строителей, 76А, Йошкар-Ола</t>
  </si>
  <si>
    <t>+7 (8362) 73-40-55, +7 (8362) 55-33-00</t>
  </si>
  <si>
    <t xml:space="preserve">info@tps12.ru, tps07@mail.ru  </t>
  </si>
  <si>
    <t>https://tps12.ru/, http://tps-stroy.ru/</t>
  </si>
  <si>
    <t>Металлопрокат, Производственное предприятие, Строительный магазин</t>
  </si>
  <si>
    <t>http://vk.com/tpk__snab</t>
  </si>
  <si>
    <t>47.846078 56.626138</t>
  </si>
  <si>
    <t>+7 (937) 939-50-08</t>
  </si>
  <si>
    <t>Кристалл</t>
  </si>
  <si>
    <t>ул. Тукая, 2, корп. 1, Йошкар-Ола</t>
  </si>
  <si>
    <t>+7 (8362) 23-32-32</t>
  </si>
  <si>
    <t>Автомойка</t>
  </si>
  <si>
    <t>http://vk.com/club78821626</t>
  </si>
  <si>
    <t>47.961529 56.613288</t>
  </si>
  <si>
    <t>Компания Евродосочка</t>
  </si>
  <si>
    <t>+7 (8362) 33-59-99, +7 (8362) 70-67-77</t>
  </si>
  <si>
    <t>+7 (917) 710-25-60</t>
  </si>
  <si>
    <t xml:space="preserve">info@eurodosochka.ru, support@tiu.ru  </t>
  </si>
  <si>
    <t>http://eurodosochka.ru/, http://eurodosochka.com/</t>
  </si>
  <si>
    <t>Деревообрабатывающее предприятие, Пиломатериалы, Строительный магазин</t>
  </si>
  <si>
    <t>47.868131 56.627139</t>
  </si>
  <si>
    <t>Стеклографика</t>
  </si>
  <si>
    <t>+7 (8362) 36-09-03</t>
  </si>
  <si>
    <t>+7 (909) 367-02-24</t>
  </si>
  <si>
    <t>Аптечный пункт</t>
  </si>
  <si>
    <t>ул. Дружбы, 93, Йошкар-Ола</t>
  </si>
  <si>
    <t>+7 (8362) 41-91-41</t>
  </si>
  <si>
    <t>47.862099 56.652528</t>
  </si>
  <si>
    <t>QIWI</t>
  </si>
  <si>
    <t>ул. Пушкина, 44, Йошкар-Ола</t>
  </si>
  <si>
    <t>8 (800) 301-11-31, 8 (800) 707-77-59</t>
  </si>
  <si>
    <t xml:space="preserve">info@chekmaster.ru  </t>
  </si>
  <si>
    <t>https://qiwi.com/</t>
  </si>
  <si>
    <t>ежедневно, 08:00–23:00</t>
  </si>
  <si>
    <t>https://vk.com/qiwirussia</t>
  </si>
  <si>
    <t>https://ok.ru/qiwirussia</t>
  </si>
  <si>
    <t>https://twitter.com/qiwirussia</t>
  </si>
  <si>
    <t>https://www.facebook.com/qiwirussia</t>
  </si>
  <si>
    <t>https://www.youtube.com/user/QiwiRussia</t>
  </si>
  <si>
    <t>https://www.instagram.com/qiwi_russia</t>
  </si>
  <si>
    <t>47.881786 56.635224</t>
  </si>
  <si>
    <t>Осьминожка</t>
  </si>
  <si>
    <t>+7 (8362) 99-89-00, +7 (8362) 96-89-00</t>
  </si>
  <si>
    <t>Магазин одежды, Магазин посуды</t>
  </si>
  <si>
    <t>пн-сб 10:00–19:00; вс 10:00–17:00</t>
  </si>
  <si>
    <t>Адмирал</t>
  </si>
  <si>
    <t>+7 (8362) 64-21-26, +7 (8362) 31-21-22</t>
  </si>
  <si>
    <t>+7 (961) 337-32-77, +7 (904) 724-21-22</t>
  </si>
  <si>
    <t>+7 (8362) 64-21-26</t>
  </si>
  <si>
    <t xml:space="preserve">admirall-oil@yandex.ru  </t>
  </si>
  <si>
    <t>http://admiral12.ru/</t>
  </si>
  <si>
    <t>47.944635 56.634891</t>
  </si>
  <si>
    <t>Адвокат</t>
  </si>
  <si>
    <t>бул. Победы, 13, Йошкар-Ола</t>
  </si>
  <si>
    <t>+7 (8362) 96-23-92</t>
  </si>
  <si>
    <t>47.881539 56.637961</t>
  </si>
  <si>
    <t>Теплые окна</t>
  </si>
  <si>
    <t>+7 (8362) 20-04-02, +7 (8362) 20-10-50</t>
  </si>
  <si>
    <t>47.864487 56.646824</t>
  </si>
  <si>
    <t>Гармония для полных</t>
  </si>
  <si>
    <t>+7 (8362) 65-06-52</t>
  </si>
  <si>
    <t>Одежда больших размеров</t>
  </si>
  <si>
    <t>47.894573 56.640509</t>
  </si>
  <si>
    <t>ГБУ РМЭ Роб имени Г. И. Григорьева</t>
  </si>
  <si>
    <t>+7 (8362) 41-62-21, +7 (8362) 42-23-57, +7 (8362) 42-23-40, +7 (8362) 42-04-50, +7 (8362) 41-52-41, +7 (8362) 41-53-51, +7 (8362) 41-53-41, +7 (8362) 41-62-31, +7 (8362) 45-88-84, +7 (8362) 42-23-31, +7 (8362) 42-23-24, +7 (8362) 45-77-66, +7 (8362) 42-23</t>
  </si>
  <si>
    <t>+7 (8362) 45-77-66</t>
  </si>
  <si>
    <t xml:space="preserve">ppmariel@gov.mari.ru, ombudsman@gov.mari.ru, celcom@gov.mari.ru, pgu@gov.mari.ru, mfc@gov.mari.ru, tarif12@list.ru </t>
  </si>
  <si>
    <t>Поликлиника для взрослых, Специализированная больница</t>
  </si>
  <si>
    <t>пн 00:00–12:00, перерыв 12:00–12:30; вт-чт 12:30–12:00; пт 12:30–00:00</t>
  </si>
  <si>
    <t>47.879808 56.649827</t>
  </si>
  <si>
    <t>Магистраль Н</t>
  </si>
  <si>
    <t>+7 (8362) 96-41-54, +7 (8362) 42-66-58</t>
  </si>
  <si>
    <t>+7 (902) 671-49-81</t>
  </si>
  <si>
    <t>Библиотека филиал № 4</t>
  </si>
  <si>
    <t>+7 (8362) 64-75-93</t>
  </si>
  <si>
    <t xml:space="preserve">cbsola@mail.ru  </t>
  </si>
  <si>
    <t>http://olalib.ru/</t>
  </si>
  <si>
    <t>+7 (8362) 32-88-95</t>
  </si>
  <si>
    <t>http://afalina12.ru/</t>
  </si>
  <si>
    <t>пн-пт 08:00–20:00; сб 09:00–15:00</t>
  </si>
  <si>
    <t>http://vk.com/ooo_mkdc_afalina</t>
  </si>
  <si>
    <t>47.899693 56.641488</t>
  </si>
  <si>
    <t>Двери12</t>
  </si>
  <si>
    <t>+7 (961) 334-00-56, +7 (967) 756-65-56</t>
  </si>
  <si>
    <t>Эковата РУ</t>
  </si>
  <si>
    <t>+7 (8362) 54-54-54</t>
  </si>
  <si>
    <t xml:space="preserve">ecovataru@mail.ru </t>
  </si>
  <si>
    <t>Теплоизоляционные материалы</t>
  </si>
  <si>
    <t>Советская ул., 133/1, Йошкар-Ола</t>
  </si>
  <si>
    <t>+7 (8362) 41-39-10</t>
  </si>
  <si>
    <t>47.897601 56.634737</t>
  </si>
  <si>
    <t>Авиценна-1</t>
  </si>
  <si>
    <t>+7 (8362) 41-39-89</t>
  </si>
  <si>
    <t>пн-пт 08:00–20:00; сб 09:00–18:00; вс 09:00–17:00</t>
  </si>
  <si>
    <t>47.903197 56.642671</t>
  </si>
  <si>
    <t>ФОНБЕТ</t>
  </si>
  <si>
    <t>8 (800) 100-72-34</t>
  </si>
  <si>
    <t xml:space="preserve">info@1xstavka.ru  </t>
  </si>
  <si>
    <t>https://www.fonbet.ru/</t>
  </si>
  <si>
    <t>Букмекерская контора</t>
  </si>
  <si>
    <t>https://vk.com/fonbet</t>
  </si>
  <si>
    <t>https://www.facebook.com/fonbetrussia</t>
  </si>
  <si>
    <t>https://www.instagram.com/fonbetRU/</t>
  </si>
  <si>
    <t>47.830504 56.639342</t>
  </si>
  <si>
    <t>Твой Офис</t>
  </si>
  <si>
    <t>бул. Победы, 2, Йошкар-Ола</t>
  </si>
  <si>
    <t>8 (800) 333-41-87</t>
  </si>
  <si>
    <t>Канцтовары оптом, Расходные материалы для оргтехники</t>
  </si>
  <si>
    <t>47.88555 56.637714</t>
  </si>
  <si>
    <t>Врач-невролог</t>
  </si>
  <si>
    <t>+7 (8362) 45-77-53</t>
  </si>
  <si>
    <t>+7 (902) 439-55-00</t>
  </si>
  <si>
    <t>Частнопрактикующие врачи</t>
  </si>
  <si>
    <t>пн 08:25–19:00; вт 12:45–19:00; ср 08:25–19:00; чт 12:45–19:00; пт 08:25–19:00</t>
  </si>
  <si>
    <t>+7 (8362) 45-21-95, +7 (8362) 42-11-68, +7 (8362) 45-08-16</t>
  </si>
  <si>
    <t>Магазин ткани, Шторы, карнизы</t>
  </si>
  <si>
    <t>http://vk.com/exclusive012</t>
  </si>
  <si>
    <t>47.901679 56.638107</t>
  </si>
  <si>
    <t>+7 (8362) 32-10-88</t>
  </si>
  <si>
    <t>47.920039 56.630561</t>
  </si>
  <si>
    <t>Ателье салон</t>
  </si>
  <si>
    <t>+7 (8362) 43-22-16</t>
  </si>
  <si>
    <t>Кровля-Центр</t>
  </si>
  <si>
    <t>+7 (8362) 77-79-67, +7 (8362) 77-79-47</t>
  </si>
  <si>
    <t>http://roofcenter.pulscen.ru/</t>
  </si>
  <si>
    <t>Водостоки и водосточные системы, Кровля и кровельные материалы, Металлические заборы и ограждения, Теплоизоляционные материалы</t>
  </si>
  <si>
    <t>47.917985 56.62932</t>
  </si>
  <si>
    <t>Ледовый дворец Марий Эл</t>
  </si>
  <si>
    <t>+7 (8362) 30-48-79, +7 (8362) 30-49-49, +7 (8362) 30-49-79</t>
  </si>
  <si>
    <t xml:space="preserve">ayycc.sport@mail.ru  </t>
  </si>
  <si>
    <t>http://uss12.ru/</t>
  </si>
  <si>
    <t>Спортивные сооружения</t>
  </si>
  <si>
    <t>Каток, Спортивный комплекс</t>
  </si>
  <si>
    <t>ежедневно, 07:30–23:00</t>
  </si>
  <si>
    <t>https://vk.com/ayycc.sport</t>
  </si>
  <si>
    <t>47.894506 56.624332</t>
  </si>
  <si>
    <t>Скарлетт</t>
  </si>
  <si>
    <t>+7 (8362) 42-61-92</t>
  </si>
  <si>
    <t>47.888832 56.640231</t>
  </si>
  <si>
    <t>Двери Окна</t>
  </si>
  <si>
    <t>+7 (8362) 50-66-09, +7 (8362) 38-58-38</t>
  </si>
  <si>
    <t>47.88784 56.641837</t>
  </si>
  <si>
    <t>ул. Луначарского, 75, Йошкар-Ола</t>
  </si>
  <si>
    <t>+7 (8362) 20-45-90</t>
  </si>
  <si>
    <t>47.903228 56.617115</t>
  </si>
  <si>
    <t>Металлоконструкция</t>
  </si>
  <si>
    <t>Складская ул., 8, Йошкар-Ола</t>
  </si>
  <si>
    <t>+7 (8362) 54-24-12, +7 (8362) 23-23-55</t>
  </si>
  <si>
    <t>пн-сб 08:00–18:00, перерыв 12:00–13:00</t>
  </si>
  <si>
    <t>47.904801 56.614406</t>
  </si>
  <si>
    <t>Эго Холл</t>
  </si>
  <si>
    <t>+7 (8362) 67-48-67</t>
  </si>
  <si>
    <t>Магазин мебели, Студия дизайна</t>
  </si>
  <si>
    <t>Сс-Транс</t>
  </si>
  <si>
    <t>+7 (917) 712-12-12, +7 (927) 885-72-72</t>
  </si>
  <si>
    <t>Transfer2u</t>
  </si>
  <si>
    <t>+7 (8362) 51-04-98</t>
  </si>
  <si>
    <t>+7 (964) 861-04-98</t>
  </si>
  <si>
    <t>пн-пт 09:00–20:00; сб,вс 10:00–20:00</t>
  </si>
  <si>
    <t>ул. Строителей, 32А, Йошкар-Ола</t>
  </si>
  <si>
    <t>+7 (8362) 63-54-41, +7 (8362) 63-71-23</t>
  </si>
  <si>
    <t>47.828938 56.638996</t>
  </si>
  <si>
    <t>Овация</t>
  </si>
  <si>
    <t>+7 (902) 664-36-22, +7 (987) 713-04-29</t>
  </si>
  <si>
    <t>пн-пт 10:00–19:00; сб,вс 10:00–16:00</t>
  </si>
  <si>
    <t>Росинка</t>
  </si>
  <si>
    <t>+7 (8362) 63-63-05</t>
  </si>
  <si>
    <t>47.832217 56.636371</t>
  </si>
  <si>
    <t>Йошкар-Олинское художественное училище</t>
  </si>
  <si>
    <t>Водопроводная ул., 41, Йошкар-Ола</t>
  </si>
  <si>
    <t>+7 (8362) 45-70-22, +7 (8362) 45-13-37, +7 (8362) 46-00-29</t>
  </si>
  <si>
    <t xml:space="preserve">priemiohy@yandex.ru  </t>
  </si>
  <si>
    <t>http://artschool12.mcdir.ru/</t>
  </si>
  <si>
    <t>Школа искусств</t>
  </si>
  <si>
    <t>пн-пт 08:00–17:00; сб 08:30–12:00</t>
  </si>
  <si>
    <t>http://vk.com/club851465</t>
  </si>
  <si>
    <t>47.898168 56.649033</t>
  </si>
  <si>
    <t>Региональная общественная организация защиты прав потребителей центр Защиты Республики Марий Эл</t>
  </si>
  <si>
    <t>+7 (8362) 23-31-01, +7 (8362) 29-11-01</t>
  </si>
  <si>
    <t>Защита прав потребителя, Оценочная компания, Юридические услуги</t>
  </si>
  <si>
    <t>47.888049 56.630372</t>
  </si>
  <si>
    <t>Мабрус, офис</t>
  </si>
  <si>
    <t>+7 (8362) 75-10-10</t>
  </si>
  <si>
    <t>47.925031 56.631451</t>
  </si>
  <si>
    <t>Альт-Проект</t>
  </si>
  <si>
    <t>+7 (8362) 33-31-95, +7 (8362) 40-03-01</t>
  </si>
  <si>
    <t>+7 (929) 733-03-01, +7 (906) 137-05-79</t>
  </si>
  <si>
    <t xml:space="preserve">alt_proekt12@mail.ru </t>
  </si>
  <si>
    <t>GPS-навигаторы, Кассовые аппараты и расходные материалы, Мониторинг автотранспорта, Системы безопасности и охраны, Электронные приборы и компоненты</t>
  </si>
  <si>
    <t>https://vk.com/public144937523</t>
  </si>
  <si>
    <t>47.873521 56.654506</t>
  </si>
  <si>
    <t>Вездеход</t>
  </si>
  <si>
    <t>+7 (8362) 38-40-04</t>
  </si>
  <si>
    <t>Веб-проект</t>
  </si>
  <si>
    <t>+7 (964) 864-10-41, +7 (964) 864-11-41</t>
  </si>
  <si>
    <t xml:space="preserve">info@llc-webpro.ru  </t>
  </si>
  <si>
    <t>http://webpro12.ru/</t>
  </si>
  <si>
    <t>47.873377 56.619285</t>
  </si>
  <si>
    <t>Сонu0026Я</t>
  </si>
  <si>
    <t>+7 (917) 712-99-98</t>
  </si>
  <si>
    <t>Химчистка</t>
  </si>
  <si>
    <t>47.884984 56.636041</t>
  </si>
  <si>
    <t>Розовый слон</t>
  </si>
  <si>
    <t>+7 (8362) 35-77-76</t>
  </si>
  <si>
    <t>+7 (962) 588-81-09</t>
  </si>
  <si>
    <t xml:space="preserve">rozowi-slon@mail.ru </t>
  </si>
  <si>
    <t>https://florist12.ru/</t>
  </si>
  <si>
    <t>https://vk.com/rozoviyslon12</t>
  </si>
  <si>
    <t>https://www.instagram.com/rozovii_slon_12</t>
  </si>
  <si>
    <t>47.887362 56.646786</t>
  </si>
  <si>
    <t>+7 (8362) 99-86-39, +7 (8362) 98-99-38</t>
  </si>
  <si>
    <t>+7 (902) 329-86-39</t>
  </si>
  <si>
    <t>Детские игрушки и игры, Магазин детской одежды</t>
  </si>
  <si>
    <t>Чемоданыч</t>
  </si>
  <si>
    <t>+7 (964) 864-70-62</t>
  </si>
  <si>
    <t>47.84341 56.64108</t>
  </si>
  <si>
    <t>Кадастровый инженер Ахмедзянов Ринат Рафкатович</t>
  </si>
  <si>
    <t>+7 (8362) 61-73-50</t>
  </si>
  <si>
    <t>+7 (917) 703-80-69</t>
  </si>
  <si>
    <t>Олёнушка</t>
  </si>
  <si>
    <t>+7 (8362) 65-59-38</t>
  </si>
  <si>
    <t>+7 (963) 126-73-70</t>
  </si>
  <si>
    <t>47.871476 56.647554</t>
  </si>
  <si>
    <t>Мансарда</t>
  </si>
  <si>
    <t>ул. Дружбы, 94Б, Йошкар-Ола</t>
  </si>
  <si>
    <t>+7 (8362) 41-80-20</t>
  </si>
  <si>
    <t>+7 (967) 757-01-57</t>
  </si>
  <si>
    <t>чт 10:00–00:00; пт,сб 12:00–02:00; вс 12:00–00:00</t>
  </si>
  <si>
    <t>47.86927 56.653943</t>
  </si>
  <si>
    <t>Алмаз</t>
  </si>
  <si>
    <t>+7 (8362) 35-77-57</t>
  </si>
  <si>
    <t>+7 (919) 417-90-09</t>
  </si>
  <si>
    <t>+7 (8362) 38-08-60</t>
  </si>
  <si>
    <t>Агентство недвижимости, Кредитный брокер, Юридические услуги</t>
  </si>
  <si>
    <t>пн-сб 09:00–17:00</t>
  </si>
  <si>
    <t>Виталий классик</t>
  </si>
  <si>
    <t>+7 (927) 680-33-26</t>
  </si>
  <si>
    <t>http://vitaliyclassic.ru/</t>
  </si>
  <si>
    <t>Магазин детской одежды, Магазин одежды</t>
  </si>
  <si>
    <t>47.910459 56.630689</t>
  </si>
  <si>
    <t>Леер</t>
  </si>
  <si>
    <t>+7 (917) 710-10-23</t>
  </si>
  <si>
    <t>сб,вс 09:00–16:00</t>
  </si>
  <si>
    <t>47.835249 56.632197</t>
  </si>
  <si>
    <t>Мир упаковки</t>
  </si>
  <si>
    <t>ул. Льва Толстого, 28, Йошкар-Ола</t>
  </si>
  <si>
    <t>+7 (8362) 41-51-51</t>
  </si>
  <si>
    <t xml:space="preserve">admin@mariupak.ru </t>
  </si>
  <si>
    <t>Одноразовая посуда, Оптовый магазин, Трикотаж, трикотажные изделия</t>
  </si>
  <si>
    <t>47.903606 56.645717</t>
  </si>
  <si>
    <t>5 Шина</t>
  </si>
  <si>
    <t>бул. Данилова, 1, Йошкар-Ола</t>
  </si>
  <si>
    <t>+7 (917) 714-00-32</t>
  </si>
  <si>
    <t>47.948126 56.628362</t>
  </si>
  <si>
    <t>+7 (8362) 65-56-05, +7 (8362) 21-16-59</t>
  </si>
  <si>
    <t>Бытовые услуги, Ремонт бытовой техники</t>
  </si>
  <si>
    <t>Малоэтажстрой</t>
  </si>
  <si>
    <t>+7 (8362) 43-74-47</t>
  </si>
  <si>
    <t>Строительная компания, Строительный магазин</t>
  </si>
  <si>
    <t>47.835127 56.635187</t>
  </si>
  <si>
    <t>Специализированная детско-юношеская спортивная школа олимпийского резерва по фехтованию</t>
  </si>
  <si>
    <t>+7 (8362) 49-55-65</t>
  </si>
  <si>
    <t>+7 (902) 672-56-48</t>
  </si>
  <si>
    <t xml:space="preserve">mcf2012@yandex.ru </t>
  </si>
  <si>
    <t>Спортивный клуб, секция, Спортивный, тренажерный зал</t>
  </si>
  <si>
    <t>47.868908 56.631869</t>
  </si>
  <si>
    <t>КПКГ Приоритет</t>
  </si>
  <si>
    <t>+7 (8362) 66-06-53, +7 (8362) 43-03-73</t>
  </si>
  <si>
    <t>http://prioritetinfo.narod.ru/</t>
  </si>
  <si>
    <t>47.874357 56.636724</t>
  </si>
  <si>
    <t>Йошкар-Олинский христианский центр Церкви христиан веры евангельской</t>
  </si>
  <si>
    <t>ул. Мира, 2, Йошкар-Ола</t>
  </si>
  <si>
    <t>+7 (8362) 64-28-62</t>
  </si>
  <si>
    <t xml:space="preserve">yoccenter@yandex.ru  </t>
  </si>
  <si>
    <t>Протестантская церковь</t>
  </si>
  <si>
    <t>пн-пт 14:00–20:00; сб 15:00–17:00; вс 10:30–16:00</t>
  </si>
  <si>
    <t>https://vk.com/yoccenter</t>
  </si>
  <si>
    <t>https://www.youtube.com/channel/UCbNx4vdiTKMtanmPMG1Cepg</t>
  </si>
  <si>
    <t>https://www.instagram.com/yoccentre</t>
  </si>
  <si>
    <t>47.95248 56.630448</t>
  </si>
  <si>
    <t>Престиж</t>
  </si>
  <si>
    <t>ул. Васильева, 6В, Йошкар-Ола</t>
  </si>
  <si>
    <t>+7 (927) 875-58-05, +7 (917) 700-99-48</t>
  </si>
  <si>
    <t>чт 18:00–19:00</t>
  </si>
  <si>
    <t>47.826449 56.637184</t>
  </si>
  <si>
    <t>Единый расчетный центр на территории Республики Марий Эл</t>
  </si>
  <si>
    <t>+7 (8362) 23-20-50</t>
  </si>
  <si>
    <t>Средняя общеобразовательная школа № 3 города Йошкар-Олы</t>
  </si>
  <si>
    <t>ул. Соловьёва, 39, Йошкар-Ола</t>
  </si>
  <si>
    <t>+7 (8362) 30-44-72, +7 (8362) 30-44-70</t>
  </si>
  <si>
    <t xml:space="preserve">dolganov3@yandex.ru </t>
  </si>
  <si>
    <t>Гимназия, Общеобразовательная школа</t>
  </si>
  <si>
    <t>47.865757 56.626507</t>
  </si>
  <si>
    <t>Азбука</t>
  </si>
  <si>
    <t>Кремлёвская ул., 26Б, Йошкар-Ола</t>
  </si>
  <si>
    <t>+7 (902) 329-71-01</t>
  </si>
  <si>
    <t>47.890027 56.640275</t>
  </si>
  <si>
    <t>Артман и Ко</t>
  </si>
  <si>
    <t>+7 (937) 118-96-29</t>
  </si>
  <si>
    <t>вт-вс 10:00–19:00</t>
  </si>
  <si>
    <t>Строй-Мастер</t>
  </si>
  <si>
    <t>+7 (8362) 46-97-98</t>
  </si>
  <si>
    <t>Стиль</t>
  </si>
  <si>
    <t>+7 (8362) 75-62-51, +7 (8362) 42-62-36</t>
  </si>
  <si>
    <t>+7 (927) 683-37-22</t>
  </si>
  <si>
    <t>47.902501 56.634803</t>
  </si>
  <si>
    <t>Русский размер</t>
  </si>
  <si>
    <t>Советская ул., 121, Йошкар-Ола</t>
  </si>
  <si>
    <t>+7 (8362) 42-02-14</t>
  </si>
  <si>
    <t>пн-сб 09:30–19:00; вс 09:30–18:00</t>
  </si>
  <si>
    <t>47.89866 56.636306</t>
  </si>
  <si>
    <t>Просвет</t>
  </si>
  <si>
    <t>Комсомольская площадь, 143, Йошкар-Ола</t>
  </si>
  <si>
    <t>+7 (8362) 99-22-97, +7 (8362) 54-42-99</t>
  </si>
  <si>
    <t>47.895099 56.641045</t>
  </si>
  <si>
    <t>Вдохновение</t>
  </si>
  <si>
    <t>ул. Конакова, 20, Йошкар-Ола</t>
  </si>
  <si>
    <t>+7 (8362) 25-77-88</t>
  </si>
  <si>
    <t>+7 (902) 435-77-88</t>
  </si>
  <si>
    <t>ежедневно, 14:30–20:00</t>
  </si>
  <si>
    <t>47.898099 56.653061</t>
  </si>
  <si>
    <t>Парус</t>
  </si>
  <si>
    <t>+7 (8362) 99-18-61</t>
  </si>
  <si>
    <t>+7 (927) 680-62-10, +7 (927) 882-16-56</t>
  </si>
  <si>
    <t>Утилизация отходов</t>
  </si>
  <si>
    <t>Металлдекор</t>
  </si>
  <si>
    <t>+7 (8362) 33-20-24, +7 (8362) 24-09-53</t>
  </si>
  <si>
    <t>Кованые изделия</t>
  </si>
  <si>
    <t>Радмир Плюс</t>
  </si>
  <si>
    <t>ул. Якова Эшпая, 154/11, Йошкар-Ола</t>
  </si>
  <si>
    <t>+7 (8362) 43-07-03</t>
  </si>
  <si>
    <t>47.881516 56.63759</t>
  </si>
  <si>
    <t>Даймэкс</t>
  </si>
  <si>
    <t>+7 (8362) 35-74-32, +7 (8362) 56-36-36, +7 (8362) 23-27-56</t>
  </si>
  <si>
    <t xml:space="preserve">stromnov@gmail.com </t>
  </si>
  <si>
    <t>http://www.dimex.ws/, http://dimex.ws/regiony-prisutstviya/yoshkar-ola/</t>
  </si>
  <si>
    <t>Грузовые авиаперевозки, Курьерские услуги, Почтовые услуги</t>
  </si>
  <si>
    <t>https://vk.com/club183845856</t>
  </si>
  <si>
    <t>https://www.facebook.com/dimexrussia/</t>
  </si>
  <si>
    <t>https://www.instagram.com/dimexrussia/</t>
  </si>
  <si>
    <t>47.939245 56.622811</t>
  </si>
  <si>
    <t>Мебель Гео</t>
  </si>
  <si>
    <t>+7 (8362) 72-28-01, +7 (8362) 72-01-45</t>
  </si>
  <si>
    <t>+7 (8362) 72-22-67</t>
  </si>
  <si>
    <t>http://geo-dekor-mebel.pulscen.ru/</t>
  </si>
  <si>
    <t>Магазин мебели, Мебель на заказ, Студия дизайна</t>
  </si>
  <si>
    <t>47.874376 56.6304</t>
  </si>
  <si>
    <t>+7 (8362) 90-90-92</t>
  </si>
  <si>
    <t>http://www.asna.ru/</t>
  </si>
  <si>
    <t>47.870502 56.645958</t>
  </si>
  <si>
    <t>Общежитие МКТ</t>
  </si>
  <si>
    <t>ул. Пархоменко, 4, Йошкар-Ола</t>
  </si>
  <si>
    <t>+7 (8362) 42-51-00</t>
  </si>
  <si>
    <t>47.878686 56.631594</t>
  </si>
  <si>
    <t>BrowBar</t>
  </si>
  <si>
    <t>ул. Васильева, 6Б, Йошкар-Ола</t>
  </si>
  <si>
    <t>+7 (8362) 96-88-98</t>
  </si>
  <si>
    <t>+7 (905) 008-06-55</t>
  </si>
  <si>
    <t>47.827959 56.636679</t>
  </si>
  <si>
    <t>ДенТов</t>
  </si>
  <si>
    <t>+7 (8362) 39-21-15</t>
  </si>
  <si>
    <t xml:space="preserve">info@dentov12.ru </t>
  </si>
  <si>
    <t>пн-пт 09:00–19:00; сб 09:00–13:00</t>
  </si>
  <si>
    <t>ФиФа</t>
  </si>
  <si>
    <t>47.892318 56.625127</t>
  </si>
  <si>
    <t>ЖелдорАльянс</t>
  </si>
  <si>
    <t>+7 (8362) 49-55-49</t>
  </si>
  <si>
    <t xml:space="preserve">medvedev@zhdalians.ru, expeditor@zhdalians.ru, fedulov@webit.ru, info@zda24.ru, zda120@yandex.ru  </t>
  </si>
  <si>
    <t>https://zhdalians.ru/</t>
  </si>
  <si>
    <t>https://www.instagram.com/zhdalians/</t>
  </si>
  <si>
    <t>47.867138 56.614716</t>
  </si>
  <si>
    <t>Всероссийской политической партии Родина в Республике Марий Эл, Региональное отделение</t>
  </si>
  <si>
    <t>+7 (8362) 49-57-57, +7 (8362) 50-11-50</t>
  </si>
  <si>
    <t>http://rodina.ru/</t>
  </si>
  <si>
    <t>47.928821 56.626891</t>
  </si>
  <si>
    <t>Skoda. ТрансТехСервис. Официальный дилер</t>
  </si>
  <si>
    <t>ул. Кирова, 2Б, Йошкар-Ола</t>
  </si>
  <si>
    <t>+7 (8362) 68-16-12, +7 (8362) 68-16-11</t>
  </si>
  <si>
    <t xml:space="preserve">uldanov.r@tts.ru, nyunkova.a@tts.ru, shaihlislamov.r@tts.ru, radmir.iksanov@tts.ru, naumov.a@tts.ru, rycev.i@tts.ru, gromov.e@tts.ru, vagapov.m@tts.ru, yana.zakirova@tts.ru, kirilov.d@tts.ru </t>
  </si>
  <si>
    <t>https://www.tts.ru/brands/skoda/?utm_campaign=newcar_skoda_joshkarola_kirova_sitelinku0026utm_content=yandex_map_newcar_skoda_joshkarola_kirova_sitelinku0026utm_medium=mapu0026utm_source=yandex, http://skoda-tts.ru/</t>
  </si>
  <si>
    <t>пн-сб 08:00–19:00</t>
  </si>
  <si>
    <t>https://vk.com/ttsauto</t>
  </si>
  <si>
    <t>https://ok.ru/group/55039644074014</t>
  </si>
  <si>
    <t>https://twitter.com/tts116</t>
  </si>
  <si>
    <t>https://www.facebook.com/tts116</t>
  </si>
  <si>
    <t>https://www.youtube.com/user/tts116</t>
  </si>
  <si>
    <t>https://instagram.com/tts_auto</t>
  </si>
  <si>
    <t>47.927501 56.626099</t>
  </si>
  <si>
    <t>Вегас</t>
  </si>
  <si>
    <t>+7 (917) 707-66-83</t>
  </si>
  <si>
    <t>47.872953 56.639693</t>
  </si>
  <si>
    <t>ул. Петрова, 5А, Йошкар-Ола</t>
  </si>
  <si>
    <t>Булочная, пекарня, Магазин продуктов</t>
  </si>
  <si>
    <t>47.917115 56.630424</t>
  </si>
  <si>
    <t>47.896819 56.640616</t>
  </si>
  <si>
    <t>Уличный фотограф</t>
  </si>
  <si>
    <t>ул. Героев Сталинградской Битвы, 6, Йошкар-Ола</t>
  </si>
  <si>
    <t>+7 (8362) 77-51-18</t>
  </si>
  <si>
    <t xml:space="preserve">lifeisgood.photo@mail.ru  </t>
  </si>
  <si>
    <t>Видеосъемка, Студия графического дизайна, Фотоуслуги</t>
  </si>
  <si>
    <t>https://vk.com/street_prophoto</t>
  </si>
  <si>
    <t>47.948153 56.630416</t>
  </si>
  <si>
    <t>Ударник</t>
  </si>
  <si>
    <t>+7 (8362) 56-10-06</t>
  </si>
  <si>
    <t>+7 (927) 883-57-53, +7 (929) 734-64-73, +7 (927) 680-88-85</t>
  </si>
  <si>
    <t xml:space="preserve">udarnik-mebel@yandex.ru  </t>
  </si>
  <si>
    <t>https://www.mebel-udarnik.ru/, http://mebeludarnik.com/</t>
  </si>
  <si>
    <t>https://vk.com/shkafy_joshkarola</t>
  </si>
  <si>
    <t>Поволжье принт</t>
  </si>
  <si>
    <t>+7 (8362) 38-20-70, +7 (8362) 38-20-71, +7 (8362) 34-61-50</t>
  </si>
  <si>
    <t>+7 (917) 071-39-88</t>
  </si>
  <si>
    <t>+7 (8362) 38-20-71</t>
  </si>
  <si>
    <t>Оценщик Степанов Виктор Евгеньевич</t>
  </si>
  <si>
    <t>ул. Йывана Кырли, 15, Йошкар-Ола</t>
  </si>
  <si>
    <t>+7 (8362) 99-13-45</t>
  </si>
  <si>
    <t>+7 (960) 093-10-10, +7 (902) 329-13-45</t>
  </si>
  <si>
    <t>https://vk.com/ocenka_vsego</t>
  </si>
  <si>
    <t>47.842655 56.642174</t>
  </si>
  <si>
    <t>Грузоперевозки</t>
  </si>
  <si>
    <t>Красноармейская ул., 26А, Йошкар-Ола</t>
  </si>
  <si>
    <t>+7 (8362) 71-31-88</t>
  </si>
  <si>
    <t>+7 (902) 466-31-88</t>
  </si>
  <si>
    <t>47.8987 56.6397</t>
  </si>
  <si>
    <t>Мурашки</t>
  </si>
  <si>
    <t>+7 (902) 433-44-37, +7 (987) 721-94-84</t>
  </si>
  <si>
    <t>Форум</t>
  </si>
  <si>
    <t>+7 (8362) 56-70-00</t>
  </si>
  <si>
    <t>47.897166 56.628452</t>
  </si>
  <si>
    <t>Вепрь</t>
  </si>
  <si>
    <t>бул. Чавайна, 15Б, Йошкар-Ола</t>
  </si>
  <si>
    <t>+7 (927) 681-39-58</t>
  </si>
  <si>
    <t>Лазертаг</t>
  </si>
  <si>
    <t>47.921339 56.628674</t>
  </si>
  <si>
    <t>Тепло и Техника</t>
  </si>
  <si>
    <t>ул. Панфилова, 10, Йошкар-Ола</t>
  </si>
  <si>
    <t>+7 (8362) 67-79-77</t>
  </si>
  <si>
    <t>+7 (927) 870-08-73</t>
  </si>
  <si>
    <t>пт 09:00–19:00; сб 10:00–18:00</t>
  </si>
  <si>
    <t>47.889637 56.620894</t>
  </si>
  <si>
    <t>Республиканская консультативная поликлиника</t>
  </si>
  <si>
    <t>Пролетарская ул., 64, Йошкар-Ола</t>
  </si>
  <si>
    <t>+7 (8362) 42-36-94</t>
  </si>
  <si>
    <t>47.881768 56.648147</t>
  </si>
  <si>
    <t>Клёвый</t>
  </si>
  <si>
    <t>+7 (8362) 38-02-52</t>
  </si>
  <si>
    <t>+7 (937) 111-05-24</t>
  </si>
  <si>
    <t>пн-пт 09:00–18:30; сб,вс 09:00–17:00</t>
  </si>
  <si>
    <t>47.935856 56.637598</t>
  </si>
  <si>
    <t>Уроки дополнительного вождения</t>
  </si>
  <si>
    <t>ул. Баумана, 28, Йошкар-Ола</t>
  </si>
  <si>
    <t>+7 (987) 724-20-03</t>
  </si>
  <si>
    <t>пн-пт 08:00–18:00; сб 07:00–16:00</t>
  </si>
  <si>
    <t>47.847272 56.635352</t>
  </si>
  <si>
    <t>ТСН Анникова 12-б</t>
  </si>
  <si>
    <t>ул. Анникова, 12Б, Йошкар-Ола</t>
  </si>
  <si>
    <t>+7 (987) 710-15-51, +7 (902) 671-14-61</t>
  </si>
  <si>
    <t>47.836717 56.646524</t>
  </si>
  <si>
    <t>Лингва</t>
  </si>
  <si>
    <t>+7 (8362) 48-40-90</t>
  </si>
  <si>
    <t xml:space="preserve">school@lingva12.ru, lingva-12@mail.ru  </t>
  </si>
  <si>
    <t>http://www.lingva12.ru/</t>
  </si>
  <si>
    <t>пн-пт 08:00–20:00; сб,вс 10:00–16:00</t>
  </si>
  <si>
    <t>https://vk.com/lingva12club</t>
  </si>
  <si>
    <t>https://www.youtube.com/channel/UCuraDstOygKbsXxJJvA_SIg</t>
  </si>
  <si>
    <t>https://www.instagram.com/lingva_yoshka</t>
  </si>
  <si>
    <t>47.877718 56.627811</t>
  </si>
  <si>
    <t>Отдел женского корсетного белья</t>
  </si>
  <si>
    <t>Формула праздника</t>
  </si>
  <si>
    <t>бул. Ураева, 14, Йошкар-Ола</t>
  </si>
  <si>
    <t>+7 (8362) 36-16-16</t>
  </si>
  <si>
    <t>+7 (917) 714-52-20, +7 (987) 705-10-20</t>
  </si>
  <si>
    <t>47.921096 56.640441</t>
  </si>
  <si>
    <t>Свежий Ветер</t>
  </si>
  <si>
    <t>+7 (8362) 20-83-24</t>
  </si>
  <si>
    <t>Гарант Авто</t>
  </si>
  <si>
    <t>Сернурский тракт, 23, Йошкар-Ола</t>
  </si>
  <si>
    <t>+7 (8362) 47-07-07</t>
  </si>
  <si>
    <t>http://garantavto12.ru/</t>
  </si>
  <si>
    <t>https://vk.com/garant_avto12</t>
  </si>
  <si>
    <t>https://www.facebook.com/garantavto12</t>
  </si>
  <si>
    <t>https://www.instagram.com/garant_avto12/</t>
  </si>
  <si>
    <t>47.927495 56.643267</t>
  </si>
  <si>
    <t>Modus</t>
  </si>
  <si>
    <t>+7 (8362) 32-22-41</t>
  </si>
  <si>
    <t xml:space="preserve">mebel-modus@mail.ru  </t>
  </si>
  <si>
    <t>http://www.modus12.ru/</t>
  </si>
  <si>
    <t>Мебель на заказ, Торговое оборудование</t>
  </si>
  <si>
    <t>пн-пт 09:00–18:00, перерыв 12:00–13:00; сб,вс 10:00–17:00, перерыв 12:00–13:00</t>
  </si>
  <si>
    <t>Автоконнекс</t>
  </si>
  <si>
    <t>ул. Машиностроителей, 79А, Йошкар-Ола</t>
  </si>
  <si>
    <t>8 (800) 100-19-11, +7 (8362) 66-10-10</t>
  </si>
  <si>
    <t xml:space="preserve">info@autoconnex.ru, dolg@autoconnex.ru, ko@autoconnex.ru  </t>
  </si>
  <si>
    <t>http://autoconnex.ru/</t>
  </si>
  <si>
    <t>Автосигнализация, Мониторинг автотранспорта</t>
  </si>
  <si>
    <t>47.852537 56.630778</t>
  </si>
  <si>
    <t>+7 (8362) 45-68-44</t>
  </si>
  <si>
    <t>+7 (927) 680-19-61</t>
  </si>
  <si>
    <t>Экватор</t>
  </si>
  <si>
    <t>ул. Данилина, 71, Йошкар-Ола</t>
  </si>
  <si>
    <t>+7 (8362) 49-59-58</t>
  </si>
  <si>
    <t>+7 (917) 710-20-99</t>
  </si>
  <si>
    <t>47.891631 56.647187</t>
  </si>
  <si>
    <t>Наше Золото</t>
  </si>
  <si>
    <t>8 (800) 775-95-57</t>
  </si>
  <si>
    <t xml:space="preserve">4969940101@ourgold.ru, 8550070101@ourgold.ru, 8551050101@ourgold.ru, 8550200101@ourgold.ru, 8610850101@ourgold.ru  </t>
  </si>
  <si>
    <t>http://www.ourgold.ru/</t>
  </si>
  <si>
    <t>Магазин бижутерии, Скупка золота и ювелирных изделий, Ювелирный магазин</t>
  </si>
  <si>
    <t>https://vk.com/ourgold</t>
  </si>
  <si>
    <t>https://ok.ru/group/ourgold</t>
  </si>
  <si>
    <t>https://www.facebook.com/ourgold</t>
  </si>
  <si>
    <t>47.929318 56.627745</t>
  </si>
  <si>
    <t>+7 (8362) 30-75-03</t>
  </si>
  <si>
    <t>47.924659 56.634646</t>
  </si>
  <si>
    <t>Развивашка</t>
  </si>
  <si>
    <t>ул. Кирова, 3А, Йошкар-Ола</t>
  </si>
  <si>
    <t>+7 (8362) 99-65-10</t>
  </si>
  <si>
    <t>+7 (927) 878-38-36, +7 (964) 864-28-91</t>
  </si>
  <si>
    <t>Клуб для детей и подростков, Центр развития ребенка</t>
  </si>
  <si>
    <t>47.925178 56.62772</t>
  </si>
  <si>
    <t>Феникс СМР</t>
  </si>
  <si>
    <t>бул. Ураева, 7, Йошкар-Ола</t>
  </si>
  <si>
    <t>+7 (8362) 24-67-58</t>
  </si>
  <si>
    <t>+7 (902) 434-67-58, +7 (964) 862-48-50</t>
  </si>
  <si>
    <t xml:space="preserve">fenixsmr24@gmail.com </t>
  </si>
  <si>
    <t>47.927555 56.637635</t>
  </si>
  <si>
    <t>Строительство домов, фасады</t>
  </si>
  <si>
    <t>+7 (8362) 48-60-30, +7 (8362) 50-71-08</t>
  </si>
  <si>
    <t>47.8845 56.6308</t>
  </si>
  <si>
    <t>+7 (8362) 41-08-18</t>
  </si>
  <si>
    <t xml:space="preserve">office_ltd@mail.ru  </t>
  </si>
  <si>
    <t>http://www.office-mltd.ru/</t>
  </si>
  <si>
    <t>Канцтовары оптом, Оптовый магазин</t>
  </si>
  <si>
    <t>47.88657 56.62927</t>
  </si>
  <si>
    <t>Дом.ru</t>
  </si>
  <si>
    <t>8 (800) 333-70-00, +7 (8362) 30-40-10</t>
  </si>
  <si>
    <t xml:space="preserve">help@kirov.ertelecom.ru, help@domru.ru, help@perm.ertelecom.ru  </t>
  </si>
  <si>
    <t>https://yola.domru.ru/</t>
  </si>
  <si>
    <t>IP-телефония, Интернет-провайдер, Телекоммуникационная компания</t>
  </si>
  <si>
    <t>http://vk.com/domru</t>
  </si>
  <si>
    <t>https://ok.ru/domru</t>
  </si>
  <si>
    <t>http://twitter.com/domru_</t>
  </si>
  <si>
    <t>https://www.facebook.com/domru.ru</t>
  </si>
  <si>
    <t>47.894105 56.640343</t>
  </si>
  <si>
    <t>Ваш Юрист</t>
  </si>
  <si>
    <t>+7 (8362) 32-60-00</t>
  </si>
  <si>
    <t>Охранное предприятие Ратник</t>
  </si>
  <si>
    <t>ул. Кожино, 16, Йошкар-Ола</t>
  </si>
  <si>
    <t>+7 (8362) 51-81-51, +7 (8362) 96-04-88</t>
  </si>
  <si>
    <t>+7 (902) 326-04-88</t>
  </si>
  <si>
    <t>47.860756 56.624163</t>
  </si>
  <si>
    <t>Николь</t>
  </si>
  <si>
    <t>Первомайская ул., 115Б, Йошкар-Ола</t>
  </si>
  <si>
    <t>+7 (8362) 66-66-21</t>
  </si>
  <si>
    <t>47.886861 56.633189</t>
  </si>
  <si>
    <t>+7 (8362) 21-56-97</t>
  </si>
  <si>
    <t>пн-чт 10:00–18:00; пт 10:00–17:00</t>
  </si>
  <si>
    <t>47.926605 56.628288</t>
  </si>
  <si>
    <t>Монтаж Профи</t>
  </si>
  <si>
    <t>+7 (8362) 34-53-03</t>
  </si>
  <si>
    <t>Монтаж и обслуживание систем водоснабжения и канализации, Отопительное оборудование и системы</t>
  </si>
  <si>
    <t>пн-пт 09:00–18:00; сб,вс 10:00–17:00</t>
  </si>
  <si>
    <t>47.835262 56.635204</t>
  </si>
  <si>
    <t>Стеклосервис</t>
  </si>
  <si>
    <t>+7 (8362) 96-78-67</t>
  </si>
  <si>
    <t>+7 (902) 326-78-67</t>
  </si>
  <si>
    <t>ПОС-Технологии</t>
  </si>
  <si>
    <t>ул. Панфилова, 39Г, Йошкар-Ола</t>
  </si>
  <si>
    <t>+7 (926) 713-90-04</t>
  </si>
  <si>
    <t xml:space="preserve">info@pos-tech.ru, donate@opencart.com  </t>
  </si>
  <si>
    <t>http://pos-tech.ru/</t>
  </si>
  <si>
    <t>Весы и весоизмерительное оборудование, Кассовые аппараты и расходные материалы, Торговое оборудование</t>
  </si>
  <si>
    <t>47.87609 56.628253</t>
  </si>
  <si>
    <t>ФинКонтроль</t>
  </si>
  <si>
    <t>ул. Машиностроителей, 8В, Йошкар-Ола</t>
  </si>
  <si>
    <t>+7 (927) 888-42-86</t>
  </si>
  <si>
    <t>47.8735 56.6476</t>
  </si>
  <si>
    <t>Центр автомобильной безопасности</t>
  </si>
  <si>
    <t>ул. Зарубина, 49А, Йошкар-Ола</t>
  </si>
  <si>
    <t>+7 (8362) 55-11-44</t>
  </si>
  <si>
    <t>+7 (902) 325-87-87</t>
  </si>
  <si>
    <t>Автоаксессуары, Автоакустика, Автосервис, автотехцентр, Автосигнализация, Переоборудование транспортных средств</t>
  </si>
  <si>
    <t>https://twitter.com/AutoSecurity12</t>
  </si>
  <si>
    <t>https://www.facebook.com/auto12secur/</t>
  </si>
  <si>
    <t>https://www.youtube.com/c/AutoSecurity12</t>
  </si>
  <si>
    <t>47.865632 56.63808</t>
  </si>
  <si>
    <t>Sale12</t>
  </si>
  <si>
    <t>+7 (8362) 92-92-46</t>
  </si>
  <si>
    <t>47.894574 56.64051</t>
  </si>
  <si>
    <t>ул. Прохорова, 50, Йошкар-Ола</t>
  </si>
  <si>
    <t>+7 (8362) 63-67-55, +7 (8362) 26-37-01</t>
  </si>
  <si>
    <t>пн 09:00–12:00; вт 17:30–19:00; ср 15:00–18:00; чт 10:00–19:00, перерыв 12:00–17:00; пт 09:00–18:00, перерыв 12:00–15:00</t>
  </si>
  <si>
    <t>47.821347 56.629926</t>
  </si>
  <si>
    <t>Яхусуши</t>
  </si>
  <si>
    <t>+7 (8362) 71-75-55, +7 (8362) 71-73-33</t>
  </si>
  <si>
    <t xml:space="preserve">yahoo-sushi@mail.ru, roll21@bk.ru  </t>
  </si>
  <si>
    <t>http://яху-суши.рф/</t>
  </si>
  <si>
    <t>Магазин суши и азиатских продуктов, Суши-бар</t>
  </si>
  <si>
    <t>https://vk.com/club.yahusushi</t>
  </si>
  <si>
    <t>https://www.instagram.com/yahoosushi</t>
  </si>
  <si>
    <t>47.888724 56.640004</t>
  </si>
  <si>
    <t>КомКонсалтинг</t>
  </si>
  <si>
    <t>+7 (8362) 48-49-97</t>
  </si>
  <si>
    <t>Тан</t>
  </si>
  <si>
    <t>+7 (8362) 42-89-77</t>
  </si>
  <si>
    <t>47.883309 56.616953</t>
  </si>
  <si>
    <t>Автоломбард</t>
  </si>
  <si>
    <t>+7 (987) 700-66-33</t>
  </si>
  <si>
    <t>47.875677 56.637481</t>
  </si>
  <si>
    <t>Деньги срочно всем</t>
  </si>
  <si>
    <t>+7 (987) 715-45-55, +7 (917) 710-25-25</t>
  </si>
  <si>
    <t>Банк, Микрофинансирование</t>
  </si>
  <si>
    <t>47.924801 56.634565</t>
  </si>
  <si>
    <t>Школа № 29</t>
  </si>
  <si>
    <t>+7 (8362) 21-56-88</t>
  </si>
  <si>
    <t>http://edu.mari.ru/mouo-yoshkarola/sh29</t>
  </si>
  <si>
    <t>пн-пт 08:00–19:00, перерыв 12:00–13:00; сб 08:30–13:00</t>
  </si>
  <si>
    <t>http://vk.com/club147686267</t>
  </si>
  <si>
    <t>47.922255 56.627667</t>
  </si>
  <si>
    <t>Seldon</t>
  </si>
  <si>
    <t>+7 (961) 374-77-32</t>
  </si>
  <si>
    <t>Сервисный центр по ремонту и обслуживанию металлических дверей Хорс</t>
  </si>
  <si>
    <t>+7 (8362) 94-32-15</t>
  </si>
  <si>
    <t>+7 (917) 706-88-44</t>
  </si>
  <si>
    <t>Стройремсервис</t>
  </si>
  <si>
    <t>+7 (8362) 35-53-55</t>
  </si>
  <si>
    <t xml:space="preserve">info@srs12.ru  </t>
  </si>
  <si>
    <t>http://www.srs12.ru/</t>
  </si>
  <si>
    <t>http://vk.com/ooofirmasrs</t>
  </si>
  <si>
    <t>Исполнение желаний</t>
  </si>
  <si>
    <t>+7 (8362) 51-75-55, +7 (8362) 45-92-76</t>
  </si>
  <si>
    <t>+7 (964) 861-75-55</t>
  </si>
  <si>
    <t xml:space="preserve">zagadaem@mail.ru, info@zagadaem.ru  </t>
  </si>
  <si>
    <t>http://zagadaem.ru/</t>
  </si>
  <si>
    <t>пн-пт 10:00–18:00; сб 12:00–15:00</t>
  </si>
  <si>
    <t>https://vk.com/ispolnyaem_zhelaniya</t>
  </si>
  <si>
    <t>You</t>
  </si>
  <si>
    <t>+7 (937) 939-06-02, +7 (902) 736-70-34</t>
  </si>
  <si>
    <t>47.8864 56.6378</t>
  </si>
  <si>
    <t>Эсб Отопление</t>
  </si>
  <si>
    <t>+7 (8362) 46-14-44, +7 (8362) 99-13-89</t>
  </si>
  <si>
    <t>+7 (8362) 77-47-26</t>
  </si>
  <si>
    <t>+7 (937) 111-41-29, +7 (937) 939-14-42</t>
  </si>
  <si>
    <t>47.855198 56.645125</t>
  </si>
  <si>
    <t>Крутой Яр</t>
  </si>
  <si>
    <t>+7 (8362) 91-03-88</t>
  </si>
  <si>
    <t>Инженерные системы 12</t>
  </si>
  <si>
    <t>+7 (927) 882-89-90</t>
  </si>
  <si>
    <t xml:space="preserve">ingsist12@mail.ru  </t>
  </si>
  <si>
    <t>Бытовые услуги, Монтаж и обслуживание систем водоснабжения и канализации, Сантехнические работы</t>
  </si>
  <si>
    <t>http://vk.com/club81536784</t>
  </si>
  <si>
    <t>47.879161 56.656106</t>
  </si>
  <si>
    <t>Манта</t>
  </si>
  <si>
    <t>+7 (8362) 32-06-62</t>
  </si>
  <si>
    <t>ТехноРемСтрой</t>
  </si>
  <si>
    <t>ул. Крылова, 55, корп. 1, Йошкар-Ола</t>
  </si>
  <si>
    <t>+7 (8362) 63-50-15, +7 (8362) 65-04-15, +7 (843) 237-50-03, +7 (843) 260-87-86</t>
  </si>
  <si>
    <t>+7 (902) 432-32-43</t>
  </si>
  <si>
    <t xml:space="preserve">trs-kazan@mail.ru  </t>
  </si>
  <si>
    <t>http://trs-kazan.ru/</t>
  </si>
  <si>
    <t>47.82948 56.615693</t>
  </si>
  <si>
    <t>Мебельтрейд</t>
  </si>
  <si>
    <t>+7 (8362) 34-40-00, +7 (8362) 41-77-77</t>
  </si>
  <si>
    <t>+7 (929) 734-40-00, +7 (927) 681-00-01, +7 (939) 937-00-04</t>
  </si>
  <si>
    <t>+7 (8362) 41-77-77</t>
  </si>
  <si>
    <t xml:space="preserve">ldsp.dvp12@mail.ru, ldsp.dvp21@mail.ru  </t>
  </si>
  <si>
    <t>http://mebeltrade12.ru/</t>
  </si>
  <si>
    <t>Ламинат, Мебельная фурнитура и комплектующие, Строительный магазин</t>
  </si>
  <si>
    <t>ДостКом</t>
  </si>
  <si>
    <t>Советская ул., 118, Йошкар-Ола</t>
  </si>
  <si>
    <t>+7 (8362) 67-55-00</t>
  </si>
  <si>
    <t>Лицензирование</t>
  </si>
  <si>
    <t>пн-пт 14:00–17:00</t>
  </si>
  <si>
    <t>https://vk.com/dostcom</t>
  </si>
  <si>
    <t>47.89747 56.635783</t>
  </si>
  <si>
    <t>Велес</t>
  </si>
  <si>
    <t>+7 (8362) 96-43-26</t>
  </si>
  <si>
    <t>Деревообрабатывающее предприятие, Строительный магазин</t>
  </si>
  <si>
    <t>Эгеон</t>
  </si>
  <si>
    <t>+7 (8362) 97-44-44</t>
  </si>
  <si>
    <t>Armelle</t>
  </si>
  <si>
    <t>ул. Чернякова, 1Б, Йошкар-Ола</t>
  </si>
  <si>
    <t>+7 (8362) 91-03-94</t>
  </si>
  <si>
    <t>47.819532 56.639204</t>
  </si>
  <si>
    <t>ЧОП Охрана</t>
  </si>
  <si>
    <t>Пролетарская ул., 44, Йошкар-Ола</t>
  </si>
  <si>
    <t>+7 (8362) 46-25-19, +7 (8362) 46-88-61</t>
  </si>
  <si>
    <t>+7 (8362) 46-25-19</t>
  </si>
  <si>
    <t xml:space="preserve">op_triada@mail.ru, flash2035@gmail.com  </t>
  </si>
  <si>
    <t>http://ohrana12.ru/, http://triada12.ru/</t>
  </si>
  <si>
    <t>47.888309 56.646831</t>
  </si>
  <si>
    <t>+7 (8362) 29-29-99, +7 (8362) 73-13-07</t>
  </si>
  <si>
    <t>47.840766 56.635363</t>
  </si>
  <si>
    <t>Конфетти</t>
  </si>
  <si>
    <t>+7 (8362) 52-66-99</t>
  </si>
  <si>
    <t>ежедневно, 09:30–18:00</t>
  </si>
  <si>
    <t>47.884593 56.634119</t>
  </si>
  <si>
    <t>Такси Спутник</t>
  </si>
  <si>
    <t>+7 (8362) 22-02-20, +7 (8362) 42-42-42, +7 (8362) 42-10-10</t>
  </si>
  <si>
    <t>Семена, удобрения</t>
  </si>
  <si>
    <t>+7 (8362) 79-17-09, +7 (8362) 46-03-90</t>
  </si>
  <si>
    <t>+7 (917) 710-35-27</t>
  </si>
  <si>
    <t>Магазин семян, Селекция и семеноводство, Средства защиты растений, Удобрения</t>
  </si>
  <si>
    <t>+7 (8362) 52-26-65, +7 (8362) 31-02-69</t>
  </si>
  <si>
    <t>пн-пт 10:00–18:00; сб,вс 11:00–15:00</t>
  </si>
  <si>
    <t>Товары для Бани оптом</t>
  </si>
  <si>
    <t>ул. Мира, 62, Йошкар-Ола</t>
  </si>
  <si>
    <t>+7 (987) 702-08-29, +7 (937) 119-17-67</t>
  </si>
  <si>
    <t xml:space="preserve">maximus13k@rambler.ru, contact@itvertex.ru, name@example.com  </t>
  </si>
  <si>
    <t>http://www.stil-n.com/</t>
  </si>
  <si>
    <t>Пиломатериалы, Товары для бани и сауны</t>
  </si>
  <si>
    <t>47.938999 56.636362</t>
  </si>
  <si>
    <t>Бизнес-Груз</t>
  </si>
  <si>
    <t>+7 (8362) 56-56-58, +7 (8362) 56-61-56</t>
  </si>
  <si>
    <t>+7 (987) 708-77-77</t>
  </si>
  <si>
    <t>+7 (8362) 56-61-56</t>
  </si>
  <si>
    <t>Экспедирование грузов</t>
  </si>
  <si>
    <t>+7 (987) 714-21-03</t>
  </si>
  <si>
    <t>47.889682 56.641444</t>
  </si>
  <si>
    <t>Горьковская дирекция по управлению терминально-складским комплексом</t>
  </si>
  <si>
    <t>+7 (831) 248-29-30</t>
  </si>
  <si>
    <t>+7 (987) 297-15-44</t>
  </si>
  <si>
    <t xml:space="preserve">info@rzd.ru, dm-novgorodovayv@nrr.ru </t>
  </si>
  <si>
    <t>Железнодорожные грузоперевозки, Подъемное оборудование, Складские услуги, Услуги грузчиков</t>
  </si>
  <si>
    <t>47.87946 56.621857</t>
  </si>
  <si>
    <t>Метакон, филим</t>
  </si>
  <si>
    <t>8 (800) 700-69-92</t>
  </si>
  <si>
    <t>МариТакси</t>
  </si>
  <si>
    <t>Строительство и ремонт помещений</t>
  </si>
  <si>
    <t>+7 (8362) 32-65-95</t>
  </si>
  <si>
    <t>+7 (917) 715-51-00, +7 (927) 680-12-12</t>
  </si>
  <si>
    <t>Строительная компания, Строительные и отделочные работы, Строительный магазин</t>
  </si>
  <si>
    <t>НПП ПромГазКонцерн</t>
  </si>
  <si>
    <t>Воскресенская наб., 110, Йошкар-Ола</t>
  </si>
  <si>
    <t>+7 (927) 131-88-08</t>
  </si>
  <si>
    <t>Приборостроение и радиоэлектроника</t>
  </si>
  <si>
    <t>Водосчетчики, газосчетчики, теплосчетчики</t>
  </si>
  <si>
    <t>47.903956 56.635694</t>
  </si>
  <si>
    <t>Селен</t>
  </si>
  <si>
    <t>+7 (937) 117-64-20</t>
  </si>
  <si>
    <t>Республиканский фонд капитального ремонта Республики Марий Эл</t>
  </si>
  <si>
    <t>+7 (8362) 42-01-77, +7 (8362) 42-01-39</t>
  </si>
  <si>
    <t xml:space="preserve">informsreda@yandex.ru, ppmariel@gov.mari.ru, ombudsman@gov.mari.ru, celcom@gov.mari.ru, pgu@gov.mari.ru, mfc@gov.mari.ru </t>
  </si>
  <si>
    <t>Коммунальная служба, Министерства, ведомства, государственные службы</t>
  </si>
  <si>
    <t>47.883406 56.636843</t>
  </si>
  <si>
    <t>Царевококшайский кремль</t>
  </si>
  <si>
    <t>+7 (8362) 42-14-72</t>
  </si>
  <si>
    <t>+7 (8362) 45-09-01</t>
  </si>
  <si>
    <t xml:space="preserve">kremlin.mari@mail.ru  </t>
  </si>
  <si>
    <t>http://kremlin.mari-el.muzkult.ru/</t>
  </si>
  <si>
    <t>http://vk.com/kremlin.mari</t>
  </si>
  <si>
    <t>47.900476 56.637357</t>
  </si>
  <si>
    <t>Добрый доктор</t>
  </si>
  <si>
    <t>+7 (8362) 25-00-35</t>
  </si>
  <si>
    <t>пн 09:00–18:00; вт-пт 09:30–19:00; сб,вс 09:00–18:00</t>
  </si>
  <si>
    <t>47.885 56.634</t>
  </si>
  <si>
    <t>Дизайнер</t>
  </si>
  <si>
    <t>Советская ул., 86, Йошкар-Ола</t>
  </si>
  <si>
    <t>+7 (902) 327-33-22</t>
  </si>
  <si>
    <t>47.901351 56.640852</t>
  </si>
  <si>
    <t>Световид</t>
  </si>
  <si>
    <t>ул. Куйбышева, 57, Йошкар-Ола</t>
  </si>
  <si>
    <t>+7 (8362) 77-03-04</t>
  </si>
  <si>
    <t>+7 (902) 739-03-04</t>
  </si>
  <si>
    <t>Магазин мебели, Мебель на заказ, Мягкая мебель, Ремонт мебели</t>
  </si>
  <si>
    <t>47.847731 56.645386</t>
  </si>
  <si>
    <t>Metlavenik.ru</t>
  </si>
  <si>
    <t>+7 (987) 722-01-89</t>
  </si>
  <si>
    <t>Товары для бани и сауны</t>
  </si>
  <si>
    <t>Rieker</t>
  </si>
  <si>
    <t>8 (800) 500-08-58, +7 (8362) 41-54-62, +7 (8362) 45-03-34, +7 (8362) 45-00-82</t>
  </si>
  <si>
    <t xml:space="preserve">info@rieker-shop.ru, romanof.net@yandex.ru, info@sno-ufa.ru, director@sno-ufa.ru  </t>
  </si>
  <si>
    <t>https://www.sno-ufa.ru/</t>
  </si>
  <si>
    <t>Интернет-магазин, Магазин галантереи и аксессуаров, Магазин обуви, Магазин одежды</t>
  </si>
  <si>
    <t>https://vk.com/snoufa</t>
  </si>
  <si>
    <t>https://www.instagram.com/snoufa_ru</t>
  </si>
  <si>
    <t>47.896454 56.632981</t>
  </si>
  <si>
    <t>СпортСтиль</t>
  </si>
  <si>
    <t>+7 (927) 680-77-91, +7 (927) 665-17-37</t>
  </si>
  <si>
    <t xml:space="preserve">3do.lobanov.sokol@mail.ru, o.lobanov.sokol@mail.ru, 3dsport-style21@mail.ru, sport-style21@mail.ru </t>
  </si>
  <si>
    <t>http://www.sport-style21.ru/</t>
  </si>
  <si>
    <t>Спортивный магазин</t>
  </si>
  <si>
    <t>47.880528 56.638158</t>
  </si>
  <si>
    <t>ЖСК Янтарь</t>
  </si>
  <si>
    <t>+7 (8362) 56-01-68, +7 (8362) 44-57-67</t>
  </si>
  <si>
    <t>+7 (927) 870-07-34</t>
  </si>
  <si>
    <t>Общежитие № 5 МарГУ</t>
  </si>
  <si>
    <t>Красноармейская ул., 65, Йошкар-Ола</t>
  </si>
  <si>
    <t>+7 (8362) 68-79-03</t>
  </si>
  <si>
    <t>47.883072 56.642583</t>
  </si>
  <si>
    <t>Акватика</t>
  </si>
  <si>
    <t>+7 (8362) 32-93-03, +7 (8362) 65-44-13, +7 (8362) 32-22-30</t>
  </si>
  <si>
    <t>http://car-wash-388.business.site/</t>
  </si>
  <si>
    <t>Автомойка, Детейлинг, Химчистка</t>
  </si>
  <si>
    <t>https://www.facebook.com/KochChemie_Yola12</t>
  </si>
  <si>
    <t>https://www.instagram.com/kochchemie_yola12</t>
  </si>
  <si>
    <t>47.902858 56.646345</t>
  </si>
  <si>
    <t>Жар-птица</t>
  </si>
  <si>
    <t>2-й Луговой пер., 6, Йошкар-Ола</t>
  </si>
  <si>
    <t>+7 (8362) 95-91-90</t>
  </si>
  <si>
    <t>47.917129 56.651351</t>
  </si>
  <si>
    <t>Codio</t>
  </si>
  <si>
    <t>+7 (8362) 38-54-53</t>
  </si>
  <si>
    <t>+7 (917) 711-50-29</t>
  </si>
  <si>
    <t>47.894479 56.638986</t>
  </si>
  <si>
    <t>Связь-М</t>
  </si>
  <si>
    <t>+7 (8362) 45-88-33, +7 (495) 989-95-90, +7 (8362) 46-08-03</t>
  </si>
  <si>
    <t>Проектная организация, Промышленное строительство, Строительная компания</t>
  </si>
  <si>
    <t>47.887137 56.64744</t>
  </si>
  <si>
    <t>ул. Зарубина, 12А, Йошкар-Ола</t>
  </si>
  <si>
    <t>+7 (8362) 66-11-17</t>
  </si>
  <si>
    <t>47.883111 56.62736</t>
  </si>
  <si>
    <t>ГБУ РМЭ Республиканский наркологический диспансер</t>
  </si>
  <si>
    <t>Комсомольская ул., 81, Йошкар-Ола</t>
  </si>
  <si>
    <t>+7 (8362) 64-17-04, +7 (8362) 45-21-63, +7 (8362) 45-33-05</t>
  </si>
  <si>
    <t>+7 (8362) 64-17-04</t>
  </si>
  <si>
    <t xml:space="preserve">rnd@minzdrav12.ru, informsreda@yandex.ru  </t>
  </si>
  <si>
    <t>http://stopnarkotik12.ru/, http://mari-el.gov.ru/minzdrav/rnd, http://rnd.ucoz.net/</t>
  </si>
  <si>
    <t>пн-пт 08:00–18:00; сб 08:00–13:00</t>
  </si>
  <si>
    <t>47.900444 56.646066</t>
  </si>
  <si>
    <t>Эдельвейс</t>
  </si>
  <si>
    <t>ул. Лебедева, 49, Йошкар-Ола</t>
  </si>
  <si>
    <t>+7 (8362) 22-79-70</t>
  </si>
  <si>
    <t>пн-пт 08:00–19:00; сб 09:00–17:00; вс 09:00–16:00</t>
  </si>
  <si>
    <t>47.942449 56.622429</t>
  </si>
  <si>
    <t>Сварные и кованые изделия</t>
  </si>
  <si>
    <t>+7 (8362) 65-61-64, +7 (8362) 67-66-66</t>
  </si>
  <si>
    <t>+7 (902) 107-66-66, +7 (906) 139-96-66</t>
  </si>
  <si>
    <t>Кованые изделия, Металлоконструкции, Сварочные работы</t>
  </si>
  <si>
    <t>ТСЖ Полиграфист</t>
  </si>
  <si>
    <t>ул. Героев Сталинградской Битвы, 8, Йошкар-Ола</t>
  </si>
  <si>
    <t>+7 (8362) 29-08-34</t>
  </si>
  <si>
    <t>вт-чт 18:00–19:00</t>
  </si>
  <si>
    <t>47.947246 56.630283</t>
  </si>
  <si>
    <t>Хоум Кредит банк отделение</t>
  </si>
  <si>
    <t>Советская ул., 151, Йошкар-Ола</t>
  </si>
  <si>
    <t>+7 (495) 785-82-22</t>
  </si>
  <si>
    <t xml:space="preserve">20hcfbank@homecredit.ru, hcfbank@homecredit.ru  </t>
  </si>
  <si>
    <t>https://www.homecredit.ru/, https://www.homecredit.ru/online/credit/, https://www.homecredit.ru/online/credit/?ef_id=Mainu0026fl=Cash_omd_yandex_mapsu0026utm_campaign=hcb_yandexmaps_june_2020u0026utm_content=Cashu0026utm_medium=omd_dsp.staticu0026utm_source=Yandexu0026utm_term=Main_Cash</t>
  </si>
  <si>
    <t>пн-пт 09:00–18:00; сб 09:00–17:00</t>
  </si>
  <si>
    <t>https://vk.com/homecreditru</t>
  </si>
  <si>
    <t>https://www.facebook.com/homecreditru</t>
  </si>
  <si>
    <t>https://www.instagram.com/homecreditru/</t>
  </si>
  <si>
    <t>47.894721 56.630894</t>
  </si>
  <si>
    <t>Детско-юношеская спортивная школа Олимп г. Йошкар-Олы</t>
  </si>
  <si>
    <t>+7 (8362) 56-08-73</t>
  </si>
  <si>
    <t>+7 (8362) 56-08-01</t>
  </si>
  <si>
    <t>47.922329 56.627035</t>
  </si>
  <si>
    <t>АК Барс</t>
  </si>
  <si>
    <t>8 (800) 100-90-30, +7 (8362) 56-65-83</t>
  </si>
  <si>
    <t xml:space="preserve">office@abstr.ru, rabota@abstr.ru, u003erabota@abstr.ru, info@sgabs.ru, u003einfo@sgabs.ru  </t>
  </si>
  <si>
    <t>https://www.sgabs.ru/</t>
  </si>
  <si>
    <t>https://vk.com/akbarsstrah</t>
  </si>
  <si>
    <t>https://www.facebook.com/AkBarsStrah/</t>
  </si>
  <si>
    <t>https://www.instagram.com/akbarsstrah/</t>
  </si>
  <si>
    <t>47.885284 56.630648</t>
  </si>
  <si>
    <t>Дизайн+Сервис</t>
  </si>
  <si>
    <t>+7 (8362) 72-29-97</t>
  </si>
  <si>
    <t>+7 (903) 326-78-00</t>
  </si>
  <si>
    <t xml:space="preserve">d_s_2000@mail.ru  </t>
  </si>
  <si>
    <t>http://www.designserv.ru/</t>
  </si>
  <si>
    <t>Изготовление печатей и штампов, Наружная реклама, Полиграфические услуги, Рекламное агентство, Студия дизайна</t>
  </si>
  <si>
    <t>Yoshi</t>
  </si>
  <si>
    <t>Кофейня</t>
  </si>
  <si>
    <t>47.92471 56.625766</t>
  </si>
  <si>
    <t>Вита-Дент</t>
  </si>
  <si>
    <t>+7 (8362) 99-06-55, +7 (8362) 72-12-16, +7 (8362) 45-17-50</t>
  </si>
  <si>
    <t>+7 (902) 100-66-55</t>
  </si>
  <si>
    <t>+7 (8362) 38-18-83, +7 (8362) 38-18-81, +7 (8362) 38-18-85</t>
  </si>
  <si>
    <t xml:space="preserve">255-41-41mcaybolit@yandex.ru, 2@mc-aybolit.ru, 6@mc-aybolit.ru, 3@mc-aybolit.ru, 4@mc-aybolit.ru  </t>
  </si>
  <si>
    <t>http://mc-aibolit.ru/, http://mc-aybolit.ru/</t>
  </si>
  <si>
    <t>Медицинская лаборатория, Медицинская помощь на дому, Медцентр, клиника</t>
  </si>
  <si>
    <t>пн-пт 07:30–20:00; сб 08:00–16:00</t>
  </si>
  <si>
    <t>https://vk.com/yo.mcaibolit</t>
  </si>
  <si>
    <t>https://twitter.com/mcaybolit</t>
  </si>
  <si>
    <t>https://www.facebook.com/mcaybolit</t>
  </si>
  <si>
    <t>https://www.instagram.com/mc_aybolit</t>
  </si>
  <si>
    <t>47.887186 56.64682</t>
  </si>
  <si>
    <t>Кебаб Хаус</t>
  </si>
  <si>
    <t>Ленинский просп., 14А, Йошкар-Ола</t>
  </si>
  <si>
    <t>+7 (8362) 30-45-03</t>
  </si>
  <si>
    <t>+7 (902) 437-75-55</t>
  </si>
  <si>
    <t>http://vk.com/public94455726</t>
  </si>
  <si>
    <t>47.916007 56.62688</t>
  </si>
  <si>
    <t>Группа компаний Йорт</t>
  </si>
  <si>
    <t>8 (800) 234-37-33, +7 (8362) 63-54-00, +7 (8362) 63-53-70, +7 (8362) 63-53-80, +7 (8362) 63-52-30, +7 (8362) 50-50-01</t>
  </si>
  <si>
    <t xml:space="preserve">info@reg.ru </t>
  </si>
  <si>
    <t>Монтажные работы, Строительные и отделочные работы, Стройматериалы оптом</t>
  </si>
  <si>
    <t>47.8393 56.6179</t>
  </si>
  <si>
    <t>Эрмада-строй</t>
  </si>
  <si>
    <t>+7 (8362) 45-87-09</t>
  </si>
  <si>
    <t>ТСЖ Мир</t>
  </si>
  <si>
    <t>бул. Победы, 10, Йошкар-Ола</t>
  </si>
  <si>
    <t>+7 (961) 375-79-90</t>
  </si>
  <si>
    <t>47.880303 56.63911</t>
  </si>
  <si>
    <t>ТСЖ Новатор</t>
  </si>
  <si>
    <t>+7 (902) 739-71-24</t>
  </si>
  <si>
    <t>Три газели</t>
  </si>
  <si>
    <t>ул. Лебедева, 55, Йошкар-Ола</t>
  </si>
  <si>
    <t>+7 (8362) 75-88-44</t>
  </si>
  <si>
    <t>47.936727 56.623494</t>
  </si>
  <si>
    <t>Известия Трэвэл</t>
  </si>
  <si>
    <t>+7 (8362) 30-71-99, +7 (8362) 30-69-79, +7 (8362) 30-30-60</t>
  </si>
  <si>
    <t>Редакция СМИ, Турагентство</t>
  </si>
  <si>
    <t>47.900355 56.638356</t>
  </si>
  <si>
    <t>+7 (8362) 77-25-55</t>
  </si>
  <si>
    <t xml:space="preserve">email@domain.com </t>
  </si>
  <si>
    <t>https://hrustalik12.ru/</t>
  </si>
  <si>
    <t>http://vk.com/hrustalik12</t>
  </si>
  <si>
    <t>47.896598 56.634228</t>
  </si>
  <si>
    <t>Инструмент для металлообработки</t>
  </si>
  <si>
    <t>ул. Серова, 48, Йошкар-Ола</t>
  </si>
  <si>
    <t>+7 (8362) 45-74-26, +7 (8362) 45-74-09</t>
  </si>
  <si>
    <t>+7 (8362) 45-74-26</t>
  </si>
  <si>
    <t>пн-пт 08:00–17:30; сб 08:00–15:00</t>
  </si>
  <si>
    <t>47.899662 56.652096</t>
  </si>
  <si>
    <t>Idemitsu</t>
  </si>
  <si>
    <t>ул. Соловьёва, 22А, корп. 2, Йошкар-Ола</t>
  </si>
  <si>
    <t>+7 (8362) 65-15-15</t>
  </si>
  <si>
    <t>+7 (927) 883-00-45, +7 (927) 883-02-12</t>
  </si>
  <si>
    <t>Автосервис, автотехцентр, Смазочные материалы</t>
  </si>
  <si>
    <t>47.8699 56.6258</t>
  </si>
  <si>
    <t>Детская речевая студия Буратино</t>
  </si>
  <si>
    <t>+7 (927) 880-15-72</t>
  </si>
  <si>
    <t>пн-пт 15:00–20:00; сб,вс 10:00–16:00</t>
  </si>
  <si>
    <t>Лучики</t>
  </si>
  <si>
    <t>ул. Эшкинина, 9, Йошкар-Ола</t>
  </si>
  <si>
    <t>+7 (8362) 44-77-20</t>
  </si>
  <si>
    <t>+7 (927) 888-18-00</t>
  </si>
  <si>
    <t>47.912813 56.629723</t>
  </si>
  <si>
    <t>Империя</t>
  </si>
  <si>
    <t>+7 (8362) 32-30-50, +7 (8362) 33-64-33</t>
  </si>
  <si>
    <t>+7 (917) 707-93-53</t>
  </si>
  <si>
    <t xml:space="preserve">lobanovip@mail.ru </t>
  </si>
  <si>
    <t>47.89705 56.635331</t>
  </si>
  <si>
    <t>Бизнес в Марий Эл</t>
  </si>
  <si>
    <t>+7 (8362) 93-95-41, +7 (8362) 73-32-52</t>
  </si>
  <si>
    <t>+7 (902) 326-71-44, +7 (919) 412-62-33</t>
  </si>
  <si>
    <t>Часовня Покрова Пресвятой Богородицы в Йошкар-Оле</t>
  </si>
  <si>
    <t>Советская ул., 105А, Йошкар-Ола</t>
  </si>
  <si>
    <t>47.899838 56.637215</t>
  </si>
  <si>
    <t>МБОУ СОШ № 23</t>
  </si>
  <si>
    <t>ул. Баумана, 20, Йошкар-Ола</t>
  </si>
  <si>
    <t>+7 (8362) 43-83-23</t>
  </si>
  <si>
    <t>+7 (917) 717-99-77</t>
  </si>
  <si>
    <t>Окно в париж</t>
  </si>
  <si>
    <t>+7 (8362) 71-57-11</t>
  </si>
  <si>
    <t>+7 (8362) 38-50-45</t>
  </si>
  <si>
    <t>https://oknodeparis.kmarket12.ru/</t>
  </si>
  <si>
    <t>https://vk.com/oknodeparis</t>
  </si>
  <si>
    <t>+7 (8362) 37-54-41, +7 (8362) 99-40-63</t>
  </si>
  <si>
    <t>47.882738 56.647341</t>
  </si>
  <si>
    <t>+7 (902) 329-29-00</t>
  </si>
  <si>
    <t>ежедневно, 07:00–18:00</t>
  </si>
  <si>
    <t>47.884768 56.633199</t>
  </si>
  <si>
    <t>Столичный № 15</t>
  </si>
  <si>
    <t>Первомайская ул., 182А, Йошкар-Ола</t>
  </si>
  <si>
    <t>+7 (8362) 72-07-47</t>
  </si>
  <si>
    <t>47.877534 56.628694</t>
  </si>
  <si>
    <t>Лидия люкс</t>
  </si>
  <si>
    <t>+7 (8362) 31-22-38</t>
  </si>
  <si>
    <t>https://vk.com/nedvishimost</t>
  </si>
  <si>
    <t>https://twitter.com/yolaarenda</t>
  </si>
  <si>
    <t>https://www.facebook.com/yolaarenda.ru</t>
  </si>
  <si>
    <t>47.882648 56.63455</t>
  </si>
  <si>
    <t>Часовая мастерская</t>
  </si>
  <si>
    <t>+7 (8362) 65-27-61</t>
  </si>
  <si>
    <t>пн-пт 10:00–18:00, перерыв 12:00–14:00</t>
  </si>
  <si>
    <t>47.894335 56.640615</t>
  </si>
  <si>
    <t>Транс Гарант</t>
  </si>
  <si>
    <t>+7 (987) 704-19-70</t>
  </si>
  <si>
    <t>Логистическая компания, Экспедирование грузов</t>
  </si>
  <si>
    <t>47.834948 56.632068</t>
  </si>
  <si>
    <t>Мастерица</t>
  </si>
  <si>
    <t>+7 (8362) 96-90-12</t>
  </si>
  <si>
    <t>Ателье по пошиву одежды, Ремонт обуви, Ремонт сумок и чемоданов</t>
  </si>
  <si>
    <t>Защищенный потребитель</t>
  </si>
  <si>
    <t>+7 (8362) 61-16-75, +7 (8362) 31-31-81, +7 (8362) 35-25-50, +7 (8362) 90-60-97</t>
  </si>
  <si>
    <t>+7 (937) 938-54-07</t>
  </si>
  <si>
    <t>Общественная организация, Юридические услуги</t>
  </si>
  <si>
    <t>47.890014 56.639783</t>
  </si>
  <si>
    <t>Калина</t>
  </si>
  <si>
    <t>+7 (8362) 72-08-45</t>
  </si>
  <si>
    <t>+7 (987) 720-79-33, +7 (919) 419-69-03</t>
  </si>
  <si>
    <t xml:space="preserve">sample@domain.ru, doors2003@bk.ru  </t>
  </si>
  <si>
    <t>http://dverikalina.ru/</t>
  </si>
  <si>
    <t>Рулоника</t>
  </si>
  <si>
    <t>+7 (8362) 91-79-17</t>
  </si>
  <si>
    <t>+7 (902) 671-79-17</t>
  </si>
  <si>
    <t>Жалюзи и рулонные шторы, Шторы, карнизы</t>
  </si>
  <si>
    <t>пн-пт 09:00–18:00, перерыв 13:00–14:00; сб,вс 10:00–18:00</t>
  </si>
  <si>
    <t>https://vk.com/rulonika</t>
  </si>
  <si>
    <t>47.886448 56.637862</t>
  </si>
  <si>
    <t>Природный камень</t>
  </si>
  <si>
    <t>+7 (8362) 99-21-85</t>
  </si>
  <si>
    <t>Облицовочные материалы, Строительный магазин, Студия ландшафтного дизайна</t>
  </si>
  <si>
    <t>AvtoEl 12Rus</t>
  </si>
  <si>
    <t>Россия, Республика Марий Эл, Йошкар-Ола, микрорайон Прибрежный</t>
  </si>
  <si>
    <t>+7 (8362) 96-07-07, +7 (8362) 54-53-13</t>
  </si>
  <si>
    <t>Автосервис, автотехцентр, Автосигнализация</t>
  </si>
  <si>
    <t>47.900516 56.646054</t>
  </si>
  <si>
    <t>Альтернатива</t>
  </si>
  <si>
    <t>+7 (8362) 41-00-01, +7 (8362) 24-64-04</t>
  </si>
  <si>
    <t>47.896415 56.632812</t>
  </si>
  <si>
    <t>Flash</t>
  </si>
  <si>
    <t>+7 (960) 095-11-35</t>
  </si>
  <si>
    <t>Алко Сервис</t>
  </si>
  <si>
    <t>ул. Анциферова, 48, Йошкар-Ола</t>
  </si>
  <si>
    <t>+7 (8362) 30-75-49, +7 (8362) 45-17-04</t>
  </si>
  <si>
    <t>47.861767 56.639369</t>
  </si>
  <si>
    <t>Теннисный корт</t>
  </si>
  <si>
    <t>ул. Машиностроителей, 55А, Йошкар-Ола</t>
  </si>
  <si>
    <t>+7 (8362) 30-48-82, +7 (8362) 30-47-49</t>
  </si>
  <si>
    <t>Спортивный клуб, секция, Спортивный комплекс, Теннисный корт</t>
  </si>
  <si>
    <t>47.873913 56.640264</t>
  </si>
  <si>
    <t>Газовые технологии</t>
  </si>
  <si>
    <t>ул. Луначарского, 83, Йошкар-Ола</t>
  </si>
  <si>
    <t>+7 (8362) 33-98-28, +7 (8362) 56-40-77</t>
  </si>
  <si>
    <t xml:space="preserve">gaztechtorg@mail.ru  </t>
  </si>
  <si>
    <t>http://gaztehtorg.ru/</t>
  </si>
  <si>
    <t>Газовое оборудование, Магазин бытовой техники</t>
  </si>
  <si>
    <t>47.901576 56.617551</t>
  </si>
  <si>
    <t>Доктор Кашин</t>
  </si>
  <si>
    <t>+7 (8362) 45-28-08</t>
  </si>
  <si>
    <t>+7 (902) 432-19-91</t>
  </si>
  <si>
    <t xml:space="preserve">dkdent@bk.ru </t>
  </si>
  <si>
    <t>https://www.докторкашин.рф/</t>
  </si>
  <si>
    <t>47.897201 56.631828</t>
  </si>
  <si>
    <t>Окна Гранд</t>
  </si>
  <si>
    <t>+7 (8362) 50-90-40</t>
  </si>
  <si>
    <t>http://grand-okna21.ru/</t>
  </si>
  <si>
    <t>Изготовление витражей, Остекление балконов и лоджий, Строительные и отделочные работы</t>
  </si>
  <si>
    <t>Память</t>
  </si>
  <si>
    <t>Первомайская ул., 126, Йошкар-Ола</t>
  </si>
  <si>
    <t>+7 (8362) 32-80-00, +7 (8362) 46-00-93, +7 (8362) 46-05-05</t>
  </si>
  <si>
    <t>+7 (987) 712-90-09</t>
  </si>
  <si>
    <t xml:space="preserve">mcmemory@mail.ru </t>
  </si>
  <si>
    <t>47.885433 56.636536</t>
  </si>
  <si>
    <t>Маризернопродукт</t>
  </si>
  <si>
    <t>Элеваторный пр., 5, Йошкар-Ола</t>
  </si>
  <si>
    <t>+7 (8362) 45-12-90, +7 (8362) 45-33-40, +7 (499) 754-10-84</t>
  </si>
  <si>
    <t>http://www.premikorm.ru/</t>
  </si>
  <si>
    <t>Комбикорма и кормовые добавки, Производство продуктов питания, Сельскохозяйственная продукция</t>
  </si>
  <si>
    <t>47.896877 56.613886</t>
  </si>
  <si>
    <t>Исток-Сервис</t>
  </si>
  <si>
    <t>ул. Героев Сталинградской Битвы, 12А, Йошкар-Ола</t>
  </si>
  <si>
    <t>+7 (987) 727-97-97, +7 (917) 712-87-77, +7 (927) 680-50-90</t>
  </si>
  <si>
    <t>Автосервисное и гаражное оборудование</t>
  </si>
  <si>
    <t>47.943994 56.629372</t>
  </si>
  <si>
    <t>+7 (8362) 42-14-27</t>
  </si>
  <si>
    <t xml:space="preserve">info@magnit.ru </t>
  </si>
  <si>
    <t>http://magnit-info.ru/</t>
  </si>
  <si>
    <t>Управляющая компания</t>
  </si>
  <si>
    <t>Компас</t>
  </si>
  <si>
    <t>+7 (902) 431-51-14</t>
  </si>
  <si>
    <t>Монтажные работы, Строительная компания</t>
  </si>
  <si>
    <t>Садовая ул., 11, Йошкар-Ола</t>
  </si>
  <si>
    <t>+7 (8362) 63-44-79, +7 (8362) 96-70-55</t>
  </si>
  <si>
    <t>47.846553 56.634787</t>
  </si>
  <si>
    <t>Рим</t>
  </si>
  <si>
    <t>+7 (8362) 54-16-62</t>
  </si>
  <si>
    <t>Кровля и кровельные материалы, Строительная компания, Фасады и фасадные системы</t>
  </si>
  <si>
    <t>Свадебный кортеж</t>
  </si>
  <si>
    <t>ул. Прохорова, 34А, Йошкар-Ола</t>
  </si>
  <si>
    <t>+7 (927) 680-00-31</t>
  </si>
  <si>
    <t>47.830842 56.632971</t>
  </si>
  <si>
    <t>Аптечный пункт № 6</t>
  </si>
  <si>
    <t>47.878973 56.649574</t>
  </si>
  <si>
    <t>Альфа Директ</t>
  </si>
  <si>
    <t>+7 (987) 705-75-47</t>
  </si>
  <si>
    <t>47.849168 56.640298</t>
  </si>
  <si>
    <t>Адвокатский кабинет Кривченко Юлии Сергеевны</t>
  </si>
  <si>
    <t>+7 (927) 680-74-65</t>
  </si>
  <si>
    <t>Ступени</t>
  </si>
  <si>
    <t>47.896724 56.627271</t>
  </si>
  <si>
    <t>ИБиР</t>
  </si>
  <si>
    <t>+7 (8362) 45-52-66, +7 (8362) 45-57-94</t>
  </si>
  <si>
    <t xml:space="preserve">tebir@mail.ru, ibir12@mail.ru, n4ou@yandex.ru, n4oubux@yandex.ru  </t>
  </si>
  <si>
    <t>http://tebir.ru/</t>
  </si>
  <si>
    <t>Бухгалтерские курсы, Дизайн интерьеров, Центр повышения квалификации</t>
  </si>
  <si>
    <t>http://vk.com/tebir</t>
  </si>
  <si>
    <t>47.900196 56.642254</t>
  </si>
  <si>
    <t>Шахерезада</t>
  </si>
  <si>
    <t>Первомайская ул., 86, Йошкар-Ола</t>
  </si>
  <si>
    <t>+7 (8362) 45-76-70</t>
  </si>
  <si>
    <t>47.891072 56.644793</t>
  </si>
  <si>
    <t>Гарант - Марий Эл</t>
  </si>
  <si>
    <t>+7 (8362) 64-00-67, +7 (8362) 64-17-90, +7 (8362) 64-00-69</t>
  </si>
  <si>
    <t>IT-компания, Программное обеспечение, Расходные материалы для оргтехники</t>
  </si>
  <si>
    <t>Уютный Дом</t>
  </si>
  <si>
    <t>Первомайская ул., 105, Йошкар-Ола</t>
  </si>
  <si>
    <t>+7 (8362) 38-00-08, +7 (8362) 29-29-26, +7 (8362) 93-37-88</t>
  </si>
  <si>
    <t>Магазин бытовой техники, Магазин мебели</t>
  </si>
  <si>
    <t>47.889736 56.640773</t>
  </si>
  <si>
    <t>Детский образцовый ансамбль эстрадного танца Улыбка</t>
  </si>
  <si>
    <t>пн,ср,пт,сб 17:00–21:00</t>
  </si>
  <si>
    <t>Inspiration</t>
  </si>
  <si>
    <t>+7 (8362) 29-90-98</t>
  </si>
  <si>
    <t>47.864464 56.646626</t>
  </si>
  <si>
    <t>На Бульваре</t>
  </si>
  <si>
    <t>бул. Победы, 4, Йошкар-Ола</t>
  </si>
  <si>
    <t>+7 (902) 465-87-66</t>
  </si>
  <si>
    <t>пн-пт 08:30–20:00; сб 08:00–18:00; вс 09:30–18:00</t>
  </si>
  <si>
    <t>47.884907 56.638149</t>
  </si>
  <si>
    <t>КлиматСервис</t>
  </si>
  <si>
    <t>+7 (8362) 77-22-99</t>
  </si>
  <si>
    <t>Компания Кедр филиал в Йошкар-Оле</t>
  </si>
  <si>
    <t>+7 (8362) 31-29-75</t>
  </si>
  <si>
    <t>Липа</t>
  </si>
  <si>
    <t>+7 (8362) 22-83-30</t>
  </si>
  <si>
    <t>+7 (961) 333-19-11, +7 (902) 671-14-85</t>
  </si>
  <si>
    <t>http://bannaya-mebel.ru/</t>
  </si>
  <si>
    <t>Деревообрабатывающее предприятие, Товары для бани и сауны</t>
  </si>
  <si>
    <t>Прима Групп</t>
  </si>
  <si>
    <t>+7 (8362) 52-06-78, +7 (8362) 52-07-07</t>
  </si>
  <si>
    <t>Монтажные работы, Строительные и отделочные работы</t>
  </si>
  <si>
    <t>Марийский лесохозяйственный техникум</t>
  </si>
  <si>
    <t>ул. Карла Либкнехта, 54, Йошкар-Ола</t>
  </si>
  <si>
    <t>+7 (8362) 46-36-34, +7 (8362) 46-36-00, +7 (8362) 46-36-11, +7 (8362) 46-39-22</t>
  </si>
  <si>
    <t>47.952324 56.641469</t>
  </si>
  <si>
    <t>Гефест</t>
  </si>
  <si>
    <t>+7 (8362) 21-85-21, +7 (8362) 21-89-46</t>
  </si>
  <si>
    <t>+7 (8362) 21-89-46</t>
  </si>
  <si>
    <t>47.913829 56.627317</t>
  </si>
  <si>
    <t>Знак12</t>
  </si>
  <si>
    <t>ул. Строителей, 107, Йошкар-Ола</t>
  </si>
  <si>
    <t>+7 (8362) 32-05-09</t>
  </si>
  <si>
    <t>+7 (917) 709-24-38</t>
  </si>
  <si>
    <t>Изготовление номерных знаков</t>
  </si>
  <si>
    <t>вт-пт 08:00–16:00; сб 08:00–13:00</t>
  </si>
  <si>
    <t>https://vk.com/club77968353</t>
  </si>
  <si>
    <t>47.885362 56.609626</t>
  </si>
  <si>
    <t>Общежитие колледжа культуры и искусств</t>
  </si>
  <si>
    <t>Красноармейская ул., 78Б, Йошкар-Ола</t>
  </si>
  <si>
    <t>+7 (8362) 42-38-39</t>
  </si>
  <si>
    <t xml:space="preserve">mrkkii@yandex.ru  </t>
  </si>
  <si>
    <t>http://mrkkii.ru/</t>
  </si>
  <si>
    <t>47.877068 56.645583</t>
  </si>
  <si>
    <t>Блинная</t>
  </si>
  <si>
    <t>ул. Машиностроителей, 107, Йошкар-Ола</t>
  </si>
  <si>
    <t>+7 (8362) 26-22-26, +7 (8362) 32-97-22</t>
  </si>
  <si>
    <t>+7 (902) 436-22-26</t>
  </si>
  <si>
    <t>Быстрое питание, Магазин кулинарии</t>
  </si>
  <si>
    <t>47.841252 56.626735</t>
  </si>
  <si>
    <t>Вятка-банк</t>
  </si>
  <si>
    <t>8 (800) 100-17-77</t>
  </si>
  <si>
    <t xml:space="preserve">hr@vtkbank.vyatka.ru, bank@norvikbank.ru  </t>
  </si>
  <si>
    <t>https://norvikbank.ru/, https://www.vtkbank.ru/</t>
  </si>
  <si>
    <t>https://www.facebook.com/vyatkabank</t>
  </si>
  <si>
    <t>https://www.instagram.com/norvikbank_official/</t>
  </si>
  <si>
    <t>47.919596 56.626752</t>
  </si>
  <si>
    <t>Дента Плюс</t>
  </si>
  <si>
    <t>+7 (8362) 45-09-99</t>
  </si>
  <si>
    <t xml:space="preserve">dentaplus32@mail.ru  </t>
  </si>
  <si>
    <t>http://www.dentaplus32.ru/</t>
  </si>
  <si>
    <t>пн-пт 08:00–20:00; сб 09:00–14:00</t>
  </si>
  <si>
    <t>https://www.instagram.com/dentaplus_/</t>
  </si>
  <si>
    <t>47.892166 56.629887</t>
  </si>
  <si>
    <t>Детско-юношеская спортивно-адаптивная школа по паралимпийским видам спорта</t>
  </si>
  <si>
    <t>Успенская ул., 38, Йошкар-Ола</t>
  </si>
  <si>
    <t>+7 (8362) 45-54-36</t>
  </si>
  <si>
    <t>+7 (927) 870-88-67, +7 (961) 333-00-84</t>
  </si>
  <si>
    <t xml:space="preserve">dusah-mari.el@yandex.ru </t>
  </si>
  <si>
    <t>Спортивная школа, Спортивный клуб, секция</t>
  </si>
  <si>
    <t>ежедневно, 08:30–19:00</t>
  </si>
  <si>
    <t>47.883996 56.629862</t>
  </si>
  <si>
    <t>Лавка кузнеца Михея</t>
  </si>
  <si>
    <t>+7 (8362) 39-21-40</t>
  </si>
  <si>
    <t>+7 (927) 880-94-01, +7 (937) 938-35-77</t>
  </si>
  <si>
    <t xml:space="preserve">miheevijor55@mail.ru, leil87@mail.ru  </t>
  </si>
  <si>
    <t>https://kuznica-mihea.kmarket12.ru/</t>
  </si>
  <si>
    <t>Кованые изделия, Металлоизделия</t>
  </si>
  <si>
    <t>https://vk.com/kovka_igor_miheev</t>
  </si>
  <si>
    <t>47.905043 56.651116</t>
  </si>
  <si>
    <t>Строительная индустрия</t>
  </si>
  <si>
    <t>+7 (8362) 63-94-55, +7 (8362) 32-09-55, +7 (8362) 44-07-74</t>
  </si>
  <si>
    <t>Отосфера</t>
  </si>
  <si>
    <t>+7 (8362) 72-00-55</t>
  </si>
  <si>
    <t>http://www.satprom.ru/</t>
  </si>
  <si>
    <t>Медцентр, клиника, Слуховые аппараты</t>
  </si>
  <si>
    <t>пн-чт 09:00–17:00; пт 09:00–16:00</t>
  </si>
  <si>
    <t>47.866788 56.641592</t>
  </si>
  <si>
    <t>Премьер</t>
  </si>
  <si>
    <t>Водопроводная ул., 92, Йошкар-Ола</t>
  </si>
  <si>
    <t>+7 (8362) 92-37-77, +7 (8362) 92-37-37</t>
  </si>
  <si>
    <t>47.887068 56.652027</t>
  </si>
  <si>
    <t>Cuba-print</t>
  </si>
  <si>
    <t>Воскресенский просп., 17, Йошкар-Ола</t>
  </si>
  <si>
    <t>+7 (927) 888-08-58</t>
  </si>
  <si>
    <t xml:space="preserve">cuba-print@mail.ru  </t>
  </si>
  <si>
    <t>Наружная реклама, Полиграфические услуги, Студия дизайна, Типография, Широкоформатная печать</t>
  </si>
  <si>
    <t>https://vk.com/club53102485</t>
  </si>
  <si>
    <t>47.91072 56.632679</t>
  </si>
  <si>
    <t>Crystal</t>
  </si>
  <si>
    <t>+7 (987) 714-61-53</t>
  </si>
  <si>
    <t>пн 09:30–18:00; вт-пт 09:30–19:00; сб,вс 09:00–18:00</t>
  </si>
  <si>
    <t>47.8849 56.634</t>
  </si>
  <si>
    <t>Предприятие Инверс</t>
  </si>
  <si>
    <t>+7 (8362) 41-03-28, +7 (8362) 42-93-11, +7 (8362) 42-93-47</t>
  </si>
  <si>
    <t>http://invers.ru/</t>
  </si>
  <si>
    <t>Ника-ЭКО</t>
  </si>
  <si>
    <t>+7 (8362) 30-30-09, +7 (8362) 30-30-33</t>
  </si>
  <si>
    <t>+7 (8362) 30-30-03</t>
  </si>
  <si>
    <t>http://www.nika-eko.ru/</t>
  </si>
  <si>
    <t>Спортклуб № 1</t>
  </si>
  <si>
    <t>+7 (8362) 40-11-11, +7 (8362) 40-55-55</t>
  </si>
  <si>
    <t xml:space="preserve">trotne@mail.ru  </t>
  </si>
  <si>
    <t>http://sportclub1.ru/</t>
  </si>
  <si>
    <t>пн-пт 07:00–22:00; сб,вс 08:00–20:00</t>
  </si>
  <si>
    <t>http://vk.com/sportclub1_fit</t>
  </si>
  <si>
    <t>http://www.youtube.com/channel/UC0oHJzNQJFDTFAJPZlk_Bpg</t>
  </si>
  <si>
    <t>https://www.instagram.com/sportclub1</t>
  </si>
  <si>
    <t>47.934699 56.633471</t>
  </si>
  <si>
    <t>Нейл Стилист</t>
  </si>
  <si>
    <t>+7 (927) 874-05-18</t>
  </si>
  <si>
    <t xml:space="preserve">electroniconlinebank@yandex.ru, discount@edu-paper.com, info@ntt-energy.kiev.ua, info@diplom02rus.ru, info@diplom59rus.ru, dosug-elitei@mail.ru </t>
  </si>
  <si>
    <t>https://nailstilist.ru/</t>
  </si>
  <si>
    <t>Ногтевая студия, Обучение мастеров для салонов красоты</t>
  </si>
  <si>
    <t>47.891595 56.641843</t>
  </si>
  <si>
    <t>Автокомплекс</t>
  </si>
  <si>
    <t>+7 (8362) 72-01-72</t>
  </si>
  <si>
    <t>47.872273 56.621548</t>
  </si>
  <si>
    <t>Потолок 521</t>
  </si>
  <si>
    <t>+7 (8362) 52-15-21</t>
  </si>
  <si>
    <t>Потребительский контроль</t>
  </si>
  <si>
    <t>+7 (8362) 51-32-32</t>
  </si>
  <si>
    <t>47.879778 56.633106</t>
  </si>
  <si>
    <t>Глянец</t>
  </si>
  <si>
    <t>ул. Пушкина, 34А, корп. 2, Йошкар-Ола</t>
  </si>
  <si>
    <t>+7 (8362) 54-12-80, +7 (8362) 94-01-11</t>
  </si>
  <si>
    <t>+7 (902) 664-01-11, +7 (964) 864-12-80</t>
  </si>
  <si>
    <t xml:space="preserve">bum900@yandex.ru  </t>
  </si>
  <si>
    <t>http://tipografia-glance.blizko.ru/</t>
  </si>
  <si>
    <t>47.8919 56.6332</t>
  </si>
  <si>
    <t>+7 (8362) 98-50-78</t>
  </si>
  <si>
    <t>+7 (902) 672-99-63</t>
  </si>
  <si>
    <t>Металлоизделия, Металлоконструкции</t>
  </si>
  <si>
    <t>Механика-Транс</t>
  </si>
  <si>
    <t>8 (800) 775-39-15, +7 (8362) 64-27-15</t>
  </si>
  <si>
    <t xml:space="preserve">mail@yandex.ru  </t>
  </si>
  <si>
    <t>http://mechtrans.ru/</t>
  </si>
  <si>
    <t>Деревообрабатывающее оборудование, Машиностроительный завод, Промышленное оборудование</t>
  </si>
  <si>
    <t>http://facebook.com/mechanikatrans</t>
  </si>
  <si>
    <t>Авангард-сити</t>
  </si>
  <si>
    <t>+7 (8362) 96-46-46, +7 (8362) 96-33-60</t>
  </si>
  <si>
    <t>ПП Центр Принт</t>
  </si>
  <si>
    <t>+7 (8362) 33-81-45</t>
  </si>
  <si>
    <t>+7 (987) 706-80-40, +7 (916) 406-23-98</t>
  </si>
  <si>
    <t xml:space="preserve">info@detskie-kovriki.ru, donate@opencart.com </t>
  </si>
  <si>
    <t>Детское игровое оборудование</t>
  </si>
  <si>
    <t>https://vk.com/detskie_kovriki</t>
  </si>
  <si>
    <t>Автоаксессуары, Автокосметика, автохимия</t>
  </si>
  <si>
    <t>пн-пт 09:00–18:00; сб,вс 09:00–15:00</t>
  </si>
  <si>
    <t>Лира</t>
  </si>
  <si>
    <t>47.886804 56.647002</t>
  </si>
  <si>
    <t>МастерБолтиков</t>
  </si>
  <si>
    <t>8 (800) 201-86-44, +7 (8362) 38-17-38</t>
  </si>
  <si>
    <t xml:space="preserve">zakaz.masterboltikov@yandex.ru, info@masterboltikov.ru  </t>
  </si>
  <si>
    <t>http://masterboltikov.ru/</t>
  </si>
  <si>
    <t>Крепежные изделия, Строительный магазин</t>
  </si>
  <si>
    <t>https://vk.com/mbkrepezh</t>
  </si>
  <si>
    <t>47.89255 56.641518</t>
  </si>
  <si>
    <t>ТСЖ Искра</t>
  </si>
  <si>
    <t>+7 (8362) 64-54-82</t>
  </si>
  <si>
    <t>Газэнергосистемы</t>
  </si>
  <si>
    <t>ул. Димитрова, 57В, Йошкар-Ола</t>
  </si>
  <si>
    <t>+7 (8362) 38-05-36</t>
  </si>
  <si>
    <t xml:space="preserve">gazenergosystema@mail.ru </t>
  </si>
  <si>
    <t>http://газэнергосистемы.рф/</t>
  </si>
  <si>
    <t>47.851963 56.648123</t>
  </si>
  <si>
    <t>Лицей им. М. В. Ломоносова г. Йошкар-Олы</t>
  </si>
  <si>
    <t>Успенская ул., 15А, Йошкар-Ола</t>
  </si>
  <si>
    <t>+7 (8362) 42-28-70, +7 (8362) 56-64-81, +7 (8362) 73-62-69</t>
  </si>
  <si>
    <t xml:space="preserve">me_licey8@yandex.ru  </t>
  </si>
  <si>
    <t>http://me-licey8.narod.ru/</t>
  </si>
  <si>
    <t>http://vk.com/club188509</t>
  </si>
  <si>
    <t>47.883149 56.628873</t>
  </si>
  <si>
    <t>Архидея</t>
  </si>
  <si>
    <t>+7 (8362) 31-05-10, +7 (8362) 61-62-62, +7 (8362) 99-50-69</t>
  </si>
  <si>
    <t>Автошкола Форсаж-К</t>
  </si>
  <si>
    <t>+7 (8362) 23-02-95, +7 (8362) 93-75-00</t>
  </si>
  <si>
    <t xml:space="preserve">school-forsazh-k@mail.ru, ksenia713@mail.ru  </t>
  </si>
  <si>
    <t>http://school-forsazh.ru/</t>
  </si>
  <si>
    <t>http://vk.com/club37592508</t>
  </si>
  <si>
    <t>47.871528 56.639234</t>
  </si>
  <si>
    <t>Риф</t>
  </si>
  <si>
    <t>+7 (902) 672-82-99</t>
  </si>
  <si>
    <t>Абсолют</t>
  </si>
  <si>
    <t>+7 (8362) 44-41-44</t>
  </si>
  <si>
    <t>Окна, Теплоизоляционные материалы</t>
  </si>
  <si>
    <t>пн-пт 08:00–17:00, перерыв 12:00–13:00; сб 09:00–12:00</t>
  </si>
  <si>
    <t>47.842817 56.627297</t>
  </si>
  <si>
    <t>Мега-Ватт</t>
  </si>
  <si>
    <t>+7 (8362) 29-87-95</t>
  </si>
  <si>
    <t>+7 (927) 872-73-30</t>
  </si>
  <si>
    <t xml:space="preserve">info@mega-vatt.com, mega-vatt@bk.ru  </t>
  </si>
  <si>
    <t>http://mega-vatt.com/</t>
  </si>
  <si>
    <t>Сварочное оборудование и материалы, Строительный инструмент, Электро- и бензоинструмент</t>
  </si>
  <si>
    <t>http://vk.com/megavatt12</t>
  </si>
  <si>
    <t>http://twitter.com/megavatt12</t>
  </si>
  <si>
    <t>http://facebook.com/groups/megavatt</t>
  </si>
  <si>
    <t>http://instagram.com/megavatt12</t>
  </si>
  <si>
    <t>47.914793 56.635738</t>
  </si>
  <si>
    <t>Мербау</t>
  </si>
  <si>
    <t>+7 (961) 378-22-62</t>
  </si>
  <si>
    <t>https://vk.com/merbau12</t>
  </si>
  <si>
    <t>Юникс Автоунивермаг</t>
  </si>
  <si>
    <t>Ленинский просп., 20Б, Йошкар-Ола</t>
  </si>
  <si>
    <t>+7 (8362) 21-63-90, +7 (8362) 21-10-01, +7 (8362) 21-63-17, +7 (8362) 21-63-34</t>
  </si>
  <si>
    <t xml:space="preserve">zakaz.unix@mail.ru, acbsec@unix.kirov.ru, acbsec@unixmagazin.ru, unixkirov@yandex.ru, unixopt@mail.ru  </t>
  </si>
  <si>
    <t>http://unixmagazin.ru/</t>
  </si>
  <si>
    <t>Автокосметика, автохимия, Аккумуляторы и зарядные устройства, Магазин автозапчастей и автотоваров</t>
  </si>
  <si>
    <t>пн-пт 08:00–20:00; сб 08:00–19:00; вс 08:00–18:00</t>
  </si>
  <si>
    <t>https://vk.com/unixmagazin</t>
  </si>
  <si>
    <t>47.909696 56.627158</t>
  </si>
  <si>
    <t>Парт-эко</t>
  </si>
  <si>
    <t>+7 (8362) 33-49-28, +7 (8362) 45-69-46</t>
  </si>
  <si>
    <t>Материально-техническое снабжение, Подшипники, Резиновые и резинотехнические изделия, Хозтовары оптом</t>
  </si>
  <si>
    <t>ИВЦ Савт Плюс</t>
  </si>
  <si>
    <t>ул. Суворова, 12Б, Йошкар-Ола</t>
  </si>
  <si>
    <t>+7 (8362) 41-73-80, +7 (8362) 38-30-36, +7 (8362) 38-30-37</t>
  </si>
  <si>
    <t>Пожарное оборудование, Проектная организация, Противопожарные системы</t>
  </si>
  <si>
    <t>47.868553 56.634996</t>
  </si>
  <si>
    <t>ОТК</t>
  </si>
  <si>
    <t>+7 (8362) 50-55-66</t>
  </si>
  <si>
    <t>Антикор-центр</t>
  </si>
  <si>
    <t>ул. Карла Либкнехта, 110А, Йошкар-Ола</t>
  </si>
  <si>
    <t>+7 (8362) 77-76-66</t>
  </si>
  <si>
    <t>47.933102 56.625094</t>
  </si>
  <si>
    <t>Закусочная Гриль</t>
  </si>
  <si>
    <t>Первомайская ул., 152, Йошкар-Ола</t>
  </si>
  <si>
    <t>+7 (8362) 41-24-41</t>
  </si>
  <si>
    <t>47.883322 56.633671</t>
  </si>
  <si>
    <t>Центр Крепежа</t>
  </si>
  <si>
    <t>+7 (8362) 73-67-95, +7 (8362) 77-03-02</t>
  </si>
  <si>
    <t>Строительный инструмент, Строительный магазин, Стройматериалы оптом</t>
  </si>
  <si>
    <t>пн-пт 08:00–18:00; сб,вс 08:00–15:00</t>
  </si>
  <si>
    <t>Центральная библиотека города Йошкар-Олы</t>
  </si>
  <si>
    <t>ул. Прохорова, 30, Йошкар-Ола</t>
  </si>
  <si>
    <t>+7 (8362) 63-64-45, +7 (8362) 63-64-50</t>
  </si>
  <si>
    <t xml:space="preserve">cbsola@mail.ru, ctl-yola@yandex.ru  </t>
  </si>
  <si>
    <t>http://vk.com/ctl_yola</t>
  </si>
  <si>
    <t>47.835889 56.633264</t>
  </si>
  <si>
    <t>ТранКом</t>
  </si>
  <si>
    <t>+7 (917) 070-04-47</t>
  </si>
  <si>
    <t>Рябинушка</t>
  </si>
  <si>
    <t>ул. Рябинина, 7Б, Йошкар-Ола</t>
  </si>
  <si>
    <t>+7 (927) 883-44-37</t>
  </si>
  <si>
    <t>ср 18:00–20:00</t>
  </si>
  <si>
    <t>47.879172 56.640451</t>
  </si>
  <si>
    <t>Братина</t>
  </si>
  <si>
    <t>+7 (8362) 73-79-16, +7 (8362) 30-74-46</t>
  </si>
  <si>
    <t>Быстрое питание, Кафе</t>
  </si>
  <si>
    <t>пн-сб 08:00–22:00; вс 10:00–23:00</t>
  </si>
  <si>
    <t>47.839194 56.625652</t>
  </si>
  <si>
    <t>Квартирка-24</t>
  </si>
  <si>
    <t>ул. Строителей, 34, Йошкар-Ола</t>
  </si>
  <si>
    <t>+7 (964) 863-44-34</t>
  </si>
  <si>
    <t>ежедневно, 07:00–12:00</t>
  </si>
  <si>
    <t>47.8311 56.6388</t>
  </si>
  <si>
    <t>Э-Студио</t>
  </si>
  <si>
    <t>просп. Гагарина, 14А, Йошкар-Ола</t>
  </si>
  <si>
    <t>+7 (8362) 21-19-12</t>
  </si>
  <si>
    <t>47.884633 56.626975</t>
  </si>
  <si>
    <t>Титул</t>
  </si>
  <si>
    <t>+7 (8362) 91-30-79</t>
  </si>
  <si>
    <t>Энергогенератор</t>
  </si>
  <si>
    <t>+7 (961) 754-00-45</t>
  </si>
  <si>
    <t>Энергетическое оборудование</t>
  </si>
  <si>
    <t>Косметик-профи</t>
  </si>
  <si>
    <t>ул. Зарубина, 1, Йошкар-Ола</t>
  </si>
  <si>
    <t>+7 (8362) 90-08-90</t>
  </si>
  <si>
    <t xml:space="preserve">cosmetikprofi@list.ru  </t>
  </si>
  <si>
    <t>Магазин парфюмерии и косметики, Оборудование и материалы для салонов красоты</t>
  </si>
  <si>
    <t>https://vk.com/club46027668</t>
  </si>
  <si>
    <t>47.883286 56.626274</t>
  </si>
  <si>
    <t>Берегиня</t>
  </si>
  <si>
    <t>наб. Брюгге, 5, Йошкар-Ола</t>
  </si>
  <si>
    <t>+7 (8362) 31-41-61</t>
  </si>
  <si>
    <t>+7 (927) 681-43-80, +7 (927) 874-15-73</t>
  </si>
  <si>
    <t>Водный транспорт</t>
  </si>
  <si>
    <t>Водная база, лодочная станция</t>
  </si>
  <si>
    <t>47.9091 56.6327</t>
  </si>
  <si>
    <t>БауМаркет</t>
  </si>
  <si>
    <t>+7 (8362) 72-04-00, +7 (8362) 72-08-96</t>
  </si>
  <si>
    <t xml:space="preserve">reklama63@baumarket.ru, personal@baumarket.ru  </t>
  </si>
  <si>
    <t>http://www.baumarket.ru/</t>
  </si>
  <si>
    <t>Двери, Керамическая плитка, Магазин обоев, Магазин хозтоваров и бытовой химии, Оптовый магазин, Светотехника, Строительный магазин, Стройматериалы оптом, Сухие строительные смеси, Торговый центр, Электро- и бензоинструмент</t>
  </si>
  <si>
    <t>https://vk.com/club94959160</t>
  </si>
  <si>
    <t>47.869468 56.625694</t>
  </si>
  <si>
    <t>Идеал</t>
  </si>
  <si>
    <t xml:space="preserve">info@triya.ru  </t>
  </si>
  <si>
    <t>http://iola.triya.ru/</t>
  </si>
  <si>
    <t>Региональное отделение Политической партии Трудовая партия России в Республике Марий Эл</t>
  </si>
  <si>
    <t>+7 (987) 700-66-63</t>
  </si>
  <si>
    <t>пн-пт 11:00–16:00</t>
  </si>
  <si>
    <t>47.918284 56.629842</t>
  </si>
  <si>
    <t>Семейная газета</t>
  </si>
  <si>
    <t>+7 (8362) 72-37-35, +7 (8362) 72-63-62, +7 (8362) 72-34-98</t>
  </si>
  <si>
    <t>+7 (8362) 72-63-62</t>
  </si>
  <si>
    <t>пн-чт 08:30–17:30; пт 08:30–16:30</t>
  </si>
  <si>
    <t>47.880717 56.636694</t>
  </si>
  <si>
    <t>Детский сад № 72 Солнышко</t>
  </si>
  <si>
    <t>ул. Йывана Кырли, 16Б, Йошкар-Ола</t>
  </si>
  <si>
    <t>+7 (8362) 73-34-70, +7 (8362) 73-33-98</t>
  </si>
  <si>
    <t xml:space="preserve">detsad72_detsad72@mail.ru, uoa-yoshkar-ola@yandex.ru  </t>
  </si>
  <si>
    <t>http://edu.mari.ru/mouo-yoshkarola/dou72</t>
  </si>
  <si>
    <t>47.840816 56.638188</t>
  </si>
  <si>
    <t>+7 (8362) 42-85-95</t>
  </si>
  <si>
    <t>+7 (939) 725-11-37, +7 (927) 879-61-16</t>
  </si>
  <si>
    <t>47.892744 56.638754</t>
  </si>
  <si>
    <t>Сжук</t>
  </si>
  <si>
    <t>ул. Яна Крастыня, 2А, Йошкар-Ола</t>
  </si>
  <si>
    <t>+7 (8362) 23-24-34, +7 (8362) 27-58-61, +7 (8362) 44-50-24</t>
  </si>
  <si>
    <t>47.824311 56.633422</t>
  </si>
  <si>
    <t>Спектр-М</t>
  </si>
  <si>
    <t>+7 (8362) 55-11-88, +7 (8362) 55-11-77</t>
  </si>
  <si>
    <t>http://www.okna-spectr.ru/</t>
  </si>
  <si>
    <t>Автобест</t>
  </si>
  <si>
    <t>+7 (8362) 32-66-01, +7 (8362) 38-84-44</t>
  </si>
  <si>
    <t>https://car-service-10919.business.site/?m=true</t>
  </si>
  <si>
    <t>Автосервис, автотехцентр, Шины и диски</t>
  </si>
  <si>
    <t>https://vk.com/avtobestmariel</t>
  </si>
  <si>
    <t>47.879095 56.636891</t>
  </si>
  <si>
    <t>Принт-мастер</t>
  </si>
  <si>
    <t>+7 (8362) 90-07-06, +7 (8362) 99-44-52</t>
  </si>
  <si>
    <t>Здоровая Жизнь</t>
  </si>
  <si>
    <t>47.893149 56.632006</t>
  </si>
  <si>
    <t>Союз</t>
  </si>
  <si>
    <t>+7 (8362) 28-82-82, +7 (8362) 98-82-82</t>
  </si>
  <si>
    <t>Строительная компания, Фасады и фасадные системы</t>
  </si>
  <si>
    <t>Детская республиканская больница</t>
  </si>
  <si>
    <t>Медицинская ул., 10, Йошкар-Ола</t>
  </si>
  <si>
    <t>+7 (8362) 46-34-45, +7 (8362) 46-38-75, +7 (8362) 46-32-23, +7 (8362) 46-31-04, +7 (8362) 46-37-30</t>
  </si>
  <si>
    <t>+7 (8362) 46-37-30</t>
  </si>
  <si>
    <t xml:space="preserve">drb@mari-el.ru, drkb@minzdrav12.ru, minzdrav@mari-el.ru, informsreda@yandex.ru, 4bril-direktor.agel@mail.ru  </t>
  </si>
  <si>
    <t>http://mari-el.gov.ru/minzdrav/drb/Pages/contacts.aspx</t>
  </si>
  <si>
    <t>Детская больница</t>
  </si>
  <si>
    <t>http://vk.com/club46891117</t>
  </si>
  <si>
    <t>47.963359 56.639151</t>
  </si>
  <si>
    <t>+7 (8362) 24-12-41</t>
  </si>
  <si>
    <t>Ломбард, Ювелирный магазин</t>
  </si>
  <si>
    <t>47.860117 56.645867</t>
  </si>
  <si>
    <t>АЗС Волга ресурс</t>
  </si>
  <si>
    <t>ул. Строителей, 54В, Йошкар-Ола</t>
  </si>
  <si>
    <t>+7 (917) 700-23-33</t>
  </si>
  <si>
    <t xml:space="preserve">maksenov@socar.ru.com  </t>
  </si>
  <si>
    <t>https://vk.com/azsvr</t>
  </si>
  <si>
    <t>47.840224 56.631837</t>
  </si>
  <si>
    <t>Автоэвакуатор</t>
  </si>
  <si>
    <t>+7 (8362) 71-40-40</t>
  </si>
  <si>
    <t>47.898917 56.636501</t>
  </si>
  <si>
    <t>Новодент</t>
  </si>
  <si>
    <t>ул. Льва Толстого, 47, Йошкар-Ола</t>
  </si>
  <si>
    <t>+7 (8362) 45-93-33</t>
  </si>
  <si>
    <t>+7 (927) 883-68-88</t>
  </si>
  <si>
    <t xml:space="preserve">n.dent@list.ru </t>
  </si>
  <si>
    <t>http://новодент12.рф/</t>
  </si>
  <si>
    <t>пн-пт 08:00–20:00; сб,вс 10:00–18:00</t>
  </si>
  <si>
    <t>47.89711 56.647079</t>
  </si>
  <si>
    <t>+7 (8362) 54-77-71, +7 (8362) 50-50-33, +7 (8362) 52-03-52</t>
  </si>
  <si>
    <t>+7 (906) 137-03-52</t>
  </si>
  <si>
    <t>http://www.thermo-pro.ru/, http://hemprom.ru/</t>
  </si>
  <si>
    <t>47.867016 56.613248</t>
  </si>
  <si>
    <t>ТСЖ Мирный</t>
  </si>
  <si>
    <t>ул. Карла Либкнехта, 100, Йошкар-Ола</t>
  </si>
  <si>
    <t>пн-ср 09:00–15:00, перерыв 12:00–13:00; чт 09:00–19:00, перерывы 12:00–13:00, 15:00–17:00; пт 09:00–15:00, перерыв 12:00–13:00</t>
  </si>
  <si>
    <t>47.93811 56.632758</t>
  </si>
  <si>
    <t>Стелл</t>
  </si>
  <si>
    <t>+7 (8362) 90-20-80, +7 (8362) 70-88-80</t>
  </si>
  <si>
    <t>http://stella-servis.pulscen.ru/</t>
  </si>
  <si>
    <t>Двери, ЖБИ, Металлоконструкции, Металлопрокат</t>
  </si>
  <si>
    <t>47.8479 56.6632</t>
  </si>
  <si>
    <t>Марийский филиал ФБУ ТФГИ по Приволжскому федеральному округу</t>
  </si>
  <si>
    <t>+7 (8362) 45-36-26, +7 (8362) 42-04-70</t>
  </si>
  <si>
    <t>Изыскательские работы</t>
  </si>
  <si>
    <t>пн-чт 08:00–17:00; пт 08:00–16:00</t>
  </si>
  <si>
    <t>Мебельсервис</t>
  </si>
  <si>
    <t>+7 (8362) 39-86-39, +7 (8362) 33-99-02</t>
  </si>
  <si>
    <t>Золотая нить</t>
  </si>
  <si>
    <t>+7 (8362) 62-92-92</t>
  </si>
  <si>
    <t xml:space="preserve">goldenfiber@yandex.ru, shop@goldenfiber.ru, shop@golden-fiber.ru  </t>
  </si>
  <si>
    <t>http://goldenfiber.ru/</t>
  </si>
  <si>
    <t>http://vk.com/goldenfiber</t>
  </si>
  <si>
    <t>http://twitter.com/@golden_fiber</t>
  </si>
  <si>
    <t>http://instagram.com/goldenfiber</t>
  </si>
  <si>
    <t>47.925121 56.634521</t>
  </si>
  <si>
    <t>Союз wape</t>
  </si>
  <si>
    <t>Вейп шоп</t>
  </si>
  <si>
    <t>47.892746 56.638755</t>
  </si>
  <si>
    <t>Федерация смешанного боевого единоборства ММА Республики Марий Эл</t>
  </si>
  <si>
    <t>+7 (8362) 33-30-11, +7 (8362) 33-88-19</t>
  </si>
  <si>
    <t>Ваш дом</t>
  </si>
  <si>
    <t>+7 (8362) 25-20-40, +7 (8362) 37-20-40</t>
  </si>
  <si>
    <t xml:space="preserve">vd252040@mail.ru  </t>
  </si>
  <si>
    <t>https://yola.rus-vorota.ru/, http://vash-dom12.blizko.ru/</t>
  </si>
  <si>
    <t>https://vk.com/rus_vorota</t>
  </si>
  <si>
    <t>47.88722 56.642075</t>
  </si>
  <si>
    <t>ЯмалПроектСтрой</t>
  </si>
  <si>
    <t>+7 (8362) 41-92-93</t>
  </si>
  <si>
    <t>Проектная организация, Строительная компания</t>
  </si>
  <si>
    <t>Союз изобретателей и рационализаторов</t>
  </si>
  <si>
    <t>Россия, Республика Марий Эл, Йошкар-Ола, площадь им. В.И. Ленина</t>
  </si>
  <si>
    <t>+7 (927) 872-45-35</t>
  </si>
  <si>
    <t>Научно-производственная организация</t>
  </si>
  <si>
    <t>Нотариус Иванова И.Н.</t>
  </si>
  <si>
    <t>+7 (8362) 45-26-36</t>
  </si>
  <si>
    <t>пн-пт 09:00–14:00</t>
  </si>
  <si>
    <t>47.89749 56.640466</t>
  </si>
  <si>
    <t>Рентал</t>
  </si>
  <si>
    <t>ул. Пугачёва, 1Т, Йошкар-Ола</t>
  </si>
  <si>
    <t>+7 (8362) 72-09-00, +7 (8362) 72-09-24, +7 (8362) 45-19-89</t>
  </si>
  <si>
    <t>пн-пт 08:30–17:00, перерыв 13:00–13:30</t>
  </si>
  <si>
    <t>47.871213 56.621082</t>
  </si>
  <si>
    <t>Специальная Механизация</t>
  </si>
  <si>
    <t>+7 (8362) 22-76-76, +7 (8362) 22-44-00</t>
  </si>
  <si>
    <t>+7 (987) 707-41-07</t>
  </si>
  <si>
    <t>Аренда строительной и спецтехники, Бетон, бетонные изделия</t>
  </si>
  <si>
    <t>47.88714 56.646895</t>
  </si>
  <si>
    <t>Деповская ул., 19, Йошкар-Ола</t>
  </si>
  <si>
    <t>47.881 56.6192</t>
  </si>
  <si>
    <t>Автогруз</t>
  </si>
  <si>
    <t>+7 (927) 882-00-18, +7 (937) 111-50-01, +7 (937) 111-50-02</t>
  </si>
  <si>
    <t>47.900765 56.646839</t>
  </si>
  <si>
    <t>Таблетка</t>
  </si>
  <si>
    <t>ул. Прохорова, 32, Йошкар-Ола</t>
  </si>
  <si>
    <t>47.833564 56.632323</t>
  </si>
  <si>
    <t>Древко</t>
  </si>
  <si>
    <t>+7 (8362) 73-46-13</t>
  </si>
  <si>
    <t>47.8558 56.6284</t>
  </si>
  <si>
    <t>Лигон-Центр</t>
  </si>
  <si>
    <t>+7 (8362) 56-09-41, +7 (8362) 56-09-98</t>
  </si>
  <si>
    <t>http://лигон.рф/about/contacts/</t>
  </si>
  <si>
    <t>Музей народно-прикладного искусства</t>
  </si>
  <si>
    <t>ул. Чернышевского, 23, Йошкар-Ола</t>
  </si>
  <si>
    <t>+7 (8362) 94-68-70, +7 (8362) 34-90-41</t>
  </si>
  <si>
    <t>+7 (902) 664-68-70</t>
  </si>
  <si>
    <t xml:space="preserve">evseev-museum@mail.ru  </t>
  </si>
  <si>
    <t>https://www.vk.com/evseevmuseum</t>
  </si>
  <si>
    <t>47.894839 56.634429</t>
  </si>
  <si>
    <t>Йошкар-Олинский медицинский колледж</t>
  </si>
  <si>
    <t>Пролетарская ул., 68, Йошкар-Ола</t>
  </si>
  <si>
    <t>+7 (8362) 55-32-66, +7 (8362) 45-26-23, +7 (8362) 41-36-38, +7 (8362) 42-37-20, +7 (8362) 41-12-11, +7 (8362) 42-36-21, +7 (8362) 45-34-10</t>
  </si>
  <si>
    <t>http://edu.mari.ru/prof/imk/</t>
  </si>
  <si>
    <t>http://vk.com/club6909128</t>
  </si>
  <si>
    <t>47.879037 56.648792</t>
  </si>
  <si>
    <t>ЭлтехМет</t>
  </si>
  <si>
    <t>+7 (8362) 99-42-70</t>
  </si>
  <si>
    <t>+7 (8362) 56-01-43</t>
  </si>
  <si>
    <t>Металлопрокат, Оптовая компания</t>
  </si>
  <si>
    <t>пн-пт 09:00–17:00; сб 09:00–14:00</t>
  </si>
  <si>
    <t>Landy’s</t>
  </si>
  <si>
    <t>+7 (987) 722-87-85, +7 (925) 335-51-80</t>
  </si>
  <si>
    <t xml:space="preserve">ldlandys@gmail.com </t>
  </si>
  <si>
    <t>http://ldlandys.ru/</t>
  </si>
  <si>
    <t>Проектная организация, Студия ландшафтного дизайна</t>
  </si>
  <si>
    <t>https://vk.com/ldlandys</t>
  </si>
  <si>
    <t>Актив</t>
  </si>
  <si>
    <t>+7 (8362) 25-90-10</t>
  </si>
  <si>
    <t>Витекс</t>
  </si>
  <si>
    <t>+7 (8362) 45-18-77, +7 (8362) 42-62-98, +7 (8362) 45-23-52, +7 (8362) 56-57-56</t>
  </si>
  <si>
    <t xml:space="preserve">v-meb@mail.ru  </t>
  </si>
  <si>
    <t>https://viteks12.ru/, http://viteks.blizko.ru/</t>
  </si>
  <si>
    <t>Мебель на заказ, Мебельная фабрика, Торговое оборудование</t>
  </si>
  <si>
    <t>http://vk.com/viteks12</t>
  </si>
  <si>
    <t>Tecdoc авто</t>
  </si>
  <si>
    <t>+7 (8362) 33-89-87</t>
  </si>
  <si>
    <t>+7 (987) 711-00-07</t>
  </si>
  <si>
    <t>47.856026 56.629687</t>
  </si>
  <si>
    <t>Гимназия Синяя птица им. Иштриковой Т. В.</t>
  </si>
  <si>
    <t>ул. Воинов-Интернационалистов, 21, Йошкар-Ола</t>
  </si>
  <si>
    <t>+7 (8362) 21-10-30, +7 (8362) 21-10-21, +7 (8362) 21-97-40</t>
  </si>
  <si>
    <t>http://goubluebird.ru/</t>
  </si>
  <si>
    <t>http://vk.com/club69608</t>
  </si>
  <si>
    <t>47.928276 56.633829</t>
  </si>
  <si>
    <t>Учебно-научный центр информационной безопасности</t>
  </si>
  <si>
    <t>+7 (8362) 63-08-58, +7 (8362) 63-07-83, +7 (8362) 72-55-68, +7 (8362) 31-14-80</t>
  </si>
  <si>
    <t xml:space="preserve">info@uncib.ru  </t>
  </si>
  <si>
    <t>http://uncib.ru/</t>
  </si>
  <si>
    <t>Информационная безопасность, Удостоверяющий центр, Учебный центр</t>
  </si>
  <si>
    <t>пн-чт 08:00–17:00, перерыв 12:00–13:00; пт 08:00–16:00, перерыв 12:00–13:00</t>
  </si>
  <si>
    <t>Арстрейд</t>
  </si>
  <si>
    <t>ул. Соловьёва, 44, Йошкар-Ола</t>
  </si>
  <si>
    <t>+7 (8362) 45-35-28, +7 (8362) 56-61-00</t>
  </si>
  <si>
    <t>+7 (8362) 56-61-36</t>
  </si>
  <si>
    <t xml:space="preserve">arstrade@inbox.ru, support@pulscen.ru, u003esupport@pulscen.ru  </t>
  </si>
  <si>
    <t>http://arstrade.pulscen.ru/</t>
  </si>
  <si>
    <t>47.8666 56.6272</t>
  </si>
  <si>
    <t>Мастер Пол</t>
  </si>
  <si>
    <t>+7 (8362) 72-06-20, +7 (8362) 31-07-10, +7 (8362) 36-70-07</t>
  </si>
  <si>
    <t>Ламинат, Линолеум, Напольные покрытия, Строительный магазин</t>
  </si>
  <si>
    <t>пн-пт 09:00–18:00; сб 09:30–16:00; вс 10:00–15:00</t>
  </si>
  <si>
    <t>47.873719 56.647315</t>
  </si>
  <si>
    <t>АлисаФлор</t>
  </si>
  <si>
    <t>+7 (8362) 54-50-74</t>
  </si>
  <si>
    <t>+7 (964) 864-50-74, +7 (917) 712-65-77</t>
  </si>
  <si>
    <t xml:space="preserve">alisa-112@bk.ru  </t>
  </si>
  <si>
    <t>http://alisaflor.ru/</t>
  </si>
  <si>
    <t>Доставка цветов и букетов, Магазин подарков и сувениров, Магазин цветов</t>
  </si>
  <si>
    <t>пн-сб 08:00–20:00; вс 10:00–20:00</t>
  </si>
  <si>
    <t>http://vk.com/flowers112</t>
  </si>
  <si>
    <t>https://www.instagram.com/alisa_master12/</t>
  </si>
  <si>
    <t>47.883429 56.637636</t>
  </si>
  <si>
    <t>Кулинария</t>
  </si>
  <si>
    <t>47.898724 56.637054</t>
  </si>
  <si>
    <t>Лесная Былина</t>
  </si>
  <si>
    <t>Складская ул., 18А, корп. 3, Йошкар-Ола</t>
  </si>
  <si>
    <t>+7 (8362) 56-42-94, +7 (8362) 56-42-40</t>
  </si>
  <si>
    <t>47.898512 56.616566</t>
  </si>
  <si>
    <t>Лотос</t>
  </si>
  <si>
    <t>+7 (8362) 46-95-95</t>
  </si>
  <si>
    <t>Фитнес-клуб, Центр йоги</t>
  </si>
  <si>
    <t>пн-пт 08:00–20:30; сб,вс 10:00–14:00</t>
  </si>
  <si>
    <t>http://vk.com/lotus.yoga.studio</t>
  </si>
  <si>
    <t>http://instagram.com/lotus_yoga</t>
  </si>
  <si>
    <t>47.899802 56.646441</t>
  </si>
  <si>
    <t>Hand made подарки</t>
  </si>
  <si>
    <t>Натали</t>
  </si>
  <si>
    <t>+7 (987) 704-59-40, +7 (987) 704-60-69</t>
  </si>
  <si>
    <t>47.946832 56.630392</t>
  </si>
  <si>
    <t>Берест</t>
  </si>
  <si>
    <t>+7 (8362) 63-84-95, +7 (8362) 63-66-80</t>
  </si>
  <si>
    <t>+7 (987) 714-90-00</t>
  </si>
  <si>
    <t xml:space="preserve">info@dveri-berest.ru  </t>
  </si>
  <si>
    <t>http://dveri-berest.ru/</t>
  </si>
  <si>
    <t>Стимул</t>
  </si>
  <si>
    <t>+7 (8362) 31-00-25, +7 (8362) 31-00-75, +7 (8362) 31-02-09</t>
  </si>
  <si>
    <t>+7 (929) 734-60-10</t>
  </si>
  <si>
    <t>+7 (8362) 32-85-55</t>
  </si>
  <si>
    <t xml:space="preserve">autodoc12@mail.ru  </t>
  </si>
  <si>
    <t>http://autodoc12.ru/</t>
  </si>
  <si>
    <t>Автосервис, автотехцентр, Шиномонтаж</t>
  </si>
  <si>
    <t>47.885163 56.609794</t>
  </si>
  <si>
    <t>Разные кухни</t>
  </si>
  <si>
    <t>+7 (8362) 70-81-60, +7 (8362) 76-49-10</t>
  </si>
  <si>
    <t>Мебель для кухни, Мебель на заказ, Студия дизайна</t>
  </si>
  <si>
    <t>47.837783 56.641527</t>
  </si>
  <si>
    <t>Sтамбул</t>
  </si>
  <si>
    <t>Ленинский просп., 30, Йошкар-Ола</t>
  </si>
  <si>
    <t>+7 (8362) 45-00-78</t>
  </si>
  <si>
    <t>Магазин кожи и меха, Магазин одежды</t>
  </si>
  <si>
    <t>47.881969 56.632466</t>
  </si>
  <si>
    <t>Синтепон 12, цех</t>
  </si>
  <si>
    <t>+7 (8362) 96-69-92</t>
  </si>
  <si>
    <t>+7 (917) 713-13-34</t>
  </si>
  <si>
    <t>Нетканые материалы</t>
  </si>
  <si>
    <t>Брусчатка</t>
  </si>
  <si>
    <t>47.9337 56.6351</t>
  </si>
  <si>
    <t>Лес-Ресурс</t>
  </si>
  <si>
    <t>ул. Строителей, 64А, Йошкар-Ола</t>
  </si>
  <si>
    <t>+7 (8362) 73-22-03, +7 (8362) 96-52-42</t>
  </si>
  <si>
    <t>47.847524 56.626639</t>
  </si>
  <si>
    <t>Svetix</t>
  </si>
  <si>
    <t>+7 (8362) 90-51-14</t>
  </si>
  <si>
    <t>+7 (902) 670-51-14</t>
  </si>
  <si>
    <t>47.938056 56.623043</t>
  </si>
  <si>
    <t>Мебель Велес</t>
  </si>
  <si>
    <t>+7 (8362) 90-25-16</t>
  </si>
  <si>
    <t>вт-сб 10:00–18:00</t>
  </si>
  <si>
    <t>Электрик</t>
  </si>
  <si>
    <t>+7 (8362) 74-15-98</t>
  </si>
  <si>
    <t>http://lunaelek.pulscen.ru/</t>
  </si>
  <si>
    <t>Магазин электротоваров</t>
  </si>
  <si>
    <t>пн-пт 08:00–19:00; сб 08:00–16:00; вс 08:00–15:00</t>
  </si>
  <si>
    <t>47.898156 56.617907</t>
  </si>
  <si>
    <t>Русь</t>
  </si>
  <si>
    <t>+7 (8362) 75-94-86</t>
  </si>
  <si>
    <t>+7 (904) 724-35-36</t>
  </si>
  <si>
    <t>Агентство недвижимости, Оценочная компания</t>
  </si>
  <si>
    <t>Дворец водных видов спорта</t>
  </si>
  <si>
    <t>ул. Карла Маркса, 107А, Йошкар-Ола</t>
  </si>
  <si>
    <t>+7 (8362) 30-49-69, +7 (8362) 30-47-17</t>
  </si>
  <si>
    <t>Бассейн, Спортивный комплекс</t>
  </si>
  <si>
    <t>http://vk.com/dvvs_yola</t>
  </si>
  <si>
    <t>47.893132 56.623368</t>
  </si>
  <si>
    <t>Контрольно-измерительные Приборы</t>
  </si>
  <si>
    <t>ул. Панфилова, 12, Йошкар-Ола</t>
  </si>
  <si>
    <t>+7 (8362) 74-21-00, +7 (8362) 41-76-46, +7 (8362) 45-05-03</t>
  </si>
  <si>
    <t>+7 (8362) 45-05-03</t>
  </si>
  <si>
    <t>http://faterov.pulscen.ru/</t>
  </si>
  <si>
    <t>Водопроводное оборудование, Газовое оборудование, Контрольно-измерительные приборы, Трубы и трубопроводная арматура</t>
  </si>
  <si>
    <t>47.889332 56.621003</t>
  </si>
  <si>
    <t>Версия</t>
  </si>
  <si>
    <t>ул. Строителей, 98Б, Йошкар-Ола</t>
  </si>
  <si>
    <t>+7 (8362) 20-58-02</t>
  </si>
  <si>
    <t>+7 (917) 705-97-30</t>
  </si>
  <si>
    <t>47.871293 56.607704</t>
  </si>
  <si>
    <t>СиЭс Медика</t>
  </si>
  <si>
    <t>8 (800) 555-00-80, +7 (8362) 42-26-73, +7 (8362) 42-65-81</t>
  </si>
  <si>
    <t xml:space="preserve">csinfo@csmedica.ru, iloveomron@csmedica.ru  </t>
  </si>
  <si>
    <t>https://csmedica.ru/</t>
  </si>
  <si>
    <t>Медицинское оборудование, медтехника, Ремонт медицинской техники</t>
  </si>
  <si>
    <t>пн-пт 09:00–17:00, перерыв 14:00–15:00</t>
  </si>
  <si>
    <t>http://vk.com/csmedica</t>
  </si>
  <si>
    <t>http://www.facebook.com/csmedica</t>
  </si>
  <si>
    <t>https://www.youtube.com/csmedica</t>
  </si>
  <si>
    <t>https://www.instagram.com/csmedica</t>
  </si>
  <si>
    <t>Форпост</t>
  </si>
  <si>
    <t>+7 (909) 366-94-94, +7 (909) 368-77-55</t>
  </si>
  <si>
    <t>МБОУ Средняя школа № 23 г. Йошкар-Олы</t>
  </si>
  <si>
    <t>+7 (8362) 73-36-00, +7 (8362) 73-36-01, +7 (8362) 55-36-62</t>
  </si>
  <si>
    <t xml:space="preserve">shk_23@mail.ru, uoa-cro@yandex.ru  </t>
  </si>
  <si>
    <t>http://23shk.ucoz.ru/</t>
  </si>
  <si>
    <t>http://vk.com/club20438539</t>
  </si>
  <si>
    <t>47.84423 56.638766</t>
  </si>
  <si>
    <t>+7 (917) 701-70-07, +7 (937) 933-03-31</t>
  </si>
  <si>
    <t>пн-сб 08:30–18:00</t>
  </si>
  <si>
    <t>Образцовая типография</t>
  </si>
  <si>
    <t>+7 (8362) 41-02-47</t>
  </si>
  <si>
    <t>+7 (917) 700-24-55</t>
  </si>
  <si>
    <t xml:space="preserve">ot-flexo12@mail.ru  </t>
  </si>
  <si>
    <t>http://flex12.ru/</t>
  </si>
  <si>
    <t>Типография</t>
  </si>
  <si>
    <t>47.883843 56.627079</t>
  </si>
  <si>
    <t>+7 (8362) 21-43-59</t>
  </si>
  <si>
    <t>47.92615 56.631821</t>
  </si>
  <si>
    <t>Водопроводная ул., 118, Йошкар-Ола</t>
  </si>
  <si>
    <t>+7 (8362) 44-46-48</t>
  </si>
  <si>
    <t>Автосервис, автотехцентр, Кузовной ремонт, Сварочные работы, Шиномонтаж</t>
  </si>
  <si>
    <t>47.880697 56.653078</t>
  </si>
  <si>
    <t>Протек 12</t>
  </si>
  <si>
    <t>+7 (8362) 64-16-91, +7 (8362) 45-52-74, +7 (8362) 95-43-89, +7 (8362) 45-34-45</t>
  </si>
  <si>
    <t>http://www.protek12.ru/</t>
  </si>
  <si>
    <t>http://instagram.com/protek12_yola</t>
  </si>
  <si>
    <t>+7 (8362) 32-44-02, +7 (8362) 74-21-20</t>
  </si>
  <si>
    <t>Магазин продуктов, Продукты питания оптом</t>
  </si>
  <si>
    <t>Картинка</t>
  </si>
  <si>
    <t>+7 (8362) 99-08-09</t>
  </si>
  <si>
    <t>Пленки архитектурные, декоративные, защитные, Тонирование стекол</t>
  </si>
  <si>
    <t>47.86608 56.634662</t>
  </si>
  <si>
    <t>Кора</t>
  </si>
  <si>
    <t>+7 (8362) 54-41-44</t>
  </si>
  <si>
    <t>Хоби и творчество</t>
  </si>
  <si>
    <t>+7 (8362) 33-08-20</t>
  </si>
  <si>
    <t>+7 (927) 680-84-12</t>
  </si>
  <si>
    <t>Товары для творчества и рукоделия</t>
  </si>
  <si>
    <t>47.892577 56.638693</t>
  </si>
  <si>
    <t>Магазин Подшипники</t>
  </si>
  <si>
    <t>+7 (8362) 94-31-86</t>
  </si>
  <si>
    <t>+7 (917) 716-66-29</t>
  </si>
  <si>
    <t>Подшипники</t>
  </si>
  <si>
    <t>47.898836 56.650483</t>
  </si>
  <si>
    <t>Общежитие № 2 Аграрного колледжа</t>
  </si>
  <si>
    <t>+7 (8362) 42-51-71</t>
  </si>
  <si>
    <t>47.884438 56.635107</t>
  </si>
  <si>
    <t>Green Star</t>
  </si>
  <si>
    <t>+7 (8362) 45-91-90, +7 (8362) 65-19-67, +7 (8362) 38-38-13</t>
  </si>
  <si>
    <t>+7 (917) 711-38-05, +7 (902) 325-19-67</t>
  </si>
  <si>
    <t xml:space="preserve">greenstarld@gmail.com, calif-camen@mail.ru  </t>
  </si>
  <si>
    <t>http://grstar.ru/</t>
  </si>
  <si>
    <t>Студия ландшафтного дизайна</t>
  </si>
  <si>
    <t>https://vk.com/green_star_ld</t>
  </si>
  <si>
    <t>https://www.facebook.com/%D0%9B%D0%B0%D0%BD%D0%B4%D1%88%D0%B0%D1%84%D1%82%D0%BD%D1%8B%D0%B9-%D0%B4%D0%B8%D0%B7%D0%B0%D0%B9%D0%BD-%D0%B2-%D0%99%D0%BE%D1%88%D0%BA%D0%B0%D1%80-%D0%9E%D0%BB%D0%B5-%D0%B8-%D0%A0%D0%9C%D0%AD-507684922737251/</t>
  </si>
  <si>
    <t>47.8832 56.6456</t>
  </si>
  <si>
    <t>Стиль Города</t>
  </si>
  <si>
    <t>+7 (8362) 40-16-30, +7 (8362) 33-92-06</t>
  </si>
  <si>
    <t>+7 (927) 680-75-35</t>
  </si>
  <si>
    <t>47.8982 56.635</t>
  </si>
  <si>
    <t>Детский сад Я люблю Монтесорри</t>
  </si>
  <si>
    <t>ул. Машиностроителей, 59А, Йошкар-Ола</t>
  </si>
  <si>
    <t>https://www.facebook.com/montessori.ola</t>
  </si>
  <si>
    <t>47.869883 56.638535</t>
  </si>
  <si>
    <t>Шпон-Профи</t>
  </si>
  <si>
    <t>Элеваторный пр., 11А, корп. 1, Йошкар-Ола</t>
  </si>
  <si>
    <t>+7 (8362) 45-22-00</t>
  </si>
  <si>
    <t>+7 (987) 720-04-02</t>
  </si>
  <si>
    <t xml:space="preserve">zakaz@shponprofi.ru  </t>
  </si>
  <si>
    <t>http://shponprofi.ru/</t>
  </si>
  <si>
    <t>Деревообрабатывающее предприятие, Лесозаготовка, продажа леса</t>
  </si>
  <si>
    <t>47.894344 56.610488</t>
  </si>
  <si>
    <t>Стоматология Елены Андреевой</t>
  </si>
  <si>
    <t>+7 (8362) 42-21-19</t>
  </si>
  <si>
    <t>47.908879 56.644283</t>
  </si>
  <si>
    <t>Фокус</t>
  </si>
  <si>
    <t>Маэстро</t>
  </si>
  <si>
    <t>+7 (8362) 79-23-61</t>
  </si>
  <si>
    <t>47.86856 56.650371</t>
  </si>
  <si>
    <t>Медель</t>
  </si>
  <si>
    <t>+7 (8362) 36-10-54</t>
  </si>
  <si>
    <t>+7 (937) 112-22-95</t>
  </si>
  <si>
    <t>Абакумов Станислав Борисович</t>
  </si>
  <si>
    <t>Советская ул., 59, Йошкар-Ола</t>
  </si>
  <si>
    <t>+7 (917) 710-17-75</t>
  </si>
  <si>
    <t>47.905331 56.645475</t>
  </si>
  <si>
    <t>Жэук Благоустройство-1</t>
  </si>
  <si>
    <t>+7 (8362) 38-20-24, +7 (8362) 38-20-28, +7 (8362) 67-68-57</t>
  </si>
  <si>
    <t xml:space="preserve">ukblago@bk.ru  </t>
  </si>
  <si>
    <t>http://ukblago.ru/</t>
  </si>
  <si>
    <t>http://vk.com/blagoyola</t>
  </si>
  <si>
    <t>Кладка, склад № 4</t>
  </si>
  <si>
    <t>ул. Баумана, 102, Йошкар-Ола</t>
  </si>
  <si>
    <t>+7 (8362) 31-32-13</t>
  </si>
  <si>
    <t>http://kladka-ok.ru/</t>
  </si>
  <si>
    <t>Кирпич, Металлоизделия, Оптовый магазин, Строительный магазин, Стройматериалы оптом, Сухие строительные смеси, Цемент</t>
  </si>
  <si>
    <t>47.857828 56.627604</t>
  </si>
  <si>
    <t>Ломбард 585</t>
  </si>
  <si>
    <t>8 (800) 555-15-85</t>
  </si>
  <si>
    <t>http://lombard.zoloto585.ru/</t>
  </si>
  <si>
    <t>47.896 56.6349</t>
  </si>
  <si>
    <t>МУП Город</t>
  </si>
  <si>
    <t>ул. Гончарова, 1А, Йошкар-Ола</t>
  </si>
  <si>
    <t>+7 (8362) 45-58-89, +7 (8362) 45-08-88, +7 (8362) 45-24-95, +7 (8362) 64-19-92</t>
  </si>
  <si>
    <t xml:space="preserve">geoff@deconcept.com, mupgorod1@gmail.com  </t>
  </si>
  <si>
    <t>http://mupgorod-yola.ru/</t>
  </si>
  <si>
    <t>Коммунальная служба, Строительство и ремонт дорог</t>
  </si>
  <si>
    <t>47.8903 56.6147</t>
  </si>
  <si>
    <t>Электроцентр</t>
  </si>
  <si>
    <t>+7 (8362) 64-16-42, +7 (8362) 64-16-41</t>
  </si>
  <si>
    <t xml:space="preserve">elcentr@bk.ru  </t>
  </si>
  <si>
    <t>http://elektrocentr12.ru/</t>
  </si>
  <si>
    <t>Магазин электротоваров, Светильники, Светотехника, Электротехническая продукция</t>
  </si>
  <si>
    <t>47.896824 56.64062</t>
  </si>
  <si>
    <t>Библиотека № 28, филиал</t>
  </si>
  <si>
    <t>ул. Йывана Кырли, 17Б, Йошкар-Ола</t>
  </si>
  <si>
    <t>+7 (8362) 46-56-67</t>
  </si>
  <si>
    <t>пн-чт 10:00–18:00, перерыв 12:30–13:00; пт,сб 10:00–17:00, перерыв 12:30–13:00</t>
  </si>
  <si>
    <t>47.839122 56.642372</t>
  </si>
  <si>
    <t>Автодиагностика</t>
  </si>
  <si>
    <t>ул. Суворова, 19Г, Йошкар-Ола</t>
  </si>
  <si>
    <t>+7 (8362) 99-39-99</t>
  </si>
  <si>
    <t>Автокосметика, автохимия, Автомойка</t>
  </si>
  <si>
    <t>47.85954 56.639114</t>
  </si>
  <si>
    <t>МБДОУ детский сад № 68 Золотой петушок</t>
  </si>
  <si>
    <t>ул. Строителей, 17Б, Йошкар-Ола</t>
  </si>
  <si>
    <t>+7 (8362) 73-11-63, +7 (8362) 73-44-11, +7 (36225) 6-62-18</t>
  </si>
  <si>
    <t>47.838201 56.636754</t>
  </si>
  <si>
    <t>ТехноПрофиль Мари Эл</t>
  </si>
  <si>
    <t>ул. Строителей, 95, корп. 102В, Йошкар-Ола</t>
  </si>
  <si>
    <t>+7 (8362) 66-21-66, +7 (8362) 41-32-33, +7 (8362) 66-28-58</t>
  </si>
  <si>
    <t>+7 (8362) 41-32-33</t>
  </si>
  <si>
    <t>http://tehnoprofil12.ru/</t>
  </si>
  <si>
    <t>Кровля и кровельные материалы, Металлопрокат, Строительный магазин</t>
  </si>
  <si>
    <t>Ателье</t>
  </si>
  <si>
    <t>+7 (8362) 78-22-61</t>
  </si>
  <si>
    <t>Ателье по пошиву одежды, Меховое ателье</t>
  </si>
  <si>
    <t>Одноразовая посуда</t>
  </si>
  <si>
    <t>+7 (8362) 91-21-97, +7 (8362) 63-63-05</t>
  </si>
  <si>
    <t>Одноразовая посуда, Оптовый магазин</t>
  </si>
  <si>
    <t>Красноармейская ул., 45, Йошкар-Ола</t>
  </si>
  <si>
    <t>+7 (8362) 43-03-33, +7 (8362) 42-88-55</t>
  </si>
  <si>
    <t>Книжный магазин, Магазин канцтоваров</t>
  </si>
  <si>
    <t>пн-пт 09:30–19:00; сб,вс 10:00–17:00</t>
  </si>
  <si>
    <t>47.893406 56.640823</t>
  </si>
  <si>
    <t>Интех</t>
  </si>
  <si>
    <t>ул. Пугачёва, 11, Йошкар-Ола</t>
  </si>
  <si>
    <t>+7 (8362) 72-35-10</t>
  </si>
  <si>
    <t>Всё для швейного производства</t>
  </si>
  <si>
    <t>+7 (8362) 42-70-45, +7 (8362) 35-16-45, +7 (8362) 42-64-05</t>
  </si>
  <si>
    <t>+7 (8362) 42-70-45</t>
  </si>
  <si>
    <t xml:space="preserve">info@kantibeika.ru  </t>
  </si>
  <si>
    <t>http://www.kantibeika.ru/</t>
  </si>
  <si>
    <t>Нитки, пряжа, Оптовый магазин, Товары для творчества и рукоделия, Швейная фурнитура, Швейное оборудование</t>
  </si>
  <si>
    <t>47.862403 56.617757</t>
  </si>
  <si>
    <t>Мебельный мир</t>
  </si>
  <si>
    <t>ул. Йывана Кырли, 15Б, Йошкар-Ола</t>
  </si>
  <si>
    <t>+7 (8362) 32-03-42</t>
  </si>
  <si>
    <t>+7 (927) 882-03-42</t>
  </si>
  <si>
    <t>Корпусная мебель, Магазин мебели, Мягкая мебель</t>
  </si>
  <si>
    <t>пн 09:30–19:00; вт 09:00–19:00; ср-вс 09:30–19:00</t>
  </si>
  <si>
    <t>47.843032 56.641663</t>
  </si>
  <si>
    <t>Пенетрон</t>
  </si>
  <si>
    <t>+7 (966) 250-09-11</t>
  </si>
  <si>
    <t xml:space="preserve">penetron-kazan@mail.ru, elstroy0@mail.ru, zarya65@mail.ru </t>
  </si>
  <si>
    <t>http://gidroizolaciya-yoskarola.ru/</t>
  </si>
  <si>
    <t>Ремонт одежды</t>
  </si>
  <si>
    <t>Пролетарская ул., 30, Йошкар-Ола</t>
  </si>
  <si>
    <t>+7 (927) 874-49-69</t>
  </si>
  <si>
    <t>47.893113 56.645737</t>
  </si>
  <si>
    <t>Автоцвет</t>
  </si>
  <si>
    <t>ул. Дружбы, 94В, Йошкар-Ола</t>
  </si>
  <si>
    <t>+7 (8362) 43-04-72, +7 (8362) 54-30-70</t>
  </si>
  <si>
    <t>+7 (917) 710-05-27, +7 (917) 710-05-29, +7 (917) 700-19-90, +7 (917) 071-29-40, +7 (917) 710-05-05</t>
  </si>
  <si>
    <t xml:space="preserve">ts-avtocvet@mail.ru  </t>
  </si>
  <si>
    <t>http://ts-avtocvet.ru/</t>
  </si>
  <si>
    <t>Автокосметика, автохимия, Автосервис, автотехцентр, Автоэмали, автомобильные краски, Магазин автозапчастей и автотоваров, Смазочные материалы</t>
  </si>
  <si>
    <t>пн-сб 08:00–18:00; вс 08:00–17:00</t>
  </si>
  <si>
    <t>http://vk.com/ts_avtocvet</t>
  </si>
  <si>
    <t>47.867298 56.6537</t>
  </si>
  <si>
    <t>Авангард М</t>
  </si>
  <si>
    <t>ул. Луначарского, 26, Йошкар-Ола</t>
  </si>
  <si>
    <t>+7 (8362) 74-18-01, +7 (8362) 74-18-00, +7 (8362) 74-20-02</t>
  </si>
  <si>
    <t>Магазин ткани, Оптовый магазин, Производство и продажа тканей, Спецодежда, Средства индивидуальной защиты</t>
  </si>
  <si>
    <t>47.9092 56.6146</t>
  </si>
  <si>
    <t>СтрижКати</t>
  </si>
  <si>
    <t>ул. Йывана Кырли, 15А, Йошкар-Ола</t>
  </si>
  <si>
    <t>+7 (8362) 23-37-23</t>
  </si>
  <si>
    <t>+7 (937) 939-40-90</t>
  </si>
  <si>
    <t xml:space="preserve">lapteva.ty@yandex.ru  </t>
  </si>
  <si>
    <t>пн-сб 08:00–20:00; вс 09:00–19:00</t>
  </si>
  <si>
    <t>http://vk.com/skstrig_kati</t>
  </si>
  <si>
    <t>47.842144 56.641839</t>
  </si>
  <si>
    <t>Эгла</t>
  </si>
  <si>
    <t>бул. Чавайна, 10, Йошкар-Ола</t>
  </si>
  <si>
    <t>+7 (902) 358-65-50, +7 (917) 709-46-09</t>
  </si>
  <si>
    <t>47.924366 56.629748</t>
  </si>
  <si>
    <t>Торговый дом Герметик</t>
  </si>
  <si>
    <t>ул. Баумана, 100Г, Йошкар-Ола</t>
  </si>
  <si>
    <t>+7 (8362) 55-37-00, +7 (8362) 73-45-82, +7 (8362) 33-09-09, +7 (8362) 32-32-92, +7 (8362) 32-52-48, +7 (8362) 33-32-00</t>
  </si>
  <si>
    <t xml:space="preserve">semvictor@rambler.ru </t>
  </si>
  <si>
    <t>http://germetik12.ru/</t>
  </si>
  <si>
    <t>Герметики, Изоляционные материалы, Комплектующие для окон</t>
  </si>
  <si>
    <t>http://vk.com/germetik12rus</t>
  </si>
  <si>
    <t>47.857156 56.628307</t>
  </si>
  <si>
    <t>Всероссийское общество слепых</t>
  </si>
  <si>
    <t>+7 (8362) 46-12-32</t>
  </si>
  <si>
    <t>+7 (8362) 46-12-90</t>
  </si>
  <si>
    <t xml:space="preserve">info@vos.org.ru  </t>
  </si>
  <si>
    <t>http://www.vos.org.ru/</t>
  </si>
  <si>
    <t>47.889758 56.646027</t>
  </si>
  <si>
    <t>Юридические консультации</t>
  </si>
  <si>
    <t>47.856809 56.643174</t>
  </si>
  <si>
    <t>Танцевально-спортивный клуб Дебют</t>
  </si>
  <si>
    <t>ул. Зарубина, 22, Йошкар-Ола</t>
  </si>
  <si>
    <t>+7 (8362) 43-43-42</t>
  </si>
  <si>
    <t>+7 (927) 876-40-22</t>
  </si>
  <si>
    <t xml:space="preserve">lycee26@mail.ru, uoa-cro@yandex.ru </t>
  </si>
  <si>
    <t>пн-пт 16:00–21:00</t>
  </si>
  <si>
    <t>47.878875 56.630689</t>
  </si>
  <si>
    <t>ГБУ РМЭ Республиканский центр психолого-педагогической и социальной помощи населению Доверие</t>
  </si>
  <si>
    <t>+7 (8362) 21-10-40, +7 (8362) 21-01-09, +7 (8362) 21-01-34</t>
  </si>
  <si>
    <t xml:space="preserve">rzsppn@yandex.ru, minso@mari-el.ru, informsreda@yandex.ru, mariy@rfdeti.ru  </t>
  </si>
  <si>
    <t>http://mari-el.gov.ru/minsoc/centr_doverie/</t>
  </si>
  <si>
    <t>Психологическая служба, Социальная служба</t>
  </si>
  <si>
    <t>https://vk.com/psicentr12</t>
  </si>
  <si>
    <t>МОУ Лицей № 11 им. Т. И. Александровой</t>
  </si>
  <si>
    <t>+7 (8362) 45-33-00, +7 (8362) 42-15-92</t>
  </si>
  <si>
    <t xml:space="preserve">liceyalex11@yandex.ru, a.tumbartsev@mail.ru  </t>
  </si>
  <si>
    <t>https://11licey.ru/</t>
  </si>
  <si>
    <t>Лицей, Общеобразовательная школа</t>
  </si>
  <si>
    <t>пн-пт 08:00–16:00; сб 10:00–14:00</t>
  </si>
  <si>
    <t>http://vk.com/club7774928</t>
  </si>
  <si>
    <t>47.893212 56.634003</t>
  </si>
  <si>
    <t>+7 (917) 711-10-06</t>
  </si>
  <si>
    <t>Корпусная мебель, Магазин мебели, Мебель на заказ</t>
  </si>
  <si>
    <t>Детский сад № 55 Елочка</t>
  </si>
  <si>
    <t>ул. Добролюбова, 88А, Йошкар-Ола</t>
  </si>
  <si>
    <t>+7 (8362) 46-39-32, +7 (8362) 46-32-98</t>
  </si>
  <si>
    <t xml:space="preserve">detsadik55@yandex.ru, k55@yandex.ru, uoa-yoshkar-ola@yandex.ru  </t>
  </si>
  <si>
    <t>http://edu.mari.ru/mouo-yoshkarola/dou55</t>
  </si>
  <si>
    <t>47.946015 56.638128</t>
  </si>
  <si>
    <t>Мебельщик</t>
  </si>
  <si>
    <t>+7 (8362) 96-46-79</t>
  </si>
  <si>
    <t>Росинкас</t>
  </si>
  <si>
    <t>+7 (8362) 72-87-57, +7 (8362) 42-41-08, +7 (8362) 72-23-25</t>
  </si>
  <si>
    <t xml:space="preserve">supportsite@rosinkas.ru  </t>
  </si>
  <si>
    <t>https://www.rosinkas.ru/, https://www.rosinkas.ru/Department/Details/31</t>
  </si>
  <si>
    <t>Инкассация</t>
  </si>
  <si>
    <t>47.888352 56.632263</t>
  </si>
  <si>
    <t>Книжный магазин Перекресток миров</t>
  </si>
  <si>
    <t>+7 (917) 702-07-00</t>
  </si>
  <si>
    <t>пн 10:00–16:00; вт-пт 09:00–17:30; сб,вс 09:00–17:00</t>
  </si>
  <si>
    <t>47.8859 56.6324</t>
  </si>
  <si>
    <t>Утилизация опасных отходов</t>
  </si>
  <si>
    <t>пер. Голикова, 9, Йошкар-Ола</t>
  </si>
  <si>
    <t>+7 (8362) 96-51-85, +7 (8362) 74-15-51</t>
  </si>
  <si>
    <t>47.9043 56.6174</t>
  </si>
  <si>
    <t>Антилопа ГНУ</t>
  </si>
  <si>
    <t>ул. Панфилова, 37, Йошкар-Ола</t>
  </si>
  <si>
    <t>+7 (8362) 96-90-80</t>
  </si>
  <si>
    <t>47.8782 56.627436</t>
  </si>
  <si>
    <t>Сам гружу, сам вожу</t>
  </si>
  <si>
    <t>ул. Дружбы, 83, Йошкар-Ола</t>
  </si>
  <si>
    <t>+7 (964) 864-71-51, +7 (937) 116-83-48</t>
  </si>
  <si>
    <t>47.857648 56.651562</t>
  </si>
  <si>
    <t>Аптечный пункт № 3</t>
  </si>
  <si>
    <t>ул. Героев Сталинградской Битвы, 34А, Йошкар-Ола</t>
  </si>
  <si>
    <t>+7 (8362) 22-85-77</t>
  </si>
  <si>
    <t>47.945027 56.625212</t>
  </si>
  <si>
    <t>Заделье</t>
  </si>
  <si>
    <t>+7 (8362) 45-13-56</t>
  </si>
  <si>
    <t>Локон</t>
  </si>
  <si>
    <t>+7 (8362) 41-55-84</t>
  </si>
  <si>
    <t>47.879418 56.641402</t>
  </si>
  <si>
    <t>ТСЖ Гомзово</t>
  </si>
  <si>
    <t>+7 (8362) 34-55-90</t>
  </si>
  <si>
    <t>47.863487 56.646772</t>
  </si>
  <si>
    <t>Волги на свадьбу</t>
  </si>
  <si>
    <t>+7 (8362) 24-84-09</t>
  </si>
  <si>
    <t>+7 (902) 434-84-09</t>
  </si>
  <si>
    <t>Заказ автомобилей, Праздничное агентство</t>
  </si>
  <si>
    <t>47.908293 56.630201</t>
  </si>
  <si>
    <t>Компания Всё для ПК</t>
  </si>
  <si>
    <t>+7 (8362) 46-22-92, +7 (8362) 46-80-53</t>
  </si>
  <si>
    <t xml:space="preserve">office@vdpk.ru, tehnotrade@vdpk.ru, webmaster@vdpk.ru  </t>
  </si>
  <si>
    <t>http://vdpk.ru/</t>
  </si>
  <si>
    <t>Компьютерный магазин, Программное обеспечение, Расходные материалы для оргтехники</t>
  </si>
  <si>
    <t>47.890913 56.643163</t>
  </si>
  <si>
    <t>47.916947 56.631288</t>
  </si>
  <si>
    <t>Компания Полюс</t>
  </si>
  <si>
    <t>+7 (8362) 42-88-08, +7 (8362) 23-28-51, +7 (8362) 42-91-31, +7 (8362) 42-09-20, +7 (8362) 23-28-50</t>
  </si>
  <si>
    <t xml:space="preserve">sales@oaopolus.ru, snab@oaopolus.ru, market@oaopolus.ru, otk@oaopolus.ru  </t>
  </si>
  <si>
    <t>http://oaopolus.ru/</t>
  </si>
  <si>
    <t>Промышленное холодильное оборудование, Торговое оборудование</t>
  </si>
  <si>
    <t>47.862592 56.621964</t>
  </si>
  <si>
    <t>Копи-Центр</t>
  </si>
  <si>
    <t xml:space="preserve">printer44@yandex.ru  </t>
  </si>
  <si>
    <t>Копировальный центр, Полиграфические услуги, Фотоуслуги</t>
  </si>
  <si>
    <t>http://vk.com/kopiruem</t>
  </si>
  <si>
    <t>Мастер GSM</t>
  </si>
  <si>
    <t>+7 (8362) 33-37-38</t>
  </si>
  <si>
    <t>Салон связи, Телекоммуникационное оборудование</t>
  </si>
  <si>
    <t>пн-сб 09:00–19:30; вс 09:00–18:30</t>
  </si>
  <si>
    <t>47.921487 56.630253</t>
  </si>
  <si>
    <t>Городские окна</t>
  </si>
  <si>
    <t>+7 (8362) 70-90-99</t>
  </si>
  <si>
    <t>Мистраль 2</t>
  </si>
  <si>
    <t>+7 (927) 876-07-82, +7 (917) 700-11-78</t>
  </si>
  <si>
    <t>Салон магазин Защита</t>
  </si>
  <si>
    <t>+7 (8362) 45-21-46</t>
  </si>
  <si>
    <t xml:space="preserve">info@tatsafe.ru  </t>
  </si>
  <si>
    <t>http://www.tatsafe.ru/, http://ofisemebel.ru/</t>
  </si>
  <si>
    <t>Магазин мебели, Мебель для офиса, Мягкая мебель, Сейфы, Стеллажи</t>
  </si>
  <si>
    <t>https://vk.com/seif_kazan</t>
  </si>
  <si>
    <t>47.90076 56.646892</t>
  </si>
  <si>
    <t>пн-пт 08:00–18:00, перерыв 12:00–13:00; сб 09:00–14:00</t>
  </si>
  <si>
    <t>47.927233 56.631721</t>
  </si>
  <si>
    <t>Кровельные материалы</t>
  </si>
  <si>
    <t>+7 (8362) 32-22-20, +7 (8362) 45-89-11</t>
  </si>
  <si>
    <t>Кровля и кровельные материалы</t>
  </si>
  <si>
    <t>Восход-Мари</t>
  </si>
  <si>
    <t>+7 (8362) 56-03-21, +7 (8362) 56-05-26, +7 (8362) 75-77-89</t>
  </si>
  <si>
    <t xml:space="preserve">voshod-mari@mail.ru, voshod-mari@list.ru, voshodv@mail.ru  </t>
  </si>
  <si>
    <t>https://voshod-mari.ru/</t>
  </si>
  <si>
    <t>Магазин канцтоваров, Товары для творчества и рукоделия, Фейерверки и пиротехника</t>
  </si>
  <si>
    <t>http://vk.com/voshod_mari</t>
  </si>
  <si>
    <t>47.908096 56.63053</t>
  </si>
  <si>
    <t>СТиК</t>
  </si>
  <si>
    <t>+7 (8362) 28-88-88, +7 (8362) 28-88-80</t>
  </si>
  <si>
    <t>Натяжные и подвесные потолки, Окна, Спутниковое телевидение</t>
  </si>
  <si>
    <t>пн-пт 09:00–18:00, перерыв 13:00–14:00; сб 09:00–15:00, перерыв 13:00–14:00</t>
  </si>
  <si>
    <t>Форт Пласт</t>
  </si>
  <si>
    <t>+7 (8362) 42-00-41, +7 (8362) 52-34-01, +7 (8362) 97-01-30, +7 (8362) 42-70-00</t>
  </si>
  <si>
    <t>Двери, Жалюзи и рулонные шторы, Натяжные и подвесные потолки, Окна</t>
  </si>
  <si>
    <t>47.875284 56.637477</t>
  </si>
  <si>
    <t>Термоснабсервис</t>
  </si>
  <si>
    <t>Складская ул., 8Б, Йошкар-Ола</t>
  </si>
  <si>
    <t>+7 (8362) 33-66-12</t>
  </si>
  <si>
    <t>http://otoplenie.tiu.ru/</t>
  </si>
  <si>
    <t>Магазин сантехники</t>
  </si>
  <si>
    <t>Промышленная безопасность</t>
  </si>
  <si>
    <t>Садовая ул., 23/20, Йошкар-Ола</t>
  </si>
  <si>
    <t>+7 (903) 326-14-47</t>
  </si>
  <si>
    <t>47.848746 56.633095</t>
  </si>
  <si>
    <t>Вознесенская ул., 49, Йошкар-Ола</t>
  </si>
  <si>
    <t>+7 (917) 700-62-80</t>
  </si>
  <si>
    <t>Товары и услуги для паломников</t>
  </si>
  <si>
    <t>47.90171 56.636709</t>
  </si>
  <si>
    <t>Максим</t>
  </si>
  <si>
    <t>+7 (917) 710-22-29</t>
  </si>
  <si>
    <t>Магазин одежды, Одежда больших размеров</t>
  </si>
  <si>
    <t>47.91771 56.627417</t>
  </si>
  <si>
    <t>Бульдог</t>
  </si>
  <si>
    <t>бул. Чавайна, 33, Йошкар-Ола</t>
  </si>
  <si>
    <t>+7 (8362) 45-30-00</t>
  </si>
  <si>
    <t xml:space="preserve">co66ler@gmail.com  </t>
  </si>
  <si>
    <t>https://pubbulldog.ru/</t>
  </si>
  <si>
    <t>Бар, паб, Доставка еды и обедов, Пиццерия</t>
  </si>
  <si>
    <t>пн-чт 11:00–02:00; пт,сб 11:00–04:00; вс 11:00–02:00</t>
  </si>
  <si>
    <t>https://vk.com/pubbulldog</t>
  </si>
  <si>
    <t>https://instagram.com/pubbulldog.ru</t>
  </si>
  <si>
    <t>47.899134 56.634055</t>
  </si>
  <si>
    <t>Аякс</t>
  </si>
  <si>
    <t>47.92195 56.630211</t>
  </si>
  <si>
    <t>Ариэль</t>
  </si>
  <si>
    <t>+7 (8362) 42-41-40, +7 (8362) 72-61-91</t>
  </si>
  <si>
    <t>Бытовая химия оптом, Магазин парфюмерии и косметики, Магазин хозтоваров и бытовой химии</t>
  </si>
  <si>
    <t>ежедневно, 09:00–19:30</t>
  </si>
  <si>
    <t>https://vk.com/yola_ariel777</t>
  </si>
  <si>
    <t>https://www.instagram.com/magazine_ariel</t>
  </si>
  <si>
    <t>47.87443 56.636974</t>
  </si>
  <si>
    <t>Дизайн-сити</t>
  </si>
  <si>
    <t>+7 (8362) 45-88-43</t>
  </si>
  <si>
    <t xml:space="preserve">dcity12@yandex.ru  </t>
  </si>
  <si>
    <t>https://dcity12.ru/</t>
  </si>
  <si>
    <t>Магазин мебели, Мебель на заказ</t>
  </si>
  <si>
    <t>47.889553 56.642783</t>
  </si>
  <si>
    <t>ВодоГазКомплект</t>
  </si>
  <si>
    <t>ул. Строителей, 46А, Йошкар-Ола</t>
  </si>
  <si>
    <t>+7 (8362) 30-49-00, +7 (8362) 30-42-00</t>
  </si>
  <si>
    <t xml:space="preserve">info@vgk12.ru  </t>
  </si>
  <si>
    <t>http://vgk12.ru/</t>
  </si>
  <si>
    <t>Водосчетчики, газосчетчики, теплосчетчики, Газовое оборудование, Котлы и котельное оборудование, Отопительное оборудование и системы, Системы водоснабжения, отопления, канализации</t>
  </si>
  <si>
    <t>https://vk.com/vgk12</t>
  </si>
  <si>
    <t>47.836421 56.635194</t>
  </si>
  <si>
    <t>+7 (8362) 45-87-99</t>
  </si>
  <si>
    <t>Стиль-Тайм</t>
  </si>
  <si>
    <t>Первомайская ул., 150, Йошкар-Ола</t>
  </si>
  <si>
    <t>+7 (902) 124-03-62</t>
  </si>
  <si>
    <t>Магазин часов</t>
  </si>
  <si>
    <t>https://vk.com/styletime12</t>
  </si>
  <si>
    <t>https://www.instagram.com/styletime_12/</t>
  </si>
  <si>
    <t>47.883869 56.633991</t>
  </si>
  <si>
    <t>Библиотека, филиал № 8</t>
  </si>
  <si>
    <t>ул. Зарубина, 1А, Йошкар-Ола</t>
  </si>
  <si>
    <t>+7 (8362) 42-41-37</t>
  </si>
  <si>
    <t>пн-чт 10:00–18:00; пт-вс 10:00–17:00</t>
  </si>
  <si>
    <t>47.883455 56.625868</t>
  </si>
  <si>
    <t>Автокафе</t>
  </si>
  <si>
    <t>+7 (902) 738-70-96, +7 (902) 436-69-38</t>
  </si>
  <si>
    <t>https://www.instagram.com/avtokafe12</t>
  </si>
  <si>
    <t>47.840094 56.631942</t>
  </si>
  <si>
    <t>Аквамастер Марий Эл</t>
  </si>
  <si>
    <t>+7 (8362) 38-13-80</t>
  </si>
  <si>
    <t xml:space="preserve">olvia_m@mail.ru  </t>
  </si>
  <si>
    <t>http://aquamaster12.ru/</t>
  </si>
  <si>
    <t>Водоочистка, водоочистное оборудование, Проектная организация, Строительство и монтаж бассейнов, аквапарков, Строительство и обслуживание инженерных сетей</t>
  </si>
  <si>
    <t>https://vk.com/olvia_m</t>
  </si>
  <si>
    <t>47.893254 56.648219</t>
  </si>
  <si>
    <t>Студия Happy Family</t>
  </si>
  <si>
    <t>+7 (937) 939-73-08</t>
  </si>
  <si>
    <t>http://кино12.рф/</t>
  </si>
  <si>
    <t>Видеосъемка, Интернет-маркетинг, Фотоуслуги</t>
  </si>
  <si>
    <t>пн-сб 10:00–21:00</t>
  </si>
  <si>
    <t>https://vk.com/svadebnoe_video12</t>
  </si>
  <si>
    <t>https://www.youtube.com/channel/UCfCH45pqjR8gXBKMjmAg1Og</t>
  </si>
  <si>
    <t>47.88078 56.637986</t>
  </si>
  <si>
    <t>РСИ</t>
  </si>
  <si>
    <t>+7 (8362) 73-26-00</t>
  </si>
  <si>
    <t>Пиломатериал</t>
  </si>
  <si>
    <t>ул. Мышино, 1, Йошкар-Ола</t>
  </si>
  <si>
    <t>+7 (906) 137-85-37, +7 (962) 588-06-86</t>
  </si>
  <si>
    <t>пн-пт 09:00–18:00, перерыв 12:00–13:00; сб 09:00–14:00</t>
  </si>
  <si>
    <t>47.819254 56.641812</t>
  </si>
  <si>
    <t>Жалюзи</t>
  </si>
  <si>
    <t>+7 (8362) 45-07-18, +7 (8362) 27-78-12, +7 (8362) 29-95-95</t>
  </si>
  <si>
    <t>+7 (987) 715-38-70, +7 (962) 353-78-78, +7 (902) 432-95-95</t>
  </si>
  <si>
    <t xml:space="preserve">amanich@inbox.ru  </t>
  </si>
  <si>
    <t>Дизайн интерьеров, Жалюзи и рулонные шторы, Шторы, карнизы</t>
  </si>
  <si>
    <t>пн-пт 09:30–18:30; сб,вс 10:00–15:00</t>
  </si>
  <si>
    <t>https://vk.com/jaluzi_yola</t>
  </si>
  <si>
    <t>https://www.instagram.com/jaluzi_yola</t>
  </si>
  <si>
    <t>Тандем-Транс</t>
  </si>
  <si>
    <t>+7 (8362) 72-31-76</t>
  </si>
  <si>
    <t>Том и Джерри</t>
  </si>
  <si>
    <t>+7 (8362) 33-48-61</t>
  </si>
  <si>
    <t>47.921843 56.630224</t>
  </si>
  <si>
    <t>Общежитие ПГТУ № 2</t>
  </si>
  <si>
    <t>Советская ул., 150, Йошкар-Ола</t>
  </si>
  <si>
    <t>+7 (8362) 68-60-03</t>
  </si>
  <si>
    <t>пн-пт 09:00–16:00, перерыв 12:00–13:00</t>
  </si>
  <si>
    <t>47.8941 56.631</t>
  </si>
  <si>
    <t>Беседка для вашего отдыха</t>
  </si>
  <si>
    <t>ул. Гончарова, 13, Йошкар-Ола</t>
  </si>
  <si>
    <t>+7 (902) 329-13-70</t>
  </si>
  <si>
    <t>47.887068 56.615629</t>
  </si>
  <si>
    <t>Марикорм</t>
  </si>
  <si>
    <t>+7 (961) 334-91-89</t>
  </si>
  <si>
    <t>47.831112 56.638758</t>
  </si>
  <si>
    <t>Андреев и Партнёры</t>
  </si>
  <si>
    <t>Экском</t>
  </si>
  <si>
    <t>+7 (8362) 41-72-22, +7 (8362) 41-61-82</t>
  </si>
  <si>
    <t>+7 (8362) 41-61-82</t>
  </si>
  <si>
    <t xml:space="preserve">417-222@mail.ru  </t>
  </si>
  <si>
    <t>http://excom.su/</t>
  </si>
  <si>
    <t>Энергогарант плюс</t>
  </si>
  <si>
    <t>+7 (8362) 42-00-62</t>
  </si>
  <si>
    <t>Топливная промышленность</t>
  </si>
  <si>
    <t>Угольная компания</t>
  </si>
  <si>
    <t>Патологоанатомическое отделение Республиканской клинической больницы</t>
  </si>
  <si>
    <t>Больничная ул., 18Б, Йошкар-Ола</t>
  </si>
  <si>
    <t>+7 (8362) 46-12-55</t>
  </si>
  <si>
    <t>Морг</t>
  </si>
  <si>
    <t>47.887273 56.65017</t>
  </si>
  <si>
    <t>Фотопечать</t>
  </si>
  <si>
    <t>+7 (961) 379-66-98</t>
  </si>
  <si>
    <t>http://fotka12.ru/</t>
  </si>
  <si>
    <t>Копировальный центр, Фотоуслуги</t>
  </si>
  <si>
    <t>47.880607 56.63227</t>
  </si>
  <si>
    <t>Стрелец</t>
  </si>
  <si>
    <t>ул. Йывана Кырли, 17, Йошкар-Ола</t>
  </si>
  <si>
    <t>+7 (8362) 55-62-65</t>
  </si>
  <si>
    <t>Товары для охоты</t>
  </si>
  <si>
    <t>47.841331 56.641689</t>
  </si>
  <si>
    <t>Альбина</t>
  </si>
  <si>
    <t>+7 (937) 939-82-45</t>
  </si>
  <si>
    <t>Центр лазерной медицины</t>
  </si>
  <si>
    <t>+7 (8362) 34-15-00, +7 (8362) 34-15-15, +7 (8362) 31-15-15</t>
  </si>
  <si>
    <t xml:space="preserve">badmod@ya.ru, info@laser-med.ru  </t>
  </si>
  <si>
    <t>http://clm.laser-med.ru/, https://laser-med.ru/</t>
  </si>
  <si>
    <t>Коррекция зрения, Медцентр, клиника</t>
  </si>
  <si>
    <t>https://vk.com/lasermedru</t>
  </si>
  <si>
    <t>https://ok.ru/lasermedru</t>
  </si>
  <si>
    <t>https://twitter.com/lasermedru</t>
  </si>
  <si>
    <t>https://www.facebook.com/lasermedru/</t>
  </si>
  <si>
    <t>https://www.youtube.com/channel/UCDP2LS_KPSdv5cgALO7Jxtw</t>
  </si>
  <si>
    <t>https://www.instagram.com/lasermedru/</t>
  </si>
  <si>
    <t>47.885774 56.641975</t>
  </si>
  <si>
    <t>ул. Якова Эшпая, 113, Йошкар-Ола</t>
  </si>
  <si>
    <t>+7 (8362) 44-12-79</t>
  </si>
  <si>
    <t>47.886062 56.643416</t>
  </si>
  <si>
    <t>Родео-Джинс</t>
  </si>
  <si>
    <t>+7 (8362) 40-10-37</t>
  </si>
  <si>
    <t>Жук 4</t>
  </si>
  <si>
    <t>Первомайская ул., 81, Йошкар-Ола</t>
  </si>
  <si>
    <t>+7 (8362) 46-80-94, +7 (8362) 46-81-64, +7 (8362) 46-86-33</t>
  </si>
  <si>
    <t>http://jeuk4.ru/</t>
  </si>
  <si>
    <t>47.892539 56.645985</t>
  </si>
  <si>
    <t>For-You</t>
  </si>
  <si>
    <t>+7 (937) 111-33-49</t>
  </si>
  <si>
    <t>Ленинский просп., 11Е, Йошкар-Ола</t>
  </si>
  <si>
    <t>+7 (8362) 52-77-22, 8 (800) 770-01-51</t>
  </si>
  <si>
    <t xml:space="preserve">lodki-volga12@mail.ru, support@tiu.ru, yola@lodki-volga.ru  </t>
  </si>
  <si>
    <t>https://lodki-volga.ru/, http://lodki-povolzhya.blizko.ru/, https://lodki-volga.satom.ru/, https://lodki-volga.tiu.ru/</t>
  </si>
  <si>
    <t>Катера, лодки, яхты, Товары для отдыха и туризма, Товары для рыбалки</t>
  </si>
  <si>
    <t>https://vk.com/club24243654</t>
  </si>
  <si>
    <t>https://www.ok.ru/group/53798277349520</t>
  </si>
  <si>
    <t>https://www.facebook.com/lodkivolga</t>
  </si>
  <si>
    <t>https://www.youtube.com/channel/UCgMWWS7AZHp_CHWYOJiIuFQ</t>
  </si>
  <si>
    <t>https://www.instagram.com/lodkivolga</t>
  </si>
  <si>
    <t>47.915832 56.62602</t>
  </si>
  <si>
    <t>Камелот</t>
  </si>
  <si>
    <t>+7 (8362) 42-14-71</t>
  </si>
  <si>
    <t xml:space="preserve">natalia.camelot@gmail.com, natalia.malikova18@gmail.com  </t>
  </si>
  <si>
    <t>Кафе, Кейтеринг, Ресторан</t>
  </si>
  <si>
    <t>пн-чт 11:00–23:00; пт 11:00–00:00; сб 12:00–00:00; вс 12:00–22:00</t>
  </si>
  <si>
    <t>http://vk.com/camelot.restoran</t>
  </si>
  <si>
    <t>47.88346 56.636961</t>
  </si>
  <si>
    <t>Изолгрупп</t>
  </si>
  <si>
    <t>ул. Пугачёва, 1, корп. 4, Йошкар-Ола</t>
  </si>
  <si>
    <t>+7 (8362) 98-95-21</t>
  </si>
  <si>
    <t>+7 (960) 092-28-97</t>
  </si>
  <si>
    <t>47.870305 56.620216</t>
  </si>
  <si>
    <t>Больше смысла</t>
  </si>
  <si>
    <t>СтройБАД</t>
  </si>
  <si>
    <t xml:space="preserve">21647@bk.ru </t>
  </si>
  <si>
    <t>https://vk.com/osb12</t>
  </si>
  <si>
    <t>Суши у дома</t>
  </si>
  <si>
    <t>+7 (8362) 20-32-33</t>
  </si>
  <si>
    <t>Доставка еды и обедов, Кафе, Суши-бар</t>
  </si>
  <si>
    <t>Авточехлы Автопилот в Йошкар-Оле</t>
  </si>
  <si>
    <t>+7 (937) 937-17-44</t>
  </si>
  <si>
    <t>Автоаксессуары, Автоателье, Автокосметика, автохимия</t>
  </si>
  <si>
    <t>пн-пт 09:00–17:00; сб 10:00–15:00</t>
  </si>
  <si>
    <t>https://vk.com/autopilot12</t>
  </si>
  <si>
    <t>https://www.instagram.com/avtopilot_yoshkar_ola_12</t>
  </si>
  <si>
    <t>+7 (8362) 45-13-70, +7 (8362) 93-93-20</t>
  </si>
  <si>
    <t>+7 (937) 934-41-18</t>
  </si>
  <si>
    <t xml:space="preserve">promsnab12@mail.ru, promsnab-12@mail.ru, 12promsnab@mail.ru  </t>
  </si>
  <si>
    <t>http://promsnab12.himsite.ru/</t>
  </si>
  <si>
    <t>Club Travel</t>
  </si>
  <si>
    <t>+7 (8362) 41-25-65, +7 (8362) 50-09-21</t>
  </si>
  <si>
    <t>47.898919 56.633674</t>
  </si>
  <si>
    <t>Автотрансстрой</t>
  </si>
  <si>
    <t>+7 (8362) 46-84-84</t>
  </si>
  <si>
    <t>Автомобильные грузоперевозки, Аренда строительной и спецтехники, Строительная компания, Строительство и ремонт дорог</t>
  </si>
  <si>
    <t>47.900765 56.646848</t>
  </si>
  <si>
    <t>+7 (8362) 63-63-15, +7 (8362) 77-84-85, +7 (8362) 44-03-05</t>
  </si>
  <si>
    <t>+7 (902) 744-03-05</t>
  </si>
  <si>
    <t>+7 (8362) 63-64-18</t>
  </si>
  <si>
    <t>47.829728 56.636719</t>
  </si>
  <si>
    <t>Вест</t>
  </si>
  <si>
    <t>+7 (8362) 46-22-55, +7 (8362) 34-10-51, +7 (8362) 46-23-00, +7 (8362) 34-10-50</t>
  </si>
  <si>
    <t>+7 (8362) 46-22-21</t>
  </si>
  <si>
    <t>пн-пт 08:00–17:15, перерыв 12:00–13:15</t>
  </si>
  <si>
    <t>47.891152 56.643119</t>
  </si>
  <si>
    <t>G. M. Designs</t>
  </si>
  <si>
    <t>ул. Гоголя, 2, Йошкар-Ола</t>
  </si>
  <si>
    <t>+7 (927) 874-07-87, +7 (987) 729-60-99</t>
  </si>
  <si>
    <t>Рекламное агентство, Студия дизайна</t>
  </si>
  <si>
    <t>пн-пт 08:00–18:00; сб,вс 12:00–18:00</t>
  </si>
  <si>
    <t>47.897971 56.629972</t>
  </si>
  <si>
    <t>МонтажНик</t>
  </si>
  <si>
    <t>+7 (8362) 66-70-99, +7 (8362) 50-75-99</t>
  </si>
  <si>
    <t>Двери, Натяжные и подвесные потолки, Окна, Строительная компания</t>
  </si>
  <si>
    <t>Марий Эл Радио</t>
  </si>
  <si>
    <t>+7 (8362) 63-03-65, +7 (8362) 63-03-81</t>
  </si>
  <si>
    <t xml:space="preserve">mari_el_radio@mail.ru </t>
  </si>
  <si>
    <t>http://mari-el-radio.ru/</t>
  </si>
  <si>
    <t>http://vk.com/club67432168</t>
  </si>
  <si>
    <t>47.906726 56.637276</t>
  </si>
  <si>
    <t>МарВторПласт</t>
  </si>
  <si>
    <t>+7 (8362) 77-77-51</t>
  </si>
  <si>
    <t>+7 (937) 115-77-77</t>
  </si>
  <si>
    <t xml:space="preserve">info@marvtorplast.ru </t>
  </si>
  <si>
    <t>Пластмассовые и пластиковые изделия, Прием вторсырья, Утилизация отходов</t>
  </si>
  <si>
    <t>Сити 12</t>
  </si>
  <si>
    <t>+7 (8362) 47-94-47</t>
  </si>
  <si>
    <t>Федерация легкой атлетики Марий Эл, Йошкар-Ола</t>
  </si>
  <si>
    <t>Воскресенский просп., 5, Йошкар-Ола</t>
  </si>
  <si>
    <t>+7 (987) 719-27-68, +7 (927) 681-95-82</t>
  </si>
  <si>
    <t xml:space="preserve">iaaf12@mail.ru </t>
  </si>
  <si>
    <t>https://atlet12.ru/, https://атлет12.рф/</t>
  </si>
  <si>
    <t>Спортивное объединение, Спортивный клуб, секция</t>
  </si>
  <si>
    <t>https://vk.com/track12</t>
  </si>
  <si>
    <t>47.915582 56.639753</t>
  </si>
  <si>
    <t>Семена</t>
  </si>
  <si>
    <t>+7 (927) 681-58-90</t>
  </si>
  <si>
    <t>Магазин семян, Удобрения</t>
  </si>
  <si>
    <t>Экология</t>
  </si>
  <si>
    <t>ул. Волкова, 103, Йошкар-Ола</t>
  </si>
  <si>
    <t>+7 (8362) 30-00-95, +7 (8362) 30-00-93</t>
  </si>
  <si>
    <t xml:space="preserve">margeomonitoring@mail.ru </t>
  </si>
  <si>
    <t>http://margeomonitoring.ru/</t>
  </si>
  <si>
    <t>Экологическая организация</t>
  </si>
  <si>
    <t>47.896833 56.637051</t>
  </si>
  <si>
    <t>+7 (8362) 73-65-32</t>
  </si>
  <si>
    <t>Брэнд Мастер</t>
  </si>
  <si>
    <t>+7 (8362) 79-81-11</t>
  </si>
  <si>
    <t>+7 (987) 700-44-45</t>
  </si>
  <si>
    <t xml:space="preserve">info@themeansar.com  </t>
  </si>
  <si>
    <t>http://brend21.ru/</t>
  </si>
  <si>
    <t>47.882711 56.629669</t>
  </si>
  <si>
    <t>Пятёрочка</t>
  </si>
  <si>
    <t>Пролетарская ул., 14В, Йошкар-Ола</t>
  </si>
  <si>
    <t>8 (800) 555-55-05</t>
  </si>
  <si>
    <t xml:space="preserve">vopros@5ka.ru </t>
  </si>
  <si>
    <t>https://5ka.ru/, https://5ka.ru/?utm_campaign=kartochkau0026utm_medium=cpmu0026utm_source=ya_geo</t>
  </si>
  <si>
    <t>https://vk.com/club19098821</t>
  </si>
  <si>
    <t>https://www.facebook.com/pyaterochka</t>
  </si>
  <si>
    <t>47.898702 56.646339</t>
  </si>
  <si>
    <t>Ваниль</t>
  </si>
  <si>
    <t>ул. Героев Сталинградской Битвы, 42, Йошкар-Ола</t>
  </si>
  <si>
    <t>+7 (8362) 33-71-74, +7 (8362) 99-59-77</t>
  </si>
  <si>
    <t>+7 (917) 716-51-32</t>
  </si>
  <si>
    <t>47.945185 56.622531</t>
  </si>
  <si>
    <t>Салон красоты Прованс</t>
  </si>
  <si>
    <t>ул. Рябинина, 5А, Йошкар-Ола</t>
  </si>
  <si>
    <t>+7 (927) 879-51-52</t>
  </si>
  <si>
    <t>http://centr-provans.ru/</t>
  </si>
  <si>
    <t>пн-пт 09:00–21:00; сб,вс 09:00–17:00</t>
  </si>
  <si>
    <t>https://vk.com/sk_provanse</t>
  </si>
  <si>
    <t>http://instagram.com/skprovans</t>
  </si>
  <si>
    <t>47.880464 56.640851</t>
  </si>
  <si>
    <t>ТСЖ Пролетарский</t>
  </si>
  <si>
    <t>Пролетарская ул., 31А, Йошкар-Ола</t>
  </si>
  <si>
    <t>+7 (8362) 45-90-41</t>
  </si>
  <si>
    <t>+7 (987) 707-60-34</t>
  </si>
  <si>
    <t>47.894039 56.64501</t>
  </si>
  <si>
    <t>Elephant Games</t>
  </si>
  <si>
    <t>ул. Воинов-Интернационалистов, 22, Йошкар-Ола</t>
  </si>
  <si>
    <t>+7 (8362) 42-48-36</t>
  </si>
  <si>
    <t xml:space="preserve">job@elephant-games.com, pr@elephant-games.com, support@elephant-games.com  </t>
  </si>
  <si>
    <t>http://elephant-games.com/</t>
  </si>
  <si>
    <t>http://vk.com/elephantgames</t>
  </si>
  <si>
    <t>http://facebook.com/elephantgames</t>
  </si>
  <si>
    <t>47.928839 56.634536</t>
  </si>
  <si>
    <t>Обучение вождению</t>
  </si>
  <si>
    <t>+7 (8362) 91-12-23</t>
  </si>
  <si>
    <t>+7 (937) 119-27-27</t>
  </si>
  <si>
    <t>Миранда</t>
  </si>
  <si>
    <t>+7 (8362) 56-68-43, +7 (8362) 41-14-08</t>
  </si>
  <si>
    <t>пн-пт 08:00–16:30; сб 08:00–12:00</t>
  </si>
  <si>
    <t>47.8981 56.6176</t>
  </si>
  <si>
    <t>Арт-дизайн</t>
  </si>
  <si>
    <t>+7 (8362) 77-21-99</t>
  </si>
  <si>
    <t>Дизайн интерьеров, Магазин мебели, Натяжные и подвесные потолки</t>
  </si>
  <si>
    <t>+7 (8362) 42-51-53, +7 (8362) 51-89-89</t>
  </si>
  <si>
    <t>+7 (8362) 42-51-53</t>
  </si>
  <si>
    <t>47.888329 56.630517</t>
  </si>
  <si>
    <t>Render</t>
  </si>
  <si>
    <t>+7 (987) 704-05-01, +7 (960) 096-25-76</t>
  </si>
  <si>
    <t xml:space="preserve">render.adg@gmail.com  </t>
  </si>
  <si>
    <t>http://render-design.ru/</t>
  </si>
  <si>
    <t>Дизайн интерьеров, Студия дизайна</t>
  </si>
  <si>
    <t>http://vk.com/render_adg</t>
  </si>
  <si>
    <t>47.877913 56.63329</t>
  </si>
  <si>
    <t>Хорошая аптека</t>
  </si>
  <si>
    <t>47.837753 56.640235</t>
  </si>
  <si>
    <t>АвтоСтарт</t>
  </si>
  <si>
    <t>Фестивальная ул., 70Г, Йошкар-Ола</t>
  </si>
  <si>
    <t>+7 (8362) 27-40-00, +7 (8362) 91-76-05</t>
  </si>
  <si>
    <t xml:space="preserve">avtostart_yola@inbox.ru, autostart12@mail.ru </t>
  </si>
  <si>
    <t>Автоаксессуары, Автомойка, Автосервис, автотехцентр, Магазин автозапчастей и автотоваров</t>
  </si>
  <si>
    <t>пн-пт 09:00–20:00; сб 09:00–18:00; вс 10:00–17:00</t>
  </si>
  <si>
    <t>https://vk.com/autostart12</t>
  </si>
  <si>
    <t>47.832347 56.642802</t>
  </si>
  <si>
    <t>ТСЖ Пролетарская 40</t>
  </si>
  <si>
    <t>+7 (917) 712-88-70, +7 (987) 700-54-67</t>
  </si>
  <si>
    <t>пн,вт 17:00–19:00</t>
  </si>
  <si>
    <t>47.890544 56.64647</t>
  </si>
  <si>
    <t>ИП Головин В. А.</t>
  </si>
  <si>
    <t>ул. Жуковского, 39, Йошкар-Ола</t>
  </si>
  <si>
    <t>+7 (902) 736-55-55</t>
  </si>
  <si>
    <t>47.902168 56.65266</t>
  </si>
  <si>
    <t>ТСЖ Восход</t>
  </si>
  <si>
    <t>Первомайская ул., 104, Йошкар-Ола</t>
  </si>
  <si>
    <t>47.888757 56.64152</t>
  </si>
  <si>
    <t>Средняя Общеобразовательная школа № 12 г. Йошкар-олы</t>
  </si>
  <si>
    <t>ул. Грибоедова, 10, Йошкар-Ола</t>
  </si>
  <si>
    <t>+7 (8362) 45-20-45, +7 (8362) 45-33-35</t>
  </si>
  <si>
    <t xml:space="preserve">12school-ola@mail.ru </t>
  </si>
  <si>
    <t>пн-пт 08:00–15:00</t>
  </si>
  <si>
    <t>47.914865 56.650508</t>
  </si>
  <si>
    <t>+7 (8362) 45-43-37</t>
  </si>
  <si>
    <t>+7 (917) 709-23-13</t>
  </si>
  <si>
    <t xml:space="preserve">info@magnat12.ru  </t>
  </si>
  <si>
    <t>http://marimagnat.ru/</t>
  </si>
  <si>
    <t>Оникс</t>
  </si>
  <si>
    <t>ул. Баумана, 100, лит.К, Йошкар-Ола</t>
  </si>
  <si>
    <t>+7 (8362) 73-35-91, +7 (8362) 99-92-44</t>
  </si>
  <si>
    <t xml:space="preserve">onix1212@bk.ru  </t>
  </si>
  <si>
    <t>http://fanera12mari.ru/</t>
  </si>
  <si>
    <t>Оптовый магазин, Фанера</t>
  </si>
  <si>
    <t>пн-пт 09:00–17:00; сб 09:00–12:00</t>
  </si>
  <si>
    <t>AutoBolid</t>
  </si>
  <si>
    <t>ул. Подольских Курсантов, 14, Йошкар-Ола</t>
  </si>
  <si>
    <t>+7 (8362) 79-57-79</t>
  </si>
  <si>
    <t>+7 (917) 719-15-15</t>
  </si>
  <si>
    <t>Автоаксессуары, Автосервис, автотехцентр</t>
  </si>
  <si>
    <t>47.8654 56.650414</t>
  </si>
  <si>
    <t>Мемориальная компания Память</t>
  </si>
  <si>
    <t>ул. Волкова, 52, Йошкар-Ола</t>
  </si>
  <si>
    <t>+7 (8362) 32-80-00, +7 (8362) 46-05-05, +7 (8362) 46-00-93</t>
  </si>
  <si>
    <t>Изготовление памятников и надгробий, Ритуальные услуги</t>
  </si>
  <si>
    <t>47.903954 56.647064</t>
  </si>
  <si>
    <t>+7 (8362) 30-59-05, +7 (8362) 52-04-00</t>
  </si>
  <si>
    <t>Косметология, Ногтевая студия, Салон красоты</t>
  </si>
  <si>
    <t>пн-пт 09:00–21:00; сб 09:00–18:00; вс 09:00–16:00</t>
  </si>
  <si>
    <t>47.88828 56.641194</t>
  </si>
  <si>
    <t>Спецмонтажналадка</t>
  </si>
  <si>
    <t>+7 (8362) 55-62-59, +7 (8362) 55-62-47</t>
  </si>
  <si>
    <t>47.84058 56.644933</t>
  </si>
  <si>
    <t>Mr. Перец</t>
  </si>
  <si>
    <t>Золушка</t>
  </si>
  <si>
    <t>ул. Машиностроителей, 119А, Йошкар-Ола</t>
  </si>
  <si>
    <t>+7 (927) 883-29-45</t>
  </si>
  <si>
    <t>пн-пт 08:00–20:00; сб,вс 10:00–20:00</t>
  </si>
  <si>
    <t>47.833286 56.625307</t>
  </si>
  <si>
    <t>Меделлан</t>
  </si>
  <si>
    <t>+7 (8362) 46-94-94, +7 (8362) 77-11-22</t>
  </si>
  <si>
    <t>Двери, Магазин мебели, Светильники, Системы перегородок</t>
  </si>
  <si>
    <t>47.893819 56.649133</t>
  </si>
  <si>
    <t>Стоматологические материалы и медицинское оборудование</t>
  </si>
  <si>
    <t>Ленинский просп., 59Г, Йошкар-Ола</t>
  </si>
  <si>
    <t>+7 (8362) 41-05-60, +7 (8362) 41-32-53</t>
  </si>
  <si>
    <t>Медицинские изделия и расходные материалы, Медицинское оборудование, медтехника</t>
  </si>
  <si>
    <t>пн-чт 08:20–18:00; пт 08:20–16:30; сб 09:00–15:00</t>
  </si>
  <si>
    <t>47.874861 56.634812</t>
  </si>
  <si>
    <t>+7 (8362) 77-77-69, +7 (8362) 33-95-69</t>
  </si>
  <si>
    <t>ТЦ Шанхай</t>
  </si>
  <si>
    <t>+7 (8362) 41-19-41, +7 (8362) 38-65-11</t>
  </si>
  <si>
    <t>47.885581 56.632981</t>
  </si>
  <si>
    <t>Детская стоматологическая поликлиника г. Йошкар-олы</t>
  </si>
  <si>
    <t>+7 (8362) 49-60-80, +7 (8362) 49-60-83</t>
  </si>
  <si>
    <t xml:space="preserve">dsp@mari-el.ru, dsp@minzdrav12.ru, informsreda@yandex.ru  </t>
  </si>
  <si>
    <t>http://mari-el.gov.ru/minzdrav/jdsp, http://portal.mari.ru/minzdrav/jdsp/pages/contacts.aspx</t>
  </si>
  <si>
    <t>пн-пт 07:00–19:00; сб 08:00–14:00</t>
  </si>
  <si>
    <t>47.90309 56.644161</t>
  </si>
  <si>
    <t>Фаза12</t>
  </si>
  <si>
    <t>ул. Серова, 104, Йошкар-Ола</t>
  </si>
  <si>
    <t>+7 (937) 939-50-60</t>
  </si>
  <si>
    <t>https://faza12.ru/</t>
  </si>
  <si>
    <t>Бытовые услуги, Услуги частных специалистов, Электромонтажные работы</t>
  </si>
  <si>
    <t>https://vk.com/faza12_ru</t>
  </si>
  <si>
    <t>47.885074 56.655223</t>
  </si>
  <si>
    <t>Антенная служба</t>
  </si>
  <si>
    <t>+7 (8362) 41-43-05, +7 (8362) 42-43-20, +7 (8362) 42-40-72</t>
  </si>
  <si>
    <t>Коммуникационное оборудование</t>
  </si>
  <si>
    <t>Антенны</t>
  </si>
  <si>
    <t>47.879396 56.641397</t>
  </si>
  <si>
    <t>+7 (8362) 64-66-77</t>
  </si>
  <si>
    <t>http://grad12.ru/mebelgrad-v-nagornom</t>
  </si>
  <si>
    <t>вт-пт 09:30–18:00; сб,вс 09:30–17:00</t>
  </si>
  <si>
    <t>47.943588 56.622072</t>
  </si>
  <si>
    <t>ИнжекомСтрой</t>
  </si>
  <si>
    <t>+7 (8362) 50-03-70, +7 (8362) 65-46-62, +7 (8362) 21-00-26</t>
  </si>
  <si>
    <t>+7 (8362) 21-00-26</t>
  </si>
  <si>
    <t>Коммунальная служба, Монтаж и обслуживание систем водоснабжения и канализации, Отопительное оборудование и системы, Проектная организация, Строительство и обслуживание инженерных сетей</t>
  </si>
  <si>
    <t>Красноармейская слобода, 57А, Йошкар-Ола</t>
  </si>
  <si>
    <t>+7 (8362) 49-68-70, +7 (843) 233-31-76</t>
  </si>
  <si>
    <t>+7 (967) 753-80-99</t>
  </si>
  <si>
    <t xml:space="preserve">office@renner.ru, msk@renner.ru, arhles@lesobirzha.ru, info@renner.ru, uk@renner.ru, rubcov@renner.ru, belgorodliga@gmail.com, evrolaki65@mail.ru, domrenner32bransk@mail.ru, alan.kudakov.70@mail.ru </t>
  </si>
  <si>
    <t>http://www.renner.ru/</t>
  </si>
  <si>
    <t>Лакокрасочные материалы</t>
  </si>
  <si>
    <t>https://vk.com/public81317078</t>
  </si>
  <si>
    <t>https://twitter.com/Liga_Renner</t>
  </si>
  <si>
    <t>https://www.facebook.com/LigaRenner</t>
  </si>
  <si>
    <t>http://www.youtube.com/channel/UCDHEGTuWPKmImIZf3i1XSoA</t>
  </si>
  <si>
    <t>https://www.instagram.com/ligarenner</t>
  </si>
  <si>
    <t>47.914934 56.643569</t>
  </si>
  <si>
    <t>Аир Плюс</t>
  </si>
  <si>
    <t>+7 (8362) 64-22-53</t>
  </si>
  <si>
    <t>+7 (902) 325-15-34</t>
  </si>
  <si>
    <t>Металлоизделия, Строительный магазин, Электротехническая продукция</t>
  </si>
  <si>
    <t>47.940239 56.630624</t>
  </si>
  <si>
    <t>Ваш личный психолог</t>
  </si>
  <si>
    <t>+7 (8362) 70-77-55</t>
  </si>
  <si>
    <t>http://psiholog12.ru/</t>
  </si>
  <si>
    <t>Сетелем Банк</t>
  </si>
  <si>
    <t>8 (800) 500-55-03, +7 (8362) 45-20-80</t>
  </si>
  <si>
    <t xml:space="preserve">helpline@best2pay.net, casco@cetelem.ru  </t>
  </si>
  <si>
    <t>https://www.cetelem.ru/, https://www.cetelem.ru/o-banke/predstavitelstva/</t>
  </si>
  <si>
    <t>Детский сад № 19 Василек</t>
  </si>
  <si>
    <t>ул. Баумана, 12Б, Йошкар-Ола</t>
  </si>
  <si>
    <t>+7 (8362) 55-62-46, +7 (8362) 46-14-72</t>
  </si>
  <si>
    <t xml:space="preserve">mdou-vasilek-19@mail.ru, uoa-yoshkar-ola@yandex.ru  </t>
  </si>
  <si>
    <t>http://edu.mari.ru/mouo-yoshkarola/dou19</t>
  </si>
  <si>
    <t>47.841825 56.643267</t>
  </si>
  <si>
    <t>Школа английского языка British Club</t>
  </si>
  <si>
    <t>Ленинский просп., 30Б, Йошкар-Ола</t>
  </si>
  <si>
    <t>+7 (8362) 33-30-22</t>
  </si>
  <si>
    <t>+7 (927) 871-55-55</t>
  </si>
  <si>
    <t>пн-пт 10:00–20:00; сб 10:00–15:00</t>
  </si>
  <si>
    <t>47.882423 56.633135</t>
  </si>
  <si>
    <t>Фант мебель</t>
  </si>
  <si>
    <t>+7 (909) 369-91-35</t>
  </si>
  <si>
    <t>47.863415 56.646498</t>
  </si>
  <si>
    <t>Сервис Лес</t>
  </si>
  <si>
    <t>+7 (8362) 45-90-00</t>
  </si>
  <si>
    <t>+7 (927) 888-00-97</t>
  </si>
  <si>
    <t>47.900947 56.646809</t>
  </si>
  <si>
    <t>Мулен Руж</t>
  </si>
  <si>
    <t>+7 (8362) 72-12-12</t>
  </si>
  <si>
    <t>Автомойка, Сауна</t>
  </si>
  <si>
    <t>47.872286 56.621515</t>
  </si>
  <si>
    <t>Креатиff</t>
  </si>
  <si>
    <t>+7 (8362) 37-88-55</t>
  </si>
  <si>
    <t xml:space="preserve">378855@bk.ru  </t>
  </si>
  <si>
    <t>http://vk.com/club12357592</t>
  </si>
  <si>
    <t>ИскожСервис</t>
  </si>
  <si>
    <t>+7 (8362) 68-25-94, +7 (8362) 68-50-05, +7 (8362) 68-25-48</t>
  </si>
  <si>
    <t>пн-пт 10:30–13:00</t>
  </si>
  <si>
    <t>Ковры</t>
  </si>
  <si>
    <t>+7 (8362) 55-46-92</t>
  </si>
  <si>
    <t>Магазин ковров, Напольные покрытия, Товары для дома</t>
  </si>
  <si>
    <t>47.856329 56.643854</t>
  </si>
  <si>
    <t>Ганатал</t>
  </si>
  <si>
    <t>+7 (903) 326-68-03, +7 (927) 882-09-36</t>
  </si>
  <si>
    <t>47.864467 56.646629</t>
  </si>
  <si>
    <t>МариТент</t>
  </si>
  <si>
    <t>ул. Строителей, 88А, Йошкар-Ола</t>
  </si>
  <si>
    <t>+7 (8362) 45-34-00, +7 (8362) 73-30-10, +7 (8362) 61-04-00</t>
  </si>
  <si>
    <t>+7 (987) 707-40-62, +7 (987) 700-13-52, +7 (987) 707-40-60</t>
  </si>
  <si>
    <t>http://maritent.ru/</t>
  </si>
  <si>
    <t>Автоаксессуары, Быстровозводимые здания, Металлоконструкции, Металлопрокат, Тенты, шатры, навесы</t>
  </si>
  <si>
    <t>http://facebook.com/marimedia</t>
  </si>
  <si>
    <t>47.847326 56.624707</t>
  </si>
  <si>
    <t>Тур</t>
  </si>
  <si>
    <t>+7 (927) 882-18-08</t>
  </si>
  <si>
    <t>АвтоТон</t>
  </si>
  <si>
    <t>Оршанское ш., 23, Йошкар-Ола</t>
  </si>
  <si>
    <t>+7 (902) 358-10-23</t>
  </si>
  <si>
    <t>Автосервис, автотехцентр, Автосигнализация, Тонирование стекол</t>
  </si>
  <si>
    <t>47.898719 56.650991</t>
  </si>
  <si>
    <t>ТСЖ Кулибина-1</t>
  </si>
  <si>
    <t>пер. Кулибина, 1А, Йошкар-Ола</t>
  </si>
  <si>
    <t>+7 (917) 700-99-48</t>
  </si>
  <si>
    <t>пн-пт 09:00–12:00</t>
  </si>
  <si>
    <t>47.853641 56.650364</t>
  </si>
  <si>
    <t>ЦентрПраздник</t>
  </si>
  <si>
    <t>+7 (8362) 54-42-44</t>
  </si>
  <si>
    <t>Праздничное агентство, Служба знакомств</t>
  </si>
  <si>
    <t>Эксперт-Инфо</t>
  </si>
  <si>
    <t>+7 (927) 871-69-62</t>
  </si>
  <si>
    <t>Царица</t>
  </si>
  <si>
    <t>+7 (8362) 66-88-99, +7 (8362) 38-40-01, +7 (8362) 33-01-02</t>
  </si>
  <si>
    <t xml:space="preserve">tsarica-water@yandex.ru, tsarica-water@mail.ru  </t>
  </si>
  <si>
    <t>http://tsarica.ru/</t>
  </si>
  <si>
    <t>пн-пт 08:00–17:00, перерыв 12:00–13:00; сб 08:00–15:00, перерыв 12:00–13:00</t>
  </si>
  <si>
    <t>Коллегия адвокатов Тезис</t>
  </si>
  <si>
    <t>ул. Свердлова, 48А, Йошкар-Ола</t>
  </si>
  <si>
    <t>+7 (8362) 72-05-84, +7 (8362) 91-33-30, +7 (8362) 50-60-20, +7 (8362) 32-02-51, +7 (8362) 52-09-69, +7 (8362) 65-54-83, +7 (8362) 91-18-11</t>
  </si>
  <si>
    <t>+7 (987) 721-62-53, +7 (917) 717-77-27, +7 (987) 720-00-34, +7 (927) 682-37-70, +7 (937) 110-87-72</t>
  </si>
  <si>
    <t>http://thezis.pro/</t>
  </si>
  <si>
    <t>47.86412 56.642469</t>
  </si>
  <si>
    <t>ЖСК Илеть МВД Марийской Асср</t>
  </si>
  <si>
    <t>+7 (927) 870-00-62</t>
  </si>
  <si>
    <t>Госзаказ-12</t>
  </si>
  <si>
    <t>+7 (960) 093-02-57</t>
  </si>
  <si>
    <t xml:space="preserve">newster1@yandex.ru  </t>
  </si>
  <si>
    <t>Организация аукционов и тендеров, Юридические услуги</t>
  </si>
  <si>
    <t>https://vk.com/club165666705</t>
  </si>
  <si>
    <t>Картридж-сервис</t>
  </si>
  <si>
    <t>+7 (8362) 42-31-92, +7 (8362) 42-18-92</t>
  </si>
  <si>
    <t>http://print12.ru/</t>
  </si>
  <si>
    <t>47.88091 56.63805</t>
  </si>
  <si>
    <t>Трио</t>
  </si>
  <si>
    <t>+7 (8362) 63-31-67</t>
  </si>
  <si>
    <t>47.865254 56.646667</t>
  </si>
  <si>
    <t>Детский центр развития Мармелад</t>
  </si>
  <si>
    <t>+7 (8362) 52-90-00</t>
  </si>
  <si>
    <t>+7 (917) 710-07-83, +7 (987) 731-38-31</t>
  </si>
  <si>
    <t>Детский лагерь отдыха, Клуб для детей и подростков, Школа танцев</t>
  </si>
  <si>
    <t>пн-пт 09:00–20:00; сб 10:00–16:00</t>
  </si>
  <si>
    <t>Столичный бизнес колледж</t>
  </si>
  <si>
    <t xml:space="preserve">testolog@mosi.ru, job@mosi.ru, nauka@mosi.ru, rector@mosi.ru, info@mosi.ru, kadry@mosi.ru, buhmosi@gmail.com, 89053797158@list.ru, pfo_mosi@mail.ru, yurist@mosi.ru </t>
  </si>
  <si>
    <t>http://sbk12.ru/</t>
  </si>
  <si>
    <t>47.836527 56.633838</t>
  </si>
  <si>
    <t>Джинн</t>
  </si>
  <si>
    <t>Комсомольская ул., 43, Йошкар-Ола</t>
  </si>
  <si>
    <t>+7 (8362) 71-97-47</t>
  </si>
  <si>
    <t>+7 (902) 446-97-47</t>
  </si>
  <si>
    <t>47.902519 56.649162</t>
  </si>
  <si>
    <t>Индийская лавка</t>
  </si>
  <si>
    <t>+7 (937) 111-64-32</t>
  </si>
  <si>
    <t xml:space="preserve">griga999@bk.ru  </t>
  </si>
  <si>
    <t>Магазин бижутерии, Магазин одежды, Магазин парфюмерии и косметики, Магазин подарков и сувениров</t>
  </si>
  <si>
    <t>https://vk.com/vneba</t>
  </si>
  <si>
    <t>Взрослая поликлиника № 3</t>
  </si>
  <si>
    <t>+7 (8362) 64-62-63, +7 (8362) 64-30-73, +7 (8362) 64-69-77, +7 (8362) 64-70-87</t>
  </si>
  <si>
    <t>http://gsb34a.polickliniki.ru/</t>
  </si>
  <si>
    <t>47.945125 56.625253</t>
  </si>
  <si>
    <t>Караван</t>
  </si>
  <si>
    <t>Оршанское ш., 25А, Йошкар-Ола</t>
  </si>
  <si>
    <t>ежедневно, 20:00–05:00</t>
  </si>
  <si>
    <t>47.898318 56.650016</t>
  </si>
  <si>
    <t>Полноцвет</t>
  </si>
  <si>
    <t>+7 (8362) 30-40-65, +7 (8362) 41-15-07</t>
  </si>
  <si>
    <t>http://www.polnocvet.info/</t>
  </si>
  <si>
    <t>Наружная реклама, Рекламное агентство, Широкоформатная печать</t>
  </si>
  <si>
    <t>47.862148 56.618134</t>
  </si>
  <si>
    <t>Отдел ведения архивов ФГБУ ФКП Росреестра</t>
  </si>
  <si>
    <t>+7 (8362) 45-16-01, +7 (8362) 42-26-78</t>
  </si>
  <si>
    <t>Алснаб</t>
  </si>
  <si>
    <t>+7 (8362) 78-75-67, +7 (8362) 95-09-60</t>
  </si>
  <si>
    <t>+7 (8362) 73-04-00</t>
  </si>
  <si>
    <t>http://kompaniya-alsnab.tiu.ru/</t>
  </si>
  <si>
    <t>пн-пт 08:00–17:30, перерыв 12:00–13:00; сб 08:00–14:00, перерыв 12:00–13:00</t>
  </si>
  <si>
    <t>Автотест</t>
  </si>
  <si>
    <t>ул. Халтурина, 4, Йошкар-Ола</t>
  </si>
  <si>
    <t>+7 (8362) 77-77-28, +7 (8362) 41-95-25, +7 (8362) 38-27-77</t>
  </si>
  <si>
    <t>Автотехпомощь, эвакуация автомобилей, Пункт техосмотра, Спецтехника и спецавтомобили</t>
  </si>
  <si>
    <t>https://vk.com/oooavtotest</t>
  </si>
  <si>
    <t>47.874771 56.655227</t>
  </si>
  <si>
    <t>Сеникс — СМР</t>
  </si>
  <si>
    <t>+7 (8362) 24-67-58, +7 (8362) 52-48-50</t>
  </si>
  <si>
    <t>47.871177 56.635729</t>
  </si>
  <si>
    <t>Белый Лотос</t>
  </si>
  <si>
    <t>+7 (927) 680-75-75</t>
  </si>
  <si>
    <t>Сам гружу-сам вожу</t>
  </si>
  <si>
    <t>+7 (927) 680-10-63</t>
  </si>
  <si>
    <t>47.87079 56.638021</t>
  </si>
  <si>
    <t>Чебоксарский завод строительных профилей СТэП</t>
  </si>
  <si>
    <t>+7 (8362) 22-39-79</t>
  </si>
  <si>
    <t xml:space="preserve">info@stroyavtocentr.ru, nvfsystems@gmail.com  </t>
  </si>
  <si>
    <t>http://www.ctep.ru/?utm_campaign=yandex_maps_yolau0026utm_content=mainu0026utm_medium=spravochniku0026utm_source=yandex_maps</t>
  </si>
  <si>
    <t>Кровля и кровельные материалы, Металлические заборы и ограждения, Фасады и фасадные системы</t>
  </si>
  <si>
    <t>https://www.facebook.com/zavodctep/?ref=bookmarksu0026utm_campaign=yandex_maps_yolau0026utm_content=mainu0026utm_medium=spravochniku0026utm_source=yandex_maps</t>
  </si>
  <si>
    <t>https://www.youtube.com/channel/UCff9XMcHj_fhvbH9pO5dfLQ?utm_campaign=yandex_maps_yolau0026utm_content=mainu0026utm_medium=spravochniku0026utm_source=yandex_maps</t>
  </si>
  <si>
    <t>https://www.instagram.com/zavodctep/?utm_campaign=yandex_maps_yolau0026utm_content=mainu0026utm_medium=spravochniku0026utm_source=yandex_maps</t>
  </si>
  <si>
    <t>47.882657 56.624178</t>
  </si>
  <si>
    <t>Ваше право</t>
  </si>
  <si>
    <t>+7 (8362) 44-22-03, +7 (8362) 97-66-05</t>
  </si>
  <si>
    <t>Медея</t>
  </si>
  <si>
    <t>+7 (8362) 96-17-17, +7 (8362) 42-11-56</t>
  </si>
  <si>
    <t>+7 (927) 871-81-81</t>
  </si>
  <si>
    <t>+7 (8362) 42-06-97</t>
  </si>
  <si>
    <t>Строй 12</t>
  </si>
  <si>
    <t>+7 (8362) 30-42-40, +7 (8362) 35-57-77, +7 (8362) 99-90-07, +7 (8362) 31-32-72</t>
  </si>
  <si>
    <t>+7 (964) 864-77-72, +7 (917) 712-57-77</t>
  </si>
  <si>
    <t xml:space="preserve">zakaz@grif12.ru </t>
  </si>
  <si>
    <t>http://grif12.ru/</t>
  </si>
  <si>
    <t>Кровля и кровельные материалы, Рынок, Строительная компания, Строительный магазин</t>
  </si>
  <si>
    <t>Amway</t>
  </si>
  <si>
    <t>ул. Петрова, 13, Йошкар-Ола</t>
  </si>
  <si>
    <t>+7 (8362) 79-63-99</t>
  </si>
  <si>
    <t>47.917386 56.633085</t>
  </si>
  <si>
    <t>Евроснаб</t>
  </si>
  <si>
    <t>ул. Карла Маркса, 131А, Йошкар-Ола</t>
  </si>
  <si>
    <t>+7 (8362) 51-99-22, +7 (8362) 51-99-33, +7 (8362) 36-88-30</t>
  </si>
  <si>
    <t xml:space="preserve">evrosnab777@mail.ru  </t>
  </si>
  <si>
    <t>http://www.metallo-snab.ru/</t>
  </si>
  <si>
    <t>ЖБИ, Металлопрокат, Оптовая компания, Оптовый магазин, Строительный магазин, Стройматериалы оптом</t>
  </si>
  <si>
    <t>47.8834 56.615</t>
  </si>
  <si>
    <t>Золотая изюминка</t>
  </si>
  <si>
    <t>+7 (8362) 97-63-54, +7 (8362) 41-42-21</t>
  </si>
  <si>
    <t>47.897255 56.634123</t>
  </si>
  <si>
    <t>+7 (8362) 46-05-08</t>
  </si>
  <si>
    <t xml:space="preserve">interfarm-office@rambler.ru </t>
  </si>
  <si>
    <t>http://interfarm.mari-el.ru/</t>
  </si>
  <si>
    <t>47.891041 56.646464</t>
  </si>
  <si>
    <t>Детский ансамбль эстрадного танца Планета</t>
  </si>
  <si>
    <t>+7 (927) 680-04-23, +7 (937) 118-51-25</t>
  </si>
  <si>
    <t>Клуб для детей и подростков, Творческий коллектив, Школа танцев</t>
  </si>
  <si>
    <t>ежедневно, 09:00–21:40</t>
  </si>
  <si>
    <t>Меховой салон Ленара</t>
  </si>
  <si>
    <t>Красноармейская ул., 45А, Йошкар-Ола</t>
  </si>
  <si>
    <t>+7 (8362) 39-70-72</t>
  </si>
  <si>
    <t>47.893742 56.64057</t>
  </si>
  <si>
    <t>ТСЖ Чародейка</t>
  </si>
  <si>
    <t>ул. Дружбы, 79, Йошкар-Ола</t>
  </si>
  <si>
    <t>+7 (8362) 63-12-31</t>
  </si>
  <si>
    <t>+7 (917) 708-12-44</t>
  </si>
  <si>
    <t>47.855712 56.651482</t>
  </si>
  <si>
    <t>Конфрут</t>
  </si>
  <si>
    <t>ул. Луначарского, 52Д, Йошкар-Ола</t>
  </si>
  <si>
    <t>+7 (8362) 74-18-82</t>
  </si>
  <si>
    <t>Магазин овощей и фруктов, Магазин продуктов, Овощи и фрукты оптом, Продукты питания оптом</t>
  </si>
  <si>
    <t>47.898324 56.616214</t>
  </si>
  <si>
    <t>Государственное бюджетное общеобразовательное учреждение Республики Марий Эл Экономико-правовая гимназия</t>
  </si>
  <si>
    <t>+7 (8362) 46-02-50, +7 (8362) 46-01-72</t>
  </si>
  <si>
    <t xml:space="preserve">minobr@mari-el.ru, ellmari@inbox.ru  </t>
  </si>
  <si>
    <t>http://lawmargu.ucoz.ru/</t>
  </si>
  <si>
    <t>47.897566 56.640944</t>
  </si>
  <si>
    <t>Сервисный центр Контакт-Сервис</t>
  </si>
  <si>
    <t>+7 (8362) 72-03-52</t>
  </si>
  <si>
    <t>47.869038 56.64253</t>
  </si>
  <si>
    <t>Юсупов Групп</t>
  </si>
  <si>
    <t>ул. Некрасова, 95, Йошкар-Ола</t>
  </si>
  <si>
    <t>8 (800) 250-77-16</t>
  </si>
  <si>
    <t>+7 (987) 414-44-40</t>
  </si>
  <si>
    <t xml:space="preserve">a1@avtogigant.com </t>
  </si>
  <si>
    <t>http://kama-truck.ru/</t>
  </si>
  <si>
    <t>47.895494 56.655303</t>
  </si>
  <si>
    <t>Формула красоты</t>
  </si>
  <si>
    <t>+7 (8362) 67-71-99</t>
  </si>
  <si>
    <t>пн-пт 09:00–19:30; сб,вс 09:00–18:00</t>
  </si>
  <si>
    <t>https://vk.com/formulakrasotiyoshka</t>
  </si>
  <si>
    <t>47.830165 56.633458</t>
  </si>
  <si>
    <t>Патриот</t>
  </si>
  <si>
    <t>+7 (902) 744-55-08, +7 (902) 329-95-01</t>
  </si>
  <si>
    <t>Магазин одежды, Товары для охоты, Товары для рыбалки</t>
  </si>
  <si>
    <t>Фаркопы, прицепы и багажники</t>
  </si>
  <si>
    <t xml:space="preserve">support@beget.com, bills@beget.com, manager@beget.com </t>
  </si>
  <si>
    <t>Автоаксессуары, Оптовый магазин</t>
  </si>
  <si>
    <t>47.883102 56.609146</t>
  </si>
  <si>
    <t>Омега Металл</t>
  </si>
  <si>
    <t>+7 (8362) 45-52-33, +7 (8362) 51-22-88, +7 (8362) 41-49-16, +7 (8362) 51-22-66</t>
  </si>
  <si>
    <t>+7 (8362) 45-28-61</t>
  </si>
  <si>
    <t xml:space="preserve">omegametall@inbox.ru  </t>
  </si>
  <si>
    <t>http://omegametall12.ru/</t>
  </si>
  <si>
    <t>Металлопрокат, Строительный магазин, Стройматериалы оптом</t>
  </si>
  <si>
    <t>47.890463 56.642629</t>
  </si>
  <si>
    <t>Радан</t>
  </si>
  <si>
    <t>+7 (8362) 22-09-59, +7 (8362) 22-20-90</t>
  </si>
  <si>
    <t>47.92689 56.633833</t>
  </si>
  <si>
    <t>АртСтрой</t>
  </si>
  <si>
    <t>+7 (8362) 77-72-10, +7 (8362) 45-35-55, +7 (8362) 23-27-47</t>
  </si>
  <si>
    <t xml:space="preserve">evrostroy-12@mail.ru, 232747@list.ru  </t>
  </si>
  <si>
    <t>http://master-profy12.blizko.ru/</t>
  </si>
  <si>
    <t>Натяжные и подвесные потолки, Окна, Строительная компания</t>
  </si>
  <si>
    <t>Радиотелевизионный передающий центр Республики Марий Эл</t>
  </si>
  <si>
    <t>ул. Осипенко, 50, Йошкар-Ола</t>
  </si>
  <si>
    <t>+7 (8362) 45-15-63, +7 (8362) 45-56-59</t>
  </si>
  <si>
    <t xml:space="preserve">ckp_mari_el@rtrn.ru, mari_el@rtrn.ru, rtrn@rtrn.ru, kskulkin@rtrn.ru, press@rtrn.ru </t>
  </si>
  <si>
    <t>http://mari-el.rtrs.ru/</t>
  </si>
  <si>
    <t>47.879202 56.645225</t>
  </si>
  <si>
    <t>Общежитие АНО ВПО МОСИ</t>
  </si>
  <si>
    <t>Пролетарская ул., 71, Йошкар-Ола</t>
  </si>
  <si>
    <t>+7 (8362) 42-35-97</t>
  </si>
  <si>
    <t xml:space="preserve">info@yost.ru </t>
  </si>
  <si>
    <t>47.875619 56.648432</t>
  </si>
  <si>
    <t>МОУ СОШ № 20 г. Йошкар-Олы</t>
  </si>
  <si>
    <t>ул. Анциферова, 29, Йошкар-Ола</t>
  </si>
  <si>
    <t>+7 (8362) 42-37-29, +7 (8362) 55-10-04, +7 (8362) 72-00-67</t>
  </si>
  <si>
    <t xml:space="preserve">uoa-cro@yandex.ru, uoa-yoshkar-ola@yandex.ru, yolaschool20@yandex.ru  </t>
  </si>
  <si>
    <t>http://school20yola.ru/</t>
  </si>
  <si>
    <t>пн-пт 08:00–20:00; сб 08:00–17:00</t>
  </si>
  <si>
    <t>47.866859 56.643706</t>
  </si>
  <si>
    <t>+7 (8362) 29-72-97, +7 (8362) 75-17-41</t>
  </si>
  <si>
    <t>47.897944 56.635333</t>
  </si>
  <si>
    <t>Диваны</t>
  </si>
  <si>
    <t>+7 (902) 737-86-71</t>
  </si>
  <si>
    <t>Стрекоза</t>
  </si>
  <si>
    <t>+7 (8362) 32-06-40</t>
  </si>
  <si>
    <t>+7 (927) 680-55-66</t>
  </si>
  <si>
    <t>Магазин ткани, Студия дизайна, Товары для дома, Шторы, карнизы</t>
  </si>
  <si>
    <t>47.886189 56.635465</t>
  </si>
  <si>
    <t>Обувь</t>
  </si>
  <si>
    <t>+7 (917) 707-35-88</t>
  </si>
  <si>
    <t>пн-пт 09:30–19:00; сб 09:30–18:00; вс 10:00–18:00</t>
  </si>
  <si>
    <t>47.895548 56.640154</t>
  </si>
  <si>
    <t>+7 (8362) 47-45-55</t>
  </si>
  <si>
    <t>+7 (902) 743-45-55</t>
  </si>
  <si>
    <t>47.862131 56.625425</t>
  </si>
  <si>
    <t>Энерготехсервис</t>
  </si>
  <si>
    <t>+7 (8362) 97-10-01</t>
  </si>
  <si>
    <t>Монтаж и обслуживание систем водоснабжения и канализации, Строительная компания, Электромонтажные работы</t>
  </si>
  <si>
    <t>Волго-Вятский Рос</t>
  </si>
  <si>
    <t>+7 (8362) 38-11-88</t>
  </si>
  <si>
    <t xml:space="preserve">plomba_vvros@yahoo.com, plomba_vvros@mail.ru </t>
  </si>
  <si>
    <t>http://vvros.ru/</t>
  </si>
  <si>
    <t>Замки и запорные устройства, Пломбираторы и пломбы безопасности</t>
  </si>
  <si>
    <t>Север</t>
  </si>
  <si>
    <t>ул. Петрова, 12А, Йошкар-Ола</t>
  </si>
  <si>
    <t>+7 (987) 702-13-77</t>
  </si>
  <si>
    <t>вт 18:00–19:00</t>
  </si>
  <si>
    <t>47.923728 56.631332</t>
  </si>
  <si>
    <t>Галина</t>
  </si>
  <si>
    <t>+7 (8362) 47-25-95</t>
  </si>
  <si>
    <t>пн 09:00–17:00; вт-вс 09:00–17:30</t>
  </si>
  <si>
    <t>Бюрократ</t>
  </si>
  <si>
    <t>+7 (8362) 56-40-40</t>
  </si>
  <si>
    <t>+7 (906) 334-00-20</t>
  </si>
  <si>
    <t>пн-пт 08:30–17:00; сб 09:00–13:00</t>
  </si>
  <si>
    <t>Ваше здоровье</t>
  </si>
  <si>
    <t>ул. Баумана, 14, Йошкар-Ола</t>
  </si>
  <si>
    <t>+7 (8362) 55-60-00</t>
  </si>
  <si>
    <t>Аптека, Салон оптики</t>
  </si>
  <si>
    <t>47.844403 56.641892</t>
  </si>
  <si>
    <t>ПроАвто</t>
  </si>
  <si>
    <t>+7 (8362) 39-70-39</t>
  </si>
  <si>
    <t>Автоакустика, Автосервис, автотехцентр, Тонирование стекол</t>
  </si>
  <si>
    <t>47.876953 56.627634</t>
  </si>
  <si>
    <t>Инфомакс</t>
  </si>
  <si>
    <t>+7 (8362) 33-83-98</t>
  </si>
  <si>
    <t>Бухгалтерские услуги, Юридические услуги</t>
  </si>
  <si>
    <t>47.873568 56.647129</t>
  </si>
  <si>
    <t>Звезда</t>
  </si>
  <si>
    <t>+7 (8362) 56-09-00</t>
  </si>
  <si>
    <t>Металлические двери Зевс</t>
  </si>
  <si>
    <t>+7 (917) 716-66-67</t>
  </si>
  <si>
    <t xml:space="preserve">dveri.zevs-12@yandex.ru  </t>
  </si>
  <si>
    <t>http://zevs12.ru/</t>
  </si>
  <si>
    <t>47.85822 56.621022</t>
  </si>
  <si>
    <t>ул. Осипенко, 2В, Йошкар-Ола</t>
  </si>
  <si>
    <t>+7 (8362) 91-11-90, +7 (8362) 66-00-15</t>
  </si>
  <si>
    <t>47.888882 56.655886</t>
  </si>
  <si>
    <t>ТСЖ Йошкар-Олинец</t>
  </si>
  <si>
    <t>ул. Строителей, 36А, Йошкар-Ола</t>
  </si>
  <si>
    <t>пн 18:00–19:00</t>
  </si>
  <si>
    <t>47.830887 56.637268</t>
  </si>
  <si>
    <t>+7 (8362) 41-00-85</t>
  </si>
  <si>
    <t>Филин</t>
  </si>
  <si>
    <t>+7 (8362) 45-85-80, +7 (8362) 96-95-90</t>
  </si>
  <si>
    <t>+7 (8362) 45-85-80</t>
  </si>
  <si>
    <t>Универсал</t>
  </si>
  <si>
    <t>+7 (8362) 20-38-10</t>
  </si>
  <si>
    <t>Ремонт аудиотехники и видеотехники, Ремонт бытовой техники</t>
  </si>
  <si>
    <t>47.942456 56.622216</t>
  </si>
  <si>
    <t>Подкова</t>
  </si>
  <si>
    <t>+7 (8362) 61-06-61</t>
  </si>
  <si>
    <t>Сияние Йошкар-Ола</t>
  </si>
  <si>
    <t>ул. Димитрова, 44, Йошкар-Ола</t>
  </si>
  <si>
    <t>+7 (8362) 46-16-00, +7 (8362) 38-16-38</t>
  </si>
  <si>
    <t xml:space="preserve">siyaniea@mail.ru, 3ageneral@mofoms.ru, general@mofoms.ru, general@volgatfoms.ru  </t>
  </si>
  <si>
    <t>http://mrtcenter.ru/</t>
  </si>
  <si>
    <t>Диагностический центр, Медцентр, клиника, Оздоровительный центр</t>
  </si>
  <si>
    <t>https://vk.com/mrtola</t>
  </si>
  <si>
    <t>https://www.facebook.com/pages/%D0%A1%D0%B5%D1%82%D1%8C-%D0%BC%D0%B5%D0%B4%D0%B8%D1%86%D0%B8%D0%BD%D1%81%D0%BA%D0%B8%D1%85-%D1%86%D0%B5%D0%BD%D1%82%D1%80%D0%BE%D0%B2-%D0%9C%D0%A0%D0%A2-%D0%A1%D0%B8%D1%8F%D0%BD%D0%B8%D0%B5/370726099761517</t>
  </si>
  <si>
    <t>https://www.instagram.com/mrtrussia</t>
  </si>
  <si>
    <t>47.845343 56.647077</t>
  </si>
  <si>
    <t>Библиотека филиал № 19</t>
  </si>
  <si>
    <t>ул. Павленко, 58, Йошкар-Ола</t>
  </si>
  <si>
    <t>+7 (8362) 63-97-77</t>
  </si>
  <si>
    <t>47.938631 56.633743</t>
  </si>
  <si>
    <t>Sport drive</t>
  </si>
  <si>
    <t>+7 (8362) 42-43-33</t>
  </si>
  <si>
    <t>Спортивная одежда и обувь, Спортивный магазин</t>
  </si>
  <si>
    <t>http://vk.com/sportdrive</t>
  </si>
  <si>
    <t>47.883371 56.623954</t>
  </si>
  <si>
    <t>Рыболов</t>
  </si>
  <si>
    <t>+7 (8362) 20-47-41</t>
  </si>
  <si>
    <t>+7 (917) 701-45-57</t>
  </si>
  <si>
    <t>Домоуправление № 19</t>
  </si>
  <si>
    <t>+7 (8362) 21-68-44, +7 (8362) 21-57-75, +7 (8362) 22-24-70, +7 (8362) 21-48-88, +7 (8362) 46-33-39, +7 (8362) 23-08-53</t>
  </si>
  <si>
    <t xml:space="preserve">sales@citrus-soft.ru, sro_zhilsoyuz@bk.ru  </t>
  </si>
  <si>
    <t>http://www.12jkh.ru/</t>
  </si>
  <si>
    <t>Магистр</t>
  </si>
  <si>
    <t>ул. Мира, 27, Йошкар-Ола</t>
  </si>
  <si>
    <t>+7 (8362) 38-33-17</t>
  </si>
  <si>
    <t>http://magistr-house.ru/</t>
  </si>
  <si>
    <t>47.952573 56.625084</t>
  </si>
  <si>
    <t>СССР</t>
  </si>
  <si>
    <t>бул. Чавайна, 13, Йошкар-Ола</t>
  </si>
  <si>
    <t>+7 (987) 716-03-61</t>
  </si>
  <si>
    <t>Быстрое питание, Кафе, Магазин пива</t>
  </si>
  <si>
    <t>47.922481 56.629163</t>
  </si>
  <si>
    <t>Бренд Мастер</t>
  </si>
  <si>
    <t xml:space="preserve">support@tiu.ru, info@themeansar.com  </t>
  </si>
  <si>
    <t>http://brend-master.tiu.ru/, http://brend21.ru/</t>
  </si>
  <si>
    <t>пн-пт 09:00–19:00; сб,вс 09:30–16:00</t>
  </si>
  <si>
    <t>Ирис</t>
  </si>
  <si>
    <t>+7 (8362) 45-00-47</t>
  </si>
  <si>
    <t>Оптовый магазин, Швейная фурнитура</t>
  </si>
  <si>
    <t>+7 (8362) 77-23-33</t>
  </si>
  <si>
    <t>47.892637 56.63828</t>
  </si>
  <si>
    <t>Oblaka Lounge</t>
  </si>
  <si>
    <t>просп. Гагарина, 9, Йошкар-Ола</t>
  </si>
  <si>
    <t>+7 (8362) 32-31-10</t>
  </si>
  <si>
    <t>+7 (927) 882-31-10</t>
  </si>
  <si>
    <t>Игровые приставки, Кальян-бар</t>
  </si>
  <si>
    <t>https://vk.com/ola_oblaka</t>
  </si>
  <si>
    <t>https://www.facebook.com/Oblaka-Lounge-660237980807585/</t>
  </si>
  <si>
    <t>http://instagram.com/ola_oblaka</t>
  </si>
  <si>
    <t>47.887996 56.628101</t>
  </si>
  <si>
    <t>Союз строителей Республики Марий Эл</t>
  </si>
  <si>
    <t>ул. Петрова, 28, Йошкар-Ола</t>
  </si>
  <si>
    <t>+7 (8362) 23-19-50, +7 (8362) 23-04-78</t>
  </si>
  <si>
    <t>+7 (8362) 23-19-50</t>
  </si>
  <si>
    <t xml:space="preserve">ss_rme@mail.ru, info@gsrme.ru, fin@gsrme.ru, expert@gsrme.ru, urist@gsrme.ru  </t>
  </si>
  <si>
    <t>http://guild.gsrme.ru/</t>
  </si>
  <si>
    <t>Общественная организация, Профсоюз</t>
  </si>
  <si>
    <t>47.925463 56.640579</t>
  </si>
  <si>
    <t>Система навыков дальнейшего энергоинформационного развития</t>
  </si>
  <si>
    <t>+7 (8362) 27-74-54</t>
  </si>
  <si>
    <t>+7 (904) 724-74-54</t>
  </si>
  <si>
    <t xml:space="preserve">deir@deir.org, ceo@deir.org, amur@deir.org, belyaeva@deir.org  </t>
  </si>
  <si>
    <t>http://deir.org/</t>
  </si>
  <si>
    <t>Курсы и мастер-классы, Психологическая служба</t>
  </si>
  <si>
    <t>Бабушкина сказка</t>
  </si>
  <si>
    <t>Первомайская ул., 79, Йошкар-Ола</t>
  </si>
  <si>
    <t>+7 (8362) 35-52-09</t>
  </si>
  <si>
    <t>47.893 56.6467</t>
  </si>
  <si>
    <t>Школа № 27</t>
  </si>
  <si>
    <t>ул. Строителей, 13А, Йошкар-Ола</t>
  </si>
  <si>
    <t>+7 (8362) 73-32-74, +7 (8362) 73-32-58</t>
  </si>
  <si>
    <t xml:space="preserve">schoolmari27@yandex.ru, spm111@yandex.ru </t>
  </si>
  <si>
    <t>47.839005 56.638071</t>
  </si>
  <si>
    <t>Меделан</t>
  </si>
  <si>
    <t>бул. Чавайна, 42, Йошкар-Ола</t>
  </si>
  <si>
    <t>+7 (8362) 45-31-00, +7 (8362) 44-40-04</t>
  </si>
  <si>
    <t>Бар, паб, Кафе, Кофейня</t>
  </si>
  <si>
    <t>пн-чт 10:00–02:00; пт,сб 10:00–07:00; вс 10:00–02:00</t>
  </si>
  <si>
    <t>http://vk.com/medelan_cafe</t>
  </si>
  <si>
    <t>https://www.instagram.com/medelan_cafe</t>
  </si>
  <si>
    <t>47.89493 56.635784</t>
  </si>
  <si>
    <t>Автопицца</t>
  </si>
  <si>
    <t>+7 (8362) 38-30-00</t>
  </si>
  <si>
    <t>http://yo.avtopizza.ru/, http://www.avtopizza.ru/</t>
  </si>
  <si>
    <t>Доставка еды и обедов, Кафе, Пиццерия</t>
  </si>
  <si>
    <t>47.892994 56.631966</t>
  </si>
  <si>
    <t>Zepter International</t>
  </si>
  <si>
    <t>8 (800) 200-27-00, +7 (8362) 72-08-80, +7 (8362) 55-10-20</t>
  </si>
  <si>
    <t>+7 (902) 124-02-67, +7 (902) 326-56-50</t>
  </si>
  <si>
    <t xml:space="preserve">info@zepter.ru  </t>
  </si>
  <si>
    <t>https://www.zepter.ru/</t>
  </si>
  <si>
    <t>Магазин бытовой техники, Магазин посуды, Медицинское оборудование, медтехника</t>
  </si>
  <si>
    <t>пн-чт 09:00–17:45; пт 09:00–16:30</t>
  </si>
  <si>
    <t>https://vk.com/zepter.russia</t>
  </si>
  <si>
    <t>http://www.facebook.com/zepterinternational</t>
  </si>
  <si>
    <t>https://www.youtube.com/user/ZEPTERInternational1</t>
  </si>
  <si>
    <t>https://www.instagram.com/zepter.russia</t>
  </si>
  <si>
    <t>47.880528 56.636521</t>
  </si>
  <si>
    <t>Регионгарант</t>
  </si>
  <si>
    <t>+7 (8362) 54-35-11</t>
  </si>
  <si>
    <t>+7 (964) 864-35-11</t>
  </si>
  <si>
    <t>Строительство дачных домов и коттеджей, Фасады и фасадные системы</t>
  </si>
  <si>
    <t>47.913811 56.634481</t>
  </si>
  <si>
    <t>Яхонт</t>
  </si>
  <si>
    <t>+7 (8362) 32-61-22</t>
  </si>
  <si>
    <t xml:space="preserve">topaz-shop@mail.ru, office.kontakt@mail.ru  </t>
  </si>
  <si>
    <t>https://topaz-kirov.ru/</t>
  </si>
  <si>
    <t>https://vk.com/topaz43kirov</t>
  </si>
  <si>
    <t>https://www.instagram.com/topaz_yahont/</t>
  </si>
  <si>
    <t>47.843716 56.640882</t>
  </si>
  <si>
    <t>Женский клуб Марий Эл</t>
  </si>
  <si>
    <t>+7 (902) 736-99-06</t>
  </si>
  <si>
    <t>Пиал</t>
  </si>
  <si>
    <t>ул. Зарубина, 13, Йошкар-Ола</t>
  </si>
  <si>
    <t>+7 (8362) 41-16-49</t>
  </si>
  <si>
    <t>+7 (8362) 41-40-50</t>
  </si>
  <si>
    <t>http://pialooo.business.site/</t>
  </si>
  <si>
    <t>Магазин бытовой техники, Противопожарные системы, Системы безопасности и охраны</t>
  </si>
  <si>
    <t>47.88139 56.62754</t>
  </si>
  <si>
    <t>Свадебный лимузин Hummer</t>
  </si>
  <si>
    <t>Звёздная ул., 4Б, Йошкар-Ола</t>
  </si>
  <si>
    <t>Заказ автомобилей</t>
  </si>
  <si>
    <t>47.963029 56.614376</t>
  </si>
  <si>
    <t>Стартеры и генераторы</t>
  </si>
  <si>
    <t>ул. Соловьёва, 22А, корп. 4, Йошкар-Ола</t>
  </si>
  <si>
    <t>+7 (8362) 98-88-85</t>
  </si>
  <si>
    <t>+7 (902) 358-88-85</t>
  </si>
  <si>
    <t>http://www.eksin.ru/</t>
  </si>
  <si>
    <t>Автосервис, автотехцентр, Ремонт электрооборудования</t>
  </si>
  <si>
    <t>пн-пт 09:00–19:00; сб 10:00–14:00</t>
  </si>
  <si>
    <t>47.8715 56.625688</t>
  </si>
  <si>
    <t>Грета</t>
  </si>
  <si>
    <t>+7 (8362) 24-20-09, +7 (8362) 26-28-24</t>
  </si>
  <si>
    <t>+7 (964) 860-77-60</t>
  </si>
  <si>
    <t>Автоматические двери и ворота, Натяжные и подвесные потолки, Окна</t>
  </si>
  <si>
    <t>47.886233 56.635565</t>
  </si>
  <si>
    <t>Шашлычный дворик</t>
  </si>
  <si>
    <t>Фестивальная ул., 68, Йошкар-Ола</t>
  </si>
  <si>
    <t>ежедневно, 10:00–00:00</t>
  </si>
  <si>
    <t>47.834642 56.644074</t>
  </si>
  <si>
    <t>Медаллегас</t>
  </si>
  <si>
    <t>+7 (917) 700-00-13</t>
  </si>
  <si>
    <t>Автокосметика, автохимия, Оптовый магазин, Смазочные материалы</t>
  </si>
  <si>
    <t>47.901739 56.648506</t>
  </si>
  <si>
    <t>Буровик</t>
  </si>
  <si>
    <t>ул. Зарубина, 39, Йошкар-Ола</t>
  </si>
  <si>
    <t>+7 (8362) 51-66-77</t>
  </si>
  <si>
    <t>47.869299 56.636204</t>
  </si>
  <si>
    <t>Всероссийское общество автомобилистов</t>
  </si>
  <si>
    <t>ул. Маршала Жукова, 3, Йошкар-Ола</t>
  </si>
  <si>
    <t>+7 (8362) 46-75-48</t>
  </si>
  <si>
    <t>+7 (902) 325-06-11</t>
  </si>
  <si>
    <t>+7 (8362) 56-67-35</t>
  </si>
  <si>
    <t xml:space="preserve">zelenodolsk-voa@mail.ru  </t>
  </si>
  <si>
    <t>http://www.voa.ru/</t>
  </si>
  <si>
    <t>47.839017 56.651334</t>
  </si>
  <si>
    <t>Медведевское Ремонтно Техническое предприятие</t>
  </si>
  <si>
    <t>Кортэкс-2</t>
  </si>
  <si>
    <t>ул. Кирова, 4, Йошкар-Ола</t>
  </si>
  <si>
    <t>+7 (8362) 96-12-19, +7 (8362) 38-41-21</t>
  </si>
  <si>
    <t>вт-вс 09:00–18:00</t>
  </si>
  <si>
    <t>47.9322 56.631933</t>
  </si>
  <si>
    <t>Флоренция</t>
  </si>
  <si>
    <t>+7 (8362) 31-00-85, +7 (8362) 77-43-00</t>
  </si>
  <si>
    <t>Сервис-центр Пан Зюзя</t>
  </si>
  <si>
    <t>ул. Осипенко, 1Б, Йошкар-Ола</t>
  </si>
  <si>
    <t>+7 (902) 325-16-04</t>
  </si>
  <si>
    <t>Компрессоры и компрессорное оборудование, Ремонт электрооборудования, Сварочное оборудование и материалы, Электро- и бензоинструмент</t>
  </si>
  <si>
    <t>47.887679 56.655421</t>
  </si>
  <si>
    <t>Los Colores</t>
  </si>
  <si>
    <t>+7 (967) 757-78-01, +7 (964) 863-19-53</t>
  </si>
  <si>
    <t>пн-пт 12:00–21:00; сб 12:00–15:00</t>
  </si>
  <si>
    <t>47.891505 56.631674</t>
  </si>
  <si>
    <t>Меготехсервис</t>
  </si>
  <si>
    <t>+7 (917) 700-11-07, +7 (917) 700-13-95, +7 (987) 707-44-95</t>
  </si>
  <si>
    <t>Салон красоты Имидж</t>
  </si>
  <si>
    <t>Первомайская ул., 136, Йошкар-Ола</t>
  </si>
  <si>
    <t>+7 (8362) 98-98-69</t>
  </si>
  <si>
    <t>47.883933 56.635694</t>
  </si>
  <si>
    <t>Белпласт</t>
  </si>
  <si>
    <t>+7 (8362) 73-12-87, +7 (8362) 73-18-51</t>
  </si>
  <si>
    <t xml:space="preserve">9629349825@pro-ptr.ru, 9670920364@pro-ptr.ru, 9645015463@pro-ptr.ru  </t>
  </si>
  <si>
    <t>http://ioshkar-ola.pro-ptr.ru/</t>
  </si>
  <si>
    <t>47.8333 56.6288</t>
  </si>
  <si>
    <t>Йошкар-Олинская городская коллегия адвокатов Республики Марий Эл</t>
  </si>
  <si>
    <t>+7 (8362) 66-82-77, +7 (8362) 36-76-70, +7 (8362) 33-94-56, +7 (8362) 96-19-71</t>
  </si>
  <si>
    <t>+7 (927) 684-99-98, +7 (917) 714-23-75, +7 (937) 117-13-35, +7 (937) 114-58-38, +7 (919) 417-56-77</t>
  </si>
  <si>
    <t>47.8819 56.6372</t>
  </si>
  <si>
    <t>Кафе Санда</t>
  </si>
  <si>
    <t>ул. Суворова, 12А, Йошкар-Ола</t>
  </si>
  <si>
    <t>+7 (8362) 68-31-01</t>
  </si>
  <si>
    <t>Банкетный зал, Кафе, Столовая</t>
  </si>
  <si>
    <t>47.867601 56.635283</t>
  </si>
  <si>
    <t>Статус</t>
  </si>
  <si>
    <t>+7 (8362) 56-58-14, +7 (8362) 23-05-60, +7 (8362) 23-05-70</t>
  </si>
  <si>
    <t xml:space="preserve">status.3@mail.ru, status-7@bk.ru, status-8@bk.ru  </t>
  </si>
  <si>
    <t>http://status-door.ru/</t>
  </si>
  <si>
    <t>Двери, Металлопрокат, Оптовый магазин</t>
  </si>
  <si>
    <t>47.9057 56.613</t>
  </si>
  <si>
    <t>+7 (8362) 52-94-94, +7 (8362) 73-64-67, +7 (8362) 72-03-25</t>
  </si>
  <si>
    <t xml:space="preserve">elfy-ola@yandex.ru  </t>
  </si>
  <si>
    <t>https://elf-mebel.ru/, http://lp.elf-mebel.ru/, https://elfmebel.kmarket12.ru/</t>
  </si>
  <si>
    <t>Корпусная мебель, Мебельная фабрика, Шкафы-купе</t>
  </si>
  <si>
    <t>Red city</t>
  </si>
  <si>
    <t>ул. Карла Маркса, 128, Йошкар-Ола</t>
  </si>
  <si>
    <t>+7 (917) 707-80-06</t>
  </si>
  <si>
    <t>47.89014 56.624187</t>
  </si>
  <si>
    <t>СтройГарант</t>
  </si>
  <si>
    <t>+7 (8362) 41-03-03, +7 (8362) 21-01-07</t>
  </si>
  <si>
    <t>Мир кровли и фасада</t>
  </si>
  <si>
    <t>+7 (8362) 99-40-20, +7 (8362) 51-22-25</t>
  </si>
  <si>
    <t>+7 (961) 375-33-00</t>
  </si>
  <si>
    <t xml:space="preserve">mkif12@mail.ru  </t>
  </si>
  <si>
    <t>http://mkif12.ru/</t>
  </si>
  <si>
    <t>Кровля и кровельные материалы, Оптовый магазин, Фасады и фасадные системы</t>
  </si>
  <si>
    <t>https://vk.com/mkif12</t>
  </si>
  <si>
    <t>Пересвет</t>
  </si>
  <si>
    <t>ул. Крылова, 25, Йошкар-Ола</t>
  </si>
  <si>
    <t>+7 (8362) 42-89-22, +7 (8362) 38-20-04, +7 (8362) 38-20-03, +7 (8362) 72-23-75, +7 (8362) 72-02-30, +7 (8362) 38-20-05</t>
  </si>
  <si>
    <t xml:space="preserve">sigisooo@yandex.ru, sigisooo@peresvet12.ru  </t>
  </si>
  <si>
    <t>http://peresvet12.ru/</t>
  </si>
  <si>
    <t>Светильники, Электромонтажные работы, Электротехническая продукция</t>
  </si>
  <si>
    <t>пн-пт 08:00–18:00; сб 08:30–16:00</t>
  </si>
  <si>
    <t>https://vk.com/peresvet12ru</t>
  </si>
  <si>
    <t>47.861369 56.62511</t>
  </si>
  <si>
    <t>Стройремонт</t>
  </si>
  <si>
    <t>+7 (927) 873-99-48</t>
  </si>
  <si>
    <t>Столица Марий Эл</t>
  </si>
  <si>
    <t>+7 (927) 877-52-19</t>
  </si>
  <si>
    <t>Оценочная компания, Юридические услуги</t>
  </si>
  <si>
    <t>47.871403 56.639278</t>
  </si>
  <si>
    <t>Правоохранитель 2</t>
  </si>
  <si>
    <t>+7 (8362) 38-30-58</t>
  </si>
  <si>
    <t>пн-пт 09:00–18:00, перерыв 13:00–14:30</t>
  </si>
  <si>
    <t>47.884 56.6386</t>
  </si>
  <si>
    <t>Крепёж</t>
  </si>
  <si>
    <t>Ленинский просп., 59, Йошкар-Ола</t>
  </si>
  <si>
    <t>+7 (8362) 77-03-30, +7 (8362) 73-67-95</t>
  </si>
  <si>
    <t>Крепежные изделия, Строительный инструмент, Строительный магазин</t>
  </si>
  <si>
    <t>пн-пт 08:00–19:00; сб,вс 09:00–16:00</t>
  </si>
  <si>
    <t>47.875881 56.634556</t>
  </si>
  <si>
    <t>Ниагара</t>
  </si>
  <si>
    <t>+7 (8362) 99-31-26</t>
  </si>
  <si>
    <t>+7 (902) 329-31-26, +7 (902) 329-31-25</t>
  </si>
  <si>
    <t>+7 (8362) 64-29-45</t>
  </si>
  <si>
    <t xml:space="preserve">privacy@wix.com, jobs@wix.com, support@wix.com, contactvideo@wix.com, abuse@wix.com </t>
  </si>
  <si>
    <t>http://niagara12.com/</t>
  </si>
  <si>
    <t>Энергия</t>
  </si>
  <si>
    <t>8 (800) 700-70-00, +7 (8362) 27-20-44, +7 (8362) 73-00-01</t>
  </si>
  <si>
    <t xml:space="preserve">yourname@domain.ru  </t>
  </si>
  <si>
    <t>https://nrg-tk.ru/</t>
  </si>
  <si>
    <t>Автомобильные грузоперевозки, Грузовые авиаперевозки, Железнодорожные грузоперевозки, Экспедирование грузов</t>
  </si>
  <si>
    <t>https://vk.com/nrgtkru</t>
  </si>
  <si>
    <t>https://ok.ru/group/53872941138062</t>
  </si>
  <si>
    <t>http://twitter.com/nrg_tk_ru</t>
  </si>
  <si>
    <t>https://www.facebook.com/nrgtkru</t>
  </si>
  <si>
    <t>https://www.instagram.com/nrg_tk</t>
  </si>
  <si>
    <t>Стиль-комплект</t>
  </si>
  <si>
    <t>Красноармейская ул., 40, Йошкар-Ола</t>
  </si>
  <si>
    <t>+7 (8362) 45-86-58</t>
  </si>
  <si>
    <t>пн-пт 08:00–18:30; сб 09:00–14:00</t>
  </si>
  <si>
    <t>47.895377 56.641327</t>
  </si>
  <si>
    <t>Адвента</t>
  </si>
  <si>
    <t>+7 (8362) 99-77-17</t>
  </si>
  <si>
    <t xml:space="preserve">adventamedia@yandex.ru </t>
  </si>
  <si>
    <t>Авком-12</t>
  </si>
  <si>
    <t>+7 (8362) 45-09-98, +7 (8362) 72-09-98</t>
  </si>
  <si>
    <t>+7 (917) 707-77-77</t>
  </si>
  <si>
    <t>47.899114 56.634199</t>
  </si>
  <si>
    <t>Трест 21 Волговятскспецобъектстрой</t>
  </si>
  <si>
    <t>+7 (8362) 22-04-12, +7 (8362) 25-00-06</t>
  </si>
  <si>
    <t>ДеньгиАктив</t>
  </si>
  <si>
    <t>+7 (8362) 33-62-33</t>
  </si>
  <si>
    <t>+7 (927) 594-88-88</t>
  </si>
  <si>
    <t>47.830051 56.639528</t>
  </si>
  <si>
    <t>Английская школа Юнискул</t>
  </si>
  <si>
    <t>8 (800) 770-78-65, +7 (8362) 30-85-55, +7 (8362) 30-84-44</t>
  </si>
  <si>
    <t xml:space="preserve">yummyenglishkv@gmail.com  </t>
  </si>
  <si>
    <t>http://unischoolclub.ru/</t>
  </si>
  <si>
    <t>Бюро переводов, Дополнительное образование, Курсы иностранных языков, Услуги репетиторов</t>
  </si>
  <si>
    <t>https://vk.com/unischool</t>
  </si>
  <si>
    <t>https://www.instagram.com/unischool_308555</t>
  </si>
  <si>
    <t>47.885218 56.630682</t>
  </si>
  <si>
    <t>Тесла</t>
  </si>
  <si>
    <t>+7 (902) 124-40-40, +7 (987) 700-78-87</t>
  </si>
  <si>
    <t xml:space="preserve">teslafirm@mail.ru, tesla12ru@mail.ru, support@tiu.ru  </t>
  </si>
  <si>
    <t>http://www.teslafirm.ru/, http://tesla12.ru/</t>
  </si>
  <si>
    <t>Электромонтажные работы, Энергетическое оборудование, Энергосбережение и энергоаудит</t>
  </si>
  <si>
    <t>ежедневно, 09:00–18:00, перерыв 13:00–14:00</t>
  </si>
  <si>
    <t>https://vk.com/teslafirm</t>
  </si>
  <si>
    <t>ТСЖ Кристалл</t>
  </si>
  <si>
    <t>Пролетарская ул., 19, Йошкар-Ола</t>
  </si>
  <si>
    <t>+7 (967) 756-37-37</t>
  </si>
  <si>
    <t>пн 18:00–20:00</t>
  </si>
  <si>
    <t>47.896509 56.644302</t>
  </si>
  <si>
    <t>Висан</t>
  </si>
  <si>
    <t>ул. Машиностроителей, 112, Йошкар-Ола</t>
  </si>
  <si>
    <t>+7 (8362) 73-79-49</t>
  </si>
  <si>
    <t>Безопасность труда, Радиационный контроль</t>
  </si>
  <si>
    <t>47.832702 56.625896</t>
  </si>
  <si>
    <t>Тара Товара, склад</t>
  </si>
  <si>
    <t>+7 (937) 937-19-00</t>
  </si>
  <si>
    <t xml:space="preserve">ivanov@mail.ru  </t>
  </si>
  <si>
    <t>https://yoshkar-ola.tara-tovara.ru/</t>
  </si>
  <si>
    <t>Интернет-магазин, Тара и упаковочные материалы</t>
  </si>
  <si>
    <t>Окна Дома</t>
  </si>
  <si>
    <t>ул. Баумана, 100, корп. 2, Йошкар-Ола</t>
  </si>
  <si>
    <t>+7 (8362) 30-74-39</t>
  </si>
  <si>
    <t>+7 (961) 373-42-52</t>
  </si>
  <si>
    <t xml:space="preserve">info@eurooknadoma.ru  </t>
  </si>
  <si>
    <t>http://eurooknadoma.ru/</t>
  </si>
  <si>
    <t>Окна, Оптовая компания</t>
  </si>
  <si>
    <t>47.854486 56.627911</t>
  </si>
  <si>
    <t>Лучший выход</t>
  </si>
  <si>
    <t>+7 (8362) 51-02-02</t>
  </si>
  <si>
    <t>Алко-Маркет</t>
  </si>
  <si>
    <t>ул. Соловьёва, 5, Йошкар-Ола</t>
  </si>
  <si>
    <t>+7 (8362) 30-75-01, +7 (8362) 49-46-03, +7 (8362) 45-17-04</t>
  </si>
  <si>
    <t xml:space="preserve">alkomarket_cb@mail.ru </t>
  </si>
  <si>
    <t>http://alkomarket12.ru/</t>
  </si>
  <si>
    <t>Магазин алкогольных напитков</t>
  </si>
  <si>
    <t>ежедневно, 07:45–20:45</t>
  </si>
  <si>
    <t>47.87565 56.619532</t>
  </si>
  <si>
    <t>Главный головной</t>
  </si>
  <si>
    <t>+7 (8362) 66-01-77</t>
  </si>
  <si>
    <t xml:space="preserve">glavhats@yandex.ru  </t>
  </si>
  <si>
    <t>http://glavgol.ru/</t>
  </si>
  <si>
    <t>Магазин галантереи и аксессуаров, Магазин головных уборов, Магазин кожи и меха</t>
  </si>
  <si>
    <t>https://vk.com/glavgol</t>
  </si>
  <si>
    <t>47.843673 56.641204</t>
  </si>
  <si>
    <t>МБДОУ детский сад № 31 Радуга</t>
  </si>
  <si>
    <t>бул. Победы, 12А, Йошкар-Ола</t>
  </si>
  <si>
    <t>+7 (8362) 42-39-00, +7 (8362) 42-26-67, +7 (36224) 2-39-00</t>
  </si>
  <si>
    <t>http://edu.mari.ru/mouo-yoshkarola/dou31</t>
  </si>
  <si>
    <t>47.880091 56.639637</t>
  </si>
  <si>
    <t>Республиканская клиническая больница ЛОР-отделение и челюстно-лицевой хирургии</t>
  </si>
  <si>
    <t>+7 (8362) 42-18-00, +7 (8362) 42-39-80, +7 (8362) 42-36-80</t>
  </si>
  <si>
    <t>47.879109 56.649483</t>
  </si>
  <si>
    <t>Time12</t>
  </si>
  <si>
    <t>+7 (902) 124-53-22</t>
  </si>
  <si>
    <t>https://vk.com/club109114512</t>
  </si>
  <si>
    <t>47.929088 56.627937</t>
  </si>
  <si>
    <t>Общежитие № 3 ПГТУ</t>
  </si>
  <si>
    <t>Советская ул., 148, Йошкар-Ола</t>
  </si>
  <si>
    <t>+7 (8362) 68-60-01</t>
  </si>
  <si>
    <t>http://www.volgatech.net/</t>
  </si>
  <si>
    <t>47.894502 56.631575</t>
  </si>
  <si>
    <t>Техно-Групп</t>
  </si>
  <si>
    <t>+7 (8362) 31-43-43</t>
  </si>
  <si>
    <t>+7 (8362) 45-68-38</t>
  </si>
  <si>
    <t xml:space="preserve">12avto@bk.ru </t>
  </si>
  <si>
    <t>Автосалон, Автосервис, автотехцентр, Магазин автозапчастей и автотоваров, Спецтехника и спецавтомобили, Шиномонтаж</t>
  </si>
  <si>
    <t>47.8881 56.6307</t>
  </si>
  <si>
    <t>Служба доставки пенсий</t>
  </si>
  <si>
    <t>+7 (8362) 72-09-89, +7 (8362) 72-10-56</t>
  </si>
  <si>
    <t>Пенсионный фонд</t>
  </si>
  <si>
    <t>47.880718 56.636605</t>
  </si>
  <si>
    <t>Онега</t>
  </si>
  <si>
    <t>Бизнес-центр</t>
  </si>
  <si>
    <t>DNS</t>
  </si>
  <si>
    <t>8 (800) 770-79-99</t>
  </si>
  <si>
    <t xml:space="preserve">ryabov.a@dns-shop.ru, platonov.n2@dns-shop.ru, ikonnikov.mi@dns-shop.ru, smirnov.a@dns-shop.ru  </t>
  </si>
  <si>
    <t>http://dns-shop.ru/?city=yoshkar-olau0026utm_campaign=ya_mapsu0026utm_medium=cpcu0026utm_source=ya_maps_1443</t>
  </si>
  <si>
    <t>Компьютерный магазин, Магазин бытовой техники, Магазин электроники</t>
  </si>
  <si>
    <t>47.843136 56.641663</t>
  </si>
  <si>
    <t>Борей</t>
  </si>
  <si>
    <t>+7 (8362) 97-18-09, +7 (8362) 97-18-06</t>
  </si>
  <si>
    <t>Кондиционеры, Натяжные и подвесные потолки, Окна</t>
  </si>
  <si>
    <t>АТК-Сервис</t>
  </si>
  <si>
    <t>+7 (8362) 99-66-01, +7 (8362) 72-33-44</t>
  </si>
  <si>
    <t>Марий Сем 2.0</t>
  </si>
  <si>
    <t>ул. Баумана, 21, Йошкар-Ола</t>
  </si>
  <si>
    <t>Ночной клуб</t>
  </si>
  <si>
    <t>пн,вт 22:00–02:00; ср-сб 22:00–04:00; вс 22:00–02:00</t>
  </si>
  <si>
    <t>http://vk.com/marisemdisco</t>
  </si>
  <si>
    <t>https://www.instagram.com/disco_marisem</t>
  </si>
  <si>
    <t>47.845733 56.638749</t>
  </si>
  <si>
    <t>Апельсин</t>
  </si>
  <si>
    <t>ул. Карла Либкнехта, 106, корп. Е, Йошкар-Ола</t>
  </si>
  <si>
    <t>+7 (8362) 33-19-12</t>
  </si>
  <si>
    <t>47.93431 56.625826</t>
  </si>
  <si>
    <t>Соната</t>
  </si>
  <si>
    <t>+7 (8362) 31-08-58</t>
  </si>
  <si>
    <t>пн-пт 09:00–19:00; сб 09:00–17:00; вс 09:00–15:00</t>
  </si>
  <si>
    <t>47.935862 56.637693</t>
  </si>
  <si>
    <t>Эталон</t>
  </si>
  <si>
    <t>+7 (8362) 56-10-33</t>
  </si>
  <si>
    <t>Домоуправление № 9</t>
  </si>
  <si>
    <t>ул. Анциферова, 2А, Йошкар-Ола</t>
  </si>
  <si>
    <t>+7 (8362) 41-93-50, +7 (8362) 41-93-91, +7 (8362) 63-29-80</t>
  </si>
  <si>
    <t>http://ooodu9.ru/</t>
  </si>
  <si>
    <t>47.860559 56.651768</t>
  </si>
  <si>
    <t>АиТис</t>
  </si>
  <si>
    <t>ул. Ольги Тихомировой, 59, Йошкар-Ола</t>
  </si>
  <si>
    <t>+7 (8362) 64-00-07, +7 (8362) 72-00-90, +7 (8362) 45-74-14</t>
  </si>
  <si>
    <t>Ремонт бытовой техники, Телекоммуникационное оборудование</t>
  </si>
  <si>
    <t>47.877779 56.646415</t>
  </si>
  <si>
    <t>Автоэкспертиза</t>
  </si>
  <si>
    <t>ул. Машиностроителей, 71, Йошкар-Ола</t>
  </si>
  <si>
    <t>+7 (927) 880-88-80</t>
  </si>
  <si>
    <t>47.864951 56.636635</t>
  </si>
  <si>
    <t>Ретро FM Йошкар-Ола</t>
  </si>
  <si>
    <t>+7 (8362) 41-38-78</t>
  </si>
  <si>
    <t xml:space="preserve">legal@retrofm.ru, igra@retrofm.ru </t>
  </si>
  <si>
    <t>http://retrofm.ru/</t>
  </si>
  <si>
    <t>Радиокомпания, Рекламное агентство</t>
  </si>
  <si>
    <t>http://vk.com/retrofm</t>
  </si>
  <si>
    <t>http://facebook.com/pages/retro-fm-moscow/167311559974106</t>
  </si>
  <si>
    <t>47.891526 56.621524</t>
  </si>
  <si>
    <t>Зеленый мир-2</t>
  </si>
  <si>
    <t>+7 (8362) 45-66-69</t>
  </si>
  <si>
    <t>47.880205 56.617199</t>
  </si>
  <si>
    <t>Анастасия</t>
  </si>
  <si>
    <t>+7 (902) 326-15-85</t>
  </si>
  <si>
    <t>47.916892 56.631283</t>
  </si>
  <si>
    <t>Много Потолков</t>
  </si>
  <si>
    <t>Экспресс-Консалтинг</t>
  </si>
  <si>
    <t>+7 (8362) 62-40-63</t>
  </si>
  <si>
    <t>МК Гарант</t>
  </si>
  <si>
    <t>+7 (8362) 43-38-77</t>
  </si>
  <si>
    <t>+7 (964) 863-38-77</t>
  </si>
  <si>
    <t xml:space="preserve">info@mkgarant.ru  </t>
  </si>
  <si>
    <t>http://mkgarant.ru/</t>
  </si>
  <si>
    <t>Магазин мебели, Мебель для кухни</t>
  </si>
  <si>
    <t>http://vk.com/mkgarant</t>
  </si>
  <si>
    <t>Царёв город</t>
  </si>
  <si>
    <t>+7 (987) 723-23-23</t>
  </si>
  <si>
    <t>пн-пт 10:00–18:00; сб,вс 11:00–18:00</t>
  </si>
  <si>
    <t>47.895527 56.635561</t>
  </si>
  <si>
    <t>Поволжский визово-страховой центр</t>
  </si>
  <si>
    <t>+7 (8362) 51-06-20</t>
  </si>
  <si>
    <t xml:space="preserve">visa-yoshkar-ola@mail.ru  </t>
  </si>
  <si>
    <t>http://vizoviy-centr.ru/</t>
  </si>
  <si>
    <t>Помощь в оформлении виз и загранпаспортов, Страхование автомобилей, Страховой брокер</t>
  </si>
  <si>
    <t>http://vk.com/ola_visa</t>
  </si>
  <si>
    <t>Детская студия раннего развития АБВГДейка Kids</t>
  </si>
  <si>
    <t>+7 (8362) 33-86-26</t>
  </si>
  <si>
    <t>Детский лагерь отдыха, Детский сад, Клуб для детей и подростков, Оздоровительный центр, Центр развития ребенка</t>
  </si>
  <si>
    <t>ежедневно, 07:30–21:00</t>
  </si>
  <si>
    <t>https://vk.com/public56744729</t>
  </si>
  <si>
    <t>47.864364 56.64676</t>
  </si>
  <si>
    <t>ТСЖ Стрела</t>
  </si>
  <si>
    <t>Пролетарская ул., 23, Йошкар-Ола</t>
  </si>
  <si>
    <t>+7 (967) 756-37-37, +7 (927) 871-27-71, +7 (987) 700-70-54</t>
  </si>
  <si>
    <t>47.895207 56.644549</t>
  </si>
  <si>
    <t>Марийское региональное отделение политической партии ЛДПР</t>
  </si>
  <si>
    <t>+7 (8362) 62-16-21</t>
  </si>
  <si>
    <t xml:space="preserve">mari-el_ldpr@mail.ru  </t>
  </si>
  <si>
    <t>https://mariel.ldpr.ru/</t>
  </si>
  <si>
    <t>Общественная организация, Политическая партия</t>
  </si>
  <si>
    <t>https://vk.com/mariel.ldpr</t>
  </si>
  <si>
    <t>47.889997 56.632433</t>
  </si>
  <si>
    <t>Удача</t>
  </si>
  <si>
    <t>+7 (8362) 31-25-15, +7 (8362) 65-64-46</t>
  </si>
  <si>
    <t>47.870823 56.645973</t>
  </si>
  <si>
    <t>Di Well</t>
  </si>
  <si>
    <t>+7 (8362) 38-88-81</t>
  </si>
  <si>
    <t>+7 (967) 757-18-81</t>
  </si>
  <si>
    <t>МБОУДО Цетр дополнительного образования для детей г. Йошкар-Олы</t>
  </si>
  <si>
    <t>ул. Мичурина, 38, Йошкар-Ола</t>
  </si>
  <si>
    <t>+7 (8362) 64-96-04, +7 (8362) 63-97-40</t>
  </si>
  <si>
    <t xml:space="preserve">moudod_cdod@mail.ru, uoa-yoshkar-ola@yandex.ru  </t>
  </si>
  <si>
    <t>http://edu.mari.ru/mouo-yoshkarola/do2</t>
  </si>
  <si>
    <t>пн-чт 13:50–18:40</t>
  </si>
  <si>
    <t>47.940332 56.634284</t>
  </si>
  <si>
    <t>Адвокатский кабинет Ерошкина В. С.</t>
  </si>
  <si>
    <t>+7 (8362) 99-83-11</t>
  </si>
  <si>
    <t>47.920853 56.637125</t>
  </si>
  <si>
    <t>Инструмент Сервис</t>
  </si>
  <si>
    <t>ул. Шумелёва, 6А, Йошкар-Ола</t>
  </si>
  <si>
    <t>+7 (961) 376-47-94</t>
  </si>
  <si>
    <t>Станки</t>
  </si>
  <si>
    <t>Деревообрабатывающее оборудование</t>
  </si>
  <si>
    <t>47.855303 56.628812</t>
  </si>
  <si>
    <t>Островок детства</t>
  </si>
  <si>
    <t>+7 (8362) 98-74-78</t>
  </si>
  <si>
    <t>+7 (902) 325-57-46</t>
  </si>
  <si>
    <t>Магазин детской одежды</t>
  </si>
  <si>
    <t>47.896149 56.633477</t>
  </si>
  <si>
    <t>ГЭСС-пром</t>
  </si>
  <si>
    <t>+7 (8362) 63-65-80, +7 (8362) 73-11-74</t>
  </si>
  <si>
    <t xml:space="preserve">dp@g-p12.ru, stk@stkt12.ru, at@stkt12.ru, stk3@stkt12.ru </t>
  </si>
  <si>
    <t>http://www.g-p12.ru/, http://стройкомплект12.рф/</t>
  </si>
  <si>
    <t>Металлоконструкции, Металлообработка, Металлургическое предприятие, Трубы и трубопроводная арматура</t>
  </si>
  <si>
    <t>47.831195 56.629607</t>
  </si>
  <si>
    <t>Y. S. Studio</t>
  </si>
  <si>
    <t>+7 (8362) 20-23-23</t>
  </si>
  <si>
    <t>Ногтевая студия, Салон бровей и ресниц</t>
  </si>
  <si>
    <t>пн 09:30–18:00; вт-вс 09:30–19:00</t>
  </si>
  <si>
    <t>47.884693 56.63409</t>
  </si>
  <si>
    <t>Сотворение</t>
  </si>
  <si>
    <t>+7 (8362) 90-44-94</t>
  </si>
  <si>
    <t>+7 (927) 874-11-76</t>
  </si>
  <si>
    <t>Семья</t>
  </si>
  <si>
    <t>Семейное консультирование, Школа для будущих мам</t>
  </si>
  <si>
    <t>пн,вт 12:00–18:00; ср 12:00–20:00; чт,пт 12:00–18:00</t>
  </si>
  <si>
    <t>Ситора</t>
  </si>
  <si>
    <t>+7 (8362) 21-05-05, +7 (8362) 71-05-00</t>
  </si>
  <si>
    <t xml:space="preserve">sitora.dostavka1@mail.ru  </t>
  </si>
  <si>
    <t>http://sitora12.ru/</t>
  </si>
  <si>
    <t>https://vk.com/sitora12</t>
  </si>
  <si>
    <t>https://www.instagram.com/s_i_t_o_r_a__</t>
  </si>
  <si>
    <t>47.922754 56.629124</t>
  </si>
  <si>
    <t>Мир обуви</t>
  </si>
  <si>
    <t>47.89844 56.636687</t>
  </si>
  <si>
    <t>СОК Атлант</t>
  </si>
  <si>
    <t>+7 (8362) 54-90-90, +7 (8362) 72-56-55</t>
  </si>
  <si>
    <t>пн-пт 08:00–21:00; сб 09:00–15:00</t>
  </si>
  <si>
    <t>http://vk.com/club5488907</t>
  </si>
  <si>
    <t>47.873644 56.638069</t>
  </si>
  <si>
    <t>Марийскгражданпроект</t>
  </si>
  <si>
    <t>+7 (8362) 42-05-61, +7 (8362) 42-05-51, +7 (8362) 42-32-81, +7 (8362) 42-05-41, +7 (8362) 42-31-46, +7 (8362) 42-31-61</t>
  </si>
  <si>
    <t>http://www.mgp-btpi.ru/</t>
  </si>
  <si>
    <t>Архитектурное бюро, Изыскательские работы, Проектная организация</t>
  </si>
  <si>
    <t>https://vk.com/mgpbtpi</t>
  </si>
  <si>
    <t>47.883865 56.637294</t>
  </si>
  <si>
    <t>Почемучка</t>
  </si>
  <si>
    <t>+7 (8362) 96-07-92</t>
  </si>
  <si>
    <t>пн-пт 09:00–20:00; сб,вс 10:00–17:00</t>
  </si>
  <si>
    <t>http://vk.com/pochemuchka5</t>
  </si>
  <si>
    <t>47.884679 56.642992</t>
  </si>
  <si>
    <t>+7 (8362) 35-20-20</t>
  </si>
  <si>
    <t>+7 (937) 110-78-70, +7 (927) 680-75-75</t>
  </si>
  <si>
    <t>Доставка цветов и букетов, Магазин цветов, Оптовый магазин</t>
  </si>
  <si>
    <t>https://vk.com/w.lotus</t>
  </si>
  <si>
    <t>47.950271 56.626931</t>
  </si>
  <si>
    <t>Promidi</t>
  </si>
  <si>
    <t>+7 (8362) 99-43-45</t>
  </si>
  <si>
    <t>Гибка металла</t>
  </si>
  <si>
    <t>ул. Строителей, 95, корп. 114, Йошкар-Ола</t>
  </si>
  <si>
    <t>+7 (927) 882-10-82</t>
  </si>
  <si>
    <t>47.86169 56.618562</t>
  </si>
  <si>
    <t>М-Сервис</t>
  </si>
  <si>
    <t>8 (800) 250-51-31, +7 (8362) 30-20-04, +7 (8362) 50-10-12, +7 (8362) 31-16-31, +7 (8362) 31-11-31, +7 (8362) 30-20-15, +7 (8362) 31-04-31</t>
  </si>
  <si>
    <t>+7 (8362) 30-20-04</t>
  </si>
  <si>
    <t xml:space="preserve">e777vn@mail.ru </t>
  </si>
  <si>
    <t>Автосалон</t>
  </si>
  <si>
    <t>Секьюрити профи ЧОП</t>
  </si>
  <si>
    <t>ул. Свердлова, 46, Йошкар-Ола</t>
  </si>
  <si>
    <t>8 (800) 234-84-24, +7 (8362) 91-01-01, +7 (8362) 72-86-22</t>
  </si>
  <si>
    <t xml:space="preserve">holding@s-profy.ru  </t>
  </si>
  <si>
    <t>http://s-profy.ru/</t>
  </si>
  <si>
    <t>47.864917 56.642318</t>
  </si>
  <si>
    <t>Библиотека-филиал № 29</t>
  </si>
  <si>
    <t>+7 (8362) 46-93-51</t>
  </si>
  <si>
    <t>Центр изучения иностранных языков Go! English</t>
  </si>
  <si>
    <t>+7 (8362) 36-09-06</t>
  </si>
  <si>
    <t xml:space="preserve">support@lpmotor.ru  </t>
  </si>
  <si>
    <t>http://yola.go-eng.ru/, http://go-eng.ru/yola</t>
  </si>
  <si>
    <t>пн-пт 09:00–21:00; сб,вс 10:00–16:00</t>
  </si>
  <si>
    <t>http://vk.com/club80412719</t>
  </si>
  <si>
    <t>47.888756 56.633305</t>
  </si>
  <si>
    <t>Клеопатра</t>
  </si>
  <si>
    <t>+7 (8362) 33-35-10</t>
  </si>
  <si>
    <t>+7 (927) 883-35-10</t>
  </si>
  <si>
    <t>https://kleopatra.blizko.ru/</t>
  </si>
  <si>
    <t>Косметология, Массажный салон, СПА-салон</t>
  </si>
  <si>
    <t>http://vk.com/gidromassag</t>
  </si>
  <si>
    <t>Прототип</t>
  </si>
  <si>
    <t>+7 (8362) 32-50-02</t>
  </si>
  <si>
    <t>3D-печать</t>
  </si>
  <si>
    <t>47.845278 56.621548</t>
  </si>
  <si>
    <t>Русское радио</t>
  </si>
  <si>
    <t>Вознесенская ул., 76, Йошкар-Ола</t>
  </si>
  <si>
    <t>+7 (8362) 92-10-22, +7 (8362) 41-38-78</t>
  </si>
  <si>
    <t>+7 (902) 672-10-22</t>
  </si>
  <si>
    <t xml:space="preserve">ek.kiseleva@rr.ru </t>
  </si>
  <si>
    <t>https://vk.com/russradio_yola</t>
  </si>
  <si>
    <t>47.89992 56.635002</t>
  </si>
  <si>
    <t>Бекон</t>
  </si>
  <si>
    <t>+7 (8362) 99-94-99</t>
  </si>
  <si>
    <t>+7 (902) 329-94-99</t>
  </si>
  <si>
    <t>47.888424 56.646707</t>
  </si>
  <si>
    <t>Ваше настроение</t>
  </si>
  <si>
    <t>+7 (8362) 90-46-85, +7 (8362) 72-44-46</t>
  </si>
  <si>
    <t>Косметология, Салон красоты</t>
  </si>
  <si>
    <t>47.875347 56.638745</t>
  </si>
  <si>
    <t>Гелиос+</t>
  </si>
  <si>
    <t>+7 (8362) 78-87-88</t>
  </si>
  <si>
    <t>Филиал Марий Эл и Чувашии ПАО Т Плюс</t>
  </si>
  <si>
    <t>+7 (8362) 55-32-90</t>
  </si>
  <si>
    <t>+7 (8362) 55-32-31</t>
  </si>
  <si>
    <t>Теплоснабжение</t>
  </si>
  <si>
    <t>Борус-СТ</t>
  </si>
  <si>
    <t>8 (800) 555-96-00</t>
  </si>
  <si>
    <t xml:space="preserve">info@st43.ru  </t>
  </si>
  <si>
    <t>https://mariyel.spectehnika.com/</t>
  </si>
  <si>
    <t>Дорожно-строительная техника, Лесозаготовительная техника, Спецтехника и спецавтомобили</t>
  </si>
  <si>
    <t>47.869865 56.64104</t>
  </si>
  <si>
    <t>ТСЖ Мария</t>
  </si>
  <si>
    <t>ул. Свердлова, 52, Йошкар-Ола</t>
  </si>
  <si>
    <t>+7 (8362) 27-21-91, +7 (8362) 72-48-77</t>
  </si>
  <si>
    <t>пн-пт 17:00–23:00; сб,вс 09:00–23:00</t>
  </si>
  <si>
    <t>47.861439 56.641901</t>
  </si>
  <si>
    <t>Декоратор Светлана Сомова</t>
  </si>
  <si>
    <t>+7 (8362) 94-12-00</t>
  </si>
  <si>
    <t>Праздничное агентство, Студия дизайна</t>
  </si>
  <si>
    <t>Теплые полы</t>
  </si>
  <si>
    <t>47.8649 56.6424</t>
  </si>
  <si>
    <t>Рауль</t>
  </si>
  <si>
    <t>ул. Карла Маркса, 135А, Йошкар-Ола</t>
  </si>
  <si>
    <t>+7 (8362) 45-55-14</t>
  </si>
  <si>
    <t>47.88091 56.610433</t>
  </si>
  <si>
    <t>+7 (8362) 33-03-03, +7 (8362) 41-41-09</t>
  </si>
  <si>
    <t>+7 (8362) 41-41-09</t>
  </si>
  <si>
    <t>http://www.lankord-doors.ru/</t>
  </si>
  <si>
    <t>Мир комфорта</t>
  </si>
  <si>
    <t>+7 (8362) 32-64-40, +7 (8362) 78-98-17</t>
  </si>
  <si>
    <t>+7 (927) 882-64-40</t>
  </si>
  <si>
    <t xml:space="preserve">mirkomforta.12@mail.ru  </t>
  </si>
  <si>
    <t>http://mirmebeli12.ru/</t>
  </si>
  <si>
    <t>http://vk.com/mebel_kuhni12</t>
  </si>
  <si>
    <t>Изумруд</t>
  </si>
  <si>
    <t>+7 (8362) 45-15-82</t>
  </si>
  <si>
    <t>+7 (902) 329-08-96</t>
  </si>
  <si>
    <t>47.889941 56.639718</t>
  </si>
  <si>
    <t>Институт программных систем</t>
  </si>
  <si>
    <t>+7 (8362) 34-73-97</t>
  </si>
  <si>
    <t xml:space="preserve">info@institutps.ru, info@infotech12.ru  </t>
  </si>
  <si>
    <t>http://www.institutps.ru/</t>
  </si>
  <si>
    <t>ВУЗ, Дополнительное образование, Курсы и мастер-классы, Центр повышения квалификации</t>
  </si>
  <si>
    <t>http://vk.com/institut_ps</t>
  </si>
  <si>
    <t>https://www.facebook.com/instituteps12</t>
  </si>
  <si>
    <t>https://www.youtube.com/channel/UCioEKuUPF73159G0LyQvM7g</t>
  </si>
  <si>
    <t>https://www.instagram.com/institutps</t>
  </si>
  <si>
    <t>47.895196 56.629856</t>
  </si>
  <si>
    <t>Родина</t>
  </si>
  <si>
    <t>+7 (8362) 65-13-42, +7 (8362) 72-00-53</t>
  </si>
  <si>
    <t>+7 (8362) 72-00-53</t>
  </si>
  <si>
    <t>Дом Вина</t>
  </si>
  <si>
    <t>+7 (8362) 30-75-15</t>
  </si>
  <si>
    <t>47.916074 56.626842</t>
  </si>
  <si>
    <t>ул. Пушкина, 3, Йошкар-Ола</t>
  </si>
  <si>
    <t>+7 (83638) 9-57-34</t>
  </si>
  <si>
    <t>Корпусная мебель, Магазин бытовой техники, Магазин мебели, Мебель на заказ, Мягкая мебель</t>
  </si>
  <si>
    <t>пн-пт 09:00–18:00; сб 09:00–16:00; вс 09:00–15:00</t>
  </si>
  <si>
    <t>http://vk.com/public91725255</t>
  </si>
  <si>
    <t>Шахзод</t>
  </si>
  <si>
    <t>Фестивальная ул., 72, Йошкар-Ола</t>
  </si>
  <si>
    <t>+7 (8362) 99-01-03</t>
  </si>
  <si>
    <t>+7 (917) 713-19-50, +7 (964) 864-89-89</t>
  </si>
  <si>
    <t>47.834833 56.642472</t>
  </si>
  <si>
    <t>+7 (937) 117-90-40</t>
  </si>
  <si>
    <t>47.865427 56.648919</t>
  </si>
  <si>
    <t>+7 (8362) 42-00-97, +7 (8362) 42-69-44, +7 (8362) 42-13-23</t>
  </si>
  <si>
    <t xml:space="preserve">impuls_ola@mail.ru  </t>
  </si>
  <si>
    <t>http://impuls-ola.ru/</t>
  </si>
  <si>
    <t>Металлообработка, Металлопрокат</t>
  </si>
  <si>
    <t>Аспект</t>
  </si>
  <si>
    <t>+7 (8362) 74-22-00</t>
  </si>
  <si>
    <t>+7 (917) 700-07-92</t>
  </si>
  <si>
    <t>пн-пт 08:30–16:30; сб 08:30–13:00</t>
  </si>
  <si>
    <t>Установка откосов</t>
  </si>
  <si>
    <t>+7 (8362) 26-66-63</t>
  </si>
  <si>
    <t>Республиканский противотуберкулезный диспансер</t>
  </si>
  <si>
    <t>Больничная ул., 22, Йошкар-Ола</t>
  </si>
  <si>
    <t>+7 (8362) 42-05-39, +7 (8362) 42-65-20, +7 (8362) 46-04-34, +7 (8362) 42-65-00</t>
  </si>
  <si>
    <t>http://mari-el.gov.ru/minzdrav/rptd</t>
  </si>
  <si>
    <t>47.886349 56.648944</t>
  </si>
  <si>
    <t>Fl group</t>
  </si>
  <si>
    <t>+7 (967) 221-78-74</t>
  </si>
  <si>
    <t>47.898548 56.644896</t>
  </si>
  <si>
    <t>ПромАльп</t>
  </si>
  <si>
    <t>+7 (960) 091-00-85, +7 (927) 682-46-38</t>
  </si>
  <si>
    <t>Часовня Всех Святых Российских</t>
  </si>
  <si>
    <t>Вознесенская ул., 53А, Йошкар-Ола</t>
  </si>
  <si>
    <t>47.900746 56.634617</t>
  </si>
  <si>
    <t>47.888499 56.628521</t>
  </si>
  <si>
    <t>Нотариус Эргубаева Т. А.</t>
  </si>
  <si>
    <t>+7 (8362) 45-68-28</t>
  </si>
  <si>
    <t>http://notariat12.ru/?Itemid=36u0026catid=5u0026option=com_sobi2u0026sobi2Id=7u0026sobi2Task=sobi2Details</t>
  </si>
  <si>
    <t>Мега-Ивушка</t>
  </si>
  <si>
    <t>ул. Кирова, 13, Йошкар-Ола</t>
  </si>
  <si>
    <t>+7 (8362) 22-20-80</t>
  </si>
  <si>
    <t xml:space="preserve">aleks.klementev12@mail.ru  </t>
  </si>
  <si>
    <t>http://megaiva.ru/</t>
  </si>
  <si>
    <t>Магазин постельных принадлежностей, Магазин ткани, Текстильная компания, Товары для дома</t>
  </si>
  <si>
    <t>47.930691 56.634096</t>
  </si>
  <si>
    <t>Марибель</t>
  </si>
  <si>
    <t>+7 (8362) 38-93-89</t>
  </si>
  <si>
    <t xml:space="preserve">kazan@maribel-salon.ru </t>
  </si>
  <si>
    <t>https://yoshkar-ola.maribel-salon.ru/</t>
  </si>
  <si>
    <t>Магазин мебели, Матрасы</t>
  </si>
  <si>
    <t>47.890117 56.642208</t>
  </si>
  <si>
    <t>Детская академия 5+</t>
  </si>
  <si>
    <t>+7 (8362) 31-95-55</t>
  </si>
  <si>
    <t>Дополнительное образование, Курсы иностранных языков, Центр развития ребенка</t>
  </si>
  <si>
    <t>пн-пт 10:00–19:15; сб 09:00–14:00</t>
  </si>
  <si>
    <t>https://vk.com/club111214263</t>
  </si>
  <si>
    <t>47.830333 56.636921</t>
  </si>
  <si>
    <t>+7 (8362) 45-07-09</t>
  </si>
  <si>
    <t>ул. Хасанова, 1, Йошкар-Ола</t>
  </si>
  <si>
    <t>+7 (8362) 44-90-29, +7 (8362) 96-54-10</t>
  </si>
  <si>
    <t>47.886098 56.625638</t>
  </si>
  <si>
    <t>Крепеж</t>
  </si>
  <si>
    <t>ул. Строителей, 64, Йошкар-Ола</t>
  </si>
  <si>
    <t>+7 (8362) 61-10-10</t>
  </si>
  <si>
    <t>Строительный инструмент, Строительный магазин</t>
  </si>
  <si>
    <t>47.846787 56.62798</t>
  </si>
  <si>
    <t>Иволга</t>
  </si>
  <si>
    <t>+7 (8362) 95-45-00</t>
  </si>
  <si>
    <t>Ленинский просп., 11Г, Йошкар-Ола</t>
  </si>
  <si>
    <t>+7 (8362) 21-55-29</t>
  </si>
  <si>
    <t>Самовар</t>
  </si>
  <si>
    <t>+7 (8362) 33-02-32</t>
  </si>
  <si>
    <t>http://vk.com/club82355746</t>
  </si>
  <si>
    <t>47.880586 56.636369</t>
  </si>
  <si>
    <t>Раскрой Лдсп</t>
  </si>
  <si>
    <t>+7 (902) 737-05-77, +7 (917) 715-31-71, +7 (902) 439-87-55</t>
  </si>
  <si>
    <t>http://milshkaf.ru/</t>
  </si>
  <si>
    <t>Корпусная мебель, Мебель на заказ, Мебельная фабрика, Студия дизайна, Шкафы-купе</t>
  </si>
  <si>
    <t>http://vk.com/mebel_yo</t>
  </si>
  <si>
    <t>47.86991 56.61884</t>
  </si>
  <si>
    <t>Бридж</t>
  </si>
  <si>
    <t>+7 (8362) 62-22-66, +7 (8362) 62-77-99</t>
  </si>
  <si>
    <t>+7 (902) 100-37-02, +7 (902) 100-37-12</t>
  </si>
  <si>
    <t xml:space="preserve">ooobridj@mail.ru  </t>
  </si>
  <si>
    <t>http://www.steklo-bridj.ru/</t>
  </si>
  <si>
    <t>Изготовление и монтаж зеркал, Комплектующие для окон, Стекло, стекольная продукция</t>
  </si>
  <si>
    <t>Домоуправление № 2</t>
  </si>
  <si>
    <t>ул. Луначарского, 51, Йошкар-Ола</t>
  </si>
  <si>
    <t>+7 (8362) 42-93-25</t>
  </si>
  <si>
    <t xml:space="preserve">du1@oaosouth.ru, jeuk@oaosouth.ru  </t>
  </si>
  <si>
    <t>http://du1.oaosouth.ru/</t>
  </si>
  <si>
    <t>47.90711 56.615909</t>
  </si>
  <si>
    <t>Формула Комфорта</t>
  </si>
  <si>
    <t>+7 (8362) 32-80-92, +7 (8362) 35-09-99, +7 (8362) 93-34-54</t>
  </si>
  <si>
    <t>+7 (960) 095-85-45</t>
  </si>
  <si>
    <t xml:space="preserve">forcom12@mail.ru  </t>
  </si>
  <si>
    <t>Двери, Натяжные и подвесные потолки, Окна</t>
  </si>
  <si>
    <t>https://vk.com/forcom12</t>
  </si>
  <si>
    <t>Молпродукт</t>
  </si>
  <si>
    <t>ул. Щусева, 4, Йошкар-Ола</t>
  </si>
  <si>
    <t>+7 (937) 933-83-22</t>
  </si>
  <si>
    <t>47.853462 56.630213</t>
  </si>
  <si>
    <t>+7 (8362) 44-41-49, +7 (8362) 29-72-97, +7 (8362) 46-02-02</t>
  </si>
  <si>
    <t>+7 (902) 432-72-97</t>
  </si>
  <si>
    <t>МОУ Гимназия им. Сергия Радонежского города Йошкар-Олы</t>
  </si>
  <si>
    <t>Красноармейская ул., 95А, Йошкар-Ола</t>
  </si>
  <si>
    <t>+7 (8362) 64-51-40, +7 (8362) 64-51-50, +7 (36226) 4-51-10, +7 (36226) 4-51-40</t>
  </si>
  <si>
    <t xml:space="preserve">sergrad@list.ru  </t>
  </si>
  <si>
    <t>http://www.gsergrad.ru/</t>
  </si>
  <si>
    <t>47.869311 56.644838</t>
  </si>
  <si>
    <t>Торговый центр Кристалл</t>
  </si>
  <si>
    <t>47.843073 56.641873</t>
  </si>
  <si>
    <t>+7 (927) 871-41-04, +7 (937) 115-37-70</t>
  </si>
  <si>
    <t>Металлопрокат, Строительный магазин, Цветные металлы</t>
  </si>
  <si>
    <t>Стройэкспертиза</t>
  </si>
  <si>
    <t>+7 (8362) 65-34-98, +7 (8362) 45-25-20</t>
  </si>
  <si>
    <t>Auto-xenon12.ru</t>
  </si>
  <si>
    <t>+7 (8362) 20-28-38</t>
  </si>
  <si>
    <t xml:space="preserve">auto-xenon12@yandex.ru, auto-xenon12@mail.ru  </t>
  </si>
  <si>
    <t>Автоаксессуары, Студия автотюнинга, Тонирование стекол</t>
  </si>
  <si>
    <t>пн-сб 10:00–19:00</t>
  </si>
  <si>
    <t>http://vk.com/xenon_semnay_tonirovka12</t>
  </si>
  <si>
    <t>47.869434 56.653967</t>
  </si>
  <si>
    <t>+7 (8362) 29-09-90, +7 (8362) 42-95-54, +7 (8362) 42-92-63</t>
  </si>
  <si>
    <t>Магазин мебели, Оптовый магазин</t>
  </si>
  <si>
    <t>47.82477 56.639476</t>
  </si>
  <si>
    <t>Водстрой</t>
  </si>
  <si>
    <t>+7 (8362) 24-08-48</t>
  </si>
  <si>
    <t>Sanita</t>
  </si>
  <si>
    <t>47.932316 56.632828</t>
  </si>
  <si>
    <t>Марпромхолод</t>
  </si>
  <si>
    <t>+7 (8362) 42-43-16, +7 (8362) 41-05-18</t>
  </si>
  <si>
    <t xml:space="preserve">m.p.h@mail.ru  </t>
  </si>
  <si>
    <t>http://mph12.ru/</t>
  </si>
  <si>
    <t>Кондиционеры, Пищевое оборудование, Промышленное холодильное оборудование, Ремонт промышленных холодильников, Торговое оборудование</t>
  </si>
  <si>
    <t>47.8988 56.635</t>
  </si>
  <si>
    <t>Aci Worldwide Russia LLC</t>
  </si>
  <si>
    <t>Ленинский просп., 18Б, Йошкар-Ола</t>
  </si>
  <si>
    <t>+7 (987) 720-10-00</t>
  </si>
  <si>
    <t xml:space="preserve">russia-recruitment@aciworldwide.com  </t>
  </si>
  <si>
    <t>http://aciworldwide.ru/</t>
  </si>
  <si>
    <t>47.911178 56.628212</t>
  </si>
  <si>
    <t>Общежитие № 2 МарГУ</t>
  </si>
  <si>
    <t>ул. Рябинина, 8, Йошкар-Ола</t>
  </si>
  <si>
    <t>+7 (8362) 68-79-00, +7 (8362) 68-79-00, +7 (8362) 68-79-00, +7 (8362) 68-80-88, +7 (8362) 68-80-02, +7 (8362) 64-15-41</t>
  </si>
  <si>
    <t>http://vk.com/officialmarsu</t>
  </si>
  <si>
    <t>http://facebook.com/mariiskigosudarstvenyiuniversitet</t>
  </si>
  <si>
    <t>47.877231 56.640285</t>
  </si>
  <si>
    <t>Новая высота</t>
  </si>
  <si>
    <t>+7 (8362) 33-06-05</t>
  </si>
  <si>
    <t>+7 (906) 334-64-95</t>
  </si>
  <si>
    <t>Веб-студия Спутник</t>
  </si>
  <si>
    <t>+7 (987) 727-62-11</t>
  </si>
  <si>
    <t>Интернет-маркетинг, Регистрация доменов, Студия веб-дизайна, Хостинг</t>
  </si>
  <si>
    <t>В Яблочко</t>
  </si>
  <si>
    <t>+7 (8362) 30-43-50</t>
  </si>
  <si>
    <t>Комиссионка</t>
  </si>
  <si>
    <t>47.866946 56.637532</t>
  </si>
  <si>
    <t>+7 (8362) 94-00-93, +7 (8362) 79-17-09</t>
  </si>
  <si>
    <t>+7 (8362) 42-50-37</t>
  </si>
  <si>
    <t>Магазин семян, Сельскохозяйственная продукция</t>
  </si>
  <si>
    <t>47.89053 56.644283</t>
  </si>
  <si>
    <t>Логан Сервис</t>
  </si>
  <si>
    <t>ул. Тимирязева, 3/12, Йошкар-Ола</t>
  </si>
  <si>
    <t>+7 (8362) 99-77-55</t>
  </si>
  <si>
    <t>Автосервис, автотехцентр, Ремонт двигателей</t>
  </si>
  <si>
    <t>47.910792 56.653178</t>
  </si>
  <si>
    <t>Меломарк</t>
  </si>
  <si>
    <t>8 (800) 200-29-25</t>
  </si>
  <si>
    <t xml:space="preserve">ee@melomark.ru  </t>
  </si>
  <si>
    <t>https://пишеммелом.рф/</t>
  </si>
  <si>
    <t>Пластмассовые и пластиковые изделия, Пленки архитектурные, декоративные, защитные, Рекламное оборудование и материалы</t>
  </si>
  <si>
    <t>https://vk.com/meloboi</t>
  </si>
  <si>
    <t>https://www.facebook.com/melomarker/</t>
  </si>
  <si>
    <t>https://www.instagram.com/melomarker/</t>
  </si>
  <si>
    <t>47.862177 56.618123</t>
  </si>
  <si>
    <t>Плёс Трейд</t>
  </si>
  <si>
    <t>+7 (8362) 74-20-10</t>
  </si>
  <si>
    <t>+7 (917) 700-80-10</t>
  </si>
  <si>
    <t>Бытовая химия оптом, Магазин посуды, Хозтовары оптом</t>
  </si>
  <si>
    <t>47.897969 56.616006</t>
  </si>
  <si>
    <t>Ваша Рекламная компания</t>
  </si>
  <si>
    <t>+7 (8362) 41-71-16, +7 (8362) 70-57-77</t>
  </si>
  <si>
    <t>+7 (8362) 46-93-53</t>
  </si>
  <si>
    <t>+7 (960) 098-62-32</t>
  </si>
  <si>
    <t>Россметалл</t>
  </si>
  <si>
    <t>Двери, Строительный инструмент, Строительный магазин</t>
  </si>
  <si>
    <t>Высотные работы</t>
  </si>
  <si>
    <t>+7 (927) 680-57-41</t>
  </si>
  <si>
    <t>47.873099 56.63961</t>
  </si>
  <si>
    <t>Peronda</t>
  </si>
  <si>
    <t>+7 (8362) 45-79-43, +7 (8362) 45-86-52</t>
  </si>
  <si>
    <t>Декоративные покрытия, Керамическая плитка, Студия дизайна</t>
  </si>
  <si>
    <t>https://www.instagram.com/salon_peronda/</t>
  </si>
  <si>
    <t>47.893252 56.648173</t>
  </si>
  <si>
    <t>Школа будущего</t>
  </si>
  <si>
    <t>+7 (8362) 91-69-00, +7 (8362) 77-22-06</t>
  </si>
  <si>
    <t>Дополнительное образование, Курсы и мастер-классы</t>
  </si>
  <si>
    <t>пн-пт 09:00–20:00; сб,вс 09:00–18:00</t>
  </si>
  <si>
    <t>+7 (8362) 78-15-11</t>
  </si>
  <si>
    <t>47.943361 56.634566</t>
  </si>
  <si>
    <t>Торговый центр Лидия</t>
  </si>
  <si>
    <t>+7 (8362) 73-17-08</t>
  </si>
  <si>
    <t>Магазин продуктов, Супермаркет, Торговый центр</t>
  </si>
  <si>
    <t>47.837859 56.635523</t>
  </si>
  <si>
    <t>Грузчики</t>
  </si>
  <si>
    <t>+7 (8362) 26-13-37</t>
  </si>
  <si>
    <t>+7 (902) 436-13-37</t>
  </si>
  <si>
    <t>http://gruzhiki.3dn.ru/</t>
  </si>
  <si>
    <t>Переезды, Услуги грузчиков</t>
  </si>
  <si>
    <t>http://vk.com/public83722345</t>
  </si>
  <si>
    <t>Станция юных техников</t>
  </si>
  <si>
    <t>ул. Пархоменко, 9, Йошкар-Ола</t>
  </si>
  <si>
    <t>+7 (8362) 45-38-76, +7 (36224) 5-38-76</t>
  </si>
  <si>
    <t xml:space="preserve">moydodsut@yandex.ru, uoa-yoshkar-ola@yandex.ru  </t>
  </si>
  <si>
    <t>http://edu.mari.ru/mouo-yoshkarola/do1</t>
  </si>
  <si>
    <t>47.876758 56.630139</t>
  </si>
  <si>
    <t>ТСЖ Содружество</t>
  </si>
  <si>
    <t>ул. Йывана Кырли, 46Б, Йошкар-Ола</t>
  </si>
  <si>
    <t>+7 (909) 368-61-70</t>
  </si>
  <si>
    <t>47.826863 56.638847</t>
  </si>
  <si>
    <t>Гравируйка</t>
  </si>
  <si>
    <t>+7 (8362) 75-99-99</t>
  </si>
  <si>
    <t>+7 (927) 872-09-42</t>
  </si>
  <si>
    <t>Пищекомбинат</t>
  </si>
  <si>
    <t>Складская ул., 18А, корп. 2, Йошкар-Ола</t>
  </si>
  <si>
    <t>+7 (8362) 74-21-35, +7 (8362) 74-07-38, +7 (8362) 56-40-00</t>
  </si>
  <si>
    <t>Овощи и фрукты оптом, Оптовая компания, Оптовый магазин, Складские услуги</t>
  </si>
  <si>
    <t>47.899932 56.616229</t>
  </si>
  <si>
    <t>Центр служебного собаководства РО ДОСААФ России</t>
  </si>
  <si>
    <t>+7 (8362) 99-41-86</t>
  </si>
  <si>
    <t>+7 (902) 329-41-86</t>
  </si>
  <si>
    <t xml:space="preserve">tserera68@mail.ru  </t>
  </si>
  <si>
    <t>http://kc12.ucoz.ru/</t>
  </si>
  <si>
    <t>Клуб любителей животных</t>
  </si>
  <si>
    <t>пн-чт 15:00–18:30; сб 12:00–15:00</t>
  </si>
  <si>
    <t>47.901615 56.639643</t>
  </si>
  <si>
    <t>Региональная физкультурно-спортивная общественная организация Федерация Айкидо Республики Марий Эл</t>
  </si>
  <si>
    <t>ул. Анциферова, 9, Йошкар-Ола</t>
  </si>
  <si>
    <t>+7 (903) 326-91-79, +7 (964) 863-38-58, +7 (917) 717-20-85, +7 (902) 326-80-89, +7 (961) 379-18-50</t>
  </si>
  <si>
    <t>http://aikido12.ru/</t>
  </si>
  <si>
    <t>Клуб для детей и подростков, Общественная организация, Спортивный клуб, секция</t>
  </si>
  <si>
    <t>ежедневно, 18:00–21:00</t>
  </si>
  <si>
    <t>https://vk.com/aikidomariel</t>
  </si>
  <si>
    <t>47.869335 56.64837</t>
  </si>
  <si>
    <t>Краски лета</t>
  </si>
  <si>
    <t>+7 (8362) 33-01-08</t>
  </si>
  <si>
    <t>+7 (927) 883-01-08</t>
  </si>
  <si>
    <t>Линии Любви</t>
  </si>
  <si>
    <t>8 (800) 333-43-16, +7 (8362) 49-71-94</t>
  </si>
  <si>
    <t xml:space="preserve">zakhar.nakhanov@gmail.com--  </t>
  </si>
  <si>
    <t>https://liniilubvi.ru/</t>
  </si>
  <si>
    <t>https://vk.com/liniilubvi</t>
  </si>
  <si>
    <t>http://ok.ru/group/52704393822423</t>
  </si>
  <si>
    <t>http://www.facebook.com/liniilubvi</t>
  </si>
  <si>
    <t>http://instagram.com/linii_lubvi</t>
  </si>
  <si>
    <t>47.843373 56.641078</t>
  </si>
  <si>
    <t>Титул плюс</t>
  </si>
  <si>
    <t>ул. Анциферова, 10Б, Йошкар-Ола</t>
  </si>
  <si>
    <t>+7 (8362) 44-88-22, +7 (8362) 32-02-31, +7 (8362) 32-51-05, +7 (8362) 65-29-71</t>
  </si>
  <si>
    <t>47.864044 56.647697</t>
  </si>
  <si>
    <t>Школа № 6</t>
  </si>
  <si>
    <t>ул. Мира, 25, Йошкар-Ола</t>
  </si>
  <si>
    <t>+7 (8362) 64-25-66, +7 (8362) 64-25-54</t>
  </si>
  <si>
    <t xml:space="preserve">uoa-yoshkar-ola@yandex.ru, school-6-dubki@yandex.ru, school-6-dubci@yandex.ru  </t>
  </si>
  <si>
    <t>http://edu.mari.ru/mouo-yoshkarola/sh6</t>
  </si>
  <si>
    <t>http://vk.com/club16115335</t>
  </si>
  <si>
    <t>http://facebook.com/pages/школа-6-йошкар-ола/110761438952155</t>
  </si>
  <si>
    <t>47.951437 56.623612</t>
  </si>
  <si>
    <t>Экотек</t>
  </si>
  <si>
    <t>ул. Крылова, 65, Йошкар-Ола</t>
  </si>
  <si>
    <t>+7 (8362) 63-61-61, +7 (8362) 63-77-77</t>
  </si>
  <si>
    <t>47.823126 56.618552</t>
  </si>
  <si>
    <t>Центурион</t>
  </si>
  <si>
    <t>+7 (8362) 54-11-66</t>
  </si>
  <si>
    <t>Кундуштур</t>
  </si>
  <si>
    <t>+7 (8362) 56-06-05</t>
  </si>
  <si>
    <t>+7 (917) 702-43-99</t>
  </si>
  <si>
    <t>Дом отдыха</t>
  </si>
  <si>
    <t>47.921013 56.637118</t>
  </si>
  <si>
    <t>Сияние</t>
  </si>
  <si>
    <t>+7 (8362) 20-95-00, +7 (8362) 32-83-31</t>
  </si>
  <si>
    <t>Анна</t>
  </si>
  <si>
    <t>+7 (8362) 65-78-03</t>
  </si>
  <si>
    <t>пн-пт 08:00–19:00; сб 08:00–18:00; вс 09:00–17:00</t>
  </si>
  <si>
    <t>47.907307 56.62965</t>
  </si>
  <si>
    <t>ул. Воинов-Интернационалистов, 26А, Йошкар-Ола</t>
  </si>
  <si>
    <t>+7 (927) 680-07-07</t>
  </si>
  <si>
    <t>47.922677 56.635729</t>
  </si>
  <si>
    <t>Mtour</t>
  </si>
  <si>
    <t>+7 (8362) 32-41-55</t>
  </si>
  <si>
    <t>+7 (927) 882-41-55</t>
  </si>
  <si>
    <t xml:space="preserve">office@travel-r.ru, priem@travel-r.ru </t>
  </si>
  <si>
    <t>http://mtour12.ru/</t>
  </si>
  <si>
    <t>пн-пт 10:00–18:00; сб,вс 10:00–15:00</t>
  </si>
  <si>
    <t>https://vk.com/mtour212</t>
  </si>
  <si>
    <t>https://ok.ru/mtour212</t>
  </si>
  <si>
    <t>https://www.instagram.com/mtour212/</t>
  </si>
  <si>
    <t>Газели по Йошкар-Оле и РМЭ</t>
  </si>
  <si>
    <t>+7 (8362) 70-06-66</t>
  </si>
  <si>
    <t>47.940823 56.623215</t>
  </si>
  <si>
    <t>ТП Союз</t>
  </si>
  <si>
    <t>+7 (8362) 45-02-43, +7 (8362) 45-12-50, +7 (8362) 45-14-50</t>
  </si>
  <si>
    <t>Яйцо и мясо птицы</t>
  </si>
  <si>
    <t>47.875953 56.620304</t>
  </si>
  <si>
    <t>САМ</t>
  </si>
  <si>
    <t>+7 (8362) 45-55-14, +7 (8362) 39-64-40</t>
  </si>
  <si>
    <t>пн,вт 11:00–23:00; ср,чт 11:00–00:00; пт-вс 11:00–23:00</t>
  </si>
  <si>
    <t>47.880961 56.61035</t>
  </si>
  <si>
    <t>Центр развития школьника На пятёрку</t>
  </si>
  <si>
    <t>+7 (8362) 39-57-60, +7 (8362) 50-10-58</t>
  </si>
  <si>
    <t>http://www.crsh.a5.ru/</t>
  </si>
  <si>
    <t>47.901776 56.639622</t>
  </si>
  <si>
    <t>Оценочная компания</t>
  </si>
  <si>
    <t>+7 (8362) 36-25-52</t>
  </si>
  <si>
    <t>Кооператор</t>
  </si>
  <si>
    <t>Магазин продуктов, Торговый центр</t>
  </si>
  <si>
    <t>ежедневно, 08:30–20:00</t>
  </si>
  <si>
    <t>47.871075 56.645878</t>
  </si>
  <si>
    <t>Кровля-М</t>
  </si>
  <si>
    <t>ул. Строителей, 42, Йошкар-Ола</t>
  </si>
  <si>
    <t>+7 (8362) 33-75-98</t>
  </si>
  <si>
    <t>+7 (927) 878-12-64, +7 (927) 883-75-98</t>
  </si>
  <si>
    <t>Кровельные работы, Монтажные работы</t>
  </si>
  <si>
    <t>47.8345 56.6363</t>
  </si>
  <si>
    <t>Вишенка</t>
  </si>
  <si>
    <t>ул. Петрова, 22, Йошкар-Ола</t>
  </si>
  <si>
    <t>+7 (937) 933-18-71</t>
  </si>
  <si>
    <t>47.923874 56.638139</t>
  </si>
  <si>
    <t>ТСЖ Жилище</t>
  </si>
  <si>
    <t>ул. Строителей, 34Б, Йошкар-Ола</t>
  </si>
  <si>
    <t>+7 (961) 333-78-81</t>
  </si>
  <si>
    <t>47.828794 56.63813</t>
  </si>
  <si>
    <t>Завод полупроводниковых приборов</t>
  </si>
  <si>
    <t>ул. Суворова, 26Г, Йошкар-Ола</t>
  </si>
  <si>
    <t>+7 (8362) 45-70-09, +7 (8362) 42-13-39, +7 (8362) 45-67-68, +7 (8362) 72-04-80, +7 (8362) 45-69-00</t>
  </si>
  <si>
    <t xml:space="preserve">info@zpp12.ru  </t>
  </si>
  <si>
    <t>http://zpp12.ru/</t>
  </si>
  <si>
    <t>Производственное предприятие, Электронные приборы и компоненты</t>
  </si>
  <si>
    <t>https://vk.com/soyuzmash12</t>
  </si>
  <si>
    <t>47.863218 56.637654</t>
  </si>
  <si>
    <t>Светлячок</t>
  </si>
  <si>
    <t>+7 (8362) 97-69-43, +7 (8362) 99-70-17</t>
  </si>
  <si>
    <t>47.914329 56.627076</t>
  </si>
  <si>
    <t>Зоосфера</t>
  </si>
  <si>
    <t>+7 (8362) 99-09-65, +7 (8362) 43-70-30, +7 (8362) 43-88-11</t>
  </si>
  <si>
    <t>+7 (902) 329-09-65, +7 (917) 701-46-81</t>
  </si>
  <si>
    <t>http://zoosfera12.ru/</t>
  </si>
  <si>
    <t>https://vk.com/zoosfera_vk</t>
  </si>
  <si>
    <t>47.842355 56.640247</t>
  </si>
  <si>
    <t>+7 (8362) 40-28-40</t>
  </si>
  <si>
    <t>47.884553 56.633908</t>
  </si>
  <si>
    <t>Волерма</t>
  </si>
  <si>
    <t>+7 (8362) 73-65-79</t>
  </si>
  <si>
    <t>+7 (8362) 73-65-89</t>
  </si>
  <si>
    <t>Производственное предприятие, Тара и упаковочные материалы</t>
  </si>
  <si>
    <t>47.8721 56.6211</t>
  </si>
  <si>
    <t>DiCho</t>
  </si>
  <si>
    <t>+7 (8362) 36-48-49</t>
  </si>
  <si>
    <t>ДезЦентр Эко</t>
  </si>
  <si>
    <t>+7 (987) 721-28-74, +7 (927) 870-32-75</t>
  </si>
  <si>
    <t xml:space="preserve">support@dezcentr-eco.ru </t>
  </si>
  <si>
    <t>http://dezcentr-eco.ru/</t>
  </si>
  <si>
    <t>Первый банный</t>
  </si>
  <si>
    <t>+7 (8362) 32-93-38</t>
  </si>
  <si>
    <t>+7 (927) 882-93-38</t>
  </si>
  <si>
    <t>Строительный магазин, Товары для бани и сауны</t>
  </si>
  <si>
    <t>пн-пт 09:00–19:00; сб,вс 09:00–14:00</t>
  </si>
  <si>
    <t>47.900534 56.642703</t>
  </si>
  <si>
    <t>+7 (8362) 32-27-36</t>
  </si>
  <si>
    <t>47.861835 56.64186</t>
  </si>
  <si>
    <t>Стоматология для Вас</t>
  </si>
  <si>
    <t>+7 (8362) 73-33-33</t>
  </si>
  <si>
    <t>+7 (902) 743-70-80</t>
  </si>
  <si>
    <t>Стоматологическая клиника, Стоматологическая поликлиника</t>
  </si>
  <si>
    <t>пн-пт 09:00–20:00; сб 09:00–16:00</t>
  </si>
  <si>
    <t>47.832512 56.639397</t>
  </si>
  <si>
    <t>Стекло</t>
  </si>
  <si>
    <t>+7 (8362) 61-00-09</t>
  </si>
  <si>
    <t>+7 (902) 358-52-27</t>
  </si>
  <si>
    <t>Стекольная мастерская</t>
  </si>
  <si>
    <t>пн-пт 08:30–18:00; сб 08:30–15:00</t>
  </si>
  <si>
    <t>47.898979 56.651057</t>
  </si>
  <si>
    <t>Адвокатский кабинет Ерусланова Валентина Павловича</t>
  </si>
  <si>
    <t>+7 (917) 702-87-99</t>
  </si>
  <si>
    <t>+7 (8362) 63-37-59</t>
  </si>
  <si>
    <t>47.86008 56.645135</t>
  </si>
  <si>
    <t>Алмазное бурение</t>
  </si>
  <si>
    <t>+7 (937) 115-66-51</t>
  </si>
  <si>
    <t>47.855303 56.645183</t>
  </si>
  <si>
    <t>Вознесенская ул., 108, Йошкар-Ола</t>
  </si>
  <si>
    <t>47.896734 56.630951</t>
  </si>
  <si>
    <t>Астра</t>
  </si>
  <si>
    <t>+7 (8362) 43-32-75, +7 (8362) 52-30-00</t>
  </si>
  <si>
    <t>+7 (917) 710-67-77, +7 (927) 884-64-24</t>
  </si>
  <si>
    <t xml:space="preserve">support@hostland.ru </t>
  </si>
  <si>
    <t>Натяжные и подвесные потолки, Остекление балконов и лоджий, Строительные и отделочные работы</t>
  </si>
  <si>
    <t>47.936332 56.636792</t>
  </si>
  <si>
    <t>Декор-Плит</t>
  </si>
  <si>
    <t>ул. Крылова, 42, Йошкар-Ола</t>
  </si>
  <si>
    <t>+7 (8362) 76-20-24, +7 (8362) 73-13-30</t>
  </si>
  <si>
    <t>Мебельная фурнитура и комплектующие</t>
  </si>
  <si>
    <t>47.8503 56.623464</t>
  </si>
  <si>
    <t>+7 (8362) 71-33-33</t>
  </si>
  <si>
    <t>+7 (961) 377-25-46</t>
  </si>
  <si>
    <t>Товары для бани и сауны из дерева</t>
  </si>
  <si>
    <t>ул. Пугачёва, 1Е, Йошкар-Ола</t>
  </si>
  <si>
    <t>+7 (987) 702-08-29</t>
  </si>
  <si>
    <t>Оптовая компания, Производственное предприятие</t>
  </si>
  <si>
    <t>47.872075 56.621127</t>
  </si>
  <si>
    <t>Изготовление дубликатов госномеров</t>
  </si>
  <si>
    <t>ул. Строителей, 100, Йошкар-Ола</t>
  </si>
  <si>
    <t>+7 (8362) 33-13-13, +7 (8362) 34-65-78</t>
  </si>
  <si>
    <t xml:space="preserve">79265383736@ya.ru  </t>
  </si>
  <si>
    <t>http://www.autoznaki.ru/</t>
  </si>
  <si>
    <t>вт-пт 09:00–18:00; сб 09:00–16:00</t>
  </si>
  <si>
    <t>47.884391 56.608982</t>
  </si>
  <si>
    <t>+7 (8362) 50-98-60</t>
  </si>
  <si>
    <t>47.905832 56.628093</t>
  </si>
  <si>
    <t>ГУМ</t>
  </si>
  <si>
    <t>ул. Ползунова, 25Б, Йошкар-Ола</t>
  </si>
  <si>
    <t>+7 (8362) 72-62-42</t>
  </si>
  <si>
    <t>Магазин одежды, Универмаг</t>
  </si>
  <si>
    <t>47.85829 56.64343</t>
  </si>
  <si>
    <t>Керамзит - Вадно</t>
  </si>
  <si>
    <t>+7 (8362) 63-62-84, +7 (8362) 71-71-90</t>
  </si>
  <si>
    <t>+7 (8362) 63-62-84</t>
  </si>
  <si>
    <t xml:space="preserve">vadno1@mail.ru  </t>
  </si>
  <si>
    <t>http://keramzit12.ru/</t>
  </si>
  <si>
    <t>Изоляционные материалы, Нерудные материалы, Строительная компания, Строительный магазин, Стройматериалы оптом</t>
  </si>
  <si>
    <t>47.827426 56.621912</t>
  </si>
  <si>
    <t>Корпусная мебель</t>
  </si>
  <si>
    <t>+7 (987) 701-56-81</t>
  </si>
  <si>
    <t>Руслана</t>
  </si>
  <si>
    <t>+7 (8362) 45-27-65</t>
  </si>
  <si>
    <t>Парикмахерская, Салон красоты, Солярий</t>
  </si>
  <si>
    <t>пн-пт 07:00–20:00; сб 08:00–18:00; вс 09:00–17:00</t>
  </si>
  <si>
    <t>47.892749 56.632491</t>
  </si>
  <si>
    <t>ПКС Сава</t>
  </si>
  <si>
    <t>+7 (8362) 50-07-03</t>
  </si>
  <si>
    <t>47.922767 56.628882</t>
  </si>
  <si>
    <t>Tsm</t>
  </si>
  <si>
    <t>+7 (967) 756-48-49</t>
  </si>
  <si>
    <t>пн-пт 09:00–21:00; сб,вс 09:00–15:00</t>
  </si>
  <si>
    <t>Марина</t>
  </si>
  <si>
    <t>47.859889 56.644985</t>
  </si>
  <si>
    <t>Авто-К3 сервис</t>
  </si>
  <si>
    <t>+7 (8362) 33-38-45</t>
  </si>
  <si>
    <t xml:space="preserve">avto-k3@mail.ru  </t>
  </si>
  <si>
    <t>http://vk.com/avto_k3</t>
  </si>
  <si>
    <t>47.853773 56.629784</t>
  </si>
  <si>
    <t>Приволжский региональный правозащитный союз</t>
  </si>
  <si>
    <t>+7 (909) 367-39-77, +7 (917) 717-77-70</t>
  </si>
  <si>
    <t>47.867242 56.641565</t>
  </si>
  <si>
    <t>47.885753 56.635607</t>
  </si>
  <si>
    <t>Вывоз мусора</t>
  </si>
  <si>
    <t>Комсомольская ул., 147А, Йошкар-Ола</t>
  </si>
  <si>
    <t>+7 (8362) 98-00-09</t>
  </si>
  <si>
    <t>+7 (902) 325-22-76</t>
  </si>
  <si>
    <t>Бытовые услуги, Вывоз мусора и отходов</t>
  </si>
  <si>
    <t>47.894784 56.636189</t>
  </si>
  <si>
    <t>Валавто</t>
  </si>
  <si>
    <t>+7 (917) 706-13-97, +7 (987) 700-29-91, +7 (917) 706-13-98</t>
  </si>
  <si>
    <t xml:space="preserve">valavto_mari-el@mail.ru  </t>
  </si>
  <si>
    <t>http://valavto.ru/</t>
  </si>
  <si>
    <t>Автомобильные грузоперевозки, Логистическая компания, Экспедирование грузов</t>
  </si>
  <si>
    <t>https://vk.com/public187947142</t>
  </si>
  <si>
    <t>47.900762 56.646849</t>
  </si>
  <si>
    <t>Федерация тайского бокса в Республике Марий Эл</t>
  </si>
  <si>
    <t>+7 (960) 090-34-44, +7 (962) 589-75-72</t>
  </si>
  <si>
    <t>Общественная организация, Спортивный клуб, секция</t>
  </si>
  <si>
    <t>47.880324 56.643256</t>
  </si>
  <si>
    <t>Pin-Up</t>
  </si>
  <si>
    <t>просп. Гагарина, 3, Йошкар-Ола</t>
  </si>
  <si>
    <t>+7 (8362) 51-18-88</t>
  </si>
  <si>
    <t>Магазин белья и купальников, Магазин одежды</t>
  </si>
  <si>
    <t>47.888922 56.630251</t>
  </si>
  <si>
    <t>+7 (8362) 51-55-99</t>
  </si>
  <si>
    <t xml:space="preserve">olimparena@mail.ru  </t>
  </si>
  <si>
    <t>Батутный центр</t>
  </si>
  <si>
    <t>https://vk.com/batut_arena</t>
  </si>
  <si>
    <t>http://instagram.com/batut_arena</t>
  </si>
  <si>
    <t>47.828235 56.639137</t>
  </si>
  <si>
    <t>Эвакуация с труднодоступных мест</t>
  </si>
  <si>
    <t>+7 (902) 326-43-26</t>
  </si>
  <si>
    <t>Автотехпомощь, эвакуация автомобилей, Спецтехника и спецавтомобили</t>
  </si>
  <si>
    <t>47.8351 56.632</t>
  </si>
  <si>
    <t>Маугли</t>
  </si>
  <si>
    <t>пн-пт 09:30–19:30; сб,вс 09:30–18:00</t>
  </si>
  <si>
    <t>47.864 56.646586</t>
  </si>
  <si>
    <t>Мебель для вас</t>
  </si>
  <si>
    <t>ул. Йывана Кырли, 22, Йошкар-Ола</t>
  </si>
  <si>
    <t>+7 (8362) 73-16-43, +7 (8362) 73-17-61, +7 (8362) 73-50-02</t>
  </si>
  <si>
    <t xml:space="preserve">vashamebelyola@mail.ru  </t>
  </si>
  <si>
    <t>http://mebelyola.ru/</t>
  </si>
  <si>
    <t>47.840812 56.640148</t>
  </si>
  <si>
    <t>Tulsvet4</t>
  </si>
  <si>
    <t>Ленинский просп., 2, Йошкар-Ола</t>
  </si>
  <si>
    <t>+7 (917) 702-46-06, +7 (915) 170-19-57</t>
  </si>
  <si>
    <t>47.931328 56.624306</t>
  </si>
  <si>
    <t>Пол под ключ</t>
  </si>
  <si>
    <t>+7 (8362) 32-05-00, +7 (8362) 32-02-02</t>
  </si>
  <si>
    <t xml:space="preserve">irinadomracheva@polpodkluch.ru, info@polpodkluch.ru  </t>
  </si>
  <si>
    <t>Ламинат, Линолеум, Напольные покрытия</t>
  </si>
  <si>
    <t>https://vk.com/region_pol</t>
  </si>
  <si>
    <t>47.937533 56.636991</t>
  </si>
  <si>
    <t>+7 (8362) 72-02-20</t>
  </si>
  <si>
    <t>47.873636 56.647074</t>
  </si>
  <si>
    <t>+7 (8362) 30-43-33</t>
  </si>
  <si>
    <t>47.870566 56.635347</t>
  </si>
  <si>
    <t>Интерфарм-9</t>
  </si>
  <si>
    <t>ул. Строителей, 38А, Йошкар-Ола</t>
  </si>
  <si>
    <t>+7 (8362) 64-01-99, +7 (8362) 64-02-98</t>
  </si>
  <si>
    <t>ежедневно, 06:00–00:00</t>
  </si>
  <si>
    <t>47.833475 56.637377</t>
  </si>
  <si>
    <t>Церковь Входа Господня в Иерусалим в Царевококшайском Богородице-Сергиевском Черемисском монастыре</t>
  </si>
  <si>
    <t>Вознесенская ул., 84А, Йошкар-Ола</t>
  </si>
  <si>
    <t>47.898397 56.633424</t>
  </si>
  <si>
    <t>+7 (8362) 56-63-56</t>
  </si>
  <si>
    <t>+7 (909) 368-52-22, +7 (909) 368-51-11</t>
  </si>
  <si>
    <t xml:space="preserve">boston_1976@mail.ru  </t>
  </si>
  <si>
    <t>пн-чт 08:30–17:00; пт 08:30–16:00</t>
  </si>
  <si>
    <t>http://vk.com/vector209</t>
  </si>
  <si>
    <t>47.880074 56.626256</t>
  </si>
  <si>
    <t>Юнл</t>
  </si>
  <si>
    <t>+7 (8362) 91-96-01</t>
  </si>
  <si>
    <t>+7 (917) 712-35-05</t>
  </si>
  <si>
    <t>+7 (8362) 98-32-12, +7 (8362) 93-68-55</t>
  </si>
  <si>
    <t>47.930785 56.634233</t>
  </si>
  <si>
    <t>Строй Мир</t>
  </si>
  <si>
    <t>+7 (8362) 25-95-91, +7 (8362) 41-00-80</t>
  </si>
  <si>
    <t xml:space="preserve">ooostroymir@mail.ru, support@pulscen.ru, u003esupport@pulscen.ru  </t>
  </si>
  <si>
    <t>http://stroymir-16.pulscen.ru/</t>
  </si>
  <si>
    <t>Строительный магазин, Стройматериалы оптом, Сухие строительные смеси, Цемент</t>
  </si>
  <si>
    <t>47.851324 56.625604</t>
  </si>
  <si>
    <t>Мастер Потолков</t>
  </si>
  <si>
    <t>+7 (927) 883-89-59, +7 (927) 883-20-40, +7 (902) 465-92-70</t>
  </si>
  <si>
    <t xml:space="preserve">338959@mail.ru  </t>
  </si>
  <si>
    <t>http://masterpotolkov12.ru/</t>
  </si>
  <si>
    <t>https://vk.com/club24182538</t>
  </si>
  <si>
    <t>47.874332 56.636757</t>
  </si>
  <si>
    <t>Автозапчасти u0026 Автоаксессуары</t>
  </si>
  <si>
    <t>ул. Якова Эшпая, 150В, Йошкар-Ола</t>
  </si>
  <si>
    <t>+7 (8362) 77-25-05</t>
  </si>
  <si>
    <t>Автоаксессуары, Автосигнализация, Магазин автозапчастей и автотоваров</t>
  </si>
  <si>
    <t>Йога</t>
  </si>
  <si>
    <t>Спортивный клуб, секция, Фитнес-клуб</t>
  </si>
  <si>
    <t>ежедневно, 09:30–21:00</t>
  </si>
  <si>
    <t>Услуги спецтехники</t>
  </si>
  <si>
    <t>ул. Грибоедова, 5, Йошкар-Ола</t>
  </si>
  <si>
    <t>+7 (8362) 77-75-95</t>
  </si>
  <si>
    <t>+7 (902) 745-60-60</t>
  </si>
  <si>
    <t>47.916128 56.650825</t>
  </si>
  <si>
    <t>Марс</t>
  </si>
  <si>
    <t>Советская ул., 175, Йошкар-Ола</t>
  </si>
  <si>
    <t>+7 (8362) 41-54-12</t>
  </si>
  <si>
    <t>47.88979 56.62494</t>
  </si>
  <si>
    <t>Хорошие кухни</t>
  </si>
  <si>
    <t>+7 (8362) 90-09-72, +7 (8362) 32-67-41</t>
  </si>
  <si>
    <t>вт-пт 09:30–19:00; сб,вс 09:30–18:00</t>
  </si>
  <si>
    <t>47.843104 56.641832</t>
  </si>
  <si>
    <t>Бетон Групп</t>
  </si>
  <si>
    <t>47.8623 56.6182</t>
  </si>
  <si>
    <t>Инстрой</t>
  </si>
  <si>
    <t>+7 (8362) 37-77-73, +7 (8362) 40-13-41</t>
  </si>
  <si>
    <t>http://instroy12.tiu.ru/</t>
  </si>
  <si>
    <t>47.8537 56.6515</t>
  </si>
  <si>
    <t>Свежее мясо</t>
  </si>
  <si>
    <t>+7 (902) 358-02-90</t>
  </si>
  <si>
    <t>Магазин мяса, колбас</t>
  </si>
  <si>
    <t>47.844297 56.641775</t>
  </si>
  <si>
    <t>Бирхаус</t>
  </si>
  <si>
    <t>+7 (8362) 43-12-12, +7 (8362) 56-43-03</t>
  </si>
  <si>
    <t>+7 (8362) 56-43-03</t>
  </si>
  <si>
    <t xml:space="preserve">ivan@gmail.com  </t>
  </si>
  <si>
    <t>http://yoladom.com/</t>
  </si>
  <si>
    <t>+7 (8362) 45-23-99, +7 (8362) 42-26-33, +7 (8362) 56-44-22</t>
  </si>
  <si>
    <t>https://domsaiver.ru/, https://domsaiver-remont.ru/</t>
  </si>
  <si>
    <t>Керамическая плитка, Магазин сантехники, Сухие строительные смеси</t>
  </si>
  <si>
    <t>пн-сб 09:00–19:00; вс 09:00–17:00</t>
  </si>
  <si>
    <t>47.898812 56.636519</t>
  </si>
  <si>
    <t>Доктор Сан</t>
  </si>
  <si>
    <t>+7 (8362) 95-41-43</t>
  </si>
  <si>
    <t>+7 (902) 735-41-43</t>
  </si>
  <si>
    <t>http://kl6229.polzdr.ru/</t>
  </si>
  <si>
    <t>Наркологическая клиника</t>
  </si>
  <si>
    <t>47.8732 56.6474</t>
  </si>
  <si>
    <t>Международная Ассоциация по изучению традиционных оздоровительных систем г. Йошкар-Ола</t>
  </si>
  <si>
    <t>ул. Волкова, 126, Йошкар-Ола</t>
  </si>
  <si>
    <t>+7 (927) 871-81-71, +7 (927) 680-17-61</t>
  </si>
  <si>
    <t>http://kl6250.polzdr.ru/</t>
  </si>
  <si>
    <t>вт,чт 18:00–20:00; сб 08:00–10:00; вс 17:00–19:00</t>
  </si>
  <si>
    <t>47.895692 56.637194</t>
  </si>
  <si>
    <t>+7 (8362) 32-61-62</t>
  </si>
  <si>
    <t xml:space="preserve">lankord_doors@mail.ru, formuladveri@mail.ru  </t>
  </si>
  <si>
    <t>http://formuladveri.ru/, http://www.lankord-doors.ru/</t>
  </si>
  <si>
    <t>https://www.instagram.com/lankord_doors_2002</t>
  </si>
  <si>
    <t>47.936341 56.636789</t>
  </si>
  <si>
    <t>Промышленный альпинизм</t>
  </si>
  <si>
    <t>Звёздная ул., 14А, Йошкар-Ола</t>
  </si>
  <si>
    <t>+7 (927) 873-97-22</t>
  </si>
  <si>
    <t>47.968913 56.613698</t>
  </si>
  <si>
    <t>Инфанет</t>
  </si>
  <si>
    <t>+7 (8362) 41-43-79, +7 (8362) 54-07-11</t>
  </si>
  <si>
    <t>Адель</t>
  </si>
  <si>
    <t>Комсомольская ул., 40, Йошкар-Ола</t>
  </si>
  <si>
    <t>+7 (8362) 96-41-37</t>
  </si>
  <si>
    <t>Электромонтажные и электроустановочные изделия</t>
  </si>
  <si>
    <t>47.900614 56.647727</t>
  </si>
  <si>
    <t>ЭлекТерра</t>
  </si>
  <si>
    <t>+7 (8362) 95-70-65</t>
  </si>
  <si>
    <t>47.895269 56.629907</t>
  </si>
  <si>
    <t>+7 (8362) 32-03-20, +7 (8362) 35-01-02, +7 (8362) 42-27-57</t>
  </si>
  <si>
    <t>Бар, паб, Боулинг-клуб, Ночной клуб</t>
  </si>
  <si>
    <t>пн-чт 15:00–01:00; пт 15:00–03:00; сб 12:00–03:00; вс 12:00–01:00</t>
  </si>
  <si>
    <t>https://vk.com/stonebowling</t>
  </si>
  <si>
    <t>https://www.instagram.com/stonebowling</t>
  </si>
  <si>
    <t>47.889451 56.639086</t>
  </si>
  <si>
    <t>+7 (8362) 31-51-01, +7 (8362) 64-08-06</t>
  </si>
  <si>
    <t>Элегия</t>
  </si>
  <si>
    <t>+7 (8362) 31-13-18</t>
  </si>
  <si>
    <t>+7 (904) 724-13-18</t>
  </si>
  <si>
    <t>пн-сб 08:00–19:00; вс 09:00–15:00</t>
  </si>
  <si>
    <t>47.94775 56.624417</t>
  </si>
  <si>
    <t>ул. Суворова, 26, корп. 1, Йошкар-Ола</t>
  </si>
  <si>
    <t>+7 (8362) 34-77-10</t>
  </si>
  <si>
    <t xml:space="preserve">marketing@yolahleb.ru  </t>
  </si>
  <si>
    <t>http://yolahleb.ru/</t>
  </si>
  <si>
    <t>Магазин продуктов, Хлебозавод</t>
  </si>
  <si>
    <t>http://vk.com/hlebozavod1</t>
  </si>
  <si>
    <t>https://www.facebook.com/hlebozavod1/</t>
  </si>
  <si>
    <t>47.851608 56.638363</t>
  </si>
  <si>
    <t>Библиотека, филиал № 25</t>
  </si>
  <si>
    <t>ул. Якова Эшпая, 166А, Йошкар-Ола</t>
  </si>
  <si>
    <t>+7 (8362) 45-18-05</t>
  </si>
  <si>
    <t>47.878747 56.634808</t>
  </si>
  <si>
    <t>Gulliver</t>
  </si>
  <si>
    <t>8 (800) 555-46-65</t>
  </si>
  <si>
    <t>+7 (909) 367-98-93</t>
  </si>
  <si>
    <t xml:space="preserve">gulliveronline@gulliver.ru, gullivermarket@gullivermarket.ru  </t>
  </si>
  <si>
    <t>http://www.gulliver-wear.com/ru/, https://gulliver-wear.com/ru/content/shops/yoshkar-ola/62129/</t>
  </si>
  <si>
    <t>http://www.facebook.com/GulliverRussia</t>
  </si>
  <si>
    <t>47.843481 56.641101</t>
  </si>
  <si>
    <t>Ваш Саквояж</t>
  </si>
  <si>
    <t>+7 (927) 870-71-00</t>
  </si>
  <si>
    <t>47.892575 56.638692</t>
  </si>
  <si>
    <t>Адвокатский кабинет Суворовой Галины Николаевны</t>
  </si>
  <si>
    <t>+7 (8362) 75-65-99</t>
  </si>
  <si>
    <t>+7 (937) 930-57-80</t>
  </si>
  <si>
    <t>47.880846 56.636712</t>
  </si>
  <si>
    <t>Химпро - Автохимия и автокосметика</t>
  </si>
  <si>
    <t>ул. Волкова, 56, Йошкар-Ола</t>
  </si>
  <si>
    <t>+7 (8362) 65-44-13</t>
  </si>
  <si>
    <t>+7 (902) 325-44-13, +7 (927) 884-44-13, +7 (960) 096-91-00</t>
  </si>
  <si>
    <t xml:space="preserve">info@him-pro.com  </t>
  </si>
  <si>
    <t>https://him-pro.com/</t>
  </si>
  <si>
    <t>47.903103 56.646687</t>
  </si>
  <si>
    <t>Гарвей</t>
  </si>
  <si>
    <t>+7 (8362) 96-95-95</t>
  </si>
  <si>
    <t>Аренда фронтального погрузчика</t>
  </si>
  <si>
    <t>+7 (8362) 76-76-55</t>
  </si>
  <si>
    <t>+7 (963) 127-66-40</t>
  </si>
  <si>
    <t>Аренда строительной и спецтехники, Спецтехника и спецавтомобили</t>
  </si>
  <si>
    <t>Республиканский центр русской культуры</t>
  </si>
  <si>
    <t>+7 (902) 664-30-86, +7 (902) 672-87-60</t>
  </si>
  <si>
    <t xml:space="preserve">centruskult@rambler.ru, monitoring@fadn.gov.ru, rcrk12@mail.ru  </t>
  </si>
  <si>
    <t>http://centruskult.ru/</t>
  </si>
  <si>
    <t>https://vk.com/centruskult</t>
  </si>
  <si>
    <t>ТСЖ Прохорова, 48-б</t>
  </si>
  <si>
    <t>ул. Прохорова, 48Б, Йошкар-Ола</t>
  </si>
  <si>
    <t>+7 (8362) 99-21-68</t>
  </si>
  <si>
    <t>47.822659 56.630773</t>
  </si>
  <si>
    <t>Детский сад № 92 Искорка</t>
  </si>
  <si>
    <t>ул. Васильева, 7Б, Йошкар-Ола</t>
  </si>
  <si>
    <t>+7 (8362) 63-58-72, +7 (8362) 63-64-74</t>
  </si>
  <si>
    <t xml:space="preserve">iscorka.92@mail.ru, iskorka.92@gmail.com, uoa-yoshkar-ola@yandex.ru  </t>
  </si>
  <si>
    <t>http://edu.mari.ru/mouo-yoshkarola/dou92</t>
  </si>
  <si>
    <t>47.833647 56.634578</t>
  </si>
  <si>
    <t>Отдел дополнительного профессионального образования Мрмт</t>
  </si>
  <si>
    <t>ул. Пушкина, 27, Йошкар-Ола</t>
  </si>
  <si>
    <t>+7 (8362) 68-26-70, +7 (8362) 68-26-69</t>
  </si>
  <si>
    <t>+7 (8362) 68-26-00</t>
  </si>
  <si>
    <t>Автошкола, Курсы и мастер-классы, Центр повышения квалификации</t>
  </si>
  <si>
    <t>47.88652 56.634006</t>
  </si>
  <si>
    <t>Детали машин</t>
  </si>
  <si>
    <t>Красноармейская ул., 124, Йошкар-Ола</t>
  </si>
  <si>
    <t>+7 (8362) 46-44-20, +7 (8362) 46-44-61, +7 (8362) 46-19-16, +7 (8362) 41-57-71</t>
  </si>
  <si>
    <t>+7 (929) 733-32-24</t>
  </si>
  <si>
    <t xml:space="preserve">klient@gaz.ru </t>
  </si>
  <si>
    <t>http://dm.gaz.ru/</t>
  </si>
  <si>
    <t>Автоаксессуары, Автокосметика, автохимия, Автостекла, Магазин автозапчастей и автотоваров</t>
  </si>
  <si>
    <t>47.851106 56.64261</t>
  </si>
  <si>
    <t>Webgurman</t>
  </si>
  <si>
    <t>ул. Большое Чигашево, 69, корп. 1, Йошкар-Ола</t>
  </si>
  <si>
    <t>ежедневно, 10:00–17:00</t>
  </si>
  <si>
    <t>47.868015 56.606207</t>
  </si>
  <si>
    <t>Нико</t>
  </si>
  <si>
    <t>+7 (8362) 51-04-99</t>
  </si>
  <si>
    <t>+7 (917) 704-31-65</t>
  </si>
  <si>
    <t>Косметология, Массажный салон</t>
  </si>
  <si>
    <t>47.89478 56.639286</t>
  </si>
  <si>
    <t>Ольга</t>
  </si>
  <si>
    <t>+7 (902) 738-27-07</t>
  </si>
  <si>
    <t>47.892738 56.638752</t>
  </si>
  <si>
    <t>+7 (8362) 20-92-92</t>
  </si>
  <si>
    <t>47.832938 56.636719</t>
  </si>
  <si>
    <t>Добродар</t>
  </si>
  <si>
    <t>+7 (8362) 60-00-00</t>
  </si>
  <si>
    <t xml:space="preserve">sales@dobrodar.ru  </t>
  </si>
  <si>
    <t>http://dobrodar.ru/</t>
  </si>
  <si>
    <t>https://vk.com/visotronik</t>
  </si>
  <si>
    <t>47.846007 56.621142</t>
  </si>
  <si>
    <t>Федерация Айкидо Республики Марий Эл, Региональная физкультурно-спортивная общественная организация</t>
  </si>
  <si>
    <t>ул. Мира, 91А, Йошкар-Ола</t>
  </si>
  <si>
    <t>+7 (903) 326-91-79, +7 (961) 379-18-50, +7 (917) 717-20-85</t>
  </si>
  <si>
    <t>Общественная организация, Спортивное объединение, Спортивный клуб, секция</t>
  </si>
  <si>
    <t>ежедневно, 08:00–20:00, перерыв 14:00–16:00</t>
  </si>
  <si>
    <t>47.94359 56.632387</t>
  </si>
  <si>
    <t>Салон компьютерных мелочей</t>
  </si>
  <si>
    <t>+7 (8362) 28-28-87</t>
  </si>
  <si>
    <t>Компьютерный магазин, Расходные материалы для оргтехники, Ремонт бытовой техники</t>
  </si>
  <si>
    <t>https://vk.com/skm12ru</t>
  </si>
  <si>
    <t>47.893145 56.638557</t>
  </si>
  <si>
    <t>World Web Site</t>
  </si>
  <si>
    <t>ул. Карла Либкнехта, 112, Йошкар-Ола</t>
  </si>
  <si>
    <t>+7 (987) 730-53-95</t>
  </si>
  <si>
    <t xml:space="preserve">administrator@ww-site.ru  </t>
  </si>
  <si>
    <t>http://ww-site.ru/</t>
  </si>
  <si>
    <t>47.933313 56.624326</t>
  </si>
  <si>
    <t>Экспрестрансавто</t>
  </si>
  <si>
    <t>+7 (902) 739-35-35</t>
  </si>
  <si>
    <t>47.895135 56.631313</t>
  </si>
  <si>
    <t>Ваш домашний мастер</t>
  </si>
  <si>
    <t>+7 (8362) 92-40-04</t>
  </si>
  <si>
    <t>Зима</t>
  </si>
  <si>
    <t>ул. Яна Крастыня, 4Б, Йошкар-Ола</t>
  </si>
  <si>
    <t>+7 (927) 883-15-61</t>
  </si>
  <si>
    <t>47.826477 56.6323</t>
  </si>
  <si>
    <t>Вирсавия</t>
  </si>
  <si>
    <t>+7 (8362) 51-21-22</t>
  </si>
  <si>
    <t xml:space="preserve">help@cheapsite.ru </t>
  </si>
  <si>
    <t>пн-пт 08:00–20:00; сб,вс 10:00–15:00</t>
  </si>
  <si>
    <t>47.884926 56.642937</t>
  </si>
  <si>
    <t>Ваш вариант</t>
  </si>
  <si>
    <t>+7 (917) 700-02-25</t>
  </si>
  <si>
    <t>Альфа принт</t>
  </si>
  <si>
    <t>+7 (987) 716-06-96, +7 (927) 875-41-23</t>
  </si>
  <si>
    <t xml:space="preserve">aprint12@mail.ru, konica21vek@gmail.com  </t>
  </si>
  <si>
    <t>Копировальный центр</t>
  </si>
  <si>
    <t>https://vk.com/alfaprint12</t>
  </si>
  <si>
    <t>47.880485 56.643299</t>
  </si>
  <si>
    <t>Брана-дизайн</t>
  </si>
  <si>
    <t>ул. 40 лет Октября, 3, корп. 7, Йошкар-Ола</t>
  </si>
  <si>
    <t>+7 (925) 280-72-60</t>
  </si>
  <si>
    <t>47.848108 56.651463</t>
  </si>
  <si>
    <t>Цветик-Семицветик</t>
  </si>
  <si>
    <t>+7 (8362) 42-51-11, +7 (8362) 42-54-81</t>
  </si>
  <si>
    <t>Акционерное общество Энергия</t>
  </si>
  <si>
    <t>+7 (8362) 42-35-65, +7 (8362) 42-33-42</t>
  </si>
  <si>
    <t>+7 (8362) 42-36-01</t>
  </si>
  <si>
    <t xml:space="preserve">energy@mail.marienergy.ru  </t>
  </si>
  <si>
    <t>https://marienergy.ru/</t>
  </si>
  <si>
    <t>Обслуживание электросетей, Электромонтажные работы, Энергоснабжение</t>
  </si>
  <si>
    <t>Отделение дневного пребывания детей</t>
  </si>
  <si>
    <t>+7 (8362) 21-10-40, +7 (8362) 22-57-69</t>
  </si>
  <si>
    <t>Марийский республиканский колледж культуры и искусств им. И. С. Палантая</t>
  </si>
  <si>
    <t>Красноармейская ул., 78, Йошкар-Ола</t>
  </si>
  <si>
    <t>+7 (8362) 42-38-89, +7 (8362) 42-36-71, +7 (8362) 45-24-33, +7 (8362) 42-67-25</t>
  </si>
  <si>
    <t>пн-пт 08:00–17:30, перерыв 12:00–13:00; сб 08:00–12:00</t>
  </si>
  <si>
    <t>http://vk.com/kolledg_palantaj</t>
  </si>
  <si>
    <t>47.875409 56.645517</t>
  </si>
  <si>
    <t>ул. Воинов-Интернационалистов, 24Б, Йошкар-Ола</t>
  </si>
  <si>
    <t>+7 (8362) 96-46-16</t>
  </si>
  <si>
    <t>47.92643 56.635208</t>
  </si>
  <si>
    <t>Красноармейская ул., 88Б, Йошкар-Ола</t>
  </si>
  <si>
    <t>+7 (927) 879-48-75</t>
  </si>
  <si>
    <t>47.870907 56.647548</t>
  </si>
  <si>
    <t>Вуаля</t>
  </si>
  <si>
    <t>+7 (8362) 96-78-18</t>
  </si>
  <si>
    <t>Окна, Шторы, карнизы</t>
  </si>
  <si>
    <t>47.832885 56.636736</t>
  </si>
  <si>
    <t>Дистрибьюторы косметики Амвей</t>
  </si>
  <si>
    <t>ул. Чехова, 60, Йошкар-Ола</t>
  </si>
  <si>
    <t>+7 (964) 864-26-72</t>
  </si>
  <si>
    <t>47.887768 56.644713</t>
  </si>
  <si>
    <t>Автознак</t>
  </si>
  <si>
    <t>+7 (8362) 42-22-78, +7 (8362) 41-24-61, +7 (8362) 41-12-20</t>
  </si>
  <si>
    <t>+7 (902) 358-08-90</t>
  </si>
  <si>
    <t>+7 (8362) 45-28-85</t>
  </si>
  <si>
    <t>Селена-Клининг</t>
  </si>
  <si>
    <t>ул. Крылова, 63, Йошкар-Ола</t>
  </si>
  <si>
    <t>+7 (8362) 64-02-86</t>
  </si>
  <si>
    <t>+7 (987) 702-41-75</t>
  </si>
  <si>
    <t>47.827833 56.61607</t>
  </si>
  <si>
    <t>Сервис-профи</t>
  </si>
  <si>
    <t>+7 (8362) 65-73-73</t>
  </si>
  <si>
    <t>+7 (927) 888-76-69</t>
  </si>
  <si>
    <t>Бабаш</t>
  </si>
  <si>
    <t>+7 (967) 756-56-71</t>
  </si>
  <si>
    <t>Дошкольник плюс</t>
  </si>
  <si>
    <t>+7 (8362) 90-75-72</t>
  </si>
  <si>
    <t>https://vk.com/club71604436</t>
  </si>
  <si>
    <t>+7 (8362) 26-05-05, +7 (8362) 28-22-82</t>
  </si>
  <si>
    <t>47.887506 56.629526</t>
  </si>
  <si>
    <t>РИО</t>
  </si>
  <si>
    <t>+7 (8362) 72-03-00, +7 (8362) 33-02-25</t>
  </si>
  <si>
    <t>47.871219 56.639006</t>
  </si>
  <si>
    <t>Аптечный пункт № 2</t>
  </si>
  <si>
    <t>+7 (8362) 45-76-62</t>
  </si>
  <si>
    <t>http://marifarm.mari-el.ru/</t>
  </si>
  <si>
    <t>пн-пт 07:30–18:00; сб 08:00–13:00</t>
  </si>
  <si>
    <t>47.903279 56.643931</t>
  </si>
  <si>
    <t>Декарт</t>
  </si>
  <si>
    <t>Комсомольская ул., 118, Йошкар-Ола</t>
  </si>
  <si>
    <t>+7 (8362) 25-32-10, +7 (8362) 25-99-00</t>
  </si>
  <si>
    <t>ежедневно, 11:00–19:00</t>
  </si>
  <si>
    <t>47.893536 56.637565</t>
  </si>
  <si>
    <t>Пряжа для Вас</t>
  </si>
  <si>
    <t>+7 (927) 876-60-58</t>
  </si>
  <si>
    <t>47.864313 56.646757</t>
  </si>
  <si>
    <t>Детская художественная школа № 1</t>
  </si>
  <si>
    <t>+7 (8362) 45-58-64, +7 (8362) 45-42-91</t>
  </si>
  <si>
    <t xml:space="preserve">dxshkola@gmail.com, uprku@mail.ru, gki@mari-el.ru  </t>
  </si>
  <si>
    <t>http://dh12.ru/</t>
  </si>
  <si>
    <t>47.900431 56.635813</t>
  </si>
  <si>
    <t>Амедика</t>
  </si>
  <si>
    <t>+7 (8362) 41-53-61, +7 (8362) 96-25-63</t>
  </si>
  <si>
    <t>47.898449 56.634095</t>
  </si>
  <si>
    <t>Ваш стиль</t>
  </si>
  <si>
    <t>+7 (8362) 90-02-28, +7 (8362) 21-21-31</t>
  </si>
  <si>
    <t>http://vash-style12.ru/</t>
  </si>
  <si>
    <t>пн-пт 08:00–20:00; сб,вс 08:00–17:00</t>
  </si>
  <si>
    <t>47.925206 56.63401</t>
  </si>
  <si>
    <t>Рикус</t>
  </si>
  <si>
    <t>+7 (8362) 42-27-19</t>
  </si>
  <si>
    <t>Магазин для садоводов, Посуда оптом</t>
  </si>
  <si>
    <t>ТСЖ Планета</t>
  </si>
  <si>
    <t>+7 (8362) 21-85-93</t>
  </si>
  <si>
    <t>пн,чт 18:00–20:00</t>
  </si>
  <si>
    <t>Том и Джери</t>
  </si>
  <si>
    <t>+7 (937) 939-17-02</t>
  </si>
  <si>
    <t>ул. Яна Крастыня, 4А, Йошкар-Ола</t>
  </si>
  <si>
    <t>+7 (929) 734-55-67, +7 (937) 391-08-89</t>
  </si>
  <si>
    <t>пн,чт 19:30–20:30</t>
  </si>
  <si>
    <t>47.828022 56.632862</t>
  </si>
  <si>
    <t>+7 (987) 711-40-00, +7 (902) 124-17-71</t>
  </si>
  <si>
    <t>47.868616 56.6479</t>
  </si>
  <si>
    <t>Belwest</t>
  </si>
  <si>
    <t>+7 (8362) 38-45-40</t>
  </si>
  <si>
    <t xml:space="preserve">hotline@belwest.com  </t>
  </si>
  <si>
    <t>https://belwest.ru/, https://www.belwest.com/</t>
  </si>
  <si>
    <t>Магазин галантереи и аксессуаров, Магазин обуви</t>
  </si>
  <si>
    <t>https://vk.com/belwest.shoes</t>
  </si>
  <si>
    <t>https://ok.ru/belwest.shoes</t>
  </si>
  <si>
    <t>https://www.facebook.com/belwest.shoes/</t>
  </si>
  <si>
    <t>https://www.youtube.com/channel/UCMxwgKfu3jxDiv9lAdluR1Q</t>
  </si>
  <si>
    <t>https://www.instagram.com/belwest.shoes/</t>
  </si>
  <si>
    <t>47.883297 56.633523</t>
  </si>
  <si>
    <t>Комис</t>
  </si>
  <si>
    <t>+7 (8362) 41-75-69, +7 (8362) 42-08-10</t>
  </si>
  <si>
    <t>+7 (906) 325-18-61</t>
  </si>
  <si>
    <t xml:space="preserve">komis@komisgroup.ru, personal@komisgroup.ru  </t>
  </si>
  <si>
    <t>http://www.komisgroup.ru/</t>
  </si>
  <si>
    <t>Общежитие № 7 МарГУ</t>
  </si>
  <si>
    <t>Кремлёвская ул., 46, Йошкар-Ола</t>
  </si>
  <si>
    <t>+7 (8362) 68-79-00</t>
  </si>
  <si>
    <t xml:space="preserve">noreply@marsu.ru, rector@marsu.ru, mfc@marsu.ru  </t>
  </si>
  <si>
    <t>47.879759 56.64237</t>
  </si>
  <si>
    <t>Принц</t>
  </si>
  <si>
    <t>+7 (8362) 39-10-35</t>
  </si>
  <si>
    <t>ул. Строителей, 54, Йошкар-Ола</t>
  </si>
  <si>
    <t>+7 (8362) 66-26-40</t>
  </si>
  <si>
    <t>Металлоизделия, Металлопрокат</t>
  </si>
  <si>
    <t>47.838658 56.631828</t>
  </si>
  <si>
    <t>Брикснаб</t>
  </si>
  <si>
    <t>+7 (8362) 28-80-88, +7 (8362) 65-21-21</t>
  </si>
  <si>
    <t>http://briksnab.ru/</t>
  </si>
  <si>
    <t>Твердое топливо</t>
  </si>
  <si>
    <t>ТСЖ Березка</t>
  </si>
  <si>
    <t>Пролетарская ул., 19А, Йошкар-Ола</t>
  </si>
  <si>
    <t>+7 (8362) 46-84-26</t>
  </si>
  <si>
    <t>47.896258 56.643733</t>
  </si>
  <si>
    <t>+7 (8362) 55-46-56</t>
  </si>
  <si>
    <t>47.871525 56.645779</t>
  </si>
  <si>
    <t>Общежитие Марийского института переподготовки кадров агробизнеса</t>
  </si>
  <si>
    <t>Медицинская ул., 15, Йошкар-Ола</t>
  </si>
  <si>
    <t>+7 (8362) 46-35-23, +7 (8362) 46-34-94</t>
  </si>
  <si>
    <t xml:space="preserve">maragrokadr@mail.ru, maragrokadr.cot@maripk.ru, cot@maripk.ru, irina_stukova@mail.ru  </t>
  </si>
  <si>
    <t>http://maripk.ru/gostinitsa-instituta</t>
  </si>
  <si>
    <t>https://vk.com/maripk</t>
  </si>
  <si>
    <t>47.968024 56.640703</t>
  </si>
  <si>
    <t>Лицей № 28</t>
  </si>
  <si>
    <t>ул. Петрова, 16, Йошкар-Ола</t>
  </si>
  <si>
    <t>+7 (8362) 21-84-17, +7 (8362) 21-85-44, +7 (8362) 21-83-97</t>
  </si>
  <si>
    <t xml:space="preserve">uoa-yoshkar-ola@yandex.ru, school28ola@mail.ru  </t>
  </si>
  <si>
    <t>http://listei-28ola.ucoz.ru/</t>
  </si>
  <si>
    <t>47.923136 56.633082</t>
  </si>
  <si>
    <t>ИП Горелов Д. В.</t>
  </si>
  <si>
    <t>Советская ул., 163, Йошкар-Ола</t>
  </si>
  <si>
    <t>47.893086 56.628575</t>
  </si>
  <si>
    <t>Пивпункт</t>
  </si>
  <si>
    <t>ул. Карла Либкнехта, 63Б, Йошкар-Ола</t>
  </si>
  <si>
    <t>+7 (8362) 79-40-00</t>
  </si>
  <si>
    <t>Магазин пива, Магазин продуктов</t>
  </si>
  <si>
    <t>47.942139 56.634068</t>
  </si>
  <si>
    <t>Геометрия металла</t>
  </si>
  <si>
    <t>+7 (8362) 28-61-00</t>
  </si>
  <si>
    <t>+7 (902) 438-61-00</t>
  </si>
  <si>
    <t>Автоматические двери и ворота, Кованые изделия, Металлические заборы и ограждения, Металлоконструкции, Рольставни, Системы безопасности и охраны</t>
  </si>
  <si>
    <t>Общежитие № 1 ПГТУ</t>
  </si>
  <si>
    <t>ул. Гоголя, 16, Йошкар-Ола</t>
  </si>
  <si>
    <t>+7 (8362) 68-60-84</t>
  </si>
  <si>
    <t>47.892518 56.631279</t>
  </si>
  <si>
    <t>Детский сад № 8 Дружная семейка</t>
  </si>
  <si>
    <t>ул. Чехова, 70А, Йошкар-Ола</t>
  </si>
  <si>
    <t>+7 (8362) 45-33-45, +7 (8362) 56-67-82, +7 (36225) 6-67-82</t>
  </si>
  <si>
    <t xml:space="preserve">uoa-yoshkar-ola@yandex.ru, detsad-8@yandex.ru  </t>
  </si>
  <si>
    <t>http://edu.mari.ru/mouo-yoshkarola/dou8</t>
  </si>
  <si>
    <t>47.883454 56.645973</t>
  </si>
  <si>
    <t>Технокласс</t>
  </si>
  <si>
    <t>+7 (8362) 90-09-97</t>
  </si>
  <si>
    <t>+7 (902) 105-19-97</t>
  </si>
  <si>
    <t xml:space="preserve">tv@navigatorcampus.com  </t>
  </si>
  <si>
    <t>http://www.technoklass.org/</t>
  </si>
  <si>
    <t>пн-пт 15:00–20:00; сб,вс 10:00–18:00</t>
  </si>
  <si>
    <t>http://vk.com/robot_yota</t>
  </si>
  <si>
    <t>47.907679 56.63121</t>
  </si>
  <si>
    <t>Республиканский клинический госпиталь ветеранов войн</t>
  </si>
  <si>
    <t>+7 (8362) 42-16-79, +7 (8362) 42-20-56</t>
  </si>
  <si>
    <t>http://mari-el.gov.ru/minzdrav/rkgvv, http://mari-el.gov.ru/</t>
  </si>
  <si>
    <t>Больница для взрослых, Госпиталь</t>
  </si>
  <si>
    <t>47.881814 56.649899</t>
  </si>
  <si>
    <t>Мариальянс</t>
  </si>
  <si>
    <t>ул. Якова Эшпая, 116, Йошкар-Ола</t>
  </si>
  <si>
    <t>+7 (927) 882-80-23</t>
  </si>
  <si>
    <t>47.885891 56.644143</t>
  </si>
  <si>
    <t>Эковата</t>
  </si>
  <si>
    <t>+7 (8362) 52-04-80</t>
  </si>
  <si>
    <t>ТСЖ Евродом</t>
  </si>
  <si>
    <t>ул. Якова Эшпая, 113А, Йошкар-Ола</t>
  </si>
  <si>
    <t>+7 (927) 683-14-80</t>
  </si>
  <si>
    <t>47.886798 56.643243</t>
  </si>
  <si>
    <t>+7 (8362) 39-61-88</t>
  </si>
  <si>
    <t>Pit Stop</t>
  </si>
  <si>
    <t>ул. 70-летия Вооружённых Сил СССР, 11, Йошкар-Ола</t>
  </si>
  <si>
    <t>+7 (8362) 94-22-22</t>
  </si>
  <si>
    <t>http://pit-stop-car-wash.business.site/</t>
  </si>
  <si>
    <t>Автомойка, Химчистка</t>
  </si>
  <si>
    <t>47.893656 56.620812</t>
  </si>
  <si>
    <t>Leader Team</t>
  </si>
  <si>
    <t>8 (800) 555-28-88, 8 (800) 700-71-85</t>
  </si>
  <si>
    <t>+7 (927) 886-63-25</t>
  </si>
  <si>
    <t>Магазин чая и кофе</t>
  </si>
  <si>
    <t>+7 (927) 680-58-94</t>
  </si>
  <si>
    <t xml:space="preserve">dvinin-alex@mail.ru  </t>
  </si>
  <si>
    <t>http://dvinin-ayu.blizko.ru/</t>
  </si>
  <si>
    <t>АвтоРемГородок</t>
  </si>
  <si>
    <t>бул. Данилова, 2А, Йошкар-Ола</t>
  </si>
  <si>
    <t>+7 (927) 682-54-95</t>
  </si>
  <si>
    <t>https://www.instagram.com/krepkiy_kuzov</t>
  </si>
  <si>
    <t>47.94175 56.629599</t>
  </si>
  <si>
    <t>Новые системы Телеком</t>
  </si>
  <si>
    <t>+7 (8362) 30-30-07</t>
  </si>
  <si>
    <t>+7 (902) 329-94-93</t>
  </si>
  <si>
    <t>Fартинг</t>
  </si>
  <si>
    <t>+7 (8362) 96-73-61</t>
  </si>
  <si>
    <t>Детская мебель, Изготовление витражей, Мебель на заказ, Стекло, стекольная продукция</t>
  </si>
  <si>
    <t>МУП Водоканал</t>
  </si>
  <si>
    <t>ул. Дружбы, 2, Йошкар-Ола</t>
  </si>
  <si>
    <t>+7 (8362) 41-84-21, +7 (8362) 42-75-00, +7 (8362) 41-81-00, +7 (8362) 41-79-01</t>
  </si>
  <si>
    <t>+7 (8362) 41-82-48</t>
  </si>
  <si>
    <t xml:space="preserve">info@vod12.ru, rkc@vod12.ru  </t>
  </si>
  <si>
    <t>http://www.vodokanal-yola.ru/</t>
  </si>
  <si>
    <t>Водоканал, водное хозяйство</t>
  </si>
  <si>
    <t>47.839718 56.654486</t>
  </si>
  <si>
    <t>МастерМ</t>
  </si>
  <si>
    <t>+7 (8362) 95-31-13</t>
  </si>
  <si>
    <t>+7 (902) 735-31-13</t>
  </si>
  <si>
    <t>Натяжные и подвесные потолки, Строительный магазин</t>
  </si>
  <si>
    <t>пн-пт 09:00–18:00, перерыв 13:00–14:00; сб 10:00–15:00, перерыв 13:00–14:00</t>
  </si>
  <si>
    <t>47.855717 56.644668</t>
  </si>
  <si>
    <t>Школа № 17</t>
  </si>
  <si>
    <t>ул. 8 Марта, 19, Йошкар-Ола</t>
  </si>
  <si>
    <t>+7 (8362) 22-33-52, +7 (8362) 46-42-12, +7 (8362) 46-28-49</t>
  </si>
  <si>
    <t>http://edu.mari.ru/mouo-yoshkarola/sh17</t>
  </si>
  <si>
    <t>47.947749 56.642203</t>
  </si>
  <si>
    <t>Вместе и Навсегда</t>
  </si>
  <si>
    <t>+7 (8362) 96-79-67, +7 (8362) 65-30-13</t>
  </si>
  <si>
    <t xml:space="preserve">lipinvideo@mail.ru </t>
  </si>
  <si>
    <t>Видеосъемка, Праздничное агентство</t>
  </si>
  <si>
    <t>Хороший повод</t>
  </si>
  <si>
    <t>+7 (8362) 47-84-71</t>
  </si>
  <si>
    <t>Умный песок</t>
  </si>
  <si>
    <t>+7 (927) 298-50-55, +7 (937) 663-14-04</t>
  </si>
  <si>
    <t>Микрохирургия глаза им. академика С.Н.Федорова</t>
  </si>
  <si>
    <t>Воскресенская наб., 8, Йошкар-Ола</t>
  </si>
  <si>
    <t>8 (800) 700-07-88, +7 (8362) 56-67-25, +7 (8362) 54-16-68, +7 (8362) 54-12-29</t>
  </si>
  <si>
    <t xml:space="preserve">fgu@mntk.ru, info@concor.ru  </t>
  </si>
  <si>
    <t>http://www.mntk.ru/</t>
  </si>
  <si>
    <t>Специализированная больница</t>
  </si>
  <si>
    <t>https://vk.com/mntk_official</t>
  </si>
  <si>
    <t>https://www.facebook.com/mntkofficial</t>
  </si>
  <si>
    <t>47.90225 56.63666</t>
  </si>
  <si>
    <t>Уют</t>
  </si>
  <si>
    <t>+7 (8362) 31-02-07</t>
  </si>
  <si>
    <t>Mobil-сервис</t>
  </si>
  <si>
    <t>ул. Луначарского, 99А, Йошкар-Ола</t>
  </si>
  <si>
    <t>+7 (8362) 33-14-04</t>
  </si>
  <si>
    <t>Смазочные материалы, Экспресс-пункт замены масла</t>
  </si>
  <si>
    <t>Ваш ассортимент</t>
  </si>
  <si>
    <t>Комсомольская ул., 34, Йошкар-Ола</t>
  </si>
  <si>
    <t>+7 (8362) 34-50-90</t>
  </si>
  <si>
    <t>+7 (917) 700-07-52, +7 (927) 725-09-45</t>
  </si>
  <si>
    <t>47.901468 56.649112</t>
  </si>
  <si>
    <t>СФ Сму-2</t>
  </si>
  <si>
    <t>+7 (8362) 45-34-74, +7 (8362) 64-20-40</t>
  </si>
  <si>
    <t>Верена</t>
  </si>
  <si>
    <t>+7 (8362) 32-66-37</t>
  </si>
  <si>
    <t>Козырева</t>
  </si>
  <si>
    <t>+7 (8362) 42-58-66, +7 (8362) 41-42-72</t>
  </si>
  <si>
    <t>47.8672 56.6151</t>
  </si>
  <si>
    <t>ул. Якова Эшпая, 42, Йошкар-Ола</t>
  </si>
  <si>
    <t>+7 (917) 715-83-11, +7 (902) 434-85-10</t>
  </si>
  <si>
    <t>Бытовые услуги, Ремонт мебели</t>
  </si>
  <si>
    <t>47.892224 56.654076</t>
  </si>
  <si>
    <t>НК Фокус</t>
  </si>
  <si>
    <t>+7 (8362) 20-02-19</t>
  </si>
  <si>
    <t>http://nk-focus.ru/</t>
  </si>
  <si>
    <t>Трубы и трубопроводная арматура</t>
  </si>
  <si>
    <t>сб,вс 08:00–17:00</t>
  </si>
  <si>
    <t>Элис</t>
  </si>
  <si>
    <t>+7 (8362) 26-20-00</t>
  </si>
  <si>
    <t>+7 (8362) 55-36-66</t>
  </si>
  <si>
    <t>Строительная компания, Строительные и отделочные работы, Электромонтажные работы</t>
  </si>
  <si>
    <t>47.822997 56.626695</t>
  </si>
  <si>
    <t>Смак</t>
  </si>
  <si>
    <t>+7 (8362) 42-52-52</t>
  </si>
  <si>
    <t>ТаиS</t>
  </si>
  <si>
    <t>+7 (8362) 32-65-55, +7 (8362) 50-32-60</t>
  </si>
  <si>
    <t>+7 (987) 704-15-55</t>
  </si>
  <si>
    <t>пн 09:00–17:00; вт 09:00–19:00; ср 08:00–17:00; чт 09:00–18:00; пт 09:00–16:00; сб 09:00–13:00</t>
  </si>
  <si>
    <t>47.850058 56.640091</t>
  </si>
  <si>
    <t>Марийка</t>
  </si>
  <si>
    <t>+7 (8362) 63-69-40</t>
  </si>
  <si>
    <t>47.833092 56.636724</t>
  </si>
  <si>
    <t>АБ Ястреб</t>
  </si>
  <si>
    <t>+7 (8362) 32-00-10, +7 (8362) 73-32-27</t>
  </si>
  <si>
    <t>+7 (8362) 73-32-27</t>
  </si>
  <si>
    <t>Ninel</t>
  </si>
  <si>
    <t>8 (800) 333-83-39, +7 (8362) 23-18-34</t>
  </si>
  <si>
    <t xml:space="preserve">support@ninel.ru  </t>
  </si>
  <si>
    <t>http://ninel.ru/</t>
  </si>
  <si>
    <t>Магазин верхней одежды, Химчистка</t>
  </si>
  <si>
    <t>http://vk.com/ninel_ru</t>
  </si>
  <si>
    <t>http://instagram.com/ninel_fashion</t>
  </si>
  <si>
    <t>47.930215 56.627289</t>
  </si>
  <si>
    <t>Злат Телеком</t>
  </si>
  <si>
    <t>+7 (8362) 42-18-91</t>
  </si>
  <si>
    <t xml:space="preserve">mail@salonvkozhu.ru </t>
  </si>
  <si>
    <t>http://www.zlattelecom.ru/</t>
  </si>
  <si>
    <t>Робот для Вас</t>
  </si>
  <si>
    <t>+7 (8362) 32-09-99</t>
  </si>
  <si>
    <t>пн-пт 09:00–18:30; сб 09:00–16:00; вс 09:00–15:00</t>
  </si>
  <si>
    <t>47.880886 56.636768</t>
  </si>
  <si>
    <t>Персона Star</t>
  </si>
  <si>
    <t>47.893396 56.630997</t>
  </si>
  <si>
    <t>Республиканская ветеринарная лаборатория</t>
  </si>
  <si>
    <t>ул. Машиностроителей, 119Б, Йошкар-Ола</t>
  </si>
  <si>
    <t>+7 (8362) 73-07-50, +7 (8362) 73-49-52, +7 (8362) 73-02-83, +7 (8362) 73-07-51</t>
  </si>
  <si>
    <t>Ветеринарная лаборатория</t>
  </si>
  <si>
    <t>пн-пт 08:30–16:00, перерыв 12:30–13:00</t>
  </si>
  <si>
    <t>47.833084 56.62509</t>
  </si>
  <si>
    <t>Жилищный юрист</t>
  </si>
  <si>
    <t>+7 (8362) 31-31-81, +7 (8362) 61-16-75</t>
  </si>
  <si>
    <t xml:space="preserve">pravoved7526@gmail.com, noreply@pravovedsibir.ru, ivanov@mail.ru </t>
  </si>
  <si>
    <t>Агентство недвижимости, Адвокаты, Бюро переводов, Юридические услуги</t>
  </si>
  <si>
    <t>ТСН Гомзовское</t>
  </si>
  <si>
    <t>+7 (8362) 27-82-95</t>
  </si>
  <si>
    <t>+7 (902) 745-82-95</t>
  </si>
  <si>
    <t>вт,чт 17:00–18:00</t>
  </si>
  <si>
    <t>47.855884 56.645004</t>
  </si>
  <si>
    <t>Завод нестандартного оборудования</t>
  </si>
  <si>
    <t>ул. Луначарского, 18, Йошкар-Ола</t>
  </si>
  <si>
    <t>+7 (8362) 74-18-96, +7 (8362) 74-20-19</t>
  </si>
  <si>
    <t>+7 (8362) 74-18-91</t>
  </si>
  <si>
    <t>http://w-pack.ru/</t>
  </si>
  <si>
    <t>Пленки архитектурные, декоративные, защитные, Производственное предприятие</t>
  </si>
  <si>
    <t>47.913183 56.612129</t>
  </si>
  <si>
    <t>Техно Кров</t>
  </si>
  <si>
    <t>+7 (8362) 56-43-43</t>
  </si>
  <si>
    <t>Смайлик</t>
  </si>
  <si>
    <t>+7 (8362) 90-39-03</t>
  </si>
  <si>
    <t>МФК</t>
  </si>
  <si>
    <t>+7 (8362) 65-42-00, +7 (8362) 33-99-12</t>
  </si>
  <si>
    <t>+7 (927) 680-13-86, +7 (927) 876-00-60</t>
  </si>
  <si>
    <t>Центр молодёжного предпринимательства и профессиональной ориентации</t>
  </si>
  <si>
    <t>+7 (8362) 73-00-22, +7 (8362) 55-36-58</t>
  </si>
  <si>
    <t>пн-пт 08:30–17:30, перерыв 13:30–14:30</t>
  </si>
  <si>
    <t>47.84947 56.640251</t>
  </si>
  <si>
    <t>Массив строй</t>
  </si>
  <si>
    <t>+7 (8362) 51-77-00</t>
  </si>
  <si>
    <t>Двери, Лестницы и лестничные ограждения</t>
  </si>
  <si>
    <t>+7 (8362) 41-26-10, +7 (8362) 56-56-98</t>
  </si>
  <si>
    <t>+7 (8362) 31-06-57</t>
  </si>
  <si>
    <t>Для Вас</t>
  </si>
  <si>
    <t>+7 (8362) 36-61-66</t>
  </si>
  <si>
    <t>+7 (902) 664-17-94</t>
  </si>
  <si>
    <t>пн-пт 09:00–19:00; сб 09:00–18:00; вс 10:00–17:00</t>
  </si>
  <si>
    <t>47.946261 56.626704</t>
  </si>
  <si>
    <t>ГеоПрофи</t>
  </si>
  <si>
    <t>+7 (8362) 50-04-14, +7 (8362) 50-02-25</t>
  </si>
  <si>
    <t>+7 (902) 433-33-55</t>
  </si>
  <si>
    <t>http://www.geoproffi.ru/</t>
  </si>
  <si>
    <t>пн-пт 09:00–17:30, перерыв 13:00–14:00</t>
  </si>
  <si>
    <t>http://vk.com/geoproffi</t>
  </si>
  <si>
    <t>Много Мебели</t>
  </si>
  <si>
    <t>+7 (8362) 32-03-95</t>
  </si>
  <si>
    <t xml:space="preserve">zakupki@rfc-group.ru, arenda@rfc-group.ru, mebel@rfc-group.ru, reklama@rfc-group.ru, podbor@rfc-group.ru </t>
  </si>
  <si>
    <t>https://mnogomebeli.com/?utm_campaign=geou0026utm_content={ad_id}u0026utm_medium=cpou0026utm_source=yandexu0026utm_term={keyword}</t>
  </si>
  <si>
    <t>https://vk.com/mnogomebeliclub</t>
  </si>
  <si>
    <t>http://ok.ru/group/54057515483235</t>
  </si>
  <si>
    <t>https://www.facebook.com/mnogomebeli</t>
  </si>
  <si>
    <t>https://www.youtube.com/user/mnogomebeli</t>
  </si>
  <si>
    <t>https://www.instagram.com/mnogomebeli/</t>
  </si>
  <si>
    <t>47.843517 56.640958</t>
  </si>
  <si>
    <t>Дозор</t>
  </si>
  <si>
    <t>+7 (8362) 64-62-99, +7 (8362) 39-06-70, +7 (8362) 39-09-06, +7 (8362) 71-89-70</t>
  </si>
  <si>
    <t>пн-пт 09:00–18:00, перерыв 13:00–14:00; сб 10:00–15:00</t>
  </si>
  <si>
    <t>Метелица мари</t>
  </si>
  <si>
    <t>+7 (8362) 46-86-92</t>
  </si>
  <si>
    <t>Мороженое, Оптовая компания, Продукты глубокой заморозки</t>
  </si>
  <si>
    <t>Караоке-бар Buhen house</t>
  </si>
  <si>
    <t>Караоке-клуб</t>
  </si>
  <si>
    <t>47.939589 56.622829</t>
  </si>
  <si>
    <t>ежедневно, 10:00–19:30</t>
  </si>
  <si>
    <t>47.916125 56.631457</t>
  </si>
  <si>
    <t>Белита-Витэкс</t>
  </si>
  <si>
    <t>+7 (8362) 46-78-94</t>
  </si>
  <si>
    <t xml:space="preserve">bielita-magazin@mail.ru, bielita@mail.ru  </t>
  </si>
  <si>
    <t>https://www.bielitarf.ru/, http://belita12.ru/, https://bielita12.ru/</t>
  </si>
  <si>
    <t>https://vk.com/belitayola</t>
  </si>
  <si>
    <t>https://www.instagram.com/mir_kosmetiki_belita_vitex</t>
  </si>
  <si>
    <t>47.891301 56.64514</t>
  </si>
  <si>
    <t>Omega: Разработка Мобильных и Web-Приложений</t>
  </si>
  <si>
    <t>+7 (495) 128-39-94</t>
  </si>
  <si>
    <t>+7 (960) 090-18-18</t>
  </si>
  <si>
    <t xml:space="preserve">irina@omega-r.com, anna.khatsko@omega-r.com, natali.kuznetsova@omega-r.com  </t>
  </si>
  <si>
    <t>https://omega-r.ru/</t>
  </si>
  <si>
    <t>IT-компания, Программное обеспечение, Студия веб-дизайна</t>
  </si>
  <si>
    <t>https://vk.com/omega_r</t>
  </si>
  <si>
    <t>https://www.facebook.com/omegamobileru</t>
  </si>
  <si>
    <t>https://www.instagram.com/omega__r</t>
  </si>
  <si>
    <t>47.910709 56.632813</t>
  </si>
  <si>
    <t>+7 (8362) 32-04-66, +7 (8362) 39-62-68</t>
  </si>
  <si>
    <t>+7 (937) 939-62-68</t>
  </si>
  <si>
    <t>Техно24</t>
  </si>
  <si>
    <t>бул. Чавайна, 23А, Йошкар-Ола</t>
  </si>
  <si>
    <t>+7 (964) 862-24-24, +7 (964) 863-38-81</t>
  </si>
  <si>
    <t>47.9117 56.631402</t>
  </si>
  <si>
    <t>Школа № 16</t>
  </si>
  <si>
    <t>ул. Димитрова, 57, Йошкар-Ола</t>
  </si>
  <si>
    <t>+7 (8362) 73-01-55, +7 (8362) 46-67-11, +7 (36227) 3-01-55</t>
  </si>
  <si>
    <t xml:space="preserve">mariel-school16new@yandex.ru, uoa-yoshkar-ola@yandex.ru  </t>
  </si>
  <si>
    <t>http://edu.mari.ru/mouo-yoshkarola/sh16</t>
  </si>
  <si>
    <t>http://vk.com/school16best</t>
  </si>
  <si>
    <t>47.851105 56.646544</t>
  </si>
  <si>
    <t>Офис 12</t>
  </si>
  <si>
    <t>ул. Хасанова, 9, Йошкар-Ола</t>
  </si>
  <si>
    <t>+7 (8362) 44-30-00</t>
  </si>
  <si>
    <t>+7 (902) 744-30-00</t>
  </si>
  <si>
    <t xml:space="preserve">ofis12rme@yandex.ru </t>
  </si>
  <si>
    <t>https://www.офис12.рф/</t>
  </si>
  <si>
    <t>Магазин мебели, Мебель для офиса, Мебель на заказ, Сейфы, Торговое оборудование</t>
  </si>
  <si>
    <t>47.888639 56.623437</t>
  </si>
  <si>
    <t>ГБУ РМЭ поликлиника № 1 города Йошкар-Ола, филиал № 3</t>
  </si>
  <si>
    <t>Вашская ул., 7, Йошкар-Ола</t>
  </si>
  <si>
    <t>+7 (8362) 45-17-01</t>
  </si>
  <si>
    <t xml:space="preserve">gfo-y-ola@minfin.mari.ru, uszn_y-ola@mari-el.ru, jczn@bk.ru, gki@mari-el.ru, mol-yola@mail.ru, ugh@i-ola.ru, minprom@gov.mari.ru, admiola@i-ola.ru, ugadn12@mari-el.ru, sanepid@12.rospotrebnadzor.ru </t>
  </si>
  <si>
    <t>http://поликлиника1йола.рф/, http://7vas.polickliniki.ru/</t>
  </si>
  <si>
    <t>Детская поликлиника, Поликлиника для взрослых</t>
  </si>
  <si>
    <t>пн-пт 07:30–20:00; сб,вс 08:00–20:00</t>
  </si>
  <si>
    <t>47.89 56.62818</t>
  </si>
  <si>
    <t>АлПром</t>
  </si>
  <si>
    <t>+7 (8362) 73-03-74</t>
  </si>
  <si>
    <t>Флэт</t>
  </si>
  <si>
    <t>+7 (8362) 23-38-88, +7 (8362) 33-45-69</t>
  </si>
  <si>
    <t>+7 (917) 719-92-88</t>
  </si>
  <si>
    <t>Стройбизнес</t>
  </si>
  <si>
    <t>47.874 56.6379</t>
  </si>
  <si>
    <t>+7 (8362) 46-40-55, +7 (8362) 64-71-19, +7 (8362) 64-62-09</t>
  </si>
  <si>
    <t>пн-пт 07:30–18:45; сб,вс 09:00–14:00</t>
  </si>
  <si>
    <t>47.952279 56.638873</t>
  </si>
  <si>
    <t>Дубки</t>
  </si>
  <si>
    <t>+7 (8362) 42-78-48, +7 (8362) 42-77-98</t>
  </si>
  <si>
    <t>47.867458 56.653744</t>
  </si>
  <si>
    <t>ГБУ РМЭ поликлиника № 1 г. Йошкар-Олы</t>
  </si>
  <si>
    <t>просп. Гагарина, 15, Йошкар-Ола</t>
  </si>
  <si>
    <t>+7 (8362) 45-35-77</t>
  </si>
  <si>
    <t>http://поликлиника1йола.рф/</t>
  </si>
  <si>
    <t>47.886999 56.626533</t>
  </si>
  <si>
    <t>Йошкар-Олинский техникум сервисных технологий</t>
  </si>
  <si>
    <t>+7 (8362) 73-37-12, +7 (8362) 73-24-30, +7 (8362) 73-37-22</t>
  </si>
  <si>
    <t>+7 (8362) 73-37-21</t>
  </si>
  <si>
    <t xml:space="preserve">kinokonkurs@onf.ru, mol-yola@yandex.ru  </t>
  </si>
  <si>
    <t>http://edu.mari.ru/prof/ou4</t>
  </si>
  <si>
    <t>http://vk.com/club11608245</t>
  </si>
  <si>
    <t>47.843108 56.635313</t>
  </si>
  <si>
    <t>Ворота 12</t>
  </si>
  <si>
    <t>+7 (8362) 33-88-70</t>
  </si>
  <si>
    <t>+7 (927) 883-88-70</t>
  </si>
  <si>
    <t xml:space="preserve">vorota12@mail.ru  </t>
  </si>
  <si>
    <t>http://vorota12.ru/</t>
  </si>
  <si>
    <t>Автоматические двери и ворота, Жалюзи и рулонные шторы, Рольставни</t>
  </si>
  <si>
    <t>47.948876 56.629075</t>
  </si>
  <si>
    <t>https://vk.com/raduga_raduga12</t>
  </si>
  <si>
    <t>47.858025 56.645272</t>
  </si>
  <si>
    <t>Кремлёвская ул., 28, Йошкар-Ола</t>
  </si>
  <si>
    <t>+7 (8362) 30-75-13</t>
  </si>
  <si>
    <t>Магазин алкогольных напитков, Магазин продуктов, Оптовый магазин, Супермаркет</t>
  </si>
  <si>
    <t>47.887569 56.640158</t>
  </si>
  <si>
    <t>Пролетарская ул., 49, Йошкар-Ола</t>
  </si>
  <si>
    <t>+7 (960) 098-04-90</t>
  </si>
  <si>
    <t>пн-пт 09:30–16:00</t>
  </si>
  <si>
    <t>47.885469 56.646811</t>
  </si>
  <si>
    <t>Transfer2u.ru</t>
  </si>
  <si>
    <t>http://transfer2u.ru/</t>
  </si>
  <si>
    <t>http://vk.com/mlaptev</t>
  </si>
  <si>
    <t>Сайт покупок</t>
  </si>
  <si>
    <t>ул. Зарубина, 44, Йошкар-Ола</t>
  </si>
  <si>
    <t>+7 (8362) 50-06-85</t>
  </si>
  <si>
    <t xml:space="preserve">partner@sitepokupok.ru, club@sitepokupok.ru  </t>
  </si>
  <si>
    <t>https://sitepokupok.ru/</t>
  </si>
  <si>
    <t>Интернет-магазин, Пункт выдачи</t>
  </si>
  <si>
    <t>https://vk.com/sitepokupok</t>
  </si>
  <si>
    <t>https://ok.ru/sitepokupok.ru</t>
  </si>
  <si>
    <t>https://twitter.com/sitepokupok</t>
  </si>
  <si>
    <t>http://instagram.com/sitepokupok.ru</t>
  </si>
  <si>
    <t>47.870335 56.636149</t>
  </si>
  <si>
    <t>Лана</t>
  </si>
  <si>
    <t>+7 (8362) 42-87-30</t>
  </si>
  <si>
    <t>пн-пт 08:00–20:00; сб 08:00–19:00; вс 09:00–19:00</t>
  </si>
  <si>
    <t>47.885862 56.637037</t>
  </si>
  <si>
    <t>Техмастер</t>
  </si>
  <si>
    <t>+7 (8362) 63-02-50</t>
  </si>
  <si>
    <t>Металлопрокат, Металлургическое предприятие, Производственное предприятие</t>
  </si>
  <si>
    <t>пн-пт 07:30–16:00</t>
  </si>
  <si>
    <t>47.87766 56.616777</t>
  </si>
  <si>
    <t>47.9117 56.6314</t>
  </si>
  <si>
    <t>Росмарэкспорт</t>
  </si>
  <si>
    <t>ул. Строителей, 95, корп. 103, Йошкар-Ола</t>
  </si>
  <si>
    <t>+7 (8362) 77-07-43</t>
  </si>
  <si>
    <t>+7 (927) 681-73-79</t>
  </si>
  <si>
    <t>+7 (8362) 30-40-84</t>
  </si>
  <si>
    <t>Индивид</t>
  </si>
  <si>
    <t>+7 (927) 873-14-91</t>
  </si>
  <si>
    <t>пн-пт 10:00–21:00; сб 12:00–18:00</t>
  </si>
  <si>
    <t>ул. Подольских Курсантов, 16А, Йошкар-Ола</t>
  </si>
  <si>
    <t>+7 (8362) 25-17-46, +7 (8362) 66-83-82</t>
  </si>
  <si>
    <t>+7 (902) 435-17-46</t>
  </si>
  <si>
    <t>http://delfin12.business.site/</t>
  </si>
  <si>
    <t>пн-пт 08:30–19:30; сб,вс 09:00–20:00</t>
  </si>
  <si>
    <t>47.86396 56.650942</t>
  </si>
  <si>
    <t>Триумф</t>
  </si>
  <si>
    <t>Леон-консалт</t>
  </si>
  <si>
    <t>+7 (8362) 63-44-65</t>
  </si>
  <si>
    <t xml:space="preserve">leonconsalt@mail.ru, support@pulscen.ru, u003esupport@pulscen.ru  </t>
  </si>
  <si>
    <t>http://leonconsalt.pulscen.ru/</t>
  </si>
  <si>
    <t>Защита прав потребителя, Регистрация и ликвидация предприятий, Юридические услуги</t>
  </si>
  <si>
    <t>Спецодежда Марий Эл</t>
  </si>
  <si>
    <t>+7 (8362) 42-45-68, +7 (8362) 99-00-91</t>
  </si>
  <si>
    <t>+7 (987) 728-17-73</t>
  </si>
  <si>
    <t xml:space="preserve">eurospez@inbox.ru  </t>
  </si>
  <si>
    <t>http://evrospez.ru/</t>
  </si>
  <si>
    <t>пн-пт 10:00–18:00; сб,вс 11:00–14:00</t>
  </si>
  <si>
    <t>47.880816 56.638103</t>
  </si>
  <si>
    <t>Кенга</t>
  </si>
  <si>
    <t>Первомайская ул., 101А, Йошкар-Ола</t>
  </si>
  <si>
    <t>+7 (8362) 46-24-40</t>
  </si>
  <si>
    <t>+7 (927) 872-28-86</t>
  </si>
  <si>
    <t>пн 10:00–14:00; вт 17:30–21:00; ср 10:00–14:00; чт 17:30–21:00; пт 10:00–14:00</t>
  </si>
  <si>
    <t>47.891442 56.642176</t>
  </si>
  <si>
    <t>Амелик</t>
  </si>
  <si>
    <t>+7 (902) 325-22-21</t>
  </si>
  <si>
    <t>http://amelik.pro/</t>
  </si>
  <si>
    <t>https://vk.com/club109519880</t>
  </si>
  <si>
    <t>https://www.instagram.com/cosmetology_amelik/</t>
  </si>
  <si>
    <t>47.901416 56.63876</t>
  </si>
  <si>
    <t>Гурман</t>
  </si>
  <si>
    <t>+7 (8362) 41-07-17</t>
  </si>
  <si>
    <t>+7 (902) 432-47-16, +7 (902) 358-58-61</t>
  </si>
  <si>
    <t>Кафе, Ночной клуб</t>
  </si>
  <si>
    <t>ежедневно, 10:00–02:00</t>
  </si>
  <si>
    <t>https://vk.com/gurman_yo</t>
  </si>
  <si>
    <t>47.882888 56.639798</t>
  </si>
  <si>
    <t>Интекрон</t>
  </si>
  <si>
    <t>ул. Машиностроителей, 72А, Йошкар-Ола</t>
  </si>
  <si>
    <t>+7 (8362) 73-22-72, +7 (8362) 73-18-61</t>
  </si>
  <si>
    <t>+7 (917) 071-32-64, +7 (917) 071-32-65, +7 (917) 071-32-68, +7 (960) 099-30-93</t>
  </si>
  <si>
    <t xml:space="preserve">dveri@intecron.ru, sales-rf@intecron.ru  </t>
  </si>
  <si>
    <t>http://intecron.ru/</t>
  </si>
  <si>
    <t>https://vk.com/zavod_intecron</t>
  </si>
  <si>
    <t>https://facebook.com/groups/154582508315830</t>
  </si>
  <si>
    <t>https://instagram.com/intecron12</t>
  </si>
  <si>
    <t>47.84141 56.62743</t>
  </si>
  <si>
    <t>Актюбе</t>
  </si>
  <si>
    <t>ул. Прохорова, 42, Йошкар-Ола</t>
  </si>
  <si>
    <t>47.828435 56.630194</t>
  </si>
  <si>
    <t>Алина</t>
  </si>
  <si>
    <t>+7 (8362) 56-57-42</t>
  </si>
  <si>
    <t>+7 (964) 860-08-88</t>
  </si>
  <si>
    <t>пн-чт 07:00–23:00; пт,сб 07:00–01:00; вс 07:00–23:00</t>
  </si>
  <si>
    <t>47.933277 56.624229</t>
  </si>
  <si>
    <t>Акашево</t>
  </si>
  <si>
    <t>ул. Степана Разина, 84А, Йошкар-Ола</t>
  </si>
  <si>
    <t>8 (800) 700-77-12</t>
  </si>
  <si>
    <t xml:space="preserve">priemnaya@akashevo.ru, titovatr@akashevo.ru, okk@akashevo.ru, quality@akashevo.ru  </t>
  </si>
  <si>
    <t>http://akashevo.ru/</t>
  </si>
  <si>
    <t>http://vk.com/akashevo</t>
  </si>
  <si>
    <t>http://twitter.com/akashevo</t>
  </si>
  <si>
    <t>https://www.instagram.com/akashevo.ru/</t>
  </si>
  <si>
    <t>47.884452 56.620024</t>
  </si>
  <si>
    <t>Вечерняя общеобразовательная школа № 4</t>
  </si>
  <si>
    <t>+7 (8362) 21-98-79, +7 (8362) 21-89-02</t>
  </si>
  <si>
    <t xml:space="preserve">night-school.ru@mail.ru  </t>
  </si>
  <si>
    <t>http://edu.mari.ru/mouo-yoshkarola/vsh4</t>
  </si>
  <si>
    <t>47.9156 56.6355</t>
  </si>
  <si>
    <t>ТСЖ Спорт</t>
  </si>
  <si>
    <t>47.884615 56.622845</t>
  </si>
  <si>
    <t>Минимода</t>
  </si>
  <si>
    <t>+7 (937) 119-03-13</t>
  </si>
  <si>
    <t>Магазин одежды, Оптовый магазин</t>
  </si>
  <si>
    <t>Адвокат Гаджиев Р. Р.</t>
  </si>
  <si>
    <t>+7 (8362) 54-72-72</t>
  </si>
  <si>
    <t>пн-пт 08:30–19:00</t>
  </si>
  <si>
    <t>Детские праздники. Аниматоры</t>
  </si>
  <si>
    <t>Первомайская ул., 1, Йошкар-Ола</t>
  </si>
  <si>
    <t>+7 (960) 093-86-16</t>
  </si>
  <si>
    <t>47.898171 56.654679</t>
  </si>
  <si>
    <t>В отпуск</t>
  </si>
  <si>
    <t>+7 (8362) 96-07-00, +7 (8362) 41-41-20</t>
  </si>
  <si>
    <t>пн-пт 11:00–18:00</t>
  </si>
  <si>
    <t>Евро Печать</t>
  </si>
  <si>
    <t>+7 (8362) 39-50-19, +7 (8362) 39-56-58</t>
  </si>
  <si>
    <t>47.896779 56.640704</t>
  </si>
  <si>
    <t>Лифт</t>
  </si>
  <si>
    <t>+7 (8362) 30-48-83</t>
  </si>
  <si>
    <t xml:space="preserve">office@izamet.ru  </t>
  </si>
  <si>
    <t>http://izamet-russia.ru/</t>
  </si>
  <si>
    <t>Подъемное оборудование, Продажа и обслуживание лифтов, Товары для инвалидов, средства реабилитации</t>
  </si>
  <si>
    <t>47.925489 56.640585</t>
  </si>
  <si>
    <t>Детский сад № 14 Петушок</t>
  </si>
  <si>
    <t>ул. Героев Сталинградской Битвы, 33А, Йошкар-Ола</t>
  </si>
  <si>
    <t>+7 (8362) 64-23-09</t>
  </si>
  <si>
    <t>http://edu.mari.ru/mouo-yoshkarola/dou14</t>
  </si>
  <si>
    <t>47.948677 56.625406</t>
  </si>
  <si>
    <t>Курсив</t>
  </si>
  <si>
    <t>+7 (8362) 45-89-17, +7 (8362) 42-09-59</t>
  </si>
  <si>
    <t>Союз-М Йошкар-Ола</t>
  </si>
  <si>
    <t>+7 (8362) 45-35-75, +7 (8362) 26-05-55</t>
  </si>
  <si>
    <t xml:space="preserve">souz@souz-m.ru  </t>
  </si>
  <si>
    <t>http://souz-m.ru/</t>
  </si>
  <si>
    <t>Магазин ткани, Мебельная фурнитура и комплектующие, Студия дизайна, Товары для дома</t>
  </si>
  <si>
    <t>https://vk.com/souz_m</t>
  </si>
  <si>
    <t>https://www.instagram.com/souz_m_company</t>
  </si>
  <si>
    <t>47.870248 56.612661</t>
  </si>
  <si>
    <t>+7 (927) 872-55-57</t>
  </si>
  <si>
    <t>47.843102 56.641763</t>
  </si>
  <si>
    <t>Orange baby club</t>
  </si>
  <si>
    <t>ул. Прохорова, 9, Йошкар-Ола</t>
  </si>
  <si>
    <t>+7 (8362) 91-79-10, +7 (8362) 39-08-82</t>
  </si>
  <si>
    <t>47.84759 56.63748</t>
  </si>
  <si>
    <t>+7 (927) 680-87-50</t>
  </si>
  <si>
    <t>Фурор</t>
  </si>
  <si>
    <t>ул. Суворова, 7, корп. 1, Йошкар-Ола</t>
  </si>
  <si>
    <t>+7 (8362) 42-44-73, +7 (8362) 42-58-62, +7 (8362) 42-44-14</t>
  </si>
  <si>
    <t>http://www.garda12.ru/</t>
  </si>
  <si>
    <t>47.870172 56.630838</t>
  </si>
  <si>
    <t>Марийподшипник</t>
  </si>
  <si>
    <t>+7 (8362) 73-84-06</t>
  </si>
  <si>
    <t>Инструментальная промышленность, Подшипники, Резиновые и резинотехнические изделия, Сварочное оборудование и материалы</t>
  </si>
  <si>
    <t>Склад временного хранения</t>
  </si>
  <si>
    <t>Железнодорожная ул., 11, Йошкар-Ола</t>
  </si>
  <si>
    <t>+7 (8362) 31-28-22</t>
  </si>
  <si>
    <t>Складские услуги</t>
  </si>
  <si>
    <t>47.890472 56.61661</t>
  </si>
  <si>
    <t>Город Мастеров</t>
  </si>
  <si>
    <t>+7 (8362) 79-79-11</t>
  </si>
  <si>
    <t>+7 (902) 431-79-11</t>
  </si>
  <si>
    <t xml:space="preserve">cool-teplo12@yandex.ru </t>
  </si>
  <si>
    <t>http://gm12.ru/</t>
  </si>
  <si>
    <t>Камины, печи, Котлы и котельное оборудование, Системы водоснабжения, отопления, канализации</t>
  </si>
  <si>
    <t>Полиграф-пресс</t>
  </si>
  <si>
    <t>+7 (8362) 41-75-31, +7 (8362) 41-71-79</t>
  </si>
  <si>
    <t>http://stezja-dom.ru/</t>
  </si>
  <si>
    <t>Пакет</t>
  </si>
  <si>
    <t>+7 (927) 684-63-73</t>
  </si>
  <si>
    <t>47.88466 56.638238</t>
  </si>
  <si>
    <t>Стройинвест</t>
  </si>
  <si>
    <t>Вознесенская ул., 23/12, Йошкар-Ола</t>
  </si>
  <si>
    <t>+7 (8362) 38-07-87, +7 (8362) 45-03-43, +7 (8362) 38-07-80, +7 (8362) 45-03-55</t>
  </si>
  <si>
    <t xml:space="preserve">ats_12@mail.ru  </t>
  </si>
  <si>
    <t>http://stroyinvest12.ru/</t>
  </si>
  <si>
    <t>47.904521 56.641216</t>
  </si>
  <si>
    <t>Визус</t>
  </si>
  <si>
    <t>+7 (8362) 45-43-57</t>
  </si>
  <si>
    <t xml:space="preserve">vizus454357@mail.ru, rznrme@mail.ru, roszdravnadzor@mari-el.ru, sanepid@12.rospotrebnadzor.ru </t>
  </si>
  <si>
    <t>47.889927 56.622564</t>
  </si>
  <si>
    <t>+7 (8362) 50-25-25</t>
  </si>
  <si>
    <t>SPAR</t>
  </si>
  <si>
    <t>47.910572 56.632647</t>
  </si>
  <si>
    <t>Строительно-монтажная Компания Вита</t>
  </si>
  <si>
    <t>47.919652 56.635586</t>
  </si>
  <si>
    <t>Стиль Жизни</t>
  </si>
  <si>
    <t>+7 (8362) 39-60-24</t>
  </si>
  <si>
    <t>+7 (937) 939-60-24, +7 (937) 939-13-63</t>
  </si>
  <si>
    <t xml:space="preserve">12dsk@mail.ru, sample@domain.ru  </t>
  </si>
  <si>
    <t>http://sportpit12.ru/</t>
  </si>
  <si>
    <t>Веломагазин, Ремонт велосипедов, Спортивное питание, Спортивный инвентарь и оборудование, Спортивный магазин</t>
  </si>
  <si>
    <t>https://vk.com/dsk12</t>
  </si>
  <si>
    <t>https://www.instagram.com/sportpit12</t>
  </si>
  <si>
    <t>47.895044 56.64033</t>
  </si>
  <si>
    <t>Школа № 24</t>
  </si>
  <si>
    <t>Кирпичная ул., 2А, Йошкар-Ола</t>
  </si>
  <si>
    <t>+7 (8362) 64-65-63, +7 (8362) 64-28-43, +7 (8362) 64-69-48, +7 (36226) 4-65-63</t>
  </si>
  <si>
    <t xml:space="preserve">school24ola@mail.ru, nastyakazankina@gmail.com  </t>
  </si>
  <si>
    <t>http://edu.mari.ru/mouo-yoshkarola/sh24</t>
  </si>
  <si>
    <t>http://vk.com/club1064346</t>
  </si>
  <si>
    <t>http://facebook.com/pages/школа-24-йошкар-ола/117292205094060</t>
  </si>
  <si>
    <t>47.941792 56.624189</t>
  </si>
  <si>
    <t>ул. Строителей, 13, Йошкар-Ола</t>
  </si>
  <si>
    <t>+7 (8362) 37-55-99</t>
  </si>
  <si>
    <t>Ателье по пошиву одежды, Ремонт одежды</t>
  </si>
  <si>
    <t>47.836329 56.636576</t>
  </si>
  <si>
    <t>Тав</t>
  </si>
  <si>
    <t>+7 (8362) 41-06-60</t>
  </si>
  <si>
    <t>Магазин сантехники, Строительный магазин</t>
  </si>
  <si>
    <t>47.896657 56.61828</t>
  </si>
  <si>
    <t>Годэр</t>
  </si>
  <si>
    <t>8 (800) 222-27-01</t>
  </si>
  <si>
    <t>+7 (927) 872-50-00, +7 (937) 931-93-31, +7 (939) 726-46-60</t>
  </si>
  <si>
    <t>Котлы и котельное оборудование, Нефтегазовое оборудование, Строительство и оснащение АЗС</t>
  </si>
  <si>
    <t>47.862047 56.615619</t>
  </si>
  <si>
    <t>Республиканский центр марийской культуры</t>
  </si>
  <si>
    <t>+7 (8362) 45-88-51</t>
  </si>
  <si>
    <t xml:space="preserve">mari-centr@mail.ru  </t>
  </si>
  <si>
    <t>http://new.vk.com/marityvraryder</t>
  </si>
  <si>
    <t>http://twitter.com/maricentr</t>
  </si>
  <si>
    <t>http://facebook.com/mari.centr</t>
  </si>
  <si>
    <t>http://instagram.com/mari.centr</t>
  </si>
  <si>
    <t>47.888733 56.638524</t>
  </si>
  <si>
    <t>Федерация борьбы дзюдо Республики Марий Эл</t>
  </si>
  <si>
    <t>+7 (961) 336-64-24</t>
  </si>
  <si>
    <t xml:space="preserve">rmel_judo@mail.ru, mcb72@yandex.ru </t>
  </si>
  <si>
    <t>https://judo-shor.ucoz.net/, http://boxing-rme.ucoz.ru/</t>
  </si>
  <si>
    <t>Спортивная школа, Спортивное объединение, Спортивный клуб, секция</t>
  </si>
  <si>
    <t>пн-сб 08:00–18:00, перерыв 12:30–13:30</t>
  </si>
  <si>
    <t>47.868205 56.640349</t>
  </si>
  <si>
    <t>ТЭК Волга-Ола</t>
  </si>
  <si>
    <t>+7 (917) 719-41-02</t>
  </si>
  <si>
    <t>47.892521 56.63811</t>
  </si>
  <si>
    <t>Салон штор Интерьер</t>
  </si>
  <si>
    <t>+7 (927) 883-23-51</t>
  </si>
  <si>
    <t>http://шторы-заказ.рф/</t>
  </si>
  <si>
    <t>https://vk.com/tekstil.zakaz</t>
  </si>
  <si>
    <t>https://ok.ru/group/53083241185422</t>
  </si>
  <si>
    <t>https://www.instagram.com/salon_shtor_interyer</t>
  </si>
  <si>
    <t>Общежитие № 4 МарГУ</t>
  </si>
  <si>
    <t>Красноармейская ул., 67, Йошкар-Ола</t>
  </si>
  <si>
    <t>47.881681 56.642871</t>
  </si>
  <si>
    <t>ул. Клары Цеткин, 13, Йошкар-Ола</t>
  </si>
  <si>
    <t>+7 (960) 099-98-48, +7 (927) 885-31-61</t>
  </si>
  <si>
    <t>Кровельные работы, Строительная компания, Строительство дачных домов и коттеджей, Фасады и фасадные системы</t>
  </si>
  <si>
    <t>47.907298 56.617185</t>
  </si>
  <si>
    <t>СантехФитингКомплект</t>
  </si>
  <si>
    <t>+7 (8362) 55-11-40</t>
  </si>
  <si>
    <t xml:space="preserve">miwaa1982@gmail.com  </t>
  </si>
  <si>
    <t>http://santehfitting.com/</t>
  </si>
  <si>
    <t>Магазин сантехники, Сантехника оптом</t>
  </si>
  <si>
    <t>пн-пт 08:30–19:00; сб,вс 08:30–18:00</t>
  </si>
  <si>
    <t>47.874964 56.637342</t>
  </si>
  <si>
    <t>Любимый город</t>
  </si>
  <si>
    <t>+7 (8362) 32-81-51</t>
  </si>
  <si>
    <t>ТСЖ Свердлова 54</t>
  </si>
  <si>
    <t>ул. Свердлова, 54, Йошкар-Ола</t>
  </si>
  <si>
    <t>+7 (8362) 92-19-63</t>
  </si>
  <si>
    <t>47.859606 56.642015</t>
  </si>
  <si>
    <t>бул. Чавайна, 32А, Йошкар-Ола</t>
  </si>
  <si>
    <t>+7 (902) 743-20-02</t>
  </si>
  <si>
    <t>47.898818 56.634971</t>
  </si>
  <si>
    <t>Рантье</t>
  </si>
  <si>
    <t>+7 (8362) 40-09-21, +7 (8362) 31-13-23</t>
  </si>
  <si>
    <t>+7 (929) 733-09-21</t>
  </si>
  <si>
    <t>Дорман</t>
  </si>
  <si>
    <t>+7 (8362) 64-25-72, +7 (8362) 64-22-74</t>
  </si>
  <si>
    <t xml:space="preserve">dormaninfo@yandex.ru  </t>
  </si>
  <si>
    <t>https://dorman12.ru/</t>
  </si>
  <si>
    <t>https://vk.com/dorman12</t>
  </si>
  <si>
    <t>https://ok.ru/group/53478128287923</t>
  </si>
  <si>
    <t>https://twitter.com/dorman12_ru</t>
  </si>
  <si>
    <t>https://www.facebook.com/dorman12.ru</t>
  </si>
  <si>
    <t>https://www.youtube.com/watch?v=8GcjgzxxiVQ</t>
  </si>
  <si>
    <t>https://www.instagram.com/dorman12.ru</t>
  </si>
  <si>
    <t>Автостекла Йошкар-Ола</t>
  </si>
  <si>
    <t>+7 (8362) 32-06-60</t>
  </si>
  <si>
    <t>+7 (927) 882-06-60</t>
  </si>
  <si>
    <t>Автостекла</t>
  </si>
  <si>
    <t>47.843867 56.620073</t>
  </si>
  <si>
    <t>Техника и материалы</t>
  </si>
  <si>
    <t>+7 (8362) 41-66-41, +7 (8362) 45-19-89</t>
  </si>
  <si>
    <t>+7 (8362) 55-11-87</t>
  </si>
  <si>
    <t>Чаплин клуб</t>
  </si>
  <si>
    <t>+7 (917) 700-20-48</t>
  </si>
  <si>
    <t xml:space="preserve">marketing-yoshkar-ola@amaks-hotels.ru  </t>
  </si>
  <si>
    <t>пт 22:00–23:00; сб 22:00–05:00</t>
  </si>
  <si>
    <t>http://vk.com/chaplinclub1</t>
  </si>
  <si>
    <t>https://www.facebook.com/club.chaplin.yola</t>
  </si>
  <si>
    <t>https://www.instagram.com/chaplinclub12rus</t>
  </si>
  <si>
    <t>47.888981 56.622502</t>
  </si>
  <si>
    <t>У лыжи</t>
  </si>
  <si>
    <t>ул. Тимирязева, 32, корп. А, Йошкар-Ола</t>
  </si>
  <si>
    <t>+7 (937) 118-20-21, +7 (987) 712-50-12</t>
  </si>
  <si>
    <t>47.904262 56.649617</t>
  </si>
  <si>
    <t>Центр автодиагностики и автоэлектрики Bva-сервис</t>
  </si>
  <si>
    <t>ул. Героев Сталинградской Битвы, 59, Йошкар-Ола</t>
  </si>
  <si>
    <t>+7 (8362) 79-62-00</t>
  </si>
  <si>
    <t>47.945537 56.621145</t>
  </si>
  <si>
    <t>Школа Раджа-йоги</t>
  </si>
  <si>
    <t>+7 (8362) 96-78-45</t>
  </si>
  <si>
    <t>+7 (961) 335-98-81</t>
  </si>
  <si>
    <t>http://rajayoga12.ru/</t>
  </si>
  <si>
    <t>Центр йоги</t>
  </si>
  <si>
    <t>пн-пт 15:00–22:00</t>
  </si>
  <si>
    <t>Панда</t>
  </si>
  <si>
    <t>ул. Димитрова, 75, Йошкар-Ола</t>
  </si>
  <si>
    <t>Клуб для детей и подростков, Спортивный клуб, секция</t>
  </si>
  <si>
    <t>47.855887 56.646096</t>
  </si>
  <si>
    <t>Автомастерская</t>
  </si>
  <si>
    <t>ул. Владимира Мухина, 45, Йошкар-Ола</t>
  </si>
  <si>
    <t>+7 (8362) 99-48-20</t>
  </si>
  <si>
    <t>+7 (902) 329-48-20</t>
  </si>
  <si>
    <t>47.948881 56.644935</t>
  </si>
  <si>
    <t>ул. Осипенко, 1, Йошкар-Ола</t>
  </si>
  <si>
    <t>+7 (8362) 40-18-89, +7 (8362) 33-17-80</t>
  </si>
  <si>
    <t xml:space="preserve">vistroy-2007@yandex.ru  </t>
  </si>
  <si>
    <t>http://ivkamen12.ru/</t>
  </si>
  <si>
    <t>пн-сб 10:00–17:00</t>
  </si>
  <si>
    <t>47.8878 56.6554</t>
  </si>
  <si>
    <t>Пивная Культура</t>
  </si>
  <si>
    <t>+7 (8362) 35-01-02, +7 (8362) 42-27-57</t>
  </si>
  <si>
    <t>Boxberry</t>
  </si>
  <si>
    <t>8 (800) 222-80-00</t>
  </si>
  <si>
    <t xml:space="preserve">572bd80132c14ab8ab3a1d24dc83f64e@sentry10.boxberry.ru  </t>
  </si>
  <si>
    <t>https://boxberry.ru/?utm_campaign=12u0026utm_medium=organicu0026utm_source=yandex_maps</t>
  </si>
  <si>
    <t>Автомобильные грузоперевозки, Курьерские услуги, Почтовые услуги</t>
  </si>
  <si>
    <t>http://vk.com/boxberry_ru</t>
  </si>
  <si>
    <t>http://ok.ru/group/57908282851371</t>
  </si>
  <si>
    <t>https://www.facebook.com/boxberry.ru</t>
  </si>
  <si>
    <t>https://www.instagram.com/boxberryclub/</t>
  </si>
  <si>
    <t>Успех</t>
  </si>
  <si>
    <t>+7 (8362) 29-01-28, +7 (8362) 92-14-15</t>
  </si>
  <si>
    <t>Центр международного обмена</t>
  </si>
  <si>
    <t xml:space="preserve">iec@iec.ru, almaty@iec.kz, yuzhakov8529@hotmail.com, astrakhan@iec.ru, barnaul@iec.ru  </t>
  </si>
  <si>
    <t>https://workandtravel.iec.ru/, http://iec.ru/</t>
  </si>
  <si>
    <t>Обучение за рубежом, Работа за рубежом</t>
  </si>
  <si>
    <t>Школьник</t>
  </si>
  <si>
    <t>+7 (8362) 21-81-11</t>
  </si>
  <si>
    <t>47.92042 56.633204</t>
  </si>
  <si>
    <t>Хлебница</t>
  </si>
  <si>
    <t>+7 (8362) 96-09-60, +7 (8362) 97-97-97, +7 (3412) 91-66-91</t>
  </si>
  <si>
    <t>+7 (961) 373-90-00, +7 (912) 859-17-04</t>
  </si>
  <si>
    <t xml:space="preserve">info@hlebnitca.ru  </t>
  </si>
  <si>
    <t>https://hlebnitca.ru/</t>
  </si>
  <si>
    <t>https://vk.com/hlebnitca</t>
  </si>
  <si>
    <t>https://www.facebook.com/hlebnitca</t>
  </si>
  <si>
    <t>https://www.instagram.com/hlebnitca/</t>
  </si>
  <si>
    <t>47.888669 56.62988</t>
  </si>
  <si>
    <t>АВА-Финанс</t>
  </si>
  <si>
    <t>+7 (8362) 36-26-11</t>
  </si>
  <si>
    <t>+7 (967) 756-26-11</t>
  </si>
  <si>
    <t xml:space="preserve">support@masterhost.ru </t>
  </si>
  <si>
    <t>http://www.avafinance.ru/</t>
  </si>
  <si>
    <t>http://vk.com/avafinance</t>
  </si>
  <si>
    <t>Общежитие ДОСААФ России</t>
  </si>
  <si>
    <t>+7 (8362) 41-98-01</t>
  </si>
  <si>
    <t>47.870993 56.654299</t>
  </si>
  <si>
    <t>Онлайн Системы</t>
  </si>
  <si>
    <t>+7 (961) 373-60-00</t>
  </si>
  <si>
    <t>Праздничное агентство, Рекламное агентство</t>
  </si>
  <si>
    <t>ТСЖ Надежда</t>
  </si>
  <si>
    <t>ул. Подольских Курсантов, 21А, Йошкар-Ола</t>
  </si>
  <si>
    <t>+7 (902) 671-01-71</t>
  </si>
  <si>
    <t>47.860118 56.648568</t>
  </si>
  <si>
    <t>Кураж</t>
  </si>
  <si>
    <t>+7 (8362) 43-84-86</t>
  </si>
  <si>
    <t>пн-чт 10:00–02:00; пт,сб 10:00–05:00; вс 10:00–02:00</t>
  </si>
  <si>
    <t>ГБОУ Республики Марий Эл школа № 2 города Йошкар-Ола</t>
  </si>
  <si>
    <t>ул. Волкова, 110/16, Йошкар-Ола</t>
  </si>
  <si>
    <t>+7 (8362) 64-19-66, +7 (8362) 45-52-98, +7 (8362) 45-13-48, +7 (8362) 42-18-52</t>
  </si>
  <si>
    <t>+7 (8362) 45-52-98</t>
  </si>
  <si>
    <t xml:space="preserve">minobr@mari-el.ru, skorr2@yandex.ru  </t>
  </si>
  <si>
    <t>http://edu.mari.ru/ou_respub/sh30</t>
  </si>
  <si>
    <t>47.897823 56.640394</t>
  </si>
  <si>
    <t>Жилищная инициатива плюс</t>
  </si>
  <si>
    <t>+7 (8362) 63-00-69</t>
  </si>
  <si>
    <t>+7 (902) 329-52-11, +7 (937) 932-11-62</t>
  </si>
  <si>
    <t xml:space="preserve">jilinic@mail.ru  </t>
  </si>
  <si>
    <t>http://jnk-iniciativa.ru/</t>
  </si>
  <si>
    <t>пн-чт 12:00–18:00; пт 12:00–16:00</t>
  </si>
  <si>
    <t>Двери M-DoorS</t>
  </si>
  <si>
    <t>+7 (8362) 31-03-20, +7 (8362) 45-86-01</t>
  </si>
  <si>
    <t xml:space="preserve">info@mysite.com  </t>
  </si>
  <si>
    <t>http://www.марийскиедвери.рф/, http://www.m-doors.com/</t>
  </si>
  <si>
    <t>Двери, Производственное предприятие, Стеклянные двери</t>
  </si>
  <si>
    <t>47.8522 56.62583</t>
  </si>
  <si>
    <t>Помогайка</t>
  </si>
  <si>
    <t>+7 (8362) 94-49-06</t>
  </si>
  <si>
    <t>47.842817 56.636392</t>
  </si>
  <si>
    <t>Monro</t>
  </si>
  <si>
    <t>ул. Лебедева, 37Б, Йошкар-Ола</t>
  </si>
  <si>
    <t>47.949547 56.622481</t>
  </si>
  <si>
    <t>Типография Стезя</t>
  </si>
  <si>
    <t>+7 (8362) 63-81-05, +7 (8362) 73-63-38, +7 (8362) 73-63-32</t>
  </si>
  <si>
    <t>+7 (8362) 63-81-06</t>
  </si>
  <si>
    <t>47.869782 56.62069</t>
  </si>
  <si>
    <t>Умелец 12</t>
  </si>
  <si>
    <t>ул. Менделеева, 30, Йошкар-Ола</t>
  </si>
  <si>
    <t>+7 (8362) 51-88-51</t>
  </si>
  <si>
    <t>Двери, Мебель на заказ, Окна</t>
  </si>
  <si>
    <t>47.906391 56.648989</t>
  </si>
  <si>
    <t>ИнвестГарант</t>
  </si>
  <si>
    <t>+7 (905) 008-55-21</t>
  </si>
  <si>
    <t>пн-чт 08:30–17:30, перерыв 13:00–14:00; пт 08:30–16:00, перерыв 13:00–14:00</t>
  </si>
  <si>
    <t>Терра</t>
  </si>
  <si>
    <t>+7 (8362) 58-13-24</t>
  </si>
  <si>
    <t>Пластмассовые и пластиковые изделия, Полимерные материалы</t>
  </si>
  <si>
    <t>47.831516 56.627929</t>
  </si>
  <si>
    <t>Аварийно-диспетчерский участок. Жэук Заречная</t>
  </si>
  <si>
    <t>ул. 8 Марта, 21А, Йошкар-Ола</t>
  </si>
  <si>
    <t>+7 (8362) 46-33-39</t>
  </si>
  <si>
    <t>пн-чт 17:00–08:00; пт 17:00–00:00; сб,вс круглосуточно</t>
  </si>
  <si>
    <t>47.950022 56.64157</t>
  </si>
  <si>
    <t>Алроникс – создание и продвижение сайтов</t>
  </si>
  <si>
    <t>+7 (8362) 32-00-12, +7 (8362) 32-00-60</t>
  </si>
  <si>
    <t xml:space="preserve">pismo@mail.ru, info@alronix.com  </t>
  </si>
  <si>
    <t>https://alronix.com/, https://alronix.com/company/, https://alronix.com/contacts/, https://alronix.com/service/, https://alronix.com/service/advertising/, https://alronix.com/service/internet_marketing/, https://alronix.com/service/internet_shop/, https://alronix.com/service/prodamus/, https://alronix.com/service/promotion/, https://alronix.com/service/sarafan/, https://alronix.com/service/sites/, https://alronix.com/service/support/</t>
  </si>
  <si>
    <t>Интернет-маркетинг, Программное обеспечение, Студия веб-дизайна</t>
  </si>
  <si>
    <t>https://vk.com/alronix</t>
  </si>
  <si>
    <t>https://www.facebook.com/alronix</t>
  </si>
  <si>
    <t>47.865012 56.642479</t>
  </si>
  <si>
    <t>Адамит</t>
  </si>
  <si>
    <t>+7 (927) 873-50-60</t>
  </si>
  <si>
    <t>47.829705 56.637315</t>
  </si>
  <si>
    <t>+7 (8362) 29-72-97, +7 (8362) 44-41-49</t>
  </si>
  <si>
    <t>47.924903 56.634552</t>
  </si>
  <si>
    <t>Азбука уюта</t>
  </si>
  <si>
    <t>Фестивальная ул., 58А, Йошкар-Ола</t>
  </si>
  <si>
    <t>+7 (8362) 65-50-65</t>
  </si>
  <si>
    <t>+7 (987) 710-01-00, +7 (927) 888-55-25</t>
  </si>
  <si>
    <t xml:space="preserve">inf@azbuka12.ru, director@azbuka12.ru  </t>
  </si>
  <si>
    <t>http://azbuka12.ru/</t>
  </si>
  <si>
    <t>Строительная компания, Строительная экспертиза и технадзор, Строительные и отделочные работы</t>
  </si>
  <si>
    <t>https://vk.com/styazhkayoshkarola</t>
  </si>
  <si>
    <t>https://www.instagram.com/oooazbuka12/</t>
  </si>
  <si>
    <t>47.834193 56.64785</t>
  </si>
  <si>
    <t>Заправка автокондиционеров</t>
  </si>
  <si>
    <t>ул. Волкова, 50, Йошкар-Ола</t>
  </si>
  <si>
    <t>+7 (8362) 71-37-12</t>
  </si>
  <si>
    <t>+7 (987) 710-92-21, +7 (927) 874-22-77</t>
  </si>
  <si>
    <t>Автокондиционеры, Автосервис, автотехцентр</t>
  </si>
  <si>
    <t>47.904244 56.647346</t>
  </si>
  <si>
    <t>Японский дворик</t>
  </si>
  <si>
    <t>ул. Зарубина, 49, Йошкар-Ола</t>
  </si>
  <si>
    <t>+7 (8362) 70-15-01</t>
  </si>
  <si>
    <t xml:space="preserve">support@loyaltyplant.com  </t>
  </si>
  <si>
    <t>http://referral.loyaltyplant.com/lp/sushibarinyan</t>
  </si>
  <si>
    <t>https://ok.ru/sushi12</t>
  </si>
  <si>
    <t>https://www.facebook.com/sushi701501</t>
  </si>
  <si>
    <t>https://www.instagram.com/sushi_dostavka_in_yan</t>
  </si>
  <si>
    <t>47.86671 56.638208</t>
  </si>
  <si>
    <t>Школа искусств Лира</t>
  </si>
  <si>
    <t>+7 (8362) 38-55-55</t>
  </si>
  <si>
    <t xml:space="preserve">mincult12@mail.ru, shilira@bk.ru, informsreda@yandex.ru  </t>
  </si>
  <si>
    <t>http://my18.ru/school/shkola-iskusstv-lira/shi, http://portal.mari.ru/mincult/Pages/dshi.aspx</t>
  </si>
  <si>
    <t>Дополнительное образование, Общеобразовательная школа, Школа искусств</t>
  </si>
  <si>
    <t>47.851221 56.631635</t>
  </si>
  <si>
    <t>Правовой центр</t>
  </si>
  <si>
    <t>+7 (917) 702-36-57, +7 (987) 700-38-22</t>
  </si>
  <si>
    <t>47.88023 56.626222</t>
  </si>
  <si>
    <t>Чаша</t>
  </si>
  <si>
    <t>+7 (8362) 56-67-88, +7 (8362) 45-14-51</t>
  </si>
  <si>
    <t xml:space="preserve">chasha-info@mail.ru, chashacentre@yandex.ru </t>
  </si>
  <si>
    <t>Дополнительное образование, Курсы иностранных языков, Обучение за рубежом, Учебный центр</t>
  </si>
  <si>
    <t>пн-сб 08:00–20:30</t>
  </si>
  <si>
    <t>https://vk.com/chasha_education</t>
  </si>
  <si>
    <t>АвтоСнабжение</t>
  </si>
  <si>
    <t>+7 (8362) 23-19-02, +7 (8362) 79-01-00, +7 (8362) 79-02-00, +7 (8362) 23-19-03, +7 (8362) 79-03-00</t>
  </si>
  <si>
    <t>+7 (8362) 23-19-01</t>
  </si>
  <si>
    <t>Автоаксессуары, Автокосметика, автохимия, Смазочные материалы</t>
  </si>
  <si>
    <t>47.866326 56.620909</t>
  </si>
  <si>
    <t>Окна Слайдорс</t>
  </si>
  <si>
    <t>+7 (902) 436-52-61, +7 (902) 738-86-30, +7 (917) 705-38-68</t>
  </si>
  <si>
    <t>+7 (8362) 30-42-15, +7 (8362) 56-44-22, +7 (8362) 38-30-12, +7 (8362) 56-44-44</t>
  </si>
  <si>
    <t>Двери, Лакокрасочные материалы, Магазин обоев, Облицовочные материалы, Строительный магазин</t>
  </si>
  <si>
    <t>пн-пт 08:00–19:00; сб 09:00–19:00; вс 09:00–18:00</t>
  </si>
  <si>
    <t>https://vk.com/tdsaiver</t>
  </si>
  <si>
    <t>47.923702 56.625844</t>
  </si>
  <si>
    <t>Терапевтическое отделение Республиканской клинической больницы</t>
  </si>
  <si>
    <t>Пролетарская ул., 60, Йошкар-Ола</t>
  </si>
  <si>
    <t>+7 (8362) 68-94-98, +7 (8362) 68-94-93, +7 (8362) 46-07-80</t>
  </si>
  <si>
    <t xml:space="preserve">rkb@med.cap.ru  </t>
  </si>
  <si>
    <t>http://rkb.med.cap.ru/</t>
  </si>
  <si>
    <t>ежедневно, 06:00–18:45</t>
  </si>
  <si>
    <t>47.8852 56.6484</t>
  </si>
  <si>
    <t>Напольные покрытия ЛаминатиК</t>
  </si>
  <si>
    <t>+7 (8362) 99-93-77, +7 (8362) 99-53-77</t>
  </si>
  <si>
    <t>Кровля и кровельные материалы, Ламинат, Напольные покрытия, Строительный магазин</t>
  </si>
  <si>
    <t>47.93652 56.637536</t>
  </si>
  <si>
    <t>Алко сервис</t>
  </si>
  <si>
    <t>ул. Яна Крастыня, 4, Йошкар-Ола</t>
  </si>
  <si>
    <t>+7 (8362) 30-75-25</t>
  </si>
  <si>
    <t>47.828287 56.633957</t>
  </si>
  <si>
    <t>Детский эколого-биологический центр</t>
  </si>
  <si>
    <t>ул. Карла Либкнехта, 64, Йошкар-Ола</t>
  </si>
  <si>
    <t>+7 (8362) 46-29-01</t>
  </si>
  <si>
    <t xml:space="preserve">marecolcenter@mail.ru  </t>
  </si>
  <si>
    <t>http://edu.mari.ru/ou_respub/sh28/</t>
  </si>
  <si>
    <t>47.950915 56.639755</t>
  </si>
  <si>
    <t>Луч-2009</t>
  </si>
  <si>
    <t>ул. Петрова, 23, Йошкар-Ола</t>
  </si>
  <si>
    <t>+7 (8362) 96-15-92, +7 (8362) 65-21-95</t>
  </si>
  <si>
    <t>47.921815 56.637897</t>
  </si>
  <si>
    <t>СтройТехника</t>
  </si>
  <si>
    <t>Металлоизделия, Строительная компания</t>
  </si>
  <si>
    <t>47.8776 56.6278</t>
  </si>
  <si>
    <t>Территориальный центр медицины катастроф</t>
  </si>
  <si>
    <t>ул. Ломоносова, 46А, Йошкар-Ола</t>
  </si>
  <si>
    <t>+7 (8362) 45-14-19, +7 (8362) 46-22-67, +7 (8362) 41-20-41</t>
  </si>
  <si>
    <t>http://l46a.polickliniki.ru/</t>
  </si>
  <si>
    <t>47.8846 56.6493</t>
  </si>
  <si>
    <t>ЯиК</t>
  </si>
  <si>
    <t>+7 (8362) 98-41-45</t>
  </si>
  <si>
    <t>47.832315 56.639753</t>
  </si>
  <si>
    <t>Капелька</t>
  </si>
  <si>
    <t>+7 (8362) 32-02-77</t>
  </si>
  <si>
    <t>+7 (927) 882-02-77, +7 (987) 701-85-54</t>
  </si>
  <si>
    <t>Услуги репетиторов, Центр развития ребенка</t>
  </si>
  <si>
    <t>пн-пт 09:00–20:00; сб 09:00–12:00</t>
  </si>
  <si>
    <t>47.828239 56.639287</t>
  </si>
  <si>
    <t>Детский сад № 20</t>
  </si>
  <si>
    <t>ул. Димитрова, 69, Йошкар-Ола</t>
  </si>
  <si>
    <t>+7 (8362) 46-67-40</t>
  </si>
  <si>
    <t xml:space="preserve">detsad20dyuymovochka@mail.ru, uoa-yoskar-ola@yandex.ru  </t>
  </si>
  <si>
    <t>http://edu.mari.ru/mouo-yoshkarola/dou20</t>
  </si>
  <si>
    <t>47.854312 56.64707</t>
  </si>
  <si>
    <t>ИП Терентьева М. А.</t>
  </si>
  <si>
    <t>+7 (927) 883-89-18, +7 (987) 729-00-68</t>
  </si>
  <si>
    <t>47.8901 56.6403</t>
  </si>
  <si>
    <t>Алмейда</t>
  </si>
  <si>
    <t>+7 (8362) 39-15-20</t>
  </si>
  <si>
    <t>Дизайн интерьеров, Сантехнические работы, Строительные и отделочные работы</t>
  </si>
  <si>
    <t>Оценочные услуги</t>
  </si>
  <si>
    <t>+7 (927) 681-29-36, +7 (902) 326-95-03</t>
  </si>
  <si>
    <t>Арсенал-СВ</t>
  </si>
  <si>
    <t>+7 (8362) 66-52-28</t>
  </si>
  <si>
    <t xml:space="preserve">arsenalme@mail.ru, info@arsenalsv.ru, ivanov@ivan.ru  </t>
  </si>
  <si>
    <t>http://arsenalsv.ru/</t>
  </si>
  <si>
    <t>Монтажные работы, Системы безопасности и охраны</t>
  </si>
  <si>
    <t>https://vk.com/arsenal_sv</t>
  </si>
  <si>
    <t>47.901383 56.645949</t>
  </si>
  <si>
    <t>Юшут</t>
  </si>
  <si>
    <t>+7 (8362) 77-75-55, +7 (8362) 75-58-55</t>
  </si>
  <si>
    <t>Дистенс</t>
  </si>
  <si>
    <t>+7 (8362) 99-07-37</t>
  </si>
  <si>
    <t>Илло-Аудит</t>
  </si>
  <si>
    <t>+7 (8362) 56-60-47</t>
  </si>
  <si>
    <t>+7 (964) 860-14-40, +7 (902) 326-44-98</t>
  </si>
  <si>
    <t xml:space="preserve">info@illoaudit.ru, illoaudit@mail.ru  </t>
  </si>
  <si>
    <t>http://www.illoaudit.ru/</t>
  </si>
  <si>
    <t>Аудиторская компания, Бизнес-консалтинг, Финансовый консалтинг</t>
  </si>
  <si>
    <t>Мир Инструментов</t>
  </si>
  <si>
    <t>+7 (8362) 30-42-12</t>
  </si>
  <si>
    <t>Электро- и бензоинструмент</t>
  </si>
  <si>
    <t>пн-пт 09:00–18:30; сб 09:00–17:00; вс 09:00–16:00</t>
  </si>
  <si>
    <t>47.924096 56.626</t>
  </si>
  <si>
    <t>+7 (8362) 52-70-00, +7 (8362) 33-77-16, +7 (8362) 33-77-14</t>
  </si>
  <si>
    <t>Республиканский психоневрологический диспансер</t>
  </si>
  <si>
    <t>ул. Прохорова, 27, Йошкар-Ола</t>
  </si>
  <si>
    <t>+7 (8362) 73-25-23, +7 (8362) 55-31-35, +7 (8362) 73-25-41</t>
  </si>
  <si>
    <t xml:space="preserve">rpnd@mari-el.ru, informsreda@yandex.ru  </t>
  </si>
  <si>
    <t>http://portal.mari.ru/minzdrav/rpd/pages/contacts.aspx</t>
  </si>
  <si>
    <t>47.841547 56.634911</t>
  </si>
  <si>
    <t>Чародеи</t>
  </si>
  <si>
    <t>+7 (8362) 42-57-43</t>
  </si>
  <si>
    <t>Визажисты, стилисты, Ногтевая студия, Салон красоты</t>
  </si>
  <si>
    <t>пн-пт 07:00–19:00; сб 07:00–14:00</t>
  </si>
  <si>
    <t>47.895542 56.640108</t>
  </si>
  <si>
    <t>Карнавал</t>
  </si>
  <si>
    <t>Ленинский просп., 47, Йошкар-Ола</t>
  </si>
  <si>
    <t>+7 (8362) 99-67-37, +7 (8362) 51-53-04</t>
  </si>
  <si>
    <t xml:space="preserve">nik-rys@mail.ru  </t>
  </si>
  <si>
    <t>http://karnaval12.ru/</t>
  </si>
  <si>
    <t>пн-пт 09:30–19:00, перерыв 14:00–14:30; сб,вс 09:30–18:00, перерыв 14:00–14:30</t>
  </si>
  <si>
    <t>https://vk.com/karnaval12ru</t>
  </si>
  <si>
    <t>https://www.instagram.com/karnaval_12/</t>
  </si>
  <si>
    <t>47.877511 56.632839</t>
  </si>
  <si>
    <t>Праздничные штучки</t>
  </si>
  <si>
    <t>ул. Йывана Кырли, 21Б, Йошкар-Ола</t>
  </si>
  <si>
    <t>+7 (961) 377-80-78</t>
  </si>
  <si>
    <t xml:space="preserve">info@seventhday.ru </t>
  </si>
  <si>
    <t>Магазин подарков и сувениров, Товары для праздника, Фейерверки и пиротехника</t>
  </si>
  <si>
    <t>пн-сб 09:00–19:00; вс 09:00–18:00</t>
  </si>
  <si>
    <t>https://vk.com/ulybki_yola</t>
  </si>
  <si>
    <t>https://ok.ru/ulybki.magazin</t>
  </si>
  <si>
    <t>47.83605 56.641445</t>
  </si>
  <si>
    <t>Общежитие № 6 МарГУ</t>
  </si>
  <si>
    <t>Кремлёвская ул., 40, Йошкар-Ола</t>
  </si>
  <si>
    <t>+7 (8362) 45-55-60</t>
  </si>
  <si>
    <t>47.88351 56.641068</t>
  </si>
  <si>
    <t>Велесов Дом</t>
  </si>
  <si>
    <t>ул. Мичурина, 45, Йошкар-Ола</t>
  </si>
  <si>
    <t>+7 (8362) 93-96-96</t>
  </si>
  <si>
    <t>+7 (917) 719-96-96</t>
  </si>
  <si>
    <t>пн-пт 09:30–17:30</t>
  </si>
  <si>
    <t>47.939556 56.63405</t>
  </si>
  <si>
    <t>Консультации психолога</t>
  </si>
  <si>
    <t>+7 (8362) 79-13-73</t>
  </si>
  <si>
    <t>пн-пт 10:00–19:00, перерыв 14:00–15:00</t>
  </si>
  <si>
    <t>+7 (8362) 78-81-34</t>
  </si>
  <si>
    <t>+7 (902) 738-81-34</t>
  </si>
  <si>
    <t>пн 08:00–19:00; вт-пт 07:00–19:00; сб 07:00–14:00</t>
  </si>
  <si>
    <t>47.889367 56.642355</t>
  </si>
  <si>
    <t>Сход-Развал</t>
  </si>
  <si>
    <t>+7 (8362) 34-69-60</t>
  </si>
  <si>
    <t>Купидон</t>
  </si>
  <si>
    <t>+7 (8362) 51-13-39</t>
  </si>
  <si>
    <t>Видеосъемка, Праздничное агентство, Фотоуслуги</t>
  </si>
  <si>
    <t>Служба заказа легкового транспорта</t>
  </si>
  <si>
    <t>+7 (8362) 44-12-34</t>
  </si>
  <si>
    <t>Конкурент</t>
  </si>
  <si>
    <t>ул. Тукая, 2, Йошкар-Ола</t>
  </si>
  <si>
    <t>47.961296 56.61348</t>
  </si>
  <si>
    <t>Центр автоматизации и информационной безопасности</t>
  </si>
  <si>
    <t>+7 (8362) 66-02-57</t>
  </si>
  <si>
    <t>Автовокзал</t>
  </si>
  <si>
    <t>+7 (8362) 45-03-05, +7 (8362) 45-12-73, +7 (8362) 45-14-05</t>
  </si>
  <si>
    <t>+7 (8362) 56-57-37</t>
  </si>
  <si>
    <t xml:space="preserve">info@avtovokzal12.ru, avtovokzal-mariel@yandex.ru, buh@avtovokzal12.ru, avtobuh12@yandex.ru, expl@avtovokzal12.ru </t>
  </si>
  <si>
    <t>https://buspay.ru/</t>
  </si>
  <si>
    <t>Автовокзал, автостанция</t>
  </si>
  <si>
    <t>ежедневно, 06:00–19:00</t>
  </si>
  <si>
    <t>47.883029 56.62034</t>
  </si>
  <si>
    <t>Доктор+</t>
  </si>
  <si>
    <t>+7 (8362) 54-47-47, +7 (8362) 54-60-60</t>
  </si>
  <si>
    <t xml:space="preserve">doctorplus12@mail.ru  </t>
  </si>
  <si>
    <t>http://doctorplus12.ru/</t>
  </si>
  <si>
    <t>http://vk.com/club80737221</t>
  </si>
  <si>
    <t>47.8298 56.636657</t>
  </si>
  <si>
    <t>Золотая восьмерка</t>
  </si>
  <si>
    <t>+7 (8362) 99-44-99, +7 (8362) 52-42-59</t>
  </si>
  <si>
    <t>47.9043 56.6408</t>
  </si>
  <si>
    <t>ул. Карла Либкнехта, 69А, Йошкар-Ола</t>
  </si>
  <si>
    <t>+7 (8362) 23-09-93</t>
  </si>
  <si>
    <t>47.941137 56.631283</t>
  </si>
  <si>
    <t>Автошкола Марийского Политехнического техникума</t>
  </si>
  <si>
    <t>+7 (8362) 34-44-78, +7 (8362) 73-01-34, +7 (8362) 73-04-72, +7 (8362) 73-04-71</t>
  </si>
  <si>
    <t>+7 (937) 118-44-77, +7 (929) 734-44-78</t>
  </si>
  <si>
    <t>Автошкола, Центр повышения квалификации</t>
  </si>
  <si>
    <t>https://vk.com/avtoschool12</t>
  </si>
  <si>
    <t>47.842002 56.632728</t>
  </si>
  <si>
    <t>Радма</t>
  </si>
  <si>
    <t>+7 (8362) 99-17-99, +7 (8362) 21-30-15</t>
  </si>
  <si>
    <t>+7 (961) 377-70-67</t>
  </si>
  <si>
    <t>47.887975 56.61241</t>
  </si>
  <si>
    <t>Бампер</t>
  </si>
  <si>
    <t>+7 (964) 862-59-59</t>
  </si>
  <si>
    <t>Идеальная Кровля</t>
  </si>
  <si>
    <t>+7 (8362) 42-23-41, +7 (8362) 41-55-55, +7 (8362) 41-88-88</t>
  </si>
  <si>
    <t>+7 (917) 719-22-22, +7 (917) 719-44-44, +7 (917) 719-88-88</t>
  </si>
  <si>
    <t>+7 (8362) 42-23-41</t>
  </si>
  <si>
    <t xml:space="preserve">ik_21rus@mail.ru, ik_12rus@mail.ru </t>
  </si>
  <si>
    <t>https://идеальнаякровля.рф/, http://idealnayakrovlya.ru/</t>
  </si>
  <si>
    <t>Кровля и кровельные материалы, Пиломатериалы, Строительная компания</t>
  </si>
  <si>
    <t>Детский сад № 9 Росинка</t>
  </si>
  <si>
    <t>ул. Строителей, 29А, Йошкар-Ола</t>
  </si>
  <si>
    <t>+7 (8362) 73-02-41</t>
  </si>
  <si>
    <t xml:space="preserve">detsadrosinka@yandex.ru, uoa-yoshkar-ola@yandex.ru  </t>
  </si>
  <si>
    <t>http://edu.mari.ru/mouo-yoshkarola/dou9</t>
  </si>
  <si>
    <t>47.843354 56.63204</t>
  </si>
  <si>
    <t>Управление ИТ-Сервисами</t>
  </si>
  <si>
    <t>8 (800) 555-48-45</t>
  </si>
  <si>
    <t>IT-компания, Интернет-провайдер, Устройство сетей</t>
  </si>
  <si>
    <t>Окна севера</t>
  </si>
  <si>
    <t xml:space="preserve">oknasever@gmail.com </t>
  </si>
  <si>
    <t>http://oknasever12.ru/11.php</t>
  </si>
  <si>
    <t>Окна, Остекление балконов и лоджий</t>
  </si>
  <si>
    <t>47.926037 56.635106</t>
  </si>
  <si>
    <t>Ирландский паб Дублин</t>
  </si>
  <si>
    <t>+7 (8362) 92-21-22</t>
  </si>
  <si>
    <t>Бар, паб</t>
  </si>
  <si>
    <t>http://vk.com/dublin1</t>
  </si>
  <si>
    <t>47.926469 56.635273</t>
  </si>
  <si>
    <t>+7 (8362) 42-88-99, +7 (8362) 41-64-10</t>
  </si>
  <si>
    <t>47.8988 56.6371</t>
  </si>
  <si>
    <t>Стройпласт</t>
  </si>
  <si>
    <t>+7 (8362) 45-21-14, +7 (8362) 65-10-00</t>
  </si>
  <si>
    <t xml:space="preserve">counter@corp.liveinternet.ru  </t>
  </si>
  <si>
    <t>http://www.panelki.ru/</t>
  </si>
  <si>
    <t>+7 (8362) 73-12-87</t>
  </si>
  <si>
    <t>Милдом</t>
  </si>
  <si>
    <t>+7 (8362) 48-60-30</t>
  </si>
  <si>
    <t>+7 (967) 758-60-30, +7 (967) 758-60-70</t>
  </si>
  <si>
    <t>http://mildom12.tiu.ru/</t>
  </si>
  <si>
    <t>СМ-Системс</t>
  </si>
  <si>
    <t>+7 (8362) 33-50-60</t>
  </si>
  <si>
    <t>+7 (917) 701-96-14</t>
  </si>
  <si>
    <t xml:space="preserve">avtotech@mail.ru  </t>
  </si>
  <si>
    <t>http://sm-systems.ru/</t>
  </si>
  <si>
    <t>Автоматизация производств, Электронные приборы и компоненты, Электротехническая продукция</t>
  </si>
  <si>
    <t>ЛогоТекс</t>
  </si>
  <si>
    <t>+7 (917) 704-06-09</t>
  </si>
  <si>
    <t>Изготовление и оптовая продажа сувениров, Полиграфические услуги, Рекламная продукция, Услуги вышивки</t>
  </si>
  <si>
    <t>Управление специального строительства № 4</t>
  </si>
  <si>
    <t>+7 (8362) 40-18-00</t>
  </si>
  <si>
    <t>+7 (902) 103-27-52</t>
  </si>
  <si>
    <t>Представитель Avon Иванова В.А. в г. Йошкар-Ола</t>
  </si>
  <si>
    <t>+7 (917) 707-54-77</t>
  </si>
  <si>
    <t>http://myavongroup.com/</t>
  </si>
  <si>
    <t>Магазин парфюмерии и косметики, Офис продаж, Парфюмерно-косметическая компания</t>
  </si>
  <si>
    <t>Центральная детская библиотека</t>
  </si>
  <si>
    <t>+7 (8362) 21-02-61</t>
  </si>
  <si>
    <t>http://www.olalib.ru/</t>
  </si>
  <si>
    <t>пн-пт 10:00–18:00; вс 10:00–16:00</t>
  </si>
  <si>
    <t>47.927141 56.63491</t>
  </si>
  <si>
    <t>Сан Марино</t>
  </si>
  <si>
    <t>47.892528 56.638115</t>
  </si>
  <si>
    <t>Вторчермет</t>
  </si>
  <si>
    <t>8 (800) 777-53-66</t>
  </si>
  <si>
    <t xml:space="preserve">doverie@gk-meta.ru </t>
  </si>
  <si>
    <t>http://www.gk-meta.ru/</t>
  </si>
  <si>
    <t>Прием вторсырья, Черная металлургия</t>
  </si>
  <si>
    <t>Часовня Иверской иконы Божией Матери при Республиканской детской больнице</t>
  </si>
  <si>
    <t>Медицинская ул., 10А, Йошкар-Ола</t>
  </si>
  <si>
    <t>47.965631 56.639577</t>
  </si>
  <si>
    <t>Посейдон</t>
  </si>
  <si>
    <t>+7 (8362) 76-46-46</t>
  </si>
  <si>
    <t>http://vk.com/poseidon2</t>
  </si>
  <si>
    <t>47.933235 56.624329</t>
  </si>
  <si>
    <t>Шашлычная поляна</t>
  </si>
  <si>
    <t>ул. Мира, 2Г, Йошкар-Ола</t>
  </si>
  <si>
    <t>+7 (964) 864-07-00</t>
  </si>
  <si>
    <t>пн-чт 15:00–23:00; пт 15:00–01:00; сб 13:00–01:00; вс 13:00–23:00</t>
  </si>
  <si>
    <t>http://vk.com/kafe.polyana</t>
  </si>
  <si>
    <t>47.952077 56.629494</t>
  </si>
  <si>
    <t>+7 (8362) 72-22-27, +7 (8362) 72-02-14</t>
  </si>
  <si>
    <t>Коммунальная служба, Управляющая компания</t>
  </si>
  <si>
    <t>47.874659 56.638352</t>
  </si>
  <si>
    <t>НП-Тур</t>
  </si>
  <si>
    <t>+7 (8362) 55-36-61</t>
  </si>
  <si>
    <t>+7 (987) 721-20-20</t>
  </si>
  <si>
    <t>Верона</t>
  </si>
  <si>
    <t>+7 (8362) 64-03-21, +7 (8362) 50-48-53</t>
  </si>
  <si>
    <t>47.820541 56.629917</t>
  </si>
  <si>
    <t>Школа № 30</t>
  </si>
  <si>
    <t>ул. Подольских Курсантов, 8Б, Йошкар-Ола</t>
  </si>
  <si>
    <t>+7 (8362) 41-88-51, +7 (8362) 41-85-21, +7 (8362) 41-99-41, +7 (8362) 41-89-01, +7 (8362) 41-87-50, +7 (8362) 41-82-90</t>
  </si>
  <si>
    <t xml:space="preserve">rzsppn@yandex.ru  </t>
  </si>
  <si>
    <t>http://rme30school.ru/</t>
  </si>
  <si>
    <t>https://www.facebook.com/School30YoskarOla</t>
  </si>
  <si>
    <t>47.869503 56.652259</t>
  </si>
  <si>
    <t>Русские пироги</t>
  </si>
  <si>
    <t>+7 (8362) 63-50-50, +7 (8362) 29-29-99</t>
  </si>
  <si>
    <t>Доставка еды и обедов, Магазин кулинарии, Магазин продуктов</t>
  </si>
  <si>
    <t>47.830423 56.632187</t>
  </si>
  <si>
    <t>Столичный № 11</t>
  </si>
  <si>
    <t>ул. Подольских Курсантов, 2А, Йошкар-Ола</t>
  </si>
  <si>
    <t>+7 (8362) 41-99-15</t>
  </si>
  <si>
    <t>47.873063 56.650833</t>
  </si>
  <si>
    <t>ЭкспертЦентр-12</t>
  </si>
  <si>
    <t>+7 (8362) 35-83-71</t>
  </si>
  <si>
    <t>+7 (903) 326-66-70</t>
  </si>
  <si>
    <t>Шафран</t>
  </si>
  <si>
    <t>+7 (8362) 95-66-95</t>
  </si>
  <si>
    <t>+7 (917) 710-96-06, +7 (927) 684-01-42</t>
  </si>
  <si>
    <t>пн-пт 17:30–20:30</t>
  </si>
  <si>
    <t>47.869316 56.640085</t>
  </si>
  <si>
    <t>Комплект Навигатор</t>
  </si>
  <si>
    <t>ул. Строителей, 56А, корп. 1, Йошкар-Ола</t>
  </si>
  <si>
    <t>+7 (963) 126-61-17</t>
  </si>
  <si>
    <t xml:space="preserve">sale@tkkn.ru  </t>
  </si>
  <si>
    <t>http://tkkn.ru/</t>
  </si>
  <si>
    <t>Окна, Строительный магазин, Стройматериалы оптом</t>
  </si>
  <si>
    <t>47.837885 56.630134</t>
  </si>
  <si>
    <t>Театр развлечений</t>
  </si>
  <si>
    <t>+7 (8362) 99-09-84</t>
  </si>
  <si>
    <t>Организация и проведение детских праздников</t>
  </si>
  <si>
    <t>Nuestro Fotografo</t>
  </si>
  <si>
    <t>ул. Подольских Курсантов, 6, Йошкар-Ола</t>
  </si>
  <si>
    <t>+7 (987) 710-47-02</t>
  </si>
  <si>
    <t>47.871015 56.651502</t>
  </si>
  <si>
    <t>Работа Сейчас</t>
  </si>
  <si>
    <t>Советская ул., 106А, Йошкар-Ола</t>
  </si>
  <si>
    <t>+7 (8362) 45-24-59, +7 (8362) 64-14-70, +7 (8362) 45-33-26, +7 (8362) 38-66-84</t>
  </si>
  <si>
    <t xml:space="preserve">021a400d5c554c00a0b92ac575ff4768@sentry.hh.ru </t>
  </si>
  <si>
    <t>47.897841 56.636924</t>
  </si>
  <si>
    <t>ПРМ Сфера</t>
  </si>
  <si>
    <t>ул. Панфилова, 33Б, Йошкар-Ола</t>
  </si>
  <si>
    <t>+7 (8362) 42-49-46</t>
  </si>
  <si>
    <t>Банковское оборудование, Металлическая мебель, Сейфы, Стеллажи</t>
  </si>
  <si>
    <t>+7 (927) 882-31-46</t>
  </si>
  <si>
    <t>Канцтовары оптом, Магазин подарков и сувениров</t>
  </si>
  <si>
    <t>47.88673 56.633185</t>
  </si>
  <si>
    <t>Чистый город</t>
  </si>
  <si>
    <t>+7 (8362) 31-28-28, +7 (8362) 73-44-91, +7 (8362) 31-24-24, +7 (8362) 60-00-72, +7 (8362) 73-05-01, +7 (8362) 60-00-73, +7 (8362) 55-25-59</t>
  </si>
  <si>
    <t xml:space="preserve">infotko12@mail.ru, tko_vol@mail.ru, tko_vol_r@mail.ru, tko.kilem@mail.ru, orshanka10@mail.ru  </t>
  </si>
  <si>
    <t>http://tbo12.ru/</t>
  </si>
  <si>
    <t>47.8402 56.6211</t>
  </si>
  <si>
    <t>НБД-Банк, отделения</t>
  </si>
  <si>
    <t>Комсомольская ул., 120, Йошкар-Ола</t>
  </si>
  <si>
    <t>+7 (8362) 23-17-43</t>
  </si>
  <si>
    <t xml:space="preserve">info@nbdbank.ru, mybusiness52@yandex.ru  </t>
  </si>
  <si>
    <t>http://nbdbank.ru/</t>
  </si>
  <si>
    <t>47.893452 56.637133</t>
  </si>
  <si>
    <t>Строй-Ремонт № 1</t>
  </si>
  <si>
    <t>Метма-Мебель</t>
  </si>
  <si>
    <t>+7 (8362) 73-62-32, +7 (8362) 55-12-00</t>
  </si>
  <si>
    <t xml:space="preserve">mebel-kuhni@jv-udobno.ru, mebel-shkaf@jv-udobno.ru, mebel-other@jv-udobno.ru, mebel-office@jv-udobno.ru, torg-equip@jv-udobno.ru  </t>
  </si>
  <si>
    <t>http://jv-udobno.ru/</t>
  </si>
  <si>
    <t>Мебель на заказ, Натяжные и подвесные потолки, Торговое оборудование</t>
  </si>
  <si>
    <t>https://vk.com/metma_mebel</t>
  </si>
  <si>
    <t>Центр Железнодорожных перевозок</t>
  </si>
  <si>
    <t>+7 (8362) 38-03-33, +7 (8362) 48-03-33</t>
  </si>
  <si>
    <t>+7 (8362) 38-03-33</t>
  </si>
  <si>
    <t xml:space="preserve">cjdp@mail.ru  </t>
  </si>
  <si>
    <t>http://cjdp.ru/</t>
  </si>
  <si>
    <t>Железнодорожные грузоперевозки</t>
  </si>
  <si>
    <t>47.869906 56.627205</t>
  </si>
  <si>
    <t>ТСЖ Чехова12</t>
  </si>
  <si>
    <t>+7 (8362) 97-65-39</t>
  </si>
  <si>
    <t>Дин</t>
  </si>
  <si>
    <t>47.879772 56.633251</t>
  </si>
  <si>
    <t>Порошковая покраска</t>
  </si>
  <si>
    <t>ул. Воинов-Интернационалистов, 15, Йошкар-Ола</t>
  </si>
  <si>
    <t>Служба грузоперевозок</t>
  </si>
  <si>
    <t>+7 (8362) 30-56-00, +7 (8362) 30-59-59</t>
  </si>
  <si>
    <t>Аренда строительной и спецтехники</t>
  </si>
  <si>
    <t>+7 (937) 115-03-53</t>
  </si>
  <si>
    <t xml:space="preserve">client@masterok12.ru, none@none.ru </t>
  </si>
  <si>
    <t>Фарбэ</t>
  </si>
  <si>
    <t>+7 (903) 358-47-97</t>
  </si>
  <si>
    <t>47.897875 56.615471</t>
  </si>
  <si>
    <t>Лукойл</t>
  </si>
  <si>
    <t>ул. Кирова, 2А, Йошкар-Ола</t>
  </si>
  <si>
    <t>8 (800) 100-09-11, +7 (8362) 56-00-00</t>
  </si>
  <si>
    <t xml:space="preserve">media@lukoil.com, hotline@lukoil.com  </t>
  </si>
  <si>
    <t>http://www.lukoil.ru/, https://auto.lukoil.ru/ru/ProductsAndServices/PetrolStation?id=134176u0026type=gasStation, https://auto.lukoil.ru/ru/ProductsAndServices/PetrolStation?id=1695u0026type=gasStation</t>
  </si>
  <si>
    <t>https://vk.com/lukoil</t>
  </si>
  <si>
    <t>https://twitter.com/lukoilrus</t>
  </si>
  <si>
    <t>https://www.facebook.com/LUKOIL</t>
  </si>
  <si>
    <t>http://youtube.com/channel/UCRPxlzzipJ51zcGhfL7rErg</t>
  </si>
  <si>
    <t>https://www.instagram.com/lukoil</t>
  </si>
  <si>
    <t>47.928101 56.627679</t>
  </si>
  <si>
    <t>Лазерная резка и гравировка, Полиграфические услуги, Широкоформатная печать</t>
  </si>
  <si>
    <t>47.892741 56.638753</t>
  </si>
  <si>
    <t>Мебельная фурнитура</t>
  </si>
  <si>
    <t>+7 (8362) 98-88-10</t>
  </si>
  <si>
    <t>+7 (902) 358-88-10</t>
  </si>
  <si>
    <t xml:space="preserve">mf12.ru@yandex.ru  </t>
  </si>
  <si>
    <t>http://meb-fur.ru/</t>
  </si>
  <si>
    <t>https://www.instagram.com/mebfur12</t>
  </si>
  <si>
    <t>47.901673 56.639644</t>
  </si>
  <si>
    <t>Квадр</t>
  </si>
  <si>
    <t>+7 (8362) 96-01-15</t>
  </si>
  <si>
    <t>http://kvadr-12.tiu.ru/</t>
  </si>
  <si>
    <t>Фиеста</t>
  </si>
  <si>
    <t>Магазин одежды, Магазин подарков и сувениров, Оптовый магазин</t>
  </si>
  <si>
    <t>Поликлиника № 1</t>
  </si>
  <si>
    <t>+7 (8362) 21-58-26, +7 (8362) 21-58-05</t>
  </si>
  <si>
    <t>Женская консультация, Поликлиника для взрослых</t>
  </si>
  <si>
    <t>47.90666 56.628845</t>
  </si>
  <si>
    <t>Диван Диваныч</t>
  </si>
  <si>
    <t>+7 (902) 438-05-98</t>
  </si>
  <si>
    <t>Корпусная мебель, Магазин мебели, Мебель на заказ, Мягкая мебель</t>
  </si>
  <si>
    <t>Отличник</t>
  </si>
  <si>
    <t>Заводской пер., 3А, Йошкар-Ола</t>
  </si>
  <si>
    <t>+7 (8362) 94-88-77</t>
  </si>
  <si>
    <t xml:space="preserve">slava-add@list.ru  </t>
  </si>
  <si>
    <t>http://vk.com/oknaanko</t>
  </si>
  <si>
    <t>47.874581 56.638798</t>
  </si>
  <si>
    <t>AutoHaus12</t>
  </si>
  <si>
    <t>+7 (937) 938-12-12</t>
  </si>
  <si>
    <t>47.87176 56.635971</t>
  </si>
  <si>
    <t>Парадиз</t>
  </si>
  <si>
    <t>+7 (8362) 93-63-13</t>
  </si>
  <si>
    <t>пн-сб 08:00–20:00; вс 08:00–18:00</t>
  </si>
  <si>
    <t>https://vk.com/club21377107</t>
  </si>
  <si>
    <t>47.918005 56.627543</t>
  </si>
  <si>
    <t>Услуги спецавтотехники</t>
  </si>
  <si>
    <t>47.952025 56.622672</t>
  </si>
  <si>
    <t>ГеоИз 2</t>
  </si>
  <si>
    <t>+7 (8362) 20-44-44, +7 (8362) 37-20-00, +7 (8362) 78-00-00, +7 (8362) 91-02-22, +7 (8362) 91-94-44</t>
  </si>
  <si>
    <t>http://кадастр12.рф/</t>
  </si>
  <si>
    <t>Кадастровые работы</t>
  </si>
  <si>
    <t>https://vk.com/geoiz2</t>
  </si>
  <si>
    <t>https://www.instagram.com/geoiz_2</t>
  </si>
  <si>
    <t>47.888248 56.630625</t>
  </si>
  <si>
    <t>Галерея эль Артэ</t>
  </si>
  <si>
    <t>+7 (960) 095-56-66</t>
  </si>
  <si>
    <t>Полиграфические услуги, Фотомагазин, Фотоуслуги</t>
  </si>
  <si>
    <t>My studio</t>
  </si>
  <si>
    <t>+7 (8362) 32-34-83, +7 (8362) 32-33-84</t>
  </si>
  <si>
    <t>пн-пт 10:00–21:00; сб 10:00–18:00</t>
  </si>
  <si>
    <t>47.939499 56.622713</t>
  </si>
  <si>
    <t>Таир</t>
  </si>
  <si>
    <t>+7 (8362) 56-65-56, +7 (83645) 6-66-32, +7 (8362) 56-60-22</t>
  </si>
  <si>
    <t xml:space="preserve">tair-dooc@mail.ru  </t>
  </si>
  <si>
    <t>http://www.tair-leto.ru/</t>
  </si>
  <si>
    <t>Детский лагерь отдыха, Санаторий</t>
  </si>
  <si>
    <t>Свадебный фотограф Сергей Гвоздь</t>
  </si>
  <si>
    <t>+7 (8362) 51-85-05</t>
  </si>
  <si>
    <t>+7 (927) 680-00-39</t>
  </si>
  <si>
    <t>ЛоГард</t>
  </si>
  <si>
    <t>+7 (8362) 77-46-46</t>
  </si>
  <si>
    <t>+7 (902) 739-46-46</t>
  </si>
  <si>
    <t>Форвард</t>
  </si>
  <si>
    <t>+7 (8362) 32-74-75</t>
  </si>
  <si>
    <t>+7 (987) 721-11-09</t>
  </si>
  <si>
    <t>Строительный магазин, Товары для дома</t>
  </si>
  <si>
    <t>Бухгалтерский центр</t>
  </si>
  <si>
    <t>+7 (902) 466-55-70, +7 (902) 101-35-34</t>
  </si>
  <si>
    <t>https://bukhuslugi.000webhostapp.com/, http://bukhuslugi.tilda.ws/</t>
  </si>
  <si>
    <t>Плюс</t>
  </si>
  <si>
    <t>+7 (8362) 45-78-78, +7 (8362) 73-01-00</t>
  </si>
  <si>
    <t>пн-пт 08:00–17:00; сб,вс 09:00–14:00</t>
  </si>
  <si>
    <t>Русагро</t>
  </si>
  <si>
    <t>ул. Луначарского, 30, Йошкар-Ола</t>
  </si>
  <si>
    <t>+7 (8362) 55-45-05, +7 (8362) 74-20-34, +7 (8362) 74-20-31, +7 (8362) 74-18-50</t>
  </si>
  <si>
    <t>+7 (8362) 74-18-50</t>
  </si>
  <si>
    <t>Контур</t>
  </si>
  <si>
    <t>+7 (8362) 42-21-80</t>
  </si>
  <si>
    <t>http://ops12.ru/</t>
  </si>
  <si>
    <t>Информационная безопасность, Пожарное оборудование, Системы безопасности и охраны</t>
  </si>
  <si>
    <t>Учебный центр Профессионал</t>
  </si>
  <si>
    <t>+7 (8362) 41-10-88</t>
  </si>
  <si>
    <t xml:space="preserve">marisvar13@mail.ru  </t>
  </si>
  <si>
    <t>http://marisvar.ru/</t>
  </si>
  <si>
    <t>Учебный центр, Центр повышения квалификации</t>
  </si>
  <si>
    <t>ArtPrint</t>
  </si>
  <si>
    <t>+7 (8362) 35-50-40</t>
  </si>
  <si>
    <t>Общежитие МарГУ № 8</t>
  </si>
  <si>
    <t>Советская ул., 123, Йошкар-Ола</t>
  </si>
  <si>
    <t>+7 (8362) 45-11-34</t>
  </si>
  <si>
    <t>47.898438 56.635949</t>
  </si>
  <si>
    <t>Атторней</t>
  </si>
  <si>
    <t>+7 (8362) 65-66-80, +7 (8362) 45-00-43</t>
  </si>
  <si>
    <t>+7 (8362) 45-00-43</t>
  </si>
  <si>
    <t>+7 (8362) 32-04-66</t>
  </si>
  <si>
    <t>+7 (937) 114-52-72, +7 (937) 931-25-51</t>
  </si>
  <si>
    <t>47.847605 56.637417</t>
  </si>
  <si>
    <t>Двери Ампир</t>
  </si>
  <si>
    <t>+7 (8362) 64-16-91</t>
  </si>
  <si>
    <t>+7 (905) 008-96-87</t>
  </si>
  <si>
    <t>Деревообрабатывающее предприятие, Лесозаготовка, продажа леса, Строительный магазин</t>
  </si>
  <si>
    <t>УК Наш город</t>
  </si>
  <si>
    <t>+7 (8362) 36-75-75, +7 (8362) 36-70-20, +7 (8362) 36-70-10, +7 (8362) 36-70-50</t>
  </si>
  <si>
    <t>пн 08:00–17:00, перерыв 12:00–13:00; вт 14:00–17:00; ср 08:00–17:00, перерыв 12:00–13:00; пт 14:00–17:00</t>
  </si>
  <si>
    <t>ул. Гомзово, 111, Йошкар-Ола</t>
  </si>
  <si>
    <t>47.864843 56.646331</t>
  </si>
  <si>
    <t>Учебно-курсовой комбинат жилищно-коммунального хозяйства</t>
  </si>
  <si>
    <t>+7 (8362) 42-52-01, +7 (8362) 42-34-68</t>
  </si>
  <si>
    <t xml:space="preserve">ukkgkh@mari-el.ru, informsreda@yandex.ru  </t>
  </si>
  <si>
    <t>http://mari-el.gov.ru/minstroy/ukk_zhkh, http://mari-el.gov.ru/</t>
  </si>
  <si>
    <t>Дополнительное образование, Учебный комбинат, Центр повышения квалификации</t>
  </si>
  <si>
    <t>47.878572 56.636662</t>
  </si>
  <si>
    <t>Максимум</t>
  </si>
  <si>
    <t>+7 (8362) 44-45-54</t>
  </si>
  <si>
    <t xml:space="preserve">maximum12@bk.ru  </t>
  </si>
  <si>
    <t>http://maximum12.ru/</t>
  </si>
  <si>
    <t>пн-пт 08:30–18:00; сб 10:00–14:00</t>
  </si>
  <si>
    <t>http://vk.com/club16371943</t>
  </si>
  <si>
    <t>47.862393 56.639703</t>
  </si>
  <si>
    <t>+7 (8362) 93-68-55</t>
  </si>
  <si>
    <t>47.863178 56.649474</t>
  </si>
  <si>
    <t>+7 (8362) 28-98-66, +7 (8362) 78-39-32</t>
  </si>
  <si>
    <t>СоциоМаркет</t>
  </si>
  <si>
    <t>Пролетарская ул., 28, Йошкар-Ола</t>
  </si>
  <si>
    <t>+7 (8362) 98-17-30, +7 (8362) 39-32-80</t>
  </si>
  <si>
    <t xml:space="preserve">8b4e078a51d04e0e9efdf470027f0ec1@sentry.wixpress.com, sociom@inbox.ru  </t>
  </si>
  <si>
    <t>http://www.sociomar.com/</t>
  </si>
  <si>
    <t>Маркетинговые услуги, Социологические исследования</t>
  </si>
  <si>
    <t>https://www.facebook.com/sociomarket.yola/?ref=ts</t>
  </si>
  <si>
    <t>47.89429 56.645509</t>
  </si>
  <si>
    <t>+7 (902) 672-25-20</t>
  </si>
  <si>
    <t>Лёвушка</t>
  </si>
  <si>
    <t>Красноармейская ул., 122, Йошкар-Ола</t>
  </si>
  <si>
    <t>+7 (927) 887-92-07</t>
  </si>
  <si>
    <t>47.851081 56.643168</t>
  </si>
  <si>
    <t>Мебель Проект</t>
  </si>
  <si>
    <t>+7 (8362) 32-33-09, +7 (8362) 37-46-09, +7 (8362) 65-54-46</t>
  </si>
  <si>
    <t>+7 (902) 433-46-09, +7 (927) 882-33-09</t>
  </si>
  <si>
    <t xml:space="preserve">salonroman@yandex.ru  </t>
  </si>
  <si>
    <t>http://salonroman.narod2.ru/</t>
  </si>
  <si>
    <t>Корпусная мебель, Магазин мебели, Мебель для кухни, Шкафы-купе</t>
  </si>
  <si>
    <t>https://vk.com/mebel.proekt</t>
  </si>
  <si>
    <t>Tile</t>
  </si>
  <si>
    <t>ул. Эшкинина, 15, Йошкар-Ола</t>
  </si>
  <si>
    <t>+7 (964) 981-00-00</t>
  </si>
  <si>
    <t xml:space="preserve">glazovskiy@technotile.ru, it@technotile.ru, glazovskiy.a@gmail.com  </t>
  </si>
  <si>
    <t>http://technotile-shop.ru/</t>
  </si>
  <si>
    <t>Интернет-магазин, Строительный магазин, Стройматериалы оптом</t>
  </si>
  <si>
    <t>Росгосстрах</t>
  </si>
  <si>
    <t>ул. Волкова, 103Б, Йошкар-Ола</t>
  </si>
  <si>
    <t>8 (800) 200-09-00, 8 (800) 700-99-77, +7 (8362) 68-93-03, +7 (8362) 42-15-17, +7 (8362) 68-93-42</t>
  </si>
  <si>
    <t xml:space="preserve">consult@rgsbank.ru, ivanivanov@mail.ru  </t>
  </si>
  <si>
    <t>http://www.rgs.ru/, http://www.rgs.ru/contacts/office.wbp?id=2992</t>
  </si>
  <si>
    <t>пн-пт 09:00–18:00, перерыв 12:30–13:30</t>
  </si>
  <si>
    <t>https://www.facebook.com/RGS.ru</t>
  </si>
  <si>
    <t>https://www.youtube.com/user/Rosgosstrakh</t>
  </si>
  <si>
    <t>https://www.instagram.com/rgs_ru</t>
  </si>
  <si>
    <t>47.897701 56.637079</t>
  </si>
  <si>
    <t>Оценочная палата Республики Марий Эл</t>
  </si>
  <si>
    <t>+7 (8362) 99-53-78, +7 (8362) 65-09-19</t>
  </si>
  <si>
    <t>47.881518 56.637428</t>
  </si>
  <si>
    <t>Denim bar</t>
  </si>
  <si>
    <t>+7 (8362) 42-28-22</t>
  </si>
  <si>
    <t>47.901859 56.638359</t>
  </si>
  <si>
    <t>Ex-change</t>
  </si>
  <si>
    <t>+7 (927) 883-31-94</t>
  </si>
  <si>
    <t>ул. Машиностроителей, 4Б, Йошкар-Ола</t>
  </si>
  <si>
    <t>+7 (8362) 96-22-61</t>
  </si>
  <si>
    <t>пн-пт 07:30–18:00, перерыв 11:30–13:00; сб 09:00–14:00</t>
  </si>
  <si>
    <t>47.871419 56.649597</t>
  </si>
  <si>
    <t>Детский сад № 23 Колосок</t>
  </si>
  <si>
    <t>ул. Земнухова, 25, Йошкар-Ола</t>
  </si>
  <si>
    <t>+7 (8362) 64-96-76</t>
  </si>
  <si>
    <t>http://edu.mari.ru/mouo-yoshkarola/dou23</t>
  </si>
  <si>
    <t>47.941683 56.635893</t>
  </si>
  <si>
    <t>+7 (8362) 65-31-53, +7 (8362) 30-48-20, +7 (8362) 65-33-31</t>
  </si>
  <si>
    <t xml:space="preserve">info@yola-dom.ru  </t>
  </si>
  <si>
    <t>http://www.yola-dom.ru/</t>
  </si>
  <si>
    <t>47.834962 56.632074</t>
  </si>
  <si>
    <t>Правовая защита и безопасность</t>
  </si>
  <si>
    <t>+7 (8362) 94-76-39</t>
  </si>
  <si>
    <t>+7 (902) 664-76-39</t>
  </si>
  <si>
    <t>Премьер-Теплогаз</t>
  </si>
  <si>
    <t>+7 (8362) 45-28-81, +7 (8362) 45-13-56</t>
  </si>
  <si>
    <t>+7 (8362) 45-28-81</t>
  </si>
  <si>
    <t>Газовое оборудование, Монтаж и обслуживание систем водоснабжения и канализации, Нефтегазовая компания, Системы водоснабжения, отопления, канализации, Служба газового хозяйства</t>
  </si>
  <si>
    <t>47.895196 56.616841</t>
  </si>
  <si>
    <t>Пункт технического осмотра</t>
  </si>
  <si>
    <t>+7 (8362) 99-91-98</t>
  </si>
  <si>
    <t xml:space="preserve">14370afcdc17429f9e418d5ffbd0334a@sentry.wixpress.com, 650611@mail.ru, wixofday@wix.com, sergey_kamashev@mail.ru  </t>
  </si>
  <si>
    <t>http://techosmotr12.ru/, http://tehosmotr12.ru/</t>
  </si>
  <si>
    <t>47.859804 56.619458</t>
  </si>
  <si>
    <t>Детский клуб Радуга</t>
  </si>
  <si>
    <t>+7 (8362) 41-11-12</t>
  </si>
  <si>
    <t>пн-пт 13:00–19:00</t>
  </si>
  <si>
    <t>47.90447 56.643014</t>
  </si>
  <si>
    <t>Ордоникс</t>
  </si>
  <si>
    <t>ул. Строителей, 95, корп. 1, Йошкар-Ола</t>
  </si>
  <si>
    <t>+7 (8362) 30-46-06</t>
  </si>
  <si>
    <t>+7 (927) 680-52-40</t>
  </si>
  <si>
    <t>пн-пт 08:30–18:00, перерыв 12:00–13:00</t>
  </si>
  <si>
    <t>Кузовной центр Бокс12</t>
  </si>
  <si>
    <t>ул. Мира, 30, корп. 3, Йошкар-Ола</t>
  </si>
  <si>
    <t>+7 (8362) 78-77-77</t>
  </si>
  <si>
    <t>+7 (917) 717-27-01</t>
  </si>
  <si>
    <t>Кузовной ремонт</t>
  </si>
  <si>
    <t>47.945755 56.635219</t>
  </si>
  <si>
    <t>Входные двери Фико</t>
  </si>
  <si>
    <t>ул. Луначарского, 52/2, Йошкар-Ола</t>
  </si>
  <si>
    <t>+7 (8362) 56-43-83</t>
  </si>
  <si>
    <t>+7 (927) 873-21-18, +7 (917) 714-24-41, +7 (917) 710-45-45</t>
  </si>
  <si>
    <t xml:space="preserve">info@dveri-fiko.ru  </t>
  </si>
  <si>
    <t>https://www.dveri-fiko.ru/, https://www.dveri-fiko.ru/about/, https://www.dveri-fiko.ru/catalog/, https://www.dveri-fiko.ru/catalog/accessories/, https://www.dveri-fiko.ru/catalog/accessories/cylinders/, https://www.dveri-fiko.ru/catalog/accessories/doorhandle/, https://www.dveri-fiko.ru/catalog/accessories/locks/, https://www.dveri-fiko.ru/catalog/accessories/plates/, https://www.dveri-fiko.ru/catalog/construction/, https://www.dveri-fiko.ru/catalog/exterior/, https://www.dveri-fiko.ru/catalog/exterior/forging/, https://www.dveri-fiko.ru/catalog/interior/, https://www.dveri-fiko.ru/catalog/interior/molding/, https://www.dveri-fiko.ru/catalog/internal-opening/, https://www.dveri-fiko.ru/catalog/samples/, https://www.dveri-fiko.ru/catalog/samples/econom/, https://www.dveri-fiko.ru/catalog/samples/elit/, https://www.dveri-fiko.ru/catalog/samples/prestizh/, https://www.dveri-fiko.ru/dealers/, https://www.dveri-fiko.ru/manufacture/, https://www.dveri-fiko.ru/wholesale/</t>
  </si>
  <si>
    <t>Двери, Кованые изделия, Металлоизделия</t>
  </si>
  <si>
    <t>47.901477 56.616288</t>
  </si>
  <si>
    <t>Адвокатский кабинет Мелитинской-Мельфеоловой Евгении Владимировны</t>
  </si>
  <si>
    <t>+7 (8362) 44-65-14</t>
  </si>
  <si>
    <t>47.899551 56.636789</t>
  </si>
  <si>
    <t>Мебельный салон</t>
  </si>
  <si>
    <t>+7 (8362) 27-58-99</t>
  </si>
  <si>
    <t xml:space="preserve">info@mebelmag-joshkar-ola.ru  </t>
  </si>
  <si>
    <t>http://mebelmag-joshkar-ola.ru/</t>
  </si>
  <si>
    <t>Рубеж-СБ</t>
  </si>
  <si>
    <t>+7 (8362) 40-10-49</t>
  </si>
  <si>
    <t xml:space="preserve">rubej-sb-1t@mail.ru </t>
  </si>
  <si>
    <t>http://www.rubejsb.ru/</t>
  </si>
  <si>
    <t>Окна, Системы безопасности и охраны</t>
  </si>
  <si>
    <t>пн-сб 08:00–18:00, перерыв 13:00–14:00</t>
  </si>
  <si>
    <t>47.872668 56.619039</t>
  </si>
  <si>
    <t>Вера</t>
  </si>
  <si>
    <t>ул. Луначарского, 34, Йошкар-Ола</t>
  </si>
  <si>
    <t>+7 (8362) 74-19-51, +7 (8362) 74-14-98</t>
  </si>
  <si>
    <t>Деревообрабатывающее предприятие, Оптовый магазин</t>
  </si>
  <si>
    <t>47.904265 56.615435</t>
  </si>
  <si>
    <t>Магазин Ловчий, пункт выдачи</t>
  </si>
  <si>
    <t>8 (800) 700-49-78</t>
  </si>
  <si>
    <t xml:space="preserve">akamsin@lovchy.ru, wingedoff@lovchy.ru, sale@lovchy.ru  </t>
  </si>
  <si>
    <t>http://lovchy.ru/</t>
  </si>
  <si>
    <t>Интернет-магазин, Пункт выдачи, Товары для отдыха и туризма, Товары для охоты, Товары для рыбалки</t>
  </si>
  <si>
    <t>http://vk.com/club71855679</t>
  </si>
  <si>
    <t>Мари Кагаз</t>
  </si>
  <si>
    <t>+7 (8362) 42-45-38</t>
  </si>
  <si>
    <t>+7 (8362) 41-25-44</t>
  </si>
  <si>
    <t xml:space="preserve">bumaga@sopz.ru  </t>
  </si>
  <si>
    <t>http://www.marikagaz.ru/</t>
  </si>
  <si>
    <t>AlexT</t>
  </si>
  <si>
    <t>+7 (967) 758-85-44</t>
  </si>
  <si>
    <t xml:space="preserve">alex@alextarasov.com </t>
  </si>
  <si>
    <t>http://alextarasov.com/</t>
  </si>
  <si>
    <t>Строительная компания, Студия дизайна</t>
  </si>
  <si>
    <t>47.9283 56.6371</t>
  </si>
  <si>
    <t>ГолосОк</t>
  </si>
  <si>
    <t>+7 (8362) 54-24-44</t>
  </si>
  <si>
    <t>пн-пт 15:00–21:00; сб 09:00–14:00; вс 09:00–17:00</t>
  </si>
  <si>
    <t>Club Travel R</t>
  </si>
  <si>
    <t>+7 (8362) 79-48-44, +7 (8362) 49-48-44</t>
  </si>
  <si>
    <t xml:space="preserve">office@tur-region.ru  </t>
  </si>
  <si>
    <t>http://yoshkar-ola.test-region.rdbx24.ru/</t>
  </si>
  <si>
    <t>47.843656 56.64086</t>
  </si>
  <si>
    <t>Спортивный комплекс, Стадион</t>
  </si>
  <si>
    <t>пн-пт 09:00–22:00; сб,вс 09:00–20:00</t>
  </si>
  <si>
    <t>47.900157 56.640932</t>
  </si>
  <si>
    <t>Мастер</t>
  </si>
  <si>
    <t>ул. Петрова, 24Б, Йошкар-Ола</t>
  </si>
  <si>
    <t>+7 (8362) 77-18-18</t>
  </si>
  <si>
    <t xml:space="preserve">master.ov@mail.ru, vawwwssa@mail.ru  </t>
  </si>
  <si>
    <t>https://master12ov.nethouse.ru/</t>
  </si>
  <si>
    <t>https://vk.com/autoshkola</t>
  </si>
  <si>
    <t>https://www.instagram.com/master_autoschool</t>
  </si>
  <si>
    <t>47.924301 56.639024</t>
  </si>
  <si>
    <t>Прадо</t>
  </si>
  <si>
    <t>+7 (917) 703-40-77, +7 (961) 333-50-10</t>
  </si>
  <si>
    <t>Мебель для офиса, Мебель на заказ</t>
  </si>
  <si>
    <t>https://www.instagram.com/anastasiia_pradomebel</t>
  </si>
  <si>
    <t>47.896926 56.635403</t>
  </si>
  <si>
    <t>Автошкола ПГТУ</t>
  </si>
  <si>
    <t>+7 (8362) 68-78-43, +7 (8362) 56-62-99</t>
  </si>
  <si>
    <t xml:space="preserve">avto@volgatech.net, idpo@volgatech.net  </t>
  </si>
  <si>
    <t>https://idpo.volgatech.net/driving-school/</t>
  </si>
  <si>
    <t>Автошкола, ВУЗ</t>
  </si>
  <si>
    <t>47.8914 56.6284</t>
  </si>
  <si>
    <t>Стройиндустрия</t>
  </si>
  <si>
    <t>+7 (927) 681-38-00</t>
  </si>
  <si>
    <t>Лестницы и лестничные ограждения</t>
  </si>
  <si>
    <t>47.937706 56.637565</t>
  </si>
  <si>
    <t>Всероссийское общество гемофилии</t>
  </si>
  <si>
    <t>ул. Труда, 40, Йошкар-Ола</t>
  </si>
  <si>
    <t>+7 (8362) 63-25-58, +7 (8362) 37-94-75</t>
  </si>
  <si>
    <t>47.854001 56.660591</t>
  </si>
  <si>
    <t>Строй Дом</t>
  </si>
  <si>
    <t>ул. Петрова, 29, Йошкар-Ола</t>
  </si>
  <si>
    <t>+7 (8362) 25-30-32</t>
  </si>
  <si>
    <t>+7 (987) 700-87-00</t>
  </si>
  <si>
    <t>47.924644 56.641807</t>
  </si>
  <si>
    <t>Силби</t>
  </si>
  <si>
    <t>+7 (8362) 42-64-56</t>
  </si>
  <si>
    <t>+7 (917) 711-77-55, +7 (917) 711-77-44</t>
  </si>
  <si>
    <t xml:space="preserve">celbe@mail.ru </t>
  </si>
  <si>
    <t>http://celbe.ru/</t>
  </si>
  <si>
    <t>Кровельные работы, Строительная компания, Строительство и обслуживание инженерных сетей</t>
  </si>
  <si>
    <t>47.832093 56.630749</t>
  </si>
  <si>
    <t>Консульт Сервис</t>
  </si>
  <si>
    <t>ул. Строителей, 103, Йошкар-Ола</t>
  </si>
  <si>
    <t>+7 (8362) 67-96-96</t>
  </si>
  <si>
    <t>+7 (917) 715-73-21</t>
  </si>
  <si>
    <t>47.881696 56.610116</t>
  </si>
  <si>
    <t>Атлетический клуб Импульс</t>
  </si>
  <si>
    <t>ул. Васильева, 3, Йошкар-Ола</t>
  </si>
  <si>
    <t>+7 (8362) 63-64-75</t>
  </si>
  <si>
    <t>Фитнес-клуб</t>
  </si>
  <si>
    <t>пн-пт 09:00–21:00; сб 09:00–19:00</t>
  </si>
  <si>
    <t>https://vk.com/club13963063</t>
  </si>
  <si>
    <t>47.833852 56.635609</t>
  </si>
  <si>
    <t>MariAvto</t>
  </si>
  <si>
    <t>+7 (8362) 32-79-95</t>
  </si>
  <si>
    <t>+7 (917) 701-81-66</t>
  </si>
  <si>
    <t xml:space="preserve">info@mariavto.ru  </t>
  </si>
  <si>
    <t>http://mariavto.ru/</t>
  </si>
  <si>
    <t>https://vk.com/club3965722</t>
  </si>
  <si>
    <t>https://twitter.com/mariavto</t>
  </si>
  <si>
    <t>https://www.facebook.com/mariavto.ru</t>
  </si>
  <si>
    <t>Студия загара</t>
  </si>
  <si>
    <t>+7 (8362) 32-75-33, +7 (8362) 39-98-20</t>
  </si>
  <si>
    <t>Ногтевая студия, Салон красоты, Солярий</t>
  </si>
  <si>
    <t>пн-пт 12:00–20:00, перерыв 15:30–16:00; сб,вс 12:00–17:00</t>
  </si>
  <si>
    <t>47.837923 56.64156</t>
  </si>
  <si>
    <t>Шаурма и Гирос</t>
  </si>
  <si>
    <t>+7 (8362) 98-98-00</t>
  </si>
  <si>
    <t xml:space="preserve">giros98@mail.ru  </t>
  </si>
  <si>
    <t>https://giros12.ru/</t>
  </si>
  <si>
    <t>Доставка еды и обедов, Кафе, Ресторан</t>
  </si>
  <si>
    <t>http://instagram.com/shaurma_redcity</t>
  </si>
  <si>
    <t>47.896229 56.632698</t>
  </si>
  <si>
    <t>Центр противопожарных услуг Территория безопасности</t>
  </si>
  <si>
    <t>+7 (8362) 30-40-26</t>
  </si>
  <si>
    <t>+7 (987) 733-42-46</t>
  </si>
  <si>
    <t>Безопасность труда, Противопожарные системы</t>
  </si>
  <si>
    <t>Ревис</t>
  </si>
  <si>
    <t>+7 (902) 664-40-75</t>
  </si>
  <si>
    <t>Кондитерские изделия оптом</t>
  </si>
  <si>
    <t>пн,вт,ср,чт,вс 08:00–17:00</t>
  </si>
  <si>
    <t>Мода де люкс</t>
  </si>
  <si>
    <t>+7 (937) 114-64-22</t>
  </si>
  <si>
    <t xml:space="preserve">detkids12@gmail.com  </t>
  </si>
  <si>
    <t>Магазин галантереи и аксессуаров, Магазин кожи и меха</t>
  </si>
  <si>
    <t>https://vk.com/modedeluxe</t>
  </si>
  <si>
    <t>47.894328 56.640614</t>
  </si>
  <si>
    <t>Фирма Смайл</t>
  </si>
  <si>
    <t>ул. Луначарского, 43, Йошкар-Ола</t>
  </si>
  <si>
    <t>+7 (8362) 74-21-66</t>
  </si>
  <si>
    <t>47.913748 56.614332</t>
  </si>
  <si>
    <t>Виста</t>
  </si>
  <si>
    <t>+7 (927) 874-34-24</t>
  </si>
  <si>
    <t>Металлоконструкции, Монтажные работы, Строительная компания, Строительство дачных домов и коттеджей, Строительство и монтаж бассейнов, аквапарков, Строительство и обслуживание инженерных сетей</t>
  </si>
  <si>
    <t>Сервисный центр</t>
  </si>
  <si>
    <t>+7 (8362) 65-00-80</t>
  </si>
  <si>
    <t>+7 (8362) 70-47-49</t>
  </si>
  <si>
    <t>+7 (902) 465-47-49</t>
  </si>
  <si>
    <t xml:space="preserve">olreg12@rambler.ru  </t>
  </si>
  <si>
    <t>http://kluchservis.com/</t>
  </si>
  <si>
    <t>47.828875 56.6396</t>
  </si>
  <si>
    <t>Салон мебели, склад</t>
  </si>
  <si>
    <t>+7 (8362) 64-87-70, +7 (8362) 64-96-24</t>
  </si>
  <si>
    <t>47.936344 56.636789</t>
  </si>
  <si>
    <t>ул. Панфилова, 26, Йошкар-Ола</t>
  </si>
  <si>
    <t>+7 (8362) 28-44-68</t>
  </si>
  <si>
    <t>Массажный салон, Салон красоты, Солярий</t>
  </si>
  <si>
    <t>https://vk.com/adel.yola</t>
  </si>
  <si>
    <t>https://www.instagram.com/adel_yola</t>
  </si>
  <si>
    <t>47.880681 56.626751</t>
  </si>
  <si>
    <t>Марийский торговый дом</t>
  </si>
  <si>
    <t>+7 (8362) 41-67-00</t>
  </si>
  <si>
    <t>Электромонтажные и электроустановочные изделия, Электротехническая продукция</t>
  </si>
  <si>
    <t>Для вас</t>
  </si>
  <si>
    <t>+7 (8362) 39-62-82</t>
  </si>
  <si>
    <t>пн-пт 08:00–19:00; сб 08:00–16:00; вс 09:00–17:00</t>
  </si>
  <si>
    <t>47.895758 56.641301</t>
  </si>
  <si>
    <t>Колос</t>
  </si>
  <si>
    <t>ул. Прохорова, 19, Йошкар-Ола</t>
  </si>
  <si>
    <t>+7 (8362) 73-22-00</t>
  </si>
  <si>
    <t>47.845688 56.636462</t>
  </si>
  <si>
    <t>Бургер Кинг</t>
  </si>
  <si>
    <t>+7 (495) 544-50-00</t>
  </si>
  <si>
    <t xml:space="preserve">job@burgerking.ru  </t>
  </si>
  <si>
    <t>https://burgerking.ru/</t>
  </si>
  <si>
    <t>ежедневно, 09:55–21:45</t>
  </si>
  <si>
    <t>https://vk.com/burgerking</t>
  </si>
  <si>
    <t>https://www.facebook.com/burgerkingrussia</t>
  </si>
  <si>
    <t>https://www.instagram.com/burgerking_russia</t>
  </si>
  <si>
    <t>47.929989 56.627921</t>
  </si>
  <si>
    <t>Секреты здоровья</t>
  </si>
  <si>
    <t>47.882687 56.638432</t>
  </si>
  <si>
    <t>Персона</t>
  </si>
  <si>
    <t>+7 (917) 717-52-88, +7 (902) 358-94-98</t>
  </si>
  <si>
    <t>СК Пульсар</t>
  </si>
  <si>
    <t>ул. Якова Эшпая, 42А, Йошкар-Ола</t>
  </si>
  <si>
    <t>+7 (906) 138-50-30</t>
  </si>
  <si>
    <t xml:space="preserve">pulsars@bk.ru  </t>
  </si>
  <si>
    <t>http://pulsar-stroy.ru/</t>
  </si>
  <si>
    <t>https://www.instagram.com/http://pulsar-stroy.ru/</t>
  </si>
  <si>
    <t>47.892323 56.65409</t>
  </si>
  <si>
    <t>Т Плюс</t>
  </si>
  <si>
    <t>+7 (8362) 68-84-97</t>
  </si>
  <si>
    <t>пн-чт 08:00–17:00, перерыв 12:00–12:48; пт 08:00–16:00, перерыв 12:00–12:48</t>
  </si>
  <si>
    <t>47.843345 56.613</t>
  </si>
  <si>
    <t>Российский двор</t>
  </si>
  <si>
    <t>ул. Гоголя, 1А, Йошкар-Ола</t>
  </si>
  <si>
    <t>+7 (8362) 29-75-19</t>
  </si>
  <si>
    <t>Кафе, Кофейня, Ресторан</t>
  </si>
  <si>
    <t>ежедневно, 11:00–02:00</t>
  </si>
  <si>
    <t>https://vk.com/traktir12</t>
  </si>
  <si>
    <t>47.898363 56.629309</t>
  </si>
  <si>
    <t>Да</t>
  </si>
  <si>
    <t>+7 (8362) 39-18-33</t>
  </si>
  <si>
    <t>+7 (937) 939-18-33, +7 (987) 701-88-77, +7 (960) 095-77-87</t>
  </si>
  <si>
    <t xml:space="preserve">info@mpdda.ru, info@dampd.ru  </t>
  </si>
  <si>
    <t>http://mpdda.ru/</t>
  </si>
  <si>
    <t>Магазин цветов</t>
  </si>
  <si>
    <t>https://vk.com/mpdda</t>
  </si>
  <si>
    <t>https://www.facebook.com/Infompdda</t>
  </si>
  <si>
    <t>https://www.instagram.com/masterskaya_da_/</t>
  </si>
  <si>
    <t>47.910615 56.63275</t>
  </si>
  <si>
    <t>ул. Воинов-Интернационалистов, 25В, Йошкар-Ола</t>
  </si>
  <si>
    <t>пн-пт 09:00–19:00; сб 09:00–18:00</t>
  </si>
  <si>
    <t>47.925758 56.634323</t>
  </si>
  <si>
    <t>Отдел одежды Classic Ladies</t>
  </si>
  <si>
    <t>Ателье по пошиву одежды, Магазин одежды, Трикотаж, трикотажные изделия</t>
  </si>
  <si>
    <t>47.895048 56.639485</t>
  </si>
  <si>
    <t>Maniloff</t>
  </si>
  <si>
    <t>+7 (8362) 32-60-60</t>
  </si>
  <si>
    <t xml:space="preserve">info@cafemaniloff.ru  </t>
  </si>
  <si>
    <t>http://cafemaniloff.ru/, https://maniloff.kmarket12.ru/</t>
  </si>
  <si>
    <t>Доставка еды и обедов, Кафе</t>
  </si>
  <si>
    <t>https://vk.com/maniloffcafe</t>
  </si>
  <si>
    <t>https://www.facebook.com/cafemaniloff.ru</t>
  </si>
  <si>
    <t>47.894814 56.629276</t>
  </si>
  <si>
    <t>Бани и сауны Водолей</t>
  </si>
  <si>
    <t>3-й пер. Чайкиной, 3, Йошкар-Ола</t>
  </si>
  <si>
    <t>+7 (8362) 20-70-50</t>
  </si>
  <si>
    <t>https://vk.com/vodoley_sauna</t>
  </si>
  <si>
    <t>https://www.instagram.com/vodoley_sauna/</t>
  </si>
  <si>
    <t>47.894083 56.620456</t>
  </si>
  <si>
    <t>Clever эйс</t>
  </si>
  <si>
    <t>+7 (8362) 41-85-01</t>
  </si>
  <si>
    <t>Оптовый магазин, Трикотаж, трикотажные изделия</t>
  </si>
  <si>
    <t>47.909238 56.644359</t>
  </si>
  <si>
    <t>Свадебный планировщик</t>
  </si>
  <si>
    <t>ул. Эшкинина, 18, Йошкар-Ола</t>
  </si>
  <si>
    <t>http://www.ok.ru/profile/568648216990</t>
  </si>
  <si>
    <t>http://www.facebook.com/pages/Wed-planerru/943714548983891</t>
  </si>
  <si>
    <t>http://instagram.com/wedplaner.rus/</t>
  </si>
  <si>
    <t>47.909229 56.63107</t>
  </si>
  <si>
    <t>Золотая Соня</t>
  </si>
  <si>
    <t>+7 (8362) 66-99-22</t>
  </si>
  <si>
    <t>https://vk.com/club79431994</t>
  </si>
  <si>
    <t>47.92624 56.627858</t>
  </si>
  <si>
    <t>Техногаз</t>
  </si>
  <si>
    <t>+7 (8362) 45-12-22, +7 (8362) 45-54-54</t>
  </si>
  <si>
    <t xml:space="preserve">tgaz12@yandex.ru  </t>
  </si>
  <si>
    <t>http://www.tehnogaz12.ru/</t>
  </si>
  <si>
    <t>Водосчетчики, газосчетчики, теплосчетчики, Котлы и котельное оборудование, Насосы, насосное оборудование</t>
  </si>
  <si>
    <t>47.8816 56.6261</t>
  </si>
  <si>
    <t>Гардиан Доз</t>
  </si>
  <si>
    <t>ул. Луначарского, 24А, Йошкар-Ола</t>
  </si>
  <si>
    <t>+7 (8362) 56-40-70, +7 (8362) 74-11-25, +7 (8362) 27-06-69, +7 (8362) 74-20-67, +7 (8362) 74-20-89</t>
  </si>
  <si>
    <t xml:space="preserve">doz12@guardian.ru  </t>
  </si>
  <si>
    <t>http://guardian-doz.ru/</t>
  </si>
  <si>
    <t>Двери, Деревообрабатывающее предприятие, Мебель для кухни, Мебельная фурнитура и комплектующие</t>
  </si>
  <si>
    <t>https://vk.com/guardiandoz</t>
  </si>
  <si>
    <t>https://www.youtube.com/user/DoorsGuardian</t>
  </si>
  <si>
    <t>https://www.instagram.com/guardiandoz</t>
  </si>
  <si>
    <t>47.910442 56.613648</t>
  </si>
  <si>
    <t>Рекламное агенство Волга</t>
  </si>
  <si>
    <t>+7 (8362) 41-06-06</t>
  </si>
  <si>
    <t>+7 (917) 717-33-38</t>
  </si>
  <si>
    <t xml:space="preserve">ravolga@ravolga.ru  </t>
  </si>
  <si>
    <t>http://ravolga.ru/</t>
  </si>
  <si>
    <t>https://vk.com/ravolga</t>
  </si>
  <si>
    <t>+7 (8362) 25-04-26</t>
  </si>
  <si>
    <t>пн-пт 07:00–20:00; сб,вс 09:00–19:00</t>
  </si>
  <si>
    <t>47.863171 56.649555</t>
  </si>
  <si>
    <t>E-country</t>
  </si>
  <si>
    <t>+7 (902) 326-17-44</t>
  </si>
  <si>
    <t xml:space="preserve">tina@gmail.com, daniel@gmail.com, info@e-country.ru, dir@e-country.ru, km@e-country.ru  </t>
  </si>
  <si>
    <t>http://e-country.ru/</t>
  </si>
  <si>
    <t>Интернет-маркетинг, Рекламное агентство</t>
  </si>
  <si>
    <t>https://vk.com/socseti_vsem</t>
  </si>
  <si>
    <t>https://ok.ru/group/60812607291453</t>
  </si>
  <si>
    <t>https://www.facebook.com/socseti.vsem/</t>
  </si>
  <si>
    <t>https://www.instagram.com/company.e_country/</t>
  </si>
  <si>
    <t>Бизнес для Бизнеса</t>
  </si>
  <si>
    <t>ул. Якова Эшпая, 132А, Йошкар-Ола</t>
  </si>
  <si>
    <t>+7 (8362) 35-07-50, +7 (8362) 35-08-50</t>
  </si>
  <si>
    <t>47.884076 56.641362</t>
  </si>
  <si>
    <t>Серебряный лис</t>
  </si>
  <si>
    <t>+7 (8362) 51-33-55, +7 (8362) 44-86-80</t>
  </si>
  <si>
    <t>+7 (902) 744-86-80</t>
  </si>
  <si>
    <t>Меховое ателье</t>
  </si>
  <si>
    <t>пн-пт 08:30–18:00; сб 09:00–16:00</t>
  </si>
  <si>
    <t>47.889467 56.64266</t>
  </si>
  <si>
    <t>Объединение Родина</t>
  </si>
  <si>
    <t>ул. Крылова, 46Б, Йошкар-Ола</t>
  </si>
  <si>
    <t>+7 (8362) 73-49-22, +7 (8362) 73-23-82, +7 (8362) 73-41-42, +7 (8362) 73-46-00, +7 (8362) 73-20-32, +7 (8362) 73-46-09</t>
  </si>
  <si>
    <t xml:space="preserve">sales@rodina-tech.ru, info@rodina-tech.ru, kopylov@rodina-tech.ru, ants@rodina-tech.ru, quality@rodina-tech.ru  </t>
  </si>
  <si>
    <t>http://www.rodina-tech.ru/</t>
  </si>
  <si>
    <t>Магазин автозапчастей и автотоваров, Машиностроительный завод, Производство и оптовая продажа автозапчастей</t>
  </si>
  <si>
    <t>47.846232 56.621351</t>
  </si>
  <si>
    <t>ТСЖ Красноармейская 108а</t>
  </si>
  <si>
    <t>Красноармейская ул., 108А, Йошкар-Ола</t>
  </si>
  <si>
    <t>+7 (8362) 38-56-69</t>
  </si>
  <si>
    <t>+7 (902) 739-85-48</t>
  </si>
  <si>
    <t>47.860612 56.647925</t>
  </si>
  <si>
    <t>+7 (8362) 32-27-51, +7 (8362) 51-55-77</t>
  </si>
  <si>
    <t>+7 (917) 715-27-77</t>
  </si>
  <si>
    <t>Бильярдный клуб, Магазин бильярда, Спортивный магазин</t>
  </si>
  <si>
    <t>47.9179 56.6294</t>
  </si>
  <si>
    <t>GSM-центр</t>
  </si>
  <si>
    <t>Автоаксессуары, Оптовый магазин, Товары для мобильных телефонов</t>
  </si>
  <si>
    <t>ГБУ РМЭ Перинатальный центр</t>
  </si>
  <si>
    <t>бул. Победы, 19, Йошкар-Ола</t>
  </si>
  <si>
    <t>+7 (8362) 42-39-59, +7 (8362) 42-07-11, +7 (8362) 73-63-90, +7 (8362) 42-38-84, +7 (8362) 42-34-65, +7 (8362) 42-60-71</t>
  </si>
  <si>
    <t>http://mari-el.gov.ru/minzdrav/pc/Pages/main.aspx</t>
  </si>
  <si>
    <t>Перинатальный центр, Поликлиника для взрослых, Родильный дом</t>
  </si>
  <si>
    <t>47.878605 56.638096</t>
  </si>
  <si>
    <t>Азбука недвижимости</t>
  </si>
  <si>
    <t>+7 (8362) 94-13-01</t>
  </si>
  <si>
    <t>+7 (902) 671-06-17</t>
  </si>
  <si>
    <t>Дегис</t>
  </si>
  <si>
    <t>+7 (8362) 54-98-18, +7 (8362) 38-88-55, +7 (8362) 48-55-88</t>
  </si>
  <si>
    <t>Кафе Столица</t>
  </si>
  <si>
    <t>+7 (8362) 56-62-11, +7 (8362) 45-34-77</t>
  </si>
  <si>
    <t>пн-пт 10:30–15:30</t>
  </si>
  <si>
    <t>47.886368 56.630671</t>
  </si>
  <si>
    <t>Зелёная ул., 7А, Йошкар-Ола</t>
  </si>
  <si>
    <t>+7 (961) 376-47-94, +7 (987) 707-31-52</t>
  </si>
  <si>
    <t>47.850782 56.637793</t>
  </si>
  <si>
    <t>+7 (8362) 62-84-02</t>
  </si>
  <si>
    <t xml:space="preserve">info@jeelex.ru </t>
  </si>
  <si>
    <t>http://santehnika12.ru/</t>
  </si>
  <si>
    <t>47.9019 56.6457</t>
  </si>
  <si>
    <t>Изделия из нержавеющей стали</t>
  </si>
  <si>
    <t>+7 (8362) 46-55-35</t>
  </si>
  <si>
    <t>47.8795 56.6175</t>
  </si>
  <si>
    <t>Центр фасада</t>
  </si>
  <si>
    <t>+7 (8362) 42-03-88</t>
  </si>
  <si>
    <t>47.888128 56.641693</t>
  </si>
  <si>
    <t>Вкусная еда</t>
  </si>
  <si>
    <t>+7 (8362) 26-00-78</t>
  </si>
  <si>
    <t>http://vk.com/club49985873</t>
  </si>
  <si>
    <t>47.891883 56.621609</t>
  </si>
  <si>
    <t>Кузовной ремонт ТТС</t>
  </si>
  <si>
    <t>Ленинский просп., 6А, Йошкар-Ола</t>
  </si>
  <si>
    <t>+7 (8362) 68-16-25</t>
  </si>
  <si>
    <t xml:space="preserve">harrasov.n@tts.ru, shaidullin.t@tts.ru, gaducevich.a@tts.ru, mustafin.r2@tts.ru, ravilov.b@tts.ru, fomin.y@tts.ru, kurkina.l@tts.ru, hisaev.v@tts.ru, beletskiy.k@tts.ru, batuev.m@tts.ru </t>
  </si>
  <si>
    <t>https://www.tts.ru/body-repair/?utm_campaign=kuzovnoyremont_all_joshkarola_leninskij_sitelinku0026utm_content=yandex_map_kuzovnoyremont_all_joshkarola_leninskij_sitelinku0026utm_medium=mapu0026utm_source=yandex</t>
  </si>
  <si>
    <t>47.928114 56.625588</t>
  </si>
  <si>
    <t>Ссу-5</t>
  </si>
  <si>
    <t>+7 (8362) 73-72-05, +7 (8362) 73-71-97, +7 (8362) 73-71-94, +7 (8362) 73-71-95, +7 (8362) 73-71-96</t>
  </si>
  <si>
    <t>47.85957 56.641981</t>
  </si>
  <si>
    <t>Посольство красоты</t>
  </si>
  <si>
    <t>бул. Победы, 3, Йошкар-Ола</t>
  </si>
  <si>
    <t>+7 (8362) 42-42-33</t>
  </si>
  <si>
    <t>+7 (937) 111-76-72</t>
  </si>
  <si>
    <t>Визажисты, стилисты, Салон красоты, Солярий</t>
  </si>
  <si>
    <t>пн-пт 08:00–20:00; сб 08:00–19:00; вс 10:00–18:00</t>
  </si>
  <si>
    <t>47.885428 56.637188</t>
  </si>
  <si>
    <t>Перекресток миров</t>
  </si>
  <si>
    <t>47.8715 56.6388</t>
  </si>
  <si>
    <t>Республиканский кожно-венерологический диспансер, диспансерное отделение</t>
  </si>
  <si>
    <t>+7 (8362) 41-96-83, +7 (8362) 41-99-34, +7 (8362) 45-17-77, +7 (8362) 45-31-13, +7 (8362) 41-70-85</t>
  </si>
  <si>
    <t>+7 (8362) 41-70-85</t>
  </si>
  <si>
    <t xml:space="preserve">12kvd@mail.ru  </t>
  </si>
  <si>
    <t>http://12rkvd.ru/</t>
  </si>
  <si>
    <t>47.86186 56.652469</t>
  </si>
  <si>
    <t>Кирпич, Оптовый магазин, Строительный магазин</t>
  </si>
  <si>
    <t>47.897964 56.616021</t>
  </si>
  <si>
    <t>Весна</t>
  </si>
  <si>
    <t>+7 (8362) 30-62-72, +7 (8362) 65-07-75</t>
  </si>
  <si>
    <t>Карбон-всем</t>
  </si>
  <si>
    <t>+7 (8362) 27-99-00, +7 (8362) 29-52-95</t>
  </si>
  <si>
    <t xml:space="preserve">info@karbon-vsem.ru, karbon@1477.ru  </t>
  </si>
  <si>
    <t>http://karbon-vsem.ru/, http://karbon12.ru/</t>
  </si>
  <si>
    <t>Автоаксессуары, Пленки архитектурные, декоративные, защитные, Тонирование стекол</t>
  </si>
  <si>
    <t>пн-пт 09:00–18:00, перерыв 12:00–13:00; сб 10:00–15:00</t>
  </si>
  <si>
    <t>https://vk.com/karbon_12</t>
  </si>
  <si>
    <t>https://instagram.com/karbon_vsem</t>
  </si>
  <si>
    <t>Правосудие</t>
  </si>
  <si>
    <t>+7 (902) 739-57-55, +7 (902) 735-56-55</t>
  </si>
  <si>
    <t>http://pravosudie12.ru/</t>
  </si>
  <si>
    <t>https://vk.com/club91146812</t>
  </si>
  <si>
    <t>47.889836 56.643184</t>
  </si>
  <si>
    <t>Tele2</t>
  </si>
  <si>
    <t>+7 (8362) 70-06-11</t>
  </si>
  <si>
    <t>https://mariel.tele2.ru/, http://tele2.ru/</t>
  </si>
  <si>
    <t>https://vk.com/tele2</t>
  </si>
  <si>
    <t>https://ok.ru/tele2</t>
  </si>
  <si>
    <t>http://twitter.com/tele2russia</t>
  </si>
  <si>
    <t>http://www.facebook.com/Tele2Russia</t>
  </si>
  <si>
    <t>https://www.instagram.com/tele2russia</t>
  </si>
  <si>
    <t>47.916972 56.631325</t>
  </si>
  <si>
    <t>ЭнтерСити</t>
  </si>
  <si>
    <t>+7 (8362) 54-45-55</t>
  </si>
  <si>
    <t>+7 (917) 705-41-92</t>
  </si>
  <si>
    <t xml:space="preserve">mail@entercity.ru  </t>
  </si>
  <si>
    <t>http://entercity.ru/</t>
  </si>
  <si>
    <t>http://vk.com/entercity</t>
  </si>
  <si>
    <t>http://twitter.com/entercity_twit</t>
  </si>
  <si>
    <t>http://facebook.com/pages/entercity/362092003865300</t>
  </si>
  <si>
    <t>Общежитие № 1 МарГУ</t>
  </si>
  <si>
    <t>ул. Якова Эшпая, 130, Йошкар-Ола</t>
  </si>
  <si>
    <t>47.884358 56.642099</t>
  </si>
  <si>
    <t>Соренто</t>
  </si>
  <si>
    <t>8 (804) 333-93-93</t>
  </si>
  <si>
    <t xml:space="preserve">market@gkvn.ru  </t>
  </si>
  <si>
    <t>https://sorento.pizza/, https://sorento.pizza/yoshkar-ola, https://sorento.pizza/yoshkar-ola/kontakty/ul-kirova-6-trk-yolka.html</t>
  </si>
  <si>
    <t>Пиццерия</t>
  </si>
  <si>
    <t>https://vk.com/sorentopizza</t>
  </si>
  <si>
    <t>https://twitter.com/Pizza_Sorento</t>
  </si>
  <si>
    <t>https://facebook.com/%D0%9F%D0%B8%D1%86%D1%86%D0%B5%D1%80%D0%B8%D1%8F-%D0%A1%D0%BE%D1%80%D0%B5%D0%BD%D1%82%D0%BE-%D0%B2-%D0%A2%D0%A6-Yolka-278790625799143/</t>
  </si>
  <si>
    <t>https://www.youtube.com/channel/UC1VN22VnMi8u84X6-2CQ1TA</t>
  </si>
  <si>
    <t>https://www.instagram.com/sorentoyoshkarola</t>
  </si>
  <si>
    <t>47.929356 56.627499</t>
  </si>
  <si>
    <t>Сетка</t>
  </si>
  <si>
    <t>+7 (8362) 73-28-29</t>
  </si>
  <si>
    <t>Металлические заборы и ограждения, Металлоизделия, Строительная арматура</t>
  </si>
  <si>
    <t>47.8504 56.6251</t>
  </si>
  <si>
    <t>Коллективные пассажирские перевозки</t>
  </si>
  <si>
    <t>+7 (937) 936-17-03, +7 (927) 684-03-93</t>
  </si>
  <si>
    <t>47.8917 56.6472</t>
  </si>
  <si>
    <t>Фотошоп</t>
  </si>
  <si>
    <t>+7 (987) 711-57-41, +7 (927) 680-89-95</t>
  </si>
  <si>
    <t>47.8831 56.6212</t>
  </si>
  <si>
    <t>Julia's Dance Class</t>
  </si>
  <si>
    <t>Студия 2d</t>
  </si>
  <si>
    <t>+7 (987) 716-84-18</t>
  </si>
  <si>
    <t>Зазеркалье</t>
  </si>
  <si>
    <t>Советская ул., 125, Йошкар-Ола</t>
  </si>
  <si>
    <t>47.898503 56.635447</t>
  </si>
  <si>
    <t>8 (800) 550-95-60, +7 (8362) 41-41-09</t>
  </si>
  <si>
    <t>http://www.lankord-doors.ru/, http://www.formuladveri.ru/</t>
  </si>
  <si>
    <t>47.833326 56.625301</t>
  </si>
  <si>
    <t>Димитрова 66</t>
  </si>
  <si>
    <t>+7 (8362) 62-69-23, +7 (8362) 39-76-64, +7 (8362) 23-16-45, +7 (8362) 35-01-89</t>
  </si>
  <si>
    <t>вт 17:00–19:00; чт 18:00–19:00</t>
  </si>
  <si>
    <t>47.855526 56.64514</t>
  </si>
  <si>
    <t>ТСЖ Строитель</t>
  </si>
  <si>
    <t>Пролетарская ул., 23А, Йошкар-Ола</t>
  </si>
  <si>
    <t>+7 (8362) 46-06-43, +7 (8362) 73-63-79</t>
  </si>
  <si>
    <t>47.894946 56.643985</t>
  </si>
  <si>
    <t>Ренталь-М</t>
  </si>
  <si>
    <t>+7 (8362) 36-05-50, +7 (8362) 36-00-90</t>
  </si>
  <si>
    <t>Автоматические двери и ворота</t>
  </si>
  <si>
    <t>Металлогиб</t>
  </si>
  <si>
    <t>+7 (8362) 90-01-23</t>
  </si>
  <si>
    <t>+7 (927) 870-17-02</t>
  </si>
  <si>
    <t xml:space="preserve">12amps@mail.ru  </t>
  </si>
  <si>
    <t>http://metallogib.ru/</t>
  </si>
  <si>
    <t>пн-пт 08:30–16:30</t>
  </si>
  <si>
    <t>Vagavto</t>
  </si>
  <si>
    <t>+7 (8362) 50-21-00</t>
  </si>
  <si>
    <t>47.879038 56.636789</t>
  </si>
  <si>
    <t>Библиотека-филиал № 1</t>
  </si>
  <si>
    <t>+7 (8362) 41-94-21</t>
  </si>
  <si>
    <t>пн-чт 10:00–18:00; сб,вс 10:00–17:00</t>
  </si>
  <si>
    <t>47.860788 56.651584</t>
  </si>
  <si>
    <t>Курсы и мастер-классы, Праздничное агентство</t>
  </si>
  <si>
    <t>Электрум</t>
  </si>
  <si>
    <t>+7 (8362) 28-42-05</t>
  </si>
  <si>
    <t>Световое и звукотехническое оборудование</t>
  </si>
  <si>
    <t>Светотехника</t>
  </si>
  <si>
    <t>Largoo Card</t>
  </si>
  <si>
    <t>+7 (8362) 32-12-11</t>
  </si>
  <si>
    <t>+7 (964) 861-28-85</t>
  </si>
  <si>
    <t>47.8984 56.6366</t>
  </si>
  <si>
    <t>Патриот Снаб</t>
  </si>
  <si>
    <t>Складская ул., 22А, корп. 1А, Йошкар-Ола</t>
  </si>
  <si>
    <t>+7 (8362) 51-21-91, +7 (8362) 51-70-31</t>
  </si>
  <si>
    <t>+7 (964) 861-21-91</t>
  </si>
  <si>
    <t xml:space="preserve">patriot.snab@bk.ru </t>
  </si>
  <si>
    <t>Магазин обуви, Спецодежда, Средства индивидуальной защиты</t>
  </si>
  <si>
    <t>пн-пт 09:00–18:00; сб,вс 10:00–16:00</t>
  </si>
  <si>
    <t>https://vk.com/patriotsnab</t>
  </si>
  <si>
    <t>47.8956 56.617198</t>
  </si>
  <si>
    <t>Фаворит</t>
  </si>
  <si>
    <t>+7 (8362) 51-60-00</t>
  </si>
  <si>
    <t>+7 (927) 680-10-88</t>
  </si>
  <si>
    <t>47.914026 56.627345</t>
  </si>
  <si>
    <t>Детская библиотека № 5</t>
  </si>
  <si>
    <t>Красноармейская ул., 104, Йошкар-Ола</t>
  </si>
  <si>
    <t>+7 (8362) 55-46-27</t>
  </si>
  <si>
    <t>47.861717 56.647296</t>
  </si>
  <si>
    <t>Волжские теплицы</t>
  </si>
  <si>
    <t>+7 (8362) 32-15-35</t>
  </si>
  <si>
    <t>+7 (927) 882-15-35</t>
  </si>
  <si>
    <t xml:space="preserve">manager@estet-group.ru  </t>
  </si>
  <si>
    <t>http://yola.volga-teplica.ru/</t>
  </si>
  <si>
    <t>http://vk.com/polikarbonat_teplica_yoshka</t>
  </si>
  <si>
    <t>47.896 56.6169</t>
  </si>
  <si>
    <t>Связь Макс</t>
  </si>
  <si>
    <t>+7 (8362) 43-46-18, +7 (8362) 66-01-23, +7 (8362) 20-26-66, +7 (8362) 66-01-33</t>
  </si>
  <si>
    <t>+7 (964) 863-46-18</t>
  </si>
  <si>
    <t>Магазин головных уборов</t>
  </si>
  <si>
    <t>47.894323 56.640614</t>
  </si>
  <si>
    <t>Остров вечных чудес</t>
  </si>
  <si>
    <t>+7 (8362) 42-51-11, +7 (8362) 45-67-63</t>
  </si>
  <si>
    <t>+7 (8362) 77-37-10</t>
  </si>
  <si>
    <t xml:space="preserve">info@kord-optika.ru, example@email.com, kord_lider@mail.ru  </t>
  </si>
  <si>
    <t>https://vk.com/hrustalik_yo</t>
  </si>
  <si>
    <t>https://www.facebook.com/hrustalikoptika</t>
  </si>
  <si>
    <t>https://www.instagram.com/hrustalik_optika</t>
  </si>
  <si>
    <t>47.896956 56.628576</t>
  </si>
  <si>
    <t>ул. Йывана Кырли, 7А, Йошкар-Ола</t>
  </si>
  <si>
    <t>+7 (8362) 46-46-46</t>
  </si>
  <si>
    <t>Автомойка, Шиномонтаж</t>
  </si>
  <si>
    <t>47.847443 56.641159</t>
  </si>
  <si>
    <t>Светлана</t>
  </si>
  <si>
    <t>ул. Луначарского, 34, корп. 1, Йошкар-Ола</t>
  </si>
  <si>
    <t>+7 (8362) 74-18-05, +7 (8362) 96-98-55</t>
  </si>
  <si>
    <t>+7 (902) 326-98-55</t>
  </si>
  <si>
    <t>47.902961 56.616361</t>
  </si>
  <si>
    <t>Скоморох</t>
  </si>
  <si>
    <t>Ленинский просп., 14, Йошкар-Ола</t>
  </si>
  <si>
    <t>+7 (961) 373-47-47</t>
  </si>
  <si>
    <t>47.917332 56.626871</t>
  </si>
  <si>
    <t>Фердинанд Авто</t>
  </si>
  <si>
    <t>+7 (8362) 45-85-15, +7 (8362) 30-43-00</t>
  </si>
  <si>
    <t>+7 (902) 358-32-33, +7 (937) 932-32-98</t>
  </si>
  <si>
    <t>+7 (8362) 30-43-00</t>
  </si>
  <si>
    <t>Автокосметика, автохимия, Автосервисное и гаражное оборудование</t>
  </si>
  <si>
    <t>Mama Style</t>
  </si>
  <si>
    <t>+7 (917) 718-99-98</t>
  </si>
  <si>
    <t>47.89656 56.628558</t>
  </si>
  <si>
    <t>+7 (8362) 54-84-00</t>
  </si>
  <si>
    <t>+7 (917) 705-92-36</t>
  </si>
  <si>
    <t>Магазин автозапчастей и автотоваров, Шиномонтаж</t>
  </si>
  <si>
    <t>пн-пт 09:00–19:00; сб 09:00–16:00; вс 09:00–15:00</t>
  </si>
  <si>
    <t>Мебель-трансформер</t>
  </si>
  <si>
    <t>+7 (917) 700-11-92</t>
  </si>
  <si>
    <t>Мэллани</t>
  </si>
  <si>
    <t>ул. Васильева, 5, Йошкар-Ола</t>
  </si>
  <si>
    <t>+7 (8362) 27-21-23, +7 (8362) 33-66-84, +7 (8362) 39-10-29</t>
  </si>
  <si>
    <t>+7 (902) 106-30-11</t>
  </si>
  <si>
    <t>47.832513 56.635605</t>
  </si>
  <si>
    <t>Алатекс</t>
  </si>
  <si>
    <t>+7 (8362) 34-56-99, +7 (8362) 45-67-83</t>
  </si>
  <si>
    <t>Мебельная фурнитура и комплектующие, Производство и продажа тканей</t>
  </si>
  <si>
    <t>пн-пт 09:00–16:30</t>
  </si>
  <si>
    <t>Региональное отделение в Республике Марий Эл Политической партии Российская экологическая партия Зеленые</t>
  </si>
  <si>
    <t>+7 (8362) 41-65-77</t>
  </si>
  <si>
    <t>+7 (906) 137-12-50</t>
  </si>
  <si>
    <t>Светодиодные технологии</t>
  </si>
  <si>
    <t>Комсомольская ул., 90, Йошкар-Ола</t>
  </si>
  <si>
    <t>+7 (917) 704-07-53</t>
  </si>
  <si>
    <t>47.897749 56.643619</t>
  </si>
  <si>
    <t>Центр экологического проектирования и консалтинга</t>
  </si>
  <si>
    <t>+7 (8362) 93-28-72</t>
  </si>
  <si>
    <t>Проектная организация, Экологическая организация</t>
  </si>
  <si>
    <t>47.834964 56.632074</t>
  </si>
  <si>
    <t>ФотоМАСТЕР</t>
  </si>
  <si>
    <t>+7 (927) 880-82-00</t>
  </si>
  <si>
    <t>Праздничное агентство, Студия дизайна, Фотоуслуги</t>
  </si>
  <si>
    <t>пн-сб круглосуточно</t>
  </si>
  <si>
    <t>47.826881 56.629892</t>
  </si>
  <si>
    <t>Лингвистическая школа Лик</t>
  </si>
  <si>
    <t>+7 (8362) 56-57-98</t>
  </si>
  <si>
    <t xml:space="preserve">school@noulik.ru  </t>
  </si>
  <si>
    <t>http://www.noulik.ru/</t>
  </si>
  <si>
    <t>https://vk.com/noulik</t>
  </si>
  <si>
    <t>https://www.instagram.com/chudolik</t>
  </si>
  <si>
    <t>47.882557 56.633265</t>
  </si>
  <si>
    <t>Агентство ярких событий Око</t>
  </si>
  <si>
    <t>+7 (8362) 32-88-77</t>
  </si>
  <si>
    <t xml:space="preserve">info@oko12.ru  </t>
  </si>
  <si>
    <t>http://oko12.ru/, http://oko-wedding.oko12.ru/</t>
  </si>
  <si>
    <t>https://vk.com/agentstvo_oko</t>
  </si>
  <si>
    <t>47.892826 56.638397</t>
  </si>
  <si>
    <t>Первая стеллажная компания</t>
  </si>
  <si>
    <t>8 (800) 550-30-05</t>
  </si>
  <si>
    <t xml:space="preserve">psk@stellagnn.ru, psk@prometnn.ru  </t>
  </si>
  <si>
    <t>http://www.stellagnn.ru/</t>
  </si>
  <si>
    <t>Складское оборудование, Стеллажи</t>
  </si>
  <si>
    <t>47.866577 56.627243</t>
  </si>
  <si>
    <t>Incanto</t>
  </si>
  <si>
    <t>8 (800) 775-00-77</t>
  </si>
  <si>
    <t xml:space="preserve">mail@example.com  </t>
  </si>
  <si>
    <t>http://www.incanto.eu/, https://incanto.eu/company/shops/</t>
  </si>
  <si>
    <t>http://twitter.com/INCANTOworld</t>
  </si>
  <si>
    <t>http://www.facebook.com/IncantoClub</t>
  </si>
  <si>
    <t>http://instagram.com/incantoclub</t>
  </si>
  <si>
    <t>47.929364 56.627897</t>
  </si>
  <si>
    <t>Помощь при алкогольной зависимости</t>
  </si>
  <si>
    <t>+7 (8362) 39-12-14</t>
  </si>
  <si>
    <t>http://kl6228.polzdr.ru/</t>
  </si>
  <si>
    <t>Магазин бижутерии, Магазин галантереи и аксессуаров</t>
  </si>
  <si>
    <t>47.894139 56.640178</t>
  </si>
  <si>
    <t>Урал-Пресс</t>
  </si>
  <si>
    <t>+7 (8362) 32-06-07</t>
  </si>
  <si>
    <t xml:space="preserve">info@ural-press.ru  </t>
  </si>
  <si>
    <t>http://www.ural-press.ru/</t>
  </si>
  <si>
    <t>Абриколь</t>
  </si>
  <si>
    <t>+7 (8362) 22-58-50, +7 (8362) 67-54-89</t>
  </si>
  <si>
    <t>+7 (919) 417-68-11</t>
  </si>
  <si>
    <t>Бар, паб, Бильярдный клуб, Кафе</t>
  </si>
  <si>
    <t>47.917715 56.629416</t>
  </si>
  <si>
    <t>Луазир</t>
  </si>
  <si>
    <t>8 (800) 700-78-78, +7 (8362) 45-68-88</t>
  </si>
  <si>
    <t xml:space="preserve">info@tez-tour.com, portal@tez-tour.com, voronezh@agent.tez-tour.com, tez36@tezshop.ru, alehina-tez-tour@yandex.ru  </t>
  </si>
  <si>
    <t>https://www.tez-tour.com/, https://yoshkar-ola.tez-tour.com/</t>
  </si>
  <si>
    <t>http://vk.com/teztourrf</t>
  </si>
  <si>
    <t>http://ok.ru/teztourus</t>
  </si>
  <si>
    <t>http://facebook.com/teztourus</t>
  </si>
  <si>
    <t>http://instagram.com/teztour_russia</t>
  </si>
  <si>
    <t>47.900392 56.642477</t>
  </si>
  <si>
    <t>Новая планета</t>
  </si>
  <si>
    <t>+7 (8362) 45-43-68</t>
  </si>
  <si>
    <t>пн-пт 09:00–21:00; сб,вс 10:00–13:00</t>
  </si>
  <si>
    <t>47.896701 56.635282</t>
  </si>
  <si>
    <t>+7 (8362) 55-14-54</t>
  </si>
  <si>
    <t>+7 (902) 329-91-18</t>
  </si>
  <si>
    <t>Рктпк</t>
  </si>
  <si>
    <t>+7 (8362) 36-08-20</t>
  </si>
  <si>
    <t xml:space="preserve">webmaster@rktpk.ru  </t>
  </si>
  <si>
    <t>http://rktpk.ru/</t>
  </si>
  <si>
    <t>Моментальные займы</t>
  </si>
  <si>
    <t>+7 (8362) 52-35-62, +7 (8362) 33-34-41</t>
  </si>
  <si>
    <t>47.882936 56.639981</t>
  </si>
  <si>
    <t>Галерея рукоделия</t>
  </si>
  <si>
    <t>Первомайская ул., 102, Йошкар-Ола</t>
  </si>
  <si>
    <t>+7 (904) 724-03-66, +7 (917) 704-26-69</t>
  </si>
  <si>
    <t xml:space="preserve">rukodelie12rus@mail.ru  </t>
  </si>
  <si>
    <t>Магазин ткани, Нитки, пряжа, Товары для творчества и рукоделия</t>
  </si>
  <si>
    <t>https://vk.com/rukodelie12rus</t>
  </si>
  <si>
    <t>47.889401 56.642402</t>
  </si>
  <si>
    <t>Нужные Люди</t>
  </si>
  <si>
    <t>+7 (8362) 65-23-14</t>
  </si>
  <si>
    <t>+7 (902) 671-05-65</t>
  </si>
  <si>
    <t>Дизайн центр</t>
  </si>
  <si>
    <t>ул. Машиностроителей, 78А, Йошкар-Ола</t>
  </si>
  <si>
    <t>+7 (960) 097-07-99</t>
  </si>
  <si>
    <t xml:space="preserve">dizain.center@mail.ru, dizain-sales@yandex.ru </t>
  </si>
  <si>
    <t>http://dizain.center/</t>
  </si>
  <si>
    <t>Двери, Магазин бытовой техники, Магазин мебели, Напольные покрытия, Облицовочные материалы</t>
  </si>
  <si>
    <t>47.835873 56.626668</t>
  </si>
  <si>
    <t>Сальвиа</t>
  </si>
  <si>
    <t>47.891254 56.646237</t>
  </si>
  <si>
    <t>ИнтерСвет</t>
  </si>
  <si>
    <t>+7 (8362) 45-02-28, +7 (8362) 45-12-28</t>
  </si>
  <si>
    <t xml:space="preserve">info@intersvet12.ru </t>
  </si>
  <si>
    <t>https://vk.com/svet12ru</t>
  </si>
  <si>
    <t>https://www.instagram.com/svet12ru</t>
  </si>
  <si>
    <t>47.900052 56.635214</t>
  </si>
  <si>
    <t>Срубмари</t>
  </si>
  <si>
    <t>+7 (961) 379-34-70</t>
  </si>
  <si>
    <t xml:space="preserve">coved@yandex.ru  </t>
  </si>
  <si>
    <t>http://srubmari.ru/</t>
  </si>
  <si>
    <t>Пиломатериалы, Строительство бань и саун, Строительство дачных домов и коттеджей</t>
  </si>
  <si>
    <t>Русь-Бейкери</t>
  </si>
  <si>
    <t>+7 (8362) 45-85-12, +7 (8362) 43-00-67, +7 (8362) 23-00-08</t>
  </si>
  <si>
    <t xml:space="preserve">zakaz@ibc-rus.ru  </t>
  </si>
  <si>
    <t>http://www.rusbakery.ru/</t>
  </si>
  <si>
    <t>Производство продуктов питания, Хлебозавод</t>
  </si>
  <si>
    <t>47.901594 56.612994</t>
  </si>
  <si>
    <t>Кофечино</t>
  </si>
  <si>
    <t>+7 (8362) 39-31-65</t>
  </si>
  <si>
    <t>+7 (937) 939-31-65</t>
  </si>
  <si>
    <t>Магазин Тонус</t>
  </si>
  <si>
    <t>+7 (8362) 73-79-98</t>
  </si>
  <si>
    <t>Магазин пива, Магазин табака и курительных принадлежностей</t>
  </si>
  <si>
    <t>+7 (8362) 56-66-85</t>
  </si>
  <si>
    <t>Куан</t>
  </si>
  <si>
    <t>+7 (8362) 42-70-82</t>
  </si>
  <si>
    <t>+7 (902) 326-92-61, +7 (917) 719-44-24</t>
  </si>
  <si>
    <t xml:space="preserve">customerservice@privatkuan.ru  </t>
  </si>
  <si>
    <t>https://www.privatkuan.ru/, https://intimkuan.ru/</t>
  </si>
  <si>
    <t>Искусственные растения и цветы, Магазин подарков и сувениров, Секс-шоп</t>
  </si>
  <si>
    <t>https://vk.com/intimkuan</t>
  </si>
  <si>
    <t>https://www.facebook.com/intimkuan</t>
  </si>
  <si>
    <t>47.882737 56.622319</t>
  </si>
  <si>
    <t>+7 (8362) 73-16-77</t>
  </si>
  <si>
    <t>Услуги бухгалтера</t>
  </si>
  <si>
    <t>+7 (8362) 99-86-68, +7 (8362) 63-45-55</t>
  </si>
  <si>
    <t>Мариэлсантехмонтаж</t>
  </si>
  <si>
    <t>+7 (8362) 63-60-84, +7 (8362) 63-62-60</t>
  </si>
  <si>
    <t>Анакс</t>
  </si>
  <si>
    <t>ул. Дружбы, 94, Йошкар-Ола</t>
  </si>
  <si>
    <t>+7 (8362) 78-78-39, +7 (8362) 42-71-95</t>
  </si>
  <si>
    <t>+7 (8362) 42-71-95</t>
  </si>
  <si>
    <t>47.86488 56.653472</t>
  </si>
  <si>
    <t>Меделли</t>
  </si>
  <si>
    <t>+7 (987) 711-84-11</t>
  </si>
  <si>
    <t xml:space="preserve">1986_annet@mail.ru  </t>
  </si>
  <si>
    <t>http://firmen.ru/</t>
  </si>
  <si>
    <t>Магазин одежды, Производственное предприятие, Трикотаж, трикотажные изделия</t>
  </si>
  <si>
    <t>Ходожественная ковка</t>
  </si>
  <si>
    <t>+7 (927) 684-06-59</t>
  </si>
  <si>
    <t>47.853749 56.651473</t>
  </si>
  <si>
    <t>+7 (8362) 38-03-38, +7 (8352) 32-19-90</t>
  </si>
  <si>
    <t>+7 (902) 327-24-77</t>
  </si>
  <si>
    <t>+7 (8352) 32-19-90</t>
  </si>
  <si>
    <t>Магазин постельных принадлежностей, Товары для дома</t>
  </si>
  <si>
    <t>http://vk.com/public132904829</t>
  </si>
  <si>
    <t>47.880456 56.632273</t>
  </si>
  <si>
    <t>Детская инфекционная больница</t>
  </si>
  <si>
    <t>Больничная ул., 20, Йошкар-Ола</t>
  </si>
  <si>
    <t>+7 (8362) 42-65-16, +7 (8362) 42-64-71, +7 (8362) 42-65-47</t>
  </si>
  <si>
    <t>http://20bol.polickliniki.ru/</t>
  </si>
  <si>
    <t>Детская больница, Специализированная больница</t>
  </si>
  <si>
    <t>47.886894 56.649725</t>
  </si>
  <si>
    <t>ГБУ РМЭ Стоматологическая поликлиника г. Йошкар-Олы</t>
  </si>
  <si>
    <t>+7 (8362) 45-28-10, +7 (8362) 45-55-44</t>
  </si>
  <si>
    <t>http://s1643.polizd.ru/, http://st161.polzdrv.ru/</t>
  </si>
  <si>
    <t>пн-пт 07:30–19:00; сб 08:00–14:00</t>
  </si>
  <si>
    <t>http://vk.com/tonus12</t>
  </si>
  <si>
    <t>47.895847 56.634354</t>
  </si>
  <si>
    <t>ТрансСтрой</t>
  </si>
  <si>
    <t>+7 (8362) 30-66-68, +7 (8362) 52-29-80</t>
  </si>
  <si>
    <t>Учебный центр промышленной безопасности</t>
  </si>
  <si>
    <t>+7 (8362) 45-02-87</t>
  </si>
  <si>
    <t xml:space="preserve">prombez12@mail.ru  </t>
  </si>
  <si>
    <t>http://prombez12.ru/</t>
  </si>
  <si>
    <t>47.90076 56.646846</t>
  </si>
  <si>
    <t>Народный ломбард, офис</t>
  </si>
  <si>
    <t>+7 (8362) 51-88-88</t>
  </si>
  <si>
    <t>+7 (964) 861-88-88</t>
  </si>
  <si>
    <t>TopGear</t>
  </si>
  <si>
    <t>+7 (8362) 37-55-55</t>
  </si>
  <si>
    <t>+7 (902) 433-55-55</t>
  </si>
  <si>
    <t xml:space="preserve">37-5555@mail.ru  </t>
  </si>
  <si>
    <t>https://vk.com/topgear_12</t>
  </si>
  <si>
    <t>http://instagram.com/topgear12yo</t>
  </si>
  <si>
    <t>47.834857 56.642862</t>
  </si>
  <si>
    <t>Кадастровый инженер Бакланов А. Е.</t>
  </si>
  <si>
    <t>+7 (8362) 98-18-45</t>
  </si>
  <si>
    <t>+7 (902) 358-18-45, +7 (937) 933-87-20</t>
  </si>
  <si>
    <t>Рыбак</t>
  </si>
  <si>
    <t>ул. Строителей, 34В, Йошкар-Ола</t>
  </si>
  <si>
    <t>+7 (8362) 33-23-45</t>
  </si>
  <si>
    <t>+7 (961) 333-60-28</t>
  </si>
  <si>
    <t>Клуб охотников и рыболовов, Товары для рыбалки</t>
  </si>
  <si>
    <t>пн-пт 07:30–19:00; сб 07:30–18:30; вс 07:30–18:00</t>
  </si>
  <si>
    <t>47.831395 56.639871</t>
  </si>
  <si>
    <t>Петровское</t>
  </si>
  <si>
    <t>ул. Петрова, 27, Йошкар-Ола</t>
  </si>
  <si>
    <t>+7 (8362) 26-37-01</t>
  </si>
  <si>
    <t>47.9238 56.640545</t>
  </si>
  <si>
    <t>Нотариус Мокеева З.А.</t>
  </si>
  <si>
    <t>+7 (8362) 64-55-60</t>
  </si>
  <si>
    <t>47.86267 56.647197</t>
  </si>
  <si>
    <t>5 в Зачетке</t>
  </si>
  <si>
    <t>Воскресенская наб., 14, Йошкар-Ола</t>
  </si>
  <si>
    <t>47.903417 56.636669</t>
  </si>
  <si>
    <t>Гелиос +</t>
  </si>
  <si>
    <t>+7 (8362) 77-70-01</t>
  </si>
  <si>
    <t>47.897217 56.635165</t>
  </si>
  <si>
    <t>Атлант</t>
  </si>
  <si>
    <t xml:space="preserve">oooatlant12@yandex.ru  </t>
  </si>
  <si>
    <t>http://atlant12.nethouse.ru/</t>
  </si>
  <si>
    <t>Стройматериалы оптом, Сухие строительные смеси, Цемент</t>
  </si>
  <si>
    <t>47.873832 56.654459</t>
  </si>
  <si>
    <t>Союз четырех</t>
  </si>
  <si>
    <t>+7 (917) 712-53-40</t>
  </si>
  <si>
    <t>Республиканский кожно-венерологический диспансер. Круглосуточный стационар</t>
  </si>
  <si>
    <t>Пролетарская ул., 60Б, Йошкар-Ола</t>
  </si>
  <si>
    <t>+7 (8362) 42-02-33, +7 (8362) 42-02-05</t>
  </si>
  <si>
    <t>47.886806 56.65037</t>
  </si>
  <si>
    <t>47.889017 56.64049</t>
  </si>
  <si>
    <t>На ходу</t>
  </si>
  <si>
    <t>+7 (8362) 70-13-33</t>
  </si>
  <si>
    <t>ДанS</t>
  </si>
  <si>
    <t>+7 (8362) 35-66-40, +7 (8362) 35-55-14</t>
  </si>
  <si>
    <t>МеддингФинанс</t>
  </si>
  <si>
    <t>Больничная ул., 33, Йошкар-Ола</t>
  </si>
  <si>
    <t>+7 (8362) 61-15-95</t>
  </si>
  <si>
    <t>+7 (927) 680-85-48</t>
  </si>
  <si>
    <t>47.888433 56.64937</t>
  </si>
  <si>
    <t>Дмакс</t>
  </si>
  <si>
    <t>+7 (8362) 50-10-23, +7 (8362) 96-99-90</t>
  </si>
  <si>
    <t>Двери, Кованые изделия</t>
  </si>
  <si>
    <t>Автобусные пассажирские перевозки</t>
  </si>
  <si>
    <t>+7 (8362) 65-06-01</t>
  </si>
  <si>
    <t>+7 (927) 882-97-68</t>
  </si>
  <si>
    <t>47.931042 56.631353</t>
  </si>
  <si>
    <t>Региональный отдел возврата долгов</t>
  </si>
  <si>
    <t>+7 (960) 095-19-99</t>
  </si>
  <si>
    <t>Дворик</t>
  </si>
  <si>
    <t>ул. Прохорова, 26, Йошкар-Ола</t>
  </si>
  <si>
    <t>47.837895 56.633998</t>
  </si>
  <si>
    <t>Мульти Телеком Строй</t>
  </si>
  <si>
    <t>ул. Свердлова, 49, Йошкар-Ола</t>
  </si>
  <si>
    <t>+7 (917) 700-92-93</t>
  </si>
  <si>
    <t>Устройство сетей</t>
  </si>
  <si>
    <t>47.860981 56.641124</t>
  </si>
  <si>
    <t>Лесопромышленная группа</t>
  </si>
  <si>
    <t>+7 (8362) 52-79-01</t>
  </si>
  <si>
    <t>Научно-исследовательский институт мониторинга качества образования</t>
  </si>
  <si>
    <t>+7 (8362) 42-24-68, +7 (8362) 42-17-54, +7 (8362) 64-16-88</t>
  </si>
  <si>
    <t xml:space="preserve">nii.mko@gmail.com, examle@example.com, 38f5fa5471914f21a2380830b6fc6e44@str.i-exam.ru  </t>
  </si>
  <si>
    <t>https://i-exam.ru/</t>
  </si>
  <si>
    <t>IT-компания, НИИ</t>
  </si>
  <si>
    <t>http://vk.com/niimko</t>
  </si>
  <si>
    <t>http://facebook.com/niimko</t>
  </si>
  <si>
    <t>47.8809 56.6354</t>
  </si>
  <si>
    <t>МПТ, общежитие</t>
  </si>
  <si>
    <t>ул. Строителей, 25А, Йошкар-Ола</t>
  </si>
  <si>
    <t>+7 (8362) 73-32-67, +7 (8362) 73-04-71</t>
  </si>
  <si>
    <t>ежедневно, 06:00–22:00</t>
  </si>
  <si>
    <t>47.840742 56.633163</t>
  </si>
  <si>
    <t>Салон художественной машинной вышивки Золушка</t>
  </si>
  <si>
    <t>+7 (8362) 77-30-82</t>
  </si>
  <si>
    <t>+7 (902) 739-30-82</t>
  </si>
  <si>
    <t xml:space="preserve">irisha-zolushka@rambler.ru, zolushka12.rf@yandex.ru </t>
  </si>
  <si>
    <t>Ателье по пошиву одежды, Спецодежда, Услуги вышивки</t>
  </si>
  <si>
    <t>пн 10:00–16:00; вт-вс 09:00–17:00</t>
  </si>
  <si>
    <t>Антураж</t>
  </si>
  <si>
    <t>+7 (8362) 42-65-65</t>
  </si>
  <si>
    <t>+7 (902) 438-88-00</t>
  </si>
  <si>
    <t>http://anturazh12.ru/</t>
  </si>
  <si>
    <t>пн-пт 10:00–18:30</t>
  </si>
  <si>
    <t>47.897716 56.632059</t>
  </si>
  <si>
    <t>Дуэт- М</t>
  </si>
  <si>
    <t>+7 (8362) 34-33-86, +7 (8362) 28-06-05, +7 (8362) 91-56-05, +7 (8362) 98-76-05</t>
  </si>
  <si>
    <t>http://duet-m.ru/</t>
  </si>
  <si>
    <t>Корпусная мебель, Магазин мебели, Мебель на заказ, Окна</t>
  </si>
  <si>
    <t>http://vk.com/duet_m_12rus</t>
  </si>
  <si>
    <t>47.87453 56.636647</t>
  </si>
  <si>
    <t>Полный спектр</t>
  </si>
  <si>
    <t>ул. Прохорова, 44, корп. 1, Йошкар-Ола</t>
  </si>
  <si>
    <t>+7 (8362) 39-72-97</t>
  </si>
  <si>
    <t>Аконит</t>
  </si>
  <si>
    <t>+7 (8362) 33-15-33, +7 (8362) 33-16-33, +7 (8362) 73-02-88</t>
  </si>
  <si>
    <t xml:space="preserve">aconit@list.ru  </t>
  </si>
  <si>
    <t>http://www.aconitd.ru/</t>
  </si>
  <si>
    <t>47.82896 56.626374</t>
  </si>
  <si>
    <t>+7 (8362) 96-21-86</t>
  </si>
  <si>
    <t>https://www.фурор12.рф/, http://furor12.blizko.ru/</t>
  </si>
  <si>
    <t>Государственное бюджетное учреждение РМЭ Автобаза Правительства Республики Марий Эл</t>
  </si>
  <si>
    <t>+7 (8362) 73-65-62, +7 (8362) 42-28-50, +7 (8362) 42-29-40</t>
  </si>
  <si>
    <t>+7 (917) 071-27-80, +7 (987) 700-09-23</t>
  </si>
  <si>
    <t xml:space="preserve">info@avtobaza.ru  </t>
  </si>
  <si>
    <t>http://avtobaza12.ru/</t>
  </si>
  <si>
    <t>47.878601 56.626701</t>
  </si>
  <si>
    <t>Fort Dialogue</t>
  </si>
  <si>
    <t>+7 (8362) 41-07-30, +7 (8362) 41-30-07, +7 (8362) 41-08-41</t>
  </si>
  <si>
    <t xml:space="preserve">office.ufa@fortdialog.ru, kirill.poletaev@fortdialog.ru, sergey.ignatev@fortdialog.ru, arina.abramova@fortdialog.ru, maxim.kuzmenko@fortdialog.ru  </t>
  </si>
  <si>
    <t>http://www.fortdialog.ru/, http://ola.fortdialog.ru/</t>
  </si>
  <si>
    <t>IT-компания, Автоматизация производств</t>
  </si>
  <si>
    <t>47.885488 56.636377</t>
  </si>
  <si>
    <t>ул. Петрова, 10Б, Йошкар-Ола</t>
  </si>
  <si>
    <t>+7 (937) 115-13-73</t>
  </si>
  <si>
    <t>47.92035 56.632476</t>
  </si>
  <si>
    <t>+7 (8362) 77-70-27</t>
  </si>
  <si>
    <t>1 отряд Федеральной противопожарной службы по Республике Марий Эл</t>
  </si>
  <si>
    <t>ул. Суворова, 13, Йошкар-Ола</t>
  </si>
  <si>
    <t>+7 (8362) 68-32-01, +7 (8362) 68-39-01</t>
  </si>
  <si>
    <t>+7 (8362) 68-39-01</t>
  </si>
  <si>
    <t>Правоохранительные органы и силовые структуры</t>
  </si>
  <si>
    <t>Пожарное оборудование, Пожарные части и службы</t>
  </si>
  <si>
    <t>47.865624 56.634959</t>
  </si>
  <si>
    <t>Автоискра.рф</t>
  </si>
  <si>
    <t>+7 (8362) 71-40-71, +7 (8362) 67-50-25</t>
  </si>
  <si>
    <t>+7 (937) 939-40-71, +7 (964) 863-50-25, +7 (937) 111-08-63</t>
  </si>
  <si>
    <t>https://автоискра.рф/</t>
  </si>
  <si>
    <t>Автоаксессуары, Авторазбор, Автосервис, автотехцентр, Магазин автозапчастей и автотоваров, Шиномонтаж</t>
  </si>
  <si>
    <t>пн-пт 09:00–19:00; сб,вс 10:00–15:00</t>
  </si>
  <si>
    <t>https://vk.com/avtorazbor12rus</t>
  </si>
  <si>
    <t>47.919545 56.635602</t>
  </si>
  <si>
    <t>+7 (927) 873-80-05</t>
  </si>
  <si>
    <t>47.893257 56.638568</t>
  </si>
  <si>
    <t>ЭлСервис</t>
  </si>
  <si>
    <t>+7 (8362) 79-22-22</t>
  </si>
  <si>
    <t>+7 (902) 326-07-77</t>
  </si>
  <si>
    <t>+7 (8362) 41-73-66, +7 (8362) 41-73-98</t>
  </si>
  <si>
    <t>Запорная арматура и КИПиА</t>
  </si>
  <si>
    <t>+7 (8362) 36-31-34, +7 (8362) 36-31-64</t>
  </si>
  <si>
    <t>+7 (903) 326-66-69, +7 (966) 249-60-71</t>
  </si>
  <si>
    <t xml:space="preserve">webmaster@ketes.ru, 363134@armatura-kipia.com, armatura-kipia@mail.ru </t>
  </si>
  <si>
    <t>Оптторг</t>
  </si>
  <si>
    <t>+7 (8362) 43-43-58, +7 (8362) 96-34-94</t>
  </si>
  <si>
    <t>Магазин фирменного нижнего белья и аксессуаров</t>
  </si>
  <si>
    <t>+7 (987) 718-92-19</t>
  </si>
  <si>
    <t>http://viene.ru/</t>
  </si>
  <si>
    <t>http://vk.com/viene</t>
  </si>
  <si>
    <t>47.90003 56.643891</t>
  </si>
  <si>
    <t>Склад мебели</t>
  </si>
  <si>
    <t>+7 (8362) 74-18-09</t>
  </si>
  <si>
    <t>Будь Здоров!</t>
  </si>
  <si>
    <t>8 (800) 777-03-03, +7 (8362) 64-21-57</t>
  </si>
  <si>
    <t xml:space="preserve">info@rigla.ru </t>
  </si>
  <si>
    <t>https://www.budzdorov.ru/, http://www.rigla.ru/about/bud_zdorov/, http://www.rigla.ru/stores/store/12012/</t>
  </si>
  <si>
    <t>https://vk.com/rigla_ru</t>
  </si>
  <si>
    <t>https://ok.ru/rigla.ru</t>
  </si>
  <si>
    <t>https://www.facebook.com/rigla.ru</t>
  </si>
  <si>
    <t>https://www.instagram.com/rigla.ru/</t>
  </si>
  <si>
    <t>47.945111 56.622199</t>
  </si>
  <si>
    <t>Супермамки</t>
  </si>
  <si>
    <t>+7 (843) 233-48-73</t>
  </si>
  <si>
    <t xml:space="preserve">help@supermamki.ru, helpdesk.support@payanyway.ru  </t>
  </si>
  <si>
    <t>https://crm.supermamki.ru/</t>
  </si>
  <si>
    <t>http://vk.com/supermamki</t>
  </si>
  <si>
    <t>https://www.instagram.com/supermamki.ru</t>
  </si>
  <si>
    <t>Trade Lock</t>
  </si>
  <si>
    <t>+7 (8362) 38-21-66, +7 (8362) 38-21-77</t>
  </si>
  <si>
    <t>Мебельная фурнитура и комплектующие, Оптовая компания</t>
  </si>
  <si>
    <t>Чистый Мир</t>
  </si>
  <si>
    <t>+7 (8362) 55-14-10, +7 (8362) 55-15-10</t>
  </si>
  <si>
    <t xml:space="preserve">vavaev@clean-world.ru, barmin@clean-world.ru, egorichev@clean-world.ru, golomov@clean-world.ru, dezhin@clean-world.ru  </t>
  </si>
  <si>
    <t>http://www.clean-world.ru/</t>
  </si>
  <si>
    <t>47.863433 56.641981</t>
  </si>
  <si>
    <t>Союз архитекторов России</t>
  </si>
  <si>
    <t>+7 (8362) 72-08-56</t>
  </si>
  <si>
    <t>пн-пт 08:00–17:30, перерыв 12:00–13:00</t>
  </si>
  <si>
    <t>Кн Тур Казань</t>
  </si>
  <si>
    <t>8 (800) 500-53-43, 8 (800) 500-53-34, +7 (8362) 39-84-54</t>
  </si>
  <si>
    <t>+7 (937) 939-84-54</t>
  </si>
  <si>
    <t xml:space="preserve">kn_tour@mail.ru  </t>
  </si>
  <si>
    <t>http://tourkn.ru/</t>
  </si>
  <si>
    <t>https://vk.com/kn_tour_kazan</t>
  </si>
  <si>
    <t>47.895592 56.640221</t>
  </si>
  <si>
    <t>Марийскавтодор</t>
  </si>
  <si>
    <t>+7 (8362) 68-61-03, +7 (8362) 68-62-04, +7 (8362) 68-62-06, +7 (8362) 68-61-35</t>
  </si>
  <si>
    <t>+7 (8362) 46-83-64</t>
  </si>
  <si>
    <t xml:space="preserve">informsreda@yandex.ru, o.glebova@mar-dor.ru, info-mad@mar-dor.ru  </t>
  </si>
  <si>
    <t>http://mar-dor.ru/, http://mari-el.gov.ru/minprom/avtodor/Pages/main.aspx</t>
  </si>
  <si>
    <t>Строительство и ремонт дорог</t>
  </si>
  <si>
    <t>47.895264 56.645299</t>
  </si>
  <si>
    <t>Волго-вятская компания</t>
  </si>
  <si>
    <t>+7 (8362) 32-13-59</t>
  </si>
  <si>
    <t>http://v-vk.com/</t>
  </si>
  <si>
    <t>47.939247 56.622812</t>
  </si>
  <si>
    <t>ул. Зарубина, 51, Йошкар-Ола</t>
  </si>
  <si>
    <t>+7 (8362) 37-50-50, +7 (8362) 62-98-79</t>
  </si>
  <si>
    <t>+7 (917) 700-10-72</t>
  </si>
  <si>
    <t xml:space="preserve">energoaudit-12@mail.ru </t>
  </si>
  <si>
    <t>http://орион12.рф/</t>
  </si>
  <si>
    <t>Электромонтажные работы, Энергосбережение и энергоаудит</t>
  </si>
  <si>
    <t>47.866353 56.638432</t>
  </si>
  <si>
    <t>Фарид</t>
  </si>
  <si>
    <t>пер. Лёни Голикова, 22, Йошкар-Ола</t>
  </si>
  <si>
    <t>47.903793 56.617702</t>
  </si>
  <si>
    <t>+7 (8362) 77-43-00</t>
  </si>
  <si>
    <t>ул. Йывана Кырли, 42А, Йошкар-Ола</t>
  </si>
  <si>
    <t>47.833941 56.640733</t>
  </si>
  <si>
    <t>Интернет-агентство Sciro</t>
  </si>
  <si>
    <t>+7 (960) 500-61-66</t>
  </si>
  <si>
    <t xml:space="preserve">mail@sciro.ru  </t>
  </si>
  <si>
    <t>https://vk.com/scirro</t>
  </si>
  <si>
    <t>47.888515 56.65526</t>
  </si>
  <si>
    <t>Ремонтная фирма</t>
  </si>
  <si>
    <t>ул. Менделеева, 43, Йошкар-Ола</t>
  </si>
  <si>
    <t>+7 (8362) 40-15-10</t>
  </si>
  <si>
    <t>пн-пт 10:00–18:00; сб,вс 11:00–16:00</t>
  </si>
  <si>
    <t>47.903354 56.649845</t>
  </si>
  <si>
    <t>+7 (987) 723-77-70</t>
  </si>
  <si>
    <t>пн-пт 08:00–21:00</t>
  </si>
  <si>
    <t>47.870848 56.625512</t>
  </si>
  <si>
    <t>ИП Большова Н. Ю.</t>
  </si>
  <si>
    <t>47.894856 56.632055</t>
  </si>
  <si>
    <t>бул. Победы, 104, Йошкар-Ола</t>
  </si>
  <si>
    <t>+7 (8362) 52-42-59, +7 (8362) 99-44-99, +7 (8362) 77-00-64</t>
  </si>
  <si>
    <t xml:space="preserve">14370afcdc17429f9e418d5ffbd0334a@sentry.wixpress.com, wixofday@wix.com  </t>
  </si>
  <si>
    <t>http://sofy172.wix.com/zolotay-vosmerka</t>
  </si>
  <si>
    <t>47.879127 56.638887</t>
  </si>
  <si>
    <t>Гарантия</t>
  </si>
  <si>
    <t>+7 (8362) 90-86-33, +7 (8362) 50-23-27</t>
  </si>
  <si>
    <t>Dixi</t>
  </si>
  <si>
    <t>+7 (927) 888-37-70</t>
  </si>
  <si>
    <t>Дежавю</t>
  </si>
  <si>
    <t>+7 (8362) 44-02-16</t>
  </si>
  <si>
    <t>47.927452 56.631705</t>
  </si>
  <si>
    <t>Бризер-М</t>
  </si>
  <si>
    <t>Пролетарская ул., 31, Йошкар-Ола</t>
  </si>
  <si>
    <t>+7 (8362) 37-99-47</t>
  </si>
  <si>
    <t>http://vk.com/brizer_m</t>
  </si>
  <si>
    <t>47.893643 56.645203</t>
  </si>
  <si>
    <t>Гламур</t>
  </si>
  <si>
    <t>+7 (8362) 65-05-05</t>
  </si>
  <si>
    <t>47.832924 56.636625</t>
  </si>
  <si>
    <t>АлексProff</t>
  </si>
  <si>
    <t>+7 (8362) 36-60-06</t>
  </si>
  <si>
    <t>+7 (8362) 29-72-97</t>
  </si>
  <si>
    <t>Malakhov</t>
  </si>
  <si>
    <t>+7 (8362) 32-02-35</t>
  </si>
  <si>
    <t>47.913727 56.627111</t>
  </si>
  <si>
    <t>Гармония Двери</t>
  </si>
  <si>
    <t>+7 (8362) 70-01-20</t>
  </si>
  <si>
    <t>Ваш универсальный мастер</t>
  </si>
  <si>
    <t>+7 (8362) 66-77-53</t>
  </si>
  <si>
    <t>+7 (917) 700-56-66</t>
  </si>
  <si>
    <t>Ателье по пошиву одежды, Металлоремонт, Ремонт обуви, Ремонт сумок и чемоданов, Ремонт часов</t>
  </si>
  <si>
    <t>47.856162 56.645162</t>
  </si>
  <si>
    <t>House</t>
  </si>
  <si>
    <t>+7 (927) 849-97-99</t>
  </si>
  <si>
    <t>47.896533 56.628623</t>
  </si>
  <si>
    <t>Привал</t>
  </si>
  <si>
    <t>+7 (8362) 45-93-10, +7 (8362) 32-07-00</t>
  </si>
  <si>
    <t>Спортивный магазин, Товары для отдыха и туризма, Товары для рыбалки</t>
  </si>
  <si>
    <t>http://vk.com/prival05</t>
  </si>
  <si>
    <t>47.890139 56.646288</t>
  </si>
  <si>
    <t>Дипломат</t>
  </si>
  <si>
    <t>+7 (8362) 61-16-81</t>
  </si>
  <si>
    <t>47.892744 56.638753</t>
  </si>
  <si>
    <t>Элеганс</t>
  </si>
  <si>
    <t>+7 (8362) 42-37-00</t>
  </si>
  <si>
    <t>+7 (987) 716-80-88</t>
  </si>
  <si>
    <t>47.894631 56.629359</t>
  </si>
  <si>
    <t>+7 (8362) 56-69-54</t>
  </si>
  <si>
    <t>пн-пт 08:00–19:00; сб 09:00–15:00; вс 09:00–13:00</t>
  </si>
  <si>
    <t>47.875054 56.634485</t>
  </si>
  <si>
    <t>Sunmar</t>
  </si>
  <si>
    <t>+7 (8362) 38-00-12, +7 (8362) 73-65-26</t>
  </si>
  <si>
    <t xml:space="preserve">tourist@sunmar.ru  </t>
  </si>
  <si>
    <t>http://www.sunmar.ru/</t>
  </si>
  <si>
    <t>пн-пт 10:00–18:00; сб 10:00–14:00; вс 09:00–18:00</t>
  </si>
  <si>
    <t>https://vk.com/sunmar</t>
  </si>
  <si>
    <t>http://ok.ru/sunmarturoperator</t>
  </si>
  <si>
    <t>http://www.facebook.com/sunmarturoperator</t>
  </si>
  <si>
    <t>https://www.instagram.com/sunmar/</t>
  </si>
  <si>
    <t>47.881813 56.631199</t>
  </si>
  <si>
    <t>+7 (8362) 41-53-46</t>
  </si>
  <si>
    <t>http://www.instagram.com/svens487</t>
  </si>
  <si>
    <t>47.896833 56.63534</t>
  </si>
  <si>
    <t>Королевский размер</t>
  </si>
  <si>
    <t>+7 (961) 373-36-13</t>
  </si>
  <si>
    <t>47.889199 56.640811</t>
  </si>
  <si>
    <t>+7 (8362) 42-57-28</t>
  </si>
  <si>
    <t>пн-сб 08:00–19:00, перерыв 13:00–14:00; вс 10:00–17:00</t>
  </si>
  <si>
    <t>47.890482 56.630238</t>
  </si>
  <si>
    <t>ул. Воинов-Интернационалистов, 22Б, Йошкар-Ола</t>
  </si>
  <si>
    <t>+7 (8362) 91-52-94</t>
  </si>
  <si>
    <t>пн-пт 09:00–19:00, перерыв 12:00–13:00; сб,вс 09:00–16:00</t>
  </si>
  <si>
    <t>47.928402 56.637071</t>
  </si>
  <si>
    <t>ГАЗ-Техно</t>
  </si>
  <si>
    <t>+7 (8362) 72-91-84</t>
  </si>
  <si>
    <t>Бастион</t>
  </si>
  <si>
    <t>Элеваторный пр., 4А, Йошкар-Ола</t>
  </si>
  <si>
    <t>+7 (8362) 74-19-45, +7 (8362) 45-31-19</t>
  </si>
  <si>
    <t>47.8976 56.6143</t>
  </si>
  <si>
    <t>+7 (960) 096-66-62, +7 (903) 326-60-00</t>
  </si>
  <si>
    <t>Аллегро</t>
  </si>
  <si>
    <t>+7 (8362) 54-63-51, +7 (8362) 54-62-51</t>
  </si>
  <si>
    <t>+7 (964) 864-63-51</t>
  </si>
  <si>
    <t>ежедневно, 17:00–20:00</t>
  </si>
  <si>
    <t>47.92795 56.633679</t>
  </si>
  <si>
    <t>Экология Про</t>
  </si>
  <si>
    <t>+7 (917) 704-13-72</t>
  </si>
  <si>
    <t>Марийские семена</t>
  </si>
  <si>
    <t>+7 (8362) 30-40-48</t>
  </si>
  <si>
    <t>47.854773 56.614282</t>
  </si>
  <si>
    <t>Нотариус Бусыгина Светлана Викторовна</t>
  </si>
  <si>
    <t>+7 (8362) 45-21-73</t>
  </si>
  <si>
    <t>47.882074 56.634653</t>
  </si>
  <si>
    <t>Лингвамен</t>
  </si>
  <si>
    <t>+7 (8362) 33-03-01</t>
  </si>
  <si>
    <t xml:space="preserve">info@linguaman.ru </t>
  </si>
  <si>
    <t>http://www.linguaman.ru/</t>
  </si>
  <si>
    <t>Бизнес-школа, Курсы иностранных языков, Общеобразовательная школа</t>
  </si>
  <si>
    <t>https://vk.com/linguaman</t>
  </si>
  <si>
    <t>47.8883 56.6306</t>
  </si>
  <si>
    <t>+7 (964) 860-11-97</t>
  </si>
  <si>
    <t>Шелвуд</t>
  </si>
  <si>
    <t>+7 (967) 756-31-44, +7 (967) 756-10-84</t>
  </si>
  <si>
    <t xml:space="preserve">ldsp1983@mail.ru, ldsp@mail.ru  </t>
  </si>
  <si>
    <t>http://shellwood-gk.ru/</t>
  </si>
  <si>
    <t>Напольные покрытия, Строительный магазин, Фанера</t>
  </si>
  <si>
    <t>Фестиваль</t>
  </si>
  <si>
    <t>+7 (8362) 55-62-82</t>
  </si>
  <si>
    <t>+7 (927) 875-95-86</t>
  </si>
  <si>
    <t>47.834686 56.644183</t>
  </si>
  <si>
    <t>ТСЖ Анникова-2</t>
  </si>
  <si>
    <t>ул. Анникова, 2, Йошкар-Ола</t>
  </si>
  <si>
    <t>+7 (903) 326-42-12</t>
  </si>
  <si>
    <t>пн-ср 19:00–20:00</t>
  </si>
  <si>
    <t>47.843405 56.645236</t>
  </si>
  <si>
    <t>Замки</t>
  </si>
  <si>
    <t>+7 (8362) 47-85-40</t>
  </si>
  <si>
    <t>47.888211 56.641893</t>
  </si>
  <si>
    <t>+7 (8362) 23-26-32, +7 (8362) 52-95-55, +7 (8362) 23-32-32, +7 (8362) 54-11-63</t>
  </si>
  <si>
    <t>47.961232 56.613478</t>
  </si>
  <si>
    <t>Импэком</t>
  </si>
  <si>
    <t>+7 (8362) 71-12-00, +7 (8362) 42-88-05</t>
  </si>
  <si>
    <t>+7 (8362) 42-88-05</t>
  </si>
  <si>
    <t>Медицинская мебель, Медицинские изделия и расходные материалы, Медицинское оборудование, медтехника</t>
  </si>
  <si>
    <t>Артстрой</t>
  </si>
  <si>
    <t>+7 (8362) 33-44-00, +7 (8362) 32-49-70</t>
  </si>
  <si>
    <t>+7 (927) 882-49-70</t>
  </si>
  <si>
    <t>Теплая керамика</t>
  </si>
  <si>
    <t>+7 (927) 878-20-90</t>
  </si>
  <si>
    <t xml:space="preserve">info@tkeramika.laconix.ru, info@tkeramika.ru  </t>
  </si>
  <si>
    <t>http://12.tkeramika.ru/</t>
  </si>
  <si>
    <t>Кирпич, Кровля и кровельные материалы, Сухие строительные смеси</t>
  </si>
  <si>
    <t>https://www.instagram.com/tkeramika.ru</t>
  </si>
  <si>
    <t>47.862256 56.639694</t>
  </si>
  <si>
    <t>+7 (902) 432-68-58</t>
  </si>
  <si>
    <t>Бюро № 8 - филиал ФКУ ГБ МСЭ по Республике Марий Эл</t>
  </si>
  <si>
    <t>+7 (8362) 45-78-03</t>
  </si>
  <si>
    <t>http://rosmintrud12.ru/</t>
  </si>
  <si>
    <t>Медико-социальная экспертиза, Экспертиза</t>
  </si>
  <si>
    <t>пн,вт,чт 12:00–19:06</t>
  </si>
  <si>
    <t>47.879736 56.649811</t>
  </si>
  <si>
    <t>Заречье</t>
  </si>
  <si>
    <t>+7 (8362) 22-81-05</t>
  </si>
  <si>
    <t>47.947438 56.628915</t>
  </si>
  <si>
    <t>Гостиный двор</t>
  </si>
  <si>
    <t>Бизнес-центр, Торговый центр</t>
  </si>
  <si>
    <t>47.885887 56.63248</t>
  </si>
  <si>
    <t>Авторесурс</t>
  </si>
  <si>
    <t>+7 (8362) 55-35-93, +7 (8362) 66-66-56</t>
  </si>
  <si>
    <t>пн-пт 08:30–17:30; сб,вс 09:00–13:00</t>
  </si>
  <si>
    <t>ТСЖ Сурт</t>
  </si>
  <si>
    <t>+7 (8362) 92-89-70, +7 (8362) 63-61-79</t>
  </si>
  <si>
    <t>+7 (902) 325-77-16</t>
  </si>
  <si>
    <t>вт 18:00–20:00</t>
  </si>
  <si>
    <t>ТСЖ Сахалинец-15</t>
  </si>
  <si>
    <t>бул. Данилова, 2, Йошкар-Ола</t>
  </si>
  <si>
    <t>+7 (8362) 64-70-15, +7 (8362) 23-13-86, +7 (8362) 64-68-19</t>
  </si>
  <si>
    <t>47.943219 56.629724</t>
  </si>
  <si>
    <t>Репетитор по биологии</t>
  </si>
  <si>
    <t>+7 (927) 888-17-19</t>
  </si>
  <si>
    <t xml:space="preserve">bio@tutor12.ru  </t>
  </si>
  <si>
    <t>https://tutor12.ru/</t>
  </si>
  <si>
    <t>Компьютерные курсы, Услуги репетиторов, Учебный центр</t>
  </si>
  <si>
    <t>пн-пт 12:00–20:00; сб 12:00–16:00</t>
  </si>
  <si>
    <t>https://vk.com/bio_5</t>
  </si>
  <si>
    <t>47.864362 56.646676</t>
  </si>
  <si>
    <t>ТСЖ Электрон</t>
  </si>
  <si>
    <t>+7 (8362) 71-73-92</t>
  </si>
  <si>
    <t>пн-пт 18:00–19:00</t>
  </si>
  <si>
    <t>47.847955 56.64208</t>
  </si>
  <si>
    <t>Пластика</t>
  </si>
  <si>
    <t>Медицинская ул., 3/2, Йошкар-Ола</t>
  </si>
  <si>
    <t>+7 (8362) 64-37-33, +7 (8362) 20-35-35, +7 (8362) 72-44-46</t>
  </si>
  <si>
    <t>+7 (902) 430-35-35</t>
  </si>
  <si>
    <t xml:space="preserve">plastica@nm.ru </t>
  </si>
  <si>
    <t>http://plastica12.ru/</t>
  </si>
  <si>
    <t>Косметология, Пластическая хирургия</t>
  </si>
  <si>
    <t>вт-сб 08:00–16:00</t>
  </si>
  <si>
    <t>47.958286 56.64108</t>
  </si>
  <si>
    <t>Мир Потолков и Стен, натяжные потолки</t>
  </si>
  <si>
    <t>+7 (8362) 92-88-66, +7 (8362) 32-88-66</t>
  </si>
  <si>
    <t>+7 (927) 684-24-64</t>
  </si>
  <si>
    <t xml:space="preserve">potolok-yola@ya.ru  </t>
  </si>
  <si>
    <t>http://potolok12.ru/</t>
  </si>
  <si>
    <t>Кондиционеры, Натяжные и подвесные потолки</t>
  </si>
  <si>
    <t>пн-пт 09:00–18:00; сб,вс 10:00–14:00</t>
  </si>
  <si>
    <t>https://vk.com/id234382925</t>
  </si>
  <si>
    <t>https://www.instagram.com/accounts/login/?next=/potolok12.ru/</t>
  </si>
  <si>
    <t>47.928388 56.634607</t>
  </si>
  <si>
    <t>Шторберри</t>
  </si>
  <si>
    <t>Такси Столица</t>
  </si>
  <si>
    <t>ул. Машиностроителей, 8Е, Йошкар-Ола</t>
  </si>
  <si>
    <t>+7 (8362) 66-66-66, +7 (8362) 99-99-99, +7 (8362) 42-20-20, +7 (8362) 98-87-88</t>
  </si>
  <si>
    <t xml:space="preserve">dimanstolica@yandex.ru </t>
  </si>
  <si>
    <t>Фестивальная ул., 62, Йошкар-Ола</t>
  </si>
  <si>
    <t>+7 (937) 935-52-70</t>
  </si>
  <si>
    <t>Сантехнические работы, Системы вентиляции, Строительство и обслуживание инженерных сетей</t>
  </si>
  <si>
    <t>47.86561 56.641613</t>
  </si>
  <si>
    <t>Столовая Марийский кооперативный техникум</t>
  </si>
  <si>
    <t>47.878713 56.631625</t>
  </si>
  <si>
    <t>ОКТБ Кристалл</t>
  </si>
  <si>
    <t>ул. Строителей, 93, Йошкар-Ола</t>
  </si>
  <si>
    <t>+7 (8362) 73-14-21, +7 (8362) 41-60-41, +7 (8362) 73-42-72, +7 (8362) 73-02-38</t>
  </si>
  <si>
    <t>+7 (8362) 45-31-31</t>
  </si>
  <si>
    <t xml:space="preserve">psto@oktb-kristall.ru, kristall@mari-el.ru  </t>
  </si>
  <si>
    <t>http://www.oktb-kristall.ru/</t>
  </si>
  <si>
    <t>Конструкторское бюро, Машиностроительный завод, Металлургическое предприятие, Насосы, насосное оборудование</t>
  </si>
  <si>
    <t>47.8554 56.6244</t>
  </si>
  <si>
    <t>Золотой Плёс</t>
  </si>
  <si>
    <t>47.868443 56.650421</t>
  </si>
  <si>
    <t>Стеклярус</t>
  </si>
  <si>
    <t>+7 (8362) 38-20-70, +7 (8362) 38-20-71</t>
  </si>
  <si>
    <t>47.8897 56.6459</t>
  </si>
  <si>
    <t>Дефенса</t>
  </si>
  <si>
    <t>+7 (8362) 42-47-45</t>
  </si>
  <si>
    <t>+7 (964) 861-25-12</t>
  </si>
  <si>
    <t>Двери, Строительный магазин</t>
  </si>
  <si>
    <t>АСВ</t>
  </si>
  <si>
    <t>+7 (8362) 39-87-42, +7 (8362) 39-87-21, +7 (8362) 52-51-97</t>
  </si>
  <si>
    <t>+7 (8362) 32-64-22</t>
  </si>
  <si>
    <t>47.8973 56.6284</t>
  </si>
  <si>
    <t>Вэлт</t>
  </si>
  <si>
    <t>+7 (8362) 43-03-80, +7 (8362) 41-29-13, +7 (8362) 42-52-91</t>
  </si>
  <si>
    <t xml:space="preserve">tvkinfo@yandex.ru </t>
  </si>
  <si>
    <t>http://www.вэлт.рф/</t>
  </si>
  <si>
    <t>Кондиционеры, Котлы и котельное оборудование, Отопительное оборудование и системы, Промышленное оборудование, Системы вентиляции</t>
  </si>
  <si>
    <t>Пилот-У</t>
  </si>
  <si>
    <t>+7 (8362) 68-79-68</t>
  </si>
  <si>
    <t>+7 (991) 462-66-51</t>
  </si>
  <si>
    <t>47.875068 56.643134</t>
  </si>
  <si>
    <t>Двери Авангард</t>
  </si>
  <si>
    <t>+7 (8362) 74-10-14, +7 (8362) 74-17-78</t>
  </si>
  <si>
    <t>+7 (917) 710-01-54</t>
  </si>
  <si>
    <t xml:space="preserve">rto@dveriavangard.ru  </t>
  </si>
  <si>
    <t>https://dveriavangard.ru/</t>
  </si>
  <si>
    <t>Двери, Оптовый магазин, Производственное предприятие</t>
  </si>
  <si>
    <t>47.913633 56.6126</t>
  </si>
  <si>
    <t>Линк Мастер</t>
  </si>
  <si>
    <t>+7 (927) 883-77-05, +7 (927) 873-99-77</t>
  </si>
  <si>
    <t>Кондиционеры, Системы вентиляции, Электромонтажные работы</t>
  </si>
  <si>
    <t>Профиль</t>
  </si>
  <si>
    <t>+7 (8362) 45-91-84</t>
  </si>
  <si>
    <t>+7 (904) 724-12-84</t>
  </si>
  <si>
    <t>пн-пт 09:00–18:00; сб,вс 14:00–18:00</t>
  </si>
  <si>
    <t>Хуторок</t>
  </si>
  <si>
    <t>Магазин хозтоваров и бытовой химии, Строительный магазин</t>
  </si>
  <si>
    <t>47.899071 56.65148</t>
  </si>
  <si>
    <t>Якорь</t>
  </si>
  <si>
    <t>+7 (8362) 99-66-07</t>
  </si>
  <si>
    <t>Медицина</t>
  </si>
  <si>
    <t>+7 (8362) 73-45-41</t>
  </si>
  <si>
    <t>+7 (917) 703-60-20</t>
  </si>
  <si>
    <t>47.851512 56.631729</t>
  </si>
  <si>
    <t>Юридическая фирма</t>
  </si>
  <si>
    <t>+7 (8362) 32-04-59</t>
  </si>
  <si>
    <t>Анком</t>
  </si>
  <si>
    <t>+7 (8362) 32-84-89</t>
  </si>
  <si>
    <t>+7 (917) 703-07-67</t>
  </si>
  <si>
    <t>47.896846 56.635251</t>
  </si>
  <si>
    <t>+7 (8362) 51-37-73</t>
  </si>
  <si>
    <t>пн-пт 09:00–20:00; сб 09:00–18:00</t>
  </si>
  <si>
    <t>47.8359 56.64152</t>
  </si>
  <si>
    <t>+7 (902) 744-30-39</t>
  </si>
  <si>
    <t>ежедневно, 06:00–19:30</t>
  </si>
  <si>
    <t>Авто-Драйв</t>
  </si>
  <si>
    <t>ул. Мира, 30, корп. 1, Йошкар-Ола</t>
  </si>
  <si>
    <t>+7 (8362) 36-00-66</t>
  </si>
  <si>
    <t>http://avto-drive12.ru/</t>
  </si>
  <si>
    <t>Автомойка, Автосервис, автотехцентр, Ремонт двигателей</t>
  </si>
  <si>
    <t>http://vk.com/autosportshop12</t>
  </si>
  <si>
    <t>47.948009 56.636645</t>
  </si>
  <si>
    <t>Советская ул., 147, Йошкар-Ола</t>
  </si>
  <si>
    <t>+7 (8362) 75-87-58, +7 (8362) 99-89-81</t>
  </si>
  <si>
    <t>47.895303 56.631638</t>
  </si>
  <si>
    <t>Республиканский исследовательско-консалтинговый центр</t>
  </si>
  <si>
    <t>+7 (8362) 75-77-57, +7 (8362) 77-88-00</t>
  </si>
  <si>
    <t xml:space="preserve">rikc12@mail.ru  </t>
  </si>
  <si>
    <t>http://rikc12.ru/</t>
  </si>
  <si>
    <t>47.894802 56.64643</t>
  </si>
  <si>
    <t>Super 8</t>
  </si>
  <si>
    <t>+7 (8362) 38-38-00, +7 (8362) 38-58-59</t>
  </si>
  <si>
    <t xml:space="preserve">marketolog.super8@mail.ru  </t>
  </si>
  <si>
    <t>https://супер8.рф/</t>
  </si>
  <si>
    <t>пн-ср 08:00–01:00; чт-вс 08:00–23:00</t>
  </si>
  <si>
    <t>https://vk.com/super_8</t>
  </si>
  <si>
    <t>47.930099 56.628406</t>
  </si>
  <si>
    <t>Фотосалон</t>
  </si>
  <si>
    <t>+7 (964) 861-08-34</t>
  </si>
  <si>
    <t>47.926343 56.635297</t>
  </si>
  <si>
    <t>+7 (8362) 42-63-06</t>
  </si>
  <si>
    <t>+7 (902) 124-50-01</t>
  </si>
  <si>
    <t>Банкетный зал</t>
  </si>
  <si>
    <t>47.875355 56.632674</t>
  </si>
  <si>
    <t>Галерея дверей</t>
  </si>
  <si>
    <t>+7 (8362) 27-50-52, +7 (8362) 27-50-51</t>
  </si>
  <si>
    <t>+7 (902) 437-50-52</t>
  </si>
  <si>
    <t>http://галерея-дверей12.рф/</t>
  </si>
  <si>
    <t>УК Городок</t>
  </si>
  <si>
    <t>+7 (8362) 63-50-57, +7 (8362) 63-50-54, +7 (8362) 33-70-41</t>
  </si>
  <si>
    <t xml:space="preserve">635057@bk.ru  </t>
  </si>
  <si>
    <t>http://uk-gorodok.ru/</t>
  </si>
  <si>
    <t>47.835657 56.635649</t>
  </si>
  <si>
    <t>Русская баня</t>
  </si>
  <si>
    <t>+7 (8362) 91-71-43, +7 (8362) 75-59-00</t>
  </si>
  <si>
    <t xml:space="preserve">info@rbanya12.ru  </t>
  </si>
  <si>
    <t>http://rbanya12.ru/</t>
  </si>
  <si>
    <t>пн-пт 08:00–17:30; сб,вс 08:00–15:00</t>
  </si>
  <si>
    <t>47.8503 56.6251</t>
  </si>
  <si>
    <t>+7 (8362) 41-41-26, +7 (8362) 32-01-15, +7 (8362) 76-61-40</t>
  </si>
  <si>
    <t>+7 (927) 680-57-30</t>
  </si>
  <si>
    <t>КлинПак</t>
  </si>
  <si>
    <t>пер. Лёни Голикова, 5, Йошкар-Ола</t>
  </si>
  <si>
    <t>+7 (8362) 45-55-05, +7 (8362) 77-44-77, +7 (8362) 56-43-00, +7 (8362) 32-61-11</t>
  </si>
  <si>
    <t xml:space="preserve">cleanpack@yandex.ru  </t>
  </si>
  <si>
    <t>http://cl-p.ru/</t>
  </si>
  <si>
    <t>Одноразовая посуда, Оптовый магазин, Пластмассовые и пластиковые изделия, Промышленная химия, Тара и упаковочные материалы</t>
  </si>
  <si>
    <t>пн-чт 08:30–17:00, перерыв 12:00–13:00; пт 08:30–16:00</t>
  </si>
  <si>
    <t>47.904588 56.617704</t>
  </si>
  <si>
    <t>ИП Никитин А. А.</t>
  </si>
  <si>
    <t>+7 (987) 718-84-44</t>
  </si>
  <si>
    <t>Оплот</t>
  </si>
  <si>
    <t>+7 (8362) 45-34-30, +7 (8362) 52-09-35, +7 (8362) 72-83-69</t>
  </si>
  <si>
    <t>+7 (906) 137-09-35</t>
  </si>
  <si>
    <t xml:space="preserve">marifort@mail.ru  </t>
  </si>
  <si>
    <t>http://www.ipsc12.ru/</t>
  </si>
  <si>
    <t>Спортивный клуб, секция, Стрелковый клуб, тир, Учебный центр</t>
  </si>
  <si>
    <t>47.8836 56.6391</t>
  </si>
  <si>
    <t>I-era.ru</t>
  </si>
  <si>
    <t>+7 (922) 591-68-58</t>
  </si>
  <si>
    <t>Интернет-магазин, Магазин галантереи и аксессуаров, Магазин часов</t>
  </si>
  <si>
    <t>47.919856 56.630664</t>
  </si>
  <si>
    <t>Евроокно</t>
  </si>
  <si>
    <t>+7 (8362) 45-55-77</t>
  </si>
  <si>
    <t>+7 (927) 882-06-78</t>
  </si>
  <si>
    <t xml:space="preserve">evro-okno2007@yandex.ru </t>
  </si>
  <si>
    <t>47.900557 56.638169</t>
  </si>
  <si>
    <t>ИнвестСтройСервис</t>
  </si>
  <si>
    <t>+7 (8362) 64-88-13</t>
  </si>
  <si>
    <t>47.9348 56.638</t>
  </si>
  <si>
    <t>Йошкар-олинская обувная фабрика</t>
  </si>
  <si>
    <t>Первомайская ул., 85, Йошкар-Ола</t>
  </si>
  <si>
    <t>+7 (8362) 46-12-16, +7 (8362) 46-07-77</t>
  </si>
  <si>
    <t>Обувная компания</t>
  </si>
  <si>
    <t>47.892052 56.645235</t>
  </si>
  <si>
    <t>Школа А. А. Кадочникова в Республике Марий Эл</t>
  </si>
  <si>
    <t>+7 (987) 713-45-74</t>
  </si>
  <si>
    <t>пн круглосуточно; вт 19:00–21:00; ср круглосуточно; чт 19:00–21:00; пт-вс круглосуточно</t>
  </si>
  <si>
    <t>+7 (8362) 31-03-02, +7 (8362) 31-03-53, +7 (8362) 50-07-02, +7 (8362) 50-07-03</t>
  </si>
  <si>
    <t>47.946096 56.626644</t>
  </si>
  <si>
    <t>+7 (8362) 71-27-18, +7 (8362) 51-21-08</t>
  </si>
  <si>
    <t>пн-пт 10:00–18:00; сб 10:00–14:00</t>
  </si>
  <si>
    <t>47.8737 56.6524</t>
  </si>
  <si>
    <t>Мега Дом</t>
  </si>
  <si>
    <t>Красноармейская ул., 120Б, Йошкар-Ола</t>
  </si>
  <si>
    <t>+7 (8362) 46-25-99, +7 (8362) 46-25-45, +7 (8362) 46-26-02</t>
  </si>
  <si>
    <t>Магазин сантехники, Магазин хозтоваров и бытовой химии, Строительный магазин</t>
  </si>
  <si>
    <t>https://vk.com/club41976032</t>
  </si>
  <si>
    <t>47.851491 56.642859</t>
  </si>
  <si>
    <t>ТСЖ Мой Дом</t>
  </si>
  <si>
    <t>ул. Димитрова, 64А, Йошкар-Ола</t>
  </si>
  <si>
    <t>+7 (8362) 46-43-50, +7 (8362) 32-51-54</t>
  </si>
  <si>
    <t>47.853147 56.645386</t>
  </si>
  <si>
    <t>ПрофСтройПром</t>
  </si>
  <si>
    <t>+7 (8362) 32-69-99, +7 (8362) 77-00-01</t>
  </si>
  <si>
    <t>+7 (987) 707-79-99</t>
  </si>
  <si>
    <t>Всё для наращивания ногтей и ресниц</t>
  </si>
  <si>
    <t>Stalker</t>
  </si>
  <si>
    <t>+7 (917) 708-40-99</t>
  </si>
  <si>
    <t>пн-пт 09:30–19:00; сб,вс 10:00–16:00</t>
  </si>
  <si>
    <t>47.946554 56.623326</t>
  </si>
  <si>
    <t>47.860379 56.64498</t>
  </si>
  <si>
    <t>Ассоль-2</t>
  </si>
  <si>
    <t>47.930694 56.634478</t>
  </si>
  <si>
    <t>Лакшери</t>
  </si>
  <si>
    <t>ул. Черновка, 1, Йошкар-Ола</t>
  </si>
  <si>
    <t>+7 (8362) 51-75-75</t>
  </si>
  <si>
    <t>https://vk.com/lakshere</t>
  </si>
  <si>
    <t>47.9474 56.641127</t>
  </si>
  <si>
    <t>Комплимент</t>
  </si>
  <si>
    <t>+7 (8362) 48-06-65</t>
  </si>
  <si>
    <t>+7 (927) 884-53-99</t>
  </si>
  <si>
    <t>47.829959 56.639396</t>
  </si>
  <si>
    <t>+7 (8362) 33-33-13, +7 (8352) 46-46-13, +7 (8362) 66-22-33</t>
  </si>
  <si>
    <t xml:space="preserve">7nebo@yandex.ru  </t>
  </si>
  <si>
    <t>http://pa7nebo.ru/</t>
  </si>
  <si>
    <t>47.905615 56.628241</t>
  </si>
  <si>
    <t>Маха</t>
  </si>
  <si>
    <t>+7 (8362) 38-53-85</t>
  </si>
  <si>
    <t>Специализированная детско-юношеская спортивная школа олимпийского резерва по плаванию</t>
  </si>
  <si>
    <t>+7 (8362) 42-45-22, +7 (8362) 30-49-69, +7 (8362) 91-09-86, +7 (8362) 42-33-39</t>
  </si>
  <si>
    <t xml:space="preserve">ludmila150259@yandex.ru  </t>
  </si>
  <si>
    <t>http://yolaswimming.ucoz.ru/</t>
  </si>
  <si>
    <t>47.893248 56.623464</t>
  </si>
  <si>
    <t>Веломагазин</t>
  </si>
  <si>
    <t>+7 (8362) 50-46-31</t>
  </si>
  <si>
    <t>+7 (961) 335-20-49</t>
  </si>
  <si>
    <t>Винный погребок</t>
  </si>
  <si>
    <t>ул. Луначарского, 52/4, Йошкар-Ола</t>
  </si>
  <si>
    <t>+7 (8362) 56-42-52, +7 (8362) 56-43-23, +7 (8362) 56-41-51</t>
  </si>
  <si>
    <t>+7 (8362) 56-41-51</t>
  </si>
  <si>
    <t>47.901099 56.616739</t>
  </si>
  <si>
    <t>Выкуп автомобилей</t>
  </si>
  <si>
    <t>+7 (8352) 22-85-32</t>
  </si>
  <si>
    <t>+7 (917) 078-96-32</t>
  </si>
  <si>
    <t>Автосалон, Выкуп автомобилей</t>
  </si>
  <si>
    <t>ТСЖ Победа</t>
  </si>
  <si>
    <t>бул. Победы, 4А, Йошкар-Ола</t>
  </si>
  <si>
    <t>+7 (8362) 46-84-16, +7 (8362) 21-58-48</t>
  </si>
  <si>
    <t>+7 (917) 709-37-44</t>
  </si>
  <si>
    <t>47.88493 56.638679</t>
  </si>
  <si>
    <t>Детский мир</t>
  </si>
  <si>
    <t>8 (800) 250-00-00, +7 (8362) 49-64-40</t>
  </si>
  <si>
    <t xml:space="preserve">sin@trc-bumcity.ru, marketing@trc-bumcity.ru, 7c19da20c0c84adeaa295c46cbdfbe73@stderrd.com  </t>
  </si>
  <si>
    <t>https://www.detmir.ru/shops/item/id/1811/, https://detmir.ru/</t>
  </si>
  <si>
    <t>Детские игрушки и игры, Детский магазин, Магазин детской обуви, Магазин детской одежды</t>
  </si>
  <si>
    <t>https://vk.com/detmir</t>
  </si>
  <si>
    <t>https://www.facebook.com/detmir</t>
  </si>
  <si>
    <t>https://www.youtube.com/channel/UCNiy2Q7EV3eDv4-h23xJ0OQ</t>
  </si>
  <si>
    <t>https://www.instagram.com/detmir_shop/</t>
  </si>
  <si>
    <t>47.929402 56.628145</t>
  </si>
  <si>
    <t>Дружина</t>
  </si>
  <si>
    <t>+7 (8362) 72-62-23, +7 (8362) 72-62-00</t>
  </si>
  <si>
    <t xml:space="preserve">drugina03@mail.ru  </t>
  </si>
  <si>
    <t>http://drugina03.narod2.ru/</t>
  </si>
  <si>
    <t>Монтажные работы, Спецтехника и спецавтомобили, Строительная компания</t>
  </si>
  <si>
    <t>47.875165 56.63858</t>
  </si>
  <si>
    <t>Детский сад № 24 Весняночка</t>
  </si>
  <si>
    <t>бул. Чавайна, 10А, Йошкар-Ола</t>
  </si>
  <si>
    <t>+7 (8362) 21-44-51, +7 (8362) 21-80-00, +7 (8362) 21-80-89</t>
  </si>
  <si>
    <t>http://edu.mari.ru/mouo-yoshkarola/dou24</t>
  </si>
  <si>
    <t>47.925571 56.630496</t>
  </si>
  <si>
    <t>Стройтерм</t>
  </si>
  <si>
    <t>+7 (8362) 42-18-01</t>
  </si>
  <si>
    <t>+7 (8362) 42-17-00</t>
  </si>
  <si>
    <t>47.858233 56.621113</t>
  </si>
  <si>
    <t>47.892732 56.638753</t>
  </si>
  <si>
    <t>Цветоводы Йошкар-Олы</t>
  </si>
  <si>
    <t>+7 (8362) 96-24-69, +7 (8362) 56-57-98</t>
  </si>
  <si>
    <t>Курсы и мастер-классы, Общественная организация</t>
  </si>
  <si>
    <t>пн-пт круглосуточно; сб 10:00–12:00; вс круглосуточно</t>
  </si>
  <si>
    <t>47.8825 56.6331</t>
  </si>
  <si>
    <t>СанТехСервис</t>
  </si>
  <si>
    <t>Красноармейская ул., 82, Йошкар-Ола</t>
  </si>
  <si>
    <t>+7 (8362) 64-52-26, +7 (8362) 34-42-07</t>
  </si>
  <si>
    <t>Бытовые услуги, Сантехнические работы</t>
  </si>
  <si>
    <t>47.872443 56.646103</t>
  </si>
  <si>
    <t>Комитет по предотвращению пыток</t>
  </si>
  <si>
    <t>+7 (927) 870-62-60</t>
  </si>
  <si>
    <t>Я сам</t>
  </si>
  <si>
    <t>+7 (8362) 78-07-40</t>
  </si>
  <si>
    <t>пн-пт 07:30–18:30</t>
  </si>
  <si>
    <t>47.828368 56.639125</t>
  </si>
  <si>
    <t>Монтажник</t>
  </si>
  <si>
    <t>+7 (8362) 63-52-70, +7 (8362) 63-58-20, +7 (8362) 63-53-60</t>
  </si>
  <si>
    <t>пн-пт 07:30–16:30, перерыв 11:30–12:30</t>
  </si>
  <si>
    <t>I-Tochka</t>
  </si>
  <si>
    <t>Красноармейская ул., 98Г, Йошкар-Ола</t>
  </si>
  <si>
    <t>+7 (8362) 51-01-10</t>
  </si>
  <si>
    <t>+7 (987) 732-07-75</t>
  </si>
  <si>
    <t xml:space="preserve">14370afcdc17429f9e418d5ffbd0334a@sentry.wixpress.com, 510110@list.ru, 497700@list.ru, wixofday@wix.com  </t>
  </si>
  <si>
    <t>http://www.i-to4ka.com/</t>
  </si>
  <si>
    <t>Товары по каталогам</t>
  </si>
  <si>
    <t>47.86284 56.646544</t>
  </si>
  <si>
    <t>+7 (8362) 42-98-47</t>
  </si>
  <si>
    <t>47.883915 56.634067</t>
  </si>
  <si>
    <t>+7 (8362) 79-83-95</t>
  </si>
  <si>
    <t>Детские игрушки и игры, Детский магазин, Оптовый магазин</t>
  </si>
  <si>
    <t>47.868446 56.632181</t>
  </si>
  <si>
    <t>Грузовой шиномонтаж</t>
  </si>
  <si>
    <t>+7 (8362) 93-80-03</t>
  </si>
  <si>
    <t>+7 (999) 609-80-27</t>
  </si>
  <si>
    <t>пн-пт 09:00–17:00; сб 09:00–16:00</t>
  </si>
  <si>
    <t>47.8818 56.6091</t>
  </si>
  <si>
    <t>Мебель Сток № 1</t>
  </si>
  <si>
    <t>ул. Машиностроителей, 77, Йошкар-Ола</t>
  </si>
  <si>
    <t>47.852405 56.631344</t>
  </si>
  <si>
    <t>ТрансАвиа</t>
  </si>
  <si>
    <t>47.896572 56.634288</t>
  </si>
  <si>
    <t>+7 (937) 110-40-78</t>
  </si>
  <si>
    <t>ул. 40 лет Октября, 3, Йошкар-Ола</t>
  </si>
  <si>
    <t>+7 (917) 717-45-54</t>
  </si>
  <si>
    <t>Ремонт квартир под ключ</t>
  </si>
  <si>
    <t>ул. Рябинина, 28, Йошкар-Ола</t>
  </si>
  <si>
    <t>+7 (8362) 34-59-38, +7 (8362) 39-81-12</t>
  </si>
  <si>
    <t>47.871814 56.636412</t>
  </si>
  <si>
    <t>Гарант</t>
  </si>
  <si>
    <t>+7 (8362) 72-27-37, +7 (8362) 44-40-67</t>
  </si>
  <si>
    <t>Двери, Магазин мебели</t>
  </si>
  <si>
    <t>ТСЖ Салют Альфа Плюс</t>
  </si>
  <si>
    <t>ул. Анникова, 10Б, Йошкар-Ола</t>
  </si>
  <si>
    <t>+7 (8362) 75-03-68</t>
  </si>
  <si>
    <t>+7 (987) 731-61-32</t>
  </si>
  <si>
    <t>47.838002 56.645955</t>
  </si>
  <si>
    <t>Запчасти для иномарок М-авто</t>
  </si>
  <si>
    <t>ул. Хасанова, 5, Йошкар-Ола</t>
  </si>
  <si>
    <t>+7 (8362) 71-09-06, +7 (8362) 31-01-66</t>
  </si>
  <si>
    <t>+7 (902) 104-09-06</t>
  </si>
  <si>
    <t xml:space="preserve">m-auto12@list.ru  </t>
  </si>
  <si>
    <t>http://mavto12.ru/</t>
  </si>
  <si>
    <t>47.8869 56.625</t>
  </si>
  <si>
    <t>Арбитражный процесс</t>
  </si>
  <si>
    <t>Складская ул., 22, корп. 1, Йошкар-Ола</t>
  </si>
  <si>
    <t>+7 (8362) 56-42-75</t>
  </si>
  <si>
    <t>+7 (905) 182-12-12</t>
  </si>
  <si>
    <t>47.895207 56.616937</t>
  </si>
  <si>
    <t>ул. Якова Эшпая, 151, Йошкар-Ола</t>
  </si>
  <si>
    <t>+7 (8362) 42-43-20, +7 (8362) 42-40-47, +7 (8362) 41-43-05</t>
  </si>
  <si>
    <t>47.881175 56.636095</t>
  </si>
  <si>
    <t>Мир часов</t>
  </si>
  <si>
    <t>+7 (909) 367-03-37</t>
  </si>
  <si>
    <t>Магазин подарков и сувениров, Магазин часов</t>
  </si>
  <si>
    <t>пн-пт 09:30–18:30; сб,вс 09:00–17:30</t>
  </si>
  <si>
    <t>47.884718 56.633863</t>
  </si>
  <si>
    <t>+7 (902) 465-14-14</t>
  </si>
  <si>
    <t xml:space="preserve">yoshkincot@bk.ru  </t>
  </si>
  <si>
    <t>http://yoshkincat.ru/</t>
  </si>
  <si>
    <t>пт 18:00–19:00</t>
  </si>
  <si>
    <t>47.890526 56.644282</t>
  </si>
  <si>
    <t>Карат</t>
  </si>
  <si>
    <t>+7 (8362) 41-35-83, +7 (8362) 41-35-93</t>
  </si>
  <si>
    <t>47.894368 56.6371</t>
  </si>
  <si>
    <t>ТСЖ Ветеран</t>
  </si>
  <si>
    <t>+7 (8362) 22-21-75</t>
  </si>
  <si>
    <t>+7 (927) 878-32-35</t>
  </si>
  <si>
    <t>Научно-инновационный центр консалтинга в области менеджмента и маркетинга</t>
  </si>
  <si>
    <t>+7 (8362) 33-55-54</t>
  </si>
  <si>
    <t>Мастерская по ремонту часов</t>
  </si>
  <si>
    <t>вт-пт 09:00–18:00, перерыв 13:00–14:00; сб 09:00–13:00</t>
  </si>
  <si>
    <t>Парикмахерская Орхидея</t>
  </si>
  <si>
    <t>+7 (8362) 96-15-47</t>
  </si>
  <si>
    <t>47.892374 56.645869</t>
  </si>
  <si>
    <t>Манго</t>
  </si>
  <si>
    <t>+7 (8362) 42-99-64</t>
  </si>
  <si>
    <t>47.888312 56.648725</t>
  </si>
  <si>
    <t>+7 (904) 724-55-55</t>
  </si>
  <si>
    <t>Мармакс Консалт</t>
  </si>
  <si>
    <t>+7 (927) 873-98-99, +7 (902) 745-82-05</t>
  </si>
  <si>
    <t>Юный авиатор</t>
  </si>
  <si>
    <t>+7 (8362) 45-88-83, +7 (8362) 64-34-75</t>
  </si>
  <si>
    <t>Детский лагерь отдыха, Дополнительное образование, Клуб для детей и подростков</t>
  </si>
  <si>
    <t>47.888053 56.648811</t>
  </si>
  <si>
    <t>Кровля-Сервис</t>
  </si>
  <si>
    <t>Водопроводная ул., 48/36, Йошкар-Ола</t>
  </si>
  <si>
    <t>+7 (8362) 77-00-41, +7 (8362) 77-00-40, +7 (8362) 77-66-88</t>
  </si>
  <si>
    <t xml:space="preserve">krovlya-servis@mail.ru </t>
  </si>
  <si>
    <t>http://кровля-сервис12.рф/</t>
  </si>
  <si>
    <t>Водостоки и водосточные системы, Кровля и кровельные материалы, Строительный магазин, Фасады и фасадные системы</t>
  </si>
  <si>
    <t>47.897347 56.649819</t>
  </si>
  <si>
    <t>АБВГДейка</t>
  </si>
  <si>
    <t>+7 (8362) 98-22-72, +7 (8362) 52-01-31</t>
  </si>
  <si>
    <t>http://абвгдейка12.рф/</t>
  </si>
  <si>
    <t>пн-пт 16:00–20:00; сб 09:00–13:00</t>
  </si>
  <si>
    <t>47.948355 56.624378</t>
  </si>
  <si>
    <t>Купец</t>
  </si>
  <si>
    <t>47.840582 56.635318</t>
  </si>
  <si>
    <t>Марракеш</t>
  </si>
  <si>
    <t>+7 (8362) 45-22-50</t>
  </si>
  <si>
    <t>пн-чт 12:00–02:00; пт,сб 12:00–08:00; вс 12:00–02:00</t>
  </si>
  <si>
    <t>http://vk.com/marrakesh_ola</t>
  </si>
  <si>
    <t>47.896212 56.634869</t>
  </si>
  <si>
    <t>Домоуправление № 11</t>
  </si>
  <si>
    <t>+7 (8362) 72-26-88, +7 (8362) 42-38-08, +7 (8362) 72-29-35, +7 (8362) 72-26-69</t>
  </si>
  <si>
    <t>Майатул</t>
  </si>
  <si>
    <t>ежедневно, 08:30–20:30</t>
  </si>
  <si>
    <t>47.899291 56.643982</t>
  </si>
  <si>
    <t>МА Бэль</t>
  </si>
  <si>
    <t>+7 (8362) 31-10-00</t>
  </si>
  <si>
    <t>пн-сб 09:00–20:00; вс 09:00–17:00</t>
  </si>
  <si>
    <t>47.885643 56.626491</t>
  </si>
  <si>
    <t>+7 (8362) 39-35-92, +7 (8362) 75-98-88</t>
  </si>
  <si>
    <t>ТЦ Аврора</t>
  </si>
  <si>
    <t>47.880644 56.638117</t>
  </si>
  <si>
    <t>Партнер</t>
  </si>
  <si>
    <t>+7 (8362) 77-98-09, +7 (8362) 63-01-07</t>
  </si>
  <si>
    <t>+7 (987) 710-01-33</t>
  </si>
  <si>
    <t>GPS-навигаторы, IT-компания, Системы безопасности и охраны</t>
  </si>
  <si>
    <t>47.883097 56.621226</t>
  </si>
  <si>
    <t>Купол</t>
  </si>
  <si>
    <t>ул. Зарубина, 57Б, Йошкар-Ола</t>
  </si>
  <si>
    <t>+7 (8362) 72-60-46, +7 (8362) 72-59-58</t>
  </si>
  <si>
    <t>http://sk-kupol.pulscen.ru/</t>
  </si>
  <si>
    <t>47.863604 56.639139</t>
  </si>
  <si>
    <t>Марийская правда</t>
  </si>
  <si>
    <t>+7 (8362) 45-26-44, +7 (8362) 45-58-84</t>
  </si>
  <si>
    <t xml:space="preserve">rs@marpravda.ru  </t>
  </si>
  <si>
    <t>https://www.marpravda.ru/</t>
  </si>
  <si>
    <t>http://vk.com/marpravda12</t>
  </si>
  <si>
    <t>http://ok.ru/gazetamari</t>
  </si>
  <si>
    <t>http://facebook.com/groups/marpravda.ru</t>
  </si>
  <si>
    <t>http://instagram.com/marpravda.ru</t>
  </si>
  <si>
    <t>47.891826 56.621301</t>
  </si>
  <si>
    <t>ГБУ Республики Марий Эл Республиканский кожно-венерологический диспансер</t>
  </si>
  <si>
    <t>Советская ул., 167, Йошкар-Ола</t>
  </si>
  <si>
    <t>+7 (8362) 45-31-13, +7 (8362) 41-96-83</t>
  </si>
  <si>
    <t>47.892327 56.627635</t>
  </si>
  <si>
    <t>Автомойка 24 часа</t>
  </si>
  <si>
    <t>+7 (8362) 44-70-00</t>
  </si>
  <si>
    <t>+7 (927) 888-23-44</t>
  </si>
  <si>
    <t>47.834184 56.642429</t>
  </si>
  <si>
    <t>+7 (8362) 21-72-59</t>
  </si>
  <si>
    <t>47.92484 56.62769</t>
  </si>
  <si>
    <t>Арсенал</t>
  </si>
  <si>
    <t>47.875017 56.638413</t>
  </si>
  <si>
    <t>Ралина</t>
  </si>
  <si>
    <t>+7 (8362) 73-65-84</t>
  </si>
  <si>
    <t>Ногтевая студия, Парикмахерская, Салон красоты, Солярий</t>
  </si>
  <si>
    <t>47.881985 56.631491</t>
  </si>
  <si>
    <t>Кафедральный собор Благовещения Пресвятой Богородицы в Йошкар-Оле</t>
  </si>
  <si>
    <t>Воскресенская наб., 32, Йошкар-Ола</t>
  </si>
  <si>
    <t>+7 (8362) 48-42-24</t>
  </si>
  <si>
    <t>+7 (964) 758-42-24</t>
  </si>
  <si>
    <t>https://vk.com/soboryola</t>
  </si>
  <si>
    <t>47.904468 56.632875</t>
  </si>
  <si>
    <t>Тэра</t>
  </si>
  <si>
    <t>пн-пт 08:00–17:00; сб 09:00–16:00</t>
  </si>
  <si>
    <t>Стэффи</t>
  </si>
  <si>
    <t>+7 (8362) 97-13-93</t>
  </si>
  <si>
    <t>47.900326 56.642447</t>
  </si>
  <si>
    <t>Рекламное агентство Господин Оформитель</t>
  </si>
  <si>
    <t>+7 (8362) 41-70-71</t>
  </si>
  <si>
    <t xml:space="preserve">info@inofart.ru  </t>
  </si>
  <si>
    <t>Выставочные стенды, Изготовление вывесок, Полиграфические услуги, Рекламное агентство, Широкоформатная печать</t>
  </si>
  <si>
    <t>https://vk.com/club70172971</t>
  </si>
  <si>
    <t>https://twitter.com/inofart</t>
  </si>
  <si>
    <t>https://www.youtube.com/user/inofart</t>
  </si>
  <si>
    <t>https://www.instagram.com/inofart</t>
  </si>
  <si>
    <t>ЦК</t>
  </si>
  <si>
    <t>+7 (8362) 75-00-74</t>
  </si>
  <si>
    <t>Бетон, бетонные изделия, Кирпич, Цемент</t>
  </si>
  <si>
    <t>Комплектующие для окон</t>
  </si>
  <si>
    <t>+7 (902) 326-56-89</t>
  </si>
  <si>
    <t>Двери, Комплектующие для окон</t>
  </si>
  <si>
    <t>Лестница 12</t>
  </si>
  <si>
    <t>+7 (8362) 98-06-06, +7 (8362) 95-06-06</t>
  </si>
  <si>
    <t xml:space="preserve">info@lestnica12.ru  </t>
  </si>
  <si>
    <t>http://lestnica12.ru/</t>
  </si>
  <si>
    <t>Лестницы и лестничные ограждения, Строительная компания, Строительный магазин</t>
  </si>
  <si>
    <t>https://vk.com/lestnica12</t>
  </si>
  <si>
    <t>https://www.instagram.com/lestnica12/</t>
  </si>
  <si>
    <t>47.869386 56.625483</t>
  </si>
  <si>
    <t>Авторемонт-ГАЗ</t>
  </si>
  <si>
    <t>+7 (8362) 45-74-90</t>
  </si>
  <si>
    <t>Магазин автозапчастей и автотоваров, Шины и диски</t>
  </si>
  <si>
    <t>пн-пт 08:00–19:00; сб,вс 09:00–15:00</t>
  </si>
  <si>
    <t>Интеллект Сервис</t>
  </si>
  <si>
    <t>+7 (8362) 75-14-56</t>
  </si>
  <si>
    <t xml:space="preserve">info@int12.ru  </t>
  </si>
  <si>
    <t>http://int12.ru/</t>
  </si>
  <si>
    <t>https://vk.com/intell12</t>
  </si>
  <si>
    <t>https://www.instagram.com/intes_12</t>
  </si>
  <si>
    <t>Волгастальконструкция</t>
  </si>
  <si>
    <t>ул. Крылова, 53Д, Йошкар-Ола</t>
  </si>
  <si>
    <t>+7 (8362) 73-29-00, +7 (8362) 73-50-16</t>
  </si>
  <si>
    <t xml:space="preserve">volgostal@mail.ru  </t>
  </si>
  <si>
    <t>http://volgostal.ru/</t>
  </si>
  <si>
    <t>47.838559 56.618745</t>
  </si>
  <si>
    <t>Красноармейская ул., 98, Йошкар-Ола</t>
  </si>
  <si>
    <t>+7 (8362) 63-07-98</t>
  </si>
  <si>
    <t>47.862427 56.646653</t>
  </si>
  <si>
    <t>+7 (8362) 39-72-80, +7 (8362) 37-44-78</t>
  </si>
  <si>
    <t>пн-пт 09:00–18:00; сб 10:00–18:00; вс 10:00–17:30</t>
  </si>
  <si>
    <t>47.893365 56.641421</t>
  </si>
  <si>
    <t>Марийская Мебель 12</t>
  </si>
  <si>
    <t>+7 (8362) 38-44-45, +7 (8362) 30-80-55</t>
  </si>
  <si>
    <t>+7 (905) 008-09-09, +7 (967) 757-80-54, +7 (961) 333-20-52, +7 (960) 099-31-04</t>
  </si>
  <si>
    <t xml:space="preserve">14370afcdc17429f9e418d5ffbd0334a@sentry.wixpress.com, anna@mm12.ru, wixofday@wix.com  </t>
  </si>
  <si>
    <t>http://www.mm12.ru/</t>
  </si>
  <si>
    <t>Деревообрабатывающее предприятие, Мебельная фабрика</t>
  </si>
  <si>
    <t>47.839044 56.619245</t>
  </si>
  <si>
    <t>8 (800) 250-27-77</t>
  </si>
  <si>
    <t>http://bank-hlynov.ru/</t>
  </si>
  <si>
    <t>47.843251 56.640982</t>
  </si>
  <si>
    <t>Доминант</t>
  </si>
  <si>
    <t>+7 (927) 682-48-38</t>
  </si>
  <si>
    <t>Торговый Дом Промэксресурс</t>
  </si>
  <si>
    <t>+7 (927) 886-59-91</t>
  </si>
  <si>
    <t>47.945081 56.622345</t>
  </si>
  <si>
    <t>Ремонтируем и Строим</t>
  </si>
  <si>
    <t>Кровельные работы, Строительные и отделочные работы, Фасады и фасадные системы</t>
  </si>
  <si>
    <t>https://vk.com/remstroy12</t>
  </si>
  <si>
    <t>ул. Мира, 99А, Йошкар-Ола</t>
  </si>
  <si>
    <t>+7 (8362) 64-94-91</t>
  </si>
  <si>
    <t>пн-пт 07:30–19:30; сб,вс 09:00–18:00</t>
  </si>
  <si>
    <t>47.941054 56.634275</t>
  </si>
  <si>
    <t>Электромонтаж</t>
  </si>
  <si>
    <t>+7 (8362) 21-30-15</t>
  </si>
  <si>
    <t>Трубочисты</t>
  </si>
  <si>
    <t>Акварелька</t>
  </si>
  <si>
    <t>+7 (906) 334-43-50</t>
  </si>
  <si>
    <t>пн,вт 17:00–20:00; ср 11:00–20:00; чт,пт 17:00–20:00</t>
  </si>
  <si>
    <t>+7 (8362) 38-08-74, +7 (8362) 38-41-02</t>
  </si>
  <si>
    <t>+7 (987) 721-10-01</t>
  </si>
  <si>
    <t xml:space="preserve">azs@expert12.ru  </t>
  </si>
  <si>
    <t>http://expert12.ru/</t>
  </si>
  <si>
    <t>http://facebook.com/gpnbonus</t>
  </si>
  <si>
    <t>http://instagram.com/gpnbonus</t>
  </si>
  <si>
    <t>47.898826 56.650725</t>
  </si>
  <si>
    <t>Гимназия № 26 им. Андре Мальро</t>
  </si>
  <si>
    <t>+7 (8362) 42-29-30, +7 (8362) 73-65-21, +7 (8362) 41-32-30</t>
  </si>
  <si>
    <t xml:space="preserve">info@unimeds.ru </t>
  </si>
  <si>
    <t>http://malro26.mari-el.ru/</t>
  </si>
  <si>
    <t>http://vk.com/club14416039</t>
  </si>
  <si>
    <t>47.878866 56.630725</t>
  </si>
  <si>
    <t>Спецтех</t>
  </si>
  <si>
    <t>+7 (8362) 75-98-88, +7 (8362) 39-73-96</t>
  </si>
  <si>
    <t>+7 (937) 939-35-92, +7 (987) 706-94-58</t>
  </si>
  <si>
    <t>Праздник Проказник</t>
  </si>
  <si>
    <t>+7 (917) 711-09-28</t>
  </si>
  <si>
    <t>http://vk.com/prazdnikprokaznik12</t>
  </si>
  <si>
    <t>https://www.instagram.com/prazdnikola</t>
  </si>
  <si>
    <t>47.910289 56.630718</t>
  </si>
  <si>
    <t>Пальмира-С</t>
  </si>
  <si>
    <t>+7 (8362) 65-70-04</t>
  </si>
  <si>
    <t>Мамонтенок</t>
  </si>
  <si>
    <t>+7 (8362) 62-27-22, +7 (8362) 62-28-22, +7 (8362) 39-12-83</t>
  </si>
  <si>
    <t>+7 (960) 094-38-74</t>
  </si>
  <si>
    <t xml:space="preserve">tekendo@mail.ru  </t>
  </si>
  <si>
    <t>Детский сад, Клуб для детей и подростков, Общественная организация, Спортивный клуб, секция, Центр развития ребенка</t>
  </si>
  <si>
    <t>http://vk.com/tekendo</t>
  </si>
  <si>
    <t>47.928208 56.637253</t>
  </si>
  <si>
    <t>Нотариус Виноградова Л. И.</t>
  </si>
  <si>
    <t>+7 (8362) 41-15-26</t>
  </si>
  <si>
    <t>вт-чт 09:00–13:00</t>
  </si>
  <si>
    <t>47.895212 56.631234</t>
  </si>
  <si>
    <t>Катерина</t>
  </si>
  <si>
    <t>+7 (8362) 64-60-02</t>
  </si>
  <si>
    <t>47.864115 56.647569</t>
  </si>
  <si>
    <t>МБОУ СОШ № 2 г. Йошкар-олы</t>
  </si>
  <si>
    <t>ул. Осипенко, 46, Йошкар-Ола</t>
  </si>
  <si>
    <t>+7 (8362) 42-36-46, +7 (8362) 45-43-91</t>
  </si>
  <si>
    <t xml:space="preserve">olashool2@yandex.ru, olimpiada@sozvezdiye-talantov.com, info@sozvezdiye-talantov.com, zayavka@sozvezdiye-talantov.com, olaschool2@yandex.ru  </t>
  </si>
  <si>
    <t>http://edu.mari.ru/mouo-yoshkarola/sh2</t>
  </si>
  <si>
    <t>https://vk.com/club1201121</t>
  </si>
  <si>
    <t>47.879675 56.646212</t>
  </si>
  <si>
    <t>47.895015 56.640428</t>
  </si>
  <si>
    <t>Принтстайл</t>
  </si>
  <si>
    <t>ул. Карла Маркса, 133, корп. 2, Йошкар-Ола</t>
  </si>
  <si>
    <t>+7 (8362) 41-26-00, +7 (8362) 41-22-38, +7 (8362) 41-43-01, +7 (8362) 45-15-51</t>
  </si>
  <si>
    <t>+7 (8362) 63-04-73</t>
  </si>
  <si>
    <t xml:space="preserve">printstyle@printstyle.com  </t>
  </si>
  <si>
    <t>http://printstyle.com/</t>
  </si>
  <si>
    <t>пн-пт 08:30–18:00, перерыв 13:00–14:00</t>
  </si>
  <si>
    <t>47.882497 56.613233</t>
  </si>
  <si>
    <t>Киоск № 12, Хлебозавод № 1</t>
  </si>
  <si>
    <t>+7 (8362) 33-74-54</t>
  </si>
  <si>
    <t>+7 (927) 883-74-54</t>
  </si>
  <si>
    <t>47.920525 56.635111</t>
  </si>
  <si>
    <t>+7 (8362) 55-36-64</t>
  </si>
  <si>
    <t>47.839883 56.634227</t>
  </si>
  <si>
    <t>Модуль-Сервис Плюс</t>
  </si>
  <si>
    <t>+7 (8362) 65-68-30</t>
  </si>
  <si>
    <t>47.8332 56.6367</t>
  </si>
  <si>
    <t>Герон</t>
  </si>
  <si>
    <t>+7 (8362) 46-93-82, +7 (8362) 45-76-83</t>
  </si>
  <si>
    <t>Кабель и провод, Оптовый магазин</t>
  </si>
  <si>
    <t>ЖСК Медик</t>
  </si>
  <si>
    <t>пн,чт 19:00–21:00</t>
  </si>
  <si>
    <t>ИП Фатерова С. П.</t>
  </si>
  <si>
    <t>+7 (8362) 74-21-00, +7 (8362) 41-76-46</t>
  </si>
  <si>
    <t>ул. Йывана Кырли, 17А, Йошкар-Ола</t>
  </si>
  <si>
    <t>47.8404 56.642134</t>
  </si>
  <si>
    <t>Белый Шум</t>
  </si>
  <si>
    <t>ул. Осипенко, 16, Йошкар-Ола</t>
  </si>
  <si>
    <t>+7 (8362) 51-26-62, +7 (8362) 48-19-19</t>
  </si>
  <si>
    <t xml:space="preserve">manager@medialit.ru </t>
  </si>
  <si>
    <t>http://medialit.ru/</t>
  </si>
  <si>
    <t>https://vk.com/medialitru</t>
  </si>
  <si>
    <t>https://twitter.com/medialitru</t>
  </si>
  <si>
    <t>https://www.facebook.com/profile.php?fref=tsu0026id=100005130516713</t>
  </si>
  <si>
    <t>47.8851 56.652547</t>
  </si>
  <si>
    <t>Файер Хорс</t>
  </si>
  <si>
    <t>+7 (8362) 55-13-58</t>
  </si>
  <si>
    <t>+7 (927) 883-37-77</t>
  </si>
  <si>
    <t>47.874545 56.638783</t>
  </si>
  <si>
    <t>Государственное бюджетное учреждение Республики Марий Эл Центр психолого-педагогической, медицинской и социальной помощи Детство</t>
  </si>
  <si>
    <t>ул. Машиностроителей, 12А, Йошкар-Ола</t>
  </si>
  <si>
    <t>+7 (8362) 41-08-88, +7 (8362) 42-36-50</t>
  </si>
  <si>
    <t xml:space="preserve">pmpkdetstvo@yandex.ru, socdetstvo@yandex.ru, detstvo.mariel@yandex.ru  </t>
  </si>
  <si>
    <t>http://edu.mari.ru/prof/ou31/</t>
  </si>
  <si>
    <t>Дополнительное образование, Центр развития ребенка</t>
  </si>
  <si>
    <t>пн-пт 08:30–16:00, перерыв 12:30–13:30</t>
  </si>
  <si>
    <t>https://vk.com/detstvo.mariel</t>
  </si>
  <si>
    <t>47.870674 56.643609</t>
  </si>
  <si>
    <t>Информационные порталы</t>
  </si>
  <si>
    <t>Здоровая жизнь</t>
  </si>
  <si>
    <t>Школьная ул., 19, Йошкар-Ола</t>
  </si>
  <si>
    <t>+7 (8362) 43-02-76, +7 (8362) 45-10-37</t>
  </si>
  <si>
    <t>Оптовый магазин, Производственное предприятие, Производство продуктов питания</t>
  </si>
  <si>
    <t>47.848958 56.656356</t>
  </si>
  <si>
    <t>Бигуди</t>
  </si>
  <si>
    <t>+7 (8362) 97-97-08</t>
  </si>
  <si>
    <t>47.830734 56.63232</t>
  </si>
  <si>
    <t>СтарФит</t>
  </si>
  <si>
    <t>+7 (8362) 33-32-22</t>
  </si>
  <si>
    <t>47.8849 56.6292</t>
  </si>
  <si>
    <t>Ортопедический салон Ортолайф</t>
  </si>
  <si>
    <t>+7 (8362) 77-71-25</t>
  </si>
  <si>
    <t xml:space="preserve">info@kupiorto.ru  </t>
  </si>
  <si>
    <t>http://kupiorto.ru/</t>
  </si>
  <si>
    <t>Магазин обуви, Медицинское оборудование, медтехника, Ортопедический салон</t>
  </si>
  <si>
    <t>пн-сб 09:00–19:30; вс 10:00–17:00</t>
  </si>
  <si>
    <t>https://vk.com/ortolaif</t>
  </si>
  <si>
    <t>47.88952 56.646405</t>
  </si>
  <si>
    <t>Амарис</t>
  </si>
  <si>
    <t>+7 (8362) 98-99-96, +7 (8362) 99-27-57</t>
  </si>
  <si>
    <t>+7 (927) 877-33-81, +7 (927) 788-06-94</t>
  </si>
  <si>
    <t>пн-пт 11:00–18:30; сб 11:00–17:00</t>
  </si>
  <si>
    <t>47.894568 56.640509</t>
  </si>
  <si>
    <t>Этюд</t>
  </si>
  <si>
    <t>+7 (8362) 94-46-00, +7 (8362) 22-03-30, +7 (8362) 99-15-91</t>
  </si>
  <si>
    <t>+7 (902) 329-15-91</t>
  </si>
  <si>
    <t>http://kl6248.polzdr.ru/</t>
  </si>
  <si>
    <t>Косметология, Оздоровительный центр, Салон красоты</t>
  </si>
  <si>
    <t>47.919897 56.632756</t>
  </si>
  <si>
    <t>ТСЖ Кремлёвское</t>
  </si>
  <si>
    <t>+7 (8362) 38-03-23</t>
  </si>
  <si>
    <t>Детский сад № 28 Белоснежка</t>
  </si>
  <si>
    <t>ул. Карла Либкнехта, 78А, Йошкар-Ола</t>
  </si>
  <si>
    <t>+7 (8362) 46-39-46, +7 (8362) 46-28-53</t>
  </si>
  <si>
    <t xml:space="preserve">533445@mail.ru, snabgazcom@mail.ru, sakz-mk@mail.ru, info@megavattspb.ru, info@telza.ru </t>
  </si>
  <si>
    <t>47.946955 56.638706</t>
  </si>
  <si>
    <t>Sport Life</t>
  </si>
  <si>
    <t>+7 (8362) 51-14-40</t>
  </si>
  <si>
    <t>+7 (964) 861-14-40</t>
  </si>
  <si>
    <t>Спортивное питание</t>
  </si>
  <si>
    <t>https://vk.com/club14142743</t>
  </si>
  <si>
    <t>Карт Сервис</t>
  </si>
  <si>
    <t>ул. Петрова, 4, Йошкар-Ола</t>
  </si>
  <si>
    <t>+7 (937) 116-77-77, +7 (902) 437-97-79</t>
  </si>
  <si>
    <t>https://kart-servis.nethouse.ru/</t>
  </si>
  <si>
    <t>Изготовление пластиковых карт, Полиграфические услуги</t>
  </si>
  <si>
    <t>47.9172 56.6285</t>
  </si>
  <si>
    <t>РМЭ ЦЕНТРМЕЖУПРЛЕС</t>
  </si>
  <si>
    <t>ул. Суворова, 4Б, Йошкар-Ола</t>
  </si>
  <si>
    <t>+7 (8362) 42-50-51</t>
  </si>
  <si>
    <t>47.874173 56.62976</t>
  </si>
  <si>
    <t>ТСЖ Северный</t>
  </si>
  <si>
    <t>ул. Подольских Курсантов, 12, Йошкар-Ола</t>
  </si>
  <si>
    <t>+7 (8362) 26-85-63, +7 (8362) 63-15-38</t>
  </si>
  <si>
    <t>чт 18:00–20:00</t>
  </si>
  <si>
    <t>47.866407 56.651003</t>
  </si>
  <si>
    <t>Специализированная детско-юношеская спортивная школа олимпийского резерва по спортивной гимнастике</t>
  </si>
  <si>
    <t>+7 (8362) 64-16-20, +7 (8362) 56-68-29, +7 (8362) 30-48-46</t>
  </si>
  <si>
    <t>+7 (987) 719-27-68</t>
  </si>
  <si>
    <t>+7 (8362) 56-68-29</t>
  </si>
  <si>
    <t xml:space="preserve">gimnast-rme@mail.ru </t>
  </si>
  <si>
    <t>47.887773 56.623218</t>
  </si>
  <si>
    <t>Автобаня-12</t>
  </si>
  <si>
    <t>ул. Прохорова, 33, Йошкар-Ола</t>
  </si>
  <si>
    <t>+7 (8362) 71-77-72, +7 (8362) 77-77-74</t>
  </si>
  <si>
    <t>47.838384 56.632987</t>
  </si>
  <si>
    <t>ГозЗайм</t>
  </si>
  <si>
    <t>8 (800) 333-28-82, +7 (8362) 38-21-22, +7 (8362) 38-21-33</t>
  </si>
  <si>
    <t xml:space="preserve">director@gozzaim.ru </t>
  </si>
  <si>
    <t>https://гоззайм.рф/</t>
  </si>
  <si>
    <t>пн-пт 09:30–18:30; сб 10:00–15:00</t>
  </si>
  <si>
    <t>Пижанка</t>
  </si>
  <si>
    <t>+7 (987) 706-06-96</t>
  </si>
  <si>
    <t>+7 (8362) 64-68-68, +7 (8362) 90-00-51</t>
  </si>
  <si>
    <t>+7 (906) 138-43-71, +7 (960) 092-14-64</t>
  </si>
  <si>
    <t xml:space="preserve">filingstoma@mail.ru  </t>
  </si>
  <si>
    <t>http://filing12.ru/</t>
  </si>
  <si>
    <t>47.945638 56.624896</t>
  </si>
  <si>
    <t>Термосфера</t>
  </si>
  <si>
    <t>+7 (902) 671-94-98</t>
  </si>
  <si>
    <t>http://www.termosfera.net/</t>
  </si>
  <si>
    <t>Камины, печи, Строительный магазин, Товары для бани и сауны</t>
  </si>
  <si>
    <t>https://vk.com/club91386426</t>
  </si>
  <si>
    <t>47.894997 56.629203</t>
  </si>
  <si>
    <t>Гомзово</t>
  </si>
  <si>
    <t>+7 (8362) 63-12-25, +7 (8362) 63-15-51</t>
  </si>
  <si>
    <t>47.864275 56.646678</t>
  </si>
  <si>
    <t>Фотостудия Гуд</t>
  </si>
  <si>
    <t>+7 (961) 377-21-77</t>
  </si>
  <si>
    <t xml:space="preserve">password@nic.ru  </t>
  </si>
  <si>
    <t>http://goodphotostudio.ru/</t>
  </si>
  <si>
    <t>Аренда фотостудий, Фотостудия, Фотоуслуги</t>
  </si>
  <si>
    <t>https://vk.com/goodphotostudio</t>
  </si>
  <si>
    <t>https://www.instagram.com/good_photo_studio</t>
  </si>
  <si>
    <t>47.864587 56.617998</t>
  </si>
  <si>
    <t>Авто Шик</t>
  </si>
  <si>
    <t>+7 (8362) 73-04-30, +7 (8362) 73-04-50, +7 (8362) 73-79-73</t>
  </si>
  <si>
    <t>PomidoR</t>
  </si>
  <si>
    <t>+7 (987) 723-26-49</t>
  </si>
  <si>
    <t xml:space="preserve">pomidor344@yandex.ru  </t>
  </si>
  <si>
    <t>Наружная реклама, Полиграфические услуги, Рекламное агентство</t>
  </si>
  <si>
    <t>https://vk.com/pomidor344</t>
  </si>
  <si>
    <t>Парикмахерская Люси</t>
  </si>
  <si>
    <t>+7 (8362) 21-59-63</t>
  </si>
  <si>
    <t>+7 (917) 717-77-95</t>
  </si>
  <si>
    <t>пн-пт 08:00–20:00; сб 08:00–19:00; вс 09:00–14:00</t>
  </si>
  <si>
    <t>47.91882 56.633339</t>
  </si>
  <si>
    <t>Объединение Альгиз</t>
  </si>
  <si>
    <t>+7 (8362) 37-30-83</t>
  </si>
  <si>
    <t>+7 (902) 433-30-83</t>
  </si>
  <si>
    <t>Бизнес-консалтинг, Оценочная компания, Юридические услуги</t>
  </si>
  <si>
    <t>47.907679 56.631379</t>
  </si>
  <si>
    <t>ТСЖ Алмаз</t>
  </si>
  <si>
    <t>+7 (8362) 51-39-91</t>
  </si>
  <si>
    <t>пн-пт 17:00–18:00</t>
  </si>
  <si>
    <t>47.872299 56.648004</t>
  </si>
  <si>
    <t>Барьер М</t>
  </si>
  <si>
    <t>+7 (8362) 64-18-11</t>
  </si>
  <si>
    <t>Аварийно-спасательное оборудование и техника, Оптовый магазин, Пожарное оборудование</t>
  </si>
  <si>
    <t>47.9008 56.6468</t>
  </si>
  <si>
    <t>РЕСО-Гарантия</t>
  </si>
  <si>
    <t>+7 (8362) 49-69-69</t>
  </si>
  <si>
    <t xml:space="preserve">mail@reso.ru, blijus@reso.ru  </t>
  </si>
  <si>
    <t>http://www.reso.ru/</t>
  </si>
  <si>
    <t>пн-пт 09:30–20:00; сб 10:00–18:00; вс 10:00–16:00</t>
  </si>
  <si>
    <t>https://vk.com/reso_garantia</t>
  </si>
  <si>
    <t>https://www.facebook.com/reso.ru</t>
  </si>
  <si>
    <t>47.903344 56.641507</t>
  </si>
  <si>
    <t>ИП Шуркин Г. В.</t>
  </si>
  <si>
    <t>ул. 40 лет Октября, 178, Йошкар-Ола</t>
  </si>
  <si>
    <t>+7 (927) 882-49-93</t>
  </si>
  <si>
    <t>47.846239 56.649137</t>
  </si>
  <si>
    <t>+7 (8362) 38-78-68</t>
  </si>
  <si>
    <t>47.828401 56.633879</t>
  </si>
  <si>
    <t>Летучий корабль</t>
  </si>
  <si>
    <t>+7 (8362) 45-14-51</t>
  </si>
  <si>
    <t>+7 (917) 700-55-22</t>
  </si>
  <si>
    <t>Янтарь</t>
  </si>
  <si>
    <t>бул. Данилова, 11, Йошкар-Ола</t>
  </si>
  <si>
    <t>+7 (8362) 64-78-95, +7 (8362) 64-25-09</t>
  </si>
  <si>
    <t>47.9507 56.6282</t>
  </si>
  <si>
    <t>ТретьяКовка</t>
  </si>
  <si>
    <t>+7 (8362) 40-29-00</t>
  </si>
  <si>
    <t>+7 (929) 733-29-00</t>
  </si>
  <si>
    <t>Avtosteklo12.ru</t>
  </si>
  <si>
    <t>ул. Строителей, 90А, Йошкар-Ола</t>
  </si>
  <si>
    <t>+7 (8362) 33-54-53</t>
  </si>
  <si>
    <t xml:space="preserve">none@none.ru </t>
  </si>
  <si>
    <t>http://avtosteklo12.ru/, http://автостекла12.рф/</t>
  </si>
  <si>
    <t>Автосервис, автотехцентр, Автостекла, Магазин автозапчастей и автотоваров</t>
  </si>
  <si>
    <t>https://vk.com/club79926886</t>
  </si>
  <si>
    <t>47.852156 56.62381</t>
  </si>
  <si>
    <t>Студия 158</t>
  </si>
  <si>
    <t>+7 (8362) 41-90-63</t>
  </si>
  <si>
    <t xml:space="preserve">art@studio158.ru, welcome@studio158.ru, anna@studio158.ru  </t>
  </si>
  <si>
    <t>http://www.studio158.ru/, http://studio158.pro/</t>
  </si>
  <si>
    <t>http://vk.com/studio158</t>
  </si>
  <si>
    <t>https://www.facebook.com/studio158.pro/</t>
  </si>
  <si>
    <t>https://www.instagram.com/studio_158/</t>
  </si>
  <si>
    <t>47.873856 56.654493</t>
  </si>
  <si>
    <t>Восток плюс</t>
  </si>
  <si>
    <t>+7 (8362) 94-45-44, +7 (8362) 55-14-15</t>
  </si>
  <si>
    <t>Солнышко</t>
  </si>
  <si>
    <t>ул. Чернякова, 11, Йошкар-Ола</t>
  </si>
  <si>
    <t>+7 (8362) 93-76-11, +7 (8362) 62-93-27</t>
  </si>
  <si>
    <t>пн-пт 08:30–12:30</t>
  </si>
  <si>
    <t>47.820409 56.630625</t>
  </si>
  <si>
    <t>Нуга Бест</t>
  </si>
  <si>
    <t>+7 (8362) 70-26-80, +7 (8362) 36-56-14</t>
  </si>
  <si>
    <t>+7 (937) 113-04-33</t>
  </si>
  <si>
    <t>http://www.nuganm.ru/</t>
  </si>
  <si>
    <t>47.919885 56.626565</t>
  </si>
  <si>
    <t>Крона</t>
  </si>
  <si>
    <t>Железнодорожная ул., 3А, Йошкар-Ола</t>
  </si>
  <si>
    <t>+7 (927) 681-51-46, +7 (987) 708-36-26</t>
  </si>
  <si>
    <t>47.892907 56.615961</t>
  </si>
  <si>
    <t>+7 (8362) 45-18-59</t>
  </si>
  <si>
    <t>Магазин канцтоваров, Магазин посуды, Магазин хозтоваров и бытовой химии, Посуда оптом, Хозтовары оптом</t>
  </si>
  <si>
    <t>пн-пт 08:00–16:00; сб 08:00–13:00</t>
  </si>
  <si>
    <t>Свадебное настроение</t>
  </si>
  <si>
    <t>+7 (8362) 52-03-18, +7 (8362) 98-98-13, +7 (8362) 33-04-77</t>
  </si>
  <si>
    <t>пн-пт 11:00–19:00</t>
  </si>
  <si>
    <t>47.895251 56.640258</t>
  </si>
  <si>
    <t>Максавит</t>
  </si>
  <si>
    <t>Красноармейская ул., 100Б, Йошкар-Ола</t>
  </si>
  <si>
    <t>+7 (927) 881-08-21</t>
  </si>
  <si>
    <t xml:space="preserve">candidat@maksavit.ru  </t>
  </si>
  <si>
    <t>http://www.maksavit.ru/, http://www.maksavit.ru/apteka-maksavit,-g.joshkar-ola,-ul.-krasnoarmejskaya,-d.100b,-t.7(8362)-30-43-25, https://maksavit.ru/?utm_campaign=maksavitu0026utm_content=yandex_spravochniku0026utm_medium=cpcu0026utm_source=yandex, https://maksavit.ru/?utm_campaign=maksavitu0026utm_content=yandex_spravochnik_marij_elu0026utm_medium=cpcu0026utm_source=yandex</t>
  </si>
  <si>
    <t>пн-пт 08:00–21:00; сб,вс 08:00–20:00</t>
  </si>
  <si>
    <t>https://vk.com/club36998040</t>
  </si>
  <si>
    <t>https://twitter.com/AptekaMaksavit</t>
  </si>
  <si>
    <t>47.861967 56.646268</t>
  </si>
  <si>
    <t>ТСН ТСЖ Общий дом</t>
  </si>
  <si>
    <t>+7 (8362) 72-10-14, +7 (8362) 72-48-96</t>
  </si>
  <si>
    <t>пн 08:00–17:00, перерыв 12:00–13:00; вт 14:00–19:00; ср,пт 08:00–17:00, перерыв 12:00–13:00</t>
  </si>
  <si>
    <t>47.86099 56.641075</t>
  </si>
  <si>
    <t>+7 (8362) 73-11-12</t>
  </si>
  <si>
    <t>https://asna.ru/</t>
  </si>
  <si>
    <t>47.841767 56.635621</t>
  </si>
  <si>
    <t>Астониа</t>
  </si>
  <si>
    <t>Интернет-маркетинг</t>
  </si>
  <si>
    <t>Праздник для Всех</t>
  </si>
  <si>
    <t>ул. Чехова, 74, Йошкар-Ола</t>
  </si>
  <si>
    <t>+7 (8362) 32-20-07</t>
  </si>
  <si>
    <t>+7 (915) 485-07-71, +7 (926) 760-08-86</t>
  </si>
  <si>
    <t xml:space="preserve">akoncert@mail.ru  </t>
  </si>
  <si>
    <t>http://vk.com/akoncert2007</t>
  </si>
  <si>
    <t>47.882222 56.645885</t>
  </si>
  <si>
    <t>+7 (8362) 67-69-57</t>
  </si>
  <si>
    <t>47.922169 56.630982</t>
  </si>
  <si>
    <t>Пять М</t>
  </si>
  <si>
    <t>+7 (8362) 45-31-01</t>
  </si>
  <si>
    <t xml:space="preserve">info@5m-dent.ru  </t>
  </si>
  <si>
    <t>http://5m-dent.ru/</t>
  </si>
  <si>
    <t>Немецкая обувь</t>
  </si>
  <si>
    <t>+7 (8362) 42-42-90, +7 (8362) 56-56-98</t>
  </si>
  <si>
    <t>47.895015 56.632127</t>
  </si>
  <si>
    <t>Союз потребительских обществ Республики Марий Эл</t>
  </si>
  <si>
    <t>+7 (8362) 45-29-64, +7 (8362) 45-04-72</t>
  </si>
  <si>
    <t>+7 (8362) 45-06-56</t>
  </si>
  <si>
    <t>+7 (929) 734-50-77</t>
  </si>
  <si>
    <t>Led16</t>
  </si>
  <si>
    <t>+7 (937) 114-65-99, +7 (961) 375-93-89</t>
  </si>
  <si>
    <t>Юрист</t>
  </si>
  <si>
    <t>+7 (8362) 65-55-78</t>
  </si>
  <si>
    <t>+7 (987) 711-05-79</t>
  </si>
  <si>
    <t>47.89808 56.636518</t>
  </si>
  <si>
    <t>Persona</t>
  </si>
  <si>
    <t>Первомайская ул., 100, корп. 1, Йошкар-Ола</t>
  </si>
  <si>
    <t>+7 (8362) 99-62-62, +7 (8362) 99-61-61</t>
  </si>
  <si>
    <t>MarLen</t>
  </si>
  <si>
    <t>Крупная металлическая продукция</t>
  </si>
  <si>
    <t>+7 (987) 711-87-30</t>
  </si>
  <si>
    <t>Кованые изделия, Котлы и котельное оборудование, Металлоизделия</t>
  </si>
  <si>
    <t>пн-пт 09:00–17:30; сб,вс 09:00–16:00</t>
  </si>
  <si>
    <t>47.8411 56.6464</t>
  </si>
  <si>
    <t>ЕвроЛаки</t>
  </si>
  <si>
    <t>+7 (8362) 55-36-00</t>
  </si>
  <si>
    <t>+7 (906) 334-84-80, +7 (967) 754-47-52</t>
  </si>
  <si>
    <t>Клеящие вещества и материалы, Лакокрасочные материалы, Строительный магазин</t>
  </si>
  <si>
    <t>Салон штор 12</t>
  </si>
  <si>
    <t>+7 (8362) 36-63-36, +7 (8362) 70-07-60</t>
  </si>
  <si>
    <t>+7 (902) 325-17-82</t>
  </si>
  <si>
    <t xml:space="preserve">milaklyuzheva@mail.ru  </t>
  </si>
  <si>
    <t>http://salonshtor12.ru/</t>
  </si>
  <si>
    <t>Товары для дома, Шторы, карнизы</t>
  </si>
  <si>
    <t>47.8643 56.6467</t>
  </si>
  <si>
    <t>Автоюрист-12</t>
  </si>
  <si>
    <t>+7 (8362) 28-65-65, +7 (8362) 47-65-65, +7 (8362) 24-65-65, +7 (8362) 26-65-65, +7 (8362) 37-65-65</t>
  </si>
  <si>
    <t>+7 (902) 100-65-65</t>
  </si>
  <si>
    <t>Интур</t>
  </si>
  <si>
    <t>+7 (8362) 38-44-40</t>
  </si>
  <si>
    <t>47.855477 56.644244</t>
  </si>
  <si>
    <t>Центр правовой защиты граждан</t>
  </si>
  <si>
    <t>ул. Зарубина, 25, Йошкар-Ола</t>
  </si>
  <si>
    <t>+7 (8362) 72-06-32, +7 (8362) 72-06-28</t>
  </si>
  <si>
    <t>+7 (903) 326-79-12, +7 (987) 712-54-36</t>
  </si>
  <si>
    <t>+7 (8362) 72-06-32</t>
  </si>
  <si>
    <t xml:space="preserve">your@email.com  </t>
  </si>
  <si>
    <t>http://manandlaw.info/</t>
  </si>
  <si>
    <t>https://www.facebook.com/manandlaw.info</t>
  </si>
  <si>
    <t>47.876862 56.630846</t>
  </si>
  <si>
    <t>Мануфактура</t>
  </si>
  <si>
    <t>+7 (8362) 45-80-24, +7 (8362) 99-25-36</t>
  </si>
  <si>
    <t>47.886178 56.644633</t>
  </si>
  <si>
    <t>Фото</t>
  </si>
  <si>
    <t>+7 (8362) 96-72-72</t>
  </si>
  <si>
    <t>пн-сб 09:00–18:00; вс 10:00–15:00</t>
  </si>
  <si>
    <t>47.874541 56.636597</t>
  </si>
  <si>
    <t>Каталог Под ключ</t>
  </si>
  <si>
    <t>+7 (8362) 38-40-48</t>
  </si>
  <si>
    <t>Лицей информационных технологий Инфотех</t>
  </si>
  <si>
    <t>+7 (8362) 34-73-67</t>
  </si>
  <si>
    <t xml:space="preserve">info@infotech12.ru, email@email.ru  </t>
  </si>
  <si>
    <t>http://www.infotech12.ru/</t>
  </si>
  <si>
    <t>http://vk.com/infotech12</t>
  </si>
  <si>
    <t>http://facebook.com/infotech.yola</t>
  </si>
  <si>
    <t>https://www.instagram.com/infotech12</t>
  </si>
  <si>
    <t>47.895095 56.629723</t>
  </si>
  <si>
    <t>Сухая стяжка</t>
  </si>
  <si>
    <t>+7 (8362) 48-06-76, +7 (8362) 48-06-96</t>
  </si>
  <si>
    <t>47.896295 56.627382</t>
  </si>
  <si>
    <t>+7 (8362) 75-02-03, +7 (8362) 79-55-43, +7 (8362) 63-93-93</t>
  </si>
  <si>
    <t>Новая функция</t>
  </si>
  <si>
    <t>+7 (8362) 72-05-70, +7 (8362) 45-21-51</t>
  </si>
  <si>
    <t>+7 (8362) 42-49-11</t>
  </si>
  <si>
    <t>47.88025 56.632833</t>
  </si>
  <si>
    <t>Дельта</t>
  </si>
  <si>
    <t>+7 (8362) 97-22-22</t>
  </si>
  <si>
    <t>47.837822 56.613822</t>
  </si>
  <si>
    <t>Акрополь</t>
  </si>
  <si>
    <t>+7 (8362) 55-12-20, +7 (8362) 55-14-20</t>
  </si>
  <si>
    <t>http://ak12.ru/</t>
  </si>
  <si>
    <t>47.872201 56.635456</t>
  </si>
  <si>
    <t>ФГУП ГЦСС управление специальной связью по республике Марий-Эл</t>
  </si>
  <si>
    <t>ул. Яналова, 8, Йошкар-Ола</t>
  </si>
  <si>
    <t>+7 (8362) 42-20-50</t>
  </si>
  <si>
    <t xml:space="preserve">cccb@cccb.ru  </t>
  </si>
  <si>
    <t>https://www.cccb.ru/</t>
  </si>
  <si>
    <t>47.879163 56.622657</t>
  </si>
  <si>
    <t>Альфикс</t>
  </si>
  <si>
    <t>ул. Строителей, 101А, Йошкар-Ола</t>
  </si>
  <si>
    <t>+7 (8362) 99-40-83</t>
  </si>
  <si>
    <t>+7 (917) 706-06-83</t>
  </si>
  <si>
    <t xml:space="preserve">info@alfix.ru  </t>
  </si>
  <si>
    <t>http://alfix.pro/</t>
  </si>
  <si>
    <t>Автоматизация производств, Производственное предприятие, Энергосбережение и энергоаудит</t>
  </si>
  <si>
    <t>47.873865 56.612116</t>
  </si>
  <si>
    <t>Консалтинговый центр сопровождения бизнеса</t>
  </si>
  <si>
    <t>+7 (8362) 46-98-88, +7 (8362) 46-03-43</t>
  </si>
  <si>
    <t>+7 (8362) 46-98-88</t>
  </si>
  <si>
    <t>47.900602 56.648071</t>
  </si>
  <si>
    <t>+7 (917) 714-97-79</t>
  </si>
  <si>
    <t>Настроение</t>
  </si>
  <si>
    <t>ул. Белинского, 27, Йошкар-Ола</t>
  </si>
  <si>
    <t>+7 (8362) 33-25-87</t>
  </si>
  <si>
    <t>пн-пт 10:00–21:00</t>
  </si>
  <si>
    <t>47.865149 56.623707</t>
  </si>
  <si>
    <t>Квазар</t>
  </si>
  <si>
    <t>8 (800) 700-19-50</t>
  </si>
  <si>
    <t xml:space="preserve">info@kvazar-ufa.com, kvazar91@yandex.ru  </t>
  </si>
  <si>
    <t>http://www.kvazar-ufa.com/</t>
  </si>
  <si>
    <t>Инструментальная промышленность, Контрольно-измерительные приборы, Нефтегазовое оборудование</t>
  </si>
  <si>
    <t>https://vk.com/kvazarufacom</t>
  </si>
  <si>
    <t>https://www.facebook.com/kvazarcom</t>
  </si>
  <si>
    <t>Галерея потолков</t>
  </si>
  <si>
    <t>+7 (8362) 42-28-05</t>
  </si>
  <si>
    <t>+7 (927) 871-43-83</t>
  </si>
  <si>
    <t xml:space="preserve">mtv.potolok@mail.ru  </t>
  </si>
  <si>
    <t>http://www.potolki-gallery.ru/</t>
  </si>
  <si>
    <t>Декоративные покрытия, Натяжные и подвесные потолки</t>
  </si>
  <si>
    <t>пн-пт 09:15–18:00, перерыв 13:00–14:00; сб 10:00–13:00</t>
  </si>
  <si>
    <t>https://vk.com/club34521657</t>
  </si>
  <si>
    <t>47.8865 56.6379</t>
  </si>
  <si>
    <t>Строительный техникум</t>
  </si>
  <si>
    <t>Кремлёвская ул., 32, Йошкар-Ола</t>
  </si>
  <si>
    <t>+7 (8362) 45-43-88, +7 (8362) 45-29-44, +7 (8362) 42-20-76, +7 (8362) 42-28-44</t>
  </si>
  <si>
    <t xml:space="preserve">yosteh@mail.ru  </t>
  </si>
  <si>
    <t>https://yost.nubex.ru/</t>
  </si>
  <si>
    <t>http://vk.com/club7587794</t>
  </si>
  <si>
    <t>47.886247 56.640669</t>
  </si>
  <si>
    <t>Фирма Сувенир</t>
  </si>
  <si>
    <t>+7 (8362) 55-33-40, +7 (8362) 55-33-50, +7 (8362) 55-33-20, +7 (8362) 73-00-53</t>
  </si>
  <si>
    <t xml:space="preserve">info@bulko-suvenir.ru  </t>
  </si>
  <si>
    <t>http://bulko-suvenir.ru/</t>
  </si>
  <si>
    <t>Булочная, пекарня, Кондитерская, Кондитерские изделия оптом, Хлебозавод</t>
  </si>
  <si>
    <t>пн-пт 07:30–19:30; сб,вс 08:30–19:30</t>
  </si>
  <si>
    <t>http://vk.com/suvenircake</t>
  </si>
  <si>
    <t>47.820436 56.627075</t>
  </si>
  <si>
    <t>Алатойс</t>
  </si>
  <si>
    <t>8 (800) 700-16-04</t>
  </si>
  <si>
    <t>+7 (967) 755-06-11</t>
  </si>
  <si>
    <t xml:space="preserve">info@alatoys-market.ru, hr@alatoys-market.ru  </t>
  </si>
  <si>
    <t>http://alatoys-market.ru/</t>
  </si>
  <si>
    <t>Детские игрушки и игры, Детские товары оптом, Настольные и интеллектуальные игры</t>
  </si>
  <si>
    <t>https://vk.com/igrushki_melkiy_opt</t>
  </si>
  <si>
    <t>https://www.facebook.com/razvitiedetyam/</t>
  </si>
  <si>
    <t>https://www.youtube.com/channel/UCTxydRr15RhuaYx5pyutzZg</t>
  </si>
  <si>
    <t>https://www.instagram.com/opt_alatoys_/</t>
  </si>
  <si>
    <t>ТСЖ Вашское</t>
  </si>
  <si>
    <t>+7 (8362) 42-67-71</t>
  </si>
  <si>
    <t>пн 18:00–19:00; чт 17:00–17:30</t>
  </si>
  <si>
    <t>Дикам</t>
  </si>
  <si>
    <t>+7 (8362) 65-15-90</t>
  </si>
  <si>
    <t>+7 (987) 727-66-83</t>
  </si>
  <si>
    <t xml:space="preserve">pfdikam@mail.ru  </t>
  </si>
  <si>
    <t>https://stroite.com/</t>
  </si>
  <si>
    <t>Изоляционные материалы, Строительное оборудование и техника, Теплоизоляционные материалы</t>
  </si>
  <si>
    <t>https://vk.com/stroite12</t>
  </si>
  <si>
    <t>https://www.facebook.com/%D0%98%D0%B4%D0%B5%D0%B8-%D1%82%D0%B5%D1%85%D0%BD%D0%BE%D0%BB%D0%BE%D0%B3%D0%B8%D0%B8-%D0%B8-%D0%BE%D0%B1%D0%BE%D1%80%D1%83%D0%B4%D0%BE%D0%B2%D0%B0%D0%BD%D0%B8%D0%B5-%D0%B4%D0%BB%D1%8F-%D0%BC%D0%B0%D0%BB%D0%BE%D0%B3%D0%BE-%D0%B1%D0%B8%D0%B7%D0%BD%D0%B5%D1%81%D0%B0-175052462511155</t>
  </si>
  <si>
    <t>https://www.instagram.com/pfdikam</t>
  </si>
  <si>
    <t>Студия йоги и пилатеса</t>
  </si>
  <si>
    <t>+7 (8362) 32-12-67</t>
  </si>
  <si>
    <t xml:space="preserve">info@yogapilates12.ru </t>
  </si>
  <si>
    <t>http://yogapilates12.ru/</t>
  </si>
  <si>
    <t>Спортивный, тренажерный зал, Центр йоги</t>
  </si>
  <si>
    <t>http://vk.com/club7472659</t>
  </si>
  <si>
    <t>Автоклиника</t>
  </si>
  <si>
    <t>ул. Мира, 28А, Йошкар-Ола</t>
  </si>
  <si>
    <t>+7 (8362) 35-15-15, +7 (8362) 31-35-55</t>
  </si>
  <si>
    <t>47.945017 56.634141</t>
  </si>
  <si>
    <t>+7 (8362) 73-10-76, +7 (8362) 30-40-50</t>
  </si>
  <si>
    <t>ПО КАНН</t>
  </si>
  <si>
    <t>ул. Соловьёва, 52, Йошкар-Ола</t>
  </si>
  <si>
    <t>+7 (8362) 23-00-64, +7 (8362) 23-24-69</t>
  </si>
  <si>
    <t xml:space="preserve">kann2004@list.ru  </t>
  </si>
  <si>
    <t>http://www.pokann.ru/</t>
  </si>
  <si>
    <t>Двери, Деревообрабатывающее предприятие, Изготовление и монтаж зеркал</t>
  </si>
  <si>
    <t>47.864816 56.628094</t>
  </si>
  <si>
    <t>ул. Якова Эшпая, 45/87, Йошкар-Ола</t>
  </si>
  <si>
    <t>+7 (964) 861-26-65</t>
  </si>
  <si>
    <t>47.892368 56.653121</t>
  </si>
  <si>
    <t>+7 (902) 432-08-34</t>
  </si>
  <si>
    <t>Pro100Mebel</t>
  </si>
  <si>
    <t>+7 (937) 931-60-38, +7 (902) 329-10-89</t>
  </si>
  <si>
    <t>ФГБОУ ДПО Марийский институт переподготовки кадров агробизнеса</t>
  </si>
  <si>
    <t>Медицинская ул., 17, Йошкар-Ола</t>
  </si>
  <si>
    <t>+7 (8362) 22-35-74, +7 (8362) 46-34-94, +7 (8362) 22-34-26</t>
  </si>
  <si>
    <t>http://maripk.ru/</t>
  </si>
  <si>
    <t>http://twitter.com/maragrokadr</t>
  </si>
  <si>
    <t>https://www.youtube.com/channel/UCUYtGoEHsokLSA-M6nX0NMA?view_as=subscriber</t>
  </si>
  <si>
    <t>47.969051 56.64093</t>
  </si>
  <si>
    <t>Перестройка</t>
  </si>
  <si>
    <t>Проектная организация, Студия дизайна</t>
  </si>
  <si>
    <t>Водный дворец Йошкар-Ола</t>
  </si>
  <si>
    <t>ул. Карла Маркса, 103, Йошкар-Ола</t>
  </si>
  <si>
    <t>+7 (8362) 30-48-31</t>
  </si>
  <si>
    <t>Бассейн, Спортивный, тренажерный зал</t>
  </si>
  <si>
    <t>https://vk.com/club2261702</t>
  </si>
  <si>
    <t>47.895763 56.626416</t>
  </si>
  <si>
    <t>ул. Димитрова, 34, Йошкар-Ола</t>
  </si>
  <si>
    <t>+7 (8362) 78-70-07</t>
  </si>
  <si>
    <t>+7 (927) 879-71-62</t>
  </si>
  <si>
    <t>47.842475 56.647677</t>
  </si>
  <si>
    <t>Фрегат</t>
  </si>
  <si>
    <t>+7 (967) 756-55-11, +7 (967) 756-52-52, +7 (967) 756-22-55</t>
  </si>
  <si>
    <t>Агентство недвижимости, Оценочная компания, Строительная компания</t>
  </si>
  <si>
    <t>+7 (8362) 46-24-64</t>
  </si>
  <si>
    <t>+7 (917) 700-00-31, +7 (917) 700-00-32</t>
  </si>
  <si>
    <t>+7 (8362) 46-24-65</t>
  </si>
  <si>
    <t>47.887454 56.6551</t>
  </si>
  <si>
    <t>+7 (937) 938-15-19</t>
  </si>
  <si>
    <t>Копировальный центр, Материалы для полиграфии, Полиграфические услуги, Страховая компания</t>
  </si>
  <si>
    <t>пн-пт 08:00–19:00; сб 09:00–18:00</t>
  </si>
  <si>
    <t>Максидом</t>
  </si>
  <si>
    <t>+7 (8362) 90-70-77, +7 (8362) 32-08-56</t>
  </si>
  <si>
    <t>47.8968 56.6407</t>
  </si>
  <si>
    <t>Спортивный магазин, Товары для рыбалки</t>
  </si>
  <si>
    <t>47.869878 56.636472</t>
  </si>
  <si>
    <t>Дубай</t>
  </si>
  <si>
    <t>ул. Якова Эшпая, 139, Йошкар-Ола</t>
  </si>
  <si>
    <t>47.882248 56.637782</t>
  </si>
  <si>
    <t>Fran Studio</t>
  </si>
  <si>
    <t>+7 (8362) 52-03-06</t>
  </si>
  <si>
    <t>Возрождение</t>
  </si>
  <si>
    <t>+7 (8362) 68-68-02, +7 (8362) 96-29-28, +7 (8362) 33-63-69, +7 (8362) 68-28-50</t>
  </si>
  <si>
    <t>Сауна на Бульваре</t>
  </si>
  <si>
    <t>+7 (8362) 31-90-90</t>
  </si>
  <si>
    <t>47.922888 56.628803</t>
  </si>
  <si>
    <t>ИП Домрачев И. В.</t>
  </si>
  <si>
    <t>+7 (8362) 33-00-32, +7 (8362) 33-09-91</t>
  </si>
  <si>
    <t>+7 (927) 883-00-32, +7 (927) 883-09-91</t>
  </si>
  <si>
    <t>Искож</t>
  </si>
  <si>
    <t>+7 (8362) 63-75-58</t>
  </si>
  <si>
    <t>47.831587 56.636668</t>
  </si>
  <si>
    <t>Волшебник</t>
  </si>
  <si>
    <t>ул. Машиностроителей, 4, Йошкар-Ола</t>
  </si>
  <si>
    <t>+7 (8362) 92-83-33</t>
  </si>
  <si>
    <t>http://volshebnik12.ru/</t>
  </si>
  <si>
    <t>Клининговые услуги, Химчистка</t>
  </si>
  <si>
    <t>https://vk.com/volshebnik_12</t>
  </si>
  <si>
    <t>47.872686 56.64986</t>
  </si>
  <si>
    <t>Мастерская архитектора Дмитриева Н. М.</t>
  </si>
  <si>
    <t>+7 (8362) 72-46-80, +7 (8362) 72-54-21</t>
  </si>
  <si>
    <t>+7 (8362) 72-46-80</t>
  </si>
  <si>
    <t>Гриль Бар</t>
  </si>
  <si>
    <t>47.8861 56.6256</t>
  </si>
  <si>
    <t>Мир Шаров</t>
  </si>
  <si>
    <t>Ленинский просп., 18, Йошкар-Ола</t>
  </si>
  <si>
    <t>+7 (8362) 32-77-99</t>
  </si>
  <si>
    <t>47.912077 56.627223</t>
  </si>
  <si>
    <t>Ремонт в срок</t>
  </si>
  <si>
    <t>Научное шоу сумасшедшего профессора Николя</t>
  </si>
  <si>
    <t>Ленинский просп., 32А, Йошкар-Ола</t>
  </si>
  <si>
    <t>+7 (8362) 32-81-78</t>
  </si>
  <si>
    <t xml:space="preserve">naukashowyola@mail.ru  </t>
  </si>
  <si>
    <t>http://yoshkar-ola.nik-show.ru/</t>
  </si>
  <si>
    <t>Детский лагерь отдыха, Клуб для детей и подростков, Праздничное агентство</t>
  </si>
  <si>
    <t>http://vk.com/nik_show_ola</t>
  </si>
  <si>
    <t>47.881534 56.632912</t>
  </si>
  <si>
    <t>Банный комплекс Барские задворки</t>
  </si>
  <si>
    <t>ул. Димитрова, 23, Йошкар-Ола</t>
  </si>
  <si>
    <t>+7 (8362) 46-52-59, +7 (8362) 32-52-59</t>
  </si>
  <si>
    <t>47.841026 56.648501</t>
  </si>
  <si>
    <t>Кондитерская лавка</t>
  </si>
  <si>
    <t>47.889636 56.641394</t>
  </si>
  <si>
    <t>Школа № 10</t>
  </si>
  <si>
    <t>+7 (8362) 55-40-30, +7 (8362) 55-46-59, +7 (36225) 5-40-30</t>
  </si>
  <si>
    <t xml:space="preserve">soshinii@list.ru, school10rme@yandex.ru, uoa-yoshkar-ola@yandex.ru </t>
  </si>
  <si>
    <t>http://10school.com/</t>
  </si>
  <si>
    <t>пн-пт 08:00–17:50</t>
  </si>
  <si>
    <t>http://vk.com/club1400374</t>
  </si>
  <si>
    <t>47.869305 56.648526</t>
  </si>
  <si>
    <t>Ильканд</t>
  </si>
  <si>
    <t>ул. Машиностроителей, 131А, Йошкар-Ола</t>
  </si>
  <si>
    <t>+7 (8362) 71-52-18</t>
  </si>
  <si>
    <t>+7 (917) 701-60-66</t>
  </si>
  <si>
    <t>Дельрус</t>
  </si>
  <si>
    <t>+7 (8362) 41-88-40</t>
  </si>
  <si>
    <t xml:space="preserve">delrus@delrus.ru, info@yaroslavl.delrus.com  </t>
  </si>
  <si>
    <t>https://www.delrus.ru/, https://delrus.com/, https://www.delrus.ru/contacts/yoshkar-ola/</t>
  </si>
  <si>
    <t>Медицинские изделия и расходные материалы, Медицинское оборудование, медтехника, Ремонт медицинской техники</t>
  </si>
  <si>
    <t>МБОУ СОШ № 7 города Йошкар-Олы</t>
  </si>
  <si>
    <t>Первомайская ул., 89, Йошкар-Ола</t>
  </si>
  <si>
    <t>+7 (8362) 45-93-02, +7 (8362) 45-22-66, +7 (8362) 45-06-88</t>
  </si>
  <si>
    <t xml:space="preserve">yolaschool7@yandex.ru, uoa-yoshkar-ola@yandex.ru  </t>
  </si>
  <si>
    <t>http://school7-yola.narod.ru/</t>
  </si>
  <si>
    <t>http://vk.com/school7_yola</t>
  </si>
  <si>
    <t>http://facebook.com/pages/школа-7/160116630824746</t>
  </si>
  <si>
    <t>47.89154 56.644201</t>
  </si>
  <si>
    <t>МарГУ, институт естественных наук и фармации</t>
  </si>
  <si>
    <t>ул. Осипенко, 60, Йошкар-Ола</t>
  </si>
  <si>
    <t>+7 (8362) 68-79-42</t>
  </si>
  <si>
    <t>http://new.marsu.ru/</t>
  </si>
  <si>
    <t>ВУЗ, НИИ</t>
  </si>
  <si>
    <t>47.879476 56.642875</t>
  </si>
  <si>
    <t>Будуар</t>
  </si>
  <si>
    <t>47.896538 56.62863</t>
  </si>
  <si>
    <t>Greenwich</t>
  </si>
  <si>
    <t>+7 (8362) 97-99-90</t>
  </si>
  <si>
    <t>Курсы и мастер-классы, Курсы иностранных языков</t>
  </si>
  <si>
    <t>пн-пт 15:00–20:00</t>
  </si>
  <si>
    <t>47.86609 56.634791</t>
  </si>
  <si>
    <t>Меридиан</t>
  </si>
  <si>
    <t>Красноармейская ул., 73, Йошкар-Ола</t>
  </si>
  <si>
    <t>+7 (8362) 68-79-38</t>
  </si>
  <si>
    <t>47.87622 56.643948</t>
  </si>
  <si>
    <t>Клуб сказкотерапии Дом сказки</t>
  </si>
  <si>
    <t>+7 (8362) 33-04-03</t>
  </si>
  <si>
    <t>+7 (927) 883-04-03</t>
  </si>
  <si>
    <t>Союзантисептик</t>
  </si>
  <si>
    <t>+7 (8362) 41-52-54, +7 (8362) 41-02-37</t>
  </si>
  <si>
    <t xml:space="preserve">souzantiseptik@mail.ru  </t>
  </si>
  <si>
    <t>http://www.antiseptik-yola.ru/</t>
  </si>
  <si>
    <t>47.861298 56.619022</t>
  </si>
  <si>
    <t>Авви</t>
  </si>
  <si>
    <t>+7 (8362) 63-83-76, +7 (8362) 64-09-83</t>
  </si>
  <si>
    <t xml:space="preserve">avvi@avvi.ru  </t>
  </si>
  <si>
    <t>https://avvi.ru/</t>
  </si>
  <si>
    <t>Машиностроительный завод, Производственное предприятие, Редукторы</t>
  </si>
  <si>
    <t>47.829179 56.617379</t>
  </si>
  <si>
    <t>ГармОНиЯ</t>
  </si>
  <si>
    <t>47.862203 56.639594</t>
  </si>
  <si>
    <t>Тонкая линия</t>
  </si>
  <si>
    <t>+7 (917) 715-18-65, +7 (927) 883-04-25, +7 (927) 871-43-05</t>
  </si>
  <si>
    <t>Эмеральд школа ирландского танца</t>
  </si>
  <si>
    <t>+7 (902) 329-28-88</t>
  </si>
  <si>
    <t xml:space="preserve">training@emerald-dance.ru  </t>
  </si>
  <si>
    <t>http://emerald-dance.ru/</t>
  </si>
  <si>
    <t>пн,чт 16:30–21:00; сб 13:00–16:00</t>
  </si>
  <si>
    <t>http://vk.com/club21583202</t>
  </si>
  <si>
    <t>47.869318 56.640085</t>
  </si>
  <si>
    <t>Лип</t>
  </si>
  <si>
    <t>Первомайская ул., 80, Йошкар-Ола</t>
  </si>
  <si>
    <t>+7 (917) 709-05-20</t>
  </si>
  <si>
    <t>47.892718 56.647756</t>
  </si>
  <si>
    <t>Водоканал</t>
  </si>
  <si>
    <t>+7 (8362) 46-89-04, +7 (8362) 46-85-37, +7 (8362) 45-87-97, +7 (8362) 45-88-63, +7 (8362) 45-87-11, +7 (8362) 46-02-11</t>
  </si>
  <si>
    <t>Расчетно-кассовый центр</t>
  </si>
  <si>
    <t>Добрыня</t>
  </si>
  <si>
    <t>+7 (8362) 32-38-86, +7 (8362) 52-27-55</t>
  </si>
  <si>
    <t xml:space="preserve">vk_dobrina@mail.ru  </t>
  </si>
  <si>
    <t>https://dobrina12.ru/</t>
  </si>
  <si>
    <t>https://vk.com/vk_dobrina</t>
  </si>
  <si>
    <t>Наш компьютер</t>
  </si>
  <si>
    <t>+7 (8362) 54-25-19</t>
  </si>
  <si>
    <t>+7 (937) 115-53-66, +7 (927) 878-52-38</t>
  </si>
  <si>
    <t>Компьютерный ремонт и услуги, Копировальный центр, Расходные материалы для оргтехники</t>
  </si>
  <si>
    <t>47.926369 56.635268</t>
  </si>
  <si>
    <t>RE-style</t>
  </si>
  <si>
    <t>+7 (8362) 30-70-30</t>
  </si>
  <si>
    <t>+7 (967) 757-70-30</t>
  </si>
  <si>
    <t>Мир тканей</t>
  </si>
  <si>
    <t>47.88923 56.640789</t>
  </si>
  <si>
    <t>Кровельщик</t>
  </si>
  <si>
    <t>ул. Строителей, 95, корп. 102, Йошкар-Ола</t>
  </si>
  <si>
    <t>+7 (8362) 32-44-86</t>
  </si>
  <si>
    <t>47.8613 56.6188</t>
  </si>
  <si>
    <t>Детская развивающая студия Растем вместе</t>
  </si>
  <si>
    <t>+7 (8362) 51-05-02</t>
  </si>
  <si>
    <t>+7 (987) 702-47-40</t>
  </si>
  <si>
    <t>пн-пт 10:00–20:00; сб 10:00–17:00</t>
  </si>
  <si>
    <t>+7 (8362) 98-11-11, +7 (8362) 64-66-75</t>
  </si>
  <si>
    <t>+7 (902) 744-66-75</t>
  </si>
  <si>
    <t>пн-пт 08:00–18:00, перерыв 13:00–14:00; сб 09:00–13:00</t>
  </si>
  <si>
    <t>47.946548 56.623603</t>
  </si>
  <si>
    <t>Детский сад № 80 Ужара</t>
  </si>
  <si>
    <t>ул. Подольских Курсантов, 12Б, Йошкар-Ола</t>
  </si>
  <si>
    <t>+7 (8362) 41-93-00, +7 (8362) 41-94-91</t>
  </si>
  <si>
    <t xml:space="preserve">dou-ds-80@yandex.ru, uoa-yoshkar-ola@yandex.ru  </t>
  </si>
  <si>
    <t>http://edu.mari.ru/mouo-yoshkarola/dou80/</t>
  </si>
  <si>
    <t>https://vk.com/club145782305</t>
  </si>
  <si>
    <t>47.865778 56.651873</t>
  </si>
  <si>
    <t>Перец</t>
  </si>
  <si>
    <t>47.875794 56.646326</t>
  </si>
  <si>
    <t>Отделение для детей с ОВЗ</t>
  </si>
  <si>
    <t>+7 (8362) 73-01-34, +7 (8362) 73-02-13</t>
  </si>
  <si>
    <t>Адвокатский кабинет</t>
  </si>
  <si>
    <t>+7 (902) 329-75-75</t>
  </si>
  <si>
    <t>47.891453 56.64099</t>
  </si>
  <si>
    <t>Церковь Тихвинской иконы Божией Матери</t>
  </si>
  <si>
    <t>Комсомольская ул., 122А, Йошкар-Ола</t>
  </si>
  <si>
    <t>+7 (8362) 64-14-75</t>
  </si>
  <si>
    <t>http://tihvinskaya-ola.cerkov.ru/</t>
  </si>
  <si>
    <t>сб,вс 08:00–20:00</t>
  </si>
  <si>
    <t>47.892518 56.636835</t>
  </si>
  <si>
    <t>Бюро приватизации и обмена жилых помещений</t>
  </si>
  <si>
    <t>+7 (8362) 64-51-52, +7 (8362) 64-55-57</t>
  </si>
  <si>
    <t>47.862552 56.646941</t>
  </si>
  <si>
    <t>Адвокат Винокуров Сергей Васильевич</t>
  </si>
  <si>
    <t>+7 (8362) 92-00-56</t>
  </si>
  <si>
    <t>+7 (902) 672-00-56</t>
  </si>
  <si>
    <t>Адвокаты, Защита прав потребителя, Юридические услуги</t>
  </si>
  <si>
    <t>Деловой акцент</t>
  </si>
  <si>
    <t>+7 (8362) 38-04-20, +7 (8362) 38-44-04, +7 (8362) 42-48-60, +7 (8362) 42-63-05, +7 (8362) 96-96-10</t>
  </si>
  <si>
    <t xml:space="preserve">delovoy_akcent@mail.ru </t>
  </si>
  <si>
    <t>http://da12.ru/</t>
  </si>
  <si>
    <t>Флоранж</t>
  </si>
  <si>
    <t>+7 (8362) 40-16-50, +7 (8362) 33-92-06</t>
  </si>
  <si>
    <t>+7 (8362) 42-28-82</t>
  </si>
  <si>
    <t>47.89006 56.639681</t>
  </si>
  <si>
    <t>Форточка</t>
  </si>
  <si>
    <t>+7 (8362) 50-60-60, +7 (8362) 50-60-00</t>
  </si>
  <si>
    <t>Дачник</t>
  </si>
  <si>
    <t>+7 (8362) 73-11-13</t>
  </si>
  <si>
    <t>Магазин для садоводов, Строительный инструмент</t>
  </si>
  <si>
    <t>47.832792 56.639672</t>
  </si>
  <si>
    <t>Управдом</t>
  </si>
  <si>
    <t>+7 (8362) 42-85-77</t>
  </si>
  <si>
    <t xml:space="preserve">belgorod@upravdom.com  </t>
  </si>
  <si>
    <t>Ламинат, Магазин ковров, Напольные покрытия</t>
  </si>
  <si>
    <t>47.885002 56.633971</t>
  </si>
  <si>
    <t>Медтехпроект</t>
  </si>
  <si>
    <t>+7 (8362) 71-12-00</t>
  </si>
  <si>
    <t>+7 (937) 939-10-38</t>
  </si>
  <si>
    <t>Региональное отделение Республики Марий Эл Федерация психологов образования РФ</t>
  </si>
  <si>
    <t>+7 (8362) 38-22-25</t>
  </si>
  <si>
    <t>47.836349 56.633793</t>
  </si>
  <si>
    <t>Профитторг</t>
  </si>
  <si>
    <t>+7 (8362) 38-65-11</t>
  </si>
  <si>
    <t>Магазин ковров, Магазин одежды, Магазин подарков и сувениров, Магазин посуды, Светильники, Товары для дома</t>
  </si>
  <si>
    <t>47.885705 56.633187</t>
  </si>
  <si>
    <t>Спанбонд</t>
  </si>
  <si>
    <t>+7 (8362) 50-67-47, +7 (8362) 41-58-91</t>
  </si>
  <si>
    <t>+7 (964) 860-67-47</t>
  </si>
  <si>
    <t>47.868032 56.63712</t>
  </si>
  <si>
    <t>+7 (987) 726-02-99, +7 (987) 719-71-92</t>
  </si>
  <si>
    <t>пн-сб 10:00–20:00</t>
  </si>
  <si>
    <t>+7 (8362) 39-36-60</t>
  </si>
  <si>
    <t>47.941661 56.635072</t>
  </si>
  <si>
    <t>Дорожное радио 101. 1 FM</t>
  </si>
  <si>
    <t>ул. Палантая, 63, Йошкар-Ола</t>
  </si>
  <si>
    <t>+7 (8362) 42-57-00, +7 (8362) 32-10-11, +7 (8362) 42-52-02</t>
  </si>
  <si>
    <t xml:space="preserve">site@dorognoe.ru, a.mikhailov@dorognoe.ru, k.sorokin@dorognoe.ru, a.petrov@dorognoe.ru, sm@dorognoe.ru  </t>
  </si>
  <si>
    <t>https://dorognoe.ru/, http://yoshkar-ola.dorognoe.ru/</t>
  </si>
  <si>
    <t>http://vk.com/dorognoe</t>
  </si>
  <si>
    <t>http://ok.ru/dorognoe?st._aid=externalgroupwidget_opengroup</t>
  </si>
  <si>
    <t>http://facebook.com/dorognoeradio</t>
  </si>
  <si>
    <t>https://www.youtube.com/channel/UCQQkKNkOAdJEGm-2a1OK6Zg</t>
  </si>
  <si>
    <t>http://instagram.com/dorognoe_radio</t>
  </si>
  <si>
    <t>47.889242 56.633496</t>
  </si>
  <si>
    <t>Часовня Елисаветы Феодоровны Преподобномученицы при Православном центре</t>
  </si>
  <si>
    <t>Вознесенская ул., 81, Йошкар-Ола</t>
  </si>
  <si>
    <t>47.898878 56.63181</t>
  </si>
  <si>
    <t>ВишенкА</t>
  </si>
  <si>
    <t>+7 (8362) 98-23-68</t>
  </si>
  <si>
    <t>+7 (902) 358-23-68</t>
  </si>
  <si>
    <t>пн-пт 07:15–18:00</t>
  </si>
  <si>
    <t>47.927 56.6317</t>
  </si>
  <si>
    <t>Церковь Татианы Великомученицы при Марийском государственном техническом университете</t>
  </si>
  <si>
    <t>+7 (8362) 68-78-67</t>
  </si>
  <si>
    <t>http://tatiana-ola.cerkov.ru/</t>
  </si>
  <si>
    <t>47.890947 56.628601</t>
  </si>
  <si>
    <t>+7 (8362) 23-15-88, +7 (8362) 77-11-12</t>
  </si>
  <si>
    <t>Монтаж и обслуживание систем водоснабжения и канализации, Строительные и отделочные работы</t>
  </si>
  <si>
    <t>ХимДельта</t>
  </si>
  <si>
    <t>Ленинский просп., 10БС1, Йошкар-Ола</t>
  </si>
  <si>
    <t>+7 (8362) 21-66-22, +7 (8362) 23-00-10</t>
  </si>
  <si>
    <t>47.92053 56.626663</t>
  </si>
  <si>
    <t>Аренда спецтехники</t>
  </si>
  <si>
    <t>+7 (8362) 54-70-07, +7 (8362) 65-65-70</t>
  </si>
  <si>
    <t>Сетка-рабица</t>
  </si>
  <si>
    <t>+7 (8362) 43-13-18</t>
  </si>
  <si>
    <t>+7 (964) 863-13-18</t>
  </si>
  <si>
    <t>Изоляционные материалы, Металлические заборы и ограждения, Тепличное оборудование, Теплоизоляционные материалы</t>
  </si>
  <si>
    <t>47.9349 56.6347</t>
  </si>
  <si>
    <t>+7 (8362) 46-77-77, +7 (8362) 51-63-33</t>
  </si>
  <si>
    <t>47.847324 56.641203</t>
  </si>
  <si>
    <t>Компания Чукшинский карьер</t>
  </si>
  <si>
    <t>+7 (8362) 33-64-47, +7 (8362) 23-00-01, +7 (8362) 23-00-02</t>
  </si>
  <si>
    <t xml:space="preserve">admin@website.ru, ooo_kchk@mail.ru  </t>
  </si>
  <si>
    <t>http://www.karierkchk.ru/</t>
  </si>
  <si>
    <t>Горнодобывающая промышленность</t>
  </si>
  <si>
    <t>Добыча природных ресурсов</t>
  </si>
  <si>
    <t>Детский сад № 22 Журавушка</t>
  </si>
  <si>
    <t>ул. Петрова, 10, Йошкар-Ола</t>
  </si>
  <si>
    <t>+7 (8362) 21-84-08, +7 (8362) 21-84-09</t>
  </si>
  <si>
    <t>47.920918 56.631489</t>
  </si>
  <si>
    <t>Недвижимость, строительство и услуги</t>
  </si>
  <si>
    <t>+7 (8362) 45-33-26, +7 (8362) 45-24-59, +7 (8362) 45-24-11</t>
  </si>
  <si>
    <t>47.898036 56.637154</t>
  </si>
  <si>
    <t>+7 (8362) 30-71-90, +7 (8362) 30-86-02</t>
  </si>
  <si>
    <t xml:space="preserve">12kamelot.info@gmail.com  </t>
  </si>
  <si>
    <t>http://12kamelot.ru/</t>
  </si>
  <si>
    <t>Лесоустройство, лесовосстановление</t>
  </si>
  <si>
    <t>МонтажСтройИнвест</t>
  </si>
  <si>
    <t>+7 (8362) 52-30-40</t>
  </si>
  <si>
    <t>+7 (964) 862-30-40</t>
  </si>
  <si>
    <t>Системы безопасности и охраны, Строительная компания</t>
  </si>
  <si>
    <t>пн-пт 08:30–18:00; сб 10:00–17:00; вс 10:00–16:00</t>
  </si>
  <si>
    <t>Интернет-магазин Котел&amp;Колонка</t>
  </si>
  <si>
    <t>ул. Машиностроителей, 78, Йошкар-Ола</t>
  </si>
  <si>
    <t>8 (800) 200-10-91</t>
  </si>
  <si>
    <t xml:space="preserve">sale@kotelkolonka.ru, tech@kotelkolonka.ru, coop@kotelkolonka.ru, opt@kotelkolonka.ru  </t>
  </si>
  <si>
    <t>http://kotelkolonka.ru/</t>
  </si>
  <si>
    <t>Интернет-магазин, Котлы и котельное оборудование, Насосы, насосное оборудование, Отопительное оборудование и системы</t>
  </si>
  <si>
    <t>пн-пт 09:00–18:00; сб 10:00–18:00; вс 10:00–15:00</t>
  </si>
  <si>
    <t>Рыбачок</t>
  </si>
  <si>
    <t>+7 (8362) 33-36-10</t>
  </si>
  <si>
    <t>47.855682 56.64433</t>
  </si>
  <si>
    <t>Зеркало</t>
  </si>
  <si>
    <t>Первомайская ул., 180, Йошкар-Ола</t>
  </si>
  <si>
    <t>пн-сб 09:00–20:00; вс 11:00–17:00</t>
  </si>
  <si>
    <t>http://vk.com/salon_zerkalo</t>
  </si>
  <si>
    <t>47.877779 56.628778</t>
  </si>
  <si>
    <t>Центр бизнеса</t>
  </si>
  <si>
    <t>+7 (8362) 33-35-12, +7 (8362) 42-08-00, +7 (8362) 32-22-90</t>
  </si>
  <si>
    <t>+7 (964) 861-25-29</t>
  </si>
  <si>
    <t xml:space="preserve">0805@420800.ru  </t>
  </si>
  <si>
    <t>http://toexp.ru/</t>
  </si>
  <si>
    <t>Аудиторская компания, Бухгалтерские услуги, Юридические услуги</t>
  </si>
  <si>
    <t>S Parfum</t>
  </si>
  <si>
    <t>+7 (8362) 54-25-42</t>
  </si>
  <si>
    <t>47.843445 56.641027</t>
  </si>
  <si>
    <t>Добрый кот</t>
  </si>
  <si>
    <t>ул. Луначарского, 52А, Йошкар-Ола</t>
  </si>
  <si>
    <t>+7 (961) 377-84-44</t>
  </si>
  <si>
    <t>47.901428 56.616982</t>
  </si>
  <si>
    <t>Полиграф лжи</t>
  </si>
  <si>
    <t>+7 (8362) 92-00-55</t>
  </si>
  <si>
    <t>+7 (927) 882-61-50</t>
  </si>
  <si>
    <t xml:space="preserve">poligraf.ola@gmail.com  </t>
  </si>
  <si>
    <t>http://poligraf-ola.ru/</t>
  </si>
  <si>
    <t>+7 (927) 683-07-77</t>
  </si>
  <si>
    <t>Центр развития ребенка</t>
  </si>
  <si>
    <t>Памятники</t>
  </si>
  <si>
    <t>+7 (8362) 39-26-00, +7 (8362) 29-97-40</t>
  </si>
  <si>
    <t>Ритуальные услуги, Студия дизайна</t>
  </si>
  <si>
    <t>ул. Машиностроителей, 4А, Йошкар-Ола</t>
  </si>
  <si>
    <t>+7 (8362) 55-11-92</t>
  </si>
  <si>
    <t>вт 10:00–17:00; ср 11:00–19:00; чт 10:00–17:00; пт 13:00–19:00; сб 12:00–19:00</t>
  </si>
  <si>
    <t>47.871498 56.650482</t>
  </si>
  <si>
    <t>Ветер перемен</t>
  </si>
  <si>
    <t>+7 (8362) 77-03-37</t>
  </si>
  <si>
    <t>+7 (902) 329-73-41</t>
  </si>
  <si>
    <t>Алл Дента</t>
  </si>
  <si>
    <t>+7 (8362) 42-53-51, +7 (8362) 47-77-88</t>
  </si>
  <si>
    <t xml:space="preserve">minzdrav@mari-el.ru  </t>
  </si>
  <si>
    <t>http://www.all-denta12.ru/</t>
  </si>
  <si>
    <t>47.873407 56.6396</t>
  </si>
  <si>
    <t>Деколюкс</t>
  </si>
  <si>
    <t>+7 (929) 734-59-42, +7 (903) 326-09-14</t>
  </si>
  <si>
    <t>Техника для кухни</t>
  </si>
  <si>
    <t>+7 (8362) 95-18-25</t>
  </si>
  <si>
    <t>пн-пт 10:00–19:00; сб 10:00–15:00; вс 10:00–14:00</t>
  </si>
  <si>
    <t>47.901042 56.642042</t>
  </si>
  <si>
    <t>Унга</t>
  </si>
  <si>
    <t>+7 (8362) 73-60-05</t>
  </si>
  <si>
    <t>47.848719 56.625673</t>
  </si>
  <si>
    <t>Детский цент развития Мосяня</t>
  </si>
  <si>
    <t>+7 (8362) 29-92-51, +7 (8362) 54-07-15</t>
  </si>
  <si>
    <t>47.8365 56.6338</t>
  </si>
  <si>
    <t>Мир чистоты</t>
  </si>
  <si>
    <t>ул. Строителей, 79А, Йошкар-Ола</t>
  </si>
  <si>
    <t>+7 (8362) 23-23-07, +7 (8362) 23-23-08, +7 (8362) 72-04-05</t>
  </si>
  <si>
    <t>http://www.mirchistoti.ru/</t>
  </si>
  <si>
    <t>47.84908 56.628147</t>
  </si>
  <si>
    <t>Стоматологический центр Жемчужина</t>
  </si>
  <si>
    <t>бул. Чавайна, 20Б, Йошкар-Ола</t>
  </si>
  <si>
    <t>+7 (8362) 32-03-04, +7 (8362) 32-07-72</t>
  </si>
  <si>
    <t xml:space="preserve">yo.dent@mail.ru  </t>
  </si>
  <si>
    <t>https://жемчужина12.рф/?utm_campaign=zhemchuzhinau0026utm_medium=cpcu0026utm_source=2gis</t>
  </si>
  <si>
    <t>пн-сб 09:00–19:00; вс 10:00–15:00</t>
  </si>
  <si>
    <t>https://vk.com/yo.stoma</t>
  </si>
  <si>
    <t>https://facebook.com/241087073508197</t>
  </si>
  <si>
    <t>https://instagram.com/stoma_yola</t>
  </si>
  <si>
    <t>47.915269 56.632766</t>
  </si>
  <si>
    <t>DreamBox</t>
  </si>
  <si>
    <t>+7 (8362) 50-44-43</t>
  </si>
  <si>
    <t>ул. Суворова, 15, корп. 2А, Йошкар-Ола</t>
  </si>
  <si>
    <t>+7 (8362) 38-15-25, +7 (8362) 34-33-50</t>
  </si>
  <si>
    <t>47.863084 56.635593</t>
  </si>
  <si>
    <t>Адвокат Захарян Т. Н.</t>
  </si>
  <si>
    <t>+7 (8362) 98-75-90</t>
  </si>
  <si>
    <t>+7 (927) 681-88-15</t>
  </si>
  <si>
    <t>47.898424 56.636607</t>
  </si>
  <si>
    <t>Корпорация праздников</t>
  </si>
  <si>
    <t>+7 (8362) 39-14-00</t>
  </si>
  <si>
    <t>Отдел комплектования и обработки</t>
  </si>
  <si>
    <t>+7 (8362) 63-64-40</t>
  </si>
  <si>
    <t>47.834786 56.632803</t>
  </si>
  <si>
    <t>Гавана</t>
  </si>
  <si>
    <t>+7 (8362) 45-55-99</t>
  </si>
  <si>
    <t>47.883213 56.61698</t>
  </si>
  <si>
    <t>Ветлуга</t>
  </si>
  <si>
    <t>+7 (8362) 42-90-06</t>
  </si>
  <si>
    <t>Товары для отдыха и туризма, Товары для охоты, Товары для рыбалки</t>
  </si>
  <si>
    <t>47.885721 56.63679</t>
  </si>
  <si>
    <t>Красноеu0026Белое</t>
  </si>
  <si>
    <t xml:space="preserve">razvitie@krasnoe-beloe.ru </t>
  </si>
  <si>
    <t>https://krasnoeibeloe.ru/, https://itunes.apple.com/ru/app/krasnoe-beloe-set-magazinov/id933816701?l=ruu0026mt=8</t>
  </si>
  <si>
    <t>ежедневно, 09:00–22:05</t>
  </si>
  <si>
    <t>https://vk.com/krasnoebeloe</t>
  </si>
  <si>
    <t>https://ok.ru/krasnoebeloe</t>
  </si>
  <si>
    <t>https://www.facebook.com/krasnoe.beloe/</t>
  </si>
  <si>
    <t>https://www.instagram.com/krasnoebeloe/</t>
  </si>
  <si>
    <t>47.923899 56.638224</t>
  </si>
  <si>
    <t>Ева</t>
  </si>
  <si>
    <t>+7 (8362) 39-09-18, +7 (8362) 90-93-33</t>
  </si>
  <si>
    <t>Элитком</t>
  </si>
  <si>
    <t>+7 (8362) 25-29-15, +7 (8362) 24-79-15</t>
  </si>
  <si>
    <t>Транспортные услуги</t>
  </si>
  <si>
    <t>+7 (8362) 41-29-05</t>
  </si>
  <si>
    <t>http://alladin12.ru/</t>
  </si>
  <si>
    <t>Гардеза</t>
  </si>
  <si>
    <t>+7 (8362) 30-40-29, +7 (8362) 30-40-28, +7 (8362) 30-40-97</t>
  </si>
  <si>
    <t>http://zmkgardeza.ru/</t>
  </si>
  <si>
    <t>Двери, Оптовая компания</t>
  </si>
  <si>
    <t>Ваш новый день</t>
  </si>
  <si>
    <t>+7 (8362) 42-05-24, +7 (8362) 41-17-51</t>
  </si>
  <si>
    <t xml:space="preserve">gazeta_vnd@mail.ru  </t>
  </si>
  <si>
    <t>http://vnd12.ru/</t>
  </si>
  <si>
    <t>https://vk.com/vnd12ru</t>
  </si>
  <si>
    <t>http://facebook.com/vnd12rus</t>
  </si>
  <si>
    <t>http://instagram.com/gazeta_vnd</t>
  </si>
  <si>
    <t>47.899733 56.646531</t>
  </si>
  <si>
    <t>+7 (8362) 41-04-90, +7 (8362) 41-03-65, +7 (8362) 42-03-26</t>
  </si>
  <si>
    <t>http://paruspu.ru/</t>
  </si>
  <si>
    <t>47.874761 56.634704</t>
  </si>
  <si>
    <t>Камелия</t>
  </si>
  <si>
    <t>+7 (917) 705-17-77</t>
  </si>
  <si>
    <t>Парики, накладные пряди, волосы для наращивания</t>
  </si>
  <si>
    <t>47.9223 56.6302</t>
  </si>
  <si>
    <t>+7 (987) 704-59-40</t>
  </si>
  <si>
    <t>Магазин хозтоваров и бытовой химии, Садовый инвентарь и техника, Товары для дома</t>
  </si>
  <si>
    <t>47.946847 56.63041</t>
  </si>
  <si>
    <t>Региональное отделение Всероссийской политической партии Партия Дела в Республике Марий Эл</t>
  </si>
  <si>
    <t>Звёздная ул., 8, Йошкар-Ола</t>
  </si>
  <si>
    <t>+7 (926) 278-82-28</t>
  </si>
  <si>
    <t>47.966497 56.614178</t>
  </si>
  <si>
    <t>СП ВолгоВятСтрой</t>
  </si>
  <si>
    <t>ДоброСтрой</t>
  </si>
  <si>
    <t>+7 (8362) 75-60-40</t>
  </si>
  <si>
    <t xml:space="preserve">8b4e078a51d04e0e9efdf470027f0ec1@sentry.wixpress.com, info@dobro12.ru  </t>
  </si>
  <si>
    <t>http://www.dobro12.ru/</t>
  </si>
  <si>
    <t>пн-пт 08:00–18:00, перерыв 13:00–14:00</t>
  </si>
  <si>
    <t>https://vk.com/dobro12ru</t>
  </si>
  <si>
    <t>http://instagram.com/dobro12.ru</t>
  </si>
  <si>
    <t>47.901775 56.645909</t>
  </si>
  <si>
    <t>Полион</t>
  </si>
  <si>
    <t>ул. Строителей, 36, Йошкар-Ола</t>
  </si>
  <si>
    <t>+7 (8362) 64-07-29</t>
  </si>
  <si>
    <t>47.831426 56.637823</t>
  </si>
  <si>
    <t>Мини-парк развлечений</t>
  </si>
  <si>
    <t>+7 (8362) 54-74-94</t>
  </si>
  <si>
    <t>+7 (917) 704-92-13</t>
  </si>
  <si>
    <t>Растворо-Бетонный комбинат, офис</t>
  </si>
  <si>
    <t>+7 (8362) 43-11-12</t>
  </si>
  <si>
    <t xml:space="preserve">rbk12ru@mail.ru  </t>
  </si>
  <si>
    <t>https://rbk12.ru/</t>
  </si>
  <si>
    <t>Бетон, бетонные изделия, Строительный магазин, Сухие строительные смеси</t>
  </si>
  <si>
    <t>https://vk.com/rbk12ru</t>
  </si>
  <si>
    <t>https://www.instagram.com/rbk12ru</t>
  </si>
  <si>
    <t>Рэкс</t>
  </si>
  <si>
    <t>+7 (8362) 30-42-46, +7 (8362) 30-42-48</t>
  </si>
  <si>
    <t>+7 (917) 707-26-05</t>
  </si>
  <si>
    <t xml:space="preserve">rexdoors12@gmail.com  </t>
  </si>
  <si>
    <t>http://metdveri.com/</t>
  </si>
  <si>
    <t>https://vk.com/metdveri</t>
  </si>
  <si>
    <t>47.8897 56.6087</t>
  </si>
  <si>
    <t>ТСЖ Мечта</t>
  </si>
  <si>
    <t>+7 (960) 097-16-06</t>
  </si>
  <si>
    <t>вт 19:00–20:00</t>
  </si>
  <si>
    <t>Ваша мебель</t>
  </si>
  <si>
    <t>+7 (8362) 30-42-21, +7 (8362) 30-42-23</t>
  </si>
  <si>
    <t>+7 (917) 712-39-93</t>
  </si>
  <si>
    <t>47.842873 56.628109</t>
  </si>
  <si>
    <t>Марий-нафта</t>
  </si>
  <si>
    <t>ул. Строителей, 92, Йошкар-Ола</t>
  </si>
  <si>
    <t>+7 (8362) 63-99-14, +7 (8362) 63-99-23</t>
  </si>
  <si>
    <t>+7 (8362) 63-99-23</t>
  </si>
  <si>
    <t>http://mari-nafta.ru/</t>
  </si>
  <si>
    <t>47.851992 56.623445</t>
  </si>
  <si>
    <t>Российская партия пенсионеров за справедливость в Республике Марий Эл, Региональное отделение</t>
  </si>
  <si>
    <t>+7 (906) 336-12-22</t>
  </si>
  <si>
    <t>Двери Города</t>
  </si>
  <si>
    <t>+7 (8362) 96-95-79, +7 (8362) 90-56-22</t>
  </si>
  <si>
    <t>+7 (902) 326-95-79</t>
  </si>
  <si>
    <t xml:space="preserve">grigory.panov@gmal.com  </t>
  </si>
  <si>
    <t>http://dveri-goroda.ru/</t>
  </si>
  <si>
    <t>47.832814 56.636738</t>
  </si>
  <si>
    <t>Всероссийский Молодёжный центр ЛДПР</t>
  </si>
  <si>
    <t>+7 (8362) 35-44-63, +7 (8362) 42-91-68</t>
  </si>
  <si>
    <t>+7 (8362) 42-91-68</t>
  </si>
  <si>
    <t>+7 (8362) 79-59-26</t>
  </si>
  <si>
    <t>+7 (917) 713-81-87</t>
  </si>
  <si>
    <t>пн-пт 08:00–20:00; сб 10:00–15:00</t>
  </si>
  <si>
    <t>Тэш инжиниринг</t>
  </si>
  <si>
    <t>+7 (8352) 21-29-03, +7 (8362) 65-50-69</t>
  </si>
  <si>
    <t xml:space="preserve">info@tesh12.ru, info@techhost.ru  </t>
  </si>
  <si>
    <t>http://tesh12.ru/</t>
  </si>
  <si>
    <t>Аварийная служба, Бытовые услуги, Городское благоустройство, Коммунальная служба, Монтаж и обслуживание систем водоснабжения и канализации, Сантехнические работы</t>
  </si>
  <si>
    <t>https://vk.com/zasor12</t>
  </si>
  <si>
    <t>47.866317 56.638417</t>
  </si>
  <si>
    <t>ул. Пушкина, 19, Йошкар-Ола</t>
  </si>
  <si>
    <t>+7 (8362) 31-47-20</t>
  </si>
  <si>
    <t>47.892241 56.632937</t>
  </si>
  <si>
    <t>ул. Халтурина, 6, Йошкар-Ола</t>
  </si>
  <si>
    <t>+7 (8362) 77-62-62, +7 (8362) 77-48-48, +7 (8362) 99-00-87</t>
  </si>
  <si>
    <t>47.875252 56.655935</t>
  </si>
  <si>
    <t>Автожестянщик</t>
  </si>
  <si>
    <t>ул. Мира, 2Д, Йошкар-Ола</t>
  </si>
  <si>
    <t>+7 (902) 466-24-88</t>
  </si>
  <si>
    <t>47.952842 56.629159</t>
  </si>
  <si>
    <t>Весна-Лето</t>
  </si>
  <si>
    <t>Царев город</t>
  </si>
  <si>
    <t>+7 (8362) 42-43-84, +7 (8362) 42-36-32</t>
  </si>
  <si>
    <t>http://www.i-ola-museum.ru/</t>
  </si>
  <si>
    <t>Клуб для детей и подростков, Культурный центр, Школа танцев</t>
  </si>
  <si>
    <t>пн-пт 08:00–18:00; сб,вс 10:00–16:00</t>
  </si>
  <si>
    <t>https://www.facebook.com/muzeiyola</t>
  </si>
  <si>
    <t>Федеральное государственное бюджетное учреждение Судебно-экспертное учреждение Федеральной противопожарной службы Испытательная пожарная лаборатория по Республике Марий Эл</t>
  </si>
  <si>
    <t>ул. Волкова, 107, Йошкар-Ола</t>
  </si>
  <si>
    <t>+7 (8362) 45-06-31, +7 (8362) 69-32-44, +7 (8362) 69-32-43, +7 (8362) 69-32-40, +7 (8362) 69-32-41</t>
  </si>
  <si>
    <t>пн-чт 08:00–17:30, перерыв 12:00–13:20; пт 08:00–16:30, перерыв 12:00–13:20</t>
  </si>
  <si>
    <t>47.896653 56.636402</t>
  </si>
  <si>
    <t>Гудвилл</t>
  </si>
  <si>
    <t>+7 (8362) 43-36-32, +7 (8362) 35-30-04</t>
  </si>
  <si>
    <t>+7 (937) 117-51-64</t>
  </si>
  <si>
    <t xml:space="preserve">info@kbgoodwill.ru  </t>
  </si>
  <si>
    <t>http://kbgoodwill.ru/</t>
  </si>
  <si>
    <t>Бизнес-консалтинг, Оценочная компания, Финансовый консалтинг</t>
  </si>
  <si>
    <t>Авто К-3</t>
  </si>
  <si>
    <t>Вознесенская ул., 43, Йошкар-Ола</t>
  </si>
  <si>
    <t>+7 (8362) 45-70-74, +7 (8362) 33-38-46, +7 (8362) 71-41-30, +7 (8362) 33-38-45</t>
  </si>
  <si>
    <t>+7 (927) 883-38-46, +7 (927) 883-38-47</t>
  </si>
  <si>
    <t>Автосервис, автотехцентр, Магазин автозапчастей и автотоваров, Смазочные материалы</t>
  </si>
  <si>
    <t>https://vk.com/avto_k3</t>
  </si>
  <si>
    <t>47.901983 56.637441</t>
  </si>
  <si>
    <t>ул. Васильева, 4Б, Йошкар-Ола</t>
  </si>
  <si>
    <t>+7 (917) 700-40-94</t>
  </si>
  <si>
    <t>пн-пт 08:00–20:00; сб 10:00–20:00; вс 12:00–20:00</t>
  </si>
  <si>
    <t>47.827716 56.637432</t>
  </si>
  <si>
    <t>Ландшафтное бюро Варвара-Грин</t>
  </si>
  <si>
    <t>+7 (8362) 33-01-23</t>
  </si>
  <si>
    <t>+7 (964) 863-39-62, +7 (927) 883-01-23</t>
  </si>
  <si>
    <t xml:space="preserve">barbaragreen2014@yandex.ru </t>
  </si>
  <si>
    <t>https://www.instagram.com/varvaragreen_ola/?hl=ru</t>
  </si>
  <si>
    <t>47.917324 56.638195</t>
  </si>
  <si>
    <t>Mercury</t>
  </si>
  <si>
    <t>+7 (8362) 49-74-47, +7 (8362) 65-38-62</t>
  </si>
  <si>
    <t>+7 (927) 681-58-78</t>
  </si>
  <si>
    <t>47.8808 56.6367</t>
  </si>
  <si>
    <t>МайТур</t>
  </si>
  <si>
    <t>+7 (8362) 36-44-36, +7 (8362) 52-06-53</t>
  </si>
  <si>
    <t>пн-пт 10:00–19:00; сб 11:00–16:00</t>
  </si>
  <si>
    <t>Траст-Агро</t>
  </si>
  <si>
    <t>+7 (8362) 73-47-00</t>
  </si>
  <si>
    <t>+7 (927) 683-03-21</t>
  </si>
  <si>
    <t>http://роликполиуретан.рф/</t>
  </si>
  <si>
    <t>пн-пт 08:00–17:00, перерыв 12:00–14:00</t>
  </si>
  <si>
    <t>+7 (8362) 46-94-17</t>
  </si>
  <si>
    <t>47.893979 56.640371</t>
  </si>
  <si>
    <t>The Fox</t>
  </si>
  <si>
    <t>+7 (937) 939-00-00</t>
  </si>
  <si>
    <t>http://website--433366920504088788215-restaurant.business.site/</t>
  </si>
  <si>
    <t>Бар, паб, Ресторан</t>
  </si>
  <si>
    <t>вт-чт 12:00–23:00; пт,сб 12:00–02:00; вс 12:00–23:00</t>
  </si>
  <si>
    <t>http://vk.com/thefox_pub</t>
  </si>
  <si>
    <t>47.934938 56.63345</t>
  </si>
  <si>
    <t>Жить красиво</t>
  </si>
  <si>
    <t>47.8943 56.636813</t>
  </si>
  <si>
    <t>Станнум</t>
  </si>
  <si>
    <t>+7 (8362) 45-15-89</t>
  </si>
  <si>
    <t xml:space="preserve">stannum@inbox.ru </t>
  </si>
  <si>
    <t>Противопожарные системы, Системы безопасности и охраны</t>
  </si>
  <si>
    <t>Минутка</t>
  </si>
  <si>
    <t>+7 (8362) 33-00-99</t>
  </si>
  <si>
    <t>Ателье по пошиву одежды, Товары для творчества и рукоделия, Швейная фурнитура</t>
  </si>
  <si>
    <t>Церковь Рождества Христова в Йошкар-Оле</t>
  </si>
  <si>
    <t>+7 (8362) 40-20-10</t>
  </si>
  <si>
    <t>+7 (937) 940-20-10, +7 (937) 930-20-10</t>
  </si>
  <si>
    <t>http://vk.com/club121450278</t>
  </si>
  <si>
    <t>47.840771 56.640927</t>
  </si>
  <si>
    <t>Детский сад № 38 Рябинушка</t>
  </si>
  <si>
    <t>Первомайская ул., 154, Йошкар-Ола</t>
  </si>
  <si>
    <t>+7 (8362) 42-48-20, +7 (8362) 42-50-21</t>
  </si>
  <si>
    <t xml:space="preserve">uoa-yoshkar-ola@yandex.ru, ryba38@mail.ru  </t>
  </si>
  <si>
    <t>http://edu.mari.ru/mouo-yoshkarola/dou38</t>
  </si>
  <si>
    <t>47.881882 56.633392</t>
  </si>
  <si>
    <t>Семья плюс</t>
  </si>
  <si>
    <t>+7 (8362) 61-61-28</t>
  </si>
  <si>
    <t>Независимая оценка</t>
  </si>
  <si>
    <t>+7 (927) 870-49-85, +7 (987) 712-67-04</t>
  </si>
  <si>
    <t>ТСЖ Маяк</t>
  </si>
  <si>
    <t>+7 (8362) 63-02-40</t>
  </si>
  <si>
    <t>+7 (962) 588-44-03</t>
  </si>
  <si>
    <t>47.891461 56.640936</t>
  </si>
  <si>
    <t>Продюсерская компания Мурата Абдульманова</t>
  </si>
  <si>
    <t>+7 (8362) 52-66-63</t>
  </si>
  <si>
    <t>+7 (964) 862-66-63</t>
  </si>
  <si>
    <t>Продюсерский центр</t>
  </si>
  <si>
    <t>пн-пт 10:00–20:00; сб 10:00–19:00; вс 10:00–18:00</t>
  </si>
  <si>
    <t>Училище Олимпийского Резерва</t>
  </si>
  <si>
    <t>Молодёжная ул., 2, Йошкар-Ола</t>
  </si>
  <si>
    <t>+7 (8362) 72-81-10</t>
  </si>
  <si>
    <t>+7 (8362) 72-80-50</t>
  </si>
  <si>
    <t xml:space="preserve">sport-uor@yandex.ru, priem-uor@yandex.ru, msport@gov.mari.ru, buh.uor@yandex.ru, yurist_uor@mail.ru  </t>
  </si>
  <si>
    <t>http://uormari-el.ucoz.net/</t>
  </si>
  <si>
    <t>https://vk.com/club83292815</t>
  </si>
  <si>
    <t>47.844712 56.654823</t>
  </si>
  <si>
    <t>Дом Флореаль</t>
  </si>
  <si>
    <t>+7 (919) 413-00-34, +7 (964) 861-18-18</t>
  </si>
  <si>
    <t>Магазин посуды, Товары для дома</t>
  </si>
  <si>
    <t>47.892736 56.638748</t>
  </si>
  <si>
    <t>Pozitiv</t>
  </si>
  <si>
    <t>+7 (917) 716-66-69, +7 (960) 096-06-78</t>
  </si>
  <si>
    <t>http://pozitiv12.tiu.ru/</t>
  </si>
  <si>
    <t>PR-агентство, Праздничное агентство, Рекламное агентство</t>
  </si>
  <si>
    <t>47.925025 56.627694</t>
  </si>
  <si>
    <t>ЭКО-лавка</t>
  </si>
  <si>
    <t>+7 (8362) 45-23-32, +7 (8362) 56-57-98</t>
  </si>
  <si>
    <t>пн,вт,чт,пт 10:00–19:00</t>
  </si>
  <si>
    <t>Ньюдом недвижимость</t>
  </si>
  <si>
    <t>+7 (8362) 77-73-33</t>
  </si>
  <si>
    <t>+7 (902) 739-73-33, +7 (902) 739-22-22</t>
  </si>
  <si>
    <t xml:space="preserve">info@newdom12.ru, ofis@newdom12.ru  </t>
  </si>
  <si>
    <t>https://newdom12.ru/</t>
  </si>
  <si>
    <t>Агентство недвижимости, Строительные и отделочные работы</t>
  </si>
  <si>
    <t>https://vk.com/newdom12</t>
  </si>
  <si>
    <t>https://www.instagram.com/newdom12</t>
  </si>
  <si>
    <t>47.868329 56.644787</t>
  </si>
  <si>
    <t>+7 (8362) 34-53-45, +7 (8362) 97-83-33, +7 (8362) 33-34-44</t>
  </si>
  <si>
    <t>47.8829 56.64</t>
  </si>
  <si>
    <t>Золотая Нить</t>
  </si>
  <si>
    <t>8 (800) 775-67-52, +7 (8362) 98-40-40</t>
  </si>
  <si>
    <t>+7 (964) 860-22-21</t>
  </si>
  <si>
    <t>Магазин ткани, Нитки, пряжа, Швейная фурнитура</t>
  </si>
  <si>
    <t>47.886409 56.642154</t>
  </si>
  <si>
    <t>+7 (8362) 31-94-31</t>
  </si>
  <si>
    <t xml:space="preserve">avto-k3@mail.ru </t>
  </si>
  <si>
    <t>47.8535 56.6302</t>
  </si>
  <si>
    <t>Стройматериалы Interia Exclusive</t>
  </si>
  <si>
    <t>+7 (8362) 54-20-66</t>
  </si>
  <si>
    <t>47.91739 56.627594</t>
  </si>
  <si>
    <t>Квартирное бюро</t>
  </si>
  <si>
    <t>+7 (917) 710-02-14</t>
  </si>
  <si>
    <t>47.830465 56.639248</t>
  </si>
  <si>
    <t>На Бис</t>
  </si>
  <si>
    <t>+7 (8362) 35-04-00, +7 (8362) 35-07-00</t>
  </si>
  <si>
    <t>+7 (927) 681-06-70, +7 (917) 700-11-78</t>
  </si>
  <si>
    <t>Детский лагерь отдыха, Клуб для детей и подростков, Школа искусств</t>
  </si>
  <si>
    <t>ул. Карла Либкнехта, 39, Йошкар-Ола</t>
  </si>
  <si>
    <t>47.954531 56.643777</t>
  </si>
  <si>
    <t>Колобок</t>
  </si>
  <si>
    <t>Детская мебель, Детский магазин, Магазин мебели</t>
  </si>
  <si>
    <t>https://vk.com/kolob12</t>
  </si>
  <si>
    <t>47.895231 56.616491</t>
  </si>
  <si>
    <t>Городской Сантехничический центр</t>
  </si>
  <si>
    <t>+7 (8362) 99-91-01</t>
  </si>
  <si>
    <t>Бытовые услуги, Коммунальная служба, Сантехнические работы, Строительные и отделочные работы</t>
  </si>
  <si>
    <t>47.954486 56.643802</t>
  </si>
  <si>
    <t>Климат</t>
  </si>
  <si>
    <t>+7 (8362) 46-05-57, +7 (8362) 45-77-17</t>
  </si>
  <si>
    <t>47.900757 56.646676</t>
  </si>
  <si>
    <t>МКК Финанс</t>
  </si>
  <si>
    <t>+7 (8362) 45-77-77, +7 (8362) 23-25-45</t>
  </si>
  <si>
    <t>+7 (987) 700-75-55</t>
  </si>
  <si>
    <t xml:space="preserve">office@mfofinans.ru, job@mfofinans.ru  </t>
  </si>
  <si>
    <t>http://mfofinans.ru/</t>
  </si>
  <si>
    <t>https://vk.com/mkkfinans</t>
  </si>
  <si>
    <t>47.891443 56.642208</t>
  </si>
  <si>
    <t>ЭлитСтрой</t>
  </si>
  <si>
    <t>+7 (8362) 21-39-93</t>
  </si>
  <si>
    <t>Газовое оборудование, Проектная организация</t>
  </si>
  <si>
    <t>Заплатим по ОСАГО</t>
  </si>
  <si>
    <t>+7 (8362) 97-06-06</t>
  </si>
  <si>
    <t>+7 (902) 737-06-06</t>
  </si>
  <si>
    <t>47.884031 56.638625</t>
  </si>
  <si>
    <t>Рулес-2</t>
  </si>
  <si>
    <t>+7 (8362) 32-03-10</t>
  </si>
  <si>
    <t>Пародокс</t>
  </si>
  <si>
    <t>47.924719 56.627714</t>
  </si>
  <si>
    <t>Три шоколада</t>
  </si>
  <si>
    <t>+7 (8362) 33-16-06, +7 (8362) 45-37-12</t>
  </si>
  <si>
    <t>Кафе, Кондитерская, Кофейня, Магазин продуктов, Торты на заказ</t>
  </si>
  <si>
    <t>http://vk.com/tri_shokolada</t>
  </si>
  <si>
    <t>47.894795 56.639313</t>
  </si>
  <si>
    <t>+7 (8362) 45-43-41</t>
  </si>
  <si>
    <t>Мебель для кухни, Мебель на заказ</t>
  </si>
  <si>
    <t>47.889422 56.641057</t>
  </si>
  <si>
    <t>Двери 12</t>
  </si>
  <si>
    <t>8 (800) 555-17-64, +7 (8362) 64-99-57, +7 (8362) 73-02-01</t>
  </si>
  <si>
    <t>+7 (927) 872-11-22, +7 (927) 680-69-07</t>
  </si>
  <si>
    <t xml:space="preserve">manager@dveri12.ru  </t>
  </si>
  <si>
    <t>http://dveri12.ru/</t>
  </si>
  <si>
    <t>+7 (8362) 78-90-00</t>
  </si>
  <si>
    <t xml:space="preserve">ukk-stroitel@mail.ru  </t>
  </si>
  <si>
    <t>http://ukk-stroitel.ru/</t>
  </si>
  <si>
    <t>Учебный центр</t>
  </si>
  <si>
    <t>47.873608 56.647729</t>
  </si>
  <si>
    <t>МегаХолл</t>
  </si>
  <si>
    <t>ул. Соловьёва, 29, Йошкар-Ола</t>
  </si>
  <si>
    <t>+7 (8362) 55-13-70, +7 (8362) 55-13-42, +7 (8362) 32-52-52, +7 (8362) 55-13-62, +7 (8362) 72-62-86, +7 (8362) 55-11-69</t>
  </si>
  <si>
    <t xml:space="preserve">info@megaholl.ru </t>
  </si>
  <si>
    <t>Крепежные изделия, Окна, Строительный магазин</t>
  </si>
  <si>
    <t>https://vk.com/iomegaholl</t>
  </si>
  <si>
    <t>47.867491 56.625067</t>
  </si>
  <si>
    <t>Библиотека, филиал № 7</t>
  </si>
  <si>
    <t>ул. Клары Цеткин, 32, Йошкар-Ола</t>
  </si>
  <si>
    <t>+7 (8362) 74-20-23</t>
  </si>
  <si>
    <t>пн-чт 10:00–18:00, перерыв 14:00–14:20; пт,сб 10:00–17:00, перерыв 14:00–14:20</t>
  </si>
  <si>
    <t>47.905336 56.618643</t>
  </si>
  <si>
    <t>ТСЖ Лада</t>
  </si>
  <si>
    <t>+7 (8362) 73-16-40, +7 (8362) 24-97-22</t>
  </si>
  <si>
    <t>ср 09:00–12:00</t>
  </si>
  <si>
    <t>Инновация</t>
  </si>
  <si>
    <t>+7 (8362) 45-78-97, +7 (8362) 45-79-82</t>
  </si>
  <si>
    <t>+7 (8362) 45-78-89</t>
  </si>
  <si>
    <t>Фантикофф</t>
  </si>
  <si>
    <t>+7 (964) 860-10-20, +7 (903) 050-05-00</t>
  </si>
  <si>
    <t>47.895045 56.635692</t>
  </si>
  <si>
    <t>+7 (987) 734-98-07</t>
  </si>
  <si>
    <t xml:space="preserve">14370afcdc17429f9e418d5ffbd0334a@sentry.wixpress.com, mail@comfort12.com, wixofday@wix.com, nikitaesmeneev@gmail.com  </t>
  </si>
  <si>
    <t>https://www.comfort12.com/</t>
  </si>
  <si>
    <t>https://vk.com/hostelcomfort12</t>
  </si>
  <si>
    <t>https://www.facebook.com/hostelcomfort12/</t>
  </si>
  <si>
    <t>47.861114 56.618937</t>
  </si>
  <si>
    <t>+7 (917) 718-80-80</t>
  </si>
  <si>
    <t>Цифровые технологии</t>
  </si>
  <si>
    <t>+7 (8362) 33-70-50</t>
  </si>
  <si>
    <t xml:space="preserve">support@trusted.ru, sales@cryptoarm.ru  </t>
  </si>
  <si>
    <t>https://www.trusted.ru/, https://cryptoarm.ru/</t>
  </si>
  <si>
    <t>Информационная безопасность, Программное обеспечение</t>
  </si>
  <si>
    <t>https://twitter.com/trusted_ru</t>
  </si>
  <si>
    <t>https://facebook.com/trusted.ru</t>
  </si>
  <si>
    <t>47.914378 56.62756</t>
  </si>
  <si>
    <t>Путь Преодоления</t>
  </si>
  <si>
    <t>2-й Луговой пер., 8А, Йошкар-Ола</t>
  </si>
  <si>
    <t>+7 (929) 733-29-39</t>
  </si>
  <si>
    <t>47.917628 56.65173</t>
  </si>
  <si>
    <t>БетонСтрой</t>
  </si>
  <si>
    <t>+7 (8362) 65-22-00</t>
  </si>
  <si>
    <t>47.903182 56.646657</t>
  </si>
  <si>
    <t>Центральная транспортная компания</t>
  </si>
  <si>
    <t>+7 (8362) 42-54-14, +7 (8362) 42-00-76</t>
  </si>
  <si>
    <t>пн-пт 08:00–18:30; сб,вс 08:00–17:00</t>
  </si>
  <si>
    <t>47.885487 56.635224</t>
  </si>
  <si>
    <t>ТСЖ Чехова, 14-1</t>
  </si>
  <si>
    <t>+7 (8362) 99-01-88</t>
  </si>
  <si>
    <t>+7 (927) 684-35-07</t>
  </si>
  <si>
    <t>Союз ТК</t>
  </si>
  <si>
    <t>+7 (8362) 32-05-05, +7 (8362) 40-15-25</t>
  </si>
  <si>
    <t>+7 (929) 733-15-25, +7 (937) 110-97-94</t>
  </si>
  <si>
    <t>47.879349 56.633065</t>
  </si>
  <si>
    <t>Технические средства охраны</t>
  </si>
  <si>
    <t>Красноармейская ул., 107А, Йошкар-Ола</t>
  </si>
  <si>
    <t>+7 (987) 718-68-88</t>
  </si>
  <si>
    <t>47.861286 56.644663</t>
  </si>
  <si>
    <t>+7 (8362) 50-11-32</t>
  </si>
  <si>
    <t>http://bekon12.ru/</t>
  </si>
  <si>
    <t>Эксперт-СБ</t>
  </si>
  <si>
    <t>+7 (8352) 59-19-95</t>
  </si>
  <si>
    <t>+7 (969) 759-19-95</t>
  </si>
  <si>
    <t xml:space="preserve">videokamera@list.ru  </t>
  </si>
  <si>
    <t>http://expert-sb.ru/</t>
  </si>
  <si>
    <t>Интеллектуальные здания, Системы безопасности и охраны, Устройство сетей</t>
  </si>
  <si>
    <t>47.913737 56.634317</t>
  </si>
  <si>
    <t>+7 (8362) 21-35-05, +7 (8362) 21-39-93, +7 (8362) 21-37-94</t>
  </si>
  <si>
    <t>+7 (8362) 21-37-94</t>
  </si>
  <si>
    <t>Газовое оборудование, Оптовый магазин</t>
  </si>
  <si>
    <t>47.93244 56.637612</t>
  </si>
  <si>
    <t>Эксперт</t>
  </si>
  <si>
    <t>+7 (8362) 95-88-88</t>
  </si>
  <si>
    <t>+7 (909) 366-30-00</t>
  </si>
  <si>
    <t>Паркет форте</t>
  </si>
  <si>
    <t>+7 (927) 683-42-27, +7 (902) 432-34-10</t>
  </si>
  <si>
    <t>Лестницы и лестничные ограждения, Напольные покрытия</t>
  </si>
  <si>
    <t>пн-сб 09:00–18:00, перерыв 13:00–14:00</t>
  </si>
  <si>
    <t>+7 (961) 335-34-11</t>
  </si>
  <si>
    <t>47.865966 56.613623</t>
  </si>
  <si>
    <t>Шарм</t>
  </si>
  <si>
    <t>+7 (8362) 72-11-89</t>
  </si>
  <si>
    <t>+7 (927) 871-71-54</t>
  </si>
  <si>
    <t>Визажисты, стилисты, Салон красоты</t>
  </si>
  <si>
    <t>пн-пт 08:00–20:00; сб 08:00–16:00; вс 09:00–15:00</t>
  </si>
  <si>
    <t>47.87155 56.635891</t>
  </si>
  <si>
    <t>Автоматические ворота + Сервис</t>
  </si>
  <si>
    <t>+7 (999) 145-00-07</t>
  </si>
  <si>
    <t xml:space="preserve">vorota_fasad@mail.ru </t>
  </si>
  <si>
    <t>http://avtovorota12.ru/</t>
  </si>
  <si>
    <t>Автоматические двери и ворота, Двери, Окна, Рольставни, Строительная компания, Фасады и фасадные системы</t>
  </si>
  <si>
    <t>47.950411 56.648634</t>
  </si>
  <si>
    <t>Вернисаж</t>
  </si>
  <si>
    <t>Альфа и Омега</t>
  </si>
  <si>
    <t>Красноармейская ул., 111, Йошкар-Ола</t>
  </si>
  <si>
    <t>+7 (8362) 31-11-46, +7 (495) 410-27-44, +7 (3519) 45-02-35, +7 (383) 291-32-89</t>
  </si>
  <si>
    <t>http://dopuskvsro.ru/</t>
  </si>
  <si>
    <t>Лицензирование, Саморегулируемая организация</t>
  </si>
  <si>
    <t>47.858394 56.644242</t>
  </si>
  <si>
    <t>Scarlett</t>
  </si>
  <si>
    <t>47.870861 56.645872</t>
  </si>
  <si>
    <t>ИП Новоселова В. Е.</t>
  </si>
  <si>
    <t>+7 (987) 718-11-05</t>
  </si>
  <si>
    <t>Йошкар-Олинский почтамт</t>
  </si>
  <si>
    <t>+7 (8362) 48-22-59</t>
  </si>
  <si>
    <t>пн-пт 08:00–22:00; сб,вс 09:00–18:00</t>
  </si>
  <si>
    <t>Грань</t>
  </si>
  <si>
    <t>+7 (961) 376-10-66, +7 (937) 933-21-18</t>
  </si>
  <si>
    <t>Декоратор</t>
  </si>
  <si>
    <t>+7 (917) 714-44-44</t>
  </si>
  <si>
    <t>Метр в Квадрате</t>
  </si>
  <si>
    <t>8 (800) 700-71-57</t>
  </si>
  <si>
    <t xml:space="preserve">dom@m2metr.com, grevdok@gmail.com  </t>
  </si>
  <si>
    <t>http://m2metr.com/</t>
  </si>
  <si>
    <t>Информационный интернет-сайт, Продажа и аренда коммерческой недвижимости</t>
  </si>
  <si>
    <t>http://vk.com/m2metr</t>
  </si>
  <si>
    <t>47.911859 56.63145</t>
  </si>
  <si>
    <t>Нью трейд</t>
  </si>
  <si>
    <t>Красноармейская ул., 50, Йошкар-Ола</t>
  </si>
  <si>
    <t>+7 (8362) 45-71-10</t>
  </si>
  <si>
    <t xml:space="preserve">newtradeslav@mail.ru  </t>
  </si>
  <si>
    <t>http://nt12.ru/</t>
  </si>
  <si>
    <t>http://facebook.com/newtradeslav</t>
  </si>
  <si>
    <t>47.888346 56.64228</t>
  </si>
  <si>
    <t>ПРО100Займ</t>
  </si>
  <si>
    <t>+7 (8362) 30-86-86, +7 (8362) 30-66-88</t>
  </si>
  <si>
    <t>Профит Микс</t>
  </si>
  <si>
    <t>+7 (925) 044-65-04</t>
  </si>
  <si>
    <t>47.917395 56.628827</t>
  </si>
  <si>
    <t>Бристоль</t>
  </si>
  <si>
    <t>Советская ул., 177, Йошкар-Ола</t>
  </si>
  <si>
    <t>8 (800) 707-15-55, +7 (8362) 49-55-95, +7 (8362) 38-28-58, +7 (8362) 49-75-93</t>
  </si>
  <si>
    <t xml:space="preserve">mir@bristol.ru  </t>
  </si>
  <si>
    <t>https://bristol.ru/</t>
  </si>
  <si>
    <t>Магазин алкогольных напитков, Магазин продуктов, Магазин табака и курительных принадлежностей</t>
  </si>
  <si>
    <t>https://vk.com/public65531649</t>
  </si>
  <si>
    <t>https://ok.ru/group/54037646999782</t>
  </si>
  <si>
    <t>https://twitter.com/magazinybristol</t>
  </si>
  <si>
    <t>https://www.facebook.com/bristolretail</t>
  </si>
  <si>
    <t>https://www.instagram.com/bristol_retail</t>
  </si>
  <si>
    <t>47.888868 56.624672</t>
  </si>
  <si>
    <t>Гжелка</t>
  </si>
  <si>
    <t>+7 (8362) 93-20-26</t>
  </si>
  <si>
    <t>Магазин посуды</t>
  </si>
  <si>
    <t>47.895043 56.639469</t>
  </si>
  <si>
    <t>Арматура</t>
  </si>
  <si>
    <t>+7 (987) 705-40-95</t>
  </si>
  <si>
    <t>Лаэрта Родные кухни</t>
  </si>
  <si>
    <t>+7 (8362) 78-31-87</t>
  </si>
  <si>
    <t>+7 (987) 705-88-21</t>
  </si>
  <si>
    <t>Трэк</t>
  </si>
  <si>
    <t>+7 (8362) 65-43-68</t>
  </si>
  <si>
    <t>+7 (987) 726-99-97</t>
  </si>
  <si>
    <t>47.870365 56.654748</t>
  </si>
  <si>
    <t>47.92126 56.630372</t>
  </si>
  <si>
    <t>Егаис Йошкар-Ола</t>
  </si>
  <si>
    <t>+7 (8362) 38-30-63, +7 (8362) 31-08-99</t>
  </si>
  <si>
    <t xml:space="preserve">310899@ofd12.ru  </t>
  </si>
  <si>
    <t>http://egais12.ru/</t>
  </si>
  <si>
    <t>Информационная безопасность, Программное обеспечение, Торговое оборудование</t>
  </si>
  <si>
    <t>ежедневно, 08:30–17:30</t>
  </si>
  <si>
    <t>https://vk.com/club128272314</t>
  </si>
  <si>
    <t>Кабинет косметического отбеливания зубов</t>
  </si>
  <si>
    <t>+7 (8362) 93-00-63</t>
  </si>
  <si>
    <t>+7 (917) 712-18-07</t>
  </si>
  <si>
    <t>Косметология, Стоматологическая клиника</t>
  </si>
  <si>
    <t>47.8711 56.6356</t>
  </si>
  <si>
    <t>Живая вода</t>
  </si>
  <si>
    <t>+7 (927) 878-78-31, +7 (906) 139-27-75</t>
  </si>
  <si>
    <t>http://kl6238.polzdr.ru/</t>
  </si>
  <si>
    <t>пн-пт 13:00–19:00; сб 12:00–16:00</t>
  </si>
  <si>
    <t>Садкова А. А.</t>
  </si>
  <si>
    <t>+7 (8362) 65-19-96</t>
  </si>
  <si>
    <t>+7 (902) 325-19-96</t>
  </si>
  <si>
    <t>47.864278 56.64251</t>
  </si>
  <si>
    <t>ДельтаДент</t>
  </si>
  <si>
    <t>Зелёная ул., 2, Йошкар-Ола</t>
  </si>
  <si>
    <t>+7 (8362) 73-28-80, +7 (8362) 79-19-08</t>
  </si>
  <si>
    <t xml:space="preserve">lsergeev1961@mail.ru, minzdrav@mari-el.ru, rznrme@mail.ru, roszdravnadzor@mari-el.ru, sanepid@12.rospotrebnadzor.ru  </t>
  </si>
  <si>
    <t>http://ddent12.ru/</t>
  </si>
  <si>
    <t>пн,вт,чт,пт 09:00–18:00</t>
  </si>
  <si>
    <t>47.8477 56.6405</t>
  </si>
  <si>
    <t>+7 (8362) 33-75-23</t>
  </si>
  <si>
    <t>Фабрика Счастья</t>
  </si>
  <si>
    <t>+7 (8362) 50-61-83, +7 (8362) 43-72-12, +7 (8362) 54-14-72</t>
  </si>
  <si>
    <t>+7 (927) 871-68-79, +7 (964) 863-72-12</t>
  </si>
  <si>
    <t xml:space="preserve">14370afcdc17429f9e418d5ffbd0334a@sentry.wixpress.com, fabricashastya@mail.ru, wixofday@wix.com  </t>
  </si>
  <si>
    <t>http://fabrikaschastya.wixsite.com/fabrika-ru</t>
  </si>
  <si>
    <t>Клуб для детей и подростков, Организация и проведение детских праздников, Праздничное агентство, Производство и продажа аттракционов, Творческий коллектив</t>
  </si>
  <si>
    <t>https://vk.com/fabrikashastia</t>
  </si>
  <si>
    <t>Камеллан</t>
  </si>
  <si>
    <t>+7 (8362) 38-57-37, +7 (8362) 38-57-67</t>
  </si>
  <si>
    <t xml:space="preserve">admin@website.ru, bugulma@color16.ru, buguruslan@color16.ru, zainsk@color16.ru, leninigorsk@color16.ru  </t>
  </si>
  <si>
    <t>http://www.kamellan.ru/</t>
  </si>
  <si>
    <t>Обувной салон</t>
  </si>
  <si>
    <t>+7 (8362) 78-66-32</t>
  </si>
  <si>
    <t>+7 (987) 709-41-81</t>
  </si>
  <si>
    <t>Доктор Соль</t>
  </si>
  <si>
    <t>+7 (8362) 33-01-12, +7 (8362) 33-01-81</t>
  </si>
  <si>
    <t>+7 (927) 883-01-12</t>
  </si>
  <si>
    <t xml:space="preserve">24oskol@mail.ru </t>
  </si>
  <si>
    <t>пн-пт 10:00–21:00; сб,вс 10:00–16:00</t>
  </si>
  <si>
    <t>http://vk.com/doctorsolyola</t>
  </si>
  <si>
    <t>http://instagram.com/doctorsol12</t>
  </si>
  <si>
    <t>Золотой слон</t>
  </si>
  <si>
    <t>+7 (8362) 30-40-44, +7 (8362) 65-85-92</t>
  </si>
  <si>
    <t>+7 (927) 883-01-64</t>
  </si>
  <si>
    <t xml:space="preserve">zolotoyslon12@mail.ru  </t>
  </si>
  <si>
    <t>http://vk.com/zolotoy_slon12</t>
  </si>
  <si>
    <t>47.890034 56.632511</t>
  </si>
  <si>
    <t>Адвокатский кабинет Ткаченко Екатерины Леонидовны</t>
  </si>
  <si>
    <t>пер. Кулибина, 20, Йошкар-Ола</t>
  </si>
  <si>
    <t>47.851108 56.649622</t>
  </si>
  <si>
    <t>Модный квартал</t>
  </si>
  <si>
    <t>+7 (8362) 41-54-62</t>
  </si>
  <si>
    <t>47.885756 56.635607</t>
  </si>
  <si>
    <t>Металлические двери Прогресс</t>
  </si>
  <si>
    <t>+7 (8362) 34-82-01, +7 (8362) 34-82-03</t>
  </si>
  <si>
    <t>+7 (987) 722-22-48</t>
  </si>
  <si>
    <t xml:space="preserve">door@progress12.ru </t>
  </si>
  <si>
    <t>http://www.progress12.ru/</t>
  </si>
  <si>
    <t>47.833213 56.636777</t>
  </si>
  <si>
    <t>Ультра</t>
  </si>
  <si>
    <t>+7 (8362) 21-71-44</t>
  </si>
  <si>
    <t>Запчасти и аксессуары для бытовой техники, Магазин бытовой техники</t>
  </si>
  <si>
    <t>47.918828 56.630805</t>
  </si>
  <si>
    <t>Сыйфат</t>
  </si>
  <si>
    <t>+7 (937) 110-11-99</t>
  </si>
  <si>
    <t xml:space="preserve">sft-kazan@mail.ru, sft-nab.chel@mail.ru </t>
  </si>
  <si>
    <t>Котлы и котельное оборудование</t>
  </si>
  <si>
    <t>47.96155 56.61327</t>
  </si>
  <si>
    <t>Будь стройной</t>
  </si>
  <si>
    <t>+7 (8362) 62-91-10</t>
  </si>
  <si>
    <t>+7 (917) 701-57-55</t>
  </si>
  <si>
    <t>http://kl6237.polzdr.ru/</t>
  </si>
  <si>
    <t>пн-пт 15:00–18:30; сб 12:00–18:00</t>
  </si>
  <si>
    <t>Flat-Luxe</t>
  </si>
  <si>
    <t>ул. Строителей, 54Г, Йошкар-Ола</t>
  </si>
  <si>
    <t>+7 (8362) 50-77-77, +7 (8362) 51-55-55</t>
  </si>
  <si>
    <t xml:space="preserve">info@flat-luxe.ru  </t>
  </si>
  <si>
    <t>http://flat-luxe.ru/, http://otelflatluxe.ru/</t>
  </si>
  <si>
    <t>http://vk.com/flatluxe_official</t>
  </si>
  <si>
    <t>http://instagram.com/flatluxe_official</t>
  </si>
  <si>
    <t>47.841228 56.63138</t>
  </si>
  <si>
    <t>Домио</t>
  </si>
  <si>
    <t>+7 (8362) 77-55-12</t>
  </si>
  <si>
    <t>+7 (987) 703-07-70</t>
  </si>
  <si>
    <t xml:space="preserve">skdomio@yandex.ru </t>
  </si>
  <si>
    <t>Специализированные строительные работы, Строительная компания, Фасады и фасадные системы</t>
  </si>
  <si>
    <t>Моби-эл</t>
  </si>
  <si>
    <t>просп. Гагарина, 11, Йошкар-Ола</t>
  </si>
  <si>
    <t>+7 (8362) 41-25-45</t>
  </si>
  <si>
    <t xml:space="preserve">dir@mobi-el.ru  </t>
  </si>
  <si>
    <t>http://mobi-el.ru/</t>
  </si>
  <si>
    <t>Курьерские услуги, Пункт выдачи</t>
  </si>
  <si>
    <t>47.887911 56.627931</t>
  </si>
  <si>
    <t>Городская похоронная служба</t>
  </si>
  <si>
    <t>+7 (8362) 45-55-01</t>
  </si>
  <si>
    <t>47.887005 56.624806</t>
  </si>
  <si>
    <t>Домашний детский сад</t>
  </si>
  <si>
    <t>+7 (905) 379-64-62</t>
  </si>
  <si>
    <t>пн-пт 07:20–18:00</t>
  </si>
  <si>
    <t>47.8402 56.6418</t>
  </si>
  <si>
    <t>АкваМастер</t>
  </si>
  <si>
    <t>+7 (8362) 44-03-03, +7 (8362) 33-80-02</t>
  </si>
  <si>
    <t>Монтаж и обслуживание систем водоснабжения и канализации, Оптовый магазин, Сантехника оптом, Фильтры для воды</t>
  </si>
  <si>
    <t>https://vk.com/club72460649</t>
  </si>
  <si>
    <t>47.933011 56.63466</t>
  </si>
  <si>
    <t>8 (800) 100-01-00, 8 (800) 200-02-90</t>
  </si>
  <si>
    <t>http://www.ok.ru/group/52665958400202</t>
  </si>
  <si>
    <t>http://twitter.com/RSHBmedia</t>
  </si>
  <si>
    <t>47.897745 56.639501</t>
  </si>
  <si>
    <t>+7 (927) 888-69-99</t>
  </si>
  <si>
    <t>Такси Тройка</t>
  </si>
  <si>
    <t>+7 (8362) 33-30-33</t>
  </si>
  <si>
    <t>Каприз</t>
  </si>
  <si>
    <t>47.83359 56.63237</t>
  </si>
  <si>
    <t>Консалтинговый центр</t>
  </si>
  <si>
    <t>+7 (917) 718-48-51</t>
  </si>
  <si>
    <t>Аудиторская компания, Бизнес-консалтинг</t>
  </si>
  <si>
    <t>8 (800) 200-19-57, +7 (8362) 40-13-17</t>
  </si>
  <si>
    <t>+7 (917) 701-23-88, +7 (961) 335-65-55, +7 (902) 124-83-60</t>
  </si>
  <si>
    <t>Магазин продуктов, Мед и продукты пчеловодства, Оздоровительный центр, Сельскохозяйственная продукция</t>
  </si>
  <si>
    <t>https://ok.ru/tentorium.ru</t>
  </si>
  <si>
    <t>https://twitter.com/@tentoriumru</t>
  </si>
  <si>
    <t>https://www.youtube.com/user/TVtentorium</t>
  </si>
  <si>
    <t>47.880751 56.63272</t>
  </si>
  <si>
    <t>Форсайт</t>
  </si>
  <si>
    <t>+7 (960) 097-00-73, +7 (967) 757-58-92</t>
  </si>
  <si>
    <t>Home Мебель</t>
  </si>
  <si>
    <t>+7 (8362) 70-35-01</t>
  </si>
  <si>
    <t>47.926046 56.634372</t>
  </si>
  <si>
    <t>Трикотаж, трикотажные изделия</t>
  </si>
  <si>
    <t>ул. Рябинина, 11, Йошкар-Ола</t>
  </si>
  <si>
    <t>+7 (961) 377-63-46, +7 (902) 325-10-13</t>
  </si>
  <si>
    <t>Одежда оптом, Трикотаж, трикотажные изделия</t>
  </si>
  <si>
    <t>47.877977 56.639773</t>
  </si>
  <si>
    <t>ул. Кирова, 44, Йошкар-Ола</t>
  </si>
  <si>
    <t>+7 (8362) 64-95-16</t>
  </si>
  <si>
    <t>47.932328 56.642554</t>
  </si>
  <si>
    <t>В цветах</t>
  </si>
  <si>
    <t>+7 (8362) 26-20-46</t>
  </si>
  <si>
    <t>+7 (917) 702-04-52</t>
  </si>
  <si>
    <t>47.885199 56.643149</t>
  </si>
  <si>
    <t>МеталСтан</t>
  </si>
  <si>
    <t>8 (800) 500-05-16</t>
  </si>
  <si>
    <t xml:space="preserve">emailcheck@mail.ru, info@metalstan.ru  </t>
  </si>
  <si>
    <t>http://metalstan.ru/</t>
  </si>
  <si>
    <t>Салон Памятники</t>
  </si>
  <si>
    <t>+7 (8362) 31-42-31, +7 (8362) 32-05-22</t>
  </si>
  <si>
    <t xml:space="preserve">granit-stone@mail.ru </t>
  </si>
  <si>
    <t>http://yoshkar-ola.granit-stone.com/</t>
  </si>
  <si>
    <t>47.890289 56.645402</t>
  </si>
  <si>
    <t>ул. Тимирязева, 20, Йошкар-Ола</t>
  </si>
  <si>
    <t>пн-сб 12:00–19:00</t>
  </si>
  <si>
    <t>47.9081 56.652</t>
  </si>
  <si>
    <t>+7 (8362) 40-10-14</t>
  </si>
  <si>
    <t>пн-пт 10:00–20:00; сб,вс 11:00–17:00</t>
  </si>
  <si>
    <t>Сауна ДеПо</t>
  </si>
  <si>
    <t>Деповская ул., 16, Йошкар-Ола</t>
  </si>
  <si>
    <t>+7 (8362) 94-22-04</t>
  </si>
  <si>
    <t>47.879382 56.620352</t>
  </si>
  <si>
    <t>Аркадия</t>
  </si>
  <si>
    <t>+7 (8362) 32-35-32</t>
  </si>
  <si>
    <t>+7 (917) 707-35-47</t>
  </si>
  <si>
    <t>Трикотаж</t>
  </si>
  <si>
    <t>+7 (8362) 20-44-70</t>
  </si>
  <si>
    <t>Trendy</t>
  </si>
  <si>
    <t>Черепица</t>
  </si>
  <si>
    <t>+7 (917) 719-26-07</t>
  </si>
  <si>
    <t>+7 (8362) 35-05-00</t>
  </si>
  <si>
    <t>Only Now</t>
  </si>
  <si>
    <t>+7 (902) 124-38-56</t>
  </si>
  <si>
    <t>Комплекс отдыха Северный</t>
  </si>
  <si>
    <t>Северная ул., 58А, Йошкар-Ола</t>
  </si>
  <si>
    <t>+7 (8362) 75-62-22</t>
  </si>
  <si>
    <t xml:space="preserve">severnaya58a@yandex.ru  </t>
  </si>
  <si>
    <t>https://severvip.ru/</t>
  </si>
  <si>
    <t>https://vk.com/vipcottage_sever</t>
  </si>
  <si>
    <t>https://instagram.com/severvip.ru</t>
  </si>
  <si>
    <t>47.846808 56.660533</t>
  </si>
  <si>
    <t>Рембыттехника</t>
  </si>
  <si>
    <t>47.873578 56.647146</t>
  </si>
  <si>
    <t>Ремонт чемоданов</t>
  </si>
  <si>
    <t>+7 (902) 326-90-12</t>
  </si>
  <si>
    <t>вт-вс 09:00–17:00</t>
  </si>
  <si>
    <t>Любимый дом</t>
  </si>
  <si>
    <t>Комсомольская ул., 116, Йошкар-Ола</t>
  </si>
  <si>
    <t>8 (800) 333-87-27, +7 (8362) 41-76-75</t>
  </si>
  <si>
    <t xml:space="preserve">shop@lubidom.ru  </t>
  </si>
  <si>
    <t>https://lubidom.ru/?geo</t>
  </si>
  <si>
    <t>http://vk.com/lubidomru</t>
  </si>
  <si>
    <t>http://www.facebook.com/lubidom</t>
  </si>
  <si>
    <t>http://instagram.com/lubidom.ru</t>
  </si>
  <si>
    <t>47.894007 56.637868</t>
  </si>
  <si>
    <t>12 Месяцев</t>
  </si>
  <si>
    <t>+7 (917) 713-82-02</t>
  </si>
  <si>
    <t xml:space="preserve">12fixing@gmail.com  </t>
  </si>
  <si>
    <t>https://vk.com/12msv</t>
  </si>
  <si>
    <t>47.894341 56.640616</t>
  </si>
  <si>
    <t>Ренессанс Кредит</t>
  </si>
  <si>
    <t>8 (800) 200-09-81, +7 (8362) 30-42-66, +7 (8362) 22-37-76</t>
  </si>
  <si>
    <t xml:space="preserve">consultant@rencredit.ru, documents@rencredit.ru  </t>
  </si>
  <si>
    <t>https://rencredit.ru/</t>
  </si>
  <si>
    <t>https://vk.com/renaissancecredit</t>
  </si>
  <si>
    <t>https://twitter.com/ren_credit</t>
  </si>
  <si>
    <t>https://www.facebook.com/rencreditbank</t>
  </si>
  <si>
    <t>47.895566 56.631887</t>
  </si>
  <si>
    <t>Адвокатский кабинет Чеботарева А.В.</t>
  </si>
  <si>
    <t>+7 (8362) 54-44-11</t>
  </si>
  <si>
    <t>+7 (919) 413-17-77</t>
  </si>
  <si>
    <t>https://vk.com/advokat.yola</t>
  </si>
  <si>
    <t>47.888092 56.641679</t>
  </si>
  <si>
    <t>Мебель u0026 интерьер</t>
  </si>
  <si>
    <t>+7 (8362) 44-00-43</t>
  </si>
  <si>
    <t>пн-пт 09:00–19:00; сб 09:00–00:00</t>
  </si>
  <si>
    <t>47.8927 56.6477</t>
  </si>
  <si>
    <t>Platinum</t>
  </si>
  <si>
    <t>+7 (8362) 95-20-20</t>
  </si>
  <si>
    <t>http://platinumfit.ru/</t>
  </si>
  <si>
    <t>Солярий, Фитнес-клуб, Школа танцев</t>
  </si>
  <si>
    <t>пн-пт 17:00–21:00; сб 10:00–15:00; вс 11:00–14:00</t>
  </si>
  <si>
    <t>https://vk.com/platinum_fitness</t>
  </si>
  <si>
    <t>https://www.instagram.com/platinumfit.ru</t>
  </si>
  <si>
    <t>47.829976 56.636552</t>
  </si>
  <si>
    <t>АкваГазСервис</t>
  </si>
  <si>
    <t>+7 (8362) 39-47-11, +7 (8362) 65-56-25</t>
  </si>
  <si>
    <t>+7 (917) 711-71-79</t>
  </si>
  <si>
    <t>пн-пт 08:30–18:30; сб 09:00–15:00</t>
  </si>
  <si>
    <t>47.897623 56.649906</t>
  </si>
  <si>
    <t>ул. Чернякова, 7, Йошкар-Ола</t>
  </si>
  <si>
    <t>+7 (8362) 94-69-46, +7 (8362) 79-37-93</t>
  </si>
  <si>
    <t>+7 (987) 734-08-06, +7 (927) 879-06-72</t>
  </si>
  <si>
    <t>47.820278 56.632734</t>
  </si>
  <si>
    <t>Дезинфекция</t>
  </si>
  <si>
    <t>+7 (8362) 70-26-80</t>
  </si>
  <si>
    <t>47.946851 56.629847</t>
  </si>
  <si>
    <t>СчетоводЪ - Ведение бухгалтерского и налогового учета</t>
  </si>
  <si>
    <t>+7 (8362) 38-81-54, +7 (8362) 38-81-59</t>
  </si>
  <si>
    <t xml:space="preserve">mail@balans12.ru </t>
  </si>
  <si>
    <t>https://balans12.ru/</t>
  </si>
  <si>
    <t>47.928318 56.63711</t>
  </si>
  <si>
    <t>МК Дубрава</t>
  </si>
  <si>
    <t>+7 (8362) 71-11-77</t>
  </si>
  <si>
    <t>+7 (927) 886-37-77</t>
  </si>
  <si>
    <t>Салон Столовой Моды</t>
  </si>
  <si>
    <t>Первомайская ул., 144, Йошкар-Ола</t>
  </si>
  <si>
    <t>+7 (8362) 41-52-28</t>
  </si>
  <si>
    <t>+7 (961) 377-70-34</t>
  </si>
  <si>
    <t>ежедневно, 09:30–19:30</t>
  </si>
  <si>
    <t>47.884277 56.63453</t>
  </si>
  <si>
    <t>Планета здоровья</t>
  </si>
  <si>
    <t>8 (800) 755-05-00</t>
  </si>
  <si>
    <t xml:space="preserve">info@planetazdorovo.ru  </t>
  </si>
  <si>
    <t>https://planetazdorovo.ru/?utm_source=ya_maps</t>
  </si>
  <si>
    <t>https://vk.com/planeta_zdorovo</t>
  </si>
  <si>
    <t>https://ok.ru/planetazdorovo1</t>
  </si>
  <si>
    <t>https://twitter.com/planetazdorovo</t>
  </si>
  <si>
    <t>https://www.facebook.com/planetazdorovo</t>
  </si>
  <si>
    <t>https://www.youtube.com/channel/UCxR4wBvcd9UbatZvrKIhXcw</t>
  </si>
  <si>
    <t>http://instagram.com/planetazdorovo</t>
  </si>
  <si>
    <t>47.92936 56.628235</t>
  </si>
  <si>
    <t>Nova Sound</t>
  </si>
  <si>
    <t>+7 (987) 702-49-30, +7 (987) 720-83-84</t>
  </si>
  <si>
    <t>Perfect Organics</t>
  </si>
  <si>
    <t>+7 (8362) 21-96-48</t>
  </si>
  <si>
    <t>+7 (906) 138-67-77</t>
  </si>
  <si>
    <t>пн-пт 12:00–18:00; сб 12:00–16:00</t>
  </si>
  <si>
    <t>Окна Profi</t>
  </si>
  <si>
    <t>+7 (8362) 24-21-25, +7 (8362) 43-99-44</t>
  </si>
  <si>
    <t xml:space="preserve">okna-profi12@yandex.ru  </t>
  </si>
  <si>
    <t>http://okna-profi12.ru/</t>
  </si>
  <si>
    <t>+7 (8362) 43-88-88</t>
  </si>
  <si>
    <t>47.902424 56.63955</t>
  </si>
  <si>
    <t>Лорелея</t>
  </si>
  <si>
    <t>+7 (917) 714-33-13, +7 (917) 706-83-97</t>
  </si>
  <si>
    <t>Фитнес-клуб, Школа танцев</t>
  </si>
  <si>
    <t>Детская школа искусств № 3</t>
  </si>
  <si>
    <t>Красноармейская ул., 87А, Йошкар-Ола</t>
  </si>
  <si>
    <t>+7 (8362) 72-07-42, +7 (8362) 73-62-67, +7 (8362) 73-63-27</t>
  </si>
  <si>
    <t xml:space="preserve">dolganov3@yandex.ru  </t>
  </si>
  <si>
    <t>http://dshi3.mari-el.muzkult.ru/</t>
  </si>
  <si>
    <t>Дополнительное образование, Музыкальное образование, Учебный центр, Школа искусств</t>
  </si>
  <si>
    <t>47.869939 56.644253</t>
  </si>
  <si>
    <t>Аварийный Комиссар 709-709 гибдд12.рф</t>
  </si>
  <si>
    <t>+7 (8362) 70-97-09</t>
  </si>
  <si>
    <t xml:space="preserve">info@mysite.com </t>
  </si>
  <si>
    <t>https://гибдд12.рф/</t>
  </si>
  <si>
    <t>Аварийная служба, Автоэкспертиза, оценка автомобилей, Страхование автомобилей</t>
  </si>
  <si>
    <t>https://vk.com/avarkom_709_709</t>
  </si>
  <si>
    <t>https://twitter.com/avarkom_709_709</t>
  </si>
  <si>
    <t>https://www.instagram.com/avarkom_709_709</t>
  </si>
  <si>
    <t>47.8711 56.645868</t>
  </si>
  <si>
    <t>Автомойка Wash</t>
  </si>
  <si>
    <t>ул. Некрасова, 78, Йошкар-Ола</t>
  </si>
  <si>
    <t>47.900692 56.654737</t>
  </si>
  <si>
    <t>бул. Чавайна, 18, Йошкар-Ола</t>
  </si>
  <si>
    <t>+7 (8362) 99-56-13</t>
  </si>
  <si>
    <t>+7 (917) 710-47-40</t>
  </si>
  <si>
    <t>Клуб для детей и подростков, Курсы и мастер-классы, Логопеды, Психологическая служба, Услуги репетиторов</t>
  </si>
  <si>
    <t>пн-пт 10:00–20:00; сб 09:00–18:00</t>
  </si>
  <si>
    <t>47.914798 56.631706</t>
  </si>
  <si>
    <t>Аура</t>
  </si>
  <si>
    <t>+7 (8362) 33-71-32</t>
  </si>
  <si>
    <t>Массажный салон, Салон красоты</t>
  </si>
  <si>
    <t>47.885647 56.646786</t>
  </si>
  <si>
    <t>Рай</t>
  </si>
  <si>
    <t>Складская ул., 22А, корп. 3, Йошкар-Ола</t>
  </si>
  <si>
    <t>47.896608 56.61763</t>
  </si>
  <si>
    <t>Изба</t>
  </si>
  <si>
    <t>+7 (8362) 22-79-63</t>
  </si>
  <si>
    <t>+7 (927) 683-08-41</t>
  </si>
  <si>
    <t>https://vk.com/gesthouseizba</t>
  </si>
  <si>
    <t>47.954062 56.62964</t>
  </si>
  <si>
    <t>Джига дрыга</t>
  </si>
  <si>
    <t>+7 (8362) 45-34-09, +7 (8362) 53-40-09</t>
  </si>
  <si>
    <t>Магазин детской одежды, Магазин обуви, Магазин одежды</t>
  </si>
  <si>
    <t>47.894817 56.631848</t>
  </si>
  <si>
    <t>Наслаждение</t>
  </si>
  <si>
    <t>+7 (927) 877-11-74, +7 (902) 436-85-54</t>
  </si>
  <si>
    <t>пн-пт 10:00–21:00, перерыв 12:30–13:30</t>
  </si>
  <si>
    <t>47.944425 56.634328</t>
  </si>
  <si>
    <t>Адвокатский кабинет Сергеева Дмитрия Николаевича</t>
  </si>
  <si>
    <t>+7 (962) 946-85-38</t>
  </si>
  <si>
    <t>Центр урегулирования страховых споров</t>
  </si>
  <si>
    <t>ул. Ползунова, 48, Йошкар-Ола</t>
  </si>
  <si>
    <t>8 (800) 555-04-78, +7 (8362) 35-77-35</t>
  </si>
  <si>
    <t>+7 (929) 734-11-11, +7 (962) 588-77-35</t>
  </si>
  <si>
    <t xml:space="preserve">cuss24@cuss24.ru  </t>
  </si>
  <si>
    <t>Автоэкспертиза, оценка автомобилей, Экспертиза, Юридические услуги</t>
  </si>
  <si>
    <t>http://new.vk.com/cuss24ru</t>
  </si>
  <si>
    <t>https://twitter.com/cuss24ru</t>
  </si>
  <si>
    <t>https://www.facebook.com/profile.php?id=100012853560178</t>
  </si>
  <si>
    <t>47.856705 56.642297</t>
  </si>
  <si>
    <t>Компьютерный центр</t>
  </si>
  <si>
    <t>+7 (8362) 55-85-75</t>
  </si>
  <si>
    <t>47.871008 56.64754</t>
  </si>
  <si>
    <t>Светотехническая компания ПроЭнергоСвет</t>
  </si>
  <si>
    <t>8 (800) 500-25-14</t>
  </si>
  <si>
    <t xml:space="preserve">actisled@mail.ru, proenergosvet@mail.ru  </t>
  </si>
  <si>
    <t>http://proenergosvet.ru/</t>
  </si>
  <si>
    <t>Светильники</t>
  </si>
  <si>
    <t>Магия штор</t>
  </si>
  <si>
    <t>+7 (927) 684-64-74, +7 (927) 682-45-64</t>
  </si>
  <si>
    <t>47.881872 56.631333</t>
  </si>
  <si>
    <t>Адвокатский кабинет Филиновой Ольги Валерьевны</t>
  </si>
  <si>
    <t>+7 (906) 336-10-55</t>
  </si>
  <si>
    <t>47.89959 56.636803</t>
  </si>
  <si>
    <t>+7 (8362) 74-21-54, +7 (8362) 74-15-85</t>
  </si>
  <si>
    <t>+7 (8362) 74-15-85</t>
  </si>
  <si>
    <t>Оптовый магазин, Пищевые ингредиенты и специи</t>
  </si>
  <si>
    <t>Коллегия адвокатов РМЭ Центральная</t>
  </si>
  <si>
    <t>+7 (8362) 45-01-89</t>
  </si>
  <si>
    <t>47.899782 56.636782</t>
  </si>
  <si>
    <t>+7 (8362) 49-49-18, +7 (8362) 47-02-47</t>
  </si>
  <si>
    <t>Детская поликлиника, Медицинская лаборатория, Медцентр, клиника</t>
  </si>
  <si>
    <t>пн-пт 08:00–20:00; сб,вс 08:00–14:00</t>
  </si>
  <si>
    <t>https://vk.com/amelik12</t>
  </si>
  <si>
    <t>http://www.instagram.com/mc_amelik/</t>
  </si>
  <si>
    <t>47.864209 56.650285</t>
  </si>
  <si>
    <t>Юридические и адвокатские услуги Ионовой Анны Викторовны</t>
  </si>
  <si>
    <t>+7 (8362) 35-56-16</t>
  </si>
  <si>
    <t>+7 (962) 588-56-16</t>
  </si>
  <si>
    <t xml:space="preserve">lawyer-ionova@yandex.ru  </t>
  </si>
  <si>
    <t>http://www.advokationova.ru/</t>
  </si>
  <si>
    <t>https://vk.com/advokat12profi</t>
  </si>
  <si>
    <t>https://twitter.com/advokationova</t>
  </si>
  <si>
    <t>8 (800) 333-22-44, +7 (8362) 45-11-72</t>
  </si>
  <si>
    <t>пн-пт 09:00–19:30; сб 09:00–15:00</t>
  </si>
  <si>
    <t>Кузница ИвСталь</t>
  </si>
  <si>
    <t>Элеваторный пр., 11Д, Йошкар-Ола</t>
  </si>
  <si>
    <t>+7 (8362) 92-92-35</t>
  </si>
  <si>
    <t>Кованые изделия, Металлопрокат</t>
  </si>
  <si>
    <t>http://vk.com/public79670419</t>
  </si>
  <si>
    <t>47.895826 56.611632</t>
  </si>
  <si>
    <t>Сип, комплектующие и приборы учета</t>
  </si>
  <si>
    <t>+7 (987) 703-55-68</t>
  </si>
  <si>
    <t>Магазин электротоваров, Строительная компания, Электромонтажные работы</t>
  </si>
  <si>
    <t>47.8641 56.651</t>
  </si>
  <si>
    <t>БКС Брокер</t>
  </si>
  <si>
    <t>8 (800) 500-55-45, 8 (800) 100-55-02, +7 (8362) 42-01-09</t>
  </si>
  <si>
    <t xml:space="preserve">ifs@bcs.ru  </t>
  </si>
  <si>
    <t>https://broker.ru/</t>
  </si>
  <si>
    <t>Брокерская компания, Инвестиционная компания, Обмен валюты</t>
  </si>
  <si>
    <t>https://vk.com/broker_bcs</t>
  </si>
  <si>
    <t>https://www.facebook.com/bcsbroker/</t>
  </si>
  <si>
    <t>https://www.instagram.com/bcs_broker/</t>
  </si>
  <si>
    <t>47.888855 56.629604</t>
  </si>
  <si>
    <t>+7 (917) 704-70-55</t>
  </si>
  <si>
    <t>пн-пт 08:00–17:00; сб 09:00–12:00</t>
  </si>
  <si>
    <t>Театр танца Улыбка</t>
  </si>
  <si>
    <t>+7 (8362) 35-07-00, +7 (8362) 35-04-00</t>
  </si>
  <si>
    <t>47.87486 56.634743</t>
  </si>
  <si>
    <t>Кухни и Шкафы</t>
  </si>
  <si>
    <t>+7 (927) 878-11-19</t>
  </si>
  <si>
    <t>ежедневно, 09:00–17:30</t>
  </si>
  <si>
    <t>Йо-Йо</t>
  </si>
  <si>
    <t>ул. Воинов-Интернационалистов, 29, Йошкар-Ола</t>
  </si>
  <si>
    <t>+7 (8362) 70-66-33</t>
  </si>
  <si>
    <t xml:space="preserve">pizza-car@mail.ru  </t>
  </si>
  <si>
    <t>Доставка еды и обедов, Пиццерия</t>
  </si>
  <si>
    <t>http://vk.com/yoyopizza</t>
  </si>
  <si>
    <t>47.918815 56.6357</t>
  </si>
  <si>
    <t>Мастерская мебели Милый шкаф</t>
  </si>
  <si>
    <t>+7 (902) 737-05-77, +7 (937) 939-05-77, +7 (902) 439-87-55, +7 (917) 715-31-71</t>
  </si>
  <si>
    <t>Корпусная мебель, Магазин мебели, Мебель на заказ, Студия дизайна, Шкафы-купе</t>
  </si>
  <si>
    <t>Сервисный центр Tirax</t>
  </si>
  <si>
    <t>+7 (927) 883-83-86</t>
  </si>
  <si>
    <t xml:space="preserve">remont@tirax.ru, info@bitcorp.ru </t>
  </si>
  <si>
    <t>https://vk.com/service_tirax12</t>
  </si>
  <si>
    <t>47.894296 56.640431</t>
  </si>
  <si>
    <t>М-Косметикс</t>
  </si>
  <si>
    <t>8 (800) 333-45-95, +7 (8362) 35-60-12</t>
  </si>
  <si>
    <t>+7 (962) 588-60-12</t>
  </si>
  <si>
    <t xml:space="preserve">director@m-cosmetica.ru, ivan@mail.ru, anonimus@anon.ru  </t>
  </si>
  <si>
    <t>https://estel.m-cosmetica.ru/, https://estel.m-cosmetica.ru/categories/estel, https://estel.m-cosmetica.ru/categories/londa, https://estel.m-cosmetica.ru/categories/wella, https://estel.m-cosmetica.ru/pages/contacts</t>
  </si>
  <si>
    <t>https://vk.com/promcosmetics</t>
  </si>
  <si>
    <t>https://www.youtube.com/user/mcosmeticsrussia</t>
  </si>
  <si>
    <t>47.894978 56.640386</t>
  </si>
  <si>
    <t>пн-сб 08:00–20:00; вс 10:00–18:00</t>
  </si>
  <si>
    <t>47.891 56.6257</t>
  </si>
  <si>
    <t>Говоруша</t>
  </si>
  <si>
    <t>+7 (8362) 95-98-32</t>
  </si>
  <si>
    <t>+7 (987) 703-89-87</t>
  </si>
  <si>
    <t>пн-пт 09:00–20:00; сб,вс 10:00–16:00</t>
  </si>
  <si>
    <t>Иллюзион</t>
  </si>
  <si>
    <t>+7 (917) 717-01-66</t>
  </si>
  <si>
    <t>пн 12:00–22:00; вт-вс 11:00–22:00</t>
  </si>
  <si>
    <t>+7 (8362) 38-00-30</t>
  </si>
  <si>
    <t>+7 (987) 725-79-29</t>
  </si>
  <si>
    <t>пн-чт 11:00–00:00; пт,сб 11:00–02:00; вс 11:00–00:00</t>
  </si>
  <si>
    <t>http://vk.com/cafeparus12</t>
  </si>
  <si>
    <t>47.841218 56.631461</t>
  </si>
  <si>
    <t>Парк Победы</t>
  </si>
  <si>
    <t>ИнвестКредитСервис</t>
  </si>
  <si>
    <t>+7 (8362) 30-66-88</t>
  </si>
  <si>
    <t>ДоМиСолька</t>
  </si>
  <si>
    <t>+7 (8362) 44-47-10, +7 (8362) 52-26-62</t>
  </si>
  <si>
    <t>Детский сад, Логопеды, Центр развития ребенка</t>
  </si>
  <si>
    <t>47.863106 56.651216</t>
  </si>
  <si>
    <t>Диалам+</t>
  </si>
  <si>
    <t>ул. Анникова, 4А, Йошкар-Ола</t>
  </si>
  <si>
    <t>+7 (8362) 46-49-00</t>
  </si>
  <si>
    <t xml:space="preserve">dialam@list.ru  </t>
  </si>
  <si>
    <t>http://dialam-plus.ru/</t>
  </si>
  <si>
    <t>пн 07:00–01:00; вт 07:00–22:00; ср 07:00–01:00; чт 07:00–22:00; пт 07:00–01:00; сб 07:00–22:00</t>
  </si>
  <si>
    <t>47.842898 56.64503</t>
  </si>
  <si>
    <t>Тандыр12.рф</t>
  </si>
  <si>
    <t>ул. Зарубина, 42, Йошкар-Ола</t>
  </si>
  <si>
    <t>+7 (964) 864-18-41</t>
  </si>
  <si>
    <t>http://тандыр-12.рф/</t>
  </si>
  <si>
    <t>Бетон, бетонные изделия, Интернет-магазин, Строительный магазин, Фасады и фасадные системы</t>
  </si>
  <si>
    <t>https://vk.com/tandyr12</t>
  </si>
  <si>
    <t>47.870457 56.636035</t>
  </si>
  <si>
    <t>Адвокатский кабинет Каненко Ларисы Николаевны</t>
  </si>
  <si>
    <t>+7 (8362) 96-28-97</t>
  </si>
  <si>
    <t>+7 (902) 326-28-97</t>
  </si>
  <si>
    <t>47.885765 56.626733</t>
  </si>
  <si>
    <t>ул. Чкалова, 32, Йошкар-Ола</t>
  </si>
  <si>
    <t>+7 (902) 739-56-51</t>
  </si>
  <si>
    <t>47.845449 56.63154</t>
  </si>
  <si>
    <t>Комсомольская площадь, 122, Йошкар-Ола</t>
  </si>
  <si>
    <t>+7 (964) 864-06-80, +7 (964) 864-05-46</t>
  </si>
  <si>
    <t>47.8951 56.641</t>
  </si>
  <si>
    <t>Отдел ЗАГС администрации городского округа город Йошкар-Ола Республики Марий Эл</t>
  </si>
  <si>
    <t>+7 (8362) 21-52-46, +7 (8362) 22-19-79</t>
  </si>
  <si>
    <t>+7 (8362) 22-21-22</t>
  </si>
  <si>
    <t>http://www.i-ola.ru/about/administraciya/zags/</t>
  </si>
  <si>
    <t>ЗАГС</t>
  </si>
  <si>
    <t>пн-чт 09:00–16:00, перерыв 13:00–14:00</t>
  </si>
  <si>
    <t>47.909008 56.632772</t>
  </si>
  <si>
    <t>Дорожник</t>
  </si>
  <si>
    <t>+7 (8362) 45-86-55, +7 (8362) 45-90-38, +7 (8362) 45-90-88</t>
  </si>
  <si>
    <t>Строительная компания, Строительство и ремонт дорог</t>
  </si>
  <si>
    <t>пн-пт 08:00–17:30, перерыв 11:45–13:15</t>
  </si>
  <si>
    <t>47.8868 56.6432</t>
  </si>
  <si>
    <t>Ремонт Часов</t>
  </si>
  <si>
    <t>Грыжа позвоночника. Лечение</t>
  </si>
  <si>
    <t>+7 (8362) 52-78-88</t>
  </si>
  <si>
    <t>+7 (964) 862-78-88, +7 (937) 117-78-88, +7 (937) 117-78-99</t>
  </si>
  <si>
    <t>http://kl6246.polzdr.ru/</t>
  </si>
  <si>
    <t>пн-пт 07:00–21:00; сб 09:00–12:00</t>
  </si>
  <si>
    <t>47.898404 56.629576</t>
  </si>
  <si>
    <t>Смирновская Транспортная Компания</t>
  </si>
  <si>
    <t>+7 (967) 757-85-84, +7 (906) 137-37-70</t>
  </si>
  <si>
    <t xml:space="preserve">sever_8@bk.ru  </t>
  </si>
  <si>
    <t>Автомобильные грузоперевозки, Контейнерные перевозки, Логистическая компания, Перевозка негабаритных грузов</t>
  </si>
  <si>
    <t>https://vk.com/club101970470</t>
  </si>
  <si>
    <t>https://twitter.com/stk12ru</t>
  </si>
  <si>
    <t>https://www.facebook.com/122235894804696</t>
  </si>
  <si>
    <t>Тёплая речка</t>
  </si>
  <si>
    <t>Красноармейская слобода, 61, Йошкар-Ола</t>
  </si>
  <si>
    <t>+7 (8362) 33-03-18, +7 (8362) 33-03-19</t>
  </si>
  <si>
    <t xml:space="preserve">info@traktir12.ru, garmanna@gmail.com  </t>
  </si>
  <si>
    <t>http://traktir12.ru/</t>
  </si>
  <si>
    <t>Бар, паб, Кафе, Кофейня, Праздничное агентство, Ресторан</t>
  </si>
  <si>
    <t>пн-чт 12:00–23:00; пт,сб 12:00–01:00; вс 12:00–22:00</t>
  </si>
  <si>
    <t>https://vk.com/teplaya_rechka12</t>
  </si>
  <si>
    <t>https://www.facebook.com/traktir12</t>
  </si>
  <si>
    <t>https://www.youtube.com/channel/UCYGvkSajX7hJH50DF6HSG1Q</t>
  </si>
  <si>
    <t>47.916397 56.644057</t>
  </si>
  <si>
    <t>+7 (8362) 31-00-03</t>
  </si>
  <si>
    <t>Арт лайф</t>
  </si>
  <si>
    <t>площадь имени В.И. Ленина, 38, Йошкар-Ола</t>
  </si>
  <si>
    <t>+7 (902) 671-65-45</t>
  </si>
  <si>
    <t xml:space="preserve">support@artlife.ru, artlife.tol@gmail.com  </t>
  </si>
  <si>
    <t>http://www.artlife.ru/</t>
  </si>
  <si>
    <t>Фитопродукция, БАДы</t>
  </si>
  <si>
    <t>https://vk.com/artlife.official</t>
  </si>
  <si>
    <t>https://ok.ru/artlife.official</t>
  </si>
  <si>
    <t>https://www.facebook.com/artlife.tomsk</t>
  </si>
  <si>
    <t>https://www.instagram.com/artlife.official/</t>
  </si>
  <si>
    <t>Идиллия</t>
  </si>
  <si>
    <t>+7 (909) 368-96-35, +7 (917) 704-59-94</t>
  </si>
  <si>
    <t>http://идилия12.рф/</t>
  </si>
  <si>
    <t>пн-сб 10:00–19:30; вс 10:00–18:00</t>
  </si>
  <si>
    <t>Детектор</t>
  </si>
  <si>
    <t>+7 (8362) 39-93-25</t>
  </si>
  <si>
    <t>+7 (937) 939-93-25</t>
  </si>
  <si>
    <t>Таск-монтаж</t>
  </si>
  <si>
    <t>+7 (960) 094-10-01</t>
  </si>
  <si>
    <t xml:space="preserve">airat-task@mail.ru  </t>
  </si>
  <si>
    <t>http://task-m.ru/</t>
  </si>
  <si>
    <t>ул. Баумана, 7, Йошкар-Ола</t>
  </si>
  <si>
    <t>+7 (8362) 35-83-28</t>
  </si>
  <si>
    <t>http://vk.com/avtomoika_na_baumana7</t>
  </si>
  <si>
    <t>47.845444 56.643971</t>
  </si>
  <si>
    <t>Класс</t>
  </si>
  <si>
    <t>+7 (8362) 71-62-72</t>
  </si>
  <si>
    <t>+7 (987) 726-67-06</t>
  </si>
  <si>
    <t>пн-пт 08:00–20:00; сб 08:00–18:00</t>
  </si>
  <si>
    <t>https://vk.com/class12region</t>
  </si>
  <si>
    <t>47.881911 56.639699</t>
  </si>
  <si>
    <t>Мейк ИТ</t>
  </si>
  <si>
    <t>ул. Кирова, 6А, Йошкар-Ола</t>
  </si>
  <si>
    <t>+7 (8362) 51-01-53</t>
  </si>
  <si>
    <t>https://vk.com/makeitstyle</t>
  </si>
  <si>
    <t>47.929492 56.62944</t>
  </si>
  <si>
    <t>Умняша</t>
  </si>
  <si>
    <t>+7 (8362) 65-49-91</t>
  </si>
  <si>
    <t>КваDрат</t>
  </si>
  <si>
    <t>8 (800) 201-19-26, +7 (8362) 36-95-00</t>
  </si>
  <si>
    <t xml:space="preserve">info@kvadrat12.com  </t>
  </si>
  <si>
    <t>http://www.kvadrat12.com/</t>
  </si>
  <si>
    <t>Системы перегородок, Стекло, стекольная продукция, Стеклянные двери</t>
  </si>
  <si>
    <t>пн-пт 10:00–18:00, перерыв 13:00–14:00; сб 10:00–14:00</t>
  </si>
  <si>
    <t>https://www.facebook.com/groups/463170610489495/</t>
  </si>
  <si>
    <t>47.870965 56.625507</t>
  </si>
  <si>
    <t>Центр патологии речи и нейрореабилитации</t>
  </si>
  <si>
    <t>Пролетарская ул., 65, Йошкар-Ола</t>
  </si>
  <si>
    <t>+7 (8362) 72-01-20, +7 (8362) 64-46-58, +7 (8362) 64-46-82</t>
  </si>
  <si>
    <t>+7 (8362) 64-46-58, +7 (8362) 64-46-82</t>
  </si>
  <si>
    <t>47.879378 56.648033</t>
  </si>
  <si>
    <t>Моторесурс</t>
  </si>
  <si>
    <t>+7 (937) 112-81-28</t>
  </si>
  <si>
    <t>Мотосалон</t>
  </si>
  <si>
    <t>47.8871 56.6208</t>
  </si>
  <si>
    <t>Десять Лепестков</t>
  </si>
  <si>
    <t>+7 (906) 138-10-63, +7 (906) 334-02-77</t>
  </si>
  <si>
    <t xml:space="preserve">admin@tenpetals.ru, aleks579x@rambler.ru </t>
  </si>
  <si>
    <t>http://10лепестков.рф/</t>
  </si>
  <si>
    <t>пн,ср 17:20–18:50; сб 16:00–17:30</t>
  </si>
  <si>
    <t>Перетяжка и изготовление мягкой мебели</t>
  </si>
  <si>
    <t>ул. Баумана, 41, Йошкар-Ола</t>
  </si>
  <si>
    <t>+7 (8362) 36-06-46</t>
  </si>
  <si>
    <t>Мебель на заказ, Ремонт мебели</t>
  </si>
  <si>
    <t>47.847506 56.635887</t>
  </si>
  <si>
    <t>Елена</t>
  </si>
  <si>
    <t>Спортивная ул., 1Г, Йошкар-Ола</t>
  </si>
  <si>
    <t>+7 (8362) 54-60-20</t>
  </si>
  <si>
    <t>47.851863 56.655397</t>
  </si>
  <si>
    <t>Аварийная замочная служба г. Йошкар-Ола</t>
  </si>
  <si>
    <t>+7 (8362) 32-36-00</t>
  </si>
  <si>
    <t>http://help-ola.ru/</t>
  </si>
  <si>
    <t>Замки и запорные устройства, Установка, ремонт и вскрытие замков</t>
  </si>
  <si>
    <t>СтройСклад</t>
  </si>
  <si>
    <t>8 (800) 600-84-40</t>
  </si>
  <si>
    <t>+7 (967) 757-98-80</t>
  </si>
  <si>
    <t xml:space="preserve">info@stroysklad12.ru, s_sklad@inbox.ru, opt@stroysklad12.ru, market.stroj12@gmail.com  </t>
  </si>
  <si>
    <t>https://stroysklad12.ru/</t>
  </si>
  <si>
    <t>Кирпич, Стройматериалы оптом, Сухие строительные смеси</t>
  </si>
  <si>
    <t>http://vk.com/stroysklad12</t>
  </si>
  <si>
    <t>https://www.instagram.com/stroysklad12</t>
  </si>
  <si>
    <t>47.871039 56.62127</t>
  </si>
  <si>
    <t>Бурение скважин на воду</t>
  </si>
  <si>
    <t>Садовая ул., 1, Йошкар-Ола</t>
  </si>
  <si>
    <t>+7 (903) 050-41-11, +7 (902) 736-93-33</t>
  </si>
  <si>
    <t>47.845206 56.635872</t>
  </si>
  <si>
    <t>Софья</t>
  </si>
  <si>
    <t>8 (800) 775-75-34, +7 (8362) 38-16-17</t>
  </si>
  <si>
    <t xml:space="preserve">zheleznovodskaya@sofiadoors.spb.ru, uralskaya@sofiadoors.spb.ru, lanskoy@sofiadoors.spb.ru, zagorodny@sofiadoors.spb.ru, moskowskiy@sofiadoors.spb.ru  </t>
  </si>
  <si>
    <t>http://sofiadoors.com/</t>
  </si>
  <si>
    <t>http://www.facebook.com/Sofiadoors</t>
  </si>
  <si>
    <t>47.870811 56.637238</t>
  </si>
  <si>
    <t>Везет</t>
  </si>
  <si>
    <t>+7 (8362) 32-22-32, +7 (8362) 49-49-49, +7 (8362) 49-49-96, +7 (8362) 33-88-33, +7 (8362) 49-49-08, +7 (3424) 20-12-35, +7 (8362) 38-11-59, +7 (8362) 38-11-58, +7 (8362) 38-11-69, +7 (8362) 38-11-60</t>
  </si>
  <si>
    <t xml:space="preserve">astrakhan.marketing@vezet.ru, inform-rutaxi@mail.ru  </t>
  </si>
  <si>
    <t>https://moscow.rutaxi.ru/, https://allo.vezet.ru/yoshkarola, https://yoshkarola.rutaxi.ru/</t>
  </si>
  <si>
    <t>пн-сб 09:00–20:00; вс 09:00–18:00</t>
  </si>
  <si>
    <t>https://vk.com/vezet_ru</t>
  </si>
  <si>
    <t>https://ok.ru/vezet.ru</t>
  </si>
  <si>
    <t>https://www.facebook.com/vezetmsk</t>
  </si>
  <si>
    <t>Авторизованный центр Единая служба такси</t>
  </si>
  <si>
    <t>+7 (8362) 34-34-34, +7 (8362) 70-70-70, +7 (8362) 64-91-08</t>
  </si>
  <si>
    <t>У Камила</t>
  </si>
  <si>
    <t>+7 (8362) 23-19-99</t>
  </si>
  <si>
    <t>+7 (902) 431-77-77</t>
  </si>
  <si>
    <t xml:space="preserve">u.kamila.kafe@gmail.com </t>
  </si>
  <si>
    <t>вт-вс 11:00–00:00</t>
  </si>
  <si>
    <t>47.919794 56.632514</t>
  </si>
  <si>
    <t>Консалтинговое агентство Навигация</t>
  </si>
  <si>
    <t>+7 (8362) 30-95-09</t>
  </si>
  <si>
    <t xml:space="preserve">info@navigation-consalting.ru  </t>
  </si>
  <si>
    <t>http://navigation-consalting.ru/</t>
  </si>
  <si>
    <t>Бизнес-консалтинг, Бизнес-школа</t>
  </si>
  <si>
    <t>http://vk.com/navigation_consalting</t>
  </si>
  <si>
    <t>47.891752 56.621256</t>
  </si>
  <si>
    <t>Утяжелители для чемпионов</t>
  </si>
  <si>
    <t>+7 (903) 326-88-99</t>
  </si>
  <si>
    <t xml:space="preserve">weightbelts@yandex.ru </t>
  </si>
  <si>
    <t>https://weightbelts.ru/</t>
  </si>
  <si>
    <t>Интернет-магазин, Спортивный инвентарь и оборудование, Спортивный магазин</t>
  </si>
  <si>
    <t>https://vk.com/weightbelts</t>
  </si>
  <si>
    <t>https://ok.ru/group/52084001275997</t>
  </si>
  <si>
    <t>https://twitter.com/weightbelts</t>
  </si>
  <si>
    <t>https://www.facebook.com/ziletyutazeliteli</t>
  </si>
  <si>
    <t>https://www.instagram.com/weightbelts</t>
  </si>
  <si>
    <t>47.8269 56.6389</t>
  </si>
  <si>
    <t>Салон красоты Persona</t>
  </si>
  <si>
    <t>+7 (8362) 43-57-45</t>
  </si>
  <si>
    <t>+7 (987) 702-76-88</t>
  </si>
  <si>
    <t>47.882698 56.624237</t>
  </si>
  <si>
    <t>Школа скорочтения и развития интеллекта по методике Шамиля Ахмадуллина</t>
  </si>
  <si>
    <t>+7 (8362) 33-50-90</t>
  </si>
  <si>
    <t>+7 (937) 937-12-02</t>
  </si>
  <si>
    <t xml:space="preserve">info@turboread.ru </t>
  </si>
  <si>
    <t>http://yoshkar.turboread.ru/, http://turboread.ru/</t>
  </si>
  <si>
    <t>Дополнительное образование, Клуб для детей и подростков, Тренинги, Услуги репетиторов</t>
  </si>
  <si>
    <t>https://vk.com/yoshkar.turboread</t>
  </si>
  <si>
    <t>https://www.instagram.com/turboread_yola/</t>
  </si>
  <si>
    <t>47.888176 56.631287</t>
  </si>
  <si>
    <t>Больничная ул., 21А, Йошкар-Ола</t>
  </si>
  <si>
    <t>+7 (8362) 92-46-08</t>
  </si>
  <si>
    <t>пн-пт 07:00–16:00; сб 08:00–13:00</t>
  </si>
  <si>
    <t>47.889063 56.650555</t>
  </si>
  <si>
    <t>Арт-Виза</t>
  </si>
  <si>
    <t>Пролетарская ул., 69, Йошкар-Ола</t>
  </si>
  <si>
    <t>+7 (8362) 43-08-70</t>
  </si>
  <si>
    <t>+7 (964) 863-08-70</t>
  </si>
  <si>
    <t xml:space="preserve">art-visa@list.ru, dunaev.1951@mail.ru  </t>
  </si>
  <si>
    <t>http://art-visa.ru/</t>
  </si>
  <si>
    <t>Дизайн интерьеров, Обучение мастеров для салонов красоты</t>
  </si>
  <si>
    <t>https://vk.com/shkolaartvisa</t>
  </si>
  <si>
    <t>47.876579 56.64824</t>
  </si>
  <si>
    <t>Seoprofix</t>
  </si>
  <si>
    <t>+7 (906) 336-46-33</t>
  </si>
  <si>
    <t>пн-пт 09:00–19:00, перерыв 12:00–13:00; сб 09:00–17:00, перерыв 12:00–13:00</t>
  </si>
  <si>
    <t>Музей истории и археологии</t>
  </si>
  <si>
    <t>ул. Эшкинина, 10А, Йошкар-Ола</t>
  </si>
  <si>
    <t>+7 (8362) 34-90-42, +7 (8362) 34-75-30</t>
  </si>
  <si>
    <t>http://www.fumus.ru/</t>
  </si>
  <si>
    <t>https://vk.com/muzei12</t>
  </si>
  <si>
    <t>47.908136 56.631705</t>
  </si>
  <si>
    <t>Росагропром</t>
  </si>
  <si>
    <t>+7 (8362) 42-92-03</t>
  </si>
  <si>
    <t>Услуги экскаватора</t>
  </si>
  <si>
    <t>+7 (8362) 62-63-64</t>
  </si>
  <si>
    <t>Всё по уму</t>
  </si>
  <si>
    <t>Первомайская ул., 136А, Йошкар-Ола</t>
  </si>
  <si>
    <t>+7 (8362) 92-03-20</t>
  </si>
  <si>
    <t>http://avtoservis-vse-po-umu.tiu.ru/</t>
  </si>
  <si>
    <t>https://vk.com/vsepoumu12</t>
  </si>
  <si>
    <t>https://www.instagram.com/vsepoumu12</t>
  </si>
  <si>
    <t>47.884121 56.636036</t>
  </si>
  <si>
    <t>Издательство Периодика Марий Эл офис</t>
  </si>
  <si>
    <t>+7 (8362) 45-11-40</t>
  </si>
  <si>
    <t>Мебель-клининг</t>
  </si>
  <si>
    <t>+7 (987) 715-78-34</t>
  </si>
  <si>
    <t>http://www.mebel-cleaning.ru/</t>
  </si>
  <si>
    <t>Клининговые услуги, Химчистка, Чистка ковров</t>
  </si>
  <si>
    <t>пн-пт 09:00–18:00, перерыв 12:00–13:00; сб,вс 10:00–18:00, перерыв 12:00–13:00</t>
  </si>
  <si>
    <t>https://vk.com/himchistka_mebeli_yola</t>
  </si>
  <si>
    <t>https://www.instagram.com/mebelcleaning</t>
  </si>
  <si>
    <t>Музей леса</t>
  </si>
  <si>
    <t>+7 (8362) 45-08-62</t>
  </si>
  <si>
    <t>+7 (939) 724-98-85</t>
  </si>
  <si>
    <t xml:space="preserve">info@ohranalesa12.ru, gnutovaa@yandex.ru </t>
  </si>
  <si>
    <t>47.885381 56.63198</t>
  </si>
  <si>
    <t>InstaPrint</t>
  </si>
  <si>
    <t>+7 (961) 336-56-60</t>
  </si>
  <si>
    <t>Valentina</t>
  </si>
  <si>
    <t>47.848958 56.628078</t>
  </si>
  <si>
    <t>+7 (8362) 74-20-24, +7 (8362) 77-07-08</t>
  </si>
  <si>
    <t>+7 (987) 712-75-55, +7 (927) 876-22-11</t>
  </si>
  <si>
    <t xml:space="preserve">info@skif12.ru  </t>
  </si>
  <si>
    <t>http://www.skif12.ru/, http://www.yola.skif12.ru/</t>
  </si>
  <si>
    <t>Кровля и кровельные материалы, Стройматериалы оптом, Фасады и фасадные системы</t>
  </si>
  <si>
    <t>Византия GYM</t>
  </si>
  <si>
    <t>+7 (8362) 22-26-13</t>
  </si>
  <si>
    <t>47.924748 56.627668</t>
  </si>
  <si>
    <t>Детская поликлиника № 3, центр здоровья</t>
  </si>
  <si>
    <t>ул. Эшкинина, 4Б, Йошкар-Ола</t>
  </si>
  <si>
    <t>+7 (8362) 23-00-99, +7 (8362) 23-00-70</t>
  </si>
  <si>
    <t>http://kl6251.polzdr.ru/</t>
  </si>
  <si>
    <t>47.902386 56.629302</t>
  </si>
  <si>
    <t>Дом Семьи</t>
  </si>
  <si>
    <t>+7 (960) 098-24-49</t>
  </si>
  <si>
    <t>Бизнес-школа, Клуб для детей и подростков, Курсы и мастер-классы</t>
  </si>
  <si>
    <t>Автокомплекс Территория</t>
  </si>
  <si>
    <t>ул. Строителей, 89, корп. А, Йошкар-Ола</t>
  </si>
  <si>
    <t>+7 (8362) 33-01-33, +7 (8362) 33-24-33</t>
  </si>
  <si>
    <t>47.8513 56.6256</t>
  </si>
  <si>
    <t>Авто-Гум</t>
  </si>
  <si>
    <t>ул. Прохорова, 16Б, Йошкар-Ола</t>
  </si>
  <si>
    <t>+7 (8362) 54-55-56</t>
  </si>
  <si>
    <t>+7 (917) 717-77-71, +7 (964) 864-55-56</t>
  </si>
  <si>
    <t>Автосервис, автотехцентр, Смазочные материалы, Шины и диски</t>
  </si>
  <si>
    <t>47.844795 56.637817</t>
  </si>
  <si>
    <t>Заборы под ключ</t>
  </si>
  <si>
    <t>просп. Гагарина, 3, корп. 2, Йошкар-Ола</t>
  </si>
  <si>
    <t>+7 (927) 872-23-60</t>
  </si>
  <si>
    <t>47.888936 56.630159</t>
  </si>
  <si>
    <t>Лига-Сервис</t>
  </si>
  <si>
    <t>Красноармейская ул., 8А, Йошкар-Ола</t>
  </si>
  <si>
    <t>+7 (8362) 64-14-64, +7 (8362) 65-15-65</t>
  </si>
  <si>
    <t>47.9022 56.6398</t>
  </si>
  <si>
    <t>Грузоперевозки Йошкар-Ола</t>
  </si>
  <si>
    <t>+7 (8362) 24-91-83</t>
  </si>
  <si>
    <t>Автомобильные грузоперевозки, Переезды, Услуги грузчиков</t>
  </si>
  <si>
    <t>47.826979 56.638887</t>
  </si>
  <si>
    <t>Адвокатский кабинет Леонтьевой Ольги Владимировны</t>
  </si>
  <si>
    <t>Октябрьская ул., 10, Йошкар-Ола</t>
  </si>
  <si>
    <t>+7 (8362) 90-94-90</t>
  </si>
  <si>
    <t>47.848674 56.636892</t>
  </si>
  <si>
    <t>+7 (8362) 45-67-90</t>
  </si>
  <si>
    <t>Магазин канцтоваров, Магазин подарков и сувениров</t>
  </si>
  <si>
    <t>47.883434 56.623775</t>
  </si>
  <si>
    <t>Адвокатский кабинет Лесовой Алисы Исаровны</t>
  </si>
  <si>
    <t>Пролетарская ул., 25, Йошкар-Ола</t>
  </si>
  <si>
    <t>+7 (8362) 39-71-79</t>
  </si>
  <si>
    <t>47.894524 56.644688</t>
  </si>
  <si>
    <t>Subway</t>
  </si>
  <si>
    <t>+7 (987) 730-33-98, +7 (902) 671-08-61</t>
  </si>
  <si>
    <t xml:space="preserve">subway@subway.ru, dnv.dot@gmail.com, contest@subway.ru, pr@subway.ru, kochetkov_g@subway.ru, protopopov_o@subway.ru, chuiko_d@subway.ru, bogomyakova_t@subway.ru, tukshumskaya_m@subway.ru, blokhina_i@subway.ru </t>
  </si>
  <si>
    <t>http://subway.ru/</t>
  </si>
  <si>
    <t>Быстрое питание, Кафе, Ресторан</t>
  </si>
  <si>
    <t>https://vk.com/subway_yo</t>
  </si>
  <si>
    <t>https://www.instagram.com/subway_yo/</t>
  </si>
  <si>
    <t>47.929492 56.627467</t>
  </si>
  <si>
    <t>+7 (8362) 96-78-90</t>
  </si>
  <si>
    <t>Магазин бытовой техники, Магазин посуды</t>
  </si>
  <si>
    <t>47.868393 56.638085</t>
  </si>
  <si>
    <t>Эстетик</t>
  </si>
  <si>
    <t>+7 (8362) 42-67-82</t>
  </si>
  <si>
    <t xml:space="preserve">bendyuzhko@gmail.com </t>
  </si>
  <si>
    <t>http://эстетик12.рф/</t>
  </si>
  <si>
    <t>http://vk.com/club95444399</t>
  </si>
  <si>
    <t>47.869118 56.637096</t>
  </si>
  <si>
    <t>Ptkcompany</t>
  </si>
  <si>
    <t>+7 (8362) 36-48-99</t>
  </si>
  <si>
    <t>+7 (987) 719-24-22</t>
  </si>
  <si>
    <t>Адвокатский кабинет Кожинова Вячеслава Николаевича</t>
  </si>
  <si>
    <t>+7 (8362) 42-05-40</t>
  </si>
  <si>
    <t>+7 (964) 862-30-31</t>
  </si>
  <si>
    <t>47.885843 56.64012</t>
  </si>
  <si>
    <t>Fratelli Pedrotti</t>
  </si>
  <si>
    <t>8 (800) 775-01-15</t>
  </si>
  <si>
    <t xml:space="preserve">info@bm-corp.ru, info@graindryer.ru  </t>
  </si>
  <si>
    <t>http://www.graindryer.ru/</t>
  </si>
  <si>
    <t>Автоэлектрик</t>
  </si>
  <si>
    <t>ул. Машиностроителей, 16Б, Йошкар-Ола</t>
  </si>
  <si>
    <t>+7 (8362) 31-33-99</t>
  </si>
  <si>
    <t>47.8709 56.6431</t>
  </si>
  <si>
    <t>+7 (8362) 42-04-20, +7 (8362) 71-01-71, +7 (8362) 25-01-25, +7 (8362) 21-44-33</t>
  </si>
  <si>
    <t>+7 (917) 717-55-57</t>
  </si>
  <si>
    <t xml:space="preserve">710101@bk.ru </t>
  </si>
  <si>
    <t>http://автошкола12.рф/</t>
  </si>
  <si>
    <t>пн-пт 08:00–19:00, перерыв 12:30–13:30; сб,вс 08:00–12:00</t>
  </si>
  <si>
    <t>http://vk.com/id251011836</t>
  </si>
  <si>
    <t>47.881276 56.638114</t>
  </si>
  <si>
    <t>СтопХлам</t>
  </si>
  <si>
    <t>+7 (8362) 66-66-91</t>
  </si>
  <si>
    <t>Автосервис, автотехцентр, Ремонт АКПП, Ремонт двигателей, Шиномонтаж</t>
  </si>
  <si>
    <t>47.889039 56.622138</t>
  </si>
  <si>
    <t>Будьте здоровы</t>
  </si>
  <si>
    <t>ул. Орая, 68, Йошкар-Ола</t>
  </si>
  <si>
    <t>+7 (8362) 46-03-03</t>
  </si>
  <si>
    <t>http://vk.com/zdorovieok12</t>
  </si>
  <si>
    <t>47.8944 56.6461</t>
  </si>
  <si>
    <t>На Проспекте</t>
  </si>
  <si>
    <t>47.874593 56.636457</t>
  </si>
  <si>
    <t>Магазин удобрений</t>
  </si>
  <si>
    <t>+7 (8362) 32-12-57</t>
  </si>
  <si>
    <t>Средства защиты растений, Удобрения</t>
  </si>
  <si>
    <t>47.856974 56.657613</t>
  </si>
  <si>
    <t>Лайк</t>
  </si>
  <si>
    <t>+7 (967) 757-95-56</t>
  </si>
  <si>
    <t>Релакс на Бульваре</t>
  </si>
  <si>
    <t>https://vk.com/club87709979</t>
  </si>
  <si>
    <t>47.921582 56.62881</t>
  </si>
  <si>
    <t>Тур12</t>
  </si>
  <si>
    <t>+7 (927) 888-99-90</t>
  </si>
  <si>
    <t>http://vk.com/tour12</t>
  </si>
  <si>
    <t>http://www.youtube.com/channel/UCQIP_CWPMMith2QJwXL4RJQ</t>
  </si>
  <si>
    <t>Сто-12</t>
  </si>
  <si>
    <t>ул. Машиностроителей, 74Б, Йошкар-Ола</t>
  </si>
  <si>
    <t>+7 (8362) 34-18-18, +7 (8362) 77-43-43</t>
  </si>
  <si>
    <t>+7 (961) 374-76-66</t>
  </si>
  <si>
    <t xml:space="preserve">sto12@ro.ru  </t>
  </si>
  <si>
    <t>http://cto12.ru/</t>
  </si>
  <si>
    <t>Автомойка, Автосервис, автотехцентр, Магазин автозапчастей и автотоваров, Шиномонтаж</t>
  </si>
  <si>
    <t>http://vk.com/ctto12</t>
  </si>
  <si>
    <t>47.837892 56.627754</t>
  </si>
  <si>
    <t>Новапак - упаковка, гофротара, гофрокартон</t>
  </si>
  <si>
    <t>8 (800) 250-38-98</t>
  </si>
  <si>
    <t>+7 (905) 199-04-42</t>
  </si>
  <si>
    <t xml:space="preserve">rupack@rupack.net, office21@rupack.net, gazheev@rupack.net, office11@rupack.net, sales6@rupack.nett, sales6@rupack.net </t>
  </si>
  <si>
    <t>https://рупак.рф/</t>
  </si>
  <si>
    <t>Тара и упаковочные материалы, Управляющая компания, Фасовочно-упаковочное оборудование</t>
  </si>
  <si>
    <t>ПотолкиОпт</t>
  </si>
  <si>
    <t>+7 (917) 710-12-18, +7 (987) 709-09-96</t>
  </si>
  <si>
    <t>Натяжные и подвесные потолки, Окна, Фасады и фасадные системы</t>
  </si>
  <si>
    <t>пн-пт 08:30–17:00; сб 08:30–13:00</t>
  </si>
  <si>
    <t>47.9094 56.6444</t>
  </si>
  <si>
    <t>+7 (8362) 65-55-33, +7 (8362) 65-55-10</t>
  </si>
  <si>
    <t>пн-пт 09:00–19:00, перерыв 13:00–14:00; сб 09:00–16:00, перерыв 13:00–14:00</t>
  </si>
  <si>
    <t>47.883941 56.615574</t>
  </si>
  <si>
    <t>Копи-центр</t>
  </si>
  <si>
    <t>+7 (8362) 43-77-23, +7 (8362) 30-44-34</t>
  </si>
  <si>
    <t xml:space="preserve">copy12@mail.ru  </t>
  </si>
  <si>
    <t>http://copy12.ru/</t>
  </si>
  <si>
    <t>Копировальный центр, Полиграфические услуги, Рекламное агентство</t>
  </si>
  <si>
    <t>пн-пт 08:30–18:30; сб 08:30–15:30</t>
  </si>
  <si>
    <t>47.889661 56.642746</t>
  </si>
  <si>
    <t>ОптовиКо</t>
  </si>
  <si>
    <t>+7 (987) 702-77-14</t>
  </si>
  <si>
    <t>Прокат карнавальных костюмов</t>
  </si>
  <si>
    <t>+7 (8362) 99-16-95</t>
  </si>
  <si>
    <t>Карнавальные, театральные и танцевальные костюмы</t>
  </si>
  <si>
    <t>Дом творческих союзов</t>
  </si>
  <si>
    <t>+7 (8362) 66-55-33</t>
  </si>
  <si>
    <t>Выставочный центр, Культурный центр</t>
  </si>
  <si>
    <t>47.898738 56.631133</t>
  </si>
  <si>
    <t>Булочная на Зелёной</t>
  </si>
  <si>
    <t>Зелёная ул., 2А, Йошкар-Ола</t>
  </si>
  <si>
    <t>+7 (8362) 33-80-81</t>
  </si>
  <si>
    <t>Булочная, пекарня, Доставка еды и обедов, Магазин кулинарии, Магазин продуктов</t>
  </si>
  <si>
    <t>https://vk.com/dostavkapirogov12</t>
  </si>
  <si>
    <t>https://www.instagram.com/bulochnaya_na_zelenoy</t>
  </si>
  <si>
    <t>47.848237 56.64052</t>
  </si>
  <si>
    <t>Центр управления здоровьем</t>
  </si>
  <si>
    <t>+7 (987) 722-78-88, +7 (902) 100-21-88</t>
  </si>
  <si>
    <t>http://kl6234.polzdr.ru/</t>
  </si>
  <si>
    <t>Оздоровительный центр, Товары для здоровья</t>
  </si>
  <si>
    <t>47.917699 56.627433</t>
  </si>
  <si>
    <t>Первая коллегия адвокатов</t>
  </si>
  <si>
    <t>+7 (917) 712-93-08</t>
  </si>
  <si>
    <t>47.890592 56.643007</t>
  </si>
  <si>
    <t>+7 (8362) 20-71-53</t>
  </si>
  <si>
    <t>+7 (964) 861-43-75, +7 (919) 417-41-43, +7 (987) 731-10-32</t>
  </si>
  <si>
    <t xml:space="preserve">maridveri@yandex.ru  </t>
  </si>
  <si>
    <t>http://selena12.ru/</t>
  </si>
  <si>
    <t>http://vk.com/maridveri</t>
  </si>
  <si>
    <t>http://ok.ru/group/53713462624436</t>
  </si>
  <si>
    <t>http://www.facebook.com/dveriselena</t>
  </si>
  <si>
    <t>Переменка</t>
  </si>
  <si>
    <t>+7 (927) 882-13-39</t>
  </si>
  <si>
    <t>Детский лагерь отдыха, Детский сад, Клуб для детей и подростков</t>
  </si>
  <si>
    <t>пн-пт 09:00–19:00; сб 09:00–18:00; вс 10:00–15:00</t>
  </si>
  <si>
    <t>Ботики</t>
  </si>
  <si>
    <t>47.8889 56.6402</t>
  </si>
  <si>
    <t>Наш Компас</t>
  </si>
  <si>
    <t>+7 (8362) 54-09-03</t>
  </si>
  <si>
    <t>Музей театра кукол</t>
  </si>
  <si>
    <t>Царьградский просп., 35, Йошкар-Ола</t>
  </si>
  <si>
    <t>+7 (8362) 45-25-31, +7 (8362) 45-25-22, +7 (8362) 45-19-87</t>
  </si>
  <si>
    <t>47.908546 56.637001</t>
  </si>
  <si>
    <t>Роза-Мимоза</t>
  </si>
  <si>
    <t>Советская ул., 133/2, Йошкар-Ола</t>
  </si>
  <si>
    <t>+7 (8362) 70-55-50</t>
  </si>
  <si>
    <t xml:space="preserve">info@roza-mimoza.com  </t>
  </si>
  <si>
    <t>http://roza-mimoza.com/</t>
  </si>
  <si>
    <t>47.897712 56.634894</t>
  </si>
  <si>
    <t>Центр-бизнес образования</t>
  </si>
  <si>
    <t>+7 (8362) 63-04-20, +7 (8362) 63-03-29, +7 (8362) 45-57-94, +7 (8362) 45-43-55</t>
  </si>
  <si>
    <t xml:space="preserve">n4ou@yandex.ru, ibir12@mail.ru, tebir@mail.ru, n4oubux@yandex.ru  </t>
  </si>
  <si>
    <t>http://idpo12.ru/</t>
  </si>
  <si>
    <t>Бизнес-школа, Курсы и мастер-классы, Центр повышения квалификации</t>
  </si>
  <si>
    <t>https://vk.com/idpo_yola</t>
  </si>
  <si>
    <t>47.900287 56.642318</t>
  </si>
  <si>
    <t>Региональный центр информационных технологий</t>
  </si>
  <si>
    <t>+7 (963) 127-84-00</t>
  </si>
  <si>
    <t>Люди и таланты</t>
  </si>
  <si>
    <t>Ленинградская ул., 15, Йошкар-Ола</t>
  </si>
  <si>
    <t>+7 (937) 210-12-17</t>
  </si>
  <si>
    <t>47.958565 56.632075</t>
  </si>
  <si>
    <t>Элемент</t>
  </si>
  <si>
    <t>ул. Тарханово, 19, Йошкар-Ола</t>
  </si>
  <si>
    <t>+7 (917) 706-26-21</t>
  </si>
  <si>
    <t>47.842493 56.659577</t>
  </si>
  <si>
    <t>Ротор</t>
  </si>
  <si>
    <t>+7 (8362) 55-13-94, +7 (8362) 44-34-45</t>
  </si>
  <si>
    <t>http://www.avtoshkola-sentr.ru/</t>
  </si>
  <si>
    <t>пн-пт 08:00–20:00; сб 08:00–17:00; вс 08:00–14:00</t>
  </si>
  <si>
    <t>https://vk.com/club91577044</t>
  </si>
  <si>
    <t>47.880288 56.636219</t>
  </si>
  <si>
    <t>БетонСити плюс</t>
  </si>
  <si>
    <t>+7 (8362) 26-25-25</t>
  </si>
  <si>
    <t>+7 (917) 702-77-27</t>
  </si>
  <si>
    <t>ПК Перспектива</t>
  </si>
  <si>
    <t>+7 (8362) 30-45-65</t>
  </si>
  <si>
    <t xml:space="preserve">pk-perspektiva@yandex.ru </t>
  </si>
  <si>
    <t>Детская мебель, Мебель для кухни, Мебель для офиса, Мебель на заказ, Шкафы-купе</t>
  </si>
  <si>
    <t>Лингвистический центр Oxford</t>
  </si>
  <si>
    <t>+7 (8362) 71-41-51</t>
  </si>
  <si>
    <t xml:space="preserve">oxford12@inbox.ru  </t>
  </si>
  <si>
    <t>http://www.oxfordcenter.ru/</t>
  </si>
  <si>
    <t>Курсы и мастер-классы, Курсы иностранных языков, Центр повышения квалификации</t>
  </si>
  <si>
    <t>пн-пт 10:00–20:00; сб 09:00–16:00</t>
  </si>
  <si>
    <t>http://vk.com/oxfordschool12</t>
  </si>
  <si>
    <t>47.880776 56.637269</t>
  </si>
  <si>
    <t>Студия иностранных языков Einglish.ru</t>
  </si>
  <si>
    <t>+7 (8362) 32-77-90</t>
  </si>
  <si>
    <t>+7 (937) 930-17-31</t>
  </si>
  <si>
    <t>пн-пт 08:30–20:30; сб 10:00–17:00</t>
  </si>
  <si>
    <t>Прокат на Набережной</t>
  </si>
  <si>
    <t>Набережная ул., 26/1, Йошкар-Ола</t>
  </si>
  <si>
    <t>+7 (8362) 99-22-72</t>
  </si>
  <si>
    <t>+7 (902) 329-22-72</t>
  </si>
  <si>
    <t>Прокат велосипедов, Пункт проката</t>
  </si>
  <si>
    <t>http://www.vk.com/prokat_yola</t>
  </si>
  <si>
    <t>http://www.instagram.com/prokat_12</t>
  </si>
  <si>
    <t>47.905637 56.640732</t>
  </si>
  <si>
    <t>Адвокатский кабинет Хусаинова Марата Вагизовича</t>
  </si>
  <si>
    <t>+7 (909) 306-43-05</t>
  </si>
  <si>
    <t>Лебедь</t>
  </si>
  <si>
    <t>Красноармейская ул., 90Б, Йошкар-Ола</t>
  </si>
  <si>
    <t>+7 (8362) 44-17-36, +7 (8362) 72-30-99</t>
  </si>
  <si>
    <t>Магазин постельных принадлежностей, Магазин ткани, Швейная фурнитура</t>
  </si>
  <si>
    <t>https://www.instagram.com/lebed_tkani</t>
  </si>
  <si>
    <t>47.869828 56.646107</t>
  </si>
  <si>
    <t>Fresh</t>
  </si>
  <si>
    <t>+7 (960) 096-06-78</t>
  </si>
  <si>
    <t xml:space="preserve">8b4e078a51d04e0e9efdf470027f0ec1@sentry.wixpress.com, ra-1-fresh@yandex.ru  </t>
  </si>
  <si>
    <t>https://www.1ra-fresh.com/</t>
  </si>
  <si>
    <t>Курьерские услуги, Рекламное агентство</t>
  </si>
  <si>
    <t>https://vk.com/id_ra_fresh</t>
  </si>
  <si>
    <t>47.880321 56.626163</t>
  </si>
  <si>
    <t>Мои Окна</t>
  </si>
  <si>
    <t>+7 (8362) 54-13-13</t>
  </si>
  <si>
    <t>https://vk.com/public100105685</t>
  </si>
  <si>
    <t>Дорстрой</t>
  </si>
  <si>
    <t>ул. Орая, 51А, Йошкар-Ола</t>
  </si>
  <si>
    <t>+7 (8362) 38-52-11, +7 (8362) 45-16-28, +7 (8362) 38-50-22, +7 (8362) 38-53-99</t>
  </si>
  <si>
    <t>+7 (8362) 45-16-28</t>
  </si>
  <si>
    <t xml:space="preserve">drsgup@mari-el.ru </t>
  </si>
  <si>
    <t>http://дорстрой12.рф/</t>
  </si>
  <si>
    <t>47.895869 56.646172</t>
  </si>
  <si>
    <t>Хорс</t>
  </si>
  <si>
    <t>+7 (917) 706-88-44, +7 (917) 706-44-88</t>
  </si>
  <si>
    <t xml:space="preserve">alasmir@mail.ru  </t>
  </si>
  <si>
    <t>http://hors12.ru/</t>
  </si>
  <si>
    <t>100% Мебель</t>
  </si>
  <si>
    <t xml:space="preserve">100mebel@inbox.ru  </t>
  </si>
  <si>
    <t>http://meb12.ru/, http://www.мебель12.рф/</t>
  </si>
  <si>
    <t>Корпусная мебель, Магазин мебели, Мягкая мебель, Студия дизайна</t>
  </si>
  <si>
    <t>47.837784 56.640042</t>
  </si>
  <si>
    <t>Атевс дизайн</t>
  </si>
  <si>
    <t>+7 (917) 701-50-76</t>
  </si>
  <si>
    <t>+7 (8362) 30-55-88, +7 (8362) 43-77-11, +7 (8362) 73-01-00</t>
  </si>
  <si>
    <t>47.888822 56.650081</t>
  </si>
  <si>
    <t>Адвокатский кабинет Пановой Марины Владимировны</t>
  </si>
  <si>
    <t>+7 (8362) 45-26-05, +7 (8362) 65-07-47</t>
  </si>
  <si>
    <t>Portoni</t>
  </si>
  <si>
    <t>+7 (902) 744-45-34, +7 (987) 723-77-70</t>
  </si>
  <si>
    <t xml:space="preserve">info@portoni.ru  </t>
  </si>
  <si>
    <t>http://portoni.ru/</t>
  </si>
  <si>
    <t>Двери, Облицовочные материалы</t>
  </si>
  <si>
    <t>https://www.instagram.com/portoni</t>
  </si>
  <si>
    <t>47.945081 56.63412</t>
  </si>
  <si>
    <t>Безопасник</t>
  </si>
  <si>
    <t>+7 (8362) 23-29-69, +7 (8362) 56-35-23, +7 (8362) 23-29-59, +7 (8362) 56-27-10</t>
  </si>
  <si>
    <t xml:space="preserve">krd@dssl.ru  </t>
  </si>
  <si>
    <t>http://bezopasnik.ru/</t>
  </si>
  <si>
    <t>GPS-навигаторы, Информационная безопасность, Системы безопасности и охраны</t>
  </si>
  <si>
    <t>47.940904 56.623187</t>
  </si>
  <si>
    <t>Снимок</t>
  </si>
  <si>
    <t>+7 (927) 680-01-55</t>
  </si>
  <si>
    <t xml:space="preserve">i252441@yandex.ru  </t>
  </si>
  <si>
    <t>Печать на футболках, Фотоуслуги, Широкоформатная печать</t>
  </si>
  <si>
    <t>https://vk.com/snimok_yola</t>
  </si>
  <si>
    <t>47.894977 56.640168</t>
  </si>
  <si>
    <t>Электросила</t>
  </si>
  <si>
    <t xml:space="preserve">info@ok-stanok.ru, ig@ok-stanok.ru, ae@ok-stanok.ru, am@ok-stanok.ru  </t>
  </si>
  <si>
    <t>http://ioshkar-ola1.ok-stanok.ru/</t>
  </si>
  <si>
    <t>Магазин бытовой техники, Магазин электроники, Магазин электротоваров</t>
  </si>
  <si>
    <t>47.880956 56.636953</t>
  </si>
  <si>
    <t>Стройкерамика</t>
  </si>
  <si>
    <t>+7 (8362) 64-27-22, +7 (8362) 64-23-18, +7 (8362) 96-06-96, +7 (8362) 65-20-65, +7 (8362) 64-63-09</t>
  </si>
  <si>
    <t xml:space="preserve">skeramika@bk.ru  </t>
  </si>
  <si>
    <t>http://stroykeramika-yola.ru/</t>
  </si>
  <si>
    <t>Кирпич, Нерудные материалы</t>
  </si>
  <si>
    <t>Рефа групп</t>
  </si>
  <si>
    <t>+7 (937) 118-10-20</t>
  </si>
  <si>
    <t>Агентство недвижимости, Бизнес-консалтинг, Юридические услуги</t>
  </si>
  <si>
    <t>47.882971 56.645638</t>
  </si>
  <si>
    <t>+7 (8362) 73-01-00</t>
  </si>
  <si>
    <t>БВТ</t>
  </si>
  <si>
    <t>+7 (8362) 39-17-01</t>
  </si>
  <si>
    <t>Фильтры для воды</t>
  </si>
  <si>
    <t>47.861 56.6411</t>
  </si>
  <si>
    <t>Теремок</t>
  </si>
  <si>
    <t>+7 (8362) 96-53-83, +7 (8362) 75-56-00</t>
  </si>
  <si>
    <t>+7 (960) 099-00-70</t>
  </si>
  <si>
    <t>47.830228 56.633446</t>
  </si>
  <si>
    <t>Фотоателье</t>
  </si>
  <si>
    <t>+7 (917) 703-83-97</t>
  </si>
  <si>
    <t xml:space="preserve">photoroom12@mail.ru  </t>
  </si>
  <si>
    <t>https://vk.com/fotoplaneta12</t>
  </si>
  <si>
    <t>47.843654 56.640888</t>
  </si>
  <si>
    <t>+7 (8362) 36-33-66</t>
  </si>
  <si>
    <t>+7 (967) 756-33-66</t>
  </si>
  <si>
    <t>+7 (8362) 42-74-71</t>
  </si>
  <si>
    <t>http://vodokanal-yola.ru/</t>
  </si>
  <si>
    <t>47.8399 56.6545</t>
  </si>
  <si>
    <t>+7 (960) 097-02-78</t>
  </si>
  <si>
    <t>47.832515 56.636463</t>
  </si>
  <si>
    <t>ЭкоФундамент</t>
  </si>
  <si>
    <t>Водопроводная ул., 50, Йошкар-Ола</t>
  </si>
  <si>
    <t>8 (800) 775-67-17</t>
  </si>
  <si>
    <t xml:space="preserve">msk@ecofundament.ru  </t>
  </si>
  <si>
    <t>https://ecofundament.ru/</t>
  </si>
  <si>
    <t>Металлоконструкции, Строительная компания</t>
  </si>
  <si>
    <t>http://vk.com/ecofundament</t>
  </si>
  <si>
    <t>http://twitter.com/ecofundament</t>
  </si>
  <si>
    <t>http://www.facebook.com/ecofundament.ru</t>
  </si>
  <si>
    <t>http://www.youtube.com/user/ecofundament</t>
  </si>
  <si>
    <t>47.896635 56.650028</t>
  </si>
  <si>
    <t>Куб</t>
  </si>
  <si>
    <t>+7 (927) 880-00-90, +7 (927) 880-00-20</t>
  </si>
  <si>
    <t>47.888927 56.640223</t>
  </si>
  <si>
    <t>РемСервис</t>
  </si>
  <si>
    <t>Пролетарская ул., 1, Йошкар-Ола</t>
  </si>
  <si>
    <t xml:space="preserve">info@remservice12.ru  </t>
  </si>
  <si>
    <t>http://remservice12.ru/</t>
  </si>
  <si>
    <t>47.902515 56.643389</t>
  </si>
  <si>
    <t>DirectDroid</t>
  </si>
  <si>
    <t>+7 (8362) 30-59-90</t>
  </si>
  <si>
    <t>Парикмахерская Светлана</t>
  </si>
  <si>
    <t>ул. Васильева, 7, Йошкар-Ола</t>
  </si>
  <si>
    <t>+7 (8362) 95-00-88</t>
  </si>
  <si>
    <t xml:space="preserve">domoffon19@yandex.ru </t>
  </si>
  <si>
    <t>пн-пт 09:00–19:00; сб 09:00–18:00; вс 10:00–16:00</t>
  </si>
  <si>
    <t>47.830765 56.635777</t>
  </si>
  <si>
    <t>Строительная компания Поволжье</t>
  </si>
  <si>
    <t>8 (800) 250-51-41, +7 (8362) 44-77-11</t>
  </si>
  <si>
    <t>+7 (902) 744-77-11</t>
  </si>
  <si>
    <t xml:space="preserve">info@ooo-skp.ru  </t>
  </si>
  <si>
    <t>http://www.ooo-skp.ru/</t>
  </si>
  <si>
    <t>https://vk.com/skpovolzhye</t>
  </si>
  <si>
    <t>https://www.instagram.com/skpovolzhye/</t>
  </si>
  <si>
    <t>47.907631 56.631196</t>
  </si>
  <si>
    <t>Мебель Черноземья</t>
  </si>
  <si>
    <t>8 (800) 775-25-07, +7 (8362) 77-37-57</t>
  </si>
  <si>
    <t>+7 (917) 718-87-90</t>
  </si>
  <si>
    <t xml:space="preserve">shop@mche.ru  </t>
  </si>
  <si>
    <t>https://mche.ru/</t>
  </si>
  <si>
    <t>https://www.facebook.com/mebelchernozemya.official</t>
  </si>
  <si>
    <t>https://www.instagram.com/mebel.chernozemya</t>
  </si>
  <si>
    <t>Тонировка стекол</t>
  </si>
  <si>
    <t>+7 (8362) 43-33-11</t>
  </si>
  <si>
    <t>+7 (937) 112-73-66</t>
  </si>
  <si>
    <t>https://vk.com/public67868365?ad_id=0</t>
  </si>
  <si>
    <t>47.943132 56.629733</t>
  </si>
  <si>
    <t>Эвакуатор</t>
  </si>
  <si>
    <t>ул. Мира, 16, Йошкар-Ола</t>
  </si>
  <si>
    <t>+7 (8362) 78-01-10</t>
  </si>
  <si>
    <t>+7 (927) 684-49-40, +7 (927) 683-93-16</t>
  </si>
  <si>
    <t>47.947893 56.632615</t>
  </si>
  <si>
    <t>Адвокатский кабинет Дюжиловой Тамары Анатольевны</t>
  </si>
  <si>
    <t>Водопроводная ул., 100, Йошкар-Ола</t>
  </si>
  <si>
    <t>+7 (8362) 33-34-80</t>
  </si>
  <si>
    <t>+7 (927) 877-70-00</t>
  </si>
  <si>
    <t>47.884939 56.652324</t>
  </si>
  <si>
    <t>Автокран</t>
  </si>
  <si>
    <t>Речная ул., 76А, Йошкар-Ола</t>
  </si>
  <si>
    <t>+7 (8362) 52-25-33</t>
  </si>
  <si>
    <t>47.861493 56.654996</t>
  </si>
  <si>
    <t>АвтоХелп</t>
  </si>
  <si>
    <t>Россия, Республика Марий Эл, Йошкар-Ола, улица Тимирязева</t>
  </si>
  <si>
    <t>+7 (8362) 65-28-69, +7 (8362) 97-50-37</t>
  </si>
  <si>
    <t>47.902895 56.64881</t>
  </si>
  <si>
    <t>ГБУ Республиканская Клиническая больница</t>
  </si>
  <si>
    <t>ул. Осипенко, 33, Йошкар-Ола</t>
  </si>
  <si>
    <t>+7 (8362) 68-94-93, +7 (8362) 46-07-30, +7 (8362) 45-09-08, +7 (8362) 45-16-48, +7 (8362) 68-94-59, +7 (8362) 46-07-80, +7 (8362) 46-82-44, +7 (8362) 46-80-14, +7 (8362) 46-14-34, +7 (8362) 45-28-31, +7 (8362) 46-02-70, +7 (8362) 46-01-54, +7 (8362) 46-14</t>
  </si>
  <si>
    <t xml:space="preserve">drb@mari-el.ru, 4bril-direktor.agel@mail.ru  </t>
  </si>
  <si>
    <t>https://vk.com/club46891117</t>
  </si>
  <si>
    <t>47.884427 56.649924</t>
  </si>
  <si>
    <t>LianaiL</t>
  </si>
  <si>
    <t>+7 (937) 113-27-27</t>
  </si>
  <si>
    <t>47.898491 56.636646</t>
  </si>
  <si>
    <t>КардиоДом</t>
  </si>
  <si>
    <t>Успенская ул., 32А, Йошкар-Ола</t>
  </si>
  <si>
    <t>+7 (8362) 23-18-23</t>
  </si>
  <si>
    <t>+7 (927) 882-63-23</t>
  </si>
  <si>
    <t xml:space="preserve">nggaloch@mail.ru, pmweb@travelline.ru  </t>
  </si>
  <si>
    <t>https://www.kardiodom12.com/</t>
  </si>
  <si>
    <t>47.887062 56.629737</t>
  </si>
  <si>
    <t>Грани</t>
  </si>
  <si>
    <t>+7 (8362) 43-76-86</t>
  </si>
  <si>
    <t>+7 (906) 335-74-17</t>
  </si>
  <si>
    <t xml:space="preserve">savelyeva.86@mail.ru, mebelvgoroderu@mail.ru  </t>
  </si>
  <si>
    <t>https://vk.com/grani12</t>
  </si>
  <si>
    <t>Подшипник</t>
  </si>
  <si>
    <t>+7 (906) 336-50-46</t>
  </si>
  <si>
    <t xml:space="preserve">bearing@mail.ru  </t>
  </si>
  <si>
    <t>http://bearing12.ru/</t>
  </si>
  <si>
    <t>47.89721 56.649978</t>
  </si>
  <si>
    <t>АвтоДом</t>
  </si>
  <si>
    <t>ул. Йывана Кырли, 27, Йошкар-Ола</t>
  </si>
  <si>
    <t>+7 (8362) 38-05-05</t>
  </si>
  <si>
    <t xml:space="preserve">nfo@avtodom12.ru, info@avtodom12.ru, info@vw-mariauto.ru  </t>
  </si>
  <si>
    <t>https://avtodom12.ru/</t>
  </si>
  <si>
    <t>Автосалон, Автосервис, автотехцентр, Страхование автомобилей</t>
  </si>
  <si>
    <t>пн-сб 08:00–19:00; вс 08:00–18:00</t>
  </si>
  <si>
    <t>https://vk.com/mariautocenter</t>
  </si>
  <si>
    <t>https://www.facebook.com/avtodom12</t>
  </si>
  <si>
    <t>47.832319 56.64146</t>
  </si>
  <si>
    <t>+7 (8362) 42-24-00, +7 (8362) 78-12-88, +7 (8362) 41-17-75</t>
  </si>
  <si>
    <t>Архитектор</t>
  </si>
  <si>
    <t>ул. Машиностроителей, 85, Йошкар-Ола</t>
  </si>
  <si>
    <t>+7 (987) 707-10-55</t>
  </si>
  <si>
    <t>47.850506 56.630421</t>
  </si>
  <si>
    <t>Линэк Залоги</t>
  </si>
  <si>
    <t>+7 (8362) 55-46-87</t>
  </si>
  <si>
    <t>+7 (917) 701-77-92</t>
  </si>
  <si>
    <t>Экспресс Офис</t>
  </si>
  <si>
    <t>+7 (8362) 49-50-55</t>
  </si>
  <si>
    <t xml:space="preserve">info@express-office.ru, sklad@express-office.ru, vologda@express-office.ru  </t>
  </si>
  <si>
    <t>https://www.express-office.ru/, https://yoshkar-ola.express-office.ru/</t>
  </si>
  <si>
    <t>Мебель для офиса, Металлическая мебель, Мягкая мебель, Системы перегородок</t>
  </si>
  <si>
    <t>http://vk.com/expressoffice</t>
  </si>
  <si>
    <t>http://www.facebook.com/pages/Экспресс-офис/196745317044008#!/pages/Экспресс-офис/196745317044008</t>
  </si>
  <si>
    <t>47.90083 56.646811</t>
  </si>
  <si>
    <t>Структурное подразделение ГБУ РМЭ Йошкаролинская Детская городская больница, Детская поликлиника № 3 им. Л. И. Соколовой</t>
  </si>
  <si>
    <t>+7 (8362) 23-27-75, +7 (8362) 23-00-95, +7 (8362) 23-00-83</t>
  </si>
  <si>
    <t xml:space="preserve">dgb@mari-el.ru, informsreda@yandex.ru  </t>
  </si>
  <si>
    <t>http://ch4b.polickliniki.ru/, http://mari-el.gov.ru/minzdrav/jdgb/Pages/Детская-поликлиника-№3.aspx</t>
  </si>
  <si>
    <t>пн-пт 07:30–18:00; сб 08:00–15:00</t>
  </si>
  <si>
    <t>47.902384 56.629357</t>
  </si>
  <si>
    <t>ул. Машиностроителей, 120Б, Йошкар-Ола</t>
  </si>
  <si>
    <t>47.831471 56.627163</t>
  </si>
  <si>
    <t>БоссАвто</t>
  </si>
  <si>
    <t>+7 (8362) 70-08-88, +7 (8362) 90-07-77</t>
  </si>
  <si>
    <t xml:space="preserve">14370afcdc17429f9e418d5ffbd0334a@sentry.wixpress.com, avtozvuk.ivanov@yandex.ru, wixofday@wix.com, ivanov.bossauto@yandex.ru  </t>
  </si>
  <si>
    <t>http://www.avtozvuk-joshkar-ola.com/</t>
  </si>
  <si>
    <t>Автоакустика, Автосигнализация, Тонирование стекол</t>
  </si>
  <si>
    <t>пн-пт 09:00–17:00; сб,вс 09:00–15:00</t>
  </si>
  <si>
    <t>https://vk.com/bossauto12</t>
  </si>
  <si>
    <t>https://www.youtube.com/channel/UCwiWsWsM8DZeD-iNFRzsiPA</t>
  </si>
  <si>
    <t>https://www.instagram.com/boss.auto.12</t>
  </si>
  <si>
    <t>47.833671 56.642424</t>
  </si>
  <si>
    <t>Сцена</t>
  </si>
  <si>
    <t>+7 (8362) 20-58-80</t>
  </si>
  <si>
    <t>+7 (987) 704-97-27</t>
  </si>
  <si>
    <t xml:space="preserve">kib990@gmail.com  </t>
  </si>
  <si>
    <t>http://kibanovscena.ru/</t>
  </si>
  <si>
    <t>пн-пт 10:00–19:00; сб 11:00–18:00; вс 11:00–17:00</t>
  </si>
  <si>
    <t>47.8905 56.6331</t>
  </si>
  <si>
    <t>Экспресс</t>
  </si>
  <si>
    <t>+7 (8362) 67-22-00</t>
  </si>
  <si>
    <t>+7 (987) 703-89-31</t>
  </si>
  <si>
    <t>Ногтевая студия</t>
  </si>
  <si>
    <t>47.892741 56.638749</t>
  </si>
  <si>
    <t>СЭС</t>
  </si>
  <si>
    <t>+7 (987) 727-72-32, +7 (927) 974-73-72</t>
  </si>
  <si>
    <t>Лина</t>
  </si>
  <si>
    <t>ул. Подольских Курсантов, 15А, Йошкар-Ола</t>
  </si>
  <si>
    <t>47.864626 56.649627</t>
  </si>
  <si>
    <t>Футбольная школа Юниор</t>
  </si>
  <si>
    <t>8 (800) 333-30-94, +7 (8362) 34-56-00, +7 (8362) 78-92-29</t>
  </si>
  <si>
    <t>+7 (927) 872-17-10</t>
  </si>
  <si>
    <t xml:space="preserve">office@fsjunior.com, support@fsjunior.com  </t>
  </si>
  <si>
    <t>https://fsjunior.com/</t>
  </si>
  <si>
    <t>вт,чт 18:00–20:00</t>
  </si>
  <si>
    <t>47.916994 56.639223</t>
  </si>
  <si>
    <t>ул. Лебедева, 59, Йошкар-Ола</t>
  </si>
  <si>
    <t>47.935137 56.624108</t>
  </si>
  <si>
    <t>ЭргоСервис</t>
  </si>
  <si>
    <t>ул. 8 Марта, 57, Йошкар-Ола</t>
  </si>
  <si>
    <t>+7 (903) 358-10-33</t>
  </si>
  <si>
    <t xml:space="preserve">ergoservis@mail.ru  </t>
  </si>
  <si>
    <t>http://mariel.ergoservise.ru/</t>
  </si>
  <si>
    <t>Бытовые услуги, Мебельная фабрика, Ремонт мебели</t>
  </si>
  <si>
    <t>https://vk.com/ergo_mariel</t>
  </si>
  <si>
    <t>47.964026 56.641748</t>
  </si>
  <si>
    <t>Фаберлик</t>
  </si>
  <si>
    <t>+7 (917) 703-01-82</t>
  </si>
  <si>
    <t>http://faberlic.com/?idperson=1000178726679u0026listid=600u0026option=com_editu0026view=edit</t>
  </si>
  <si>
    <t>пн-сб 10:00–19:00; вс 10:00–16:00</t>
  </si>
  <si>
    <t>http://vk.com/id51280820</t>
  </si>
  <si>
    <t>http://twitter.com/faberlicrussia</t>
  </si>
  <si>
    <t>http://www.facebook.com/faberlicofficial</t>
  </si>
  <si>
    <t>http://instagram.com/faberlic.official</t>
  </si>
  <si>
    <t>Магазин мужской одежды</t>
  </si>
  <si>
    <t>+7 (8362) 34-64-65</t>
  </si>
  <si>
    <t>47.86391 56.646669</t>
  </si>
  <si>
    <t>Bravo</t>
  </si>
  <si>
    <t>+7 (927) 872-77-62</t>
  </si>
  <si>
    <t>Государственное бюджетное учреждение республики Марий Эл Йошкар-Олинская детская городская больница</t>
  </si>
  <si>
    <t>ул. Волкова, 104, Йошкар-Ола</t>
  </si>
  <si>
    <t>+7 (8362) 45-55-89, +7 (8362) 56-61-85, +7 (8362) 45-17-69, +7 (8362) 45-16-51</t>
  </si>
  <si>
    <t>+7 (8362) 56-61-11</t>
  </si>
  <si>
    <t>http://portal.mari.ru/minzdrav/jdgb</t>
  </si>
  <si>
    <t>47.898661 56.641184</t>
  </si>
  <si>
    <t>+7 (8362) 79-36-26</t>
  </si>
  <si>
    <t>47.945975 56.637114</t>
  </si>
  <si>
    <t>Соляная пещера Солтлокус</t>
  </si>
  <si>
    <t>+7 (8362) 67-67-57</t>
  </si>
  <si>
    <t xml:space="preserve">8b4e078a51d04e0e9efdf470027f0ec1@sentry.wixpress.com, saltlocus@yandex.ru  </t>
  </si>
  <si>
    <t>http://saltlocus.wixsite.com/saltlocus</t>
  </si>
  <si>
    <t>Оздоровительный центр, Соляная пещера</t>
  </si>
  <si>
    <t>пн-пт 10:00–21:00; сб,вс 10:00–13:00</t>
  </si>
  <si>
    <t>https://vk.com/saltlocus</t>
  </si>
  <si>
    <t>47.8364 56.6352</t>
  </si>
  <si>
    <t>Прима Донна</t>
  </si>
  <si>
    <t>+7 (8362) 90-02-66</t>
  </si>
  <si>
    <t>Ателье по пошиву одежды, Магазин ткани</t>
  </si>
  <si>
    <t>47.891 56.63</t>
  </si>
  <si>
    <t>Pony Express</t>
  </si>
  <si>
    <t>8 (800) 234-22-40, +7 (8362) 37-65-00</t>
  </si>
  <si>
    <t xml:space="preserve">support@ponyexpress.ru, visa@ponyexpress.ru, kaliningrad.all@ponyexpress.ru, spb.sales@ponyexpress.ru, spb.order@ponyexpress.ru  </t>
  </si>
  <si>
    <t>http://www.ponyexpress.ru/, http://www.pony-visa.com/</t>
  </si>
  <si>
    <t>Курьерские услуги, Помощь в оформлении виз и загранпаспортов</t>
  </si>
  <si>
    <t>http://vk.com/ponyexpressrus</t>
  </si>
  <si>
    <t>http://ok.ru/ponyexpress</t>
  </si>
  <si>
    <t>http://www.facebook.com/ponyexpressru</t>
  </si>
  <si>
    <t>47.945733 56.634503</t>
  </si>
  <si>
    <t>Смышлёныш</t>
  </si>
  <si>
    <t>+7 (8362) 70-50-07</t>
  </si>
  <si>
    <t>+7 (902) 104-89-29</t>
  </si>
  <si>
    <t xml:space="preserve">14370afcdc17429f9e418d5ffbd0334a@sentry.wixpress.com, smysltoys@yandex.ru, wixofday@wix.com  </t>
  </si>
  <si>
    <t>http://smysltoys.ru/</t>
  </si>
  <si>
    <t>Детские игрушки и игры, Детский магазин, Настольные и интеллектуальные игры</t>
  </si>
  <si>
    <t>https://vk.com/smysltoys</t>
  </si>
  <si>
    <t>https://www.instagram.com/smysltoys</t>
  </si>
  <si>
    <t>47.843708 56.640884</t>
  </si>
  <si>
    <t>+7 (8362) 52-57-57, +7 (8362) 66-18-18</t>
  </si>
  <si>
    <t>+7 (902) 439-18-18, +7 (964) 862-57-57, +7 (987) 711-23-25</t>
  </si>
  <si>
    <t>47.831992 56.630808</t>
  </si>
  <si>
    <t>Оздоровительный салон</t>
  </si>
  <si>
    <t>+7 (8362) 94-57-00, +7 (8362) 47-43-73</t>
  </si>
  <si>
    <t>http://kl6239.polzdr.ru/</t>
  </si>
  <si>
    <t>Оздоровительный центр, Салон красоты, СПА-салон</t>
  </si>
  <si>
    <t>Инком</t>
  </si>
  <si>
    <t>ул. Соловьёва, 26, Йошкар-Ола</t>
  </si>
  <si>
    <t>8 (800) 770-78-40, +7 (8362) 72-07-20</t>
  </si>
  <si>
    <t xml:space="preserve">call@ink.ru  </t>
  </si>
  <si>
    <t>http://ink.ru/, http://www.inkomcenter.com/</t>
  </si>
  <si>
    <t>Керамическая плитка, Строительный магазин, Теплоизоляционные материалы</t>
  </si>
  <si>
    <t>https://vk.com/inkomcentr</t>
  </si>
  <si>
    <t>http://facebook.com/inkom21</t>
  </si>
  <si>
    <t>http://instagram.com/inkom21</t>
  </si>
  <si>
    <t>47.870498 56.624101</t>
  </si>
  <si>
    <t>Ремонт и перетяжка мягкой мебели</t>
  </si>
  <si>
    <t>+7 (8362) 99-31-71</t>
  </si>
  <si>
    <t>+7 (917) 712-18-56</t>
  </si>
  <si>
    <t>Детская поликлиника № 1 отделение восстановительного лечения</t>
  </si>
  <si>
    <t>Комсомольская ул., 123, Йошкар-Ола</t>
  </si>
  <si>
    <t>+7 (8362) 45-43-19, +7 (8362) 45-36-47, +7 (8362) 56-64-57</t>
  </si>
  <si>
    <t>47.897479 56.64157</t>
  </si>
  <si>
    <t>Деньгимигом</t>
  </si>
  <si>
    <t>8 (800) 333-55-66</t>
  </si>
  <si>
    <t xml:space="preserve">rabota@dmigom.ru </t>
  </si>
  <si>
    <t>https://www.dengimigom.ru/, http://dmigom.ru/</t>
  </si>
  <si>
    <t>http://vk.com/dmigom_club</t>
  </si>
  <si>
    <t>http://twitter.com/dengi_migom</t>
  </si>
  <si>
    <t>http://instagram.com/dengi_migom</t>
  </si>
  <si>
    <t>47.884978 56.6227</t>
  </si>
  <si>
    <t>Юридическая компания Прецедент</t>
  </si>
  <si>
    <t>+7 (8362) 42-40-50</t>
  </si>
  <si>
    <t>47.8876 56.6296</t>
  </si>
  <si>
    <t>Бэби-клуб</t>
  </si>
  <si>
    <t>+7 (8362) 30-95-03</t>
  </si>
  <si>
    <t xml:space="preserve">franshiza@baby-club.ru, job@baby-club.ru, ozk@baby-club.ru, win@baby-club.ru, join@kidfriendly.ru  </t>
  </si>
  <si>
    <t>https://baby-club.ru/, https://baby-club.ru/clubs/yo/parkpobedy/</t>
  </si>
  <si>
    <t>Детский сад, Клуб для детей и подростков, Центр развития ребенка</t>
  </si>
  <si>
    <t>https://vk.com/club97789567</t>
  </si>
  <si>
    <t>https://www.instagram.com/babyclub_yo</t>
  </si>
  <si>
    <t>Детская поликлиника № 2</t>
  </si>
  <si>
    <t>+7 (8362) 72-29-16, +7 (8362) 42-40-21</t>
  </si>
  <si>
    <t>http://sv40a.polickliniki.ru/</t>
  </si>
  <si>
    <t>http://vk.com/club132211178</t>
  </si>
  <si>
    <t>47.869497 56.642158</t>
  </si>
  <si>
    <t>ВсеПодРукой</t>
  </si>
  <si>
    <t>+7 (8362) 26-42-06</t>
  </si>
  <si>
    <t xml:space="preserve">vsepodrukoi@mail.ru  </t>
  </si>
  <si>
    <t>http://vsepodrukoi.ru/</t>
  </si>
  <si>
    <t>Интернет-магазин, Канцтовары оптом, Магазин канцтоваров, Мебель для офиса</t>
  </si>
  <si>
    <t>Фотосалон Cheese Photo Йошкар-Ола</t>
  </si>
  <si>
    <t>+7 (8362) 30-71-88</t>
  </si>
  <si>
    <t>+7 (967) 757-71-88</t>
  </si>
  <si>
    <t xml:space="preserve">cheesephoto2015@yandex.ru  </t>
  </si>
  <si>
    <t>Магазин подарков и сувениров, Оптовый магазин, Рекламная продукция, Фотомагазин, Фотоуслуги</t>
  </si>
  <si>
    <t>https://vk.com/cheese_yola</t>
  </si>
  <si>
    <t>47.899727 56.638381</t>
  </si>
  <si>
    <t>Кант-принт</t>
  </si>
  <si>
    <t>ул. Анциферова, 8А, Йошкар-Ола</t>
  </si>
  <si>
    <t>+7 (8362) 26-15-48, +7 (8362) 76-31-22</t>
  </si>
  <si>
    <t>Канцтовары оптом, Магазин канцтоваров, Типография, Фотоуслуги</t>
  </si>
  <si>
    <t>пн-пт 08:30–19:00; сб,вс 09:00–18:00</t>
  </si>
  <si>
    <t>47.863945 56.648281</t>
  </si>
  <si>
    <t>Calzedonia</t>
  </si>
  <si>
    <t>8 (800) 100-07-02, +7 (8362) 23-17-61</t>
  </si>
  <si>
    <t xml:space="preserve">info@calzedonia.ru  </t>
  </si>
  <si>
    <t>https://ru.calzedonia.com/</t>
  </si>
  <si>
    <t>Магазин белья и купальников, Магазин одежды, Магазин чулок и колготок</t>
  </si>
  <si>
    <t>https://vk.com/calzedoniaofficial</t>
  </si>
  <si>
    <t>https://twitter.com/tweetcalzedonia</t>
  </si>
  <si>
    <t>http://www.facebook.com/calzedonia</t>
  </si>
  <si>
    <t>https://www.youtube.com/user/CalzedoniaOfficial</t>
  </si>
  <si>
    <t>https://www.instagram.com/calzedonia</t>
  </si>
  <si>
    <t>47.930117 56.627875</t>
  </si>
  <si>
    <t>Центр12</t>
  </si>
  <si>
    <t>+7 (987) 707-77-76</t>
  </si>
  <si>
    <t>http://shop.center12.ru/</t>
  </si>
  <si>
    <t>Светильники, Светотехника, Электротехническая продукция</t>
  </si>
  <si>
    <t>https://vk.com/smikulis</t>
  </si>
  <si>
    <t>47.8663 56.6384</t>
  </si>
  <si>
    <t>МБУДО Детская школа Искусств № 7 города Йошкар-Олы</t>
  </si>
  <si>
    <t>+7 (8362) 21-43-18, +7 (36222) 1-43-18</t>
  </si>
  <si>
    <t>https://dschi7.ru/</t>
  </si>
  <si>
    <t>47.922093 56.627535</t>
  </si>
  <si>
    <t>Border</t>
  </si>
  <si>
    <t>8 (800) 700-14-28</t>
  </si>
  <si>
    <t xml:space="preserve">market@borderlocks.ru, info@borderlocks.ru, ganishin@borderlocks.ru, simakova@borderlocks.ru, popova@borderlocks.ru  </t>
  </si>
  <si>
    <t>http://www.borderlocks.ru/</t>
  </si>
  <si>
    <t>https://vk.com/borderlocks</t>
  </si>
  <si>
    <t>https://www.facebook.com/бордер-1158323667541168</t>
  </si>
  <si>
    <t>47.869793 56.654382</t>
  </si>
  <si>
    <t>ул. Гончарова, 1, Йошкар-Ола</t>
  </si>
  <si>
    <t>+7 (917) 718-95-92</t>
  </si>
  <si>
    <t>47.890347 56.614703</t>
  </si>
  <si>
    <t>+7 (8362) 64-22-56</t>
  </si>
  <si>
    <t>47.946662 56.6236</t>
  </si>
  <si>
    <t>New Принт</t>
  </si>
  <si>
    <t>+7 (8362) 25-44-12, +7 (8362) 25-44-13</t>
  </si>
  <si>
    <t>Магазин подарков и сувениров, Полиграфические услуги, Фотоуслуги</t>
  </si>
  <si>
    <t>47.84334 56.640905</t>
  </si>
  <si>
    <t>Металлические двери Сократ</t>
  </si>
  <si>
    <t>+7 (927) 882-95-60</t>
  </si>
  <si>
    <t xml:space="preserve">order@dverisokrat.ru </t>
  </si>
  <si>
    <t>Апартаменты Тау</t>
  </si>
  <si>
    <t>ул. Эшкинина, 6А, Йошкар-Ола</t>
  </si>
  <si>
    <t>http://apartments-tau.ru/</t>
  </si>
  <si>
    <t>Жилье посуточно</t>
  </si>
  <si>
    <t>http://vk.com/apartments_tau</t>
  </si>
  <si>
    <t>47.909032 56.629585</t>
  </si>
  <si>
    <t>Комсомольская ул., 85, Йошкар-Ола</t>
  </si>
  <si>
    <t>+7 (8362) 45-24-83</t>
  </si>
  <si>
    <t>Детские игрушки и игры, Канцтовары оптом, Книжный магазин, Магазин канцтоваров</t>
  </si>
  <si>
    <t>47.89985 56.644398</t>
  </si>
  <si>
    <t>Нео-Сан</t>
  </si>
  <si>
    <t>+7 (8362) 42-07-49</t>
  </si>
  <si>
    <t>пн,вт,чт,пт,сб 09:00–18:00, перерыв 14:00–15:00</t>
  </si>
  <si>
    <t>Faberlic</t>
  </si>
  <si>
    <t>+7 (8362) 36-20-80</t>
  </si>
  <si>
    <t>+7 (902) 124-54-65, +7 (902) 434-55-40</t>
  </si>
  <si>
    <t xml:space="preserve">faberlic-usluga@yandex.ru  </t>
  </si>
  <si>
    <t>https://faberlic.com/</t>
  </si>
  <si>
    <t>Магазин парфюмерии и косметики, Распространители косметики и бытовой химии, Товары по каталогам</t>
  </si>
  <si>
    <t>вт-пт 14:00–19:00; сб 11:00–15:00</t>
  </si>
  <si>
    <t>https://vk.com/faberlicofficial</t>
  </si>
  <si>
    <t>https://www.facebook.com/FaberlicOfficial</t>
  </si>
  <si>
    <t>https://www.instagram.com/faberlic.official/</t>
  </si>
  <si>
    <t>47.894778 56.640409</t>
  </si>
  <si>
    <t>Моя инноватика</t>
  </si>
  <si>
    <t>ул. Прохорова, 1, Йошкар-Ола</t>
  </si>
  <si>
    <t>+7 (8362) 32-87-32</t>
  </si>
  <si>
    <t>47.849976 56.638486</t>
  </si>
  <si>
    <t>Clever-Family</t>
  </si>
  <si>
    <t xml:space="preserve">daendukina@mail.ru  </t>
  </si>
  <si>
    <t>Магазин детской одежды, Одежда оптом</t>
  </si>
  <si>
    <t>http://vk.com/bagiraiola</t>
  </si>
  <si>
    <t>Маритекс</t>
  </si>
  <si>
    <t>+7 (8362) 45-13-92, +7 (8362) 45-35-33, +7 (8362) 42-91-04</t>
  </si>
  <si>
    <t xml:space="preserve">info@noski-maritex.ru  </t>
  </si>
  <si>
    <t>https://noski-maritex.ru/</t>
  </si>
  <si>
    <t>Магазин чулок и колготок</t>
  </si>
  <si>
    <t>https://vk.com/maritex12</t>
  </si>
  <si>
    <t>https://www.instagram.com/mariteks</t>
  </si>
  <si>
    <t>Йошкар-Олинская городская больница</t>
  </si>
  <si>
    <t>+7 (8362) 64-71-19, +7 (8362) 68-54-53, +7 (8362) 64-62-09, +7 (8362) 64-24-90</t>
  </si>
  <si>
    <t>http://mari-el.gov.ru/minzdrav/jgb/Pages/main.aspx, http://gdz-barhudarov-class.ru/</t>
  </si>
  <si>
    <t>47.95248 56.638823</t>
  </si>
  <si>
    <t>Инфинити</t>
  </si>
  <si>
    <t>+7 (902) 358-44-44</t>
  </si>
  <si>
    <t>47.895961 56.626436</t>
  </si>
  <si>
    <t>Конус</t>
  </si>
  <si>
    <t>ул. Лобачевского, 15, Йошкар-Ола</t>
  </si>
  <si>
    <t>+7 (8362) 63-66-33</t>
  </si>
  <si>
    <t>Лакокрасочные материалы, Оптовая компания</t>
  </si>
  <si>
    <t>47.872192 56.629515</t>
  </si>
  <si>
    <t>47.892646 56.641498</t>
  </si>
  <si>
    <t>Частный детский сад Пряничный</t>
  </si>
  <si>
    <t>+7 (8362) 91-79-10</t>
  </si>
  <si>
    <t xml:space="preserve">pryanichniy@yandex.ru  </t>
  </si>
  <si>
    <t>http://detsad-yo.ru/</t>
  </si>
  <si>
    <t>https://vk.com/detsad_yo</t>
  </si>
  <si>
    <t>https://instagram.com/detsad_yo</t>
  </si>
  <si>
    <t>47.847648 56.637458</t>
  </si>
  <si>
    <t>Дайвинг клуб</t>
  </si>
  <si>
    <t>+7 (8362) 30-95-56</t>
  </si>
  <si>
    <t>+7 (906) 336-22-26</t>
  </si>
  <si>
    <t>ВыХод</t>
  </si>
  <si>
    <t>8 (800) 511-88-71, +7 (8362) 31-45-70, +7 (8362) 31-45-80</t>
  </si>
  <si>
    <t>+7 (917) 071-45-70</t>
  </si>
  <si>
    <t xml:space="preserve">rf.exit@gmail.com, exit@sv-ludi.ru, iola@sv-exit.ru  </t>
  </si>
  <si>
    <t>http://iola.sv-exit.ru/</t>
  </si>
  <si>
    <t>Квесты</t>
  </si>
  <si>
    <t>https://vk.com/yo_vihod</t>
  </si>
  <si>
    <t>47.893309 56.635482</t>
  </si>
  <si>
    <t>Филиал ФГУП Охрана Росгвардии по Республике Марий Эл</t>
  </si>
  <si>
    <t>+7 (8362) 41-62-75, +7 (8362) 68-03-29, +7 (8362) 45-85-25, +7 (8362) 68-01-60</t>
  </si>
  <si>
    <t xml:space="preserve">info@themepunch.com  </t>
  </si>
  <si>
    <t>http://www.fgup-ohrana.ru/</t>
  </si>
  <si>
    <t>https://www.facebook.com/ohranarosgvard</t>
  </si>
  <si>
    <t>https://www.youtube.com/channel/UCKrVO7BykrH5Kl6qa-zM8PA?view_as=subscriber</t>
  </si>
  <si>
    <t>КЛЁВый</t>
  </si>
  <si>
    <t>+7 (8362) 56-65-41</t>
  </si>
  <si>
    <t>пн-пт 09:00–18:30; сб 09:00–17:00</t>
  </si>
  <si>
    <t>Адвокатский кабинет Никифорова Владимира Анатольевича</t>
  </si>
  <si>
    <t>ул. Кирова, 17, Йошкар-Ола</t>
  </si>
  <si>
    <t>+7 (8362) 99-78-27</t>
  </si>
  <si>
    <t>47.932253 56.636808</t>
  </si>
  <si>
    <t>Navi статус</t>
  </si>
  <si>
    <t>+7 (960) 095-00-90</t>
  </si>
  <si>
    <t>GPS-навигаторы, Мониторинг автотранспорта, Системы безопасности и охраны, Телекоммуникационное оборудование</t>
  </si>
  <si>
    <t>А-студия</t>
  </si>
  <si>
    <t>ул. Чехова, 10, Йошкар-Ола</t>
  </si>
  <si>
    <t>+7 (8362) 33-03-80</t>
  </si>
  <si>
    <t>+7 (902) 664-50-01</t>
  </si>
  <si>
    <t xml:space="preserve">ooo_pk_lina@mail.ru  </t>
  </si>
  <si>
    <t>https://lina12.ru/</t>
  </si>
  <si>
    <t>47.870239 56.6128</t>
  </si>
  <si>
    <t>Мерси</t>
  </si>
  <si>
    <t>ул. Петрова, 3, Йошкар-Ола</t>
  </si>
  <si>
    <t>+7 (8362) 51-34-34</t>
  </si>
  <si>
    <t>47.915187 56.627795</t>
  </si>
  <si>
    <t>Сто24</t>
  </si>
  <si>
    <t>ул. Панфилова, 41А, Йошкар-Ола</t>
  </si>
  <si>
    <t>+7 (8362) 66-26-80</t>
  </si>
  <si>
    <t>47.872154 56.627217</t>
  </si>
  <si>
    <t>Трансфер</t>
  </si>
  <si>
    <t>бул. Чавайна, 23, Йошкар-Ола</t>
  </si>
  <si>
    <t>+7 (8362) 75-00-00</t>
  </si>
  <si>
    <t>Заказ автомобилей, Такси</t>
  </si>
  <si>
    <t>47.911673 56.630674</t>
  </si>
  <si>
    <t>Декольте</t>
  </si>
  <si>
    <t>+7 (8362) 39-21-72</t>
  </si>
  <si>
    <t>47.894339 56.640581</t>
  </si>
  <si>
    <t>Торгово-производственная компания Мебель Здесь</t>
  </si>
  <si>
    <t>+7 (919) 419-21-21, +7 (902) 664-24-13, +7 (961) 379-21-21</t>
  </si>
  <si>
    <t>Мебель для кухни, Мебель для офиса, Мебель на заказ, Мебельная фабрика, Шкафы-купе</t>
  </si>
  <si>
    <t>Инфо-Сервис</t>
  </si>
  <si>
    <t>+7 (987) 717-85-95</t>
  </si>
  <si>
    <t>47.89191 56.6249</t>
  </si>
  <si>
    <t>Йошкар-Олинская детская городская больница им. Л. И. Соколовой, детская поликлиника № 5</t>
  </si>
  <si>
    <t>ул. Кирова, 11, Йошкар-Ола</t>
  </si>
  <si>
    <t>+7 (8362) 21-62-91, +7 (8362) 21-63-80, +7 (8362) 21-65-41</t>
  </si>
  <si>
    <t>http://11kir.polickliniki.ru/</t>
  </si>
  <si>
    <t>http://vk.com/zdorovie_deti_y_ola</t>
  </si>
  <si>
    <t>47.929904 56.633248</t>
  </si>
  <si>
    <t>Бостон</t>
  </si>
  <si>
    <t>+7 (8362) 42-71-31</t>
  </si>
  <si>
    <t>ул. Мира, 34А, Йошкар-Ола</t>
  </si>
  <si>
    <t>+7 (8362) 75-07-40</t>
  </si>
  <si>
    <t>47.943508 56.635074</t>
  </si>
  <si>
    <t>Детские и взрослые праздники</t>
  </si>
  <si>
    <t>+7 (8362) 95-88-07</t>
  </si>
  <si>
    <t>Сауна Шале</t>
  </si>
  <si>
    <t>ул. Чайковского, 1А, Йошкар-Ола</t>
  </si>
  <si>
    <t>+7 (8362) 25-52-99</t>
  </si>
  <si>
    <t>+7 (917) 704-26-82, +7 (902) 435-52-99</t>
  </si>
  <si>
    <t>http://сауна-шале.рф/</t>
  </si>
  <si>
    <t>47.878138 56.655645</t>
  </si>
  <si>
    <t>Respect</t>
  </si>
  <si>
    <t>+7 (8362) 51-36-24</t>
  </si>
  <si>
    <t>Капитал плюс</t>
  </si>
  <si>
    <t>+7 (987) 712-02-43</t>
  </si>
  <si>
    <t>Магазин автозапчастей Авто-Drive</t>
  </si>
  <si>
    <t xml:space="preserve">info@reg.ru, support@tiu.ru  </t>
  </si>
  <si>
    <t>http://avto-drive12.ru/, http://avto-drive.tiu.ru/</t>
  </si>
  <si>
    <t>47.9155 56.644265</t>
  </si>
  <si>
    <t>Восьмое счастье</t>
  </si>
  <si>
    <t>ул. Соловьёва, 19, Йошкар-Ола</t>
  </si>
  <si>
    <t>47.870285 56.623528</t>
  </si>
  <si>
    <t>ул. Данилина, 48, Йошкар-Ола</t>
  </si>
  <si>
    <t>47.894775 56.653012</t>
  </si>
  <si>
    <t>Video12.ru</t>
  </si>
  <si>
    <t>+7 (8362) 63-62-56, +7 (8362) 77-37-76</t>
  </si>
  <si>
    <t>http://www.video12.ru/</t>
  </si>
  <si>
    <t>https://vk.com/studio12</t>
  </si>
  <si>
    <t>47.828659 56.633516</t>
  </si>
  <si>
    <t>Ак Барс банк</t>
  </si>
  <si>
    <t>Инфокиоск</t>
  </si>
  <si>
    <t>Inetlabs</t>
  </si>
  <si>
    <t>+7 (8362) 66-06-88</t>
  </si>
  <si>
    <t>+7 (927) 870-42-84</t>
  </si>
  <si>
    <t>Буржуа</t>
  </si>
  <si>
    <t>+7 (8362) 45-73-46</t>
  </si>
  <si>
    <t>Магазин галантереи и аксессуаров, Магазин одежды</t>
  </si>
  <si>
    <t>вт-пт 10:00–19:00; сб 10:00–17:00</t>
  </si>
  <si>
    <t>Черутти</t>
  </si>
  <si>
    <t>+7 (8362) 48-82-28, +7 (8362) 54-07-02</t>
  </si>
  <si>
    <t>Mobil 1</t>
  </si>
  <si>
    <t>+7 (8362) 51-02-10</t>
  </si>
  <si>
    <t>Автокосметика, автохимия, Автосервис, автотехцентр</t>
  </si>
  <si>
    <t>47.857386 56.623436</t>
  </si>
  <si>
    <t>Строительно-монтажная компания Вокс</t>
  </si>
  <si>
    <t>+7 (8362) 33-82-08, +7 (8362) 36-76-46</t>
  </si>
  <si>
    <t>+7 (927) 882-38-88</t>
  </si>
  <si>
    <t>Кровельные работы, Монтаж и обслуживание систем водоснабжения и канализации, Системы вентиляции, Строительные и отделочные работы, Строительство и обслуживание инженерных сетей</t>
  </si>
  <si>
    <t>Мастерская красоты Ольга</t>
  </si>
  <si>
    <t>+7 (8362) 36-65-66</t>
  </si>
  <si>
    <t>пн-пт 09:00–20:00; сб 09:00–17:00; вс 10:00–16:00</t>
  </si>
  <si>
    <t>Деньги Сразу</t>
  </si>
  <si>
    <t>+7 (927) 884-49-86</t>
  </si>
  <si>
    <t xml:space="preserve">info@dengisrazu.com  </t>
  </si>
  <si>
    <t>http://www.dengisrazu.com/</t>
  </si>
  <si>
    <t>https://vk.com/aomfodengisrazu</t>
  </si>
  <si>
    <t>+7 (8362) 37-38-60, +7 (8362) 96-92-61, +7 (8362) 42-70-82</t>
  </si>
  <si>
    <t>+7 (902) 326-92-61</t>
  </si>
  <si>
    <t>http://intimkuan.ru/, http://privatkuan.ru/</t>
  </si>
  <si>
    <t>Магазин белья и купальников, Секс-шоп, Товары для здоровья</t>
  </si>
  <si>
    <t>пн-пт 11:00–19:00; сб 10:00–17:00</t>
  </si>
  <si>
    <t>http://vk.com/intimkuan</t>
  </si>
  <si>
    <t>47.894467 56.6404</t>
  </si>
  <si>
    <t>Ралли</t>
  </si>
  <si>
    <t>+7 (8362) 22-60-90</t>
  </si>
  <si>
    <t xml:space="preserve">spb@suprotec.ru  </t>
  </si>
  <si>
    <t>http://suprotec.ru/?id=40</t>
  </si>
  <si>
    <t>https://ok.ru/suprotecsm</t>
  </si>
  <si>
    <t>https://twitter.com/suprotec</t>
  </si>
  <si>
    <t>https://www.facebook.com/%D0%A1%D1%83%D0%BF%D1%80%D0%BE%D1%82%D0%B5%D0%BA-suprotec-official-1577519739163035</t>
  </si>
  <si>
    <t>47.919428 56.626678</t>
  </si>
  <si>
    <t>+7 (8362) 66-52-47</t>
  </si>
  <si>
    <t>+7 (902) 439-52-47</t>
  </si>
  <si>
    <t>47.867683 56.631821</t>
  </si>
  <si>
    <t>Токио</t>
  </si>
  <si>
    <t>+7 (8362) 71-13-33, +7 (8362) 47-64-77</t>
  </si>
  <si>
    <t>http://bartokyo.ru/</t>
  </si>
  <si>
    <t>Бар, паб, Пиццерия, Суши-бар</t>
  </si>
  <si>
    <t>https://www.instagram.com/bartokyo_page</t>
  </si>
  <si>
    <t>47.8945 56.6293</t>
  </si>
  <si>
    <t>ул. Строителей, 54Д, Йошкар-Ола</t>
  </si>
  <si>
    <t>+7 (8362) 23-20-23</t>
  </si>
  <si>
    <t xml:space="preserve">tairhotel@mail.ru  </t>
  </si>
  <si>
    <t>http://hoteltair.ru/</t>
  </si>
  <si>
    <t>https://vk.com/tairhotel</t>
  </si>
  <si>
    <t>https://www.instagram.com/hoteltair</t>
  </si>
  <si>
    <t>47.840287 56.631397</t>
  </si>
  <si>
    <t>Новый век</t>
  </si>
  <si>
    <t>+7 (8362) 45-24-19, +7 (8362) 45-72-81</t>
  </si>
  <si>
    <t>Винегрет</t>
  </si>
  <si>
    <t>+7 (8362) 52-22-06</t>
  </si>
  <si>
    <t>+7 (964) 864-18-14</t>
  </si>
  <si>
    <t xml:space="preserve">vinquest.info@gmail.com  </t>
  </si>
  <si>
    <t>http://vk.com/vinegret_quest</t>
  </si>
  <si>
    <t>http://instagram.com/vinquest.info</t>
  </si>
  <si>
    <t>+7 (927) 886-88-26</t>
  </si>
  <si>
    <t>http://vk.com/vkusdetsvayo</t>
  </si>
  <si>
    <t>47.925739 56.634406</t>
  </si>
  <si>
    <t>Удобная мебель на заказ</t>
  </si>
  <si>
    <t>Pandora</t>
  </si>
  <si>
    <t>+7 (917) 714-43-89</t>
  </si>
  <si>
    <t xml:space="preserve">info@arenda.net, info@royalpark.su  </t>
  </si>
  <si>
    <t>https://pandorarussia.ru/, http://www.pandora.net/, http://www.pandora.net/ru-ru</t>
  </si>
  <si>
    <t>https://vk.com/pandorarussiaofficial</t>
  </si>
  <si>
    <t>https://ok.ru/pandorarussia</t>
  </si>
  <si>
    <t>https://twitter.com/PANDORA_NA</t>
  </si>
  <si>
    <t>https://www.facebook.com/PandoraRussia</t>
  </si>
  <si>
    <t>http://instagram.com/theofficialpandora</t>
  </si>
  <si>
    <t>47.92909 56.627933</t>
  </si>
  <si>
    <t>Оцелот</t>
  </si>
  <si>
    <t>+7 (927) 884-54-60</t>
  </si>
  <si>
    <t xml:space="preserve">cofr@cofr.ru </t>
  </si>
  <si>
    <t>http://www.ocelotpravo.ru/</t>
  </si>
  <si>
    <t>Бильярдный клуб 7 луза</t>
  </si>
  <si>
    <t>+7 (8362) 21-05-11</t>
  </si>
  <si>
    <t>ежедневно, 12:00–03:00</t>
  </si>
  <si>
    <t>47.926285 56.628007</t>
  </si>
  <si>
    <t>Domus AD group</t>
  </si>
  <si>
    <t>+7 (967) 758-50-68, +7 (987) 705-63-15</t>
  </si>
  <si>
    <t>+7 (8362) 36-40-40</t>
  </si>
  <si>
    <t>Максимо</t>
  </si>
  <si>
    <t>+7 (8362) 74-21-14</t>
  </si>
  <si>
    <t>Favorit</t>
  </si>
  <si>
    <t>+7 (8362) 42-09-58, +7 (8362) 31-87-75</t>
  </si>
  <si>
    <t xml:space="preserve">favorit.m7@mail.ru  </t>
  </si>
  <si>
    <t>http://favorit12.com/</t>
  </si>
  <si>
    <t>47.88696 56.63865</t>
  </si>
  <si>
    <t>3X3 Records</t>
  </si>
  <si>
    <t>+7 (960) 095-86-61</t>
  </si>
  <si>
    <t>Салон красоты Бабочка</t>
  </si>
  <si>
    <t>+7 (902) 435-52-55</t>
  </si>
  <si>
    <t>47.900156 56.639362</t>
  </si>
  <si>
    <t>Гараж</t>
  </si>
  <si>
    <t>+7 (8362) 32-50-32</t>
  </si>
  <si>
    <t>Муравейник</t>
  </si>
  <si>
    <t>+7 (8362) 54-25-54</t>
  </si>
  <si>
    <t>+7 (927) 680-59-66, +7 (964) 864-25-54</t>
  </si>
  <si>
    <t>Бигудя</t>
  </si>
  <si>
    <t>47.863808 56.643116</t>
  </si>
  <si>
    <t>+7 (917) 709-19-20</t>
  </si>
  <si>
    <t>пн-пт 09:30–18:00; сб 10:00–14:00</t>
  </si>
  <si>
    <t>47.880333 56.638201</t>
  </si>
  <si>
    <t>Ателье Йошкар-Олинский Дом мод</t>
  </si>
  <si>
    <t>+7 (8362) 55-44-99</t>
  </si>
  <si>
    <t>пн-пт 08:00–18:00; сб 09:00–17:00; вс 09:30–16:00</t>
  </si>
  <si>
    <t>47.864391 56.645909</t>
  </si>
  <si>
    <t>Отдел Интерьер</t>
  </si>
  <si>
    <t>+7 (8362) 33-30-09</t>
  </si>
  <si>
    <t>Магазин подарков и сувениров, Товары для дома</t>
  </si>
  <si>
    <t>47.8628 56.6465</t>
  </si>
  <si>
    <t>Торгово-монтажная компания Окна Люкс</t>
  </si>
  <si>
    <t>+7 (8362) 45-21-33, +7 (8362) 24-24-09, +7 (8362) 34-47-15, +7 (8362) 37-78-55</t>
  </si>
  <si>
    <t>+7 (927) 882-99-00</t>
  </si>
  <si>
    <t>Натяжные и подвесные потолки, Окна, Тепличное оборудование</t>
  </si>
  <si>
    <t>Структурное подразделение ГБУ РМЭ Йошкаролинская Детская городская больница, Детская поликлиника № 4 им. Л.И. Соколовой</t>
  </si>
  <si>
    <t>ул. Прохорова, 34, Йошкар-Ола</t>
  </si>
  <si>
    <t>http://34pro.polickliniki.ru/</t>
  </si>
  <si>
    <t>47.832181 56.631895</t>
  </si>
  <si>
    <t>Магазин канцтоваров и книг</t>
  </si>
  <si>
    <t>+7 (8362) 46-24-69</t>
  </si>
  <si>
    <t>Канцтовары оптом, Книжный магазин, Магазин канцтоваров, Оптовый магазин</t>
  </si>
  <si>
    <t>Brigadir12.com</t>
  </si>
  <si>
    <t>+7 (8362) 66-66-00</t>
  </si>
  <si>
    <t>+7 (902) 439-66-00</t>
  </si>
  <si>
    <t>Дизайн интерьеров, Строительные и отделочные работы, Студия дизайна</t>
  </si>
  <si>
    <t>http://vk.com/brigadir12com</t>
  </si>
  <si>
    <t>Автостекла, автоцентр Оланд</t>
  </si>
  <si>
    <t>Тонирование стекол</t>
  </si>
  <si>
    <t>47.852276 56.623806</t>
  </si>
  <si>
    <t>Южный</t>
  </si>
  <si>
    <t>+7 (8362) 70-01-00</t>
  </si>
  <si>
    <t>https://www.instagram.com/yujnoe12/</t>
  </si>
  <si>
    <t>47.825477 56.625548</t>
  </si>
  <si>
    <t>Шанти</t>
  </si>
  <si>
    <t>+7 (917) 701-21-21</t>
  </si>
  <si>
    <t>+7 (917) 704-15-34</t>
  </si>
  <si>
    <t xml:space="preserve">shv06@rambler.ru </t>
  </si>
  <si>
    <t>Zarina</t>
  </si>
  <si>
    <t>8 (800) 700-57-14</t>
  </si>
  <si>
    <t>+7 (987) 734-56-39, +7 (987) 718-47-87, +7 (917) 707-87-72</t>
  </si>
  <si>
    <t xml:space="preserve">info@zarina.ru, reklama_zarina@melonfashion.ru  </t>
  </si>
  <si>
    <t>https://zarina.ru/, https://zarina.ru/shops/yoshkar-ola/</t>
  </si>
  <si>
    <t>https://vk.com/zarinaofficial</t>
  </si>
  <si>
    <t>https://www.facebook.com/Zarinafashion</t>
  </si>
  <si>
    <t>https://www.youtube.com/user/ZarinaVideo</t>
  </si>
  <si>
    <t>https://www.instagram.com/zarina_fashion</t>
  </si>
  <si>
    <t>47.929748 56.625324</t>
  </si>
  <si>
    <t>Мастер Образа</t>
  </si>
  <si>
    <t>ул. Пушкина, 34АК2, Йошкар-Ола</t>
  </si>
  <si>
    <t>+7 (902) 325-21-10, +7 (937) 930-40-19, +7 (937) 930-19-40</t>
  </si>
  <si>
    <t>47.885381 56.634976</t>
  </si>
  <si>
    <t>Бэби-школа</t>
  </si>
  <si>
    <t>+7 (8362) 70-03-41</t>
  </si>
  <si>
    <t>+7 (937) 118-88-75</t>
  </si>
  <si>
    <t>пн-пт 07:30–20:00</t>
  </si>
  <si>
    <t>47.886933 56.639847</t>
  </si>
  <si>
    <t>Детская школа искусств № 2</t>
  </si>
  <si>
    <t>ул. Мира, 31А, Йошкар-Ола</t>
  </si>
  <si>
    <t>+7 (8362) 64-72-11, +7 (36226) 4-72-11, +7 (36226) 4-39-27</t>
  </si>
  <si>
    <t>+7 (8362) 64-39-27</t>
  </si>
  <si>
    <t xml:space="preserve">muzschkola2@yandex.ru  </t>
  </si>
  <si>
    <t>http://dshi2.mari-el.muzkult.ru/</t>
  </si>
  <si>
    <t>пн-сб 08:00–20:00; вс 09:00–15:00</t>
  </si>
  <si>
    <t>47.950951 56.624399</t>
  </si>
  <si>
    <t>Real техника</t>
  </si>
  <si>
    <t>+7 (917) 702-44-84</t>
  </si>
  <si>
    <t>47.894328 56.640612</t>
  </si>
  <si>
    <t>Визави</t>
  </si>
  <si>
    <t>+7 (8362) 70-55-08, +7 (8362) 44-07-35</t>
  </si>
  <si>
    <t>47.914504 56.627078</t>
  </si>
  <si>
    <t>Сернурский тракт, 18В, Йошкар-Ола</t>
  </si>
  <si>
    <t>+7 (8362) 23-20-12, +7 (8362) 23-04-75</t>
  </si>
  <si>
    <t xml:space="preserve">parus-lada@mail.ru, info@lada-parus.ru, info.mariel@lada-parus.ru  </t>
  </si>
  <si>
    <t>http://parus.lada.ru/</t>
  </si>
  <si>
    <t>пн-сб 08:00–20:00; вс 09:00–20:00</t>
  </si>
  <si>
    <t>https://vk.com/parus12</t>
  </si>
  <si>
    <t>https://twitter.com/paruslada12</t>
  </si>
  <si>
    <t>http://facebook.com/paruslada12</t>
  </si>
  <si>
    <t>https://www.instagram.com/paruslada12/</t>
  </si>
  <si>
    <t>47.937381 56.644703</t>
  </si>
  <si>
    <t>+7 (927) 871-72-33</t>
  </si>
  <si>
    <t>47.864462 56.646627</t>
  </si>
  <si>
    <t>Угона. нет</t>
  </si>
  <si>
    <t>+7 (8362) 66-10-10</t>
  </si>
  <si>
    <t>+7 (902) 439-10-10</t>
  </si>
  <si>
    <t xml:space="preserve">nik@ugona.net  </t>
  </si>
  <si>
    <t>https://mariel.ugona.net/, https://661010.ru/</t>
  </si>
  <si>
    <t>Автоаксессуары, Автоакустика, Автосигнализация, Магазин электроники, Тонирование стекол</t>
  </si>
  <si>
    <t>https://vk.com/ugonanetyola</t>
  </si>
  <si>
    <t>https://www.facebook.com/Угонанет-582072695173014</t>
  </si>
  <si>
    <t>https://www.instagram.com/ugonanet</t>
  </si>
  <si>
    <t>47.858983 56.639792</t>
  </si>
  <si>
    <t>Befree</t>
  </si>
  <si>
    <t>8 (800) 250-01-02, +7 (8362) 31-28-29</t>
  </si>
  <si>
    <t>+7 (917) 071-28-29</t>
  </si>
  <si>
    <t xml:space="preserve">nikolaevasv@melonfashion.com, ivanovaaa@melonfashion.com, urinama@melonfashion.com, info@befree.ru, reklama@befree.ru  </t>
  </si>
  <si>
    <t>https://befree.ru/</t>
  </si>
  <si>
    <t>Магазин галантереи и аксессуаров, Магазин обуви, Магазин одежды</t>
  </si>
  <si>
    <t>https://vk.com/club188663</t>
  </si>
  <si>
    <t>http://twitter.com/befree_fashion</t>
  </si>
  <si>
    <t>https://www.facebook.com/befreefashion</t>
  </si>
  <si>
    <t>https://www.youtube.com/user/befreenewsite</t>
  </si>
  <si>
    <t>https://www.instagram.com/befree_fashion</t>
  </si>
  <si>
    <t>47.929092 56.62795</t>
  </si>
  <si>
    <t>ул. Карла Либкнехта, 58, Йошкар-Ола</t>
  </si>
  <si>
    <t>+7 (8362) 46-30-11</t>
  </si>
  <si>
    <t>47.952764 56.640759</t>
  </si>
  <si>
    <t>+7 (8362) 35-07-77</t>
  </si>
  <si>
    <t>Безопасная школа</t>
  </si>
  <si>
    <t>+7 (8362) 30-46-00</t>
  </si>
  <si>
    <t>http://safety12.ru/</t>
  </si>
  <si>
    <t>Натяжные потолки Валенсия Групп</t>
  </si>
  <si>
    <t>Красноармейская ул., 115, Йошкар-Ола</t>
  </si>
  <si>
    <t>+7 (8362) 32-50-40, +7 (8362) 33-83-00</t>
  </si>
  <si>
    <t>Жалюзи и рулонные шторы, Кондиционеры, Натяжные и подвесные потолки, Окна</t>
  </si>
  <si>
    <t>пн-пт 09:00–18:00; сб,вс 09:00–12:00</t>
  </si>
  <si>
    <t>https://vk.com/club91226596</t>
  </si>
  <si>
    <t>47.853839 56.642871</t>
  </si>
  <si>
    <t>Ленинский просп., 25А, Йошкар-Ола</t>
  </si>
  <si>
    <t>+7 (902) 737-66-74</t>
  </si>
  <si>
    <t>пн-пт 09:00–21:00; сб,вс 10:00–18:00</t>
  </si>
  <si>
    <t>47.887014 56.630362</t>
  </si>
  <si>
    <t>Mode de luxe</t>
  </si>
  <si>
    <t>+7 (937) 117-60-12</t>
  </si>
  <si>
    <t>47.88576 56.63561</t>
  </si>
  <si>
    <t>Юнити</t>
  </si>
  <si>
    <t>+7 (8362) 31-46-90</t>
  </si>
  <si>
    <t>+7 (917) 707-67-87, +7 (917) 710-67-87</t>
  </si>
  <si>
    <t>Бетон, бетонные изделия, Кровля и кровельные материалы, Магазин сантехники, Отопительное оборудование и системы, Сухие строительные смеси, Фасады и фасадные системы</t>
  </si>
  <si>
    <t>47.9076 56.6142</t>
  </si>
  <si>
    <t>Суши Тайм</t>
  </si>
  <si>
    <t>+7 (8362) 32-38-08</t>
  </si>
  <si>
    <t>+7 (927) 882-38-08</t>
  </si>
  <si>
    <t>http://vk.com/styola</t>
  </si>
  <si>
    <t>Элен</t>
  </si>
  <si>
    <t>+7 (8362) 22-27-69</t>
  </si>
  <si>
    <t>пн-пт 08:00–19:00; сб 08:00–17:00; вс 09:00–15:00</t>
  </si>
  <si>
    <t>47.926336 56.63518</t>
  </si>
  <si>
    <t>Эдем</t>
  </si>
  <si>
    <t>8 (800) 201-43-35, +7 (8362) 23-01-33</t>
  </si>
  <si>
    <t xml:space="preserve">eshop@edemcosmetics.ru, stukova@scent.ru, mihaylova@scent.ru, pr.edem@scent.ru  </t>
  </si>
  <si>
    <t>https://www.edemcosmetics.ru/</t>
  </si>
  <si>
    <t>Бытовая химия оптом, Магазин парфюмерии и косметики</t>
  </si>
  <si>
    <t>http://vk.com/company_edem</t>
  </si>
  <si>
    <t>https://twitter.com/edem_shops</t>
  </si>
  <si>
    <t>http://instagram.com/edem_shops</t>
  </si>
  <si>
    <t>47.843411 56.64087</t>
  </si>
  <si>
    <t>Центр Маркетинговых Коммуникаций Media Trade</t>
  </si>
  <si>
    <t>+7 (906) 335-11-99</t>
  </si>
  <si>
    <t xml:space="preserve">mediatrade@ra-mediatrade.ru, yola@ra-mediatrade.ru, mp@ra-mediatrade.ru  </t>
  </si>
  <si>
    <t>http://ra-mediatrade.ru/</t>
  </si>
  <si>
    <t>Маркетинговые услуги, Почтовые рассылки, Рекламное агентство</t>
  </si>
  <si>
    <t>http://vk.com/ramediatrade</t>
  </si>
  <si>
    <t>+7 (962) 589-98-33, +7 (987) 707-20-64</t>
  </si>
  <si>
    <t xml:space="preserve">example@example.com  </t>
  </si>
  <si>
    <t>http://ribolov12.ru/</t>
  </si>
  <si>
    <t>Оружие и средства самозащиты, Товары для рыбалки</t>
  </si>
  <si>
    <t>пн-пт 09:00–18:30; сб 09:00–15:00</t>
  </si>
  <si>
    <t>https://vk.com/rybolov_12</t>
  </si>
  <si>
    <t>https://www.youtube.com/watch?t=126su0026v=Ov69_4blNi8</t>
  </si>
  <si>
    <t>ул. Степана Разина, 84, Йошкар-Ола</t>
  </si>
  <si>
    <t>+7 (8362) 41-58-10</t>
  </si>
  <si>
    <t xml:space="preserve">info@mysite.ru, y-ola_impuls@mail.ru  </t>
  </si>
  <si>
    <t>http://impuls12.ru/</t>
  </si>
  <si>
    <t>Антенны, Интернет-провайдер, Спутниковое телевидение</t>
  </si>
  <si>
    <t>47.883613 56.620858</t>
  </si>
  <si>
    <t>Альганика</t>
  </si>
  <si>
    <t>+7 (8362) 39-93-69</t>
  </si>
  <si>
    <t>+7 (927) 680-00-29</t>
  </si>
  <si>
    <t xml:space="preserve">spa@alganika.com, msk@alganika.com, nsk@alganika.com, kazan@alganika.com, tambov@alganika.com  </t>
  </si>
  <si>
    <t>http://alganika.com/</t>
  </si>
  <si>
    <t>Косметология, Магазин парфюмерии и косметики, СПА-салон</t>
  </si>
  <si>
    <t>47.893804 56.639166</t>
  </si>
  <si>
    <t>ДезМедСервис</t>
  </si>
  <si>
    <t>+7 (8362) 72-05-50, +7 (8362) 55-14-08</t>
  </si>
  <si>
    <t xml:space="preserve">dez-mari@mail.ru </t>
  </si>
  <si>
    <t>ул. Петрова, 22Б, Йошкар-Ола</t>
  </si>
  <si>
    <t>47.925538 56.638179</t>
  </si>
  <si>
    <t>Клуб 42</t>
  </si>
  <si>
    <t>ул. Крылова, 45В, Йошкар-Ола</t>
  </si>
  <si>
    <t>+7 (8362) 23-22-32</t>
  </si>
  <si>
    <t>https://vk.com/club_42_yo</t>
  </si>
  <si>
    <t>http://instagram.com/klub42</t>
  </si>
  <si>
    <t>47.8468 56.6197</t>
  </si>
  <si>
    <t>пн-пт 08:00–20:00; сб 09:00–18:00; вс 10:00–16:00</t>
  </si>
  <si>
    <t>47.939304 56.622761</t>
  </si>
  <si>
    <t>Firma</t>
  </si>
  <si>
    <t>ул. Волкова, 135, Йошкар-Ола</t>
  </si>
  <si>
    <t>+7 (967) 757-98-09</t>
  </si>
  <si>
    <t xml:space="preserve">tim@barberfirma.ru, feedback@barberfirma.ru </t>
  </si>
  <si>
    <t>http://barberfirma.ru/</t>
  </si>
  <si>
    <t>Барбершоп, Парикмахерская</t>
  </si>
  <si>
    <t>http://vk.com/firmayola</t>
  </si>
  <si>
    <t>http://instagram.com/firma_yola</t>
  </si>
  <si>
    <t>47.893327 56.632582</t>
  </si>
  <si>
    <t>PayAnyWay</t>
  </si>
  <si>
    <t>ул. Гоголя, 2А, Йошкар-Ола</t>
  </si>
  <si>
    <t>+7 (495) 646-58-48, +7 (495) 743-49-85</t>
  </si>
  <si>
    <t xml:space="preserve">business@support.payanyway.ru, tech@support.payanyway.ru  </t>
  </si>
  <si>
    <t>http://www.payanyway.ru/</t>
  </si>
  <si>
    <t>Электронная коммерция, Электронная платежная система</t>
  </si>
  <si>
    <t>47.898881 56.63009</t>
  </si>
  <si>
    <t>Автодевайс</t>
  </si>
  <si>
    <t>8 (800) 777-38-21, 8 (800) 333-79-87, +7 (8362) 96-42-42</t>
  </si>
  <si>
    <t>+7 (902) 102-02-80</t>
  </si>
  <si>
    <t xml:space="preserve">info@autodevice-nn.ru  </t>
  </si>
  <si>
    <t>https://autodevice.info/</t>
  </si>
  <si>
    <t>Автоаксессуары, Автоакустика, Автокресла</t>
  </si>
  <si>
    <t>https://vk.com/autodevice.club</t>
  </si>
  <si>
    <t>47.929102 56.627954</t>
  </si>
  <si>
    <t>Личный стилист по одежде Составление гардероба</t>
  </si>
  <si>
    <t>+7 (902) 325-75-28</t>
  </si>
  <si>
    <t>Визажисты, стилисты</t>
  </si>
  <si>
    <t>Блэр</t>
  </si>
  <si>
    <t>+7 (8362) 54-74-58</t>
  </si>
  <si>
    <t>Торговый центр Радуга</t>
  </si>
  <si>
    <t>47.925704 56.634326</t>
  </si>
  <si>
    <t>+7 (903) 358-16-32</t>
  </si>
  <si>
    <t xml:space="preserve">studioraduga@mail.ru  </t>
  </si>
  <si>
    <t>http://joshkar-ola.studioraduga.ru/</t>
  </si>
  <si>
    <t>https://vk.com/raduga_remont_ola</t>
  </si>
  <si>
    <t>Татуаж</t>
  </si>
  <si>
    <t>+7 (8362) 25-32-32</t>
  </si>
  <si>
    <t>Протек</t>
  </si>
  <si>
    <t>ул. Крылова, 42, корп. 10, Йошкар-Ола</t>
  </si>
  <si>
    <t>+7 (8362) 30-43-42, +7 (8362) 30-43-62</t>
  </si>
  <si>
    <t xml:space="preserve">info@protek-group.ru, protek@protek.ru  </t>
  </si>
  <si>
    <t>https://protek.ru/</t>
  </si>
  <si>
    <t>47.845835 56.621206</t>
  </si>
  <si>
    <t>Бель</t>
  </si>
  <si>
    <t>+7 (8362) 61-95-25</t>
  </si>
  <si>
    <t>Ногтевая студия, Салон красоты</t>
  </si>
  <si>
    <t>Зоомир, ветеринарная аптека</t>
  </si>
  <si>
    <t>+7 (8362) 46-86-85, +7 (8362) 29-66-01</t>
  </si>
  <si>
    <t>47.887261 56.647613</t>
  </si>
  <si>
    <t>Лед и пламень</t>
  </si>
  <si>
    <t>8 (800) 234-14-77, +7 (8362) 56-66-62</t>
  </si>
  <si>
    <t xml:space="preserve">i.koltsova@lediplamen.com, marketing@lediplamen.com, legal@lediplamen.com, sales@lediplamen.com  </t>
  </si>
  <si>
    <t>https://lediplamen.ru/, http://masterlediplamen.ru/, https://lediplamen.ru/catalog/instrumenty/, https://lediplamen.ru/catalog/nasosy/, https://lediplamen.ru/catalog/pechu/, https://lediplamen.ru/catalog/pribory-ucheta/, https://lediplamen.ru/catalog/tekhnika-dlya-sada-i-doma/, https://lediplamen.ru/catalog/trubnye-sistemy/, https://lediplamen.ru/catalog/vodosnabzhenie/, https://lediplamen.ru/catalog/zapchasti/</t>
  </si>
  <si>
    <t>пн-пт 09:00–19:00; сб 10:00–17:00; вс 10:00–15:00</t>
  </si>
  <si>
    <t>http://vk.com/lediplamen12</t>
  </si>
  <si>
    <t>http://instagram.com/led_i_plamen</t>
  </si>
  <si>
    <t>47.902005 56.641917</t>
  </si>
  <si>
    <t>Хитон</t>
  </si>
  <si>
    <t>+7 (8362) 42-58-97</t>
  </si>
  <si>
    <t>47.887003 56.647246</t>
  </si>
  <si>
    <t>ТеплоМастер</t>
  </si>
  <si>
    <t>Бетон, бетонные изделия, Строительный магазин</t>
  </si>
  <si>
    <t>Brc gas service</t>
  </si>
  <si>
    <t>2-я Деповская ул., 19А, Йошкар-Ола</t>
  </si>
  <si>
    <t>+7 (902) 329-65-65</t>
  </si>
  <si>
    <t xml:space="preserve">maxilpg12@gmail.com, avers-gas@rambler.ru, brc.izhevsk@yandex.ru, 3ainfo@gaz16.ru, info@gaz16.ru  </t>
  </si>
  <si>
    <t>http://brc-gas.su/</t>
  </si>
  <si>
    <t>Нефтегазовое оборудование</t>
  </si>
  <si>
    <t>47.871789 56.619112</t>
  </si>
  <si>
    <t>Свадебная флористика</t>
  </si>
  <si>
    <t>+7 (8362) 32-25-70</t>
  </si>
  <si>
    <t>Доставка цветов и букетов, Студия дизайна</t>
  </si>
  <si>
    <t>Mode de lux</t>
  </si>
  <si>
    <t>+7 (937) 118-23-78</t>
  </si>
  <si>
    <t>47.893257 56.638577</t>
  </si>
  <si>
    <t>Марпродсервис</t>
  </si>
  <si>
    <t>+7 (8362) 41-17-54, +7 (8362) 41-19-34</t>
  </si>
  <si>
    <t>Сезон</t>
  </si>
  <si>
    <t>+7 (8362) 90-38-46</t>
  </si>
  <si>
    <t>+7 (927) 682-71-63</t>
  </si>
  <si>
    <t>Ателье по пошиву одежды, Меховое ателье, Ремонт кожи</t>
  </si>
  <si>
    <t>47.895 56.640316</t>
  </si>
  <si>
    <t>Центр замены масла</t>
  </si>
  <si>
    <t>+7 (8362) 92-02-03</t>
  </si>
  <si>
    <t>+7 (902) 738-07-96</t>
  </si>
  <si>
    <t>Смазочные материалы, Шиномонтаж, Шины и диски</t>
  </si>
  <si>
    <t>47.8326 56.6427</t>
  </si>
  <si>
    <t>Чудо-детки</t>
  </si>
  <si>
    <t>+7 (961) 336-85-38</t>
  </si>
  <si>
    <t>Дизайн рекламной продукции</t>
  </si>
  <si>
    <t>+7 (917) 719-16-21</t>
  </si>
  <si>
    <t>47.914637 56.631738</t>
  </si>
  <si>
    <t>Нотариус Никитин Д. В.</t>
  </si>
  <si>
    <t>+7 (8362) 34-88-00</t>
  </si>
  <si>
    <t>пн-чт 09:30–17:00, перерыв 13:00–14:30; пт 09:30–13:00</t>
  </si>
  <si>
    <t>Orange baby</t>
  </si>
  <si>
    <t>+7 (8362) 91-79-10, +7 (8362) 39-44-71</t>
  </si>
  <si>
    <t>47.880195 56.637206</t>
  </si>
  <si>
    <t>+7 (8362) 33-27-72</t>
  </si>
  <si>
    <t>Бухгалтерские курсы, Юридические услуги</t>
  </si>
  <si>
    <t>Костромской завод автокомпонентов</t>
  </si>
  <si>
    <t>+7 (904) 724-44-15</t>
  </si>
  <si>
    <t xml:space="preserve">gaivoronsky@motordetal.ru, kuznetsov_av@motordetal.ru  </t>
  </si>
  <si>
    <t>Магазин автозапчастей и автотоваров, Производство и оптовая продажа автозапчастей, Сельскохозяйственная техника</t>
  </si>
  <si>
    <t>https://vk.com/motordetal</t>
  </si>
  <si>
    <t>47.892673 56.628961</t>
  </si>
  <si>
    <t>Экспресс-ателье</t>
  </si>
  <si>
    <t>+7 (917) 707-99-41</t>
  </si>
  <si>
    <t>пн-пт 10:00–18:00; сб,вс 10:00–16:00</t>
  </si>
  <si>
    <t>47.883394 56.638184</t>
  </si>
  <si>
    <t>МБУДО</t>
  </si>
  <si>
    <t>ул. Чкалова, 32А, Йошкар-Ола</t>
  </si>
  <si>
    <t>+7 (8362) 73-18-91, +7 (8362) 46-15-07</t>
  </si>
  <si>
    <t xml:space="preserve">lib6@mail.ru  </t>
  </si>
  <si>
    <t>http://dshi6.mari-el.muzkult.ru/</t>
  </si>
  <si>
    <t>47.844787 56.631722</t>
  </si>
  <si>
    <t>Магазин игрушек</t>
  </si>
  <si>
    <t>+7 (8362) 79-52-92, +7 (8362) 99-89-00</t>
  </si>
  <si>
    <t>Журавушка</t>
  </si>
  <si>
    <t>+7 (8362) 49-73-14</t>
  </si>
  <si>
    <t>+7 (903) 050-54-48</t>
  </si>
  <si>
    <t>47.820622 56.629912</t>
  </si>
  <si>
    <t>+7 (8362) 67-35-35</t>
  </si>
  <si>
    <t>+7 (937) 930-13-56</t>
  </si>
  <si>
    <t>47.893989 56.620398</t>
  </si>
  <si>
    <t>Сакура</t>
  </si>
  <si>
    <t>+7 (8362) 96-60-99</t>
  </si>
  <si>
    <t>47.838577 56.641557</t>
  </si>
  <si>
    <t>Chillout hookah club</t>
  </si>
  <si>
    <t>+7 (8362) 43-96-00</t>
  </si>
  <si>
    <t>Бар, паб, Кальян-бар, Клуб досуга</t>
  </si>
  <si>
    <t>https://vk.com/chillout_yo</t>
  </si>
  <si>
    <t>http://instagram.com/chillout_hookahclub</t>
  </si>
  <si>
    <t>47.897518 56.633952</t>
  </si>
  <si>
    <t>Бестлиману</t>
  </si>
  <si>
    <t>+7 (987) 700-51-43, +7 (902) 664-00-75, +7 (902) 744-11-36</t>
  </si>
  <si>
    <t>http://bestlimanu.ru/</t>
  </si>
  <si>
    <t>Ваш эвакуатор</t>
  </si>
  <si>
    <t>Фестивальная ул., 70В, Йошкар-Ола</t>
  </si>
  <si>
    <t>+7 (8362) 37-33-77</t>
  </si>
  <si>
    <t>+7 (902) 433-33-77</t>
  </si>
  <si>
    <t>47.832109 56.643931</t>
  </si>
  <si>
    <t>Творческая мастерская</t>
  </si>
  <si>
    <t>+7 (927) 680-50-20</t>
  </si>
  <si>
    <t>Музей истории города, туристическо-информационный центр</t>
  </si>
  <si>
    <t>8 (800) 222-11-05</t>
  </si>
  <si>
    <t xml:space="preserve">i-ola-visit@3x.ru, i-ola-visit@2x.ru, iolavisit@gmail.com  </t>
  </si>
  <si>
    <t>http://i-ola-visit.ru/</t>
  </si>
  <si>
    <t>Турагентство, Туристический инфоцентр</t>
  </si>
  <si>
    <t>пн-пт 08:00–17:00; сб,вс 10:00–16:00</t>
  </si>
  <si>
    <t>ул. Гончарова, 2, Йошкар-Ола</t>
  </si>
  <si>
    <t>47.889583 56.615258</t>
  </si>
  <si>
    <t>Советская ул., 45, Йошкар-Ола</t>
  </si>
  <si>
    <t>+7 (8362) 97-43-03</t>
  </si>
  <si>
    <t>Аккумуляторы и зарядные устройства, Магазин автозапчастей и автотоваров</t>
  </si>
  <si>
    <t>47.907442 56.646687</t>
  </si>
  <si>
    <t>Шоколад</t>
  </si>
  <si>
    <t>пн-пт 08:30–20:30; сб,вс 08:30–17:00</t>
  </si>
  <si>
    <t>47.928042 56.637192</t>
  </si>
  <si>
    <t>Женская консультация поликлиника № 4</t>
  </si>
  <si>
    <t>+7 (8362) 73-23-13, +7 (8362) 73-22-10, +7 (8362) 98-54-50</t>
  </si>
  <si>
    <t>Женская консультация</t>
  </si>
  <si>
    <t>47.8419 56.6357</t>
  </si>
  <si>
    <t>АН Премьер</t>
  </si>
  <si>
    <t>+7 (8362) 28-06-10</t>
  </si>
  <si>
    <t>+7 (987) 710-53-60</t>
  </si>
  <si>
    <t>Ола</t>
  </si>
  <si>
    <t>+7 (8362) 38-00-20</t>
  </si>
  <si>
    <t>Иномаркет</t>
  </si>
  <si>
    <t>+7 (8362) 44-45-95</t>
  </si>
  <si>
    <t>+7 (902) 744-45-95</t>
  </si>
  <si>
    <t>https://vk.com/inomarket12rus</t>
  </si>
  <si>
    <t>47.889645 56.64597</t>
  </si>
  <si>
    <t>Багдад</t>
  </si>
  <si>
    <t>+7 (927) 886-59-10, +7 (927) 871-59-57, +7 (964) 861-50-32</t>
  </si>
  <si>
    <t xml:space="preserve">info@dveribagdad.ru, dnsjudin@mail.ru  </t>
  </si>
  <si>
    <t>http://dveribagdad.ru/</t>
  </si>
  <si>
    <t>Ирэн</t>
  </si>
  <si>
    <t>+7 (937) 117-35-66</t>
  </si>
  <si>
    <t>Cargo</t>
  </si>
  <si>
    <t>+7 (8362) 45-21-00</t>
  </si>
  <si>
    <t>Гель-лак, ресницы, корейская косметика, Формула профи</t>
  </si>
  <si>
    <t>+7 (8362) 61-17-02</t>
  </si>
  <si>
    <t xml:space="preserve">formula-profi@inbox.ru </t>
  </si>
  <si>
    <t>https://vk.com/formula_profi_yola</t>
  </si>
  <si>
    <t>Тэкэндо</t>
  </si>
  <si>
    <t>+7 (917) 701-04-14</t>
  </si>
  <si>
    <t>ДЕЗ Сервис</t>
  </si>
  <si>
    <t>+7 (8362) 52-48-47</t>
  </si>
  <si>
    <t>http://dezservice12.ru/</t>
  </si>
  <si>
    <t>Бригада12</t>
  </si>
  <si>
    <t>+7 (937) 939-40-60</t>
  </si>
  <si>
    <t>https://brigada12.ru/</t>
  </si>
  <si>
    <t>Монтажные работы, Строительные и отделочные работы, Электромонтажные работы</t>
  </si>
  <si>
    <t>https://vk.com/brigada12_ru</t>
  </si>
  <si>
    <t>47.884067 56.655362</t>
  </si>
  <si>
    <t>НПП Урал-гранит</t>
  </si>
  <si>
    <t>+7 (8362) 73-38-23, +7 (8362) 41-84-22</t>
  </si>
  <si>
    <t xml:space="preserve">ural-granit2006@yandex.ru  </t>
  </si>
  <si>
    <t>http://ural-granit.ru/</t>
  </si>
  <si>
    <t>Металлообрабатывающее оборудование, Металлообработка</t>
  </si>
  <si>
    <t>+7 (917) 700-00-12</t>
  </si>
  <si>
    <t>47.932208 56.644076</t>
  </si>
  <si>
    <t>Центр жилья и ипотеки</t>
  </si>
  <si>
    <t>+7 (8362) 67-60-68</t>
  </si>
  <si>
    <t>МосКит</t>
  </si>
  <si>
    <t>ул. Героев Сталинградской Битвы, 90, корп. 1, Йошкар-Ола</t>
  </si>
  <si>
    <t>+7 (8362) 93-22-22</t>
  </si>
  <si>
    <t>+7 (906) 139-35-56, +7 (902) 465-11-20</t>
  </si>
  <si>
    <t>47.944335 56.618289</t>
  </si>
  <si>
    <t>АвтоMix</t>
  </si>
  <si>
    <t>+7 (8362) 25-95-60</t>
  </si>
  <si>
    <t>+7 (902) 435-95-60</t>
  </si>
  <si>
    <t>Автокосметика, автохимия, Магазин автозапчастей и автотоваров, Смазочные материалы</t>
  </si>
  <si>
    <t>47.947138 56.637516</t>
  </si>
  <si>
    <t>Телефон.ру</t>
  </si>
  <si>
    <t xml:space="preserve">shop@telefon.ru  </t>
  </si>
  <si>
    <t>http://telefon.ru/</t>
  </si>
  <si>
    <t>47.843602 56.640877</t>
  </si>
  <si>
    <t>Отдел Внедрения</t>
  </si>
  <si>
    <t>ул. Чернышевского, 1, Йошкар-Ола</t>
  </si>
  <si>
    <t>+7 (8362) 90-65-46</t>
  </si>
  <si>
    <t>+7 (917) 220-60-06</t>
  </si>
  <si>
    <t>47.897497 56.633659</t>
  </si>
  <si>
    <t>Мистер Сом</t>
  </si>
  <si>
    <t>+7 (8362) 39-06-33</t>
  </si>
  <si>
    <t>пн-пт 08:00–18:00; сб 09:00–17:00</t>
  </si>
  <si>
    <t>47.897003 56.618792</t>
  </si>
  <si>
    <t>Maxi plus</t>
  </si>
  <si>
    <t>ТеплоГрад</t>
  </si>
  <si>
    <t>+7 (8362) 64-00-37, +7 (8362) 45-52-21</t>
  </si>
  <si>
    <t>http://teplograd12.pulscen.ru/</t>
  </si>
  <si>
    <t>Магазин посуды, Оборудование для ресторанов, Отопительное оборудование и системы, Торговое оборудование</t>
  </si>
  <si>
    <t>Пресса</t>
  </si>
  <si>
    <t>Россия, Республика Марий Эл, Йошкар-Ола, бульвар Чавайна</t>
  </si>
  <si>
    <t>Точка продажи прессы</t>
  </si>
  <si>
    <t>47.893517 56.635783</t>
  </si>
  <si>
    <t>Ассоциация Саморегулируемая организация Гильдия строителей Республики Марий Эл</t>
  </si>
  <si>
    <t>+7 (8362) 38-13-81</t>
  </si>
  <si>
    <t>Саморегулируемая организация</t>
  </si>
  <si>
    <t>пн-пт 09:00–17:30, перерыв 12:00–12:30</t>
  </si>
  <si>
    <t>47.925518 56.640824</t>
  </si>
  <si>
    <t>+7 (902) 102-03-20</t>
  </si>
  <si>
    <t xml:space="preserve">info@tmph.ru  </t>
  </si>
  <si>
    <t>http://tmph-web.ru/</t>
  </si>
  <si>
    <t>Бизнес-консалтинг, Программное обеспечение</t>
  </si>
  <si>
    <t>+7 (999) 162-60-65</t>
  </si>
  <si>
    <t>Малярка +</t>
  </si>
  <si>
    <t>+7 (8362) 38-38-98</t>
  </si>
  <si>
    <t>Лакокрасочные материалы, Строительный магазин</t>
  </si>
  <si>
    <t>Мурзик</t>
  </si>
  <si>
    <t>+7 (8362) 35-23-23</t>
  </si>
  <si>
    <t>http://vk.com/muurzik12</t>
  </si>
  <si>
    <t>Махаон</t>
  </si>
  <si>
    <t>Булочная, пекарня, Кондитерская</t>
  </si>
  <si>
    <t>47.889075 56.642195</t>
  </si>
  <si>
    <t>Анаутстаф</t>
  </si>
  <si>
    <t>Йошкар-Ола, Свердловский тракт, 3, оф. 1</t>
  </si>
  <si>
    <t>+7 (902) 735-44-58</t>
  </si>
  <si>
    <t>Бетон, бетонные изделия</t>
  </si>
  <si>
    <t>47.8458 56.6563</t>
  </si>
  <si>
    <t>Мигрант</t>
  </si>
  <si>
    <t>+7 (8362) 36-11-10, +7 (8362) 20-61-29</t>
  </si>
  <si>
    <t>Миграционные услуги</t>
  </si>
  <si>
    <t>Текстиль Опт Торг</t>
  </si>
  <si>
    <t>+7 (903) 389-99-71</t>
  </si>
  <si>
    <t>Магазин ткани, Производство и продажа тканей</t>
  </si>
  <si>
    <t>ул. Карла Либкнехта, 110, Йошкар-Ола</t>
  </si>
  <si>
    <t>+7 (8362) 66-61-08</t>
  </si>
  <si>
    <t>+7 (902) 439-24-04</t>
  </si>
  <si>
    <t>47.93369 56.624742</t>
  </si>
  <si>
    <t>Мыльный рай</t>
  </si>
  <si>
    <t>+7 (917) 702-05-15</t>
  </si>
  <si>
    <t>Магазин парфюмерии и косметики, Магазин подарков и сувениров</t>
  </si>
  <si>
    <t>47.886147 56.63552</t>
  </si>
  <si>
    <t>Банкротство физических лиц</t>
  </si>
  <si>
    <t>+7 (8362) 66-26-64</t>
  </si>
  <si>
    <t>пн-пт 08:30–19:00; сб 10:00–15:00</t>
  </si>
  <si>
    <t>Амелия</t>
  </si>
  <si>
    <t>+7 (927) 684-00-74</t>
  </si>
  <si>
    <t>Магазин белья и купальников, Магазин галантереи и аксессуаров</t>
  </si>
  <si>
    <t>47.929094 56.627957</t>
  </si>
  <si>
    <t>Посудная Лавка</t>
  </si>
  <si>
    <t>47.882108 56.631475</t>
  </si>
  <si>
    <t>+7 (987) 706-37-80, +7 (960) 096-24-02</t>
  </si>
  <si>
    <t>пн-пт 09:30–18:30; сб 09:30–18:00; вс 09:30–17:30</t>
  </si>
  <si>
    <t>http://vk.com/mebeler21</t>
  </si>
  <si>
    <t>47.900537 56.63864</t>
  </si>
  <si>
    <t>Окна и двери на Серова</t>
  </si>
  <si>
    <t>+7 (8362) 43-37-34</t>
  </si>
  <si>
    <t>47.899267 56.651567</t>
  </si>
  <si>
    <t>Mykids. online</t>
  </si>
  <si>
    <t>+7 (8362) 32-80-48</t>
  </si>
  <si>
    <t xml:space="preserve">tm@reg.ru, sales@mycompany.ru, user@example.ru, you@yourcompany.com, test@example.com, test@test.ru, test@test.com, ncc@test.ru, ntest@test.ru, adm-group@newtime.ru </t>
  </si>
  <si>
    <t>http://mykids.online/</t>
  </si>
  <si>
    <t>Детский магазин, Магазин детской одежды, Магазин одежды</t>
  </si>
  <si>
    <t>пн-пт 11:00–18:00; сб,вс 11:00–15:00</t>
  </si>
  <si>
    <t>http://vk.com/mykids.online</t>
  </si>
  <si>
    <t>Техносфера</t>
  </si>
  <si>
    <t>+7 (8362) 45-00-76, +7 (8362) 45-26-39</t>
  </si>
  <si>
    <t>+7 (8362) 45-00-76</t>
  </si>
  <si>
    <t>Школяры</t>
  </si>
  <si>
    <t>+7 (8362) 39-96-14</t>
  </si>
  <si>
    <t>Канцтовары оптом, Магазин канцтоваров</t>
  </si>
  <si>
    <t>+7 (8362) 39-43-53</t>
  </si>
  <si>
    <t xml:space="preserve">394353@mail.ru </t>
  </si>
  <si>
    <t>пн-пт 10:00–16:00, перерыв 12:00–13:00</t>
  </si>
  <si>
    <t>ЦентрГрузоподъемнойТехники</t>
  </si>
  <si>
    <t>Кокшайский пр., 30, Йошкар-Ола</t>
  </si>
  <si>
    <t>8 (800) 555-66-90, +7 (8362) 90-00-20</t>
  </si>
  <si>
    <t xml:space="preserve">info@pogruzi12.ru  </t>
  </si>
  <si>
    <t>https://pogruzi12.ru/</t>
  </si>
  <si>
    <t>Дорожно-строительная техника, Складское оборудование, Спецтехника и спецавтомобили</t>
  </si>
  <si>
    <t>47.8783 56.61296</t>
  </si>
  <si>
    <t>Красноармейская слобода, 56А, Йошкар-Ола</t>
  </si>
  <si>
    <t>+7 (8362) 52-61-01</t>
  </si>
  <si>
    <t>+7 (960) 090-03-32</t>
  </si>
  <si>
    <t>https://vk.com/chaihanavostok</t>
  </si>
  <si>
    <t>47.917994 56.643298</t>
  </si>
  <si>
    <t>47.892655 56.638784</t>
  </si>
  <si>
    <t>Новая мебель</t>
  </si>
  <si>
    <t>+7 (8362) 25-40-35</t>
  </si>
  <si>
    <t xml:space="preserve">674867@inbox.ru  </t>
  </si>
  <si>
    <t>вт-сб 10:00–17:00</t>
  </si>
  <si>
    <t>https://vk.com/novmebel12</t>
  </si>
  <si>
    <t>https://www.facebook.com/novaiamebel12</t>
  </si>
  <si>
    <t>https://www.instagram.com/novmebel</t>
  </si>
  <si>
    <t>47.9169 56.6316</t>
  </si>
  <si>
    <t>Чайная</t>
  </si>
  <si>
    <t>+7 (8362) 54-05-00</t>
  </si>
  <si>
    <t>Кофейня, Магазин чая и кофе</t>
  </si>
  <si>
    <t>47.898762 56.637102</t>
  </si>
  <si>
    <t>Calvin Klein Jeans</t>
  </si>
  <si>
    <t xml:space="preserve">vopros@bns-group.ru  </t>
  </si>
  <si>
    <t>https://www.calvinklein.ru/, http://bns-group.ru/, http://explore.calvinklein.com/</t>
  </si>
  <si>
    <t>47.887805 56.631738</t>
  </si>
  <si>
    <t>Собор Воскресения Христова</t>
  </si>
  <si>
    <t>Вознесенская ул., 45, Йошкар-Ола</t>
  </si>
  <si>
    <t>+7 (8362) 70-00-44</t>
  </si>
  <si>
    <t>http://vosksenski1-ola.cerkov.ru/</t>
  </si>
  <si>
    <t>ср-вс 08:00–19:00</t>
  </si>
  <si>
    <t>http://vk.com/soboryola</t>
  </si>
  <si>
    <t>47.903039 56.637025</t>
  </si>
  <si>
    <t>Магазин сладкий мир</t>
  </si>
  <si>
    <t>47.884078 56.632785</t>
  </si>
  <si>
    <t>ВолгаПласт</t>
  </si>
  <si>
    <t>Магазин мебели, Оптовый магазин, Строительный магазин</t>
  </si>
  <si>
    <t>Тур в один клик</t>
  </si>
  <si>
    <t>+7 (964) 862-22-06</t>
  </si>
  <si>
    <t>ЛюксЭлектро</t>
  </si>
  <si>
    <t>+7 (8362) 98-06-26</t>
  </si>
  <si>
    <t>+7 (927) 887-50-97</t>
  </si>
  <si>
    <t>пн-пт 07:00–19:00; сб,вс 08:00–18:00</t>
  </si>
  <si>
    <t>47.894805 56.638728</t>
  </si>
  <si>
    <t>Часовня Троицы Живоначальной при Воскресенском соборе в Йошкар-Оле</t>
  </si>
  <si>
    <t>47.903402 56.636655</t>
  </si>
  <si>
    <t>ЖЭУК № 3</t>
  </si>
  <si>
    <t>+7 (8362) 45-13-81, +7 (8362) 23-27-07</t>
  </si>
  <si>
    <t>47.894982 56.630679</t>
  </si>
  <si>
    <t>Эстель</t>
  </si>
  <si>
    <t>47.884112 56.620775</t>
  </si>
  <si>
    <t>ул. Рябинина, 24, Йошкар-Ола</t>
  </si>
  <si>
    <t>47.873655 56.637149</t>
  </si>
  <si>
    <t>+7 (8362) 39-20-79</t>
  </si>
  <si>
    <t>Ремонт № 1</t>
  </si>
  <si>
    <t>+7 (917) 704-18-05</t>
  </si>
  <si>
    <t>Дизайн интерьеров, Натяжные и подвесные потолки, Строительные и отделочные работы</t>
  </si>
  <si>
    <t>https://vk.com/remont_yoshkar_ola</t>
  </si>
  <si>
    <t>https://ok.ru/group/52876728991948</t>
  </si>
  <si>
    <t>Постельное бельё</t>
  </si>
  <si>
    <t>Магазин постельных принадлежностей</t>
  </si>
  <si>
    <t>47.88681 56.633184</t>
  </si>
  <si>
    <t>Салон Альт</t>
  </si>
  <si>
    <t>+7 (8362) 44-89-98, +7 (8362) 43-53-40</t>
  </si>
  <si>
    <t>Жалюзи и рулонные шторы, Рольставни</t>
  </si>
  <si>
    <t>+7 (937) 933-66-29</t>
  </si>
  <si>
    <t>+7 (8362) 30-63-42</t>
  </si>
  <si>
    <t>47.926884 56.631768</t>
  </si>
  <si>
    <t>ул. Героев Сталинградской Битвы, 33Б, Йошкар-Ола</t>
  </si>
  <si>
    <t>Кондитерская, Магазин кулинарии</t>
  </si>
  <si>
    <t>47.946673 56.625417</t>
  </si>
  <si>
    <t>Альфа-Линк 12</t>
  </si>
  <si>
    <t>+7 (987) 710-07-71</t>
  </si>
  <si>
    <t xml:space="preserve">alfalink12@mail.ru, policy@mysite.ru  </t>
  </si>
  <si>
    <t>https://vk.com/club105019030</t>
  </si>
  <si>
    <t>https://ok.ru/group/53856973422697</t>
  </si>
  <si>
    <t>Звениговский</t>
  </si>
  <si>
    <t>8 (800) 707-88-88</t>
  </si>
  <si>
    <t xml:space="preserve">info@zvenigov.com  </t>
  </si>
  <si>
    <t>http://zvenigov.com/</t>
  </si>
  <si>
    <t>47.935006 56.624122</t>
  </si>
  <si>
    <t>Коттедж групп</t>
  </si>
  <si>
    <t>+7 (8362) 34-72-99, +7 (8362) 40-20-03</t>
  </si>
  <si>
    <t>Симфония цвета</t>
  </si>
  <si>
    <t>47.892523 56.638112</t>
  </si>
  <si>
    <t>Пивмаг</t>
  </si>
  <si>
    <t>+7 (8362) 39-83-96</t>
  </si>
  <si>
    <t xml:space="preserve">mycompany@co.com, infology@gmail.com, support@dmirtiydyakov.ru  </t>
  </si>
  <si>
    <t>http://pivo12.ru/</t>
  </si>
  <si>
    <t>47.855067 56.644115</t>
  </si>
  <si>
    <t>Шыл кевыт</t>
  </si>
  <si>
    <t>пн-сб 08:00–20:00; вс 08:00–19:30</t>
  </si>
  <si>
    <t>47.898278 56.636364</t>
  </si>
  <si>
    <t>Автостэлс</t>
  </si>
  <si>
    <t>+7 (8362) 30-11-11, +7 (4752) 70-01-15</t>
  </si>
  <si>
    <t xml:space="preserve">autostels@autostels.ru, dl@autostels.ru, sev@autostels.ru, sm_sales@autostels.ru, sm_zapros@autostels.ru  </t>
  </si>
  <si>
    <t>http://www.autostels.ru/</t>
  </si>
  <si>
    <t>Магазин автозапчастей и автотоваров, Производство и оптовая продажа автозапчастей</t>
  </si>
  <si>
    <t>Гешефт</t>
  </si>
  <si>
    <t>Магазин табака и курительных принадлежностей</t>
  </si>
  <si>
    <t>47.883991 56.633037</t>
  </si>
  <si>
    <t>Монолит</t>
  </si>
  <si>
    <t>Городское благоустройство, Производственное предприятие, Строительный магазин</t>
  </si>
  <si>
    <t>47.84 56.6258</t>
  </si>
  <si>
    <t>Amza</t>
  </si>
  <si>
    <t>ежедневно, 09:00–18:00, перерыв 12:00–13:00</t>
  </si>
  <si>
    <t>Автоправовая помощь</t>
  </si>
  <si>
    <t>+7 (8362) 51-55-77</t>
  </si>
  <si>
    <t>ежедневно, 00:00–17:00</t>
  </si>
  <si>
    <t>Для Вашего здоровья</t>
  </si>
  <si>
    <t>Центр юридической защиты</t>
  </si>
  <si>
    <t>+7 (8362) 40-14-25</t>
  </si>
  <si>
    <t xml:space="preserve">c.u.z@mail.ru  </t>
  </si>
  <si>
    <t>https://vk.com/yurist_yola</t>
  </si>
  <si>
    <t>https://www.facebook.com/yuristyola</t>
  </si>
  <si>
    <t>47.888308 56.63144</t>
  </si>
  <si>
    <t>Двери Один</t>
  </si>
  <si>
    <t>+7 (987) 725-51-20</t>
  </si>
  <si>
    <t>Линолеум Ламинат</t>
  </si>
  <si>
    <t>+7 (8362) 36-55-00, +7 (8352) 28-04-05, +7 (8362) 36-55-22</t>
  </si>
  <si>
    <t>http://csnab21.ru/</t>
  </si>
  <si>
    <t>Ламинат, Линолеум</t>
  </si>
  <si>
    <t>Сварочные аппараты Йошкар-Ола</t>
  </si>
  <si>
    <t>+7 (917) 070-01-79</t>
  </si>
  <si>
    <t xml:space="preserve">info@apparat-svarka.ru </t>
  </si>
  <si>
    <t>http://yoshkarola.apparat-svarka.ru/</t>
  </si>
  <si>
    <t>пн-пт 07:00–17:00</t>
  </si>
  <si>
    <t>47.87625 56.620464</t>
  </si>
  <si>
    <t>Интернет-магазин Очаг</t>
  </si>
  <si>
    <t>Новый пер., 31, Йошкар-Ола</t>
  </si>
  <si>
    <t>8 (800) 200-05-97</t>
  </si>
  <si>
    <t xml:space="preserve">info@toplivobriket.ru, help@toplivobriket.ru  </t>
  </si>
  <si>
    <t>http://toplivobriket.ru/</t>
  </si>
  <si>
    <t>Деревообрабатывающее предприятие, Интернет-магазин, Оптовая компания, Пиломатериалы</t>
  </si>
  <si>
    <t>47.857325 56.656658</t>
  </si>
  <si>
    <t>пн-пт 08:00–19:00; сб,вс 10:00–18:00</t>
  </si>
  <si>
    <t>Виза</t>
  </si>
  <si>
    <t>+7 (8362) 45-33-86</t>
  </si>
  <si>
    <t>+7 (927) 883-42-94</t>
  </si>
  <si>
    <t xml:space="preserve">oooviza@bk.ru  </t>
  </si>
  <si>
    <t>http://viza12.ru/</t>
  </si>
  <si>
    <t>+7 (964) 861-53-04</t>
  </si>
  <si>
    <t>47.871505 56.629379</t>
  </si>
  <si>
    <t>ГАЗ на авто</t>
  </si>
  <si>
    <t>+7 (8362) 97-80-24</t>
  </si>
  <si>
    <t>+7 (902) 737-80-24</t>
  </si>
  <si>
    <t>Установка ГБО</t>
  </si>
  <si>
    <t>47.901583 56.646375</t>
  </si>
  <si>
    <t>БалконСервис</t>
  </si>
  <si>
    <t>+7 (937) 939-50-70</t>
  </si>
  <si>
    <t>http://www.balkonservis12.com/</t>
  </si>
  <si>
    <t>Окна, Остекление балконов и лоджий, Строительные и отделочные работы</t>
  </si>
  <si>
    <t>47.957163 56.650666</t>
  </si>
  <si>
    <t>Инкомтех</t>
  </si>
  <si>
    <t>ул. Зарубина, 15, Йошкар-Ола</t>
  </si>
  <si>
    <t>+7 (927) 882-89-99</t>
  </si>
  <si>
    <t>http://inkomteh.ru/</t>
  </si>
  <si>
    <t>47.88042 56.627644</t>
  </si>
  <si>
    <t>Целитель</t>
  </si>
  <si>
    <t>+7 (906) 139-89-09</t>
  </si>
  <si>
    <t>http://kl6233.polzdr.ru/</t>
  </si>
  <si>
    <t>+7 (961) 334-84-36</t>
  </si>
  <si>
    <t>47.889652 56.642784</t>
  </si>
  <si>
    <t>Студия Уф-печати</t>
  </si>
  <si>
    <t>Красноармейская слобода, 44А, Йошкар-Ола</t>
  </si>
  <si>
    <t>+7 (8362) 26-61-85</t>
  </si>
  <si>
    <t xml:space="preserve">andrygood@mail.ru </t>
  </si>
  <si>
    <t>Полиграфические услуги, Широкоформатная печать</t>
  </si>
  <si>
    <t>47.91382 56.642003</t>
  </si>
  <si>
    <t>Стабильность</t>
  </si>
  <si>
    <t>+7 (902) 124-23-48, +7 (902) 108-02-01, +7 (939) 722-85-00, +7 (902) 326-35-66, +7 (902) 437-72-26, +7 (909) 367-18-53, +7 (902) 433-39-88</t>
  </si>
  <si>
    <t>https://vk.com/kpkstabilnost</t>
  </si>
  <si>
    <t>47.887129 56.639028</t>
  </si>
  <si>
    <t>Гардиан</t>
  </si>
  <si>
    <t>+7 (8362) 42-51-51, +7 (8362) 42-55-01</t>
  </si>
  <si>
    <t xml:space="preserve">ds12@guardian.ru, doors@guardian.ru, export@guardian.ru </t>
  </si>
  <si>
    <t>https://guardian.ru/, https://guardian.ru/dilerskaya-set/yoshkar-ola/rossiya-respublika-mariy-el-yoshkar-ola-sovetskaya-ulitsa-121/</t>
  </si>
  <si>
    <t>https://vk.com/guardianru</t>
  </si>
  <si>
    <t>https://www.ok.ru/guardianru</t>
  </si>
  <si>
    <t>https://www.twitter.com/www_guardian_ru</t>
  </si>
  <si>
    <t>https://www.facebook.com/www.guardian.ru</t>
  </si>
  <si>
    <t>https://www.instagram.com/www_guardian_ru</t>
  </si>
  <si>
    <t>47.898568 56.636147</t>
  </si>
  <si>
    <t>М-Классик</t>
  </si>
  <si>
    <t>+7 (919) 418-86-35, +7 (987) 709-62-29</t>
  </si>
  <si>
    <t>Федерация Айкидо Марий Эл</t>
  </si>
  <si>
    <t>ул. Карла Маркса, 103А, Йошкар-Ола</t>
  </si>
  <si>
    <t>+7 (903) 326-91-79, +7 (960) 099-92-76, +7 (917) 717-20-85</t>
  </si>
  <si>
    <t>Avtoman</t>
  </si>
  <si>
    <t>Россия, Республика Марий Эл, Йошкар-Ола, улица Соловьёва</t>
  </si>
  <si>
    <t>+7 (987) 716-56-67, +7 (964) 862-25-22</t>
  </si>
  <si>
    <t>Автомобильные радиаторы, Автосервис, автотехцентр, Ремонт двигателей</t>
  </si>
  <si>
    <t>47.872317 56.62235</t>
  </si>
  <si>
    <t>Центр инструмента</t>
  </si>
  <si>
    <t>ул. Подольских Курсантов, 15, Йошкар-Ола</t>
  </si>
  <si>
    <t>+7 (8362) 93-08-59</t>
  </si>
  <si>
    <t>+7 (902) 124-08-59, +7 (917) 719-65-98</t>
  </si>
  <si>
    <t>Вездеходы, гидроциклы, снегоходы, Магазин хозтоваров и бытовой химии, Мотосалон, Товары для дома, Электро- и бензоинструмент</t>
  </si>
  <si>
    <t>пн-пт 09:30–17:00; сб 09:30–14:00</t>
  </si>
  <si>
    <t>47.865322 56.649712</t>
  </si>
  <si>
    <t>Магазин париков Элегант</t>
  </si>
  <si>
    <t>+7 (967) 756-75-11</t>
  </si>
  <si>
    <t>http://vk.com/parikipryadi</t>
  </si>
  <si>
    <t>+7 (987) 730-32-27</t>
  </si>
  <si>
    <t>47.85979 56.641863</t>
  </si>
  <si>
    <t>Consept</t>
  </si>
  <si>
    <t>Свадебный фотограф в Йошкар-Оле</t>
  </si>
  <si>
    <t>+7 (8362) 25-22-70</t>
  </si>
  <si>
    <t>+7 (902) 435-22-70</t>
  </si>
  <si>
    <t>http://apurtov.ru/</t>
  </si>
  <si>
    <t>47.894364 56.640574</t>
  </si>
  <si>
    <t>Проммашкомплект</t>
  </si>
  <si>
    <t>+7 (8362) 31-17-87</t>
  </si>
  <si>
    <t xml:space="preserve">info@prommashkomplekt.ru </t>
  </si>
  <si>
    <t>Звуковое и световое оборудование, Кабель и провод, Трубы и трубопроводная арматура</t>
  </si>
  <si>
    <t>Annel</t>
  </si>
  <si>
    <t>+7 (8362) 45-06-58</t>
  </si>
  <si>
    <t>+7 (917) 707-82-42, +7 (927) 883-07-93, +7 (902) 735-30-99</t>
  </si>
  <si>
    <t xml:space="preserve">annel2015@mail.ru, minzdrav@mari-el.ru, info@reg12.roszdravnadzor.ru, sanepid@12.rospotrebnadzor.ru  </t>
  </si>
  <si>
    <t>http://www.annel12.com/</t>
  </si>
  <si>
    <t>Детская поликлиника, Диагностический центр, Медцентр, клиника</t>
  </si>
  <si>
    <t>пн-пт 12:00–20:00</t>
  </si>
  <si>
    <t>ул. Гончарова, 15, Йошкар-Ола</t>
  </si>
  <si>
    <t>+7 (8362) 32-43-44, +7 (8362) 45-41-53</t>
  </si>
  <si>
    <t>Комбикорма и кормовые добавки, Мука и крупы, Продукты питания оптом</t>
  </si>
  <si>
    <t>47.886735 56.615724</t>
  </si>
  <si>
    <t>Мега Сити</t>
  </si>
  <si>
    <t>+7 (8362) 55-86-55</t>
  </si>
  <si>
    <t>47.88254 56.623222</t>
  </si>
  <si>
    <t>Колоранта</t>
  </si>
  <si>
    <t>Маркетинговые услуги, Рекламное агентство</t>
  </si>
  <si>
    <t>Coffee Like</t>
  </si>
  <si>
    <t>8 (800) 333-41-30, +7 (3412) 90-82-92</t>
  </si>
  <si>
    <t xml:space="preserve">hotline@coffee-like.com, hr@coffee-like.com  </t>
  </si>
  <si>
    <t>http://coffee-like.com/, https://store.coffee-like.com/</t>
  </si>
  <si>
    <t>http://vk.com/coffeelikeru</t>
  </si>
  <si>
    <t>47.930173 56.627807</t>
  </si>
  <si>
    <t>Аляска</t>
  </si>
  <si>
    <t>47.885422 56.636593</t>
  </si>
  <si>
    <t>Новинка, пункт приёма</t>
  </si>
  <si>
    <t>+7 (964) 861-59-77</t>
  </si>
  <si>
    <t>вт-пт 10:00–18:00; сб 10:00–14:00</t>
  </si>
  <si>
    <t>Салон ванных комнат</t>
  </si>
  <si>
    <t>+7 (8362) 38-34-34</t>
  </si>
  <si>
    <t xml:space="preserve">sg_dem73@mail.ru, nfo@stroygrad12.ru, komarik.olya92@gmail.com  </t>
  </si>
  <si>
    <t>http://svk.stroygrad12.ru/</t>
  </si>
  <si>
    <t>Керамическая плитка, Магазин сантехники, Мебель для ванных комнат</t>
  </si>
  <si>
    <t>https://www.instagram.com/salon_vann_komnat?igshid=1od555..</t>
  </si>
  <si>
    <t>47.935107 56.624595</t>
  </si>
  <si>
    <t>47.89432 56.640611</t>
  </si>
  <si>
    <t>MarketingTime Йошкар-Ола</t>
  </si>
  <si>
    <t>+7 (906) 336-73-11, +7 (964) 861-14-29, +7 (927) 882-13-34</t>
  </si>
  <si>
    <t xml:space="preserve">info@marketingtime.ru  </t>
  </si>
  <si>
    <t>http://kazan.marketingtime.ru/</t>
  </si>
  <si>
    <t>Интернет-маркетинг, Маркетинговые услуги, Рекламное агентство, Студия веб-дизайна</t>
  </si>
  <si>
    <t>47.88972 56.645996</t>
  </si>
  <si>
    <t>47.896536 56.628621</t>
  </si>
  <si>
    <t>47.844139 56.641676</t>
  </si>
  <si>
    <t>Управление механизации строительства</t>
  </si>
  <si>
    <t>+7 (8362) 63-04-01, +7 (8362) 73-28-83, +7 (8362) 31-38-49</t>
  </si>
  <si>
    <t>+7 (8362) 63-04-12</t>
  </si>
  <si>
    <t xml:space="preserve">oaoums@gmail.com  </t>
  </si>
  <si>
    <t>http://oaoums.ru/</t>
  </si>
  <si>
    <t>47.842718 56.627404</t>
  </si>
  <si>
    <t>47.885754 56.636847</t>
  </si>
  <si>
    <t>Ноутбук-сити</t>
  </si>
  <si>
    <t>+7 (8362) 46-25-25</t>
  </si>
  <si>
    <t>пн-пт 10:00–19:00, перерыв 13:00–14:00; сб 10:00–16:00, перерыв 13:00–14:00</t>
  </si>
  <si>
    <t>47.886598 56.643081</t>
  </si>
  <si>
    <t>Домовая кухня</t>
  </si>
  <si>
    <t>+7 (8362) 52-82-28</t>
  </si>
  <si>
    <t>+7 (967) 757-18-38</t>
  </si>
  <si>
    <t>http://domkuh12.ru/</t>
  </si>
  <si>
    <t>Кафе, Кондитерская, Кофейня, Магазин кулинарии</t>
  </si>
  <si>
    <t>47.897055 56.644414</t>
  </si>
  <si>
    <t>8 (800) 333-22-44, +7 (8362) 42-27-53, +7 (8362) 42-07-37</t>
  </si>
  <si>
    <t>Cobrico</t>
  </si>
  <si>
    <t>+7 (987) 707-20-09</t>
  </si>
  <si>
    <t>пн-пт 11:00–19:00; сб,вс 11:00–00:18</t>
  </si>
  <si>
    <t>Парикмахерская Хелена</t>
  </si>
  <si>
    <t>+7 (8362) 50-20-43</t>
  </si>
  <si>
    <t>+7 (961) 337-11-07, +7 (987) 721-95-89</t>
  </si>
  <si>
    <t>Визажисты, стилисты, Парикмахерская</t>
  </si>
  <si>
    <t>Квест-клуб Панdoorум</t>
  </si>
  <si>
    <t>+7 (902) 326-48-98</t>
  </si>
  <si>
    <t>http://pandoorum.ru/</t>
  </si>
  <si>
    <t>Квесты, Организация и проведение детских праздников, Развлекательный центр</t>
  </si>
  <si>
    <t>ежедневно, 12:00–23:00</t>
  </si>
  <si>
    <t>http://vk.com/pandoorum</t>
  </si>
  <si>
    <t>Промышленный альпинизм И. П. Бурков И. П.</t>
  </si>
  <si>
    <t>47.905884 56.628075</t>
  </si>
  <si>
    <t>Цербер</t>
  </si>
  <si>
    <t>+7 (8362) 38-40-30, +7 (8362) 38-40-31</t>
  </si>
  <si>
    <t>Аварийная лифтовая служба</t>
  </si>
  <si>
    <t>+7 (8362) 23-00-43</t>
  </si>
  <si>
    <t>Аварийная служба</t>
  </si>
  <si>
    <t>Центрофинанс</t>
  </si>
  <si>
    <t>8 (800) 777-37-37</t>
  </si>
  <si>
    <t>+7 (917) 716-68-63</t>
  </si>
  <si>
    <t xml:space="preserve">info@centrofinans.ru, n.puzina@centrofinans.ru  </t>
  </si>
  <si>
    <t>https://centrofinans.ru/</t>
  </si>
  <si>
    <t>пн-пт 09:00–19:00, перерыв 13:00–14:00; сб,вс 09:00–18:00, перерыв 13:00–14:00</t>
  </si>
  <si>
    <t>https://vk.com/centrofinans</t>
  </si>
  <si>
    <t>https://ok.ru/centrofinans</t>
  </si>
  <si>
    <t>https://twitter.com/centrofinans</t>
  </si>
  <si>
    <t>https://www.facebook.com/centrofinans</t>
  </si>
  <si>
    <t>https://www.youtube.com/c/CentrofinansRu_88007773737</t>
  </si>
  <si>
    <t>https://www.instagram.com/centrofinans</t>
  </si>
  <si>
    <t>Ремонт бензо- и электроинструмента</t>
  </si>
  <si>
    <t xml:space="preserve">ru@hostinger.com </t>
  </si>
  <si>
    <t>Ремонт садовой техники, Ремонт электрооборудования, Электро- и бензоинструмент</t>
  </si>
  <si>
    <t>47.948737 56.62907</t>
  </si>
  <si>
    <t>ул. Петрова, 24А, Йошкар-Ола</t>
  </si>
  <si>
    <t>47.924131 56.638666</t>
  </si>
  <si>
    <t>Чулочно-трикотажная фабрика Чебоксарский трикотаж</t>
  </si>
  <si>
    <t>ул. Баумана, 11Б, Йошкар-Ола</t>
  </si>
  <si>
    <t>47.8456 56.6411</t>
  </si>
  <si>
    <t>Азбука красоты</t>
  </si>
  <si>
    <t>+7 (929) 734-52-79</t>
  </si>
  <si>
    <t>Pashok Garage</t>
  </si>
  <si>
    <t>ул. Баумана, 100, корп. 3, Йошкар-Ола</t>
  </si>
  <si>
    <t>+7 (8362) 54-30-54</t>
  </si>
  <si>
    <t>+7 (964) 864-30-54</t>
  </si>
  <si>
    <t xml:space="preserve">zip.emr@tatar.ru, alabuga@tatar.ru, apparat.emr@mail.ru, sovetemr@mail.ru, kamilla1007@mail.ru, 31007emr@mail.ru, emrpog@mail.ru, press-smi@mail.ru, rustem.shayfutdinov@tatar.ru, ilsiyar75@bk.ru </t>
  </si>
  <si>
    <t>Авторазбор, Автосервис, автотехцентр, Ремонт двигателей</t>
  </si>
  <si>
    <t>вт-вс 09:00–21:00</t>
  </si>
  <si>
    <t>47.855519 56.628213</t>
  </si>
  <si>
    <t>Ближе к телу</t>
  </si>
  <si>
    <t>ул. Зарубина, 47, Йошкар-Ола</t>
  </si>
  <si>
    <t>пн-пт 10:00–19:00; сб 10:00–17:00; вс 10:00–16:00</t>
  </si>
  <si>
    <t>47.867694 56.637416</t>
  </si>
  <si>
    <t>Мега сити</t>
  </si>
  <si>
    <t>Ленинский просп., 26А, Йошкар-Ола</t>
  </si>
  <si>
    <t>Магазин галантереи и аксессуаров, Магазин детской одежды, Магазин обуви, Магазин одежды, Магазин постельных принадлежностей, Магазин сумок и чемоданов</t>
  </si>
  <si>
    <t>47.883752 56.632574</t>
  </si>
  <si>
    <t>Imperial</t>
  </si>
  <si>
    <t>Хука Плейс</t>
  </si>
  <si>
    <t>+7 (964) 863-90-00</t>
  </si>
  <si>
    <t xml:space="preserve">franchise.hookahplace@gmail.com  </t>
  </si>
  <si>
    <t>https://ioshkarla.hookahplace.ru/yo, https://hookahplace.ru/</t>
  </si>
  <si>
    <t>Антикафе, Бар, паб, Кальян-бар</t>
  </si>
  <si>
    <t>пн-чт 12:00–01:00; пт,сб 12:00–04:00; вс 12:00–01:00</t>
  </si>
  <si>
    <t>https://vk.com/hookahplacetv</t>
  </si>
  <si>
    <t>https://www.facebook.com/hookahplaceglobal</t>
  </si>
  <si>
    <t>https://www.instagram.com/hookahplaceofficial</t>
  </si>
  <si>
    <t>47.896372 56.63559</t>
  </si>
  <si>
    <t>+7 (902) 329-40-25</t>
  </si>
  <si>
    <t>Дизель</t>
  </si>
  <si>
    <t>ул. Мира, 113А, Йошкар-Ола</t>
  </si>
  <si>
    <t>+7 (927) 878-95-34</t>
  </si>
  <si>
    <t>47.93458 56.636961</t>
  </si>
  <si>
    <t>Санлайт Хаус</t>
  </si>
  <si>
    <t>+7 (8362) 43-44-88</t>
  </si>
  <si>
    <t>+7 (917) 717-05-22</t>
  </si>
  <si>
    <t xml:space="preserve">info@sunlight-house.ru  </t>
  </si>
  <si>
    <t>http://sunlight-house.ru/</t>
  </si>
  <si>
    <t>Бетон, бетонные изделия, Кирпич, Кровля и кровельные материалы, Облицовочные материалы, Строительная компания, Строительный магазин, Стройматериалы оптом</t>
  </si>
  <si>
    <t>https://vk.com/kachestvo_dom</t>
  </si>
  <si>
    <t>47.919992 56.635519</t>
  </si>
  <si>
    <t>Галантэя</t>
  </si>
  <si>
    <t>+7 (964) 864-83-28</t>
  </si>
  <si>
    <t>47.894323 56.640615</t>
  </si>
  <si>
    <t>+7 (8362) 39-12-83</t>
  </si>
  <si>
    <t>http://tekendo.com/</t>
  </si>
  <si>
    <t>47.928265 56.637159</t>
  </si>
  <si>
    <t>Фирма Интеграл</t>
  </si>
  <si>
    <t>+7 (8362) 41-83-83</t>
  </si>
  <si>
    <t xml:space="preserve">eco@integral.ru  </t>
  </si>
  <si>
    <t>https://integral.ru/</t>
  </si>
  <si>
    <t>https://vk.com/ecointegral</t>
  </si>
  <si>
    <t>https://ok.ru/group/ecointegral</t>
  </si>
  <si>
    <t>https://twitter.com/Integral_Ecolog</t>
  </si>
  <si>
    <t>https://www.facebook.com/integraleco</t>
  </si>
  <si>
    <t>https://www.youtube.com/channel/UCwS2upWnw6n6yNNknJdtFiw</t>
  </si>
  <si>
    <t>https://www.instagram.com/ecointegral</t>
  </si>
  <si>
    <t>Акцент</t>
  </si>
  <si>
    <t>+7 (8362) 37-70-00</t>
  </si>
  <si>
    <t>Оборудование и материалы для салонов красоты</t>
  </si>
  <si>
    <t>47.89274 56.638751</t>
  </si>
  <si>
    <t>Bencom</t>
  </si>
  <si>
    <t>+7 (929) 734-55-00</t>
  </si>
  <si>
    <t>http://gudsoft.ru/</t>
  </si>
  <si>
    <t>Shellak12</t>
  </si>
  <si>
    <t>+7 (964) 864-58-49</t>
  </si>
  <si>
    <t xml:space="preserve">shellak12@mail.ru  </t>
  </si>
  <si>
    <t>https://vk.com/shellak12</t>
  </si>
  <si>
    <t>Контора</t>
  </si>
  <si>
    <t>+7 (8362) 33-83-39, +7 (8362) 32-90-80</t>
  </si>
  <si>
    <t>+7 (927) 883-83-39, +7 (927) 882-90-80</t>
  </si>
  <si>
    <t xml:space="preserve">iromanser@gmail.com  </t>
  </si>
  <si>
    <t>https://coworking12.ru/</t>
  </si>
  <si>
    <t>Коворкинг</t>
  </si>
  <si>
    <t>47.888842 56.633306</t>
  </si>
  <si>
    <t>Жэук Звездная</t>
  </si>
  <si>
    <t>Звёздная ул., 12А, Йошкар-Ола</t>
  </si>
  <si>
    <t>+7 (8362) 43-22-88, +7 (8362) 22-93-95</t>
  </si>
  <si>
    <t xml:space="preserve">du.zvezdnaya@yandex.ru  </t>
  </si>
  <si>
    <t>http://du-zvezdnaya.ru/</t>
  </si>
  <si>
    <t>вт,чт 08:00–19:00, перерыв 12:00–13:00</t>
  </si>
  <si>
    <t>47.967799 56.61346</t>
  </si>
  <si>
    <t>Линтек</t>
  </si>
  <si>
    <t>+7 (8362) 32-08-01</t>
  </si>
  <si>
    <t xml:space="preserve">320801@inbox.ru  </t>
  </si>
  <si>
    <t>http://yousrub.ru/</t>
  </si>
  <si>
    <t>Кулинармаркет Простая еда</t>
  </si>
  <si>
    <t xml:space="preserve">mail@mail.ru, ok@tu12.ru, prostayaeda@tu12.ru  </t>
  </si>
  <si>
    <t>https://prostayaeda.ru/</t>
  </si>
  <si>
    <t>Быстрое питание, Кофейня, Магазин кулинарии</t>
  </si>
  <si>
    <t>https://vk.com/prostayaeda_km</t>
  </si>
  <si>
    <t>https://www.instagram.com/prostayaeda_km/</t>
  </si>
  <si>
    <t>47.884389 56.633358</t>
  </si>
  <si>
    <t>Лидия</t>
  </si>
  <si>
    <t>Городской сервисный центр</t>
  </si>
  <si>
    <t>+7 (905) 117-73-26</t>
  </si>
  <si>
    <t>http://ola.remont-stiral.ru/</t>
  </si>
  <si>
    <t>DaVinci12</t>
  </si>
  <si>
    <t>+7 (937) 116-00-00</t>
  </si>
  <si>
    <t xml:space="preserve">davinci12@inbox.ru  </t>
  </si>
  <si>
    <t>http://davinci12.ru/</t>
  </si>
  <si>
    <t>Гипсовые изделия, Декоративные покрытия, Строительный магазин</t>
  </si>
  <si>
    <t>http://www.instagram.com/davinci12.ru/</t>
  </si>
  <si>
    <t>47.870738 56.625581</t>
  </si>
  <si>
    <t>Пролетарская ул., 47, Йошкар-Ола</t>
  </si>
  <si>
    <t>+7 (927) 683-19-22</t>
  </si>
  <si>
    <t>пн-пт 10:00–20:00</t>
  </si>
  <si>
    <t>47.88599 56.646529</t>
  </si>
  <si>
    <t>Микас - мастерская по ремонту телефонов, планшетов и ноутбуков</t>
  </si>
  <si>
    <t>+7 (8362) 66-66-65</t>
  </si>
  <si>
    <t>+7 (987) 703-76-66</t>
  </si>
  <si>
    <t>пн-пт 08:30–18:00; сб,вс 09:00–17:00</t>
  </si>
  <si>
    <t>https://www.instagram.com/micas_service/</t>
  </si>
  <si>
    <t>ул. Петрова, 18Б, Йошкар-Ола</t>
  </si>
  <si>
    <t>+7 (8362) 39-07-74</t>
  </si>
  <si>
    <t>Детская мебель, Корпусная мебель, Магазин мебели, Мебель для офиса, Мягкая мебель</t>
  </si>
  <si>
    <t>47.9238 56.6345</t>
  </si>
  <si>
    <t>Учебный центр ГАЗ-нефть-технологии Поволжье</t>
  </si>
  <si>
    <t>+7 (8362) 24-32-44</t>
  </si>
  <si>
    <t>Дополнительное образование, Учебный центр, Центр повышения квалификации</t>
  </si>
  <si>
    <t>Ампир</t>
  </si>
  <si>
    <t>Сернурский тракт, 16, Йошкар-Ола</t>
  </si>
  <si>
    <t>+7 (8362) 64-98-26, +7 (8362) 98-72-16</t>
  </si>
  <si>
    <t>+7 (999) 609-46-92</t>
  </si>
  <si>
    <t xml:space="preserve">info@ampir-mari.ru  </t>
  </si>
  <si>
    <t>http://ampir-mari.ru/</t>
  </si>
  <si>
    <t>47.938943 56.643796</t>
  </si>
  <si>
    <t>Deluxe</t>
  </si>
  <si>
    <t>+7 (8362) 36-12-15</t>
  </si>
  <si>
    <t xml:space="preserve">svmalt@yandex.ru  </t>
  </si>
  <si>
    <t>https://vk.com/deluxe_12</t>
  </si>
  <si>
    <t>Городская аптека</t>
  </si>
  <si>
    <t>+7 (8362) 45-21-37</t>
  </si>
  <si>
    <t>47.896141 56.641248</t>
  </si>
  <si>
    <t>Керхер Карекс</t>
  </si>
  <si>
    <t>8 (800) 555-88-18, +7 (8362) 45-70-60, +7 (8362) 45-55-55, +7 (8362) 56-62-20, +7 (8352) 56-62-20</t>
  </si>
  <si>
    <t xml:space="preserve">info@karex.ru, shopsverd@karex.spb.ru, shopligov@karex.spb.ru, shopvas@karex.spb.ru, shopbab@karex.spb.ru  </t>
  </si>
  <si>
    <t>https://karex.ru/, https://karex.ru/about/retail/yoshkar_ola/</t>
  </si>
  <si>
    <t>Автомоечное оборудование, Клининговое оборудование и инвентарь, Магазин бытовой техники</t>
  </si>
  <si>
    <t>https://vk.com/gk.karex</t>
  </si>
  <si>
    <t>https://www.facebook.com/Karex.ru</t>
  </si>
  <si>
    <t>https://www.youtube.com/channel/UC0G0zCXxh4_pTS-SuJ9lewA?view_as=subscriber</t>
  </si>
  <si>
    <t>https://www.instagram.com/karex_russia/</t>
  </si>
  <si>
    <t>47.894262 56.629393</t>
  </si>
  <si>
    <t>Минимаркет 1000 мелочей</t>
  </si>
  <si>
    <t>Универмаг</t>
  </si>
  <si>
    <t>47.890094 56.646286</t>
  </si>
  <si>
    <t>Васенев и Ко</t>
  </si>
  <si>
    <t>+7 (927) 882-82-58</t>
  </si>
  <si>
    <t>Бытовые услуги, Ремонт обуви</t>
  </si>
  <si>
    <t>пн-сб 09:00–19:00, перерыв 13:00–14:00</t>
  </si>
  <si>
    <t>47.845649 56.642358</t>
  </si>
  <si>
    <t>Терраса</t>
  </si>
  <si>
    <t>+7 (8362) 35-01-03, +7 (8362) 42-27-57</t>
  </si>
  <si>
    <t>пн-чт 07:00–00:00; пт,сб 07:00–01:00; вс 07:00–00:00</t>
  </si>
  <si>
    <t>https://vk.com/terrasa_stone</t>
  </si>
  <si>
    <t>https://www.facebook.com/%D0%9A%D0%B0%D1%84%D0%B5-%D0%A2%D0%B5%D1%80%D1%80%D0%B0%D1%81%D0%B0-740594562759383</t>
  </si>
  <si>
    <t>https://www.instagram.com/cafeterrasa</t>
  </si>
  <si>
    <t>47.890116 56.638756</t>
  </si>
  <si>
    <t>Копицвет</t>
  </si>
  <si>
    <t>ул. Рябинина, 7А, Йошкар-Ола</t>
  </si>
  <si>
    <t>+7 (8362) 94-17-73</t>
  </si>
  <si>
    <t>47.879118 56.639842</t>
  </si>
  <si>
    <t>Территориальная испытательная строительная лаборатория ФГБОУ ВПО Поволжский государственный технологический университет</t>
  </si>
  <si>
    <t>ул. Панфилова, 17, Йошкар-Ола</t>
  </si>
  <si>
    <t>+7 (8362) 68-28-02</t>
  </si>
  <si>
    <t>+7 (987) 708-79-61</t>
  </si>
  <si>
    <t xml:space="preserve">stroylab12@mail.ru, ansernik3@gmail.com  </t>
  </si>
  <si>
    <t>http://stroylab12.ru/</t>
  </si>
  <si>
    <t>Строительная экспертиза и технадзор, Судебно-медицинская экспертиза</t>
  </si>
  <si>
    <t>47.883663 56.62404</t>
  </si>
  <si>
    <t>Страховой Дом ВСК</t>
  </si>
  <si>
    <t>8 (800) 775-15-75, 8 (800) 775-77-51, 8 (800) 100-00-50, 8 (800) 775-14-41, 8 (800) 200-14-41</t>
  </si>
  <si>
    <t xml:space="preserve">webpay@vsk.ru, 24h@mldc-nt.ru  </t>
  </si>
  <si>
    <t>https://shop.vsk.ru/?utm_campaign=sl_vsk_shop_media_pin-branding_y-map_8_2020_ruu0026utm_content=00728-0001u0026utm_medium=staticu0026utm_source=yandexu0026vskcampain=vsk-2020u0026vskpaid=paidu0026vskpartnert=noneu0026vskproduct=noneu0026vskpromo=noneu0026vsksource=yandex-map, https://shop.vsk.ru/?utm_campaign=sl_vsk_all_media_banner__1_2020_u0026utm_content=00625-0001u0026utm_medium=cpmu0026utm_source=yandex_k50u0026vskcampain=vsk-2020u0026vskpaid=paidu0026vskpartnert=noneu0026vskproduct=noneu0026vskpromo=noneu0026vsksource=yandex-geo</t>
  </si>
  <si>
    <t>пн-чт 09:00–18:00, перерыв 13:00–14:00; пт 09:00–16:45</t>
  </si>
  <si>
    <t>https://www.instagram.com/vsk.insurance</t>
  </si>
  <si>
    <t>47.875646 56.646452</t>
  </si>
  <si>
    <t>Носки для всей семьи</t>
  </si>
  <si>
    <t>47.894166 56.64152</t>
  </si>
  <si>
    <t>Виктория</t>
  </si>
  <si>
    <t>ул. Машиностроителей, 10, Йошкар-Ола</t>
  </si>
  <si>
    <t>+7 (8362) 93-02-52</t>
  </si>
  <si>
    <t>+7 (987) 728-87-27</t>
  </si>
  <si>
    <t>Двери, Магазин мебели, Натяжные и подвесные потолки, Строительные и отделочные работы</t>
  </si>
  <si>
    <t>47.873 56.6445</t>
  </si>
  <si>
    <t>+7 (8362) 23-03-89, +7 (8362) 23-03-84</t>
  </si>
  <si>
    <t>Магазин верхней одежды, Магазин кожи и меха</t>
  </si>
  <si>
    <t>https://vk.com/club91729659</t>
  </si>
  <si>
    <t>47.892911 56.637082</t>
  </si>
  <si>
    <t>Тахографы ГЛОНАСС</t>
  </si>
  <si>
    <t>+7 (8362) 42-41-41, +7 (8362) 39-43-23</t>
  </si>
  <si>
    <t>GPS-навигаторы, Автоаксессуары, Автомобильные тахографы</t>
  </si>
  <si>
    <t>Акварель</t>
  </si>
  <si>
    <t>+7 (8362) 97-70-05</t>
  </si>
  <si>
    <t>47.94346 56.634706</t>
  </si>
  <si>
    <t>Yota</t>
  </si>
  <si>
    <t>8 (800) 550-00-07, 8 (800) 550-49-55</t>
  </si>
  <si>
    <t xml:space="preserve">apakhomov@emdev.ru, mail@yota.ru, b2b@yota.ru  </t>
  </si>
  <si>
    <t>https://www.yota.ru/</t>
  </si>
  <si>
    <t>Интернет-провайдер, Оператор сотовой связи</t>
  </si>
  <si>
    <t>пн-сб 09:00–20:00; вс 10:00–20:00</t>
  </si>
  <si>
    <t>https://vk.com/yota</t>
  </si>
  <si>
    <t>https://twitter.com/yota_russia</t>
  </si>
  <si>
    <t>http://www.facebook.com/yota.russia</t>
  </si>
  <si>
    <t>https://www.instagram.com/yota/</t>
  </si>
  <si>
    <t>47.894358 56.640291</t>
  </si>
  <si>
    <t>МеталлЭнерго Северо-Запад</t>
  </si>
  <si>
    <t>8 (800) 200-15-56</t>
  </si>
  <si>
    <t xml:space="preserve">zakaz@metallenergonw.ru  </t>
  </si>
  <si>
    <t>http://www.metallenergonw.ru/</t>
  </si>
  <si>
    <t>Металлоизделия, Металлоконструкции, Энергетическая организация</t>
  </si>
  <si>
    <t>Cherry</t>
  </si>
  <si>
    <t>пн-сб 10:00–20:00; вс 10:00–19:00</t>
  </si>
  <si>
    <t>Варюша</t>
  </si>
  <si>
    <t>Ленинский просп., 52Б, Йошкар-Ола</t>
  </si>
  <si>
    <t>+7 (8362) 33-13-33</t>
  </si>
  <si>
    <t xml:space="preserve">opt@rolbot.ru, post@rolbot.ru </t>
  </si>
  <si>
    <t>http://варюша12.рф/?from=yandex_maps</t>
  </si>
  <si>
    <t>Автокресла, Детский магазин, Магазин детской одежды</t>
  </si>
  <si>
    <t>https://vk.com/varyusha12</t>
  </si>
  <si>
    <t>47.877591 56.635684</t>
  </si>
  <si>
    <t>+7 (8362) 56-10-57</t>
  </si>
  <si>
    <t>Крепежные изделия, Строительный инструмент</t>
  </si>
  <si>
    <t>пн-пт 08:00–17:45; сб 08:00–15:00</t>
  </si>
  <si>
    <t>47.920013 56.635481</t>
  </si>
  <si>
    <t>Фасоль</t>
  </si>
  <si>
    <t>+7 (8362) 45-87-00</t>
  </si>
  <si>
    <t xml:space="preserve">interior@robinsonpark.net, outdoor@robinsonpark.net, outdor@robinsonpark.net, terrasa@robinsonpark.net, garden@robinsonpark.net, tyres@robinsonpark.net, industry@robinsonpark.net, bike@robinsonpark.net, fishing@robinsonpark.net, zoo@robinsonpark.net </t>
  </si>
  <si>
    <t>https://myfasol.ru/</t>
  </si>
  <si>
    <t>47.896056 56.641141</t>
  </si>
  <si>
    <t>Мармелад</t>
  </si>
  <si>
    <t>Красноармейская ул., 120, Йошкар-Ола</t>
  </si>
  <si>
    <t>+7 (939) 726-20-17, +7 (902) 107-51-31, +7 (917) 715-18-65</t>
  </si>
  <si>
    <t>47.853102 56.64347</t>
  </si>
  <si>
    <t>Стройсервис</t>
  </si>
  <si>
    <t>+7 (8362) 45-78-41, +7 (8362) 70-18-34</t>
  </si>
  <si>
    <t>Джелато Шоколато</t>
  </si>
  <si>
    <t>8 (800) 550-69-49</t>
  </si>
  <si>
    <t>+7 (987) 722-51-35</t>
  </si>
  <si>
    <t xml:space="preserve">fran@gelato-shokolato.ru, horeca@gelato-shokolato.ru, logist@gelato-shokolato.ru, tehnolog@gelato-shokolato.ru, marketing@gelato-shokolato.ru, dir@gelato-shokolato.ru </t>
  </si>
  <si>
    <t>http://gelato-shokolato.ru/</t>
  </si>
  <si>
    <t>Кафе, Мороженое</t>
  </si>
  <si>
    <t>https://vk.com/gelato12</t>
  </si>
  <si>
    <t>https://www.youtube.com/watch?v=xxUfkPIftug</t>
  </si>
  <si>
    <t>47.93 56.6279</t>
  </si>
  <si>
    <t>СДЭК</t>
  </si>
  <si>
    <t>8 (800) 250-04-05, 8 (800) 250-14-05, +7 (8362) 37-43-74</t>
  </si>
  <si>
    <t>+7 (987) 713-28-88, +7 (987) 712-36-63</t>
  </si>
  <si>
    <t xml:space="preserve">a.torzhkov@cdek.ru, cdek-msk@cdek.ru, g.shurupova@cdek.ru, sv.prostyakov@cdek.ru  </t>
  </si>
  <si>
    <t>https://www.cdek.ru/, http://www.edostavka.ru/</t>
  </si>
  <si>
    <t>https://vk.com/cdek_express</t>
  </si>
  <si>
    <t>https://twitter.com/edostavka</t>
  </si>
  <si>
    <t>http://www.facebook.com/edostavka</t>
  </si>
  <si>
    <t>http://instagram.com/cdek_official</t>
  </si>
  <si>
    <t>47.884233 56.638847</t>
  </si>
  <si>
    <t>Всё для вэйпинга</t>
  </si>
  <si>
    <t>+7 (927) 876-28-88</t>
  </si>
  <si>
    <t>Вейп шоп, Ремонт электронных сигарет</t>
  </si>
  <si>
    <t>ежедневно, 09:00–20:00, перерыв 14:00–14:30</t>
  </si>
  <si>
    <t>http://vk.com/el_cigar_yo</t>
  </si>
  <si>
    <t>47.895029 56.640273</t>
  </si>
  <si>
    <t>СК Респект</t>
  </si>
  <si>
    <t>8 (800) 707-07-10</t>
  </si>
  <si>
    <t xml:space="preserve">20info@mos-adresa.ru, info@mos-adresa.ru, polis@respect-polis.ru  </t>
  </si>
  <si>
    <t>http://www.respect-polis.ru/branches/dopolnitelnyy-ofis-yoshkar-ola</t>
  </si>
  <si>
    <t>ул. Рябинина, 33, Йошкар-Ола</t>
  </si>
  <si>
    <t>47.869042 56.634941</t>
  </si>
  <si>
    <t>Bookahandmade</t>
  </si>
  <si>
    <t>+7 (8362) 31-69-31</t>
  </si>
  <si>
    <t>+7 (917) 716-42-86</t>
  </si>
  <si>
    <t xml:space="preserve">79177164286@ya.ru </t>
  </si>
  <si>
    <t>Интернет-магазин, Книжный магазин, Магазин канцтоваров, Магазин подарков и сувениров, Учебная литература</t>
  </si>
  <si>
    <t>ул. Пушкина, 34, Йошкар-Ола</t>
  </si>
  <si>
    <t>пн-пт 07:00–18:40; сб,вс 08:00–18:00</t>
  </si>
  <si>
    <t>47.885242 56.634787</t>
  </si>
  <si>
    <t>Aplus</t>
  </si>
  <si>
    <t>Vis-A-Vis</t>
  </si>
  <si>
    <t xml:space="preserve">info@madamoda.ru  </t>
  </si>
  <si>
    <t>https://visavis-fashion.ru/</t>
  </si>
  <si>
    <t>https://www.instagram.com/visavis_fashion</t>
  </si>
  <si>
    <t>47.887951 56.631735</t>
  </si>
  <si>
    <t>ГлавПечьТорг</t>
  </si>
  <si>
    <t>+7 (8362) 90-71-25</t>
  </si>
  <si>
    <t xml:space="preserve">kotel@zota.ru  </t>
  </si>
  <si>
    <t>http://glavpechtorg.ru/</t>
  </si>
  <si>
    <t>Камины, печи, Отопительное оборудование и системы, Товары для бани и сауны</t>
  </si>
  <si>
    <t>пн-сб 09:00–18:30; вс 09:00–16:00</t>
  </si>
  <si>
    <t>+7 (8362) 41-42-21</t>
  </si>
  <si>
    <t>https://vk.com/zolotaya_izuminka</t>
  </si>
  <si>
    <t>47.892738 56.638754</t>
  </si>
  <si>
    <t>Промтек</t>
  </si>
  <si>
    <t>+7 (960) 093-93-33</t>
  </si>
  <si>
    <t>+7 (8362) 45-00-37, +7 (8362) 41-14-71, +7 (8362) 45-68-53</t>
  </si>
  <si>
    <t>ежедневно, 12:00–00:00</t>
  </si>
  <si>
    <t>47.874585 56.635553</t>
  </si>
  <si>
    <t>Лего Дом</t>
  </si>
  <si>
    <t>ул. Гончарова, 4, Йошкар-Ола</t>
  </si>
  <si>
    <t>+7 (8362) 35-45-75</t>
  </si>
  <si>
    <t>Фасады и фасадные системы</t>
  </si>
  <si>
    <t>47.888802 56.615525</t>
  </si>
  <si>
    <t>Телефонные системы</t>
  </si>
  <si>
    <t>+7 (8362) 33-70-50, +7 (499) 322-03-95</t>
  </si>
  <si>
    <t xml:space="preserve">sales@komunikator.ru, support@komunikator.ru  </t>
  </si>
  <si>
    <t>http://komunikator.ru/</t>
  </si>
  <si>
    <t>IP-телефония</t>
  </si>
  <si>
    <t>http://vk.com/komunikator_ru</t>
  </si>
  <si>
    <t>http://twitter.com/komunikator_ru</t>
  </si>
  <si>
    <t>http://www.facebook.com/KomunikatorRu/</t>
  </si>
  <si>
    <t>Автозапчасти Gogauto.ru</t>
  </si>
  <si>
    <t>+7 (987) 733-42-23</t>
  </si>
  <si>
    <t xml:space="preserve">shop@gogauto.ru  </t>
  </si>
  <si>
    <t>https://gogauto.ru/</t>
  </si>
  <si>
    <t>пн-пт 10:00–19:00; сб,вс 11:00–17:00</t>
  </si>
  <si>
    <t>http://vk.com/pp.vzhk</t>
  </si>
  <si>
    <t>http://twitter.com/@gogautoru</t>
  </si>
  <si>
    <t>http://facebook.com/groups/gogauto</t>
  </si>
  <si>
    <t>http://instagram.com/gogauto.ru</t>
  </si>
  <si>
    <t>Оптималь</t>
  </si>
  <si>
    <t>ул. Ломоносова, 2Д, Йошкар-Ола</t>
  </si>
  <si>
    <t>+7 (8362) 50-30-30, +7 (8362) 56-57-44</t>
  </si>
  <si>
    <t>47.877662 56.614119</t>
  </si>
  <si>
    <t>Автоцентр</t>
  </si>
  <si>
    <t>+7 (8362) 61-07-07</t>
  </si>
  <si>
    <t>Автомойка, Автосалон, Выкуп автомобилей, Кузовной ремонт</t>
  </si>
  <si>
    <t>ул. Строителей, 88В, Йошкар-Ола</t>
  </si>
  <si>
    <t>+7 (927) 875-38-36, +7 (999) 145-14-53</t>
  </si>
  <si>
    <t>47.845172 56.624603</t>
  </si>
  <si>
    <t>ул. Энгельса, 29, Йошкар-Ола</t>
  </si>
  <si>
    <t>+7 (8362) 52-45-11</t>
  </si>
  <si>
    <t>+7 (902) 102-66-66</t>
  </si>
  <si>
    <t>47.956074 56.618618</t>
  </si>
  <si>
    <t>Gtc12</t>
  </si>
  <si>
    <t>+7 (8362) 52-28-28, +7 (8362) 78-19-16</t>
  </si>
  <si>
    <t xml:space="preserve">master@gtc12.ru  </t>
  </si>
  <si>
    <t>http://gtc12.ru/</t>
  </si>
  <si>
    <t>Автосигнализация, Автостекла, Тонирование стекол</t>
  </si>
  <si>
    <t>http://vk.com/gtc12</t>
  </si>
  <si>
    <t>47.860145 56.639149</t>
  </si>
  <si>
    <t>+7 (902) 437-11-92</t>
  </si>
  <si>
    <t>Lada Dеталь</t>
  </si>
  <si>
    <t>+7 (929) 734-67-34</t>
  </si>
  <si>
    <t xml:space="preserve">oav1983@yandex.ru  </t>
  </si>
  <si>
    <t>http://lada-detail.ru/</t>
  </si>
  <si>
    <t>https://vk.com/lada_detal12</t>
  </si>
  <si>
    <t>47.958182 56.650793</t>
  </si>
  <si>
    <t>Метизы</t>
  </si>
  <si>
    <t>+7 (8362) 41-28-60, +7 (8362) 29-91-39</t>
  </si>
  <si>
    <t>Инструментальная промышленность, Крепежные изделия</t>
  </si>
  <si>
    <t>Автодиспетчерская</t>
  </si>
  <si>
    <t xml:space="preserve">specteh12rus@mail.ru  </t>
  </si>
  <si>
    <t>Аренда строительной и спецтехники, Строительный магазин</t>
  </si>
  <si>
    <t>http://vk.com/specteh12rus</t>
  </si>
  <si>
    <t>Библиотека информационно-образовательных ресурсов</t>
  </si>
  <si>
    <t>+7 (8362) 41-01-01, +7 (8362) 41-11-01</t>
  </si>
  <si>
    <t>Добрая баня</t>
  </si>
  <si>
    <t>Комсомольская ул., 4, Йошкар-Ола</t>
  </si>
  <si>
    <t>+7 (964) 861-15-55</t>
  </si>
  <si>
    <t>47.904971 56.65459</t>
  </si>
  <si>
    <t>Пионер</t>
  </si>
  <si>
    <t>ул. Машиностроителей, 16, Йошкар-Ола</t>
  </si>
  <si>
    <t>+7 (8362) 48-00-48</t>
  </si>
  <si>
    <t xml:space="preserve">zc@2gis.ru  </t>
  </si>
  <si>
    <t>ежедневно, 15:00–23:00</t>
  </si>
  <si>
    <t>http://vk.com/public_pioner_yo</t>
  </si>
  <si>
    <t>47.871903 56.642646</t>
  </si>
  <si>
    <t>Детский магазин, Магазин парфюмерии и косметики, Магазин посуды, Магазин хозтоваров и бытовой химии</t>
  </si>
  <si>
    <t>47.835566 56.635753</t>
  </si>
  <si>
    <t>Победа</t>
  </si>
  <si>
    <t>+7 (917) 715-92-37</t>
  </si>
  <si>
    <t>Магазин мебели, Мягкая мебель</t>
  </si>
  <si>
    <t>47.925759 56.63421</t>
  </si>
  <si>
    <t>Ленинский просп., 38/4, Йошкар-Ола</t>
  </si>
  <si>
    <t>47.8795 56.632956</t>
  </si>
  <si>
    <t>Церковь Воскресения Христова в Йошкар-Оле</t>
  </si>
  <si>
    <t>Вознесенская ул., 29, Йошкар-Ола</t>
  </si>
  <si>
    <t>47.90433 56.639879</t>
  </si>
  <si>
    <t>Кухонные уголки Йошкар-Ола</t>
  </si>
  <si>
    <t>+7 (8362) 31-17-95</t>
  </si>
  <si>
    <t xml:space="preserve">info@toruda.ru  </t>
  </si>
  <si>
    <t>http://yoshkarola.kuhon-ugolok.ru/</t>
  </si>
  <si>
    <t>Мебель для кухни</t>
  </si>
  <si>
    <t>+7 (8362) 62-62-30</t>
  </si>
  <si>
    <t>47.84314 56.641827</t>
  </si>
  <si>
    <t>Катафалк</t>
  </si>
  <si>
    <t>просп. Гагарина, 12, Йошкар-Ола</t>
  </si>
  <si>
    <t>+7 (967) 470-21-84</t>
  </si>
  <si>
    <t>47.885855 56.627287</t>
  </si>
  <si>
    <t>Kari</t>
  </si>
  <si>
    <t>8 (800) 200-10-63</t>
  </si>
  <si>
    <t>https://kari.com/</t>
  </si>
  <si>
    <t>https://vk.com/kariclub</t>
  </si>
  <si>
    <t>https://ok.ru/kari.shop</t>
  </si>
  <si>
    <t>https://twitter.com/KARI_SHOP1</t>
  </si>
  <si>
    <t>https://www.youtube.com/user/shopkari</t>
  </si>
  <si>
    <t>47.844013 56.641047</t>
  </si>
  <si>
    <t>МегаСити</t>
  </si>
  <si>
    <t>Магазин одежды, Торговый центр</t>
  </si>
  <si>
    <t>47.896909 56.628433</t>
  </si>
  <si>
    <t>Клиника красоты Beunique</t>
  </si>
  <si>
    <t>+7 (8362) 33-00-77</t>
  </si>
  <si>
    <t>+7 (927) 883-00-77</t>
  </si>
  <si>
    <t xml:space="preserve">info@beunique12.ru  </t>
  </si>
  <si>
    <t>http://www.beunique12.ru/</t>
  </si>
  <si>
    <t>Косметология, Ногтевая студия, Парикмахерская</t>
  </si>
  <si>
    <t>http://vk.com/beunique12yola</t>
  </si>
  <si>
    <t>https://www.facebook.com/profile.php?id=100015573870701</t>
  </si>
  <si>
    <t>https://www.youtube.com/channel/UCleIVKhBcxlpeb8Yn_d7r2A</t>
  </si>
  <si>
    <t>https://www.instagram.com/beunique12yola?igshid=rqw04087nc6w</t>
  </si>
  <si>
    <t>47.897518 56.631708</t>
  </si>
  <si>
    <t>Штурман</t>
  </si>
  <si>
    <t>Магазин табака и курительных принадлежностей, Магазин чая и кофе</t>
  </si>
  <si>
    <t>пн-пт 07:00–20:00; сб,вс 08:00–18:00</t>
  </si>
  <si>
    <t>47.884356 56.63359</t>
  </si>
  <si>
    <t>Almera-3c</t>
  </si>
  <si>
    <t>+7 (927) 683-17-52</t>
  </si>
  <si>
    <t>Незабудка</t>
  </si>
  <si>
    <t>+7 (8362) 41-33-52</t>
  </si>
  <si>
    <t>http://незабудка12.рф/</t>
  </si>
  <si>
    <t>пн-пт 08:00–18:00; сб 08:00–16:00</t>
  </si>
  <si>
    <t>47.896459 56.632356</t>
  </si>
  <si>
    <t>Магазин Клен</t>
  </si>
  <si>
    <t>+7 (8362) 38-38-55, +7 (8362) 38-02-69</t>
  </si>
  <si>
    <t>+7 (917) 711-20-47</t>
  </si>
  <si>
    <t>Клининговое оборудование и инвентарь, Промышленная химия</t>
  </si>
  <si>
    <t>Салон сумок S. Lavia</t>
  </si>
  <si>
    <t>8 (800) 100-42-69</t>
  </si>
  <si>
    <t xml:space="preserve">info@slaviabag.ru, zakaz@slaviabag.ru  </t>
  </si>
  <si>
    <t>https://slaviabag.ru/</t>
  </si>
  <si>
    <t>https://vk.com/slaviabag</t>
  </si>
  <si>
    <t>https://www.instagram.com/sumki_slavia</t>
  </si>
  <si>
    <t>Стрижуля</t>
  </si>
  <si>
    <t>+7 (919) 419-64-86</t>
  </si>
  <si>
    <t>47.929793 56.627659</t>
  </si>
  <si>
    <t>Сувениры из Марий Эл</t>
  </si>
  <si>
    <t>+7 (8362) 75-00-12</t>
  </si>
  <si>
    <t>Изготовление и оптовая продажа сувениров, Магазин подарков и сувениров</t>
  </si>
  <si>
    <t>47.881741 56.64593</t>
  </si>
  <si>
    <t>Сернурский тракт, 15, Йошкар-Ола</t>
  </si>
  <si>
    <t>+7 (902) 437-36-15</t>
  </si>
  <si>
    <t>Кузовной ремонт, Пункт техосмотра, Ремонт АКПП</t>
  </si>
  <si>
    <t>47.947278 56.646987</t>
  </si>
  <si>
    <t>Ультра свет</t>
  </si>
  <si>
    <t>+7 (8362) 61-53-15</t>
  </si>
  <si>
    <t>+7 (902) 103-49-79</t>
  </si>
  <si>
    <t>Натяжные и подвесные потолки, Светильники</t>
  </si>
  <si>
    <t>47.835966 56.641452</t>
  </si>
  <si>
    <t>Руф</t>
  </si>
  <si>
    <t>+7 (8362) 45-28-19</t>
  </si>
  <si>
    <t>Кровельные работы</t>
  </si>
  <si>
    <t>Лабиринт</t>
  </si>
  <si>
    <t>Мой малыш</t>
  </si>
  <si>
    <t>+7 (937) 116-72-61</t>
  </si>
  <si>
    <t>Детский магазин, Магазин детского питания</t>
  </si>
  <si>
    <t>47.880639 56.638136</t>
  </si>
  <si>
    <t>Вкус морей</t>
  </si>
  <si>
    <t>+7 (8362) 46-38-66</t>
  </si>
  <si>
    <t>47.845499 56.641103</t>
  </si>
  <si>
    <t>Йошкар-Олинская ТЭЦ-1, отдел сопровождения транспорта электрической энергии</t>
  </si>
  <si>
    <t>ул. Зарубина, 57, Йошкар-Ола</t>
  </si>
  <si>
    <t>+7 (8362) 72-10-43</t>
  </si>
  <si>
    <t xml:space="preserve">teplo@yolatec1.ru  </t>
  </si>
  <si>
    <t>http://yolatec1.ru/</t>
  </si>
  <si>
    <t>Курьерские услуги, Проектная организация, Теплоснабжение, Управляющая компания, Энергоснабжение</t>
  </si>
  <si>
    <t>47.864211 56.639815</t>
  </si>
  <si>
    <t>Учебный центр повышения квалификации работников в области строительства</t>
  </si>
  <si>
    <t>+7 (8362) 23-04-78, +7 (8362) 77-77-79</t>
  </si>
  <si>
    <t>Интернет-магазин сантехники VivaVanna</t>
  </si>
  <si>
    <t>+7 (8362) 30-57-94</t>
  </si>
  <si>
    <t xml:space="preserve">info@vivvavanna.ru, info@vivavanna.ru  </t>
  </si>
  <si>
    <t>https://vivavanna.ru/</t>
  </si>
  <si>
    <t>Интернет-магазин, Магазин сантехники, Сантехника оптом</t>
  </si>
  <si>
    <t>47.8859 56.633372</t>
  </si>
  <si>
    <t>Деньги Сейчас</t>
  </si>
  <si>
    <t>8 (800) 550-34-33</t>
  </si>
  <si>
    <t xml:space="preserve">ds@dengi-seichas.ru  </t>
  </si>
  <si>
    <t>http://dengi-seichas.com/</t>
  </si>
  <si>
    <t>СтройПодряд</t>
  </si>
  <si>
    <t>+7 (8362) 45-03-43</t>
  </si>
  <si>
    <t>47.90458 56.641331</t>
  </si>
  <si>
    <t>Mrk Group</t>
  </si>
  <si>
    <t>8 (800) 505-89-71, +7 (8362) 77-78-78, +7 (8362) 77-44-97</t>
  </si>
  <si>
    <t xml:space="preserve">info@mrk-group.ru  </t>
  </si>
  <si>
    <t>http://mrk-group.ru/</t>
  </si>
  <si>
    <t>47.899628 56.646507</t>
  </si>
  <si>
    <t>+7 (8362) 77-80-90</t>
  </si>
  <si>
    <t xml:space="preserve">info@favorit.ru  </t>
  </si>
  <si>
    <t>https://iola.udm-okna.ru/</t>
  </si>
  <si>
    <t>Алюминий, алюминиевые конструкции, Окна, Светопрозрачные конструкции</t>
  </si>
  <si>
    <t>47.866128 56.634654</t>
  </si>
  <si>
    <t>Марвел Инжиниринг</t>
  </si>
  <si>
    <t>ул. Строителей, 76, Йошкар-Ола</t>
  </si>
  <si>
    <t>+7 (8362) 54-98-09</t>
  </si>
  <si>
    <t>+7 (987) 760-97-57, +7 (985) 760-97-57</t>
  </si>
  <si>
    <t>Архитектурное бюро, Проектная организация, Строительная компания</t>
  </si>
  <si>
    <t>47.847757 56.627272</t>
  </si>
  <si>
    <t>Звезда в шоке</t>
  </si>
  <si>
    <t>пн-пт 08:00–18:00; сб,вс 08:00–17:00</t>
  </si>
  <si>
    <t>47.890684 56.644283</t>
  </si>
  <si>
    <t>Магазин мебели, Магазин постельных принадлежностей, Матрасы, Товары для дома</t>
  </si>
  <si>
    <t>ЛИЛкомпани</t>
  </si>
  <si>
    <t>+7 (927) 844-78-66</t>
  </si>
  <si>
    <t xml:space="preserve">rf-reklama@bk.ru </t>
  </si>
  <si>
    <t>Изготовление вывесок, Наружная реклама, Средства безопасности дорожного движения</t>
  </si>
  <si>
    <t>Найрият</t>
  </si>
  <si>
    <t>ул. Машиностроителей, 16В, Йошкар-Ола</t>
  </si>
  <si>
    <t>+7 (8362) 48-73-03, +7 (8362) 75-39-07</t>
  </si>
  <si>
    <t>+7 (906) 336-95-55</t>
  </si>
  <si>
    <t>ежедневно, 15:00–21:00</t>
  </si>
  <si>
    <t>http://www.vk.com/tancfit</t>
  </si>
  <si>
    <t>47.871918 56.642477</t>
  </si>
  <si>
    <t>Художественная Фотография</t>
  </si>
  <si>
    <t>+7 (917) 705-88-10</t>
  </si>
  <si>
    <t>+7 (917) 706-55-62</t>
  </si>
  <si>
    <t>Edinoborec12</t>
  </si>
  <si>
    <t>ул. Машиностроителей, 7АК2, Йошкар-Ола</t>
  </si>
  <si>
    <t>+7 (8362) 33-88-19</t>
  </si>
  <si>
    <t>+7 (927) 883-88-19</t>
  </si>
  <si>
    <t xml:space="preserve">edinoborec12@gmail.com, mma12rus@gmail.com </t>
  </si>
  <si>
    <t>http://www.edinoborec12.ru/</t>
  </si>
  <si>
    <t>Детский лагерь отдыха, Спортивный клуб, секция, Фитнес-клуб</t>
  </si>
  <si>
    <t>пн-пт 09:00–22:00; сб 09:00–19:00; вс 12:00–18:00</t>
  </si>
  <si>
    <t>https://vk.com/edinoborec12</t>
  </si>
  <si>
    <t>http://facebook.com/edinoborec12</t>
  </si>
  <si>
    <t>https://www.instagram.com/edinoborec12/</t>
  </si>
  <si>
    <t>47.876292 56.647291</t>
  </si>
  <si>
    <t>ул. Йывана Кырли, 24, Йошкар-Ола</t>
  </si>
  <si>
    <t>8 (800) 707-77-59, 8 (800) 301-11-31</t>
  </si>
  <si>
    <t>47.839421 56.640006</t>
  </si>
  <si>
    <t>СдобноВо</t>
  </si>
  <si>
    <t>+7 (8362) 63-60-51</t>
  </si>
  <si>
    <t>http://sdobnovo.ru/</t>
  </si>
  <si>
    <t>Сауна 888</t>
  </si>
  <si>
    <t>ул. 8 Марта, 88, Йошкар-Ола</t>
  </si>
  <si>
    <t>+7 (909) 369-29-24</t>
  </si>
  <si>
    <t>47.970444 56.641962</t>
  </si>
  <si>
    <t>АвтоСтройСервис</t>
  </si>
  <si>
    <t>+7 (902) 434-12-14, +7 (902) 664-99-73</t>
  </si>
  <si>
    <t>Автокосметика, автохимия</t>
  </si>
  <si>
    <t>Питьевая артезианская вода Зеленый ключ № 2</t>
  </si>
  <si>
    <t xml:space="preserve">640606@mail.ru  </t>
  </si>
  <si>
    <t>http://www.green-key.ru/</t>
  </si>
  <si>
    <t>https://vk.com/green_key_12</t>
  </si>
  <si>
    <t>СантехКомплект</t>
  </si>
  <si>
    <t>+7 (8362) 55-13-25</t>
  </si>
  <si>
    <t>+7 (987) 709-42-82</t>
  </si>
  <si>
    <t xml:space="preserve">stkopt@list.ru, stkopt@bk.ru  </t>
  </si>
  <si>
    <t>http://santehkomplect.ru/</t>
  </si>
  <si>
    <t>Газовое оборудование, Крепежные изделия, Магазин сантехники</t>
  </si>
  <si>
    <t>пн-пт 08:30–18:30; сб,вс 09:00–16:00</t>
  </si>
  <si>
    <t>http://vk.com/stkopt</t>
  </si>
  <si>
    <t>https://www.instagram.com/stk_12ru/</t>
  </si>
  <si>
    <t>Общежитие № 5 ПГТУ</t>
  </si>
  <si>
    <t>+7 (8362) 68-60-02</t>
  </si>
  <si>
    <t>пн-пт 08:00–16:00, перерыв 12:00–13:00</t>
  </si>
  <si>
    <t>47.891084 56.629111</t>
  </si>
  <si>
    <t>Annet room</t>
  </si>
  <si>
    <t>Люстры 12</t>
  </si>
  <si>
    <t>+7 (8362) 36-66-33</t>
  </si>
  <si>
    <t>Acoola</t>
  </si>
  <si>
    <t>8 (800) 333-83-63, +7 (8362) 23-02-90</t>
  </si>
  <si>
    <t xml:space="preserve">onlinestore@acoolakids.ru, vozvrat@acoolakids.ru, info@acoolakids.ru, b2b@conceptgroup.ru, franch@conceptgroup.ru  </t>
  </si>
  <si>
    <t>http://acoolakids.ru/?utm_medium=organic&amp;utm_source=yamaps, https://acoolakids.ru/</t>
  </si>
  <si>
    <t>Детский магазин, Магазин детской обуви, Магазин детской одежды</t>
  </si>
  <si>
    <t>http://vk.com/acoolakids</t>
  </si>
  <si>
    <t>https://ok.ru/acoolakidsofficial</t>
  </si>
  <si>
    <t>http://www.facebook.com/acoolakids</t>
  </si>
  <si>
    <t>https://www.youtube.com/user/acoolakids</t>
  </si>
  <si>
    <t>https://instagram.com/acoolakids</t>
  </si>
  <si>
    <t>47.929089 56.627956</t>
  </si>
  <si>
    <t>Дзинтарс</t>
  </si>
  <si>
    <t>+7 (927) 681-72-77</t>
  </si>
  <si>
    <t>https://vk.com/dzintars12</t>
  </si>
  <si>
    <t>https://www.instagram.com/dzintars.yoshkarola</t>
  </si>
  <si>
    <t>47.929092 56.627957</t>
  </si>
  <si>
    <t>Потолки Даром</t>
  </si>
  <si>
    <t>+7 (8362) 44-48-00</t>
  </si>
  <si>
    <t>Автомастерская 752-754</t>
  </si>
  <si>
    <t>Сернурский тракт, 15Б, Йошкар-Ола</t>
  </si>
  <si>
    <t>+7 (8362) 75-27-54</t>
  </si>
  <si>
    <t>47.94703 56.647375</t>
  </si>
  <si>
    <t>Беговел12</t>
  </si>
  <si>
    <t>+7 (987) 731-13-28</t>
  </si>
  <si>
    <t>пн-пт 08:00–20:00; сб 00:00–20:00; вс 08:00–20:00</t>
  </si>
  <si>
    <t>47.8706 56.6371</t>
  </si>
  <si>
    <t>АльфаСтрой</t>
  </si>
  <si>
    <t>8 (800) 775-54-84</t>
  </si>
  <si>
    <t>+7 (917) 708-12-12</t>
  </si>
  <si>
    <t>Бетоновоз12</t>
  </si>
  <si>
    <t>+7 (8362) 30-59-59, +7 (8362) 30-56-00</t>
  </si>
  <si>
    <t>Специализированные строительные работы, Строительные и отделочные работы</t>
  </si>
  <si>
    <t>Мегамозг</t>
  </si>
  <si>
    <t>+7 (937) 939-30-07, +7 (917) 713-44-34</t>
  </si>
  <si>
    <t>Дополнительное образование, Центр развития ребенка, Частная школа</t>
  </si>
  <si>
    <t>Уником Плюс</t>
  </si>
  <si>
    <t>+7 (8362) 42-95-75</t>
  </si>
  <si>
    <t>Вертикаль-Строй</t>
  </si>
  <si>
    <t>+7 (8362) 51-65-16</t>
  </si>
  <si>
    <t>+7 (964) 861-65-16</t>
  </si>
  <si>
    <t xml:space="preserve">vsdveri@list.ru  </t>
  </si>
  <si>
    <t>http://dobrodom12.ru/</t>
  </si>
  <si>
    <t>пн-пт 09:00–19:00; сб 10:00–18:00</t>
  </si>
  <si>
    <t>http://www.vk.com/dobrodomm12</t>
  </si>
  <si>
    <t>http://www.instagram.com/dobrodom12</t>
  </si>
  <si>
    <t>47.861683 56.618928</t>
  </si>
  <si>
    <t>47.870239 56.639897</t>
  </si>
  <si>
    <t>Музей истории СССР</t>
  </si>
  <si>
    <t>+7 (8362) 95-02-86</t>
  </si>
  <si>
    <t>Kira Plastinina</t>
  </si>
  <si>
    <t>+7 (8362) 41-55-00</t>
  </si>
  <si>
    <t xml:space="preserve">2donlineshop@mail.ru, kira-onlineshop@mail.ru, es@garmentservice.ru, zc@2gis.ru  </t>
  </si>
  <si>
    <t>http://www.kiraplastinina.ru/, http://kiraplastinina.com/</t>
  </si>
  <si>
    <t>http://vk.com/club1145020</t>
  </si>
  <si>
    <t>http://twitter.com/kira_plastinina</t>
  </si>
  <si>
    <t>http://www.facebook.com/kiraplastininastyle</t>
  </si>
  <si>
    <t>http://instagram.com/kiraplastininastyle_ru</t>
  </si>
  <si>
    <t>47.929092 56.627951</t>
  </si>
  <si>
    <t>Папирус</t>
  </si>
  <si>
    <t>+7 (8362) 47-74-66</t>
  </si>
  <si>
    <t xml:space="preserve">papirrus12@mail.ru, ishutin-pavel@mail.ru  </t>
  </si>
  <si>
    <t>http://papirrus.ru/</t>
  </si>
  <si>
    <t>Магазин посуды, Посуда оптом</t>
  </si>
  <si>
    <t>47.829135 56.615139</t>
  </si>
  <si>
    <t>Hyundai Mag Motors</t>
  </si>
  <si>
    <t>ул. Карла Либкнехта, 108, Йошкар-Ола</t>
  </si>
  <si>
    <t>+7 (8362) 64-60-60</t>
  </si>
  <si>
    <t xml:space="preserve">info360and24@gmail.com </t>
  </si>
  <si>
    <t>http://www.hyundai-avtokom.ru/?utm_campaign=yoshkar-ola-mag-motors-v-spravu0026utm_content=C40AF00950u0026utm_medium=sem_cpcu0026utm_source=yandex_go_search</t>
  </si>
  <si>
    <t>Автосалон, Автосервис, автотехцентр, Шиномонтаж</t>
  </si>
  <si>
    <t>http://vk.com/hyundairussia</t>
  </si>
  <si>
    <t>http://www.facebook.com/hyundairussia</t>
  </si>
  <si>
    <t>http://instagram.com/hyundairussia</t>
  </si>
  <si>
    <t>47.934761 56.626382</t>
  </si>
  <si>
    <t>Церковь Евангельских Христиан</t>
  </si>
  <si>
    <t>2-й Вишнёвый пр., 1, Йошкар-Ола</t>
  </si>
  <si>
    <t>+7 (8362) 64-27-96</t>
  </si>
  <si>
    <t>47.951423 56.620904</t>
  </si>
  <si>
    <t>Автосила</t>
  </si>
  <si>
    <t>+7 (8362) 73-79-73, +7 (8362) 93-79-73</t>
  </si>
  <si>
    <t>пн-пт 08:00–18:30; сб,вс 08:00–14:00</t>
  </si>
  <si>
    <t>Автон Datsun ГК Альянс-Авто</t>
  </si>
  <si>
    <t>Кокшайский пр., 55, Йошкар-Ола</t>
  </si>
  <si>
    <t>+7 (8362) 38-10-10</t>
  </si>
  <si>
    <t xml:space="preserve">hotline@almotors.ru  </t>
  </si>
  <si>
    <t>http://datsun-mariel.ru/</t>
  </si>
  <si>
    <t>Автосалон, Автосервис, автотехцентр</t>
  </si>
  <si>
    <t>пн-пт 08:00–20:00; сб 09:00–20:00; вс 09:00–18:00</t>
  </si>
  <si>
    <t>http://vk.com/datsun_mariel</t>
  </si>
  <si>
    <t>https://www.instagram.com/datsun_12</t>
  </si>
  <si>
    <t>47.882484 56.605002</t>
  </si>
  <si>
    <t>Ильвар</t>
  </si>
  <si>
    <t>Ленинский просп., 16А, Йошкар-Ола</t>
  </si>
  <si>
    <t>+7 (917) 701-91-88</t>
  </si>
  <si>
    <t xml:space="preserve">ingener_z@mail.ru  </t>
  </si>
  <si>
    <t>http://ilvar-company.ru/</t>
  </si>
  <si>
    <t>47.913613 56.626906</t>
  </si>
  <si>
    <t>Торговый дом Мир</t>
  </si>
  <si>
    <t>+7 (8362) 32-03-07, +7 (8362) 74-19-40, +7 (8362) 74-20-19, +7 (8362) 74-18-91, +7 (8362) 74-18-96</t>
  </si>
  <si>
    <t xml:space="preserve">info@w-pack.ru, info@w-warm.ru </t>
  </si>
  <si>
    <t>Магазин хозтоваров и бытовой химии, Оптовый магазин, Тара и упаковочные материалы</t>
  </si>
  <si>
    <t>47.91358 56.612574</t>
  </si>
  <si>
    <t>Центр высшего водительского мастерства профессора Цыганкова г. Йошкар-Ола</t>
  </si>
  <si>
    <t>+7 (8362) 28-23-33</t>
  </si>
  <si>
    <t xml:space="preserve">moskvinvm@gmail.com, k.glazhenkov84@yandex.ru </t>
  </si>
  <si>
    <t>Фотостудия</t>
  </si>
  <si>
    <t>+7 (964) 860-16-50</t>
  </si>
  <si>
    <t>Видеосъемка, Фотоуслуги</t>
  </si>
  <si>
    <t>47.954118 56.629664</t>
  </si>
  <si>
    <t>+7 (967) 756-78-94, +7 (909) 369-78-04</t>
  </si>
  <si>
    <t xml:space="preserve">elektrik12region@mail.ru </t>
  </si>
  <si>
    <t>http://elektrika12.ru/</t>
  </si>
  <si>
    <t>Ремонт электрооборудования, Электромонтажные и электроустановочные изделия, Электромонтажные работы</t>
  </si>
  <si>
    <t>http://vk.com/elektrik12</t>
  </si>
  <si>
    <t>47.835361 56.638031</t>
  </si>
  <si>
    <t xml:space="preserve">eshop@edemcosmetics.ru, eshop@scent.ru  </t>
  </si>
  <si>
    <t>http://edemcosmetics.ru/, http://scent.ru/</t>
  </si>
  <si>
    <t>Кабель.рф</t>
  </si>
  <si>
    <t>+7 (8362) 34-72-18</t>
  </si>
  <si>
    <t xml:space="preserve">press@cable.ru  </t>
  </si>
  <si>
    <t>https://yoshkar-ola.cable.ru/, https://cable.ru/</t>
  </si>
  <si>
    <t>Кабель и провод, Электродвигатели, Электротехническая продукция</t>
  </si>
  <si>
    <t>https://vk.com/cable_ru</t>
  </si>
  <si>
    <t>https://ok.ru/group/52141621575816</t>
  </si>
  <si>
    <t>https://twitter.com/cableru</t>
  </si>
  <si>
    <t>https://www.facebook.com/cable.ru</t>
  </si>
  <si>
    <t>https://www.youtube.com/kabelrf</t>
  </si>
  <si>
    <t>https://www.instagram.com/cable.ru</t>
  </si>
  <si>
    <t>Кабели и Провода Йошкар-Ола</t>
  </si>
  <si>
    <t xml:space="preserve">info@kabeliprovoda.ru </t>
  </si>
  <si>
    <t>47.897446 56.6174</t>
  </si>
  <si>
    <t>ЭнергияАвто</t>
  </si>
  <si>
    <t>+7 (8362) 23-26-60</t>
  </si>
  <si>
    <t>пн-пт 08:00–20:00; сб,вс 09:00–16:00</t>
  </si>
  <si>
    <t>Аренда шатров Йошкар-Ола</t>
  </si>
  <si>
    <t>+7 (937) 953-65-56</t>
  </si>
  <si>
    <t>Кейтеринг, Тенты, шатры, навесы</t>
  </si>
  <si>
    <t>47.899752 56.635026</t>
  </si>
  <si>
    <t>ул. Анникова, 14, Йошкар-Ола</t>
  </si>
  <si>
    <t>8 (800) 707-77-59</t>
  </si>
  <si>
    <t>47.836331 56.644787</t>
  </si>
  <si>
    <t>Конфискат</t>
  </si>
  <si>
    <t>47.943377 56.634791</t>
  </si>
  <si>
    <t>Фасон</t>
  </si>
  <si>
    <t>+7 (917) 709-13-78</t>
  </si>
  <si>
    <t>СтройРемонт12</t>
  </si>
  <si>
    <t>ул. Строителей, 35, Йошкар-Ола</t>
  </si>
  <si>
    <t>http://www.stroyremont12.ru/</t>
  </si>
  <si>
    <t>Натяжные и подвесные потолки, Строительные и отделочные работы</t>
  </si>
  <si>
    <t>47.843922 56.631016</t>
  </si>
  <si>
    <t>+7 (8362) 29-40-00</t>
  </si>
  <si>
    <t>http://vk.com/pivpunkt</t>
  </si>
  <si>
    <t>47.853344 56.65161</t>
  </si>
  <si>
    <t>Магазин Продукты</t>
  </si>
  <si>
    <t>ул. Мира, 35, Йошкар-Ола</t>
  </si>
  <si>
    <t>ежедневно, 07:30–00:00</t>
  </si>
  <si>
    <t>47.949986 56.625217</t>
  </si>
  <si>
    <t>Cars</t>
  </si>
  <si>
    <t>+7 (8362) 50-33-31, +7 (8362) 33-53-31</t>
  </si>
  <si>
    <t xml:space="preserve">my.avto.shop@mail.ru  </t>
  </si>
  <si>
    <t>http://service-cars.ru/</t>
  </si>
  <si>
    <t>пн-пт 08:30–19:00; сб 09:00–14:00</t>
  </si>
  <si>
    <t>http://vk.com/carsservice12</t>
  </si>
  <si>
    <t>47.859933 56.639097</t>
  </si>
  <si>
    <t>Zebra</t>
  </si>
  <si>
    <t>+7 (8362) 48-89-99</t>
  </si>
  <si>
    <t>+7 (967) 758-89-99</t>
  </si>
  <si>
    <t>http://zebra.company/</t>
  </si>
  <si>
    <t>47.843838 56.640868</t>
  </si>
  <si>
    <t>Зоомагазин и ветеринарная аптека</t>
  </si>
  <si>
    <t>+7 (8362) 43-79-69</t>
  </si>
  <si>
    <t>47.870371 56.640792</t>
  </si>
  <si>
    <t>Brandsocks</t>
  </si>
  <si>
    <t>8 (800) 700-93-37</t>
  </si>
  <si>
    <t xml:space="preserve">brandsocks@ya.ru  </t>
  </si>
  <si>
    <t>http://bsocks.ru/, http://opt.bsocks.ru/, http://shopbrandsocks.ru/</t>
  </si>
  <si>
    <t>Интернет-магазин, Производственное предприятие, Спортивная одежда и обувь</t>
  </si>
  <si>
    <t>https://vk.com/yoshkinaodegka</t>
  </si>
  <si>
    <t>https://www.instagram.com/noski_dlya_gimnastiki/</t>
  </si>
  <si>
    <t>47.84003 56.625887</t>
  </si>
  <si>
    <t>Советская ул., 93, Йошкар-Ола</t>
  </si>
  <si>
    <t>пн-пт 07:00–22:00; сб,вс 07:00–21:00</t>
  </si>
  <si>
    <t>47.902388 56.641247</t>
  </si>
  <si>
    <t>ЖКХ Сервис</t>
  </si>
  <si>
    <t>8 (800) 700-07-64</t>
  </si>
  <si>
    <t xml:space="preserve">info@servisgkh.ru  </t>
  </si>
  <si>
    <t>http://servisgkh.ru/, http://servisgkh.ru/o-kompanii, http://servisgkh.ru/oborudovanie/ogranichenie-vodootvedeniya, http://servisgkh.ru/partnerstvo, http://servisgkh.ru/uslugi</t>
  </si>
  <si>
    <t>Коммунальная служба, Сантехнические работы</t>
  </si>
  <si>
    <t>http://vk.com/servisgkh</t>
  </si>
  <si>
    <t>http://twitter.com/ServisgkhRu</t>
  </si>
  <si>
    <t>http://www.facebook.com/1481080475241868/</t>
  </si>
  <si>
    <t>Лаура</t>
  </si>
  <si>
    <t>Трубочист 112</t>
  </si>
  <si>
    <t>+7 (8362) 43-60-42</t>
  </si>
  <si>
    <t>+7 (917) 710-97-40</t>
  </si>
  <si>
    <t xml:space="preserve">trubochist112@yandex.ru  </t>
  </si>
  <si>
    <t>http://trubochist-12.blizko.ru/</t>
  </si>
  <si>
    <t>Бытовые услуги, Дезинфекция, дезинсекция, дератизация, Трубочисты, Утилизация отходов</t>
  </si>
  <si>
    <t>https://vk.com/trubochist112</t>
  </si>
  <si>
    <t>Pak rus international</t>
  </si>
  <si>
    <t>+7 (963) 763-92-03</t>
  </si>
  <si>
    <t>Миркур</t>
  </si>
  <si>
    <t>+7 (8362) 42-91-69</t>
  </si>
  <si>
    <t>47.899949 56.635843</t>
  </si>
  <si>
    <t>Kit Media Group</t>
  </si>
  <si>
    <t>+7 (987) 726-12-76</t>
  </si>
  <si>
    <t>47.863999 56.641169</t>
  </si>
  <si>
    <t>Центр танцевального спорта Максимум</t>
  </si>
  <si>
    <t>+7 (8362) 43-66-34</t>
  </si>
  <si>
    <t>+7 (927) 680-50-12</t>
  </si>
  <si>
    <t>Фитнес-клуб, Центр йоги, Школа танцев</t>
  </si>
  <si>
    <t>пн-пт 09:00–21:00; сб,вс 10:00–20:00</t>
  </si>
  <si>
    <t>http://vk.com/cts_maximum</t>
  </si>
  <si>
    <t>http://ok.ru/group/52824167153743</t>
  </si>
  <si>
    <t>http://instagram.com/tsk_molodost</t>
  </si>
  <si>
    <t>47.838903 56.632625</t>
  </si>
  <si>
    <t>Germanyka</t>
  </si>
  <si>
    <t>ул. Энгельса, 28, Йошкар-Ола</t>
  </si>
  <si>
    <t>8 (800) 700-05-10</t>
  </si>
  <si>
    <t>Обучение за рубежом</t>
  </si>
  <si>
    <t>47.950893 56.619121</t>
  </si>
  <si>
    <t>Агенство недвижимости</t>
  </si>
  <si>
    <t>+7 (8362) 98-10-20</t>
  </si>
  <si>
    <t>Жемчужинка</t>
  </si>
  <si>
    <t>+7 (999) 609-25-50, +7 (999) 145-65-50</t>
  </si>
  <si>
    <t>Гильдия экспертов в сфере профессионального образования</t>
  </si>
  <si>
    <t>+7 (8362) 30-49-53</t>
  </si>
  <si>
    <t xml:space="preserve">expert.edu@mail.ru  </t>
  </si>
  <si>
    <t>https://expert-edu.ru/</t>
  </si>
  <si>
    <t>Центр повышения квалификации, Экспертиза</t>
  </si>
  <si>
    <t>http://www.facebook.com/groups/1555952081349032/</t>
  </si>
  <si>
    <t>Ставрос</t>
  </si>
  <si>
    <t>+7 (902) 108-88-80, +7 (902) 108-88-84</t>
  </si>
  <si>
    <t>Интернет-магазин, Православный храм, Религиозные товары</t>
  </si>
  <si>
    <t>Фирменный магазин Костромского ювелирного завода</t>
  </si>
  <si>
    <t>8 (800) 555-94-92, +7 (8362) 38-08-40</t>
  </si>
  <si>
    <t xml:space="preserve">shop@kouz.ru, excursion@kouz.ru  </t>
  </si>
  <si>
    <t>https://www.kouz.ru/</t>
  </si>
  <si>
    <t>https://vk.com/kouz.russia</t>
  </si>
  <si>
    <t>https://ok.ru/kouz.russia</t>
  </si>
  <si>
    <t>https://www.facebook.com/kouz.russia</t>
  </si>
  <si>
    <t>https://www.instagram.com/kouz.russia</t>
  </si>
  <si>
    <t>47.896733 56.634813</t>
  </si>
  <si>
    <t>Заправка принтеров</t>
  </si>
  <si>
    <t>+7 (987) 700-83-31</t>
  </si>
  <si>
    <t>Оргтехника, Расходные материалы для оргтехники, Ремонт оргтехники</t>
  </si>
  <si>
    <t>Агенство недвижимости Столица</t>
  </si>
  <si>
    <t>+7 (8362) 33-40-16, +7 (8362) 32-52-61, +7 (8362) 65-00-19, +7 (8362) 96-67-65</t>
  </si>
  <si>
    <t>47.8702 56.6363</t>
  </si>
  <si>
    <t>Магазин джинсовой одежды</t>
  </si>
  <si>
    <t>47.887894 56.631674</t>
  </si>
  <si>
    <t>Планета мебели</t>
  </si>
  <si>
    <t>+7 (8362) 60-00-25</t>
  </si>
  <si>
    <t>+7 (987) 726-55-67</t>
  </si>
  <si>
    <t xml:space="preserve">arendaats@mail.ru  </t>
  </si>
  <si>
    <t>http://planetamebeli.su/</t>
  </si>
  <si>
    <t>http://vk.com/planetamebeli_su</t>
  </si>
  <si>
    <t>https://www.youtube.com/channel/UCyMUQE9W7GtbNnHrTepS-8A</t>
  </si>
  <si>
    <t>https://www.instagram.com/planetamebeli_su</t>
  </si>
  <si>
    <t>47.833174 56.641685</t>
  </si>
  <si>
    <t>ЭлектроХозстрой</t>
  </si>
  <si>
    <t>47.900048 56.643833</t>
  </si>
  <si>
    <t>Мебельный салон ЛеКа</t>
  </si>
  <si>
    <t>+7 (8362) 37-63-43, +7 (8362) 90-19-04, +7 (8362) 90-51-40</t>
  </si>
  <si>
    <t xml:space="preserve">info@mebel-leka.ru, mebelleka@mail.ru </t>
  </si>
  <si>
    <t>http://mebel-leka.ru/</t>
  </si>
  <si>
    <t>http://vk.com/mebelleka</t>
  </si>
  <si>
    <t>Кировский мясокомбинат</t>
  </si>
  <si>
    <t>+7 (912) 734-10-98</t>
  </si>
  <si>
    <t>47.889466 56.631342</t>
  </si>
  <si>
    <t>Крылья</t>
  </si>
  <si>
    <t>+7 (8362) 45-07-06, +7 (8362) 45-40-70</t>
  </si>
  <si>
    <t xml:space="preserve">travel@travelwings.ru </t>
  </si>
  <si>
    <t>http://www.travelwings.ru/</t>
  </si>
  <si>
    <t>47.894914 56.629259</t>
  </si>
  <si>
    <t>Аграрный консультационный центр</t>
  </si>
  <si>
    <t>ул. Осипенко, 43, Йошкар-Ола</t>
  </si>
  <si>
    <t>+7 (8362) 42-58-78</t>
  </si>
  <si>
    <t xml:space="preserve">argocon@marsu.ru  </t>
  </si>
  <si>
    <t>http://argocon.marsu.ru/</t>
  </si>
  <si>
    <t>Садовый центр, Сельскохозяйственная продукция, Средства защиты растений</t>
  </si>
  <si>
    <t>47.880694 56.644594</t>
  </si>
  <si>
    <t>АЗС Мото</t>
  </si>
  <si>
    <t>Ленинградская ул., 58, Йошкар-Ола</t>
  </si>
  <si>
    <t>+7 (917) 701-57-37</t>
  </si>
  <si>
    <t>47.951072 56.631617</t>
  </si>
  <si>
    <t>Гослото</t>
  </si>
  <si>
    <t xml:space="preserve">info@stoloto.ru, mailer@stoloto.ru </t>
  </si>
  <si>
    <t>http://stoloto.ru/</t>
  </si>
  <si>
    <t>Лотереи</t>
  </si>
  <si>
    <t>ежедневно, 10:00–16:00</t>
  </si>
  <si>
    <t>47.897197 56.634997</t>
  </si>
  <si>
    <t>Шик u0026 Блеск</t>
  </si>
  <si>
    <t>ул. Строителей, 90, Йошкар-Ола</t>
  </si>
  <si>
    <t>+7 (8362) 73-30-00</t>
  </si>
  <si>
    <t>47.852121 56.624007</t>
  </si>
  <si>
    <t>Камейя</t>
  </si>
  <si>
    <t>+7 (8362) 44-40-04</t>
  </si>
  <si>
    <t>+7 (927) 883-79-87</t>
  </si>
  <si>
    <t xml:space="preserve">medelan@mail.ru  </t>
  </si>
  <si>
    <t>https://vk.com/kameyia</t>
  </si>
  <si>
    <t>47.898556 56.635474</t>
  </si>
  <si>
    <t>New Look</t>
  </si>
  <si>
    <t>+7 (987) 720-79-88</t>
  </si>
  <si>
    <t xml:space="preserve">info@mycompany.com </t>
  </si>
  <si>
    <t>http://vvv.web-box.ru/</t>
  </si>
  <si>
    <t>Косметология, Салон красоты, Тату-салон</t>
  </si>
  <si>
    <t>http://vk.com/newlook8888</t>
  </si>
  <si>
    <t>Броксталь</t>
  </si>
  <si>
    <t>+7 (8362) 32-15-15, +7 (8362) 58-60-88</t>
  </si>
  <si>
    <t xml:space="preserve">--sales@broksteel.ru--, sales@broksteel.ru  </t>
  </si>
  <si>
    <t>https://yola.broksteel12.ru/</t>
  </si>
  <si>
    <t>Металлопрокат, Прием вторсырья, Строительный магазин</t>
  </si>
  <si>
    <t>https://vk.com/broksteel12</t>
  </si>
  <si>
    <t>47.844155 56.641741</t>
  </si>
  <si>
    <t>Рекламная группа Апельсин</t>
  </si>
  <si>
    <t>8 (800) 200-30-64, +7 (8362) 30-40-64</t>
  </si>
  <si>
    <t>https://apelsin.info/, http://уголкипотребителя.рф/, https://таблички.онлайн/, https://уголокпокупателя.рф/</t>
  </si>
  <si>
    <t>https://vk.com/rgapelsin</t>
  </si>
  <si>
    <t>https://www.facebook.com/apelsininfo</t>
  </si>
  <si>
    <t>https://www.instagram.com/rgapelsin/</t>
  </si>
  <si>
    <t>47.862235 56.618074</t>
  </si>
  <si>
    <t>ДеньгиСрочноВсем</t>
  </si>
  <si>
    <t>ежедневно, 10:00–20:00, перерыв 13:00–13:30</t>
  </si>
  <si>
    <t>47.845575 56.641114</t>
  </si>
  <si>
    <t>КупиБезПосредников</t>
  </si>
  <si>
    <t>Ламинат, Окна, Строительные и отделочные работы</t>
  </si>
  <si>
    <t>http://vk.com/stasganso</t>
  </si>
  <si>
    <t>47.873755 56.652645</t>
  </si>
  <si>
    <t>Ателье по пошиву спецодежды</t>
  </si>
  <si>
    <t>+7 (8362) 43-63-49</t>
  </si>
  <si>
    <t>+7 (909) 367-39-63</t>
  </si>
  <si>
    <t>Ателье по пошиву одежды, Спецодежда, Трикотаж, трикотажные изделия</t>
  </si>
  <si>
    <t>Континент Сервис</t>
  </si>
  <si>
    <t>+7 (987) 706-71-29</t>
  </si>
  <si>
    <t>Корпусная мебель, Магазин мебели, Мебель для кухни</t>
  </si>
  <si>
    <t>GorodRabot.ru</t>
  </si>
  <si>
    <t>ул. Эшкинина, 10Г, Йошкар-Ола</t>
  </si>
  <si>
    <t>+7 (927) 681-55-53</t>
  </si>
  <si>
    <t xml:space="preserve">coma@corp.gorodrabot.ru, qwerty@gmail.com, qwerty@example.com, manager@corp.gorodrabot.ru  </t>
  </si>
  <si>
    <t>https://gorodrabot.ru/, https://chats.viber.com/gorodrabot, https://t.me/gorodrabot</t>
  </si>
  <si>
    <t>https://vk.com/gorodrabot</t>
  </si>
  <si>
    <t>https://ok.ru/gorodrabot.ru</t>
  </si>
  <si>
    <t>https://twitter.com/gorodrabot</t>
  </si>
  <si>
    <t>https://www.facebook.com/gorodrabot.ru</t>
  </si>
  <si>
    <t>https://www.youtube.com/channel/UCMYWMBhvAC6pPqf9tfSyhrg</t>
  </si>
  <si>
    <t>https://www.instagram.com/gorodrabot.ru/</t>
  </si>
  <si>
    <t>47.906454 56.630267</t>
  </si>
  <si>
    <t>Детская студия Умка</t>
  </si>
  <si>
    <t>+7 (8362) 25-08-43</t>
  </si>
  <si>
    <t>+7 (987) 729-31-48</t>
  </si>
  <si>
    <t xml:space="preserve">17-03-2010@mail.ru  </t>
  </si>
  <si>
    <t>http://umka12.ru/</t>
  </si>
  <si>
    <t>http://vk.com/club52420274</t>
  </si>
  <si>
    <t>Партия Единая Россия, отделение</t>
  </si>
  <si>
    <t>+7 (8362) 41-26-70</t>
  </si>
  <si>
    <t xml:space="preserve">region01@mail.er.ru, region03@mail.er.ru, dagestan@edinros.ru, r05@edinros.ru, kbro_edinros@mail.ru, region08@mail.er.ru, region09@mail.er.ru, region10@mail.er.ru, region11@mail.er.ru, region82@mail.er.ru </t>
  </si>
  <si>
    <t>http://mari-el.er.ru/, http://er.ru/</t>
  </si>
  <si>
    <t>https://vk.com/er_rme</t>
  </si>
  <si>
    <t>http://ok.ru/ernovosti</t>
  </si>
  <si>
    <t>https://www.youtube.com/channel/UCy9GooX4e4AUQb9zCZgJE1A/videos?shelf_id=0u0026sort=ddu0026view=0</t>
  </si>
  <si>
    <t>https://www.instagram.com/er12official/</t>
  </si>
  <si>
    <t>47.885712 56.628803</t>
  </si>
  <si>
    <t>+7 (964) 864-93-82</t>
  </si>
  <si>
    <t xml:space="preserve">info@mnogopalok.ru  </t>
  </si>
  <si>
    <t>http://mnogopalok.ru/</t>
  </si>
  <si>
    <t>https://vk.com/mnogopalok</t>
  </si>
  <si>
    <t>Торговый дом Альфа</t>
  </si>
  <si>
    <t xml:space="preserve">oknaalfa@mail.ru </t>
  </si>
  <si>
    <t>47.832496 56.639312</t>
  </si>
  <si>
    <t>ГамбринуС</t>
  </si>
  <si>
    <t>Советская ул., 156А, Йошкар-Ола</t>
  </si>
  <si>
    <t>47.892209 56.628531</t>
  </si>
  <si>
    <t>Трансмиссия</t>
  </si>
  <si>
    <t>+7 (8362) 46-93-46</t>
  </si>
  <si>
    <t>47.902016 56.648612</t>
  </si>
  <si>
    <t>Майнд Форс</t>
  </si>
  <si>
    <t>+7 (8362) 30-49-09</t>
  </si>
  <si>
    <t>+7 (927) 680-92-30</t>
  </si>
  <si>
    <t xml:space="preserve">admin@mail.com </t>
  </si>
  <si>
    <t>http://mindf.ru/</t>
  </si>
  <si>
    <t>IT-компания, Бизнес-консалтинг, Бухгалтерские услуги</t>
  </si>
  <si>
    <t>47.889953 56.632535</t>
  </si>
  <si>
    <t>Квадрокоптеры Йошкар-Ола</t>
  </si>
  <si>
    <t>+7 (8362) 31-24-64</t>
  </si>
  <si>
    <t xml:space="preserve">info@toruda.ru, info@qvadrokopter.ru  </t>
  </si>
  <si>
    <t>http://yoshkarola.qvadrokopter.ru/</t>
  </si>
  <si>
    <t>Интернет-магазин, Радиоуправляемые и стендовые модели</t>
  </si>
  <si>
    <t>Мажор</t>
  </si>
  <si>
    <t>Автокраски</t>
  </si>
  <si>
    <t>+7 (8362) 41-37-04</t>
  </si>
  <si>
    <t>Автоэмали, автомобильные краски</t>
  </si>
  <si>
    <t>пн-пт 08:30–18:00; сб,вс 09:00–16:00</t>
  </si>
  <si>
    <t>Электроинструмент</t>
  </si>
  <si>
    <t>+7 (8362) 21-53-01</t>
  </si>
  <si>
    <t>Строительный инструмент, Электро- и бензоинструмент</t>
  </si>
  <si>
    <t>47.9293 56.63366</t>
  </si>
  <si>
    <t>+7 (8362) 75-17-51</t>
  </si>
  <si>
    <t>пн-чт 10:00–23:00; пт,сб 10:00–01:00; вс 10:00–23:00</t>
  </si>
  <si>
    <t>https://vk.com/tokyola</t>
  </si>
  <si>
    <t>https://www.instagram.com/tokyo_yola</t>
  </si>
  <si>
    <t>47.91912 56.633551</t>
  </si>
  <si>
    <t>+7 (8362) 29-36-89</t>
  </si>
  <si>
    <t>47.903108 56.646713</t>
  </si>
  <si>
    <t>Церковь Всех Святых на Туруновском кладбище</t>
  </si>
  <si>
    <t>Ленинградская ул., 1/1, Йошкар-Ола</t>
  </si>
  <si>
    <t>http://hvs-turunovo.cerkov.ru/</t>
  </si>
  <si>
    <t>47.979961 56.634599</t>
  </si>
  <si>
    <t>Концерт12</t>
  </si>
  <si>
    <t>+7 (8362) 20-43-12</t>
  </si>
  <si>
    <t xml:space="preserve">teatrmagic@mail.ru </t>
  </si>
  <si>
    <t>Театрально-концертная касса</t>
  </si>
  <si>
    <t>http://vk.com/club24368147</t>
  </si>
  <si>
    <t>https://slaviabag.ru/, https://bit.ly/2J5nDTe</t>
  </si>
  <si>
    <t>https://www.instagram.com/sumki_slavia/</t>
  </si>
  <si>
    <t>47.895034 56.640421</t>
  </si>
  <si>
    <t>Вулкан</t>
  </si>
  <si>
    <t>+7 (8362) 56-94-33</t>
  </si>
  <si>
    <t>+7 (902) 745-77-91</t>
  </si>
  <si>
    <t>ТеплоГазСтрой</t>
  </si>
  <si>
    <t>+7 (8362) 56-20-80, +7 (8362) 56-21-00, +7 (8362) 56-25-13</t>
  </si>
  <si>
    <t>Часовня Николая Чудотворца в Йошкар-Оле</t>
  </si>
  <si>
    <t>Первомайская ул., 166А, Йошкар-Ола</t>
  </si>
  <si>
    <t>47.881134 56.630221</t>
  </si>
  <si>
    <t>Маникюрный кабинет</t>
  </si>
  <si>
    <t>+7 (8362) 20-50-45</t>
  </si>
  <si>
    <t>пн-сб 09:00–18:00; вс 09:00–15:00</t>
  </si>
  <si>
    <t>+7 (8362) 77-08-95</t>
  </si>
  <si>
    <t>47.917702 56.62742</t>
  </si>
  <si>
    <t>Охотхозяйство Теплая речка</t>
  </si>
  <si>
    <t>+7 (8362) 65-63-15</t>
  </si>
  <si>
    <t xml:space="preserve">info@vtr12.ru  </t>
  </si>
  <si>
    <t>http://vtr12.ru/</t>
  </si>
  <si>
    <t>Дом отдыха, Клуб охотников и рыболовов, Турбаза</t>
  </si>
  <si>
    <t>http://vk.com/teplaya_rechka</t>
  </si>
  <si>
    <t>47.97996 56.634632</t>
  </si>
  <si>
    <t>Alibi</t>
  </si>
  <si>
    <t>Бар, паб, Ночной клуб</t>
  </si>
  <si>
    <t>пн-чт 18:00–06:00; пт 19:00–23:00; сб 06:00–23:00, перерыв 07:00–19:00; вс 06:00–23:00, перерыв 07:00–18:00</t>
  </si>
  <si>
    <t>https://vk.com/alibi12</t>
  </si>
  <si>
    <t>http://facebook.com/pages/клуб-и-караоке-алиби/429349490449224</t>
  </si>
  <si>
    <t>https://www.instagram.com/bar_alibi_12</t>
  </si>
  <si>
    <t>47.892448 56.638524</t>
  </si>
  <si>
    <t>+7 (902) 325-38-62</t>
  </si>
  <si>
    <t>47.8846 56.6228</t>
  </si>
  <si>
    <t>Юрист Бирюков Д. П.</t>
  </si>
  <si>
    <t>+7 (902) 435-77-01</t>
  </si>
  <si>
    <t xml:space="preserve">birukovdmitry@mail.ru </t>
  </si>
  <si>
    <t>http://www.юристбирюков.рф/</t>
  </si>
  <si>
    <t>Геос</t>
  </si>
  <si>
    <t>+7 (8362) 20-44-44, +7 (8362) 33-84-44</t>
  </si>
  <si>
    <t>+7 (902) 102-84-44</t>
  </si>
  <si>
    <t>Свежий хлеб</t>
  </si>
  <si>
    <t>ежедневно, 07:30–19:00</t>
  </si>
  <si>
    <t>47.883548 56.645529</t>
  </si>
  <si>
    <t>Yo Nail</t>
  </si>
  <si>
    <t>+7 (927) 875-88-83</t>
  </si>
  <si>
    <t>ул. Строителей, 94А, Йошкар-Ола</t>
  </si>
  <si>
    <t>+7 (927) 683-93-16, +7 (927) 684-49-40</t>
  </si>
  <si>
    <t xml:space="preserve">asforvard12@yandex.ru  </t>
  </si>
  <si>
    <t>http://evakuator.forvard12.ru/</t>
  </si>
  <si>
    <t>Автосервис, автотехцентр, Автотехпомощь, эвакуация автомобилей, Спецтехника и спецавтомобили</t>
  </si>
  <si>
    <t>Геркулес</t>
  </si>
  <si>
    <t>+7 (8362) 51-89-41</t>
  </si>
  <si>
    <t>+7 (964) 861-89-41</t>
  </si>
  <si>
    <t xml:space="preserve">gerkules12@bk.ru  </t>
  </si>
  <si>
    <t>http://gerkules12.ru/</t>
  </si>
  <si>
    <t>Спортивное питание, Спортивный магазин</t>
  </si>
  <si>
    <t>https://vk.com/gerkules12</t>
  </si>
  <si>
    <t>+7 (964) 861-58-30</t>
  </si>
  <si>
    <t>вт,пт 10:00–18:00; сб 10:00–15:00</t>
  </si>
  <si>
    <t>+7 (8362) 33-06-59</t>
  </si>
  <si>
    <t>+7 (927) 870-92-09</t>
  </si>
  <si>
    <t>ср-сб 10:00–18:00</t>
  </si>
  <si>
    <t>https://vk.com/club25200956</t>
  </si>
  <si>
    <t>47.889674 56.642734</t>
  </si>
  <si>
    <t>Центр развития интеллекта</t>
  </si>
  <si>
    <t>+7 (964) 860-06-06</t>
  </si>
  <si>
    <t>Курсы иностранных языков, Центр развития ребенка</t>
  </si>
  <si>
    <t>47.879619 56.632999</t>
  </si>
  <si>
    <t>Магазин парфюмерии и косметики, Средства гигиены</t>
  </si>
  <si>
    <t>47.832994 56.636719</t>
  </si>
  <si>
    <t>47.843487 56.640972</t>
  </si>
  <si>
    <t>Сервисная компания</t>
  </si>
  <si>
    <t>+7 (8362) 44-44-08</t>
  </si>
  <si>
    <t>Вывоз мусора и отходов</t>
  </si>
  <si>
    <t>пн-пт 08:00–17:00; сб,вс 09:00–15:00</t>
  </si>
  <si>
    <t>Аренда манипулятора</t>
  </si>
  <si>
    <t>Россия, Республика Марий Эл, Йошкар-Ола, Ленинский проспект</t>
  </si>
  <si>
    <t>+7 (8362) 99-55-77</t>
  </si>
  <si>
    <t>Автомобильные грузоперевозки, Аренда строительной и спецтехники</t>
  </si>
  <si>
    <t>47.900821 56.628183</t>
  </si>
  <si>
    <t>Душечка-подушечка</t>
  </si>
  <si>
    <t>47.894936 56.639867</t>
  </si>
  <si>
    <t>Маме на радость</t>
  </si>
  <si>
    <t>+7 (8362) 99-46-80</t>
  </si>
  <si>
    <t>+7 (902) 329-46-80</t>
  </si>
  <si>
    <t>пн-пт 09:00–18:30; сб,вс 10:00–17:00</t>
  </si>
  <si>
    <t>Rubber paint</t>
  </si>
  <si>
    <t>+7 (917) 717-27-01, +7 (987) 712-34-25</t>
  </si>
  <si>
    <t>47.878867 56.636505</t>
  </si>
  <si>
    <t>+7 (917) 070-49-16, +7 (939) 722-07-03, +7 (917) 703-74-48, +7 (987) 709-46-32</t>
  </si>
  <si>
    <t>47.8763 56.6144</t>
  </si>
  <si>
    <t>Местное время. Марий Эл</t>
  </si>
  <si>
    <t>+7 (8362) 30-46-17</t>
  </si>
  <si>
    <t>ЗМК Кова</t>
  </si>
  <si>
    <t>ул. Строителей, 98Д, Йошкар-Ола</t>
  </si>
  <si>
    <t>8 (800) 775-51-92</t>
  </si>
  <si>
    <t>47.868913 56.610042</t>
  </si>
  <si>
    <t>Эстет</t>
  </si>
  <si>
    <t>ул. Карла Либкнехта, 88, Йошкар-Ола</t>
  </si>
  <si>
    <t>+7 (8362) 41-75-07</t>
  </si>
  <si>
    <t>47.943843 56.636029</t>
  </si>
  <si>
    <t>Деньги сейЧАС</t>
  </si>
  <si>
    <t>47.894327 56.640579</t>
  </si>
  <si>
    <t>Jazz</t>
  </si>
  <si>
    <t>Русская рыбалка</t>
  </si>
  <si>
    <t>+7 (8362) 35-51-44</t>
  </si>
  <si>
    <t>Покровские пекарни</t>
  </si>
  <si>
    <t>+7 (937) 937-11-10</t>
  </si>
  <si>
    <t>Кофейня, Магазин продуктов</t>
  </si>
  <si>
    <t>47.888289 56.628347</t>
  </si>
  <si>
    <t>Строймакс</t>
  </si>
  <si>
    <t>+7 (8362) 39-04-01, +7 (8362) 42-21-22, +7 (8362) 39-49-70</t>
  </si>
  <si>
    <t xml:space="preserve">stroymaks12@mail.ru </t>
  </si>
  <si>
    <t>https://stroymaks12.ru/</t>
  </si>
  <si>
    <t>Строительная компания, Строительные и отделочные работы, Строительство дачных домов и коттеджей</t>
  </si>
  <si>
    <t>https://www.facebook.com/profile.php?id=100019459382000</t>
  </si>
  <si>
    <t>https://www.instagram.com/stroymaks12/</t>
  </si>
  <si>
    <t>Ленинский просп., 22В, Йошкар-Ола</t>
  </si>
  <si>
    <t>8 (800) 700-40-32</t>
  </si>
  <si>
    <t xml:space="preserve">office@pokrovskie-pekarni.ru, marketolog@pokrovskie-pekarni.ru  </t>
  </si>
  <si>
    <t>https://pokrovskie-pekarni.ru/</t>
  </si>
  <si>
    <t>https://vk.com/pekarnidedapokrova</t>
  </si>
  <si>
    <t>https://www.instagram.com/pekarnidedapokrova/</t>
  </si>
  <si>
    <t>47.908527 56.627211</t>
  </si>
  <si>
    <t>+7 (8362) 37-44-50</t>
  </si>
  <si>
    <t>вт-пт 11:00–18:30; сб 11:00–16:00</t>
  </si>
  <si>
    <t>Частный детский сад МалышOk</t>
  </si>
  <si>
    <t>+7 (917) 709-49-18</t>
  </si>
  <si>
    <t xml:space="preserve">xenyahalt@yandex.ru  </t>
  </si>
  <si>
    <t>https://vk.com/yasli_malyshok</t>
  </si>
  <si>
    <t>Телемастерская</t>
  </si>
  <si>
    <t>+7 (902) 107-55-07</t>
  </si>
  <si>
    <t>47.926188 56.635152</t>
  </si>
  <si>
    <t>H-Point</t>
  </si>
  <si>
    <t>+7 (902) 329-93-12</t>
  </si>
  <si>
    <t xml:space="preserve">shagi312@mail.ru </t>
  </si>
  <si>
    <t>http://эйчпоинт.рус/</t>
  </si>
  <si>
    <t>Изделия для производств</t>
  </si>
  <si>
    <t>Резиновые и резинотехнические изделия, Рукава и шланги</t>
  </si>
  <si>
    <t>пн-пт 08:30–17:30; сб 08:30–15:00</t>
  </si>
  <si>
    <t>https://vk.com/hydravia</t>
  </si>
  <si>
    <t>https://www.facebook.com/Hydravia1</t>
  </si>
  <si>
    <t>https://www.youtube.com/user/hydravia1</t>
  </si>
  <si>
    <t>47.863674 56.618286</t>
  </si>
  <si>
    <t>Компания Стройцентр Горизонт</t>
  </si>
  <si>
    <t>+7 (8362) 32-00-26</t>
  </si>
  <si>
    <t>Удостоверяющий центр Эцп</t>
  </si>
  <si>
    <t>8 (800) 333-79-05</t>
  </si>
  <si>
    <t xml:space="preserve">name@gmail.com </t>
  </si>
  <si>
    <t>http://йошкар-ола.электронная-подпись.онлайн/</t>
  </si>
  <si>
    <t>Церковь Серафима Саровского</t>
  </si>
  <si>
    <t>ул. Мира, 21А, Йошкар-Ола</t>
  </si>
  <si>
    <t>+7 (8362) 42-98-58</t>
  </si>
  <si>
    <t xml:space="preserve">support@ortox.ru, b0f018c078774f089c4b2be155e032a8@app.getsentry.com </t>
  </si>
  <si>
    <t>47.953782 56.62272</t>
  </si>
  <si>
    <t>Здоровье для всех</t>
  </si>
  <si>
    <t>+7 (8362) 21-73-19</t>
  </si>
  <si>
    <t>Медицинские изделия и расходные материалы</t>
  </si>
  <si>
    <t>Smart Baby Watch</t>
  </si>
  <si>
    <t>+7 (987) 705-38-46</t>
  </si>
  <si>
    <t>пн,сб 09:00–18:00</t>
  </si>
  <si>
    <t>Modno</t>
  </si>
  <si>
    <t>Диванчики</t>
  </si>
  <si>
    <t>Ленинский просп., 45, Йошкар-Ола</t>
  </si>
  <si>
    <t>+7 (902) 104-33-26</t>
  </si>
  <si>
    <t xml:space="preserve">mebelicity@yandex.ru </t>
  </si>
  <si>
    <t>Магазин мебели, Мягкая мебель, Товары для интерьера</t>
  </si>
  <si>
    <t>47.879288 56.632476</t>
  </si>
  <si>
    <t>Кондитерская, Магазин продуктов</t>
  </si>
  <si>
    <t>47.892442 56.645746</t>
  </si>
  <si>
    <t>M-Klassik</t>
  </si>
  <si>
    <t>+7 (987) 709-62-29</t>
  </si>
  <si>
    <t>47.893241 56.638587</t>
  </si>
  <si>
    <t>MarketStone</t>
  </si>
  <si>
    <t>Бетон, бетонные изделия, Облицовочные материалы, Фасады и фасадные системы</t>
  </si>
  <si>
    <t>https://vk.com/club131034618</t>
  </si>
  <si>
    <t>47.888894 56.615507</t>
  </si>
  <si>
    <t>Франтики</t>
  </si>
  <si>
    <t>ул. Логинова, 1, Йошкар-Ола</t>
  </si>
  <si>
    <t>+7 (8362) 37-97-97</t>
  </si>
  <si>
    <t>+7 (927) 877-71-09</t>
  </si>
  <si>
    <t>47.875434 56.633921</t>
  </si>
  <si>
    <t>ТЦ БУМ</t>
  </si>
  <si>
    <t>Магазин мебели, Магазин одежды, Торговый центр</t>
  </si>
  <si>
    <t>47.845571 56.64113</t>
  </si>
  <si>
    <t>Мастерская по ремонту одежды</t>
  </si>
  <si>
    <t>+7 (8362) 92-95-53</t>
  </si>
  <si>
    <t>47.892574 56.638696</t>
  </si>
  <si>
    <t>Умка</t>
  </si>
  <si>
    <t>Ленинский просп., 42, Йошкар-Ола</t>
  </si>
  <si>
    <t>47.877932 56.634006</t>
  </si>
  <si>
    <t>+7 (917) 710-91-77</t>
  </si>
  <si>
    <t>пн-сб 07:00–20:00; вс 08:00–20:00</t>
  </si>
  <si>
    <t>47.886853 56.627121</t>
  </si>
  <si>
    <t>Марий Эл телерадио</t>
  </si>
  <si>
    <t>+7 (8362) 64-18-44, +7 (8362) 45-31-60</t>
  </si>
  <si>
    <t>47.882819 56.629615</t>
  </si>
  <si>
    <t>47.893371 56.645234</t>
  </si>
  <si>
    <t>Русский клуб Деловой Авиации</t>
  </si>
  <si>
    <t>+7 (917) 666-00-05</t>
  </si>
  <si>
    <t>Аренда и заказ самолетов, вертолетов, Грузовые авиаперевозки, Прокат автомобилей</t>
  </si>
  <si>
    <t>Avon</t>
  </si>
  <si>
    <t>+7 (987) 727-15-74, +7 (902) 671-33-15</t>
  </si>
  <si>
    <t>Парфюмерно-косметическая компания, Пункт выдачи, Распространители косметики и бытовой химии</t>
  </si>
  <si>
    <t>пн-пт 12:00–18:00, перерыв 14:00–16:00; сб 12:00–14:00</t>
  </si>
  <si>
    <t>47.91771 56.627427</t>
  </si>
  <si>
    <t>Автокард</t>
  </si>
  <si>
    <t>Фестивальная ул., 70А, Йошкар-Ола</t>
  </si>
  <si>
    <t>+7 (8362) 46-43-42</t>
  </si>
  <si>
    <t xml:space="preserve">office@autocard-yug.ru, msobol@autocard-yug.ru, amanasova@autocard-yug.ru, lebedevamv@autocard-yug.ru, nshevchuk@autocard-yug.ru  </t>
  </si>
  <si>
    <t>http://autocard-yug.ru/</t>
  </si>
  <si>
    <t>АЗС, Топливные карты</t>
  </si>
  <si>
    <t>47.8422 56.6418</t>
  </si>
  <si>
    <t>Dress line</t>
  </si>
  <si>
    <t>УютСервис</t>
  </si>
  <si>
    <t>ул. Зарубина, 38, Йошкар-Ола</t>
  </si>
  <si>
    <t>+7 (903) 326-17-83</t>
  </si>
  <si>
    <t xml:space="preserve">info@us12.ru </t>
  </si>
  <si>
    <t>Монтаж и обслуживание систем водоснабжения и канализации, Системы водоснабжения, отопления, канализации</t>
  </si>
  <si>
    <t>https://vk.com/us12_ru</t>
  </si>
  <si>
    <t>47.871922 56.635031</t>
  </si>
  <si>
    <t>Стройтехснаб</t>
  </si>
  <si>
    <t>+7 (8362) 25-92-49</t>
  </si>
  <si>
    <t>Строительные и отделочные работы, Строительные леса</t>
  </si>
  <si>
    <t>http://vk.com/id348568721</t>
  </si>
  <si>
    <t>47.8373 56.62503</t>
  </si>
  <si>
    <t>47.894328 56.640617</t>
  </si>
  <si>
    <t>ПКФ Транс-Ойл</t>
  </si>
  <si>
    <t>+7 (8362) 56-12-17, +7 (8362) 56-12-23, +7 (8362) 56-11-13</t>
  </si>
  <si>
    <t>ул. Рябинина, 21, Йошкар-Ола</t>
  </si>
  <si>
    <t>47.873207 56.636575</t>
  </si>
  <si>
    <t>Фотосессия новорожденных, фотостудия РгоСчастье</t>
  </si>
  <si>
    <t>+7 (927) 888-55-38</t>
  </si>
  <si>
    <t xml:space="preserve">info@kategreen.ru  </t>
  </si>
  <si>
    <t>http://kategreen.ru/</t>
  </si>
  <si>
    <t>https://vk.com/by_kategreen</t>
  </si>
  <si>
    <t>https://www.instagram.com/kategreen.ru</t>
  </si>
  <si>
    <t>47.840014 56.625896</t>
  </si>
  <si>
    <t>Городская служба кадров</t>
  </si>
  <si>
    <t>пн-пт 08:00–20:00; сб,вс 10:00–19:00</t>
  </si>
  <si>
    <t>47.898578 56.635339</t>
  </si>
  <si>
    <t>МетАллекс</t>
  </si>
  <si>
    <t>+7 (8362) 32-46-69</t>
  </si>
  <si>
    <t xml:space="preserve">metallex12@mail.ru  </t>
  </si>
  <si>
    <t>http://metallex12.ru/</t>
  </si>
  <si>
    <t>Bond non</t>
  </si>
  <si>
    <t>+7 (8362) 47-26-20</t>
  </si>
  <si>
    <t xml:space="preserve">siparis@bondnon.com  </t>
  </si>
  <si>
    <t>http://bondnon.com/</t>
  </si>
  <si>
    <t>Салон мебели</t>
  </si>
  <si>
    <t>+7 (8362) 42-48-00</t>
  </si>
  <si>
    <t>47.889799 56.641525</t>
  </si>
  <si>
    <t>ГАЗ Маг Моторс</t>
  </si>
  <si>
    <t>ул. Строителей, 110Б, Йошкар-Ола</t>
  </si>
  <si>
    <t>+7 (8362) 38-30-30, +7 (8362) 64-60-60</t>
  </si>
  <si>
    <t xml:space="preserve">gaz-info@mag-motors.ru  </t>
  </si>
  <si>
    <t>http://mag-motors.azgaz.ru/</t>
  </si>
  <si>
    <t>47.886722 56.6088</t>
  </si>
  <si>
    <t>Пленочные системы отопления</t>
  </si>
  <si>
    <t>+7 (8362) 51-24-24, +7 (8362) 50-99-21</t>
  </si>
  <si>
    <t>+7 (917) 715-50-50</t>
  </si>
  <si>
    <t>+7 (964) 863-69-79</t>
  </si>
  <si>
    <t xml:space="preserve">domstudio-12@yandex.ru, lena8925@yandex.ru  </t>
  </si>
  <si>
    <t>Аренда фотостудий, Фотоуслуги</t>
  </si>
  <si>
    <t>https://vk.com/svadbyfoto12</t>
  </si>
  <si>
    <t>Мартеплострой</t>
  </si>
  <si>
    <t>+7 (8362) 21-32-04</t>
  </si>
  <si>
    <t>Устрой Дом</t>
  </si>
  <si>
    <t>ул. Карла Маркса, 120А, Йошкар-Ола</t>
  </si>
  <si>
    <t>+7 (927) 888-85-49</t>
  </si>
  <si>
    <t xml:space="preserve">ustroydom@bk.ru </t>
  </si>
  <si>
    <t>Интернет-магазин, Ламинат, Линолеум, Паркет</t>
  </si>
  <si>
    <t>http://vk.com/club55864517</t>
  </si>
  <si>
    <t>47.892979 56.62648</t>
  </si>
  <si>
    <t>Анкебио.рф</t>
  </si>
  <si>
    <t>Фестивальная ул., 69, Йошкар-Ола</t>
  </si>
  <si>
    <t>+7 (495) 227-22-05</t>
  </si>
  <si>
    <t>+7 (927) 875-80-18</t>
  </si>
  <si>
    <t xml:space="preserve">ankebiorus@gmail.com </t>
  </si>
  <si>
    <t>http://анкебио.рф/</t>
  </si>
  <si>
    <t>Интернет-магазин, Пункт выдачи, Спортивное питание</t>
  </si>
  <si>
    <t>https://vk.com/ankebio_msk</t>
  </si>
  <si>
    <t>https://ok.ru/group/53212480077955/market</t>
  </si>
  <si>
    <t>47.835424 56.645777</t>
  </si>
  <si>
    <t>3D декор</t>
  </si>
  <si>
    <t>ул. Карла Маркса, 118А, Йошкар-Ола</t>
  </si>
  <si>
    <t>+7 (8362) 56-68-26</t>
  </si>
  <si>
    <t>+7 (927) 876-59-52, +7 (987) 730-38-54</t>
  </si>
  <si>
    <t>47.893787 56.626693</t>
  </si>
  <si>
    <t>Антошка</t>
  </si>
  <si>
    <t>+7 (987) 727-13-04, +7 (987) 703-89-82</t>
  </si>
  <si>
    <t>Детские игрушки и игры, Детский магазин, Детский сад</t>
  </si>
  <si>
    <t>47.901335 56.639987</t>
  </si>
  <si>
    <t>Автозапчасти для иномарок</t>
  </si>
  <si>
    <t>+7 (902) 745-31-31</t>
  </si>
  <si>
    <t>http://vk.com/bikar110</t>
  </si>
  <si>
    <t>Старое депо</t>
  </si>
  <si>
    <t xml:space="preserve">yolatrain@gmail.com  </t>
  </si>
  <si>
    <t>http://hoteltrain.ru/</t>
  </si>
  <si>
    <t>47.878464 56.620816</t>
  </si>
  <si>
    <t>Глобал</t>
  </si>
  <si>
    <t>+7 (8362) 45-30-98</t>
  </si>
  <si>
    <t>Магазин медицинских товаров, Медицинское оборудование, медтехника</t>
  </si>
  <si>
    <t>ул. Льва Толстого, 13, Йошкар-Ола</t>
  </si>
  <si>
    <t>+7 (902) 672-77-20</t>
  </si>
  <si>
    <t>https://эвакуатор-в-йошкар-оле.рф/</t>
  </si>
  <si>
    <t>47.90542 56.644569</t>
  </si>
  <si>
    <t>+7 (8362) 75-27-54, +7 (8362) 43-55-01</t>
  </si>
  <si>
    <t>Автомобильные грузоперевозки, Услуги грузчиков</t>
  </si>
  <si>
    <t>Пункт выдачи интернет-магазина Онлайнтрейд.ру</t>
  </si>
  <si>
    <t>8 (800) 555-40-94, +7 (8362) 34-70-73</t>
  </si>
  <si>
    <t xml:space="preserve">pr@onlinetrade.ru, example@email.ru  </t>
  </si>
  <si>
    <t>http://onlinetrade.ru/</t>
  </si>
  <si>
    <t>https://vk.com/onlinetrade</t>
  </si>
  <si>
    <t>http://twitter.com/online_trade</t>
  </si>
  <si>
    <t>http://www.facebook.com/onlinetrade.shop</t>
  </si>
  <si>
    <t>47.892239 56.63828</t>
  </si>
  <si>
    <t>Резные свечи ручной работы Феникс</t>
  </si>
  <si>
    <t>+7 (987) 718-93-78</t>
  </si>
  <si>
    <t>Магазин подарков и сувениров, Товары для интерьера, Товары для праздника</t>
  </si>
  <si>
    <t>Консультант</t>
  </si>
  <si>
    <t>+7 (8362) 50-26-89</t>
  </si>
  <si>
    <t>+7 (964) 860-26-89</t>
  </si>
  <si>
    <t xml:space="preserve">buh@konsultant12.ru, newster1@yandex.ru  </t>
  </si>
  <si>
    <t>http://konsultant12.ru/</t>
  </si>
  <si>
    <t>ЦТО Люкс</t>
  </si>
  <si>
    <t>+7 (937) 939-43-23</t>
  </si>
  <si>
    <t xml:space="preserve">cto-yola@mail.ru  </t>
  </si>
  <si>
    <t>http://cto-yola.ru/</t>
  </si>
  <si>
    <t>Автомобильные тахографы, Кассовые аппараты и расходные материалы</t>
  </si>
  <si>
    <t>Тайга</t>
  </si>
  <si>
    <t>+7 (927) 873-31-11</t>
  </si>
  <si>
    <t xml:space="preserve">profsystem12@mail.ru </t>
  </si>
  <si>
    <t>Кондиционеры, Системы вентиляции, Системы водоснабжения, отопления, канализации, Установка кондиционеров</t>
  </si>
  <si>
    <t>https://vk.com/condik</t>
  </si>
  <si>
    <t>Светофор</t>
  </si>
  <si>
    <t>+7 (8362) 45-69-70</t>
  </si>
  <si>
    <t xml:space="preserve">dir_mtsensk@torg4.ru  </t>
  </si>
  <si>
    <t>https://vk.com/svetofor_yoshkar_ola</t>
  </si>
  <si>
    <t>47.878983 56.61353</t>
  </si>
  <si>
    <t>ул. Строителей, 36Б, Йошкар-Ола</t>
  </si>
  <si>
    <t>+7 (8362) 25-40-45</t>
  </si>
  <si>
    <t>пн-сб 08:00–22:00</t>
  </si>
  <si>
    <t>47.830375 56.637199</t>
  </si>
  <si>
    <t>Aquas-club.ru</t>
  </si>
  <si>
    <t>+7 (927) 884-33-55</t>
  </si>
  <si>
    <t xml:space="preserve">aquas-club@yandex.ru  </t>
  </si>
  <si>
    <t>https://aquas-club.ru/</t>
  </si>
  <si>
    <t>47.901839 56.645705</t>
  </si>
  <si>
    <t>ЭкоГео</t>
  </si>
  <si>
    <t>+7 (916) 555-66-62</t>
  </si>
  <si>
    <t>Буровые работы, Геология, геофизика, Изыскательские работы</t>
  </si>
  <si>
    <t>Единая Волна</t>
  </si>
  <si>
    <t>+7 (8362) 30-49-94, +7 (8362) 95-98-28</t>
  </si>
  <si>
    <t>+7 (8362) 41-73-81</t>
  </si>
  <si>
    <t>47.876788 56.648432</t>
  </si>
  <si>
    <t>Центр Тепла</t>
  </si>
  <si>
    <t>+7 (917) 711-69-64</t>
  </si>
  <si>
    <t xml:space="preserve">teplosvet34@yandex.ru, chtkmos@yandex.ru, chtkvolgograd@rambler.ru, komfort.s@mail.ru, ip_buzina@mail.ru, irinka.buzina@mail.ru, info@2pol.ru, teplo-c@mail.ru, chtk21@mail.ru, 161@orteplo.ru </t>
  </si>
  <si>
    <t>http://21teplo.ru/</t>
  </si>
  <si>
    <t>Кабель и провод, Напольные покрытия, Отопительное оборудование и системы</t>
  </si>
  <si>
    <t>http://vk.com/teplo527171</t>
  </si>
  <si>
    <t>47.899292 56.651599</t>
  </si>
  <si>
    <t>ПК Афродита</t>
  </si>
  <si>
    <t>+7 (8362) 56-60-16</t>
  </si>
  <si>
    <t>47.892386 56.632248</t>
  </si>
  <si>
    <t>Окна пластиковые и рулонные шторы Новый мир</t>
  </si>
  <si>
    <t>+7 (8362) 52-52-25</t>
  </si>
  <si>
    <t>+7 (987) 722-64-32</t>
  </si>
  <si>
    <t>пн-пт 09:00–18:00, перерыв 12:00–13:00; сб,вс 09:00–17:00, перерыв 12:00–13:00</t>
  </si>
  <si>
    <t>https://vk.com/plastikovie_okna_yoshkar_ola</t>
  </si>
  <si>
    <t>Матрёшка</t>
  </si>
  <si>
    <t>+7 (8362) 99-41-44</t>
  </si>
  <si>
    <t>+7 (917) 703-47-43</t>
  </si>
  <si>
    <t>https://www.instagram.com/beauty_studio_matreshka_style/</t>
  </si>
  <si>
    <t>47.889608 56.632221</t>
  </si>
  <si>
    <t>Травертина</t>
  </si>
  <si>
    <t>+7 (927) 991-52-55, +7 (927) 666-28-28</t>
  </si>
  <si>
    <t xml:space="preserve">admin@website.ru, travertina121@mail.ru </t>
  </si>
  <si>
    <t>http://травертина.рф/</t>
  </si>
  <si>
    <t>Изделия из камня, Магазин мебели, Мебель для ванных комнат, Мебель для кухни, Мебельная фурнитура и комплектующие</t>
  </si>
  <si>
    <t>ВерСталь</t>
  </si>
  <si>
    <t>8 (800) 550-86-90</t>
  </si>
  <si>
    <t xml:space="preserve">zakaz@verstal.su  </t>
  </si>
  <si>
    <t>http://verstal.su/</t>
  </si>
  <si>
    <t>Автосервисное и гаражное оборудование, Металлическая мебель, Стеллажи</t>
  </si>
  <si>
    <t>https://vk.com/verstal43</t>
  </si>
  <si>
    <t>Эвакуатор Автоспасатель</t>
  </si>
  <si>
    <t>ул. Лобачевского, 3, Йошкар-Ола</t>
  </si>
  <si>
    <t>+7 (902) 738-70-07</t>
  </si>
  <si>
    <t>http://evacuator12.ru/</t>
  </si>
  <si>
    <t>https://vk.com/evakuator_yoshkarola</t>
  </si>
  <si>
    <t>47.877429 56.631753</t>
  </si>
  <si>
    <t>+7 (960) 091-60-56, +7 (987) 715-74-59</t>
  </si>
  <si>
    <t>47.83602 56.64144</t>
  </si>
  <si>
    <t>Pro manicure</t>
  </si>
  <si>
    <t>+7 (927) 878-01-10</t>
  </si>
  <si>
    <t xml:space="preserve">shellac12@yandex.ru  </t>
  </si>
  <si>
    <t>http://yola.pro-manicure.ru/</t>
  </si>
  <si>
    <t>Магазин парфюмерии и косметики, Оборудование и материалы для салонов красоты, Оптовый магазин</t>
  </si>
  <si>
    <t>47.896362 56.627424</t>
  </si>
  <si>
    <t>Все для бильярда</t>
  </si>
  <si>
    <t>+7 (927) 882-27-51</t>
  </si>
  <si>
    <t>Магазин бильярда, Спортивный инвентарь и оборудование</t>
  </si>
  <si>
    <t>Дизайнер Анастасия Соколова</t>
  </si>
  <si>
    <t>+7 (937) 114-99-98</t>
  </si>
  <si>
    <t>Ah Альянс</t>
  </si>
  <si>
    <t>+7 (8362) 20-02-10, +7 (8362) 20-03-01</t>
  </si>
  <si>
    <t>+7 (902) 105-90-09</t>
  </si>
  <si>
    <t>Мебель-Сити</t>
  </si>
  <si>
    <t>+7 (917) 703-10-60</t>
  </si>
  <si>
    <t>https://vk.com/mebelcity12</t>
  </si>
  <si>
    <t>Melonradio</t>
  </si>
  <si>
    <t>+7 (8362) 32-81-90</t>
  </si>
  <si>
    <t>47.894901 56.635838</t>
  </si>
  <si>
    <t>КРК-Строй</t>
  </si>
  <si>
    <t>+7 (927) 882-10-40</t>
  </si>
  <si>
    <t>47.8917 56.6215</t>
  </si>
  <si>
    <t>Посуда 12</t>
  </si>
  <si>
    <t>+7 (8362) 21-43-33</t>
  </si>
  <si>
    <t>+7 (917) 715-45-54, +7 (927) 882-56-11</t>
  </si>
  <si>
    <t xml:space="preserve">merida.opt@gmail.com, admin@posuda12.com  </t>
  </si>
  <si>
    <t>http://posuda12.com/</t>
  </si>
  <si>
    <t>Магазин посуды, Магазин хозтоваров и бытовой химии, Оборудование для ресторанов, Оптовый магазин, Посуда оптом</t>
  </si>
  <si>
    <t>http://vk.com/posuda12</t>
  </si>
  <si>
    <t>47.943966 56.629246</t>
  </si>
  <si>
    <t>ГазТехСервис</t>
  </si>
  <si>
    <t>+7 (8362) 26-26-13, +7 (8362) 26-26-27</t>
  </si>
  <si>
    <t>+7 (905) 008-77-99</t>
  </si>
  <si>
    <t xml:space="preserve">ym_gaztechservis@mail.ru </t>
  </si>
  <si>
    <t>http://avto12.pro/</t>
  </si>
  <si>
    <t>Автосервис, автотехцентр, Установка ГБО</t>
  </si>
  <si>
    <t>пн-пт 09:00–19:00; сб 10:00–19:00</t>
  </si>
  <si>
    <t>http://vk.com/club130194679</t>
  </si>
  <si>
    <t>47.833504 56.626665</t>
  </si>
  <si>
    <t>Этуаль</t>
  </si>
  <si>
    <t>47.883205 56.632938</t>
  </si>
  <si>
    <t>Россия, Республика Марий Эл, Йошкар-Ола, Пролетарская улица</t>
  </si>
  <si>
    <t>47.883986 56.647458</t>
  </si>
  <si>
    <t>бул. Ураева, 5Б, Йошкар-Ола</t>
  </si>
  <si>
    <t>47.930267 56.636964</t>
  </si>
  <si>
    <t>Стройка-Хаус</t>
  </si>
  <si>
    <t>+7 (8362) 34-40-45</t>
  </si>
  <si>
    <t>ул. Анциферова, 1, Йошкар-Ола</t>
  </si>
  <si>
    <t>+7 (8362) 55-86-86</t>
  </si>
  <si>
    <t>47.863702 56.651734</t>
  </si>
  <si>
    <t>Микстура</t>
  </si>
  <si>
    <t>+7 (8362) 23-16-99</t>
  </si>
  <si>
    <t>47.907553 56.637302</t>
  </si>
  <si>
    <t>ул. Зарубина, 21А, Йошкар-Ола</t>
  </si>
  <si>
    <t>+7 (8362) 31-61-90, +7 (8362) 42-89-32</t>
  </si>
  <si>
    <t>+7 (917) 707-61-92</t>
  </si>
  <si>
    <t>http://vk.com/memorial12ru</t>
  </si>
  <si>
    <t>47.877582 56.630263</t>
  </si>
  <si>
    <t>+7 (8362) 50-10-73, +7 (8362) 50-10-72, +7 (8362) 38-40-31, +7 (8362) 38-40-30</t>
  </si>
  <si>
    <t>47.932328 56.631965</t>
  </si>
  <si>
    <t>ул. Кирова, 3А/1, Йошкар-Ола</t>
  </si>
  <si>
    <t>+7 (8362) 21-01-01, +7 (8362) 21-58-48</t>
  </si>
  <si>
    <t>Аварийная служба, Коммунальная служба</t>
  </si>
  <si>
    <t>Оригинал</t>
  </si>
  <si>
    <t>+7 (8362) 77-02-27, +7 (8362) 77-01-27</t>
  </si>
  <si>
    <t>+7 (902) 739-01-27, +7 (902) 739-02-27</t>
  </si>
  <si>
    <t>Бурение скважин</t>
  </si>
  <si>
    <t>+7 (8362) 47-00-00</t>
  </si>
  <si>
    <t>+7 (902) 100-95-55</t>
  </si>
  <si>
    <t>+7 (8362) 36-33-55</t>
  </si>
  <si>
    <t>4ski.ru</t>
  </si>
  <si>
    <t>+7 (927) 886-88-80</t>
  </si>
  <si>
    <t xml:space="preserve">contact@4ski.ru </t>
  </si>
  <si>
    <t>http://www.4ski.ru/</t>
  </si>
  <si>
    <t>Спортивный инвентарь и оборудование</t>
  </si>
  <si>
    <t>ГазПромТорг</t>
  </si>
  <si>
    <t>+7 (8362) 74-21-11</t>
  </si>
  <si>
    <t>+7 (937) 110-36-87</t>
  </si>
  <si>
    <t>+7 (8362) 74-16-50</t>
  </si>
  <si>
    <t xml:space="preserve">gazpromtorg@inbox.ru  </t>
  </si>
  <si>
    <t>http://gazpromtorg12.com/</t>
  </si>
  <si>
    <t>Водосчетчики, газосчетчики, теплосчетчики, Газовое оборудование, Отопительное оборудование и системы</t>
  </si>
  <si>
    <t>пн-пт 08:00–18:00; сб,вс 09:00–14:00</t>
  </si>
  <si>
    <t>http://vk.com/club121221919</t>
  </si>
  <si>
    <t>47.891334 56.620539</t>
  </si>
  <si>
    <t>8 (800) 333-22-44, +7 (8362) 73-46-32</t>
  </si>
  <si>
    <t>пн-пт 08:00–19:00; сб 09:00–19:00</t>
  </si>
  <si>
    <t>47.837894 56.635471</t>
  </si>
  <si>
    <t>ул. Зарубина, 40, Йошкар-Ола</t>
  </si>
  <si>
    <t>пн-пт 07:00–18:00; сб 09:00–15:00</t>
  </si>
  <si>
    <t>47.871652 56.635579</t>
  </si>
  <si>
    <t>Gipers Group</t>
  </si>
  <si>
    <t>+7 (925) 304-54-66</t>
  </si>
  <si>
    <t xml:space="preserve">info@gipersweb.ru </t>
  </si>
  <si>
    <t>Flower</t>
  </si>
  <si>
    <t>+7 (8362) 96-94-12</t>
  </si>
  <si>
    <t>47.924762 56.634631</t>
  </si>
  <si>
    <t>Центр Финансовых Консультаций Бизнес</t>
  </si>
  <si>
    <t>+7 (8362) 30-03-03, +7 (8362) 30-02-02, +7 (8362) 30-01-01, +7 (8362) 30-07-10</t>
  </si>
  <si>
    <t xml:space="preserve">vip.buh2016@mail.ru, info@cfk12.ru, is@cfk12.ru  </t>
  </si>
  <si>
    <t>Бухгалтерские услуги, Финансовый консалтинг, Юридические услуги</t>
  </si>
  <si>
    <t>пн-пт 08:30–17:00, перерыв 12:00–12:30</t>
  </si>
  <si>
    <t>https://vk.com/cfk12</t>
  </si>
  <si>
    <t>https://www.facebook.com/centrfin12</t>
  </si>
  <si>
    <t>47.898942 56.636631</t>
  </si>
  <si>
    <t>Glory</t>
  </si>
  <si>
    <t>По карману</t>
  </si>
  <si>
    <t>+7 (8362) 65-55-24</t>
  </si>
  <si>
    <t xml:space="preserve">01022013@mail.ru, uborka-novorossiysk.ru@mail.ru </t>
  </si>
  <si>
    <t>http://vk.com/karmany16a</t>
  </si>
  <si>
    <t>47.913455 56.626898</t>
  </si>
  <si>
    <t>Мото</t>
  </si>
  <si>
    <t>ул. Машиностроителей, 76Б, Йошкар-Ола</t>
  </si>
  <si>
    <t>+7 (8362) 63-99-14</t>
  </si>
  <si>
    <t>47.837106 56.625893</t>
  </si>
  <si>
    <t>Барселона</t>
  </si>
  <si>
    <t>47.892742 56.638755</t>
  </si>
  <si>
    <t>Steps-Wood</t>
  </si>
  <si>
    <t>+7 (917) 703-66-92, +7 (927) 683-31-73</t>
  </si>
  <si>
    <t>http://steps-wood.ru/</t>
  </si>
  <si>
    <t>Лестницы и лестничные ограждения, Мебель на заказ</t>
  </si>
  <si>
    <t>47.936044 56.644084</t>
  </si>
  <si>
    <t>МакАвто</t>
  </si>
  <si>
    <t>8 (800) 707-44-99, +7 (8362) 49-75-16, +7 (843) 280-06-89</t>
  </si>
  <si>
    <t>ежедневно, 06:00–05:00</t>
  </si>
  <si>
    <t>https://www.instagram.com/mcdonalds_rus</t>
  </si>
  <si>
    <t>47.887519 56.637995</t>
  </si>
  <si>
    <t>+7 (917) 700-14-40</t>
  </si>
  <si>
    <t xml:space="preserve">support@gmail.com, 411136@mail.ru, kira-81@inbox.ru, 410186@mail.ru  </t>
  </si>
  <si>
    <t>http://grad12.ru/</t>
  </si>
  <si>
    <t>Детская мебель, Корпусная мебель, Магазин мебели, Мягкая мебель</t>
  </si>
  <si>
    <t>https://vk.com/mebelgrad_yo</t>
  </si>
  <si>
    <t>47.886879 56.633243</t>
  </si>
  <si>
    <t>УниверсалПрофСервис</t>
  </si>
  <si>
    <t>+7 (903) 050-55-22, +7 (964) 860-85-12</t>
  </si>
  <si>
    <t>Оборудование для ресторанов, Ремонт промышленных холодильников</t>
  </si>
  <si>
    <t>Адвокат Сызранцева Е. Б.</t>
  </si>
  <si>
    <t>+7 (8362) 40-10-05</t>
  </si>
  <si>
    <t>+7 (929) 733-10-05</t>
  </si>
  <si>
    <t xml:space="preserve">snn71@inbox.ru  </t>
  </si>
  <si>
    <t>http://advokat012.ru/</t>
  </si>
  <si>
    <t>Fabest</t>
  </si>
  <si>
    <t>+7 (937) 930-87-08</t>
  </si>
  <si>
    <t xml:space="preserve">admin@elite-board.ru </t>
  </si>
  <si>
    <t>Справочник</t>
  </si>
  <si>
    <t>https://vk.com/newsmari</t>
  </si>
  <si>
    <t>Агентство путешествий Калипсо</t>
  </si>
  <si>
    <t>Комсомольская ул., 112А, Йошкар-Ола</t>
  </si>
  <si>
    <t>+7 (8362) 48-38-88, +7 (8362) 49-69-79</t>
  </si>
  <si>
    <t xml:space="preserve">bron@kalipsotravel.ru, info@kalipsotravel.ru, dir@kalipsotravel.ru  </t>
  </si>
  <si>
    <t>http://kalipsotravel.ru/</t>
  </si>
  <si>
    <t>http://vk.com/kalipsotravelru</t>
  </si>
  <si>
    <t>http://instagram.com/kalipsotravel</t>
  </si>
  <si>
    <t>Агроторг</t>
  </si>
  <si>
    <t>+7 (903) 616-58-09</t>
  </si>
  <si>
    <t>+7 (8362) 24-12-24</t>
  </si>
  <si>
    <t>Расходные материалы для оргтехники, Ремонт оргтехники</t>
  </si>
  <si>
    <t>ММ Люкс</t>
  </si>
  <si>
    <t>47.892576 56.638695</t>
  </si>
  <si>
    <t>ул. Пржевальского, 54, Йошкар-Ола</t>
  </si>
  <si>
    <t>+7 (917) 717-94-01</t>
  </si>
  <si>
    <t xml:space="preserve">nadezhda@remont-yola.ru  </t>
  </si>
  <si>
    <t>http://remont-yola.ru/</t>
  </si>
  <si>
    <t>47.846221 56.629733</t>
  </si>
  <si>
    <t>SmartBabyWatch</t>
  </si>
  <si>
    <t>+7 (906) 335-20-20, +7 (964) 860-33-23</t>
  </si>
  <si>
    <t xml:space="preserve">veronika2015@yandex.ru </t>
  </si>
  <si>
    <t>http://www.instagram.com/smartbabywatch_q90</t>
  </si>
  <si>
    <t>Адвокат, Юридическая помощь</t>
  </si>
  <si>
    <t>+7 (902) 100-04-46</t>
  </si>
  <si>
    <t xml:space="preserve">14370afcdc17429f9e418d5ffbd0334a@sentry.wixpress.com, ean1973@mail.ru, wixofday@wix.com  </t>
  </si>
  <si>
    <t>http://ean1973.wixsite.com/advokaterokhin-ru, http://ean1973.wix.com/advokaterokhin-ru</t>
  </si>
  <si>
    <t>47.879333 56.629624</t>
  </si>
  <si>
    <t>Аверс-право</t>
  </si>
  <si>
    <t>+7 (8362) 99-03-03</t>
  </si>
  <si>
    <t>+7 (902) 329-03-03</t>
  </si>
  <si>
    <t xml:space="preserve">14370afcdc17429f9e418d5ffbd0334a@sentry.wixpress.com, avers-pravo@mail.ru, wixofday@wix.com  </t>
  </si>
  <si>
    <t>http://www.avers-pravo.com/, https://averspravo.business.site/</t>
  </si>
  <si>
    <t>https://vk.com/public184779648</t>
  </si>
  <si>
    <t>Рядом с домом</t>
  </si>
  <si>
    <t>+7 (8362) 51-15-11</t>
  </si>
  <si>
    <t>Логопеды, Центр развития ребенка</t>
  </si>
  <si>
    <t>47.885752 56.63561</t>
  </si>
  <si>
    <t>МегаСтрой</t>
  </si>
  <si>
    <t>https://biglion.ru/yoshkarola/deals/game-territory-53/</t>
  </si>
  <si>
    <t>Детские игровые залы и площадки</t>
  </si>
  <si>
    <t>http://vk.com/deti_ola</t>
  </si>
  <si>
    <t>Счастливый день</t>
  </si>
  <si>
    <t>+7 (8362) 50-22-28</t>
  </si>
  <si>
    <t>47.829896 56.639702</t>
  </si>
  <si>
    <t>Домашняя фотостудия</t>
  </si>
  <si>
    <t>Апартаменты в Йошкар-Оле</t>
  </si>
  <si>
    <t>ул. Палантая, 85А, Йошкар-Ола</t>
  </si>
  <si>
    <t>+7 (987) 705-40-95, +7 (902) 737-52-12</t>
  </si>
  <si>
    <t>47.884319 56.627426</t>
  </si>
  <si>
    <t>Банно-оздоровительный комплекс Терем</t>
  </si>
  <si>
    <t>Речная ул., 76/2, Йошкар-Ола</t>
  </si>
  <si>
    <t>+7 (8362) 77-74-44</t>
  </si>
  <si>
    <t xml:space="preserve">saptheatre@yandex.ru, 333325_06@mail.ru </t>
  </si>
  <si>
    <t>http://vk.com/terem_yola</t>
  </si>
  <si>
    <t>47.86069 56.654715</t>
  </si>
  <si>
    <t>Турция</t>
  </si>
  <si>
    <t>Сейфы № 1 Йошкар-Ола</t>
  </si>
  <si>
    <t>+7 (917) 710-32-48</t>
  </si>
  <si>
    <t xml:space="preserve">info@safe-1.ru, info@kabinetof.ru  </t>
  </si>
  <si>
    <t>http://yoshkarola.safe-1.ru/</t>
  </si>
  <si>
    <t>Сейфы</t>
  </si>
  <si>
    <t>47.89748 56.61744</t>
  </si>
  <si>
    <t>Ревизоръ</t>
  </si>
  <si>
    <t>+7 (8362) 23-15-15, +7 (8362) 70-11-07</t>
  </si>
  <si>
    <t xml:space="preserve">aigik12@yandex.ru, hotel-revizor@yandex.ru  </t>
  </si>
  <si>
    <t>http://hotel-revizor.ru/</t>
  </si>
  <si>
    <t>https://vk.com/club124936417</t>
  </si>
  <si>
    <t>47.897996 56.630011</t>
  </si>
  <si>
    <t>+7 (902) 664-74-75, +7 (902) 738-75-67</t>
  </si>
  <si>
    <t>Ветер Перемен</t>
  </si>
  <si>
    <t xml:space="preserve">promo@remont-mo.ru </t>
  </si>
  <si>
    <t>http://joshkar-ola.remont-mo.ru/</t>
  </si>
  <si>
    <t>47.883404 56.61501</t>
  </si>
  <si>
    <t>+7 (8362) 51-05-61</t>
  </si>
  <si>
    <t>+7 (927) 682-48-38, +7 (964) 861-05-61</t>
  </si>
  <si>
    <t>Регистрация и ликвидация предприятий, Юридические услуги</t>
  </si>
  <si>
    <t>Входные двери Тайгер</t>
  </si>
  <si>
    <t>ул. Строителей, 95, корп. 7, Йошкар-Ола</t>
  </si>
  <si>
    <t>8 (800) 250-80-01, +7 (846) 374-05-74</t>
  </si>
  <si>
    <t xml:space="preserve">info@dveri-tiger.ru  </t>
  </si>
  <si>
    <t>http://dveri-tiger.ru/</t>
  </si>
  <si>
    <t>пн-пт 08:30–17:30; сб 10:00–14:00</t>
  </si>
  <si>
    <t>Семицветик</t>
  </si>
  <si>
    <t>+7 (8362) 51-61-75, +7 (8362) 51-61-74</t>
  </si>
  <si>
    <t>+7 (964) 861-61-75</t>
  </si>
  <si>
    <t>https://vk.com/7cvetikola</t>
  </si>
  <si>
    <t>47.889529 56.625139</t>
  </si>
  <si>
    <t>Церковь Троицы Живоначальной</t>
  </si>
  <si>
    <t>Вознесенская ул., 53, Йошкар-Ола</t>
  </si>
  <si>
    <t>+7 (8362) 45-32-62, +7 (8362) 45-00-09</t>
  </si>
  <si>
    <t xml:space="preserve">support@ortox.ru </t>
  </si>
  <si>
    <t>http://troitsky.cerkov.ru/</t>
  </si>
  <si>
    <t>ср 17:00–19:00; сб 08:00–18:00; вс 08:00–10:30</t>
  </si>
  <si>
    <t>47.902592 56.635526</t>
  </si>
  <si>
    <t>Джин Авто</t>
  </si>
  <si>
    <t>+7 (927) 886-44-55</t>
  </si>
  <si>
    <t>http://new.vk.com/club125534579</t>
  </si>
  <si>
    <t>47.837184 56.625985</t>
  </si>
  <si>
    <t>Аварийно диспетчерская служба, офис</t>
  </si>
  <si>
    <t>+7 (8362) 45-26-12</t>
  </si>
  <si>
    <t>47.887086 56.620102</t>
  </si>
  <si>
    <t>Текстиль для дома</t>
  </si>
  <si>
    <t>Отделка и ремонт</t>
  </si>
  <si>
    <t>Звёздная ул., 6, Йошкар-Ола</t>
  </si>
  <si>
    <t>+7 (902) 671-90-77</t>
  </si>
  <si>
    <t>47.965042 56.614698</t>
  </si>
  <si>
    <t>Родной мой техникум</t>
  </si>
  <si>
    <t>47.887396 56.633912</t>
  </si>
  <si>
    <t>Кевыт</t>
  </si>
  <si>
    <t>+7 (8362) 54-33-45</t>
  </si>
  <si>
    <t xml:space="preserve">support@storeland.ru </t>
  </si>
  <si>
    <t>http://vk.com/kevutru</t>
  </si>
  <si>
    <t>Лифтовое хозяйство</t>
  </si>
  <si>
    <t>+7 (8362) 42-88-00</t>
  </si>
  <si>
    <t>Бригада каменщиков</t>
  </si>
  <si>
    <t>ул. Анциферова, 5, Йошкар-Ола</t>
  </si>
  <si>
    <t>+7 (985) 071-48-77, +7 (917) 716-02-99</t>
  </si>
  <si>
    <t>Камины, печи, Строительная компания</t>
  </si>
  <si>
    <t>47.864879 56.648142</t>
  </si>
  <si>
    <t>+7 (917) 711-70-31</t>
  </si>
  <si>
    <t>Товары для интерьера</t>
  </si>
  <si>
    <t>Автоплюс</t>
  </si>
  <si>
    <t>+7 (8362) 28-05-00</t>
  </si>
  <si>
    <t>47.834346 56.642451</t>
  </si>
  <si>
    <t>Budmil</t>
  </si>
  <si>
    <t>+7 (937) 114-22-96</t>
  </si>
  <si>
    <t>47.892657 56.638784</t>
  </si>
  <si>
    <t>БурВодГео</t>
  </si>
  <si>
    <t>+7 (8362) 32-90-32</t>
  </si>
  <si>
    <t>+7 (966) 240-98-38</t>
  </si>
  <si>
    <t xml:space="preserve">burvodgeo@bk.ru  </t>
  </si>
  <si>
    <t>http://burvodgeo.ru/</t>
  </si>
  <si>
    <t>Буровые работы, Водоочистка, водоочистное оборудование, Монтаж и обслуживание систем водоснабжения и канализации</t>
  </si>
  <si>
    <t>ВиКо</t>
  </si>
  <si>
    <t>+7 (917) 701-04-45</t>
  </si>
  <si>
    <t xml:space="preserve">oooviko@mail.ru, ooovikomg@mail.ru  </t>
  </si>
  <si>
    <t>http://oooviko.ru/</t>
  </si>
  <si>
    <t>Безопасность труда, Курсы и мастер-классы, Центр повышения квалификации</t>
  </si>
  <si>
    <t>Шторы на Бульваре</t>
  </si>
  <si>
    <t>+7 (8362) 42-22-49</t>
  </si>
  <si>
    <t>Новокомиссионный антикварно-книжный торгово-закупочный магазин Руслан</t>
  </si>
  <si>
    <t>+7 (8362) 26-27-28, +7 (8362) 95-02-86</t>
  </si>
  <si>
    <t>Антикварный магазин, Комиссионный магазин, Магазин нумизматики</t>
  </si>
  <si>
    <t>Борус</t>
  </si>
  <si>
    <t>+7 (964) 863-13-24</t>
  </si>
  <si>
    <t xml:space="preserve">borus@center12.ru </t>
  </si>
  <si>
    <t>пн 09:00–16:00; вт 09:00–22:00, перерыв 16:00–20:00; ср 09:00–16:00; чт 09:00–22:00, перерыв 16:00–20:00; пт 09:00–16:00</t>
  </si>
  <si>
    <t xml:space="preserve">info@expressdengi.ru  </t>
  </si>
  <si>
    <t>ежедневно, 09:00–19:00, перерыв 14:00–15:00</t>
  </si>
  <si>
    <t>47.892621 56.635644</t>
  </si>
  <si>
    <t>Малыши-карандаши</t>
  </si>
  <si>
    <t>+7 (927) 880-57-15</t>
  </si>
  <si>
    <t>47.926813 56.640586</t>
  </si>
  <si>
    <t>МДРегион</t>
  </si>
  <si>
    <t>8 (800) 555-44-22, +7 (8362) 31-93-71</t>
  </si>
  <si>
    <t>+7 (917) 071-93-71</t>
  </si>
  <si>
    <t xml:space="preserve">shop@mdregion.com, support@mdregion.ru, sale@mdregion.ru  </t>
  </si>
  <si>
    <t>http://www.md12.ru/, http://www.mdregion.ru/magazin-metalloiskateley-v-yoshkar-ole.html, https://www.mdregion.ru/</t>
  </si>
  <si>
    <t>Металлоискатели, Товары для отдыха и туризма</t>
  </si>
  <si>
    <t>https://vk.com/mdregion</t>
  </si>
  <si>
    <t>https://www.facebook.com/MDRegion</t>
  </si>
  <si>
    <t>Быстробанк</t>
  </si>
  <si>
    <t>8 (800) 333-22-65</t>
  </si>
  <si>
    <t xml:space="preserve">service@bystrobank.ru  </t>
  </si>
  <si>
    <t>http://www.bystrobank.ru/</t>
  </si>
  <si>
    <t>пн,вт,ср,чт,вс 10:00–18:00</t>
  </si>
  <si>
    <t>https://vk.com/bystrobank</t>
  </si>
  <si>
    <t>https://ok.ru/bystrobank</t>
  </si>
  <si>
    <t>https://www.facebook.com/bystrobank</t>
  </si>
  <si>
    <t>https://www.instagram.com/bystrobank/</t>
  </si>
  <si>
    <t>47.8727 56.6532</t>
  </si>
  <si>
    <t>+7 (8362) 46-97-52</t>
  </si>
  <si>
    <t>47.891346 56.645197</t>
  </si>
  <si>
    <t>Продсбыт</t>
  </si>
  <si>
    <t>Авторазбор, Автосервис, автотехцентр, Автотехпомощь, эвакуация автомобилей, Шиномонтаж</t>
  </si>
  <si>
    <t>47.90526 56.644638</t>
  </si>
  <si>
    <t>Профессиональный электрик</t>
  </si>
  <si>
    <t>+7 (8362) 42-40-40</t>
  </si>
  <si>
    <t xml:space="preserve">info@vipelectric.ru  </t>
  </si>
  <si>
    <t>http://vipelectric.ru/</t>
  </si>
  <si>
    <t>https://vk.com/id178073741</t>
  </si>
  <si>
    <t>Строительная компания Восход</t>
  </si>
  <si>
    <t>+7 (987) 711-25-25</t>
  </si>
  <si>
    <t xml:space="preserve">skvoshod@list.ru  </t>
  </si>
  <si>
    <t>https://voshod12.ru/</t>
  </si>
  <si>
    <t>Кровельные работы, Сварочные работы, Строительная компания</t>
  </si>
  <si>
    <t>https://vk.com/voshod12</t>
  </si>
  <si>
    <t>https://www.instagram.com/skvoshod/</t>
  </si>
  <si>
    <t>47.856669 56.642416</t>
  </si>
  <si>
    <t>Сервис рекламных конструкций</t>
  </si>
  <si>
    <t>+7 (8362) 38-44-55</t>
  </si>
  <si>
    <t>Auto-euro</t>
  </si>
  <si>
    <t>+7 (8362) 54-10-10</t>
  </si>
  <si>
    <t>пн-сб 09:00–20:00, перерыв 12:00–13:00</t>
  </si>
  <si>
    <t>47.859166 56.639427</t>
  </si>
  <si>
    <t>Кубики</t>
  </si>
  <si>
    <t>+7 (8362) 52-35-93</t>
  </si>
  <si>
    <t>47.862642 56.651553</t>
  </si>
  <si>
    <t>Авторемонт</t>
  </si>
  <si>
    <t>+7 (8362) 28-49-00, +7 (8362) 32-15-01, +7 (8362) 32-41-50</t>
  </si>
  <si>
    <t>http://рефхолод.рф/</t>
  </si>
  <si>
    <t>Автосервис, автотехцентр, Кузовной ремонт, Ремонт двигателей</t>
  </si>
  <si>
    <t>47.87214 56.619258</t>
  </si>
  <si>
    <t>47.947482 56.62906</t>
  </si>
  <si>
    <t>Деловые Запчасти</t>
  </si>
  <si>
    <t>8 (800) 200-33-44</t>
  </si>
  <si>
    <t xml:space="preserve">pr@delzap.ru  </t>
  </si>
  <si>
    <t>http://delzap.ru/</t>
  </si>
  <si>
    <t>Автомобильные прицепы, Магазин автозапчастей и автотоваров</t>
  </si>
  <si>
    <t>Autodoc.ru</t>
  </si>
  <si>
    <t>+7 (8362) 30-43-06</t>
  </si>
  <si>
    <t>+7 (927) 884-40-21</t>
  </si>
  <si>
    <t xml:space="preserve">samara@autodoc.ru, samara2@autodoc.ru  </t>
  </si>
  <si>
    <t>https://www.autodoc.ru/</t>
  </si>
  <si>
    <t>https://vk.com/autodocru</t>
  </si>
  <si>
    <t>http://instagram.com/autodoc.ru</t>
  </si>
  <si>
    <t>47.887154 56.63897</t>
  </si>
  <si>
    <t>+7 (8362) 42-03-18, +7 (8362) 42-51-11</t>
  </si>
  <si>
    <t>+7 (902) 326-26-48</t>
  </si>
  <si>
    <t>Ритуал Маран-афа</t>
  </si>
  <si>
    <t>+7 (937) 116-99-32</t>
  </si>
  <si>
    <t xml:space="preserve">maran-afa12@yandex.ru </t>
  </si>
  <si>
    <t>47.92093 56.628752</t>
  </si>
  <si>
    <t>Детский сад № 43 Жар-птица</t>
  </si>
  <si>
    <t>ул. Прохорова, 50В, Йошкар-Ола</t>
  </si>
  <si>
    <t>+7 (8362) 23-15-76, +7 (8362) 23-05-43</t>
  </si>
  <si>
    <t>47.822086 56.63164</t>
  </si>
  <si>
    <t>Радослав Вымпел Йошкар-Ола</t>
  </si>
  <si>
    <t>Сернурский тракт, 4, корп. 2, Йошкар-Ола</t>
  </si>
  <si>
    <t>+7 (8362) 20-30-56</t>
  </si>
  <si>
    <t xml:space="preserve">otk-expert@mail.ru, 9777576@mail.ru, alyans11@gmail.ru, akris@rambler.ru </t>
  </si>
  <si>
    <t>http://radoslav.ru/</t>
  </si>
  <si>
    <t>Быстровозводимые здания, Строительная компания, Строительство дачных домов и коттеджей</t>
  </si>
  <si>
    <t>http://vk.com/radoslav.zavod</t>
  </si>
  <si>
    <t>http://facebook.com/groups/zavod.radoslav</t>
  </si>
  <si>
    <t>47.95763 56.650854</t>
  </si>
  <si>
    <t>+7 (927) 680-02-51</t>
  </si>
  <si>
    <t>47.868812 56.653877</t>
  </si>
  <si>
    <t>47.936338 56.637575</t>
  </si>
  <si>
    <t>ул. Суворова, 19В, Йошкар-Ола</t>
  </si>
  <si>
    <t>47.859288 56.639324</t>
  </si>
  <si>
    <t>ЗМК Выбор</t>
  </si>
  <si>
    <t>ул. Шумелёва, 21, Йошкар-Ола</t>
  </si>
  <si>
    <t>+7 (8362) 38-10-23, +7 (8362) 38-10-27, +7 (8362) 96-05-45</t>
  </si>
  <si>
    <t>http://zavod-vibor.ru/</t>
  </si>
  <si>
    <t>Двери, Мебельная фабрика, Производственное предприятие</t>
  </si>
  <si>
    <t>47.852653 56.627366</t>
  </si>
  <si>
    <t>+7 (8362) 27-37-07</t>
  </si>
  <si>
    <t>Автобусные междугородные перевозки, Заказ автомобилей</t>
  </si>
  <si>
    <t>Идея</t>
  </si>
  <si>
    <t>+7 (8362) 24-00-20</t>
  </si>
  <si>
    <t>Idea</t>
  </si>
  <si>
    <t>+7 (8362) 39-09-50</t>
  </si>
  <si>
    <t>47.887086 56.627361</t>
  </si>
  <si>
    <t>Teplowin - теплые окна</t>
  </si>
  <si>
    <t>ул. Волкова, 2/21, Йошкар-Ола</t>
  </si>
  <si>
    <t>+7 (8362) 52-55-30, +7 (8362) 36-76-11</t>
  </si>
  <si>
    <t>47.913182 56.652601</t>
  </si>
  <si>
    <t>Бар</t>
  </si>
  <si>
    <t>47.860077 56.641069</t>
  </si>
  <si>
    <t>Шторы</t>
  </si>
  <si>
    <t>+7 (917) 704-59-94, +7 (909) 368-96-35</t>
  </si>
  <si>
    <t>Студия дизайна, Шторы, карнизы</t>
  </si>
  <si>
    <t>Руслан и Людмила</t>
  </si>
  <si>
    <t>+7 (8362) 78-98-63</t>
  </si>
  <si>
    <t>Пассажирское Автотранспортное предприятие № 2</t>
  </si>
  <si>
    <t>+7 (8362) 46-90-00</t>
  </si>
  <si>
    <t>47.90252 56.646016</t>
  </si>
  <si>
    <t>Арго</t>
  </si>
  <si>
    <t>+7 (8362) 45-05-66</t>
  </si>
  <si>
    <t>Магазин парфюмерии и косметики, Фильтры для воды, Фитопродукция, БАДы</t>
  </si>
  <si>
    <t>+7 (902) 664-62-54</t>
  </si>
  <si>
    <t>Косметология, Ногтевая студия</t>
  </si>
  <si>
    <t>https://vk.com/elenashuga</t>
  </si>
  <si>
    <t>47.888156 56.641247</t>
  </si>
  <si>
    <t>+7 (927) 878-88-33</t>
  </si>
  <si>
    <t>Магазин бижутерии, Магазин подарков и сувениров, Магазин часов</t>
  </si>
  <si>
    <t>47.858329 56.64346</t>
  </si>
  <si>
    <t>Серенити</t>
  </si>
  <si>
    <t>+7 (8362) 30-43-44</t>
  </si>
  <si>
    <t>Декор-Марий Эл</t>
  </si>
  <si>
    <t>+7 (8362) 32-69-56</t>
  </si>
  <si>
    <t>+7 (917) 704-57-49</t>
  </si>
  <si>
    <t xml:space="preserve">design@kuadro.ru, decor@decor-evroplast.ru, quality@decor-evroplast.ru, dealer@decor-evroplast.ru, prof@decor-evroplast.ru  </t>
  </si>
  <si>
    <t>https://evroplast.ru/</t>
  </si>
  <si>
    <t>Архитектурное бюро, Дизайн интерьеров, Товары для интерьера</t>
  </si>
  <si>
    <t>вт-пт 09:30–18:30</t>
  </si>
  <si>
    <t>47.869416 56.625465</t>
  </si>
  <si>
    <t>Региональное духовное управление мусульман Республики Марий Эл</t>
  </si>
  <si>
    <t>ул. Зои Космодемьянской, 93А, Йошкар-Ола</t>
  </si>
  <si>
    <t>+7 (906) 335-43-51</t>
  </si>
  <si>
    <t>http://ислам-в-марий-эл.рф/, http://исламвмарийэл.рф/</t>
  </si>
  <si>
    <t>Мечеть</t>
  </si>
  <si>
    <t>47.951342 56.636767</t>
  </si>
  <si>
    <t>Салон Ленара</t>
  </si>
  <si>
    <t>+7 (8362) 32-93-77</t>
  </si>
  <si>
    <t>47.929091 56.627959</t>
  </si>
  <si>
    <t>Ленара</t>
  </si>
  <si>
    <t>+7 (8362) 32-93-76</t>
  </si>
  <si>
    <t>47.892572 56.638695</t>
  </si>
  <si>
    <t>Почта Банк</t>
  </si>
  <si>
    <t>ул. Строителей, 42А, Йошкар-Ола</t>
  </si>
  <si>
    <t>https://www.pochtabank.ru/?utm_campaign=Pochta@Cash@lpCash@YandexMapsu0026utm_medium=reach_banneru0026utm_source=yandexmaps</t>
  </si>
  <si>
    <t>пн 09:00–18:00, перерыв 13:00–14:00; вт-пт 08:00–20:00, перерыв 13:00–14:00; сб 09:00–18:00, перерыв 13:00–14:00</t>
  </si>
  <si>
    <t>https://vk.com/pochtabank</t>
  </si>
  <si>
    <t>https://www.facebook.com/pochtabank</t>
  </si>
  <si>
    <t>47.833955 56.63505</t>
  </si>
  <si>
    <t>Юнисеть</t>
  </si>
  <si>
    <t>+7 (927) 880-61-61</t>
  </si>
  <si>
    <t>Ремонт телефонов, Салон связи, Товары для мобильных телефонов</t>
  </si>
  <si>
    <t>47.885595 56.635192</t>
  </si>
  <si>
    <t>47.950378 56.621614</t>
  </si>
  <si>
    <t>co-buy.ru</t>
  </si>
  <si>
    <t>+7 (917) 717-77-99</t>
  </si>
  <si>
    <t xml:space="preserve">info@reg.ru, sales@site.ru  </t>
  </si>
  <si>
    <t>http://co-buy.ru/</t>
  </si>
  <si>
    <t>Детские игрушки и игры, Магазин одежды, Оптовая компания</t>
  </si>
  <si>
    <t>https://vk.com/cobuyru</t>
  </si>
  <si>
    <t>Земпроект</t>
  </si>
  <si>
    <t>+7 (8362) 65-78-89</t>
  </si>
  <si>
    <t>БИОчистка Лавантель</t>
  </si>
  <si>
    <t>+7 (8362) 67-06-50</t>
  </si>
  <si>
    <t>+7 (902) 664-70-65</t>
  </si>
  <si>
    <t>47.887315 56.640372</t>
  </si>
  <si>
    <t>Мастер ключ</t>
  </si>
  <si>
    <t>+7 (8362) 70-98-20</t>
  </si>
  <si>
    <t>Стоматологический центр 32</t>
  </si>
  <si>
    <t>бул. Чавайна, 45А, Йошкар-Ола</t>
  </si>
  <si>
    <t>+7 (8362) 45-67-77, +7 (8362) 27-77-77</t>
  </si>
  <si>
    <t>http://stomcentr32.ru/</t>
  </si>
  <si>
    <t>Стоматологическая клиника, Стоматологические материалы и оборудование</t>
  </si>
  <si>
    <t>пн-пт 08:30–20:30; сб 09:00–16:00</t>
  </si>
  <si>
    <t>47.894049 56.634749</t>
  </si>
  <si>
    <t>Ди-Валенси</t>
  </si>
  <si>
    <t>+7 (8362) 51-56-82</t>
  </si>
  <si>
    <t xml:space="preserve">di-valensi@yandex.ru  </t>
  </si>
  <si>
    <t>http://www.divalensi12.ru/</t>
  </si>
  <si>
    <t>Имени В. И. Ленина</t>
  </si>
  <si>
    <t>+7 (8362) 23-07-96, +7 (8362) 46-38-72</t>
  </si>
  <si>
    <t>Омега Металл-Эл</t>
  </si>
  <si>
    <t>ул. Тургенева, 59, Йошкар-Ола</t>
  </si>
  <si>
    <t>+7 (8362) 51-22-88, +7 (8362) 51-22-66</t>
  </si>
  <si>
    <t>Металлоизделия, Металлоконструкции, Металлопрокат, Черная металлургия</t>
  </si>
  <si>
    <t>47.862858 56.628089</t>
  </si>
  <si>
    <t>бул. Ураева, 11, Йошкар-Ола</t>
  </si>
  <si>
    <t>+7 (8362) 56-01-38</t>
  </si>
  <si>
    <t>47.925808 56.638827</t>
  </si>
  <si>
    <t>Россия, Республика Марий Эл, Йошкар-Ола, улица Машиностроителей</t>
  </si>
  <si>
    <t>+7 (8362) 50-70-80</t>
  </si>
  <si>
    <t>Металлические заборы и ограждения, Специализированные строительные работы, Строительные конструкции</t>
  </si>
  <si>
    <t>47.850822 56.631016</t>
  </si>
  <si>
    <t>ул. Строителей, 77, Йошкар-Ола</t>
  </si>
  <si>
    <t>+7 (8362) 30-75-28</t>
  </si>
  <si>
    <t>47.84825 56.627777</t>
  </si>
  <si>
    <t>Online</t>
  </si>
  <si>
    <t>+7 (967) 757-59-71</t>
  </si>
  <si>
    <t>Компьютерный ремонт и услуги, Ремонт аудиотехники и видеотехники, Ремонт телефонов</t>
  </si>
  <si>
    <t>ДомВидео</t>
  </si>
  <si>
    <t>+7 (8362) 32-43-80</t>
  </si>
  <si>
    <t>+7 (902) 100-25-25, +7 (902) 105-25-25</t>
  </si>
  <si>
    <t xml:space="preserve">sales@sem12.ru </t>
  </si>
  <si>
    <t>http://domvideo.pro/</t>
  </si>
  <si>
    <t>IT-компания, Сетевое оборудование, Системы безопасности и охраны</t>
  </si>
  <si>
    <t>https://vk.com/domvideo_yola</t>
  </si>
  <si>
    <t>https://www.instagram.com/domvideo.pro/?hl=ru</t>
  </si>
  <si>
    <t>47.870553 56.625392</t>
  </si>
  <si>
    <t>Гранит 12</t>
  </si>
  <si>
    <t>Сернурский тракт, 2А, Йошкар-Ола</t>
  </si>
  <si>
    <t>+7 (8362) 46-31-09</t>
  </si>
  <si>
    <t>+7 (962) 588-15-24</t>
  </si>
  <si>
    <t xml:space="preserve">vitiaz1996@mail.ru </t>
  </si>
  <si>
    <t>Металлообрабатывающее оборудование, Металлообработка, Сварочные работы</t>
  </si>
  <si>
    <t>47.953938 56.652804</t>
  </si>
  <si>
    <t>Соло</t>
  </si>
  <si>
    <t>+7 (961) 334-77-09</t>
  </si>
  <si>
    <t>Магазин посуды, Светильники, Товары для дома</t>
  </si>
  <si>
    <t>пн-пт 09:30–19:00; сб 09:30–17:00; вс 09:30–16:00</t>
  </si>
  <si>
    <t>47.895055 56.639814</t>
  </si>
  <si>
    <t>ОКБ Фармбиомаш</t>
  </si>
  <si>
    <t>ул. Строителей, 94В, Йошкар-Ола</t>
  </si>
  <si>
    <t>+7 (8362) 63-04-28, +7 (8362) 45-37-77, +7 (8362) 41-21-73</t>
  </si>
  <si>
    <t>http://www.farmbiomash.com/</t>
  </si>
  <si>
    <t>Фармацевтическое оборудование</t>
  </si>
  <si>
    <t>пн-пт 07:45–16:30, перерыв 12:00–13:00</t>
  </si>
  <si>
    <t>47.861981 56.616119</t>
  </si>
  <si>
    <t>ГК Алмаз</t>
  </si>
  <si>
    <t>+7 (8362) 41-44-54</t>
  </si>
  <si>
    <t>47.882747 56.608394</t>
  </si>
  <si>
    <t>+7 (8362) 49-46-04</t>
  </si>
  <si>
    <t>Кафе, Кофейня, Магазин кулинарии</t>
  </si>
  <si>
    <t>47.936129 56.637593</t>
  </si>
  <si>
    <t>Агропромзапчасть</t>
  </si>
  <si>
    <t>+7 (8362) 33-90-20</t>
  </si>
  <si>
    <t xml:space="preserve">410708@mail.ru  </t>
  </si>
  <si>
    <t>http://www.agro12.ru/</t>
  </si>
  <si>
    <t>Магазин автозапчастей и автотоваров, Сельскохозяйственная техника</t>
  </si>
  <si>
    <t>47.952232 56.648083</t>
  </si>
  <si>
    <t>Колор</t>
  </si>
  <si>
    <t>+7 (8362) 47-22-34</t>
  </si>
  <si>
    <t>+7 (929) 734-31-05</t>
  </si>
  <si>
    <t>пн-пт 08:30–17:00; сб 09:00–14:00</t>
  </si>
  <si>
    <t>Россия, Республика Марий Эл, Йошкар-Ола, улица Сомбатхей</t>
  </si>
  <si>
    <t>47.910396 56.629659</t>
  </si>
  <si>
    <t>Кантор</t>
  </si>
  <si>
    <t>+7 (8362) 72-63-82, +7 (8362) 96-27-79</t>
  </si>
  <si>
    <t>Нетканые материалы, Спецодежда, Текстильная компания</t>
  </si>
  <si>
    <t>Потребительский автогаражный кооператив Гудок</t>
  </si>
  <si>
    <t>+7 (8362) 42-60-67</t>
  </si>
  <si>
    <t>пн-пт 08:30–15:00; сб,вс 08:30–12:00</t>
  </si>
  <si>
    <t>Пульс</t>
  </si>
  <si>
    <t>+7 (8362) 24-40-24, +7 (8362) 32-08-02</t>
  </si>
  <si>
    <t xml:space="preserve">pulsmove@gmail.com  </t>
  </si>
  <si>
    <t>Спортивный клуб, секция, Фитнес-клуб, Центр йоги, Школа танцев</t>
  </si>
  <si>
    <t>http://vk.com/pulsmove</t>
  </si>
  <si>
    <t>http://facebook.com/pulsmove</t>
  </si>
  <si>
    <t>47.89895 56.634195</t>
  </si>
  <si>
    <t>ДизайнМастер</t>
  </si>
  <si>
    <t>Металлоконструкции, Светопрозрачные конструкции</t>
  </si>
  <si>
    <t>https://vk.com/id2105583</t>
  </si>
  <si>
    <t>47.876369 56.64736</t>
  </si>
  <si>
    <t>Мини-Кафе</t>
  </si>
  <si>
    <t>Ресторан</t>
  </si>
  <si>
    <t>47.8709 56.635669</t>
  </si>
  <si>
    <t>Рыбалка отдых туризм</t>
  </si>
  <si>
    <t>+7 (8362) 99-07-15</t>
  </si>
  <si>
    <t>47.884843 56.633713</t>
  </si>
  <si>
    <t>Мой зачет</t>
  </si>
  <si>
    <t>+7 (8362) 33-14-79</t>
  </si>
  <si>
    <t>47.914565 56.627025</t>
  </si>
  <si>
    <t>Автомастер</t>
  </si>
  <si>
    <t>+7 (8362) 51-74-44</t>
  </si>
  <si>
    <t>+7 (964) 861-74-44, +7 (902) 431-84-44</t>
  </si>
  <si>
    <t>пн-пт 09:00–18:00; сб 09:00–12:00</t>
  </si>
  <si>
    <t>Группа компаний Универсал</t>
  </si>
  <si>
    <t>+7 (8362) 22-12-40, +7 (8362) 46-80-88</t>
  </si>
  <si>
    <t>47.915473 56.634244</t>
  </si>
  <si>
    <t>47.945449 56.623292</t>
  </si>
  <si>
    <t>+7 (8362) 42-23-44, +7 (8362) 41-37-52</t>
  </si>
  <si>
    <t>ежедневно, 07:00–17:00</t>
  </si>
  <si>
    <t>Планета DVD</t>
  </si>
  <si>
    <t>+7 (917) 716-09-75</t>
  </si>
  <si>
    <t>Магазин дисков BD, CD, DVD</t>
  </si>
  <si>
    <t>47.887255 56.627728</t>
  </si>
  <si>
    <t>Автосвет</t>
  </si>
  <si>
    <t>+7 (8362) 43-33-40</t>
  </si>
  <si>
    <t>+7 (964) 863-33-40, +7 (987) 708-76-88</t>
  </si>
  <si>
    <t xml:space="preserve">14370afcdc17429f9e418d5ffbd0334a@sentry.wixpress.com, autosvet12@bk.ru, wixofday@wix.com  </t>
  </si>
  <si>
    <t>http://avtosvet12.net/, http://автосвет12.рф/</t>
  </si>
  <si>
    <t>Автоаксессуары, Автоакустика, Автосвет, Автосигнализация</t>
  </si>
  <si>
    <t>http://vk.com/avtosvet12</t>
  </si>
  <si>
    <t>47.858946 56.639745</t>
  </si>
  <si>
    <t>№ 77</t>
  </si>
  <si>
    <t>+7 (8362) 49-52-15</t>
  </si>
  <si>
    <t>Ё-parts</t>
  </si>
  <si>
    <t>+7 (8362) 97-77-78</t>
  </si>
  <si>
    <t>+7 (902) 737-77-78</t>
  </si>
  <si>
    <t>Автокосметика, автохимия, Автостекла, Магазин автозапчастей и автотоваров</t>
  </si>
  <si>
    <t>47.921857 56.630221</t>
  </si>
  <si>
    <t>+7 (8362) 99-92-25</t>
  </si>
  <si>
    <t>+7 (906) 137-07-40</t>
  </si>
  <si>
    <t>47.834843 56.643044</t>
  </si>
  <si>
    <t>Высший Пилотаж в Йошкар-Оле</t>
  </si>
  <si>
    <t>8 (804) 333-31-71</t>
  </si>
  <si>
    <t xml:space="preserve">info@vpilotazh.ru  </t>
  </si>
  <si>
    <t>http://yoshkar-ola.vpilotazh.ru/</t>
  </si>
  <si>
    <t>Интернет-маркетинг, Маркетинговые услуги, Студия веб-дизайна</t>
  </si>
  <si>
    <t>http://vk.com/vpilotazh</t>
  </si>
  <si>
    <t>+7 (8362) 30-46-46, +7 (8362) 30-44-11</t>
  </si>
  <si>
    <t>+7 (960) 099-28-38</t>
  </si>
  <si>
    <t xml:space="preserve">info@dveri-gran.com, dv304646@yandex.ru, gran_moscow0419@mail.ru, ndv304646@yandex.ru  </t>
  </si>
  <si>
    <t>http://dveri-gran.com/</t>
  </si>
  <si>
    <t>+7 (8362) 29-92-22, +7 (8362) 30-48-20</t>
  </si>
  <si>
    <t>+7 (902) 325-31-53</t>
  </si>
  <si>
    <t>http://yola-dom.ru/</t>
  </si>
  <si>
    <t>Бетон, бетонные изделия, Строительство дачных домов и коттеджей, Стройматериалы оптом</t>
  </si>
  <si>
    <t>47.841196 56.621603</t>
  </si>
  <si>
    <t>ТСЖ Жилой комплекс 5 Звезд</t>
  </si>
  <si>
    <t>ул. Анциферова, 27А, Йошкар-Ола</t>
  </si>
  <si>
    <t>+7 (902) 737-22-56, +7 (927) 884-44-44</t>
  </si>
  <si>
    <t>47.865607 56.644213</t>
  </si>
  <si>
    <t>+7 (8362) 41-05-79</t>
  </si>
  <si>
    <t>пн-пт 08:30–18:30; сб 08:30–18:00; вс 08:30–16:00</t>
  </si>
  <si>
    <t>47.882614 56.621533</t>
  </si>
  <si>
    <t>Спорткласс</t>
  </si>
  <si>
    <t>+7 (902) 672-82-24</t>
  </si>
  <si>
    <t>47.832627 56.636504</t>
  </si>
  <si>
    <t>Evrocar</t>
  </si>
  <si>
    <t>+7 (8362) 66-04-80</t>
  </si>
  <si>
    <t>+7 (987) 717-04-44</t>
  </si>
  <si>
    <t>Автосервис, автотехцентр, Ремонт АКПП, Ремонт двигателей</t>
  </si>
  <si>
    <t>47.942108 56.62972</t>
  </si>
  <si>
    <t>Салика, офис</t>
  </si>
  <si>
    <t>+7 (8362) 34-33-10, +7 (8362) 45-56-13</t>
  </si>
  <si>
    <t>Санаторно-курортное объединение</t>
  </si>
  <si>
    <t>Мариарт</t>
  </si>
  <si>
    <t>+7 (927) 872-86-76, +7 (927) 875-41-23</t>
  </si>
  <si>
    <t xml:space="preserve">contact@mariart12.ru  </t>
  </si>
  <si>
    <t>http://mariart12.ru/, http://bagetnaya-masterskaya-mariart.blizko.ru/</t>
  </si>
  <si>
    <t>Багетные изделия, Изготовление и монтаж зеркал, Товары для творчества и рукоделия, Художественная мастерская, Художественный салон</t>
  </si>
  <si>
    <t>http://vk.com/mariart12</t>
  </si>
  <si>
    <t>http://ok.ru/mariart12</t>
  </si>
  <si>
    <t>47.898853 56.651035</t>
  </si>
  <si>
    <t>Россия, Республика Марий Эл, Йошкар-Ола, парк Победы</t>
  </si>
  <si>
    <t>47.86556 56.639993</t>
  </si>
  <si>
    <t>Моска</t>
  </si>
  <si>
    <t>+7 (8362) 98-38-94</t>
  </si>
  <si>
    <t>+7 (963) 127-33-64, +7 (987) 709-77-68</t>
  </si>
  <si>
    <t xml:space="preserve">msa.ru.com@gmail.com  </t>
  </si>
  <si>
    <t>http://msa.ru.com/</t>
  </si>
  <si>
    <t>Одежда оптом, Спортивная одежда и обувь</t>
  </si>
  <si>
    <t>Восточный центр</t>
  </si>
  <si>
    <t>+7 (8362) 21-69-45</t>
  </si>
  <si>
    <t>Коллекционеръ</t>
  </si>
  <si>
    <t>+7 (8362) 98-67-42</t>
  </si>
  <si>
    <t>Антикварный магазин</t>
  </si>
  <si>
    <t>47.895227 56.631458</t>
  </si>
  <si>
    <t>Стройтехника</t>
  </si>
  <si>
    <t>+7 (8362) 30-40-38</t>
  </si>
  <si>
    <t>+7 (906) 334-10-02, +7 (927) 681-43-74, +7 (921) 701-00-07</t>
  </si>
  <si>
    <t xml:space="preserve">stroyservic@bk.ru </t>
  </si>
  <si>
    <t>http://stroytehnika12.ru/</t>
  </si>
  <si>
    <t>Производственное предприятие, Строительное оборудование и техника, Строительные леса</t>
  </si>
  <si>
    <t>Молодёжная ул., 17, Йошкар-Ола</t>
  </si>
  <si>
    <t>+7 (8362) 72-73-93</t>
  </si>
  <si>
    <t>Инжиниринг, Проектная организация, Промышленное строительство</t>
  </si>
  <si>
    <t>47.84579 56.656347</t>
  </si>
  <si>
    <t>ТАТ Метрология</t>
  </si>
  <si>
    <t>+7 (8362) 52-85-54</t>
  </si>
  <si>
    <t>+7 (964) 862-85-54, +7 (987) 660-23-87</t>
  </si>
  <si>
    <t>Ремонт измерительных приборов</t>
  </si>
  <si>
    <t>Семеновские районные электрические сети</t>
  </si>
  <si>
    <t>ул. Дружбы, 92, Йошкар-Ола</t>
  </si>
  <si>
    <t>+7 (8362) 42-74-73</t>
  </si>
  <si>
    <t>47.861003 56.653073</t>
  </si>
  <si>
    <t>Уничтожение клопов</t>
  </si>
  <si>
    <t>ул. Свердлова, 36, Йошкар-Ола</t>
  </si>
  <si>
    <t>+7 (967) 470-47-92</t>
  </si>
  <si>
    <t xml:space="preserve">yoshkarklopdez@mail.ru  </t>
  </si>
  <si>
    <t>http://www.brigadir.me/unichtojenie-klopov-yoshkarola.html</t>
  </si>
  <si>
    <t>пн-сб 08:00–21:00; вс 08:00–20:00</t>
  </si>
  <si>
    <t>47.868589 56.641302</t>
  </si>
  <si>
    <t>Альянс Select ГК Альянс-Авто</t>
  </si>
  <si>
    <t>+7 (8362) 38-13-13</t>
  </si>
  <si>
    <t xml:space="preserve">info@kupisprobegom.ru, hotline@gk-alavto.ru, hotline@almotors.ru </t>
  </si>
  <si>
    <t>http://куписпробегом.рф/</t>
  </si>
  <si>
    <t>https://vk.com/kupisprobegom</t>
  </si>
  <si>
    <t>https://www.youtube.com/channel/UCvKiyrwYjaWZoma8ZQySnkg</t>
  </si>
  <si>
    <t>https://www.instagram.com/kupisprobegom.rf/</t>
  </si>
  <si>
    <t>47.881994 56.605023</t>
  </si>
  <si>
    <t>Тонус</t>
  </si>
  <si>
    <t>+7 (8362) 46-16-16</t>
  </si>
  <si>
    <t>Медцентр, клиника, Стоматологическая клиника</t>
  </si>
  <si>
    <t>47.847364 56.641018</t>
  </si>
  <si>
    <t>Сернурский тракт, 2Аc2, Йошкар-Ола</t>
  </si>
  <si>
    <t>+7 (8362) 52-84-32, +7 (8362) 46-38-66</t>
  </si>
  <si>
    <t>Магазин рыбы и морепродуктов</t>
  </si>
  <si>
    <t>https://vk.com/vkus_morei</t>
  </si>
  <si>
    <t>47.953863 56.652801</t>
  </si>
  <si>
    <t>Тенты на Ленинградской, 2</t>
  </si>
  <si>
    <t>+7 (8362) 76-67-67</t>
  </si>
  <si>
    <t>+7 (937) 115-01-23</t>
  </si>
  <si>
    <t>Рукабель</t>
  </si>
  <si>
    <t>8 (800) 551-80-83</t>
  </si>
  <si>
    <t xml:space="preserve">rucable2011@yandex.ru, zakaz@rucabel.ru, ru.zakaz@rucabel.ru, ru.rucabel@gmail.com  </t>
  </si>
  <si>
    <t>https://www.rucabel.ru/</t>
  </si>
  <si>
    <t>Интернет-магазин, Кабель и провод</t>
  </si>
  <si>
    <t>https://vk.com/rucabelru</t>
  </si>
  <si>
    <t>https://ok.ru/group/56974546698392</t>
  </si>
  <si>
    <t>https://twitter.com/rucabelru</t>
  </si>
  <si>
    <t>https://www.facebook.com/rucabelru</t>
  </si>
  <si>
    <t>https://www.instagram.com/rucabelru</t>
  </si>
  <si>
    <t>47.883726 56.622707</t>
  </si>
  <si>
    <t>У Руслана</t>
  </si>
  <si>
    <t>ул. Дружбы, 88, Йошкар-Ола</t>
  </si>
  <si>
    <t>+7 (8362) 93-94-95, +7 (8362) 75-76-77</t>
  </si>
  <si>
    <t>+7 (902) 124-94-95</t>
  </si>
  <si>
    <t>47.856155 56.652563</t>
  </si>
  <si>
    <t>Магазин Ковры</t>
  </si>
  <si>
    <t>+7 (8362) 92-50-00</t>
  </si>
  <si>
    <t>СтройКлимат</t>
  </si>
  <si>
    <t>8 (800) 550-67-77, +7 (8362) 50-50-53</t>
  </si>
  <si>
    <t xml:space="preserve">stroyklim@mail.ru </t>
  </si>
  <si>
    <t>https://stroyklim.com/yoshkar-ola</t>
  </si>
  <si>
    <t>Котлы и котельное оборудование, Системы вентиляции, Системы водоснабжения, отопления, канализации</t>
  </si>
  <si>
    <t>пн-пт 08:00–17:30; сб 09:00–15:00</t>
  </si>
  <si>
    <t>https://vk.com/klimateh</t>
  </si>
  <si>
    <t>https://ok.ru/otople</t>
  </si>
  <si>
    <t>47.842781 56.627282</t>
  </si>
  <si>
    <t>Сказка</t>
  </si>
  <si>
    <t>+7 (8362) 43-45-95, +7 (8362) 27-44-81</t>
  </si>
  <si>
    <t>Суши-Муши</t>
  </si>
  <si>
    <t>ул. Машиностроителей, 18, Йошкар-Ола</t>
  </si>
  <si>
    <t>+7 (8362) 27-14-14, +7 (8362) 27-16-16</t>
  </si>
  <si>
    <t>+7 (902) 437-16-16, +7 (902) 437-14-14</t>
  </si>
  <si>
    <t>http://sushimushi-yola.ru/</t>
  </si>
  <si>
    <t>https://vk.com/club81885434</t>
  </si>
  <si>
    <t>http://instagram.com/sushimushi_yola</t>
  </si>
  <si>
    <t>47.871594 56.642251</t>
  </si>
  <si>
    <t>СпецТехника12</t>
  </si>
  <si>
    <t>+7 (8362) 35-09-09</t>
  </si>
  <si>
    <t>+7 (962) 588-09-09</t>
  </si>
  <si>
    <t>https://spectehnika12.ru/</t>
  </si>
  <si>
    <t>Автомобильные грузоперевозки, Аренда строительной и спецтехники, Вывоз мусора и отходов</t>
  </si>
  <si>
    <t>http://vk.com/spectehnikamari</t>
  </si>
  <si>
    <t>Страна Чудес</t>
  </si>
  <si>
    <t>ул. Машиностроителей, 8, Йошкар-Ола</t>
  </si>
  <si>
    <t>+7 (8362) 32-89-03</t>
  </si>
  <si>
    <t>+7 (927) 888-49-72</t>
  </si>
  <si>
    <t>47.873728 56.646168</t>
  </si>
  <si>
    <t>Красноармейская ул., 105Б, Йошкар-Ола</t>
  </si>
  <si>
    <t>47.862102 56.64573</t>
  </si>
  <si>
    <t>Овощной магазин</t>
  </si>
  <si>
    <t>Россия, Республика Марий Эл, Йошкар-Ола, улица Карла Либкнехта</t>
  </si>
  <si>
    <t>Магазин овощей и фруктов</t>
  </si>
  <si>
    <t>47.951692 56.639744</t>
  </si>
  <si>
    <t>Первомайская ул., 49, Йошкар-Ола</t>
  </si>
  <si>
    <t>+7 (8362) 49-46-03</t>
  </si>
  <si>
    <t>47.895031 56.649802</t>
  </si>
  <si>
    <t>47.917269 56.627602</t>
  </si>
  <si>
    <t>Планета вкуса</t>
  </si>
  <si>
    <t>ул. Йывана Кырли, 12, Йошкар-Ола</t>
  </si>
  <si>
    <t>47.841669 56.640211</t>
  </si>
  <si>
    <t>ГазТеплоСтрой</t>
  </si>
  <si>
    <t>+7 (8362) 34-10-30, +7 (8362) 44-45-66, +7 (863) 243-60-42</t>
  </si>
  <si>
    <t>+7 (917) 713-03-04</t>
  </si>
  <si>
    <t>Монтаж и обслуживание систем водоснабжения и канализации, Отопительное оборудование и системы, Служба газового хозяйства</t>
  </si>
  <si>
    <t>Пивная заправка</t>
  </si>
  <si>
    <t>ул. Любови Шевцовой, 54Б, Йошкар-Ола</t>
  </si>
  <si>
    <t>+7 (8362) 39-83-91</t>
  </si>
  <si>
    <t>47.932823 56.635233</t>
  </si>
  <si>
    <t>ул. Мира, 50, Йошкар-Ола</t>
  </si>
  <si>
    <t>ежедневно, 00:00–19:00</t>
  </si>
  <si>
    <t>47.941405 56.63529</t>
  </si>
  <si>
    <t>47.943288 56.635001</t>
  </si>
  <si>
    <t>Умелец</t>
  </si>
  <si>
    <t>+7 (8362) 54-46-44</t>
  </si>
  <si>
    <t>+7 (964) 864-46-44</t>
  </si>
  <si>
    <t>Лакокрасочные материалы, Магазин сантехники, Магазин хозтоваров и бытовой химии, Строительный инструмент</t>
  </si>
  <si>
    <t>47.832878 56.636607</t>
  </si>
  <si>
    <t>Теплицы</t>
  </si>
  <si>
    <t>+7 (964) 862-40-92</t>
  </si>
  <si>
    <t xml:space="preserve">stroidomsad@gmail.com  </t>
  </si>
  <si>
    <t>http://sds12.ru/, http://www.сдс12.рф/, https://стройдомсад12.рф/</t>
  </si>
  <si>
    <t>Металлические заборы и ограждения, Строительная компания, Строительные и отделочные работы</t>
  </si>
  <si>
    <t>пн-пт 09:00–17:00; сб 10:00–14:00</t>
  </si>
  <si>
    <t>https://vk.com/stroydomsad</t>
  </si>
  <si>
    <t>47.88912 56.639874</t>
  </si>
  <si>
    <t>+7 (8362) 44-91-30</t>
  </si>
  <si>
    <t>пн-пт 07:30–18:00; сб 07:30–15:00</t>
  </si>
  <si>
    <t>47.939625 56.62267</t>
  </si>
  <si>
    <t>+7 (8362) 41-28-51</t>
  </si>
  <si>
    <t>47.884352 56.634765</t>
  </si>
  <si>
    <t>47.833994 56.637012</t>
  </si>
  <si>
    <t>Ажур</t>
  </si>
  <si>
    <t>+7 (8362) 25-69-84</t>
  </si>
  <si>
    <t>+7 (902) 435-69-84</t>
  </si>
  <si>
    <t>Ателье по пошиву одежды, Шторы, карнизы</t>
  </si>
  <si>
    <t>Габбро-Центр</t>
  </si>
  <si>
    <t>+7 (8362) 72-11-33</t>
  </si>
  <si>
    <t>Изготовление памятников и надгробий, Изделия из камня</t>
  </si>
  <si>
    <t>Силуэт</t>
  </si>
  <si>
    <t>47.833197 56.636864</t>
  </si>
  <si>
    <t>пн-пт 09:00–18:30, перерыв 14:00–15:00</t>
  </si>
  <si>
    <t>47.863059 56.646049</t>
  </si>
  <si>
    <t>+7 (8362) 49-65-95</t>
  </si>
  <si>
    <t>Кондитерская, Магазин кулинарии, Магазин продуктов</t>
  </si>
  <si>
    <t>47.901841 56.64568</t>
  </si>
  <si>
    <t>ул. Дружбы, 96Б, Йошкар-Ола</t>
  </si>
  <si>
    <t>+7 (8362) 92-04-00</t>
  </si>
  <si>
    <t>пн-пт 08:00–17:00; сб,вс 08:00–14:00</t>
  </si>
  <si>
    <t>47.871048 56.655604</t>
  </si>
  <si>
    <t>+7 (927) 883-31-70</t>
  </si>
  <si>
    <t xml:space="preserve">ekaterina_martya@mail.ru  </t>
  </si>
  <si>
    <t>http://glass-dekor12.ru/</t>
  </si>
  <si>
    <t>Изготовление витражей, Художественная мастерская</t>
  </si>
  <si>
    <t>47.873148 56.6156</t>
  </si>
  <si>
    <t>ул. Свердлова, 21, Йошкар-Ола</t>
  </si>
  <si>
    <t>+7 (987) 701-61-08</t>
  </si>
  <si>
    <t xml:space="preserve">sovetskie-valenki@mail.ru  </t>
  </si>
  <si>
    <t>http://sovetskie-valenki.com/</t>
  </si>
  <si>
    <t>Ателье по пошиву одежды, Магазин одежды</t>
  </si>
  <si>
    <t>пн-пт 08:00–18:00; сб,вс 08:00–16:00</t>
  </si>
  <si>
    <t>Ткани</t>
  </si>
  <si>
    <t>47.894696 56.629353</t>
  </si>
  <si>
    <t>Магнит Косметик</t>
  </si>
  <si>
    <t>https://magnitcosmetic.ru/, http://magnit-info.ru/</t>
  </si>
  <si>
    <t>Магазин парфюмерии и косметики, Магазин посуды, Магазин хозтоваров и бытовой химии, Средства гигиены</t>
  </si>
  <si>
    <t>ежедневно, 09:00–20:30</t>
  </si>
  <si>
    <t>https://vk.com/magnitcosmetic</t>
  </si>
  <si>
    <t>https://ok.ru/magnitcosmetic</t>
  </si>
  <si>
    <t>https://www.facebook.com/magnitcosmetic</t>
  </si>
  <si>
    <t>https://www.instagram.com/magnitcosmetic</t>
  </si>
  <si>
    <t>47.841692 56.641707</t>
  </si>
  <si>
    <t>Государственная инспекция по маломерным судам</t>
  </si>
  <si>
    <t>ул. Героев Сталинградской Битвы, 38, Йошкар-Ола</t>
  </si>
  <si>
    <t>+7 (8362) 69-32-08</t>
  </si>
  <si>
    <t>47.944921 56.623511</t>
  </si>
  <si>
    <t>Мебель для Всех</t>
  </si>
  <si>
    <t>ул. Строителей, 95А, Йошкар-Ола</t>
  </si>
  <si>
    <t>+7 (937) 112-62-54, +7 (902) 329-33-68</t>
  </si>
  <si>
    <t>Детская мебель, Мебель для кухни, Мебель на заказ</t>
  </si>
  <si>
    <t>47.865104 56.616239</t>
  </si>
  <si>
    <t>Деревенский гастроном Наш</t>
  </si>
  <si>
    <t>ежедневно, 07:00–11:00</t>
  </si>
  <si>
    <t>https://vk.com/nash_magazin</t>
  </si>
  <si>
    <t>47.830158 56.633383</t>
  </si>
  <si>
    <t>Красноармейская ул., 118, Йошкар-Ола</t>
  </si>
  <si>
    <t>+7 (8362) 46-60-65, +7 (8362) 36-20-50</t>
  </si>
  <si>
    <t>пн-пт 09:00–20:00; сб,вс 09:00–16:00</t>
  </si>
  <si>
    <t>47.854571 56.643939</t>
  </si>
  <si>
    <t>Магазин посуды, Магазин хозтоваров и бытовой химии, Садовый инвентарь и техника, Строительный магазин</t>
  </si>
  <si>
    <t>47.884804 56.619942</t>
  </si>
  <si>
    <t>+7 (8362) 66-60-80</t>
  </si>
  <si>
    <t>Кухни Мари Эдель</t>
  </si>
  <si>
    <t>+7 (8362) 99-90-20, +7 (8362) 20-22-97</t>
  </si>
  <si>
    <t>+7 (902) 329-90-20, +7 (902) 430-22-97</t>
  </si>
  <si>
    <t xml:space="preserve">mari_edel@mail.ru  </t>
  </si>
  <si>
    <t>http://mari-edel.ru/</t>
  </si>
  <si>
    <t>Интернет-магазин, Мебель для кухни, Мебельная фурнитура и комплектующие</t>
  </si>
  <si>
    <t>пн-пт 10:00–18:30; сб 10:00–14:00</t>
  </si>
  <si>
    <t>https://vk.com/kuhnimariedel</t>
  </si>
  <si>
    <t>47.893754 56.649035</t>
  </si>
  <si>
    <t>Первомайская ул., 178, Йошкар-Ола</t>
  </si>
  <si>
    <t>47.880806 56.629843</t>
  </si>
  <si>
    <t>Лайт</t>
  </si>
  <si>
    <t>+7 (8362) 38-20-88</t>
  </si>
  <si>
    <t>+7 (902) 329-32-70</t>
  </si>
  <si>
    <t xml:space="preserve">info@light12.ru  </t>
  </si>
  <si>
    <t>https://www.light12.ru/</t>
  </si>
  <si>
    <t>Магазин ковров, Светильники, Шторы, карнизы</t>
  </si>
  <si>
    <t>https://vk.com/salonlightyola</t>
  </si>
  <si>
    <t>https://www.instagram.com/_salon_light_</t>
  </si>
  <si>
    <t>47.888783 56.633287</t>
  </si>
  <si>
    <t>Мебельный Доктор</t>
  </si>
  <si>
    <t>+7 (937) 615-20-31</t>
  </si>
  <si>
    <t xml:space="preserve">mebeldoctor@mail.ru  </t>
  </si>
  <si>
    <t>http://ola12.mebeldoctor.ru/</t>
  </si>
  <si>
    <t>Мастер дом</t>
  </si>
  <si>
    <t>+7 (8362) 73-28-70</t>
  </si>
  <si>
    <t>Лакокрасочные материалы, Магазин сантехники, Магазин хозтоваров и бытовой химии, Магазин электротоваров, Строительный магазин, Сухие строительные смеси</t>
  </si>
  <si>
    <t>47.836218 56.636605</t>
  </si>
  <si>
    <t>+7 (8362) 30-75-05</t>
  </si>
  <si>
    <t>Кафе, Кондитерская, Кофейня, Магазин кулинарии, Магазин продуктов</t>
  </si>
  <si>
    <t>47.924501 56.63456</t>
  </si>
  <si>
    <t>ул. Дружбы, 79А, Йошкар-Ола</t>
  </si>
  <si>
    <t>+7 (8362) 39-62-36</t>
  </si>
  <si>
    <t>пн-пт 08:00–19:00; вс 09:00–18:00</t>
  </si>
  <si>
    <t>47.855958 56.650813</t>
  </si>
  <si>
    <t>Учебный центр Мариэнергонадзор</t>
  </si>
  <si>
    <t>+7 (8362) 38-38-09</t>
  </si>
  <si>
    <t xml:space="preserve">383809@mail.ru  </t>
  </si>
  <si>
    <t>https://ucmen.ru/</t>
  </si>
  <si>
    <t>http://vk.com/ucmen</t>
  </si>
  <si>
    <t>https://www.instagram.com/ucmen12</t>
  </si>
  <si>
    <t>Автосервис, автотехцентр, Кузовной ремонт, Ремонт двигателей, Шиномонтаж</t>
  </si>
  <si>
    <t>Студия Nuwtone</t>
  </si>
  <si>
    <t>+7 (8362) 35-30-10, +7 (8362) 32-30-06</t>
  </si>
  <si>
    <t>вт-сб 08:00–18:00</t>
  </si>
  <si>
    <t>47.890104 56.640278</t>
  </si>
  <si>
    <t>Детский игровой центр Ладья</t>
  </si>
  <si>
    <t>ул. Чернякова, 7Б, Йошкар-Ола</t>
  </si>
  <si>
    <t>+7 (927) 682-77-88</t>
  </si>
  <si>
    <t>47.821113 56.633174</t>
  </si>
  <si>
    <t>Ремонт очков</t>
  </si>
  <si>
    <t>+7 (8362) 32-13-25</t>
  </si>
  <si>
    <t>47.889023 56.640483</t>
  </si>
  <si>
    <t>Лада-Плюс</t>
  </si>
  <si>
    <t>+7 (8362) 67-38-77</t>
  </si>
  <si>
    <t>47.937208 56.637359</t>
  </si>
  <si>
    <t>Авторегион 12</t>
  </si>
  <si>
    <t>+7 (8362) 99-17-57</t>
  </si>
  <si>
    <t>47.932253 56.631991</t>
  </si>
  <si>
    <t>Гласс Декор</t>
  </si>
  <si>
    <t>+7 (8362) 65-81-15</t>
  </si>
  <si>
    <t>+7 (960) 099-00-29</t>
  </si>
  <si>
    <t>Людмила</t>
  </si>
  <si>
    <t>47.833573 56.636917</t>
  </si>
  <si>
    <t>+7 (964) 860-63-63</t>
  </si>
  <si>
    <t>Панорама</t>
  </si>
  <si>
    <t>+7 (8362) 65-05-15</t>
  </si>
  <si>
    <t>Советник</t>
  </si>
  <si>
    <t>+7 (8362) 77-74-45</t>
  </si>
  <si>
    <t>+7 (987) 731-11-11</t>
  </si>
  <si>
    <t>Адвокаты, Регистрация и ликвидация предприятий, Юридические услуги</t>
  </si>
  <si>
    <t>47.884365 56.637188</t>
  </si>
  <si>
    <t>Притяжение красоты</t>
  </si>
  <si>
    <t>+7 (8362) 93-63-86</t>
  </si>
  <si>
    <t>+7 (902) 124-63-86</t>
  </si>
  <si>
    <t>Start engine</t>
  </si>
  <si>
    <t>+7 (929) 732-01-00</t>
  </si>
  <si>
    <t>47.871437 56.642773</t>
  </si>
  <si>
    <t>Автоподбор</t>
  </si>
  <si>
    <t>ул. Строителей, 17, Йошкар-Ола</t>
  </si>
  <si>
    <t>+7 (8362) 77-93-97</t>
  </si>
  <si>
    <t xml:space="preserve">controlrf01@gmail.com </t>
  </si>
  <si>
    <t>http://vk.com/autohunter</t>
  </si>
  <si>
    <t>47.836726 56.63613</t>
  </si>
  <si>
    <t>+7 (8362) 45-26-23, +7 (8362) 55-32-66</t>
  </si>
  <si>
    <t>Газелькин</t>
  </si>
  <si>
    <t>+7 (902) 329-97-65</t>
  </si>
  <si>
    <t>Автомобильные грузоперевозки, Переезды</t>
  </si>
  <si>
    <t>Двери Прованс</t>
  </si>
  <si>
    <t>+7 (987) 705-19-99</t>
  </si>
  <si>
    <t xml:space="preserve">office@akten-doors.ru, info@akten-doors.ru, mebelvgoroderu@mail.ru  </t>
  </si>
  <si>
    <t>http://www.akten-doors.ru/</t>
  </si>
  <si>
    <t>http://vk.com/aktendoors</t>
  </si>
  <si>
    <t>http://instagram.com/aktendoors</t>
  </si>
  <si>
    <t>47.894492 56.610529</t>
  </si>
  <si>
    <t>МетроFitness</t>
  </si>
  <si>
    <t>+7 (8362) 51-41-31</t>
  </si>
  <si>
    <t xml:space="preserve">info@metrofitness.ru, uralskaya@metrofitness.ru, cherepanova@metrofitness.ru, amundsena@metrofitness.ru, kr63@metrofitness.ru  </t>
  </si>
  <si>
    <t>https://www.metro-fitness.ru/</t>
  </si>
  <si>
    <t>пн-пт 07:00–23:00; сб 08:00–20:00; вс 09:00–20:00</t>
  </si>
  <si>
    <t>https://vk.com/metro.fitness</t>
  </si>
  <si>
    <t>https://www.youtube.com/MetroFitnessRu</t>
  </si>
  <si>
    <t>47.940664 56.622981</t>
  </si>
  <si>
    <t>ЭР-Телеком</t>
  </si>
  <si>
    <t>8 (800) 333-70-00, +7 (8362) 30-41-01</t>
  </si>
  <si>
    <t xml:space="preserve">info@domru.ru, dmitrii.smirkin@domru.ru, ir@ertelecom.ru, operator@ertelecom.ru, compliance@domru.ru  </t>
  </si>
  <si>
    <t>https://ertelecom.ru/</t>
  </si>
  <si>
    <t>Интернет-провайдер, Телекоммуникационная компания</t>
  </si>
  <si>
    <t>Асг АиСТ</t>
  </si>
  <si>
    <t>+7 (8362) 49-74-50, +7 (8362) 49-74-51</t>
  </si>
  <si>
    <t>Архитектурное бюро, Проектная организация</t>
  </si>
  <si>
    <t>47.829932 56.636533</t>
  </si>
  <si>
    <t>Посудный рай</t>
  </si>
  <si>
    <t>+7 (8362) 45-02-09</t>
  </si>
  <si>
    <t>47.896354 56.63238</t>
  </si>
  <si>
    <t>ДорСтройСервис</t>
  </si>
  <si>
    <t>8 (800) 505-45-08</t>
  </si>
  <si>
    <t xml:space="preserve">108@1dcc.ru  </t>
  </si>
  <si>
    <t>http://yoshkar-ola.1dcc.ru/foton, http://yoshkar-ola.1dcc.ru/, http://yoshkar-ola.1dcc.ru/faw, http://yoshkar-ola.1dcc.ru/howo, http://yoshkar-ola.1dcc.ru/shaanxi</t>
  </si>
  <si>
    <t>http://vk.com/public72155186</t>
  </si>
  <si>
    <t>Хлебополка</t>
  </si>
  <si>
    <t>+7 (902) 745-10-10</t>
  </si>
  <si>
    <t>Антикорозийная обработка</t>
  </si>
  <si>
    <t>+7 (8362) 61-49-30, +7 (8362) 44-66-77</t>
  </si>
  <si>
    <t>+7 (961) 373-33-24</t>
  </si>
  <si>
    <t>47.872722 56.653195</t>
  </si>
  <si>
    <t>CrazyPole</t>
  </si>
  <si>
    <t>+7 (8362) 44-99-33</t>
  </si>
  <si>
    <t>ежедневно, 17:30–21:30</t>
  </si>
  <si>
    <t>47.894338 56.640618</t>
  </si>
  <si>
    <t>Red studio</t>
  </si>
  <si>
    <t>+7 (987) 730-22-22</t>
  </si>
  <si>
    <t>Технофора</t>
  </si>
  <si>
    <t>+7 (917) 700-94-64</t>
  </si>
  <si>
    <t xml:space="preserve">technofora@yandex.ru </t>
  </si>
  <si>
    <t>http://www.технофора.рф/</t>
  </si>
  <si>
    <t>Валентина</t>
  </si>
  <si>
    <t>+7 (8362) 70-00-15</t>
  </si>
  <si>
    <t>Персональный тренер</t>
  </si>
  <si>
    <t>+7 (937) 111-00-87</t>
  </si>
  <si>
    <t>7 Гномов</t>
  </si>
  <si>
    <t>Советская ул., 95, Йошкар-Ола</t>
  </si>
  <si>
    <t>+7 (927) 681-91-81, +7 (987) 718-62-07</t>
  </si>
  <si>
    <t>47.902115 56.640911</t>
  </si>
  <si>
    <t>МЕГАХЕНД</t>
  </si>
  <si>
    <t>ул. Суворова, 42А, Йошкар-Ола</t>
  </si>
  <si>
    <t>+7 (8362) 48-66-68</t>
  </si>
  <si>
    <t xml:space="preserve">info@mega-hand.ru  </t>
  </si>
  <si>
    <t>http://mega-hand.ru/?utm_campaign=Ya_Mapsu0026utm_medium=Ya_Mapsu0026utm_source=Ya_Maps</t>
  </si>
  <si>
    <t>Магазин обуви, Магазин одежды, Секонд-хенд</t>
  </si>
  <si>
    <t>пн-пт 10:00–19:00; сб,вс 09:00–19:00</t>
  </si>
  <si>
    <t>http://vk.com/club141610305</t>
  </si>
  <si>
    <t>http://instagram.com/mega_hand_yoshkar_ola</t>
  </si>
  <si>
    <t>47.85846 56.641219</t>
  </si>
  <si>
    <t>A. R. R. S</t>
  </si>
  <si>
    <t>+7 (8362) 97-90-90</t>
  </si>
  <si>
    <t>Корпусная мебель, Мебель для кухни, Мебель на заказ, Торговое оборудование</t>
  </si>
  <si>
    <t>47.91949 56.626629</t>
  </si>
  <si>
    <t>ул. Якова Эшпая, 143, Йошкар-Ола</t>
  </si>
  <si>
    <t>+7 (8362) 42-26-64</t>
  </si>
  <si>
    <t>Булочная, пекарня, Кондитерская, Магазин кулинарии</t>
  </si>
  <si>
    <t>47.883136 56.637375</t>
  </si>
  <si>
    <t>47.831144 56.636511</t>
  </si>
  <si>
    <t>Академия искусств</t>
  </si>
  <si>
    <t>+7 (987) 724-00-00</t>
  </si>
  <si>
    <t xml:space="preserve">maryadip@yandex.ru  </t>
  </si>
  <si>
    <t>http://akademyart.ru/</t>
  </si>
  <si>
    <t>https://vk.com/club128849381</t>
  </si>
  <si>
    <t>+7 (8362) 77-61-11, +7 (8362) 51-61-11</t>
  </si>
  <si>
    <t>47.902788 56.646311</t>
  </si>
  <si>
    <t>Sony Playstation 4</t>
  </si>
  <si>
    <t>ул. Яна Крастыня, 2, Йошкар-Ола</t>
  </si>
  <si>
    <t>+7 (902) 738-95-59</t>
  </si>
  <si>
    <t>https://www.playstation.com/ru-ru/</t>
  </si>
  <si>
    <t>http://vk.com/playstationru</t>
  </si>
  <si>
    <t>http://facebook.com/playstationru</t>
  </si>
  <si>
    <t>http://instagram.com/playstationru</t>
  </si>
  <si>
    <t>47.8262 56.6341</t>
  </si>
  <si>
    <t>НПФ CraftLux</t>
  </si>
  <si>
    <t>+7 (917) 703-46-21</t>
  </si>
  <si>
    <t xml:space="preserve">opkbexplomet@gmail.com  </t>
  </si>
  <si>
    <t>http://www.craftlux.ru/</t>
  </si>
  <si>
    <t>Производственное предприятие, Светильники</t>
  </si>
  <si>
    <t>http://vk.com/club143088569</t>
  </si>
  <si>
    <t>Левша и Ко</t>
  </si>
  <si>
    <t>+7 (8362) 65-71-65</t>
  </si>
  <si>
    <t>+7 (987) 716-90-21</t>
  </si>
  <si>
    <t>ежедневно, 09:00–18:30</t>
  </si>
  <si>
    <t>Водопроводная ул., 44, Йошкар-Ола</t>
  </si>
  <si>
    <t>+7 (8362) 78-03-45</t>
  </si>
  <si>
    <t>47.90102 56.64915</t>
  </si>
  <si>
    <t>Иксора</t>
  </si>
  <si>
    <t>ул. Машиностроителей, 101, Йошкар-Ола</t>
  </si>
  <si>
    <t>8 (800) 555-43-85</t>
  </si>
  <si>
    <t>+7 (937) 117-74-57</t>
  </si>
  <si>
    <t xml:space="preserve">corp@ixora-auto.ru, claim@ixora-auto.ru, wholesale@ixora-auto.ru, rozdel@ixora-auto.ru, job@ixora-auto.ru, returns@ixora-auto.ru, coachcenter@ixora-auto.ru, arzamas@ixora-auto.ru, roznica_balahna@ixora-auto.ru, roznica_bogorodsk@ixora-auto.ru </t>
  </si>
  <si>
    <t>http://ixora-auto.ru/</t>
  </si>
  <si>
    <t>Автоаксессуары, Оптовая компания</t>
  </si>
  <si>
    <t>пн-чт 09:00–18:00; сб 10:00–15:00</t>
  </si>
  <si>
    <t>47.848413 56.629045</t>
  </si>
  <si>
    <t>1С Первый Бит</t>
  </si>
  <si>
    <t>+7 (8362) 34-86-96</t>
  </si>
  <si>
    <t xml:space="preserve">novosib@1cbit.ru, vernadka@1cbit.ru  </t>
  </si>
  <si>
    <t>https://yoshkar-ola.1cbit.ru/, https://www.bitfinance.ru/</t>
  </si>
  <si>
    <t>IT-компания, Маркировка товаров, штриховое кодирование, Программное обеспечение</t>
  </si>
  <si>
    <t>http://vk.com/bit_it</t>
  </si>
  <si>
    <t>http://twitter.com/1cbit</t>
  </si>
  <si>
    <t>http://www.facebook.com/1bit.ru</t>
  </si>
  <si>
    <t>47.903937 56.641414</t>
  </si>
  <si>
    <t>Al Mazarra</t>
  </si>
  <si>
    <t>+7 (927) 681-81-33</t>
  </si>
  <si>
    <t>вт,пт 07:30–21:30; сб,вс 13:00–15:00</t>
  </si>
  <si>
    <t>47.867655 56.635313</t>
  </si>
  <si>
    <t>Упаковка и Сервис</t>
  </si>
  <si>
    <t>+7 (8362) 41-25-22, +7 (8362) 72-11-00</t>
  </si>
  <si>
    <t xml:space="preserve">ifo@pack.ru, donate@opencart.com  </t>
  </si>
  <si>
    <t>http://www.pack.ru/</t>
  </si>
  <si>
    <t>Тара и упаковочные материалы</t>
  </si>
  <si>
    <t>47.8741 56.6361</t>
  </si>
  <si>
    <t>ул. Артёма, 4, Йошкар-Ола</t>
  </si>
  <si>
    <t>47.848773 56.657544</t>
  </si>
  <si>
    <t>+7 (927) 882-15-57, +7 (927) 876-79-75</t>
  </si>
  <si>
    <t>Ремонт пластиковых окон</t>
  </si>
  <si>
    <t>Автоэлектрика</t>
  </si>
  <si>
    <t>+7 (960) 094-77-11, +7 (902) 743-89-09</t>
  </si>
  <si>
    <t>пн,ср,чт,пт,сб,вс 08:00–17:00</t>
  </si>
  <si>
    <t>47.952636 56.618951</t>
  </si>
  <si>
    <t>ВторЧерМет</t>
  </si>
  <si>
    <t>+7 (927) 883-31-40</t>
  </si>
  <si>
    <t xml:space="preserve">vi-a-sekretar_sibir@nlmk.com  </t>
  </si>
  <si>
    <t>http://uralvtorchermet.ru/</t>
  </si>
  <si>
    <t>Батуты Springfree</t>
  </si>
  <si>
    <t>Россия, Республика Марий Эл, Йошкар-Ола, Вознесенская улица</t>
  </si>
  <si>
    <t>+7 (8362) 45-79-43</t>
  </si>
  <si>
    <t xml:space="preserve">info@springfree.ru  </t>
  </si>
  <si>
    <t>https://springfree.ru/</t>
  </si>
  <si>
    <t>http://vk.com/club48766221</t>
  </si>
  <si>
    <t>http://www.facebook.com/springfreerus</t>
  </si>
  <si>
    <t>47.89988 56.634407</t>
  </si>
  <si>
    <t>+7 (8362) 28-04-42</t>
  </si>
  <si>
    <t>47.945232 56.623017</t>
  </si>
  <si>
    <t>+7 (917) 700-74-93</t>
  </si>
  <si>
    <t>пн,ср,пт 08:00–21:30</t>
  </si>
  <si>
    <t>http://vk.com/e.alduganova</t>
  </si>
  <si>
    <t>Лаборатория труда</t>
  </si>
  <si>
    <t>+7 (8362) 50-83-74</t>
  </si>
  <si>
    <t>+7 (917) 702-67-28</t>
  </si>
  <si>
    <t xml:space="preserve">info@labtrud.ru, info-sout12@labtrud.ru, s.ptachka@labtrud.ru, l.potaseva@labtrud.ru, v.malceva@labtrud.ru  </t>
  </si>
  <si>
    <t>http://labtrud.ru/, http://yola.labtrud.ru/</t>
  </si>
  <si>
    <t>ПМТУ Росстандарт</t>
  </si>
  <si>
    <t>+7 (8362) 41-50-45</t>
  </si>
  <si>
    <t>Стандартизация и метрология</t>
  </si>
  <si>
    <t>47.879391 56.617552</t>
  </si>
  <si>
    <t>Магнификс</t>
  </si>
  <si>
    <t>+7 (8362) 36-25-45</t>
  </si>
  <si>
    <t>Комплектующие для окон, Москитные сетки, Окна, Остекление балконов и лоджий</t>
  </si>
  <si>
    <t>Служба перевозки</t>
  </si>
  <si>
    <t>+7 (8362) 44-37-36</t>
  </si>
  <si>
    <t>+7 (902) 435-94-04</t>
  </si>
  <si>
    <t xml:space="preserve">mmk12@mail.ru, mmk12@mail.ru.ru, info@medtaxi12.ru  </t>
  </si>
  <si>
    <t>http://medtaxi12.ru/</t>
  </si>
  <si>
    <t>Перевозка больных, Товары для инвалидов, средства реабилитации</t>
  </si>
  <si>
    <t>47.840248 56.636179</t>
  </si>
  <si>
    <t>ГК Ракета</t>
  </si>
  <si>
    <t>+7 (8362) 64-74-57</t>
  </si>
  <si>
    <t>вт,чт 16:00–19:00; сб 09:00–13:00</t>
  </si>
  <si>
    <t>47.953383 56.618705</t>
  </si>
  <si>
    <t>Киоск №17</t>
  </si>
  <si>
    <t>+7 (8362) 33-74-29</t>
  </si>
  <si>
    <t>47.844577 56.640926</t>
  </si>
  <si>
    <t>Магистральные щиты</t>
  </si>
  <si>
    <t>+7 (8362) 33-44-01</t>
  </si>
  <si>
    <t>+7 (927) 883-44-01</t>
  </si>
  <si>
    <t>http://ofis12.ru/, http://магистральныещиты12.рф/</t>
  </si>
  <si>
    <t>47.888379 56.623687</t>
  </si>
  <si>
    <t>УМиТ</t>
  </si>
  <si>
    <t>ул. Крылова, 55, Йошкар-Ола</t>
  </si>
  <si>
    <t>+7 (8362) 20-44-66, +7 (8362) 20-11-66</t>
  </si>
  <si>
    <t>Бетон, бетонные изделия, Строительная компания</t>
  </si>
  <si>
    <t>47.831669 56.615542</t>
  </si>
  <si>
    <t>Штучки-Дрючки</t>
  </si>
  <si>
    <t>http://shtuchkishop.ru/</t>
  </si>
  <si>
    <t>Секс-шоп</t>
  </si>
  <si>
    <t>47.892426 56.638457</t>
  </si>
  <si>
    <t>Магнит42</t>
  </si>
  <si>
    <t>+7 (904) 666-33-71, +7 (950) 329-70-17</t>
  </si>
  <si>
    <t xml:space="preserve">info@magnit-42.ru </t>
  </si>
  <si>
    <t>Магниты и магнитные системы</t>
  </si>
  <si>
    <t>Центр астрологических услуг</t>
  </si>
  <si>
    <t>Краснофлотская ул., 24, Йошкар-Ола</t>
  </si>
  <si>
    <t>+7 (917) 713-53-24</t>
  </si>
  <si>
    <t>Диагностический центр, Услуги репетиторов, Услуги частных специалистов</t>
  </si>
  <si>
    <t>47.842682 56.63458</t>
  </si>
  <si>
    <t>ДревМашИнструмент</t>
  </si>
  <si>
    <t>+7 (8362) 46-22-42</t>
  </si>
  <si>
    <t>+7 (917) 713-32-04</t>
  </si>
  <si>
    <t>Авто-oil</t>
  </si>
  <si>
    <t>+7 (8362) 99-44-92</t>
  </si>
  <si>
    <t>+7 (902) 329-44-92</t>
  </si>
  <si>
    <t>Автосервис, автотехцентр, АЗС, Смазочные материалы</t>
  </si>
  <si>
    <t>Super джинсы</t>
  </si>
  <si>
    <t>47.864313 56.646717</t>
  </si>
  <si>
    <t>Космея</t>
  </si>
  <si>
    <t>47.892643 56.634619</t>
  </si>
  <si>
    <t>Стиль Данс</t>
  </si>
  <si>
    <t>47.869321 56.640085</t>
  </si>
  <si>
    <t>47.922198 56.636235</t>
  </si>
  <si>
    <t>Мобисервис</t>
  </si>
  <si>
    <t>+7 (902) 107-97-88</t>
  </si>
  <si>
    <t>http://мобисервис.рус/</t>
  </si>
  <si>
    <t>Ноутбуки и планшеты, Ремонт телефонов, Товары для мобильных телефонов</t>
  </si>
  <si>
    <t>http://vk.com/remontsot12</t>
  </si>
  <si>
    <t>https://www.instagram.com/aleksandrmobiservice</t>
  </si>
  <si>
    <t>47.894723 56.64022</t>
  </si>
  <si>
    <t>Kyb</t>
  </si>
  <si>
    <t>47.840374 56.631508</t>
  </si>
  <si>
    <t>ул. Якова Эшпая, 168, Йошкар-Ола</t>
  </si>
  <si>
    <t>47.879269 56.634033</t>
  </si>
  <si>
    <t>ул. Зои Космодемьянской, 128, Йошкар-Ола</t>
  </si>
  <si>
    <t>47.948166 56.640121</t>
  </si>
  <si>
    <t>Триколор</t>
  </si>
  <si>
    <t>Советская ул., 99, Йошкар-Ола</t>
  </si>
  <si>
    <t>Спутниковое телевидение</t>
  </si>
  <si>
    <t>47.901528 56.640214</t>
  </si>
  <si>
    <t>Киберклуб CyberX</t>
  </si>
  <si>
    <t>+7 (8362) 34-19-33</t>
  </si>
  <si>
    <t xml:space="preserve">info@cyberx-franchise.ru  </t>
  </si>
  <si>
    <t>https://cyberxcommunity.ru/</t>
  </si>
  <si>
    <t>Интернет-кафе, Киберспорт, Клуб досуга</t>
  </si>
  <si>
    <t>47.883457 56.640515</t>
  </si>
  <si>
    <t>Мусорная площадка</t>
  </si>
  <si>
    <t>47.935905 56.637944</t>
  </si>
  <si>
    <t>Госпиталь ветеранов войн, кардиологическое отделение</t>
  </si>
  <si>
    <t>+7 (8362) 42-16-79, +7 (8362) 42-16-28, +7 (8362) 42-22-73, +7 (8362) 68-67-20, +7 (8362) 42-23-69, +7 (8362) 42-23-19</t>
  </si>
  <si>
    <t>Госпиталь</t>
  </si>
  <si>
    <t>АкваГрад</t>
  </si>
  <si>
    <t>Западная ул., 29, Йошкар-Ола</t>
  </si>
  <si>
    <t>+7 (8362) 23-01-89, +7 (8362) 62-66-26</t>
  </si>
  <si>
    <t>+7 (902) 744-16-26</t>
  </si>
  <si>
    <t xml:space="preserve">aquagradyo@mail.ru  </t>
  </si>
  <si>
    <t>https://aquagrad12.ru/</t>
  </si>
  <si>
    <t>Водонагреватели, Магазин сантехники, Отопительное оборудование и системы</t>
  </si>
  <si>
    <t>https://vk.com/club154921640</t>
  </si>
  <si>
    <t>47.831831 56.644577</t>
  </si>
  <si>
    <t>Адвокат и Законъ</t>
  </si>
  <si>
    <t>+7 (981) 814-77-67</t>
  </si>
  <si>
    <t xml:space="preserve">euro545@gmail.com  </t>
  </si>
  <si>
    <t>http://rostov-na-dony-law.ulcraft.com/</t>
  </si>
  <si>
    <t>Коллекторское агентство, Лицензирование, Юридические услуги</t>
  </si>
  <si>
    <t>Россия, Республика Марий Эл, Йошкар-Ола, улица Строителей</t>
  </si>
  <si>
    <t>47.834401 56.637168</t>
  </si>
  <si>
    <t>Дартстрой</t>
  </si>
  <si>
    <t>+7 (902) 466-07-05</t>
  </si>
  <si>
    <t xml:space="preserve">org@dart-stroy.ru  </t>
  </si>
  <si>
    <t>http://dart-stroy.ru/</t>
  </si>
  <si>
    <t>Строительные товары</t>
  </si>
  <si>
    <t>47.935528 56.637701</t>
  </si>
  <si>
    <t>47.83825 56.641545</t>
  </si>
  <si>
    <t>ул. Петрова, 26, Йошкар-Ола</t>
  </si>
  <si>
    <t>47.924663 56.639856</t>
  </si>
  <si>
    <t>Тип-Топ</t>
  </si>
  <si>
    <t>47.879873 56.636305</t>
  </si>
  <si>
    <t>Велопарковка</t>
  </si>
  <si>
    <t>ул. Строителей, 38, Йошкар-Ола</t>
  </si>
  <si>
    <t>47.833172 56.637213</t>
  </si>
  <si>
    <t>ГУП РМЭ Администратор</t>
  </si>
  <si>
    <t>+7 (8362) 41-66-21, +7 (8362) 45-37-18</t>
  </si>
  <si>
    <t>+7 (8362) 45-37-18</t>
  </si>
  <si>
    <t xml:space="preserve">gupadmrme@mail.ru  </t>
  </si>
  <si>
    <t>http://administrator12.ru/</t>
  </si>
  <si>
    <t>Стройком</t>
  </si>
  <si>
    <t>Бетон, бетонные изделия, ЖБИ, Изоляционные материалы, Теплоизоляционные материалы</t>
  </si>
  <si>
    <t>47.830159 56.616566</t>
  </si>
  <si>
    <t>Exzotica</t>
  </si>
  <si>
    <t>ул. Прохорова, 38, Йошкар-Ола</t>
  </si>
  <si>
    <t>+7 (927) 889-19-22</t>
  </si>
  <si>
    <t>Массажный салон</t>
  </si>
  <si>
    <t>https://vk.com/ola_exzotic</t>
  </si>
  <si>
    <t>47.830052 56.631422</t>
  </si>
  <si>
    <t>ул. Машиностроителей, 79, Йошкар-Ола</t>
  </si>
  <si>
    <t>+7 (8362) 38-12-70</t>
  </si>
  <si>
    <t>47.852083 56.631219</t>
  </si>
  <si>
    <t>+7 (8362) 62-92-10</t>
  </si>
  <si>
    <t>Клуб для детей и подростков, Школа искусств</t>
  </si>
  <si>
    <t>Малявка</t>
  </si>
  <si>
    <t>+7 (917) 718-06-11, +7 (987) 705-22-38</t>
  </si>
  <si>
    <t>47.896163 56.633475</t>
  </si>
  <si>
    <t>Ok Style 12</t>
  </si>
  <si>
    <t>+7 (987) 705-28-91</t>
  </si>
  <si>
    <t>https://vk.com/okstyle12</t>
  </si>
  <si>
    <t>47.901477 56.640006</t>
  </si>
  <si>
    <t>ул. Матросова, 40, Йошкар-Ола</t>
  </si>
  <si>
    <t>47.841564 56.632923</t>
  </si>
  <si>
    <t>Европейская мебель</t>
  </si>
  <si>
    <t>+7 (987) 711-65-51</t>
  </si>
  <si>
    <t xml:space="preserve">evromebel-nn@yandex.ru, mebel_evro_om@yandex.ru, mebel_evro@mail.ru, soyuznyy.evropeyskayamebel@mail.ru, evromebel_port@mail.ru  </t>
  </si>
  <si>
    <t>http://www.evromebelnn.ru/</t>
  </si>
  <si>
    <t>Россия, Республика Марий Эл, Йошкар-Ола, улица Прохорова</t>
  </si>
  <si>
    <t>47.836928 56.63335</t>
  </si>
  <si>
    <t>Сити классик</t>
  </si>
  <si>
    <t>47.83305 56.636807</t>
  </si>
  <si>
    <t>Наш Дом</t>
  </si>
  <si>
    <t>+7 (8362) 50-99-88</t>
  </si>
  <si>
    <t>+7 (964) 860-99-88</t>
  </si>
  <si>
    <t>Девелопмент недвижимости, Строительная компания</t>
  </si>
  <si>
    <t>https://vk.com/yolaparkpobedy</t>
  </si>
  <si>
    <t>https://www.facebook.com/yolanashdom</t>
  </si>
  <si>
    <t>https://www.instagram.com/yolanashdom</t>
  </si>
  <si>
    <t>47.849514 56.628182</t>
  </si>
  <si>
    <t>ул. Прохорова, 44Б, Йошкар-Ола</t>
  </si>
  <si>
    <t>47.828226 56.629793</t>
  </si>
  <si>
    <t>+7 (8362) 99-11-29</t>
  </si>
  <si>
    <t>Ателье по пошиву одежды, Ремонт кожи</t>
  </si>
  <si>
    <t>Пивоман</t>
  </si>
  <si>
    <t xml:space="preserve">pivomanomsk@mail.ru  </t>
  </si>
  <si>
    <t>47.896958 56.64989</t>
  </si>
  <si>
    <t>Сеть продуктовых магазинов</t>
  </si>
  <si>
    <t>47.899716 56.635724</t>
  </si>
  <si>
    <t>Все пучком</t>
  </si>
  <si>
    <t>47.95145 56.623524</t>
  </si>
  <si>
    <t>Алиса</t>
  </si>
  <si>
    <t>пр. Какшан, 22, Йошкар-Ола</t>
  </si>
  <si>
    <t>Магазин смешанных товаров</t>
  </si>
  <si>
    <t>47.908721 56.615498</t>
  </si>
  <si>
    <t>Еngineering 12</t>
  </si>
  <si>
    <t>+7 (8362) 36-59-99</t>
  </si>
  <si>
    <t>47.883051 56.624505</t>
  </si>
  <si>
    <t>Россия, Республика Марий Эл, Йошкар-Ола, 2-й микрорайон</t>
  </si>
  <si>
    <t>47.870988 56.650196</t>
  </si>
  <si>
    <t>ИП Павлова О. В.</t>
  </si>
  <si>
    <t>Первомайская ул., 148, Йошкар-Ола</t>
  </si>
  <si>
    <t>+7 (917) 716-12-24</t>
  </si>
  <si>
    <t>47.882962 56.634219</t>
  </si>
  <si>
    <t>Строительство бань и саун 365</t>
  </si>
  <si>
    <t>+7 (987) 704-52-56</t>
  </si>
  <si>
    <t xml:space="preserve">info@365sk.ru  </t>
  </si>
  <si>
    <t>http://365sk.ru/</t>
  </si>
  <si>
    <t>Кровельные работы, Металлические заборы и ограждения, Специализированные строительные работы, Строительство бань и саун, Строительство дачных домов и коттеджей</t>
  </si>
  <si>
    <t>Фаворит Авто</t>
  </si>
  <si>
    <t>+7 (8362) 36-33-37</t>
  </si>
  <si>
    <t>+7 (967) 756-33-37</t>
  </si>
  <si>
    <t xml:space="preserve">favorite-auto-trade@mail.ru, dasi2007@mail.ru  </t>
  </si>
  <si>
    <t>https://фаворит-авто.рф/</t>
  </si>
  <si>
    <t>https://vk.com/club46216987</t>
  </si>
  <si>
    <t>47.889469 56.622372</t>
  </si>
  <si>
    <t>Дружба</t>
  </si>
  <si>
    <t>2-я Деповская ул., 22, Йошкар-Ола</t>
  </si>
  <si>
    <t>пн-пт 07:00–21:00; сб 07:00–20:00</t>
  </si>
  <si>
    <t>47.871369 56.618583</t>
  </si>
  <si>
    <t>Жилсервис</t>
  </si>
  <si>
    <t>47.864693 56.653502</t>
  </si>
  <si>
    <t>Терминал оплаты</t>
  </si>
  <si>
    <t>47.885804 56.635579</t>
  </si>
  <si>
    <t>Труженица</t>
  </si>
  <si>
    <t>47.886781 56.644087</t>
  </si>
  <si>
    <t>Грузовой автосервис</t>
  </si>
  <si>
    <t>Сернурский тракт, 14, Йошкар-Ола</t>
  </si>
  <si>
    <t>+7 (927) 871-01-88</t>
  </si>
  <si>
    <t>Автомобильные прицепы, Автосервис, автотехцентр, Шиномонтаж</t>
  </si>
  <si>
    <t>47.948682 56.647363</t>
  </si>
  <si>
    <t>Level of style</t>
  </si>
  <si>
    <t>47.864434 56.646576</t>
  </si>
  <si>
    <t>Адвокатский кабинет Тимониной А. О.</t>
  </si>
  <si>
    <t>Сырная лавка</t>
  </si>
  <si>
    <t>8 (800) 100-83-62, +7 (8362) 34-33-53</t>
  </si>
  <si>
    <t xml:space="preserve">taras@kozi.ru, kg@kozi.ru, uu@lukoz.ru, bei@lukoz.ru, sernur@kozi.ru  </t>
  </si>
  <si>
    <t>http://kozi.ru/</t>
  </si>
  <si>
    <t>Магазин продуктов, Молочный магазин</t>
  </si>
  <si>
    <t>http://vk.com/cheese_ola</t>
  </si>
  <si>
    <t>47.906384 56.630244</t>
  </si>
  <si>
    <t>GreenSpark</t>
  </si>
  <si>
    <t>+7 (995) 108-40-08</t>
  </si>
  <si>
    <t xml:space="preserve">nnov1@green-spark.ru, review@green-spark.ru, shop@green-spark.ru  </t>
  </si>
  <si>
    <t>http://yoshkar-ola.green-spark.ru/</t>
  </si>
  <si>
    <t>Компьютеры и комплектующие оптом, Ремонт телефонов, Товары для мобильных телефонов</t>
  </si>
  <si>
    <t>https://vk.com/greenspark_yoshkarola</t>
  </si>
  <si>
    <t>https://www.instagram.com/greenspark_yoshkarola</t>
  </si>
  <si>
    <t>47.886667 56.642216</t>
  </si>
  <si>
    <t>47.947024 56.626441</t>
  </si>
  <si>
    <t>Lr</t>
  </si>
  <si>
    <t>http://lrworld.com/</t>
  </si>
  <si>
    <t>47.834249 56.635751</t>
  </si>
  <si>
    <t>Аренда лимузина Линкольн</t>
  </si>
  <si>
    <t>+7 (8362) 26-71-62</t>
  </si>
  <si>
    <t>+7 (937) 572-72-74</t>
  </si>
  <si>
    <t xml:space="preserve">8b4e078a51d04e0e9efdf470027f0ec1@sentry.wixpress.com, hellolinkoln@mail.ru </t>
  </si>
  <si>
    <t>https://www.limousineyoshkarola.com/</t>
  </si>
  <si>
    <t>Заказ автомобилей, Прокат автомобилей</t>
  </si>
  <si>
    <t>https://vk.com/limuzinlinkoln</t>
  </si>
  <si>
    <t>https://www.instagram.com/limyzinlinkoln_/</t>
  </si>
  <si>
    <t>47.93022 56.627873</t>
  </si>
  <si>
    <t>Ателье по пошиву одежды, Магазин детской одежды, Ремонт одежды</t>
  </si>
  <si>
    <t>пн-пт 10:00–18:30; сб,вс 10:00–16:30</t>
  </si>
  <si>
    <t>47.88916 56.640691</t>
  </si>
  <si>
    <t>+7 (927) 883-89-18, +7 (961) 374-66-36, +7 (987) 729-00-68</t>
  </si>
  <si>
    <t>Тепличное</t>
  </si>
  <si>
    <t>пн-пт 08:00–20:00, перерыв 13:30–14:00; сб,вс 08:00–19:00, перерыв 13:30–14:00</t>
  </si>
  <si>
    <t>Alla Filatova Beauty Tehnology Center</t>
  </si>
  <si>
    <t>+7 (8362) 52-22-47</t>
  </si>
  <si>
    <t>+7 (964) 862-22-47</t>
  </si>
  <si>
    <t>https://vk.com/club180991241</t>
  </si>
  <si>
    <t>Техника-сервис</t>
  </si>
  <si>
    <t>+7 (8362) 38-52-01</t>
  </si>
  <si>
    <t>+7 (8362) 33-02-39</t>
  </si>
  <si>
    <t>Обучение по специальности</t>
  </si>
  <si>
    <t>Театральное и цирковое образование</t>
  </si>
  <si>
    <t>https://vk.com/zerkalo_yoshkarola</t>
  </si>
  <si>
    <t>Смешанные товары</t>
  </si>
  <si>
    <t>47.925871 56.629411</t>
  </si>
  <si>
    <t>12 плюс</t>
  </si>
  <si>
    <t>+7 (8362) 23-28-32</t>
  </si>
  <si>
    <t>https://apteka12plus.ru/</t>
  </si>
  <si>
    <t>ЦветОпт</t>
  </si>
  <si>
    <t>Красноармейская ул., 42А, Йошкар-Ола</t>
  </si>
  <si>
    <t>+7 (8362) 43-74-67</t>
  </si>
  <si>
    <t>+7 (964) 863-74-67</t>
  </si>
  <si>
    <t>Магазин цветов, Оптовый магазин</t>
  </si>
  <si>
    <t>пн-пт 07:30–21:00; сб,вс 09:00–21:00</t>
  </si>
  <si>
    <t>https://vk.com/cvetopt12</t>
  </si>
  <si>
    <t>47.894054 56.641084</t>
  </si>
  <si>
    <t>ул. Гомзово, 92/2, Йошкар-Ола</t>
  </si>
  <si>
    <t>47.8651 56.644633</t>
  </si>
  <si>
    <t>Remmobile</t>
  </si>
  <si>
    <t>+7 (987) 714-04-42</t>
  </si>
  <si>
    <t>Ремонт аудиотехники и видеотехники, Ремонт телефонов</t>
  </si>
  <si>
    <t>47.877591 56.632917</t>
  </si>
  <si>
    <t>Спортплощадка, воркаут</t>
  </si>
  <si>
    <t>47.847284 56.618793</t>
  </si>
  <si>
    <t>Стройэксперт</t>
  </si>
  <si>
    <t>ул. Карла Маркса, 118, корп. А, Йошкар-Ола</t>
  </si>
  <si>
    <t>+7 (927) 888-09-98</t>
  </si>
  <si>
    <t>+7 (8362) 96-40-96</t>
  </si>
  <si>
    <t>Детский лагерь отдыха, Детский сад, Клуб для детей и подростков, Центр развития ребенка</t>
  </si>
  <si>
    <t>https://vk.com/club64605927</t>
  </si>
  <si>
    <t>47.863233 56.640036</t>
  </si>
  <si>
    <t>Точка сборки</t>
  </si>
  <si>
    <t xml:space="preserve">store@artlebedev.ru, sales@artlebedev.ru </t>
  </si>
  <si>
    <t>47.892848 56.638611</t>
  </si>
  <si>
    <t>Детский</t>
  </si>
  <si>
    <t>ул. Строителей, 7, Йошкар-Ола</t>
  </si>
  <si>
    <t>47.834281 56.637865</t>
  </si>
  <si>
    <t>Персональное решение</t>
  </si>
  <si>
    <t>+7 (902) 671-97-59</t>
  </si>
  <si>
    <t xml:space="preserve">example@mail.com, zakaz@oddjob.ru, igogoshenki98@gmail.com  </t>
  </si>
  <si>
    <t>https://fr.oddjob.ru/yoshkar-ola</t>
  </si>
  <si>
    <t>Снос зданий, Услуги грузчиков</t>
  </si>
  <si>
    <t>https://vk.com/personalnoereshenieola</t>
  </si>
  <si>
    <t>https://www.instagram.com/personalnoereshenieyo</t>
  </si>
  <si>
    <t>Forkids</t>
  </si>
  <si>
    <t>Комсомольская ул., 86, Йошкар-Ола</t>
  </si>
  <si>
    <t>+7 (937) 110-36-02</t>
  </si>
  <si>
    <t xml:space="preserve">irinceva@mail.ru, forkids_yo@mail.ru  </t>
  </si>
  <si>
    <t>https://vk.com/public189848549</t>
  </si>
  <si>
    <t>47.899177 56.645856</t>
  </si>
  <si>
    <t>Три кота</t>
  </si>
  <si>
    <t>бул. Чавайна, 45, Йошкар-Ола</t>
  </si>
  <si>
    <t>47.894491 56.635256</t>
  </si>
  <si>
    <t>+7 (8362) 99-30-97, +7 (8362) 73-34-00</t>
  </si>
  <si>
    <t>+7 (8362) 99-30-97</t>
  </si>
  <si>
    <t>Robomaker</t>
  </si>
  <si>
    <t>Фарадей, клуб юных химиков</t>
  </si>
  <si>
    <t>+7 (8362) 55-23-35</t>
  </si>
  <si>
    <t>+7 (967) 755-23-35</t>
  </si>
  <si>
    <t xml:space="preserve">faradej12@mail.ru </t>
  </si>
  <si>
    <t>Детские игровые залы и площадки, Детский лагерь отдыха, Клуб для детей и подростков, Курсы и мастер-классы</t>
  </si>
  <si>
    <t>47.929504 56.629367</t>
  </si>
  <si>
    <t>Adidas Outlet</t>
  </si>
  <si>
    <t>8 (800) 250-77-53, +7 (8362) 23-17-41, +7 (8362) 23-17-34</t>
  </si>
  <si>
    <t xml:space="preserve">customer@shop.adidas.ru </t>
  </si>
  <si>
    <t>http://www.adidas.ru/</t>
  </si>
  <si>
    <t>Магазин верхней одежды, Магазин детской обуви, Магазин детской одежды, Магазин одежды, Спортивная одежда и обувь, Спортивный магазин</t>
  </si>
  <si>
    <t>https://vk.com/adidas</t>
  </si>
  <si>
    <t>https://www.facebook.com/adidasRU</t>
  </si>
  <si>
    <t>https://www.youtube.com/channel/UCuLUOxd7ezJ8c6NSLBNRRfg</t>
  </si>
  <si>
    <t>https://www.instagram.com/adidasrussia</t>
  </si>
  <si>
    <t>47.92997 56.627215</t>
  </si>
  <si>
    <t>Галеон</t>
  </si>
  <si>
    <t>8 (800) 775-15-19, +7 (843) 216-46-18</t>
  </si>
  <si>
    <t xml:space="preserve">info@dveri-galeon.com  </t>
  </si>
  <si>
    <t>https://dveri-galeon.com/</t>
  </si>
  <si>
    <t>Двери, Производственное предприятие</t>
  </si>
  <si>
    <t>47.827385 56.621962</t>
  </si>
  <si>
    <t>47.879511 56.632374</t>
  </si>
  <si>
    <t>Газета</t>
  </si>
  <si>
    <t>47.891711 56.621475</t>
  </si>
  <si>
    <t>Маркетинг-профи</t>
  </si>
  <si>
    <t>+7 (902) 100-80-54</t>
  </si>
  <si>
    <t xml:space="preserve">e-marketing-profi@yandex.ru  </t>
  </si>
  <si>
    <t>http://marketing-profi.org/</t>
  </si>
  <si>
    <t>https://vk.com/public167915326</t>
  </si>
  <si>
    <t>Пивмаркет</t>
  </si>
  <si>
    <t>47.837585 56.635735</t>
  </si>
  <si>
    <t>Красноармейская ул., 100А, Йошкар-Ола</t>
  </si>
  <si>
    <t>47.862206 56.647675</t>
  </si>
  <si>
    <t>Техас</t>
  </si>
  <si>
    <t>+7 (927) 488-85-24</t>
  </si>
  <si>
    <t>47.843068 56.641914</t>
  </si>
  <si>
    <t>47.922873 56.635538</t>
  </si>
  <si>
    <t>ВагонкаЛюкс, офис</t>
  </si>
  <si>
    <t>ул. Шумелёва, 21А, Йошкар-Ола</t>
  </si>
  <si>
    <t>+7 (987) 724-58-28</t>
  </si>
  <si>
    <t xml:space="preserve">info@vagonka-luxe.ru  </t>
  </si>
  <si>
    <t>http://vagonka-luxe.ru/</t>
  </si>
  <si>
    <t>47.851629 56.626703</t>
  </si>
  <si>
    <t>Torri</t>
  </si>
  <si>
    <t>ул. Карла Маркса, 120Б, Йошкар-Ола</t>
  </si>
  <si>
    <t>47.892218 56.626464</t>
  </si>
  <si>
    <t>Косметический кабинет</t>
  </si>
  <si>
    <t>47.870809 56.645974</t>
  </si>
  <si>
    <t>Школа робототехники</t>
  </si>
  <si>
    <t>+7 (8362) 33-81-00</t>
  </si>
  <si>
    <t>+7 (962) 590-83-78</t>
  </si>
  <si>
    <t>Бокс 12</t>
  </si>
  <si>
    <t>+7 (8362) 95-00-06</t>
  </si>
  <si>
    <t>http://бокс12.рф/</t>
  </si>
  <si>
    <t>https://vk.com/b000kc12</t>
  </si>
  <si>
    <t>https://ok.ru/group/64485162745897</t>
  </si>
  <si>
    <t>https://twitter.com/0bDW0bXnc6c3ZFK</t>
  </si>
  <si>
    <t>https://www.facebook.com/groups/3904756319551072</t>
  </si>
  <si>
    <t>https://www.instagram.com/b000kc12</t>
  </si>
  <si>
    <t>47.850806 56.626342</t>
  </si>
  <si>
    <t>ГК Удача</t>
  </si>
  <si>
    <t>47.852709 56.630599</t>
  </si>
  <si>
    <t>Веселый голландец</t>
  </si>
  <si>
    <t>Ремонт холодильников</t>
  </si>
  <si>
    <t>+7 (917) 700-06-80</t>
  </si>
  <si>
    <t>http://yoshkar-ola.remontteh.ru/%D1%80%D0%B5%D0%BC%D0%BE%D0%BD%D1%82-%D1%85%D0%BE%D0%BB%D0%BE%D0%B4%D0%B8%D0%BB%D1%8C%D0%BD%D0%B8%D0%BA%D0%BE%D0%B2</t>
  </si>
  <si>
    <t>https://vk.com/fixtex</t>
  </si>
  <si>
    <t>47.926153 56.6351</t>
  </si>
  <si>
    <t>КП Студенческий</t>
  </si>
  <si>
    <t>+7 (8362) 68-78-14</t>
  </si>
  <si>
    <t>47.894453 56.631409</t>
  </si>
  <si>
    <t>Магазин трикотажных изделий</t>
  </si>
  <si>
    <t>47.864527 56.649668</t>
  </si>
  <si>
    <t>Институт педагогики и психологи</t>
  </si>
  <si>
    <t>47.880619 56.641955</t>
  </si>
  <si>
    <t>Кровать № 1</t>
  </si>
  <si>
    <t>ул. Строителей, 95Е, Йошкар-Ола</t>
  </si>
  <si>
    <t xml:space="preserve">info@toruda.ru, info@krovat-1.ru  </t>
  </si>
  <si>
    <t>https://yoshkarola.krovat-1.ru/</t>
  </si>
  <si>
    <t>47.867188 56.618958</t>
  </si>
  <si>
    <t>+7 (8362) 51-58-01</t>
  </si>
  <si>
    <t>ЖСК Весна</t>
  </si>
  <si>
    <t>ул. Петрова, 12, Йошкар-Ола</t>
  </si>
  <si>
    <t>+7 (8362) 71-92-74</t>
  </si>
  <si>
    <t>47.92327 56.63205</t>
  </si>
  <si>
    <t>47.931456 56.63776</t>
  </si>
  <si>
    <t>Продукт-сервис</t>
  </si>
  <si>
    <t>ул. Йывана Кырли, 23, Йошкар-Ола</t>
  </si>
  <si>
    <t>+7 (8362) 46-44-50</t>
  </si>
  <si>
    <t>47.83413 56.641976</t>
  </si>
  <si>
    <t>Золотая Корона</t>
  </si>
  <si>
    <t xml:space="preserve">help@koronapay.com  </t>
  </si>
  <si>
    <t>https://koronapay.com/</t>
  </si>
  <si>
    <t>https://www.facebook.com/korona.transfers</t>
  </si>
  <si>
    <t>https://www.youtube.com/channel/UCDf2lXfBXMHpm7Bfng6UXYQ</t>
  </si>
  <si>
    <t>47.884258 56.620759</t>
  </si>
  <si>
    <t>Принтекс - Типография</t>
  </si>
  <si>
    <t>https://www.printecs.com/</t>
  </si>
  <si>
    <t>Магазин подарков и сувениров, Полиграфические услуги, Рекламное агентство</t>
  </si>
  <si>
    <t>https://vk.com/printecs</t>
  </si>
  <si>
    <t>47.914628 56.635768</t>
  </si>
  <si>
    <t>Саунов</t>
  </si>
  <si>
    <t>пр. Какшан, 13А, Йошкар-Ола</t>
  </si>
  <si>
    <t>+7 (8362) 28-80-80</t>
  </si>
  <si>
    <t>http://sauna12.com/</t>
  </si>
  <si>
    <t>47.909182 56.616813</t>
  </si>
  <si>
    <t>Интернет-магазин недорогой мебели в Йошкар-Оле Smebel</t>
  </si>
  <si>
    <t>8 (800) 350-07-43</t>
  </si>
  <si>
    <t xml:space="preserve">sales1@smebel.net  </t>
  </si>
  <si>
    <t>https://joshkar-ola.smebel.net/</t>
  </si>
  <si>
    <t>Интернет-магазин, Магазин мебели, Мебель для кухни</t>
  </si>
  <si>
    <t>https://vk.com/smebel_net</t>
  </si>
  <si>
    <t>47.924195 56.638808</t>
  </si>
  <si>
    <t>Магазин</t>
  </si>
  <si>
    <t>http://bingosushi.ru/</t>
  </si>
  <si>
    <t>Доставка еды и обедов, Магазин продуктов</t>
  </si>
  <si>
    <t>47.916673 56.631331</t>
  </si>
  <si>
    <t>Йошкар-Олинская детская городская больница Отделение новорожденных</t>
  </si>
  <si>
    <t>+7 (8362) 64-20-69</t>
  </si>
  <si>
    <t xml:space="preserve">informsreda@yandex.ru </t>
  </si>
  <si>
    <t>47.898899 56.641397</t>
  </si>
  <si>
    <t>+7 (8362) 48-45-60</t>
  </si>
  <si>
    <t>47.936229 56.637579</t>
  </si>
  <si>
    <t>Медицинская ул., 11А, Йошкар-Ола</t>
  </si>
  <si>
    <t>47.965634 56.641535</t>
  </si>
  <si>
    <t>Шаурма</t>
  </si>
  <si>
    <t>ул. Карла Либкнехта, 67В, Йошкар-Ола</t>
  </si>
  <si>
    <t>+7 (902) 105-06-06</t>
  </si>
  <si>
    <t>https://vk.com/club143189238</t>
  </si>
  <si>
    <t>47.940077 56.63206</t>
  </si>
  <si>
    <t>47.935316 56.636714</t>
  </si>
  <si>
    <t>Рукодельница</t>
  </si>
  <si>
    <t>+7 (927) 883-57-67</t>
  </si>
  <si>
    <t>https://instagram.com/rykodelnitsa12</t>
  </si>
  <si>
    <t>47.917054 56.631345</t>
  </si>
  <si>
    <t>Марийское</t>
  </si>
  <si>
    <t>ул. Лебедева, 29, Йошкар-Ола</t>
  </si>
  <si>
    <t>47.954194 56.621307</t>
  </si>
  <si>
    <t>Катюша</t>
  </si>
  <si>
    <t>47.900765 56.648208</t>
  </si>
  <si>
    <t>Фабрика ЛиРа</t>
  </si>
  <si>
    <t>+7 (987) 706-33-33</t>
  </si>
  <si>
    <t xml:space="preserve">info@lipalira.ru  </t>
  </si>
  <si>
    <t>http://www.lipalira.ru/</t>
  </si>
  <si>
    <t>Деревообрабатывающее предприятие, Пиломатериалы, Товары для бани и сауны</t>
  </si>
  <si>
    <t>47.861685 56.618809</t>
  </si>
  <si>
    <t>ул. Дружбы, 89, Йошкар-Ола</t>
  </si>
  <si>
    <t>47.861124 56.652268</t>
  </si>
  <si>
    <t>Интисар</t>
  </si>
  <si>
    <t>http://h0.onmaster.ru/</t>
  </si>
  <si>
    <t>47.869329 56.640086</t>
  </si>
  <si>
    <t>47.893154 56.638639</t>
  </si>
  <si>
    <t>Кьюти</t>
  </si>
  <si>
    <t>+7 (8362) 31-62-11</t>
  </si>
  <si>
    <t>+7 (917) 071-62-11</t>
  </si>
  <si>
    <t xml:space="preserve">keauty.yola@gmail.com  </t>
  </si>
  <si>
    <t>https://vk.com/keauty_yola</t>
  </si>
  <si>
    <t>https://instagram.com/keauty_yola/</t>
  </si>
  <si>
    <t>47.929367 56.629445</t>
  </si>
  <si>
    <t>Аптека Вита Экспресс</t>
  </si>
  <si>
    <t>8 (800) 755-00-03</t>
  </si>
  <si>
    <t xml:space="preserve">uprav@77.rospotrebnadzor.ru, gp107@zdrav.mos.ru, gp107-f1@zdrav.mos.ru, gp107-f2@zdrav.mos.ru, gp107-f3@zdrav.mos.ru, gp107-f4@zdrav.mos.ru </t>
  </si>
  <si>
    <t>https://vitaexpress.ru/</t>
  </si>
  <si>
    <t>https://vk.com/aptekivita</t>
  </si>
  <si>
    <t>http://facebook.com/aptekivita</t>
  </si>
  <si>
    <t>https://www.instagram.com/vita_express/</t>
  </si>
  <si>
    <t>47.832419 56.639334</t>
  </si>
  <si>
    <t>Лапоток</t>
  </si>
  <si>
    <t>8 (800) 550-52-77</t>
  </si>
  <si>
    <t>+7 (999) 076-72-24</t>
  </si>
  <si>
    <t xml:space="preserve">retail@lapotoknn.ru  </t>
  </si>
  <si>
    <t>http://lapotoknn.ru/</t>
  </si>
  <si>
    <t>https://vk.com/yosh.lapotok</t>
  </si>
  <si>
    <t>https://www.facebook.com/lapotoknn</t>
  </si>
  <si>
    <t>Мейтан</t>
  </si>
  <si>
    <t>+7 (927) 872-14-12</t>
  </si>
  <si>
    <t xml:space="preserve">shop@meitan12.ru </t>
  </si>
  <si>
    <t>Магазин парфюмерии и косметики, Средства гигиены, Фитопродукция, БАДы</t>
  </si>
  <si>
    <t>МД-Трейд</t>
  </si>
  <si>
    <t>+7 (8362) 38-30-10</t>
  </si>
  <si>
    <t>Бытовая химия оптом, Хозтовары оптом</t>
  </si>
  <si>
    <t>Zебрано</t>
  </si>
  <si>
    <t>+7 (8362) 49-09-19</t>
  </si>
  <si>
    <t>Корпусная мебель, Мебель для кухни, Мебель на заказ</t>
  </si>
  <si>
    <t>Металлические двери</t>
  </si>
  <si>
    <t>47.914046 56.627337</t>
  </si>
  <si>
    <t>Апрель</t>
  </si>
  <si>
    <t>8 (800) 200-90-01</t>
  </si>
  <si>
    <t>http://apteka-april.ru/, https://api.whatsapp.com/send?phone=79182009001</t>
  </si>
  <si>
    <t>https://vk.com/aptekaaprel</t>
  </si>
  <si>
    <t>https://ok.ru/aptekaaprel</t>
  </si>
  <si>
    <t>https://www.facebook.com/aprelapteka/</t>
  </si>
  <si>
    <t>https://www.youtube.com/channel/UCo43PhC3rV6nHjZcS0OlLTA</t>
  </si>
  <si>
    <t>https://www.instagram.com/apteka__aprel</t>
  </si>
  <si>
    <t>Ярмарка дерева</t>
  </si>
  <si>
    <t>+7 (8362) 75-49-00, +7 (8362) 75-59-00</t>
  </si>
  <si>
    <t>+7 (917) 709-09-98</t>
  </si>
  <si>
    <t xml:space="preserve">info@yarmarka-dereva.ru  </t>
  </si>
  <si>
    <t>http://yarmarka-dereva.ru/</t>
  </si>
  <si>
    <t>Пиломатериалы, Строительная компания, Строительный магазин, Строительство бань и саун, Строительство дачных домов и коттеджей, Фанера</t>
  </si>
  <si>
    <t>https://vk.com/yarmarkadereva12</t>
  </si>
  <si>
    <t>47.849613 56.625567</t>
  </si>
  <si>
    <t>Пивтека</t>
  </si>
  <si>
    <t>ул. Мира, 34Б, Йошкар-Ола</t>
  </si>
  <si>
    <t>47.943664 56.63426</t>
  </si>
  <si>
    <t>Астил</t>
  </si>
  <si>
    <t>+7 (919) 686-58-66</t>
  </si>
  <si>
    <t>Металлопрокат, Цветные металлы</t>
  </si>
  <si>
    <t>ул. Гончарова, 18, Йошкар-Ола</t>
  </si>
  <si>
    <t>47.885554 56.616632</t>
  </si>
  <si>
    <t>Касса № 1</t>
  </si>
  <si>
    <t>8 (800) 775-01-01</t>
  </si>
  <si>
    <t xml:space="preserve">callcenter.ufa@kassaone.ru  </t>
  </si>
  <si>
    <t>http://kassaone.ru/</t>
  </si>
  <si>
    <t>https://vk.com/kassa_n1</t>
  </si>
  <si>
    <t>https://www.instagram.com/kassa_n1</t>
  </si>
  <si>
    <t>47.894753 56.640366</t>
  </si>
  <si>
    <t>Кировский рынок</t>
  </si>
  <si>
    <t>Россия, Республика Марий Эл, Йошкар-Ола, микрорайон Театральный</t>
  </si>
  <si>
    <t>Продуктовый рынок</t>
  </si>
  <si>
    <t>Комиссионный магазин</t>
  </si>
  <si>
    <t>ул. Анциферова, 21А, Йошкар-Ола</t>
  </si>
  <si>
    <t>47.865433 56.645706</t>
  </si>
  <si>
    <t>Шокта</t>
  </si>
  <si>
    <t>Молочный магазин</t>
  </si>
  <si>
    <t>47.943062 56.634822</t>
  </si>
  <si>
    <t>Западная ул., 27, Йошкар-Ола</t>
  </si>
  <si>
    <t>+7 (8362) 38-15-15</t>
  </si>
  <si>
    <t>http://oaokontinent.ru/</t>
  </si>
  <si>
    <t>Квартиры в новостройках</t>
  </si>
  <si>
    <t>47.831606 56.645445</t>
  </si>
  <si>
    <t>Автомед</t>
  </si>
  <si>
    <t>+7 (987) 727-14-31</t>
  </si>
  <si>
    <t>Медицинская комиссия</t>
  </si>
  <si>
    <t>ежедневно, 07:10–11:00</t>
  </si>
  <si>
    <t>Торговая компания АВБ-Комплект</t>
  </si>
  <si>
    <t>+7 (8362) 45-31-53</t>
  </si>
  <si>
    <t>Комбикорма и кормовые добавки, Средства защиты растений, Удобрения</t>
  </si>
  <si>
    <t>+7 (8362) 56-22-15</t>
  </si>
  <si>
    <t>Крепежные изделия, Лакокрасочные материалы, Магазин сантехники, Магазин хозтоваров и бытовой химии</t>
  </si>
  <si>
    <t>Магазин Замки и Сантехника</t>
  </si>
  <si>
    <t>+7 (906) 139-65-85</t>
  </si>
  <si>
    <t>Замки и запорные устройства, Магазин сантехники</t>
  </si>
  <si>
    <t>вт,ср,чт,пт,вс 09:00–16:00</t>
  </si>
  <si>
    <t>47.884418 56.632753</t>
  </si>
  <si>
    <t>Фрукты овощи</t>
  </si>
  <si>
    <t>Магазин овощей и фруктов, Пищевые ингредиенты и специи</t>
  </si>
  <si>
    <t>47.897714 56.644364</t>
  </si>
  <si>
    <t>Модный уголок</t>
  </si>
  <si>
    <t>47.899069 56.644004</t>
  </si>
  <si>
    <t>Образовательный центр Юнискул</t>
  </si>
  <si>
    <t>+7 (8362) 30-84-44</t>
  </si>
  <si>
    <t>+7 (967) 757-84-44</t>
  </si>
  <si>
    <t>http://privet.308555.ru/</t>
  </si>
  <si>
    <t>Дополнительное образование, Курсы иностранных языков, Услуги репетиторов</t>
  </si>
  <si>
    <t>https://www.instagram.com/UNISCHOOL_308555/</t>
  </si>
  <si>
    <t>47.888344 56.629383</t>
  </si>
  <si>
    <t>Нью Вит</t>
  </si>
  <si>
    <t>47.892258 56.638256</t>
  </si>
  <si>
    <t>DaMira</t>
  </si>
  <si>
    <t>Магазин сумок и чемоданов</t>
  </si>
  <si>
    <t>Двери и товары для дома ArgusDom.ru</t>
  </si>
  <si>
    <t>8 (800) 234-96-86</t>
  </si>
  <si>
    <t xml:space="preserve">info@argusdom.ru  </t>
  </si>
  <si>
    <t>https://argusdom.ru/</t>
  </si>
  <si>
    <t>Двери, Интернет-магазин, Товары для дома</t>
  </si>
  <si>
    <t>Копи - центр</t>
  </si>
  <si>
    <t>47.855704 56.644315</t>
  </si>
  <si>
    <t>Дебют</t>
  </si>
  <si>
    <t>47.840827 56.635318</t>
  </si>
  <si>
    <t>Натуральные камни и ювелирные изделия</t>
  </si>
  <si>
    <t>+7 (962) 577-11-29</t>
  </si>
  <si>
    <t>Рыцарь</t>
  </si>
  <si>
    <t>+7 (8362) 44-28-28</t>
  </si>
  <si>
    <t>+7 (902) 466-56-13, +7 (902) 744-28-28</t>
  </si>
  <si>
    <t xml:space="preserve">info@cmk-rytsar.ru, 442828@bk.ru  </t>
  </si>
  <si>
    <t>http://cmk-rytsar.ru/</t>
  </si>
  <si>
    <t>Кованые изделия, Лестницы и лестничные ограждения, Металлические заборы и ограждения</t>
  </si>
  <si>
    <t>https://vk.com/rytsarcmk</t>
  </si>
  <si>
    <t>https://instagram.com/rytsarcmk/</t>
  </si>
  <si>
    <t>47.883915 56.643198</t>
  </si>
  <si>
    <t>Первомайская ул., 116, Йошкар-Ола</t>
  </si>
  <si>
    <t>47.886496 56.638889</t>
  </si>
  <si>
    <t>47.832462 56.639557</t>
  </si>
  <si>
    <t>+7 (919) 416-35-34, +7 (927) 883-57-67</t>
  </si>
  <si>
    <t>Para</t>
  </si>
  <si>
    <t>+7 (927) 885-88-10</t>
  </si>
  <si>
    <t>Дома моды</t>
  </si>
  <si>
    <t>Шоу-рум</t>
  </si>
  <si>
    <t>пн-сб 09:00–20:00; вс 10:00–19:00</t>
  </si>
  <si>
    <t>47.883355 56.633115</t>
  </si>
  <si>
    <t>Peach Nails</t>
  </si>
  <si>
    <t>+7 (987) 703-51-87</t>
  </si>
  <si>
    <t>https://vk.com/dashenkamir</t>
  </si>
  <si>
    <t>http://instagram.com/peach_nails_12</t>
  </si>
  <si>
    <t>47.871266 56.63907</t>
  </si>
  <si>
    <t>ИП Михалёва Н. В</t>
  </si>
  <si>
    <t>+7 (927) 878-17-84</t>
  </si>
  <si>
    <t>Необычайное дерево</t>
  </si>
  <si>
    <t>47.897506 56.634105</t>
  </si>
  <si>
    <t>Ёж</t>
  </si>
  <si>
    <t>+7 (917) 704-44-49, +7 (960) 099-68-86</t>
  </si>
  <si>
    <t>http://www.ezhmarketing.ru/</t>
  </si>
  <si>
    <t>Интернет-маркетинг, Маркетинговые услуги, Студия дизайна</t>
  </si>
  <si>
    <t>https://vk.com/ezhmarketing</t>
  </si>
  <si>
    <t>https://www.youtube.com/channel/UCfC4nJuqrQNlCZxnbKq2Y3g</t>
  </si>
  <si>
    <t>https://www.instagram.com/ezhmarketing</t>
  </si>
  <si>
    <t>Сувенир</t>
  </si>
  <si>
    <t>Кремлёвская ул., 31А, Йошкар-Ола</t>
  </si>
  <si>
    <t>47.882336 56.639951</t>
  </si>
  <si>
    <t>Автосервис TopMotors</t>
  </si>
  <si>
    <t>+7 (8362) 66-61-17</t>
  </si>
  <si>
    <t>+7 (902) 739-66-67</t>
  </si>
  <si>
    <t>47.952798 56.649499</t>
  </si>
  <si>
    <t>+7 (8362) 52-34-01, +7 (8362) 97-01-30</t>
  </si>
  <si>
    <t>Двери, Жалюзи и рулонные шторы, Натяжные и подвесные потолки, Окна, Тепличное оборудование</t>
  </si>
  <si>
    <t>47.890043 56.639745</t>
  </si>
  <si>
    <t>ул. Машиностроителей, 132, Йошкар-Ола</t>
  </si>
  <si>
    <t>47.820932 56.627909</t>
  </si>
  <si>
    <t>Фастфуд</t>
  </si>
  <si>
    <t>47.83823 56.633121</t>
  </si>
  <si>
    <t>ИП Рябинин</t>
  </si>
  <si>
    <t>ул. Строителей, 31, Йошкар-Ола</t>
  </si>
  <si>
    <t>+7 (937) 110-88-80</t>
  </si>
  <si>
    <t>Бытовая химия</t>
  </si>
  <si>
    <t>+7 (8362) 91-91-24</t>
  </si>
  <si>
    <t>+7 (902) 466-61-23</t>
  </si>
  <si>
    <t>Бытовая химия оптом, Магазин хозтоваров и бытовой химии</t>
  </si>
  <si>
    <t>47.921638 56.640336</t>
  </si>
  <si>
    <t>Наше мясо</t>
  </si>
  <si>
    <t>Кокшайский пр., 44А, Йошкар-Ола</t>
  </si>
  <si>
    <t>пн-пт 07:30–19:30, перерыв 12:30–13:00; сб 07:30–18:00, перерыв 12:30–13:00; вс 07:30–19:00, перерыв 12:30–13:00</t>
  </si>
  <si>
    <t>47.878837 56.60843</t>
  </si>
  <si>
    <t>Apple Doctor</t>
  </si>
  <si>
    <t>+7 (8362) 48-84-48</t>
  </si>
  <si>
    <t>+7 (967) 756-05-35, +7 (909) 366-42-62</t>
  </si>
  <si>
    <t>http://vk.com/club135263457</t>
  </si>
  <si>
    <t>https://www.instagram.com/appledoctor12</t>
  </si>
  <si>
    <t>47.929955 56.627907</t>
  </si>
  <si>
    <t>КарПро.рф</t>
  </si>
  <si>
    <t>47.929382 56.629323</t>
  </si>
  <si>
    <t>Комплекс-Строй</t>
  </si>
  <si>
    <t>ул. Маяковского, 51А, Йошкар-Ола</t>
  </si>
  <si>
    <t>+7 (987) 731-58-00, +7 (937) 935-47-85</t>
  </si>
  <si>
    <t>+7 (8362) 45-74-16</t>
  </si>
  <si>
    <t>ежедневно, 08:00–19:00, перерыв 12:00–13:00</t>
  </si>
  <si>
    <t>Быстро Печать</t>
  </si>
  <si>
    <t>47.881801 56.634754</t>
  </si>
  <si>
    <t>АлиментыПро</t>
  </si>
  <si>
    <t>+7 (929) 825-40-61</t>
  </si>
  <si>
    <t xml:space="preserve">mirsud_2@list.ru, yoshkarolinsky.mari@sudrf.ru, vs.mari@sudrf.ru, yoshkar-ola@alimentipro.ru  </t>
  </si>
  <si>
    <t>http://yoshkar-ola.alimentipro.ru/</t>
  </si>
  <si>
    <t>Адвокаты, Семейное консультирование, Юридические услуги</t>
  </si>
  <si>
    <t>+7 (917) 700-00-14</t>
  </si>
  <si>
    <t>Автокосметика, автохимия, Магазин автозапчастей и автотоваров, Оптовый магазин</t>
  </si>
  <si>
    <t>47.897338 56.618715</t>
  </si>
  <si>
    <t>Citylife</t>
  </si>
  <si>
    <t>47.896421 56.627293</t>
  </si>
  <si>
    <t>GoodMilo</t>
  </si>
  <si>
    <t>Строймаг</t>
  </si>
  <si>
    <t>https://fanera12.ru/</t>
  </si>
  <si>
    <t>Любимая</t>
  </si>
  <si>
    <t>+7 (8362) 43-74-44</t>
  </si>
  <si>
    <t xml:space="preserve">info@lubipek12.ru  </t>
  </si>
  <si>
    <t>https://lubipek12.ru/</t>
  </si>
  <si>
    <t>Булочная, пекарня, Кондитерская, Кофейня</t>
  </si>
  <si>
    <t>https://vk.com/lubipek12</t>
  </si>
  <si>
    <t>https://www.instagram.com/lubipek12</t>
  </si>
  <si>
    <t>47.882398 56.622325</t>
  </si>
  <si>
    <t>47.90263 56.639448</t>
  </si>
  <si>
    <t>Распутинъ</t>
  </si>
  <si>
    <t>Кальян-бар</t>
  </si>
  <si>
    <t>пн-чт 12:00–02:00; пт,сб 12:00–04:00; вс 12:00–02:00</t>
  </si>
  <si>
    <t>http://vk.com/rasputinhookah</t>
  </si>
  <si>
    <t>http://instagram.com/rasputin.yo</t>
  </si>
  <si>
    <t>47.901527 56.64012</t>
  </si>
  <si>
    <t>Домино</t>
  </si>
  <si>
    <t>+7 (8362) 36-60-70, +7 (8362) 61-11-01</t>
  </si>
  <si>
    <t>+7 (967) 756-60-70</t>
  </si>
  <si>
    <t xml:space="preserve">12domino@mail.ru, fasady21@mail.ru  </t>
  </si>
  <si>
    <t>http://домино12.рф/</t>
  </si>
  <si>
    <t>http://vk.com/12domino</t>
  </si>
  <si>
    <t>СНТ Ветеран</t>
  </si>
  <si>
    <t>Корпорация событий</t>
  </si>
  <si>
    <t>+7 (937) 939-14-00</t>
  </si>
  <si>
    <t>Квесты, Праздничное агентство</t>
  </si>
  <si>
    <t>47.873521 56.647256</t>
  </si>
  <si>
    <t>Туалет</t>
  </si>
  <si>
    <t>47.838146 56.633084</t>
  </si>
  <si>
    <t>Чебуречек</t>
  </si>
  <si>
    <t>площадь имени В.П. Никонова, 1А, Йошкар-Ола</t>
  </si>
  <si>
    <t>+7 (917) 706-82-88</t>
  </si>
  <si>
    <t>47.903136 56.633908</t>
  </si>
  <si>
    <t>+7 (987) 718-49-81</t>
  </si>
  <si>
    <t>47.835777 56.641474</t>
  </si>
  <si>
    <t>Кажан</t>
  </si>
  <si>
    <t>+7 (927) 681-78-56</t>
  </si>
  <si>
    <t>Мемориал-мастер</t>
  </si>
  <si>
    <t>+7 (8362) 20-15-01</t>
  </si>
  <si>
    <t>Торговый центр Анютка</t>
  </si>
  <si>
    <t>47.924764 56.639892</t>
  </si>
  <si>
    <t>Производственный цех Габбро</t>
  </si>
  <si>
    <t>ул. Строителей, 97А, Йошкар-Ола</t>
  </si>
  <si>
    <t>+7 (902) 745-11-33</t>
  </si>
  <si>
    <t>Городское благоустройство, Изготовление памятников и надгробий, Изделия из камня</t>
  </si>
  <si>
    <t>47.865054 56.617188</t>
  </si>
  <si>
    <t>+7 (987) 734-20-48</t>
  </si>
  <si>
    <t>Коллегия адвокатов Республики Марий Эл Правовед</t>
  </si>
  <si>
    <t>+7 (927) 684-99-98, +7 (927) 880-03-76, +7 (917) 702-73-85, +7 (917) 714-59-27</t>
  </si>
  <si>
    <t>47.898713 56.637199</t>
  </si>
  <si>
    <t>Мясная продукция</t>
  </si>
  <si>
    <t>+7 (8362) 73-10-76</t>
  </si>
  <si>
    <t>Молочная продукция оптом, Мясная продукция оптом</t>
  </si>
  <si>
    <t>47.843978 56.623925</t>
  </si>
  <si>
    <t>Подарки и сувениры</t>
  </si>
  <si>
    <t>47.885087 56.634168</t>
  </si>
  <si>
    <t>ул. Куйбышева, 55А, Йошкар-Ола</t>
  </si>
  <si>
    <t>47.847945 56.645846</t>
  </si>
  <si>
    <t>Tonuscentr</t>
  </si>
  <si>
    <t>+7 (902) 105-75-07</t>
  </si>
  <si>
    <t>Массажный салон, Оздоровительный центр, Товары для здоровья</t>
  </si>
  <si>
    <t>47.845458 56.641096</t>
  </si>
  <si>
    <t>47.88488 56.619925</t>
  </si>
  <si>
    <t>Тилэнд</t>
  </si>
  <si>
    <t>+7 (8362) 90-93-83</t>
  </si>
  <si>
    <t xml:space="preserve">main@entrego.net, sales@entrego.net, natasha@log-sales.net, kadr@log-sales.net  </t>
  </si>
  <si>
    <t>http://tealand12.ru/</t>
  </si>
  <si>
    <t>Магазин продуктов, Магазин табака и курительных принадлежностей, Магазин чая и кофе</t>
  </si>
  <si>
    <t>47.906507 56.627545</t>
  </si>
  <si>
    <t>Climber</t>
  </si>
  <si>
    <t>47.892738 56.638753</t>
  </si>
  <si>
    <t>МКДОУ детский сад № 7 Золушка</t>
  </si>
  <si>
    <t>+7 (8362) 45-10-46, +7 (36224) 5-10-46</t>
  </si>
  <si>
    <t>47.909282 56.648655</t>
  </si>
  <si>
    <t>47.877708 56.635202</t>
  </si>
  <si>
    <t>Каменный цветок</t>
  </si>
  <si>
    <t>Комсомольская ул., 128А, Йошкар-Ола</t>
  </si>
  <si>
    <t>47.891622 56.634066</t>
  </si>
  <si>
    <t>Древень</t>
  </si>
  <si>
    <t>Mars</t>
  </si>
  <si>
    <t>8 (800) 201-10-00</t>
  </si>
  <si>
    <t>+7 (937) 939-75-55, +7 (917) 100-00-50</t>
  </si>
  <si>
    <t xml:space="preserve">info@marscar.ru  </t>
  </si>
  <si>
    <t>http://yoshkar-ola.marscar.ru/</t>
  </si>
  <si>
    <t>https://vk.com/marscar</t>
  </si>
  <si>
    <t>https://www.facebook.com/marscarrent</t>
  </si>
  <si>
    <t>https://www.instagram.com/marscar.ru</t>
  </si>
  <si>
    <t>47.872313 56.653126</t>
  </si>
  <si>
    <t>Автокаприз</t>
  </si>
  <si>
    <t>+7 (8362) 66-05-06, +7 (8362) 35-44-34</t>
  </si>
  <si>
    <t>пн-пт 10:00–18:00; сб 10:00–17:00; вс 10:00–16:00</t>
  </si>
  <si>
    <t>47.898704 56.645005</t>
  </si>
  <si>
    <t>Parnick</t>
  </si>
  <si>
    <t>+7 (902) 432-68-48</t>
  </si>
  <si>
    <t>Каблук</t>
  </si>
  <si>
    <t>47.892742 56.638753</t>
  </si>
  <si>
    <t>+7 (987) 728-04-25</t>
  </si>
  <si>
    <t>пн-чт 11:00–19:00, перерыв 13:00–13:30; пт 11:00–18:00; вс 12:00–15:00</t>
  </si>
  <si>
    <t>47.880034 56.632347</t>
  </si>
  <si>
    <t>Адвокатский кабинет Лихошва Г. Б.</t>
  </si>
  <si>
    <t>47.897244 56.649817</t>
  </si>
  <si>
    <t>АкваСфера</t>
  </si>
  <si>
    <t>+7 (987) 719-87-85</t>
  </si>
  <si>
    <t>Продажа готового бизнеса и франшиз</t>
  </si>
  <si>
    <t>LarSen</t>
  </si>
  <si>
    <t>47.877838 56.631157</t>
  </si>
  <si>
    <t>Дело техники</t>
  </si>
  <si>
    <t>+7 (917) 700-92-01</t>
  </si>
  <si>
    <t>Автомобильные грузоперевозки, Аренда строительной и спецтехники, Строительное оборудование и техника</t>
  </si>
  <si>
    <t>47.914583 56.635744</t>
  </si>
  <si>
    <t>Россия, Республика Марий Эл, Йошкар-Ола, улица 8 Марта</t>
  </si>
  <si>
    <t>47.969707 56.641255</t>
  </si>
  <si>
    <t>Вторсырье</t>
  </si>
  <si>
    <t>ул. Чапаева, 77А, корп. 1, Йошкар-Ола</t>
  </si>
  <si>
    <t>+7 (903) 326-33-55</t>
  </si>
  <si>
    <t>Fantosh</t>
  </si>
  <si>
    <t>Народный ансамбль песни и танца Сударушка</t>
  </si>
  <si>
    <t>+7 (8362) 78-62-46</t>
  </si>
  <si>
    <t>Творческий коллектив</t>
  </si>
  <si>
    <t>пн,вт,чт 18:00–20:00</t>
  </si>
  <si>
    <t>Мазаны</t>
  </si>
  <si>
    <t>АрСтудия12</t>
  </si>
  <si>
    <t>ул. Строителей, 84В, Йошкар-Ола</t>
  </si>
  <si>
    <t>+7 (8362) 60-04-00</t>
  </si>
  <si>
    <t>+7 (937) 939-03-49</t>
  </si>
  <si>
    <t xml:space="preserve">sales@ac12.ru  </t>
  </si>
  <si>
    <t>http://ac12.ru/</t>
  </si>
  <si>
    <t>Двери, Корпусная мебель, Мебельная фурнитура и комплектующие</t>
  </si>
  <si>
    <t>47.847093 56.625975</t>
  </si>
  <si>
    <t>Россия, Республика Марий Эл, Йошкар-Ола, Звёздная улица</t>
  </si>
  <si>
    <t>47.97796 56.618084</t>
  </si>
  <si>
    <t>Фасад Медиа Групп филиал в Йошкар-Оле</t>
  </si>
  <si>
    <t>8 (800) 201-23-74</t>
  </si>
  <si>
    <t>+7 (977) 700-91-31</t>
  </si>
  <si>
    <t xml:space="preserve">info@web-stu.ru, info@led-advert.ru  </t>
  </si>
  <si>
    <t>http://yoshkar-ola.led-advert.ru/</t>
  </si>
  <si>
    <t>Радиомастер</t>
  </si>
  <si>
    <t>Ремонт телефонов</t>
  </si>
  <si>
    <t>47.889197 56.642287</t>
  </si>
  <si>
    <t>47.952456 56.641387</t>
  </si>
  <si>
    <t>47.83035 56.639225</t>
  </si>
  <si>
    <t>ул. Рябинина, 20, Йошкар-Ола</t>
  </si>
  <si>
    <t>47.874743 56.637873</t>
  </si>
  <si>
    <t>47.891619 56.630043</t>
  </si>
  <si>
    <t>Студия загара и маникюра</t>
  </si>
  <si>
    <t>пн-пт 10:00–19:00; сб,вс 11:00–18:00</t>
  </si>
  <si>
    <t>Федерация стрельбы из лука и стрельбы из арбалета Республики Марий Эл</t>
  </si>
  <si>
    <t>+7 (987) 715-78-83</t>
  </si>
  <si>
    <t xml:space="preserve">geck-spam@yandex.ru  </t>
  </si>
  <si>
    <t>пн-пт 19:00–22:00</t>
  </si>
  <si>
    <t>https://vk.com/fslsa</t>
  </si>
  <si>
    <t>47.840122 56.643327</t>
  </si>
  <si>
    <t>Магазин рыбной продукции</t>
  </si>
  <si>
    <t>Пмк-9</t>
  </si>
  <si>
    <t>ул. Эшкинина, 52, Йошкар-Ола</t>
  </si>
  <si>
    <t>+7 (8362) 73-01-84</t>
  </si>
  <si>
    <t xml:space="preserve">stroim@pmk-9.ru  </t>
  </si>
  <si>
    <t>http://www.pmk-9.ru/</t>
  </si>
  <si>
    <t>47.914682 56.636709</t>
  </si>
  <si>
    <t>Центр развития ребенка, Школа танцев</t>
  </si>
  <si>
    <t>47.928326 56.63711</t>
  </si>
  <si>
    <t>Росагрострой</t>
  </si>
  <si>
    <t>ул. Чернякова, 1, Йошкар-Ола</t>
  </si>
  <si>
    <t>47.819462 56.63931</t>
  </si>
  <si>
    <t>ул. Мира, 85, Йошкар-Ола</t>
  </si>
  <si>
    <t>47.945285 56.632995</t>
  </si>
  <si>
    <t>Воскресенский просп., 11А, Йошкар-Ола</t>
  </si>
  <si>
    <t>47.913337 56.634738</t>
  </si>
  <si>
    <t>Альянс-групп</t>
  </si>
  <si>
    <t>ул. Строителей, 103, корп. 1, Йошкар-Ола</t>
  </si>
  <si>
    <t>+7 (8362) 32-51-51</t>
  </si>
  <si>
    <t xml:space="preserve">info@allianceg.ru, 325151alliance@mail.ru, sirius-k6@yandex.ru, al-grupp@inbox.ru, heb.allianceg@bk.ru  </t>
  </si>
  <si>
    <t>http://allianceg.ru/</t>
  </si>
  <si>
    <t>47.88237 56.610047</t>
  </si>
  <si>
    <t>47.845498 56.644178</t>
  </si>
  <si>
    <t>пер. Голикова, 22, Йошкар-Ола</t>
  </si>
  <si>
    <t>47.903732 56.61767</t>
  </si>
  <si>
    <t>Республиканская клиническая больница, травматолого-ортопедическое отделение</t>
  </si>
  <si>
    <t>+7 (8362) 45-16-48</t>
  </si>
  <si>
    <t>Годограф</t>
  </si>
  <si>
    <t>+7 (8362) 54-32-80</t>
  </si>
  <si>
    <t>+7 (964) 864-32-80</t>
  </si>
  <si>
    <t xml:space="preserve">solncevo@godege.ru, dme@godege.ru, korolev@godege.ru, krasnogorsk@godege.ru, lobnya@godege.ru  </t>
  </si>
  <si>
    <t>https://ola.godege.ru/</t>
  </si>
  <si>
    <t>Электро-радио хозтовары</t>
  </si>
  <si>
    <t>Магазин хозтоваров и бытовой химии, Магазин электротоваров</t>
  </si>
  <si>
    <t>47.889604 56.642692</t>
  </si>
  <si>
    <t>Рти-мка</t>
  </si>
  <si>
    <t>Элеваторный пр., 11, Йошкар-Ола</t>
  </si>
  <si>
    <t>47.902007 56.608748</t>
  </si>
  <si>
    <t>ул. Чернякова, 13, Йошкар-Ола</t>
  </si>
  <si>
    <t>47.820641 56.628944</t>
  </si>
  <si>
    <t>Сам Портной</t>
  </si>
  <si>
    <t>47.886115 56.642122</t>
  </si>
  <si>
    <t>47.891019 56.646268</t>
  </si>
  <si>
    <t>ТЦ Глобус</t>
  </si>
  <si>
    <t>47.917768 56.627468</t>
  </si>
  <si>
    <t>47.839057 56.640075</t>
  </si>
  <si>
    <t>Садовая ул., 50, Йошкар-Ола</t>
  </si>
  <si>
    <t>47.849866 56.631841</t>
  </si>
  <si>
    <t>Песочница</t>
  </si>
  <si>
    <t>+7 (8362) 99-85-16</t>
  </si>
  <si>
    <t>+7 (917) 706-24-07</t>
  </si>
  <si>
    <t>ежедневно, 12:00–21:00</t>
  </si>
  <si>
    <t>47.929307 56.625361</t>
  </si>
  <si>
    <t>Фейерверки и салюты</t>
  </si>
  <si>
    <t>+7 (8362) 61-09-00</t>
  </si>
  <si>
    <t>+7 (902) 101-09-00</t>
  </si>
  <si>
    <t>https://vk.com/salyt12</t>
  </si>
  <si>
    <t>47.877375 56.628688</t>
  </si>
  <si>
    <t>Россия, Республика Марий Эл, Йошкар-Ола, Больничная улица</t>
  </si>
  <si>
    <t>47.888249 56.650269</t>
  </si>
  <si>
    <t>Прием радиодеталей и Автокатализаторов</t>
  </si>
  <si>
    <t>ул. Суворова, 14, Йошкар-Ола</t>
  </si>
  <si>
    <t>+7 (902) 432-44-60</t>
  </si>
  <si>
    <t>Комиссионный магазин, Контрольно-измерительные приборы, Электронные приборы и компоненты</t>
  </si>
  <si>
    <t>47.862571 56.635531</t>
  </si>
  <si>
    <t>47.832477 56.637154</t>
  </si>
  <si>
    <t>Киномир</t>
  </si>
  <si>
    <t>Альфа-Банк</t>
  </si>
  <si>
    <t>8 (800) 200-00-00</t>
  </si>
  <si>
    <t xml:space="preserve">a-club@alfabank.ru, moyplatej@alfabank.ru, otmena_kanikul@alfabank.ru, credithelp_2@alfabank.ru  </t>
  </si>
  <si>
    <t>https://alfabank.ru/</t>
  </si>
  <si>
    <t>http://vk.com/alfabank</t>
  </si>
  <si>
    <t>https://ok.ru/alfabank</t>
  </si>
  <si>
    <t>https://twitter.com/alfabank</t>
  </si>
  <si>
    <t>http://www.facebook.com/alfabank</t>
  </si>
  <si>
    <t>https://www.instagram.com/alfabankru/</t>
  </si>
  <si>
    <t>47.843224 56.641204</t>
  </si>
  <si>
    <t>Орловский</t>
  </si>
  <si>
    <t>47.891166 56.614779</t>
  </si>
  <si>
    <t>Звёздочка</t>
  </si>
  <si>
    <t>пн 09:00–17:00; вт 12:00–19:00; ср 10:00–19:00; чт 12:00–19:00; пт 12:00–18:00</t>
  </si>
  <si>
    <t>47.945385 56.623235</t>
  </si>
  <si>
    <t>Отр</t>
  </si>
  <si>
    <t xml:space="preserve">info@otr.ru  </t>
  </si>
  <si>
    <t>http://otr.ru/</t>
  </si>
  <si>
    <t>Автоматизация производств, Бизнес-консалтинг, Информационная безопасность</t>
  </si>
  <si>
    <t>Лёгкие люди</t>
  </si>
  <si>
    <t>ул. Соловьёва, 1, Йошкар-Ола</t>
  </si>
  <si>
    <t>+7 (8362) 33-04-44, +7 (8362) 36-05-36</t>
  </si>
  <si>
    <t xml:space="preserve">sserversga@yandex.ru, midobriy@gmail.com  </t>
  </si>
  <si>
    <t>http://ll12.ru/</t>
  </si>
  <si>
    <t>ежедневно, 03:00–22:00</t>
  </si>
  <si>
    <t>47.880223 56.617209</t>
  </si>
  <si>
    <t>Адвокатский кабинет Богатова В. Г.</t>
  </si>
  <si>
    <t>Магазин мяса, колбас Йола маркет</t>
  </si>
  <si>
    <t>бул. Ураева, 6, Йошкар-Ола</t>
  </si>
  <si>
    <t>http://йола.рф/</t>
  </si>
  <si>
    <t>пн-сб 10:00–19:00, перерыв 13:00–13:30</t>
  </si>
  <si>
    <t>47.929705 56.639233</t>
  </si>
  <si>
    <t>Chastnye Apartament</t>
  </si>
  <si>
    <t>47.868147 56.645039</t>
  </si>
  <si>
    <t>Прогрессэнерго</t>
  </si>
  <si>
    <t>Стейк хаус</t>
  </si>
  <si>
    <t>Козьмодемьянский тракт, 131, Йошкар-Ола</t>
  </si>
  <si>
    <t>47.850482 56.641166</t>
  </si>
  <si>
    <t>Золотой песок</t>
  </si>
  <si>
    <t>+7 (8362) 30-49-94</t>
  </si>
  <si>
    <t>Агентство недвижимости, Бизнес-школа, Курсы иностранных языков, Обучение за рубежом</t>
  </si>
  <si>
    <t>https://www.facebook.com/zolotojpesok</t>
  </si>
  <si>
    <t>47.8906 56.6426</t>
  </si>
  <si>
    <t>ДомИнвест</t>
  </si>
  <si>
    <t>+7 (8362) 50-60-07</t>
  </si>
  <si>
    <t>+7 (8362) 33-74-41</t>
  </si>
  <si>
    <t>47.89946 56.64406</t>
  </si>
  <si>
    <t>День и Ночь</t>
  </si>
  <si>
    <t>Красноармейская ул., 89, Йошкар-Ола</t>
  </si>
  <si>
    <t>+7 (8362) 33-91-51</t>
  </si>
  <si>
    <t>+7 (927) 883-91-51</t>
  </si>
  <si>
    <t>http://snimu12.ru/</t>
  </si>
  <si>
    <t>47.841083 56.631436</t>
  </si>
  <si>
    <t>Йола маркет</t>
  </si>
  <si>
    <t>47.884697 56.632863</t>
  </si>
  <si>
    <t>Школа массажа Панфилова</t>
  </si>
  <si>
    <t>8 (800) 551-21-13, +7 (8362) 38-30-80</t>
  </si>
  <si>
    <t>+7 (937) 572-21-13</t>
  </si>
  <si>
    <t>https://yola.school-panfilov.ru/</t>
  </si>
  <si>
    <t>Курсы и мастер-классы, Обучение мастеров для салонов красоты, Центр повышения квалификации</t>
  </si>
  <si>
    <t>https://vk.com/panfilov_yoshka</t>
  </si>
  <si>
    <t>https://www.instagram.com/school_panfilov</t>
  </si>
  <si>
    <t>47.893462 56.626316</t>
  </si>
  <si>
    <t>Mr.Doors</t>
  </si>
  <si>
    <t>+7 (8362) 50-19-19</t>
  </si>
  <si>
    <t>+7 (917) 701-68-53, +7 (987) 712-88-63</t>
  </si>
  <si>
    <t>пн 10:00–19:00; вт-пт 09:00–18:00; сб 10:00–17:00; вс 10:00–15:00</t>
  </si>
  <si>
    <t>47.892449 56.629783</t>
  </si>
  <si>
    <t>Город 12</t>
  </si>
  <si>
    <t>+7 (917) 701-78-83</t>
  </si>
  <si>
    <t>47.907616 56.63132</t>
  </si>
  <si>
    <t>Природа-лестниц</t>
  </si>
  <si>
    <t>+7 (999) 145-03-34</t>
  </si>
  <si>
    <t>47.899878 56.634407</t>
  </si>
  <si>
    <t>Добрые зернышки</t>
  </si>
  <si>
    <t>+7 (987) 707-07-70</t>
  </si>
  <si>
    <t xml:space="preserve">your@email.com, info@dobrie-zernishki.ru  </t>
  </si>
  <si>
    <t>http://dobrie-zernishki.ru/</t>
  </si>
  <si>
    <t>https://vk.com/dobrzern</t>
  </si>
  <si>
    <t>47.899033 56.632095</t>
  </si>
  <si>
    <t>ул. Чапаева, 1, Йошкар-Ола</t>
  </si>
  <si>
    <t>47.918279 56.650417</t>
  </si>
  <si>
    <t>Сударь</t>
  </si>
  <si>
    <t>Лава-Строй</t>
  </si>
  <si>
    <t>+7 (8362) 38-50-04, +7 (8362) 38-50-05</t>
  </si>
  <si>
    <t>Миксит</t>
  </si>
  <si>
    <t>+7 (8362) 23-30-23</t>
  </si>
  <si>
    <t xml:space="preserve">hello@mixit.ru  </t>
  </si>
  <si>
    <t>https://mixit.ru/</t>
  </si>
  <si>
    <t>Интернет-магазин, Магазин парфюмерии и косметики, Средства гигиены</t>
  </si>
  <si>
    <t>https://vk.com/mixit_ru</t>
  </si>
  <si>
    <t>https://www.facebook.com/mixit.ru</t>
  </si>
  <si>
    <t>https://www.instagram.com/mixit_ru</t>
  </si>
  <si>
    <t>47.930139 56.628323</t>
  </si>
  <si>
    <t>Плёс</t>
  </si>
  <si>
    <t>Бытовая химия оптом, Магазин парфюмерии и косметики, Магазин посуды, Магазин хозтоваров и бытовой химии</t>
  </si>
  <si>
    <t>47.856106 56.650562</t>
  </si>
  <si>
    <t>Носики-курносики</t>
  </si>
  <si>
    <t>+7 (8362) 47-45-45, +7 (8362) 67-50-67</t>
  </si>
  <si>
    <t>пн-пт 10:30–18:30; сб,вс 10:00–16:00</t>
  </si>
  <si>
    <t>+7 (987) 712-68-00</t>
  </si>
  <si>
    <t>Бытовая химия оптом, Оптовый магазин</t>
  </si>
  <si>
    <t>Детская школа искусств Радуга</t>
  </si>
  <si>
    <t>+7 (8362) 25-31-99, +7 (8362) 21-10-21, +7 (8362) 21-97-40</t>
  </si>
  <si>
    <t xml:space="preserve">dshi-raduga@mail.ru, 2draduga@mail.ru  </t>
  </si>
  <si>
    <t>http://dshi-raduga.mari-el.muzkult.ru/</t>
  </si>
  <si>
    <t>пн-пт 13:00–20:00; сб 11:00–16:00</t>
  </si>
  <si>
    <t>47.928341 56.633772</t>
  </si>
  <si>
    <t>38 попугаев</t>
  </si>
  <si>
    <t>+7 (987) 718-93-94</t>
  </si>
  <si>
    <t>Детские игрушки и игры, Детский магазин, Книжный магазин</t>
  </si>
  <si>
    <t>47.91843 56.630118</t>
  </si>
  <si>
    <t>Кугуван</t>
  </si>
  <si>
    <t>Авиценна 9</t>
  </si>
  <si>
    <t>ул. Карла Либкнехта, 66, Йошкар-Ола</t>
  </si>
  <si>
    <t>+7 (8362) 46-33-36</t>
  </si>
  <si>
    <t>47.950572 56.639327</t>
  </si>
  <si>
    <t>Автолайн-сервис</t>
  </si>
  <si>
    <t>+7 (8362) 96-26-26, +7 (8362) 32-50-12</t>
  </si>
  <si>
    <t>Автосервис, автотехцентр, Ремонт двигателей, Шиномонтаж</t>
  </si>
  <si>
    <t>47.832593 56.636526</t>
  </si>
  <si>
    <t>Ketroy Licona Corleone</t>
  </si>
  <si>
    <t>47.887887 56.631785</t>
  </si>
  <si>
    <t>СушиБум</t>
  </si>
  <si>
    <t>+7 (8362) 33-53-36</t>
  </si>
  <si>
    <t>https://сушибум.рф/</t>
  </si>
  <si>
    <t>Доставка еды и обедов</t>
  </si>
  <si>
    <t>47.884597 56.633382</t>
  </si>
  <si>
    <t>Аккредитация в Образовании</t>
  </si>
  <si>
    <t>+7 (8362) 41-32-95, +7 (8362) 72-02-62, +7 (8362) 72-30-40</t>
  </si>
  <si>
    <t xml:space="preserve">news@hedclub.com  </t>
  </si>
  <si>
    <t>https://hedclub.com/</t>
  </si>
  <si>
    <t>Информационное агентство, Информационный интернет-сайт, Редакция СМИ</t>
  </si>
  <si>
    <t>https://vk.com/kafedrum</t>
  </si>
  <si>
    <t>https://twitter.com/HEDclub</t>
  </si>
  <si>
    <t>https://www.facebook.com/kafedrum/</t>
  </si>
  <si>
    <t>https://www.youtube.com/channel/UCauGv_6i2WDFtCILB3soeqA</t>
  </si>
  <si>
    <t>https://www.instagram.com/hedclub/</t>
  </si>
  <si>
    <t>Рис</t>
  </si>
  <si>
    <t>ул. Машиностроителей, 89, Йошкар-Ола</t>
  </si>
  <si>
    <t>+7 (8362) 71-75-76</t>
  </si>
  <si>
    <t>47.848451 56.629671</t>
  </si>
  <si>
    <t>Ависта</t>
  </si>
  <si>
    <t>+7 (8362) 32-49-32</t>
  </si>
  <si>
    <t>+7 (902) 745-74-24, +7 (967) 759-06-09, +7 (961) 378-40-04</t>
  </si>
  <si>
    <t>47.896707 56.627302</t>
  </si>
  <si>
    <t>Элекснет</t>
  </si>
  <si>
    <t>+7 (495) 241-30-81, +7 (495) 787-29-64, +7 (495) 662-15-00</t>
  </si>
  <si>
    <t xml:space="preserve">service@elecsnet.ru, marketing@elecsnet.ru, zakrevskiymd@elecsnet.ru, cashier@elecsnet.ru, kd@elecsnet.ru  </t>
  </si>
  <si>
    <t>https://elecsnet.ru/, https://1.elecsnet.ru/</t>
  </si>
  <si>
    <t>http://vk.com/elecsnet</t>
  </si>
  <si>
    <t>https://www.facebook.com/elecsnet/</t>
  </si>
  <si>
    <t>47.916687 56.631659</t>
  </si>
  <si>
    <t>Аптечество</t>
  </si>
  <si>
    <t>+7 (910) 101-04-34, +7 (917) 070-12-52</t>
  </si>
  <si>
    <t xml:space="preserve">reception@aptechestvo.ru  </t>
  </si>
  <si>
    <t>https://aptechestvo.ru/</t>
  </si>
  <si>
    <t>47.869748 56.63507</t>
  </si>
  <si>
    <t>Интернет-магазин Инструментстрой</t>
  </si>
  <si>
    <t>47.950237 56.626898</t>
  </si>
  <si>
    <t>47.87993 56.62723</t>
  </si>
  <si>
    <t>Восточный базар</t>
  </si>
  <si>
    <t>Магазин овощей и фруктов, Орехи, снеки, сухофрукты</t>
  </si>
  <si>
    <t>47.832118 56.636933</t>
  </si>
  <si>
    <t>АГРО Реанта Плюс</t>
  </si>
  <si>
    <t>47.835999 56.636843</t>
  </si>
  <si>
    <t>47.864252 56.617612</t>
  </si>
  <si>
    <t>ЖК Доступное жилье</t>
  </si>
  <si>
    <t>+7 (8362) 29-99-90</t>
  </si>
  <si>
    <t>Агентство недвижимости, Ипотечное агентство, Элитная недвижимость</t>
  </si>
  <si>
    <t>пн-пт 08:00–18:00, перерыв 12:00–13:00; сб,вс 12:00–14:00</t>
  </si>
  <si>
    <t>47.888117 56.630299</t>
  </si>
  <si>
    <t>Магазин сухофруктов</t>
  </si>
  <si>
    <t>Орехи, снеки, сухофрукты</t>
  </si>
  <si>
    <t>ЖК Мирный</t>
  </si>
  <si>
    <t>бул. Ураева, 4А, Йошкар-Ола</t>
  </si>
  <si>
    <t>+7 (8362) 38-07-87</t>
  </si>
  <si>
    <t>http://stroyinvest12.ru/catalog/zhk_myrniy/</t>
  </si>
  <si>
    <t>Жилой комплекс</t>
  </si>
  <si>
    <t>47.932449 56.639065</t>
  </si>
  <si>
    <t>Utake.ru</t>
  </si>
  <si>
    <t>8 (804) 555-11-75</t>
  </si>
  <si>
    <t xml:space="preserve">take@utake.ru  </t>
  </si>
  <si>
    <t>https://yoshkar-ola.utake.ru/</t>
  </si>
  <si>
    <t>Садовый инвентарь и техника, Сварочное оборудование и материалы, Электро- и бензоинструмент</t>
  </si>
  <si>
    <t>Вознесенская ул., 58, Йошкар-Ола</t>
  </si>
  <si>
    <t>47.900713 56.636893</t>
  </si>
  <si>
    <t>Эйлат</t>
  </si>
  <si>
    <t>ул. Ломоносова, 2Г, Йошкар-Ола</t>
  </si>
  <si>
    <t>+7 (917) 703-66-79, +7 (987) 703-17-75</t>
  </si>
  <si>
    <t>47.874419 56.614589</t>
  </si>
  <si>
    <t>Славица</t>
  </si>
  <si>
    <t>Мороженое</t>
  </si>
  <si>
    <t>47.853092 56.643468</t>
  </si>
  <si>
    <t>Fastgood</t>
  </si>
  <si>
    <t>+7 (8362) 39-08-33</t>
  </si>
  <si>
    <t>+7 (937) 118-08-34</t>
  </si>
  <si>
    <t>https://vk.com/fastgood.hall</t>
  </si>
  <si>
    <t>Грин</t>
  </si>
  <si>
    <t>Мари-Я</t>
  </si>
  <si>
    <t>Miss Click</t>
  </si>
  <si>
    <t>ул. Машиностроителей, 59, Йошкар-Ола</t>
  </si>
  <si>
    <t>+7 (967) 757-20-65</t>
  </si>
  <si>
    <t xml:space="preserve">missclickclub@yandex.ru  </t>
  </si>
  <si>
    <t>Интернет-кафе</t>
  </si>
  <si>
    <t>https://vk.com/missclickclub</t>
  </si>
  <si>
    <t>https://www.instagram.com/missclickclub</t>
  </si>
  <si>
    <t>47.869705 56.638597</t>
  </si>
  <si>
    <t>ГК Стрела-2</t>
  </si>
  <si>
    <t>47.872044 56.628356</t>
  </si>
  <si>
    <t>+7 (8362) 42-72-32</t>
  </si>
  <si>
    <t>47.869119 56.653926</t>
  </si>
  <si>
    <t>Киоск по продаже кофе и чая</t>
  </si>
  <si>
    <t>ул. Карла Либкнехта, 84, Йошкар-Ола</t>
  </si>
  <si>
    <t>47.944408 56.636793</t>
  </si>
  <si>
    <t>Кулинарный проект Базилик</t>
  </si>
  <si>
    <t>ул. Эшкинина, 10Д, Йошкар-Ола</t>
  </si>
  <si>
    <t>+7 (8362) 25-05-25</t>
  </si>
  <si>
    <t>+7 (902) 435-05-25</t>
  </si>
  <si>
    <t>Аренда фотостудий, Банкетный зал, Курсы и мастер-классы</t>
  </si>
  <si>
    <t>ежедневно, 09:00–02:00</t>
  </si>
  <si>
    <t>https://www.instagram.com/basilic_12/?hl=tr</t>
  </si>
  <si>
    <t>47.906094 56.629989</t>
  </si>
  <si>
    <t>+7 (8362) 33-99-33</t>
  </si>
  <si>
    <t xml:space="preserve">info@339933.ru </t>
  </si>
  <si>
    <t>Алекс товар по карману</t>
  </si>
  <si>
    <t>47.848609 56.62974</t>
  </si>
  <si>
    <t>Все для сада и огорода</t>
  </si>
  <si>
    <t>Магазин для садоводов</t>
  </si>
  <si>
    <t>47.858136 56.64357</t>
  </si>
  <si>
    <t>Город Инструмента</t>
  </si>
  <si>
    <t>+7 (8362) 32-46-99</t>
  </si>
  <si>
    <t>+7 (927) 882-46-99</t>
  </si>
  <si>
    <t xml:space="preserve">gorod-instrumenta12@yandex.ru, gorod-zapchastei12@yandex.ru  </t>
  </si>
  <si>
    <t>Магазин бытовой техники, Садовый инвентарь и техника, Строительный инструмент, Электро- и бензоинструмент, Электротехническая продукция</t>
  </si>
  <si>
    <t>http://vk.com/gorod_instrumenta12</t>
  </si>
  <si>
    <t>https://www.instagram.com/gorod_instrumenta12</t>
  </si>
  <si>
    <t>Art Time</t>
  </si>
  <si>
    <t>+7 (960) 091-08-00</t>
  </si>
  <si>
    <t>https://vk.com/Vk.com/art_time_12rus</t>
  </si>
  <si>
    <t>https://www.instagram.com/art_time_12rus</t>
  </si>
  <si>
    <t>47.843347 56.641035</t>
  </si>
  <si>
    <t>Тренд</t>
  </si>
  <si>
    <t>+7 (8362) 45-56-77</t>
  </si>
  <si>
    <t xml:space="preserve">info@dveritrend.ru  </t>
  </si>
  <si>
    <t>http://www.dveritrend.ru/</t>
  </si>
  <si>
    <t>Техника</t>
  </si>
  <si>
    <t>Россия, Республика Марий Эл, Йошкар-Ола, микрорайон Берёзово</t>
  </si>
  <si>
    <t>47.836092 56.643186</t>
  </si>
  <si>
    <t>Самогонные Аппараты</t>
  </si>
  <si>
    <t>Автокомплекс Ангел Трасс</t>
  </si>
  <si>
    <t>+7 (8362) 65-05-27, +7 (8362) 20-00-20, +7 (8362) 50-27-77</t>
  </si>
  <si>
    <t>Автосервис, автотехцентр, Автотехпомощь, эвакуация автомобилей</t>
  </si>
  <si>
    <t>47.915697 56.643624</t>
  </si>
  <si>
    <t>+7 (8362) 78-60-60, +7 (8362) 90-28-28</t>
  </si>
  <si>
    <t>+7 (902) 738-60-60, +7 (927) 879-08-08</t>
  </si>
  <si>
    <t>47.886182 56.637624</t>
  </si>
  <si>
    <t>Россия, Республика Марий Эл, Йошкар-Ола, улица Зои Космодемьянской</t>
  </si>
  <si>
    <t>47.955021 56.63542</t>
  </si>
  <si>
    <t>Мэтр</t>
  </si>
  <si>
    <t>+7 (8362) 42-10-24</t>
  </si>
  <si>
    <t>+7 (927) 681-82-17</t>
  </si>
  <si>
    <t xml:space="preserve">news@metr12.ru  </t>
  </si>
  <si>
    <t>https://vk.com/tvmetr</t>
  </si>
  <si>
    <t>47.90639 56.637287</t>
  </si>
  <si>
    <t>Продукты Ермолино</t>
  </si>
  <si>
    <t>+7 (843) 567-13-61</t>
  </si>
  <si>
    <t>+7 (985) 649-82-03</t>
  </si>
  <si>
    <t xml:space="preserve">info@ermolino-produkty.ru  </t>
  </si>
  <si>
    <t>https://www.ermolino-produkty.ru/</t>
  </si>
  <si>
    <t>Магазин мяса, колбас, Продукты глубокой заморозки</t>
  </si>
  <si>
    <t>https://vk.com/club130758324</t>
  </si>
  <si>
    <t>https://www.facebook.com/produktyermolino/</t>
  </si>
  <si>
    <t>https://www.instagram.com/produktyermolino</t>
  </si>
  <si>
    <t>47.892521 56.640941</t>
  </si>
  <si>
    <t>Парикмахерская Формула красоты на улице Строителей</t>
  </si>
  <si>
    <t>бул. Ураева, 4, Йошкар-Ола</t>
  </si>
  <si>
    <t>+7 (964) 861-66-44, +7 (937) 939-27-23, +7 (937) 930-88-06</t>
  </si>
  <si>
    <t xml:space="preserve">dom.yoshka@ya.ru  </t>
  </si>
  <si>
    <t>https://vk.com/dom_yoshka</t>
  </si>
  <si>
    <t>https://www.instagram.com/ekskluziv_12</t>
  </si>
  <si>
    <t>47.932451 56.639065</t>
  </si>
  <si>
    <t>пн-пт 09:00–18:00; сб 09:00–17:00; вс 09:00–18:00</t>
  </si>
  <si>
    <t>ул. 8 Марта, 47, Йошкар-Ола</t>
  </si>
  <si>
    <t>47.960044 56.641311</t>
  </si>
  <si>
    <t>A_club</t>
  </si>
  <si>
    <t>47.870188 56.636328</t>
  </si>
  <si>
    <t>Частная Охранная Организация Холдинг Марий Эл</t>
  </si>
  <si>
    <t>ул. Зарубина, 51А, Йошкар-Ола</t>
  </si>
  <si>
    <t>+7 (8362) 32-65-65, +7 (8362) 38-44-38</t>
  </si>
  <si>
    <t>http://hb12.ru/</t>
  </si>
  <si>
    <t>47.866092 56.63862</t>
  </si>
  <si>
    <t>ИП Смородинов В. С.</t>
  </si>
  <si>
    <t>ул. Йывана Кырли, 19, Йошкар-Ола</t>
  </si>
  <si>
    <t>+7 (927) 883-30-92</t>
  </si>
  <si>
    <t>47.837948 56.642025</t>
  </si>
  <si>
    <t>Деньги в долг</t>
  </si>
  <si>
    <t>+7 (8362) 49-11-00</t>
  </si>
  <si>
    <t>+7 (967) 759-11-00</t>
  </si>
  <si>
    <t>Шапки-шляпки</t>
  </si>
  <si>
    <t>+7 (927) 870-07-33</t>
  </si>
  <si>
    <t>Магазин белья и купальников, Магазин головных уборов</t>
  </si>
  <si>
    <t>Экона</t>
  </si>
  <si>
    <t>+7 (8362) 54-14-78</t>
  </si>
  <si>
    <t xml:space="preserve">vopros@farmaimpex.ru, info@b-apteka.ru  </t>
  </si>
  <si>
    <t>http://www.farmaimpex.ru/</t>
  </si>
  <si>
    <t>47.868156 56.63798</t>
  </si>
  <si>
    <t>47.887568 56.647707</t>
  </si>
  <si>
    <t>Ситилинк</t>
  </si>
  <si>
    <t>+7 (8362) 32-32-03</t>
  </si>
  <si>
    <t>+7 (917) 702-21-01, +7 (917) 704-33-87</t>
  </si>
  <si>
    <t xml:space="preserve">me@citilink.ru </t>
  </si>
  <si>
    <t>https://www.citilink.ru/</t>
  </si>
  <si>
    <t>Компьютерный магазин, Магазин бытовой техники, Магазин электроники, Ноутбуки и планшеты, Салон связи</t>
  </si>
  <si>
    <t>https://vk.com/citilink_ru</t>
  </si>
  <si>
    <t>https://twitter.com/citilink_ru</t>
  </si>
  <si>
    <t>https://www.facebook.com/citilink.ru</t>
  </si>
  <si>
    <t>https://www.youtube.com/user/CitilinkTV</t>
  </si>
  <si>
    <t>https://instagram.com/citilink_ru</t>
  </si>
  <si>
    <t>47.89164 56.638512</t>
  </si>
  <si>
    <t>Деколте</t>
  </si>
  <si>
    <t>+7 (927) 665-63-33, +7 (927) 669-11-01</t>
  </si>
  <si>
    <t xml:space="preserve">info@glamyshop.com, sale@dekoltemarket.ru, dekolte21@list.ru  </t>
  </si>
  <si>
    <t>http://www.dekoltemarket.ru/</t>
  </si>
  <si>
    <t>Магазин белья и купальников, Магазин чулок и колготок</t>
  </si>
  <si>
    <t>https://vk.com/dekolte21vek</t>
  </si>
  <si>
    <t>Капитошка</t>
  </si>
  <si>
    <t>47.888928 56.629056</t>
  </si>
  <si>
    <t>ДиДи</t>
  </si>
  <si>
    <t>+7 (902) 466-97-98</t>
  </si>
  <si>
    <t>https://vk.com/didiyoshkarolataxi</t>
  </si>
  <si>
    <t>47.894057 56.63252</t>
  </si>
  <si>
    <t>Копеечка</t>
  </si>
  <si>
    <t>47.924849 56.639974</t>
  </si>
  <si>
    <t>Всё для ремонта</t>
  </si>
  <si>
    <t>+7 (902) 735-74-73</t>
  </si>
  <si>
    <t>Лакокрасочные материалы, Магазин сантехники, Строительный магазин, Электромонтажные и электроустановочные изделия</t>
  </si>
  <si>
    <t>47.92371 56.638222</t>
  </si>
  <si>
    <t>Флебология</t>
  </si>
  <si>
    <t>+7 (8362) 38-33-53</t>
  </si>
  <si>
    <t xml:space="preserve">info@flebolog-sever.ru </t>
  </si>
  <si>
    <t>http://yoshkar-ola.flebolog-sever.ru/</t>
  </si>
  <si>
    <t>Россия, Республика Марий Эл, Йошкар-Ола, Звёздный микрорайон</t>
  </si>
  <si>
    <t>47.966847 56.614635</t>
  </si>
  <si>
    <t>47.915089 56.651112</t>
  </si>
  <si>
    <t>ЦветОк</t>
  </si>
  <si>
    <t>https://instagram.com/cvetok__12</t>
  </si>
  <si>
    <t>Marker</t>
  </si>
  <si>
    <t>47.924814 56.640011</t>
  </si>
  <si>
    <t>Первомайский</t>
  </si>
  <si>
    <t>47.882004 56.631169</t>
  </si>
  <si>
    <t>Респект</t>
  </si>
  <si>
    <t>Железнодорожная ул., 2, п. г. т. Медведево</t>
  </si>
  <si>
    <t>+7 (8362) 63-69-96</t>
  </si>
  <si>
    <t>+7 (927) 681-10-40</t>
  </si>
  <si>
    <t xml:space="preserve">14370afcdc17429f9e418d5ffbd0334a@sentry.wixpress.com, transport-kk@ya.ru, wixofday@wix.com  </t>
  </si>
  <si>
    <t>https://respekt20075.wixsite.com/mysite-1</t>
  </si>
  <si>
    <t>Деревообрабатывающее предприятие, Производственное предприятие, Тара и упаковочные материалы</t>
  </si>
  <si>
    <t>47.836439 56.622291</t>
  </si>
  <si>
    <t>Содействие</t>
  </si>
  <si>
    <t>+7 (927) 881-33-21</t>
  </si>
  <si>
    <t>Торговый Дом РИО</t>
  </si>
  <si>
    <t>+7 (964) 861-70-31</t>
  </si>
  <si>
    <t>Детские игрушки и игры, Детские товары оптом, Детский магазин</t>
  </si>
  <si>
    <t>https://vk.com/12rio</t>
  </si>
  <si>
    <t>47.895623 56.617165</t>
  </si>
  <si>
    <t>Нюанс</t>
  </si>
  <si>
    <t>Архитектурное бюро</t>
  </si>
  <si>
    <t>Саморезик</t>
  </si>
  <si>
    <t>Лакокрасочные материалы, Магазин сантехники, Светотехника, Электро- и бензоинструмент, Электромонтажные и электроустановочные изделия</t>
  </si>
  <si>
    <t>МедТакси Айболит12</t>
  </si>
  <si>
    <t>+7 (8362) 66-11-00</t>
  </si>
  <si>
    <t>Перевозка больных</t>
  </si>
  <si>
    <t>47.926854 56.629352</t>
  </si>
  <si>
    <t>Россия, Республика Марий Эл, Йошкар-Ола, улица Дзержинского</t>
  </si>
  <si>
    <t>47.843806 56.65009</t>
  </si>
  <si>
    <t>Капитолий</t>
  </si>
  <si>
    <t>47.927492 56.629681</t>
  </si>
  <si>
    <t>Nail City</t>
  </si>
  <si>
    <t>+7 (8362) 77-19-21</t>
  </si>
  <si>
    <t>+7 (937) 111-27-12</t>
  </si>
  <si>
    <t xml:space="preserve">shop@elmscan.ru  </t>
  </si>
  <si>
    <t>http://nailcity.su/</t>
  </si>
  <si>
    <t>Магазин парфюмерии и косметики, Ногтевая студия</t>
  </si>
  <si>
    <t>47.892576 56.638692</t>
  </si>
  <si>
    <t>+7 (8362) 50-75-05</t>
  </si>
  <si>
    <t>+7 (917) 706-98-29</t>
  </si>
  <si>
    <t>Маленький замок</t>
  </si>
  <si>
    <t>+7 (937) 934-07-60</t>
  </si>
  <si>
    <t>47.856701 56.643169</t>
  </si>
  <si>
    <t>Сотка 1</t>
  </si>
  <si>
    <t>47.917312 56.630318</t>
  </si>
  <si>
    <t>Hookah black</t>
  </si>
  <si>
    <t>пн-чт 12:00–00:00; пт,сб 12:00–04:00; вс 12:00–00:00</t>
  </si>
  <si>
    <t>47.90315 56.62624</t>
  </si>
  <si>
    <t>Александра</t>
  </si>
  <si>
    <t>47.924532 56.634269</t>
  </si>
  <si>
    <t>Бухгалтерские услуги, Егаис подключение. Сдать декларацию по пиву и Алко. Выпуск Эцп</t>
  </si>
  <si>
    <t>+7 (919) 695-40-54</t>
  </si>
  <si>
    <t>Бухгалтерские курсы, Бухгалтерские услуги, Удостоверяющий центр</t>
  </si>
  <si>
    <t>47.880509 56.632308</t>
  </si>
  <si>
    <t>Аренда квартир посуточно</t>
  </si>
  <si>
    <t>+7 (987) 718-00-08</t>
  </si>
  <si>
    <t>ВераЧай склад</t>
  </si>
  <si>
    <t>ул. Шумелёва, 10, Йошкар-Ола</t>
  </si>
  <si>
    <t>+7 (902) 107-29-94, +7 (967) 757-53-63</t>
  </si>
  <si>
    <t>http://верачай.рф/</t>
  </si>
  <si>
    <t>Магазин чая и кофе, Продукты питания оптом</t>
  </si>
  <si>
    <t>47.852809 56.627877</t>
  </si>
  <si>
    <t>Всё для сада</t>
  </si>
  <si>
    <t>+7 (8362) 36-52-80</t>
  </si>
  <si>
    <t>47.869676 56.646202</t>
  </si>
  <si>
    <t>Магазин хлебобулочных изделий</t>
  </si>
  <si>
    <t>Primavera</t>
  </si>
  <si>
    <t>Магазин бижутерии, Магазин одежды</t>
  </si>
  <si>
    <t>47.871292 56.645786</t>
  </si>
  <si>
    <t>+7 (937) 115-95-26</t>
  </si>
  <si>
    <t>Магазин семян</t>
  </si>
  <si>
    <t>47.923872 56.634531</t>
  </si>
  <si>
    <t>Фейерверк Трах-Бабах Йошкар-Ола Пиротехника Круглосуточно</t>
  </si>
  <si>
    <t>Россия, Республика Марий Эл, Йошкар-Ола, улица Тельмана</t>
  </si>
  <si>
    <t>47.954091 56.644139</t>
  </si>
  <si>
    <t>47.852327 56.631262</t>
  </si>
  <si>
    <t>+7 (8362) 26-77-77, +7 (8362) 20-38-88, +7 (8362) 34-38-88, +7 (8362) 56-56-83</t>
  </si>
  <si>
    <t>Автобусные междугородные перевозки, Турагентство</t>
  </si>
  <si>
    <t>47.898067 56.636143</t>
  </si>
  <si>
    <t>Мой ребёнок</t>
  </si>
  <si>
    <t>https://vk.com/moirebenok12</t>
  </si>
  <si>
    <t>https://www.instagram.com/moirebenok12</t>
  </si>
  <si>
    <t>47.924844 56.640058</t>
  </si>
  <si>
    <t>Звонкие голоса</t>
  </si>
  <si>
    <t>Radelin</t>
  </si>
  <si>
    <t>+7 (8362) 48-41-78</t>
  </si>
  <si>
    <t>+7 (967) 758-41-78</t>
  </si>
  <si>
    <t>https://www.radelin.ru/</t>
  </si>
  <si>
    <t>Запчасти и аксессуары для бытовой техники, Магазин радиодеталей</t>
  </si>
  <si>
    <t>https://www.youtube.com/channel/UCWyloFZZ9plFMV6eLFkmWAQ?view_as=subscriber</t>
  </si>
  <si>
    <t>47.891509 56.638624</t>
  </si>
  <si>
    <t>ППФ Страхование жизни</t>
  </si>
  <si>
    <t>+7 (8362) 38-51-01, +7 (8362) 38-51-00, +7 (8362) 38-51-02, +7 (8362) 38-51-03</t>
  </si>
  <si>
    <t>+7 (909) 367-83-86</t>
  </si>
  <si>
    <t xml:space="preserve">info@ppfins.com  </t>
  </si>
  <si>
    <t>https://www.ppfinsurance.ru/</t>
  </si>
  <si>
    <t>47.898774 56.645105</t>
  </si>
  <si>
    <t>Семь карманов</t>
  </si>
  <si>
    <t>+7 (902) 743-08-01</t>
  </si>
  <si>
    <t xml:space="preserve">7karmanov@mail.ru  </t>
  </si>
  <si>
    <t>Ателье по пошиву одежды, Швейная фабрика</t>
  </si>
  <si>
    <t>https://vk.com/public134924658</t>
  </si>
  <si>
    <t>SmartyKids</t>
  </si>
  <si>
    <t>+7 (902) 797-99-90</t>
  </si>
  <si>
    <t>https://www.youtube.com/channel/UC0hxKkXC1xildJ4OUp3xEcg</t>
  </si>
  <si>
    <t>47.866071 56.634797</t>
  </si>
  <si>
    <t>Ваше Сиятельство</t>
  </si>
  <si>
    <t>8 (800) 550-01-87</t>
  </si>
  <si>
    <t>https://yo.laservs.ru/</t>
  </si>
  <si>
    <t>Лазерная эпиляция</t>
  </si>
  <si>
    <t>https://vk.com/yoshkarlazer</t>
  </si>
  <si>
    <t>https://www.instagram.com/yolalazer</t>
  </si>
  <si>
    <t>Студия наращивания волос Виктория Венерная</t>
  </si>
  <si>
    <t>+7 (987) 700-54-22</t>
  </si>
  <si>
    <t xml:space="preserve">viktoriya132@yandex.ru  </t>
  </si>
  <si>
    <t>http://venernaya.ru/</t>
  </si>
  <si>
    <t>https://vk.com/venernayahair</t>
  </si>
  <si>
    <t>https://instagram.com/venernayahair</t>
  </si>
  <si>
    <t>47.871483 56.638787</t>
  </si>
  <si>
    <t>+7 (8362) 29-75-92, +7 (8362) 50-32-11</t>
  </si>
  <si>
    <t>+7 (964) 860-32-11, +7 (902) 432-75-92</t>
  </si>
  <si>
    <t>47.9256 56.634492</t>
  </si>
  <si>
    <t>47.921918 56.640217</t>
  </si>
  <si>
    <t>47.888481 56.634471</t>
  </si>
  <si>
    <t>Леста</t>
  </si>
  <si>
    <t>+7 (8362) 77-01-02</t>
  </si>
  <si>
    <t>47.890333 56.632692</t>
  </si>
  <si>
    <t>ул. Баумана, 51, Йошкар-Ола</t>
  </si>
  <si>
    <t>+7 (902) 101-05-75</t>
  </si>
  <si>
    <t>https://vk.com/club184392496</t>
  </si>
  <si>
    <t>47.848637 56.634992</t>
  </si>
  <si>
    <t>Центр дверей</t>
  </si>
  <si>
    <t>+7 (8362) 34-88-77</t>
  </si>
  <si>
    <t xml:space="preserve">yola@center-door.ru, cheb@center-door.ru  </t>
  </si>
  <si>
    <t>https://yola.center-door.ru/</t>
  </si>
  <si>
    <t>Двери, Жалюзи и рулонные шторы, Окна</t>
  </si>
  <si>
    <t>пн-пт 09:00–19:30; сб 09:00–18:00; вс 09:00–18:30</t>
  </si>
  <si>
    <t>https://vk.com/centerdoor21</t>
  </si>
  <si>
    <t>https://www.instagram.com/centerdoor21</t>
  </si>
  <si>
    <t>47.884818 56.646401</t>
  </si>
  <si>
    <t>Добропек</t>
  </si>
  <si>
    <t xml:space="preserve">franch@dobropekar.ru  </t>
  </si>
  <si>
    <t>http://dobropek.ru/</t>
  </si>
  <si>
    <t>https://www.instagram.com/dobropekarnya</t>
  </si>
  <si>
    <t>47.891544 56.615256</t>
  </si>
  <si>
    <t>Новое колесо</t>
  </si>
  <si>
    <t>+7 (8362) 94-24-24</t>
  </si>
  <si>
    <t xml:space="preserve">polepositionsto@mail.ru  </t>
  </si>
  <si>
    <t>https://vk.com/club88232740</t>
  </si>
  <si>
    <t>47.832559 56.642786</t>
  </si>
  <si>
    <t>Книги издательства Легион</t>
  </si>
  <si>
    <t>8 (800) 707-37-12, +7 (8362) 63-41-55</t>
  </si>
  <si>
    <t xml:space="preserve">ural-press74@yandex.ru, bookweb@legionrus.com, mail@domen.com, anarushevich@yandex.ru, legionrus@legionrus.com  </t>
  </si>
  <si>
    <t>https://joshkar-ola.legionr.ru/</t>
  </si>
  <si>
    <t>Книжный магазин, Учебная литература</t>
  </si>
  <si>
    <t>https://vk.com/legionru</t>
  </si>
  <si>
    <t>Мир сумок</t>
  </si>
  <si>
    <t>ПЭК: Easyway</t>
  </si>
  <si>
    <t xml:space="preserve">svo@pecom.ru  </t>
  </si>
  <si>
    <t>http://easyway.ru/</t>
  </si>
  <si>
    <t>https://www.instagram.com/pec_easyway.ru/</t>
  </si>
  <si>
    <t>Закусочная</t>
  </si>
  <si>
    <t>47.860015 56.641114</t>
  </si>
  <si>
    <t>Торг-12</t>
  </si>
  <si>
    <t>47.889624 56.620876</t>
  </si>
  <si>
    <t>Кабинет репетитора Познавайка</t>
  </si>
  <si>
    <t>+7 (987) 728-04-18</t>
  </si>
  <si>
    <t>Дополнительное образование, Услуги репетиторов</t>
  </si>
  <si>
    <t>https://vk.com/poznavaikaiola</t>
  </si>
  <si>
    <t>47.892169 56.641593</t>
  </si>
  <si>
    <t>+7 (927) 870-22-88</t>
  </si>
  <si>
    <t>47.933258 56.644113</t>
  </si>
  <si>
    <t>Сортсемовощ, Офис</t>
  </si>
  <si>
    <t>http://sortsemovosh12.ru/</t>
  </si>
  <si>
    <t>Магазин семян, Средства защиты растений</t>
  </si>
  <si>
    <t>Basova</t>
  </si>
  <si>
    <t>Визажисты, стилисты, Парикмахерская, Салон красоты</t>
  </si>
  <si>
    <t>47.899294 56.636889</t>
  </si>
  <si>
    <t>47.920138 56.63241</t>
  </si>
  <si>
    <t>бул. Ураева, 3/1, Йошкар-Ола</t>
  </si>
  <si>
    <t>Единая электронная торговая площадка</t>
  </si>
  <si>
    <t>Россия, Республика Марий Эл, Йошкар-Ола, площадь Воеводы И.А. Оболенского-Ноготкова</t>
  </si>
  <si>
    <t>8 (800) 200-18-77</t>
  </si>
  <si>
    <t xml:space="preserve">info@a-k-u.ru, credit@roseltorg.ru, pr@roseltorg.ru, info@roseltorg.ru, fraud@roseltorg.ru, y.burlaka@roseltorg.ru, y.demyanova@roseltorg.ru, sheveleva@roseltorg.ru, a.morozova@roseltorg.ru, rt@roseltorg.ru </t>
  </si>
  <si>
    <t>https://www.roseltorg.ru/</t>
  </si>
  <si>
    <t>Организация аукционов и тендеров, Удостоверяющий центр</t>
  </si>
  <si>
    <t>https://vk.com/roseltorg</t>
  </si>
  <si>
    <t>https://twitter.com/roseltorg</t>
  </si>
  <si>
    <t>https://www.facebook.com/Roseltorg</t>
  </si>
  <si>
    <t>47.8862 56.6316</t>
  </si>
  <si>
    <t>Технические средства безопасности</t>
  </si>
  <si>
    <t>+7 (8362) 32-22-05</t>
  </si>
  <si>
    <t>+7 (929) 733-14-60</t>
  </si>
  <si>
    <t xml:space="preserve">tsb21@bk.ru  </t>
  </si>
  <si>
    <t>http://tsb21.ru/</t>
  </si>
  <si>
    <t>http://www.instagram.com/tsb_yoshkarola</t>
  </si>
  <si>
    <t>47.863708 56.641893</t>
  </si>
  <si>
    <t>Пивзаправка</t>
  </si>
  <si>
    <t>+7 (960) 094-93-93</t>
  </si>
  <si>
    <t>Магазин воды, Магазин пива</t>
  </si>
  <si>
    <t>47.882172 56.637665</t>
  </si>
  <si>
    <t>Институт медицины и естественных наук Марийского государственного университета</t>
  </si>
  <si>
    <t>ул. Осипенко, 62, Йошкар-Ола</t>
  </si>
  <si>
    <t>47.876835 56.64264</t>
  </si>
  <si>
    <t>Хороший мастер12</t>
  </si>
  <si>
    <t>+7 (937) 119-09-40</t>
  </si>
  <si>
    <t xml:space="preserve">okna-v-dome@bk.ru, okna-v-dome48@bk.ru </t>
  </si>
  <si>
    <t>Запчасти и аксессуары для бытовой техники, Ремонт аудиотехники и видеотехники, Ремонт бытовой техники</t>
  </si>
  <si>
    <t>47.895104 56.640146</t>
  </si>
  <si>
    <t>Мир Камня</t>
  </si>
  <si>
    <t>ул. Строителей, 89/2, Йошкар-Ола</t>
  </si>
  <si>
    <t xml:space="preserve">info@mk12.ru, mmk12@mail.ru  </t>
  </si>
  <si>
    <t>http://mk12.ru/</t>
  </si>
  <si>
    <t>Изделия из камня, Облицовочные материалы</t>
  </si>
  <si>
    <t>пн-пт 08:00–17:00; сб 09:00–15:00</t>
  </si>
  <si>
    <t>47.851271 56.626247</t>
  </si>
  <si>
    <t>Марийские сувениры</t>
  </si>
  <si>
    <t>47.882145 56.638694</t>
  </si>
  <si>
    <t>EuroPlat</t>
  </si>
  <si>
    <t>8 (800) 700-34-24</t>
  </si>
  <si>
    <t xml:space="preserve">emily@example.com, john@example.com, helena@example.com </t>
  </si>
  <si>
    <t>https://www.europlat.biz/</t>
  </si>
  <si>
    <t>https://vk.com/europlatrussia</t>
  </si>
  <si>
    <t>https://www.facebook.com/Europlat.biz</t>
  </si>
  <si>
    <t>ул. Машиностроителей, 81А, Йошкар-Ола</t>
  </si>
  <si>
    <t>47.849735 56.629683</t>
  </si>
  <si>
    <t>47.884703 56.620387</t>
  </si>
  <si>
    <t>47.888497 56.632858</t>
  </si>
  <si>
    <t>Ремонт обуву</t>
  </si>
  <si>
    <t>47.883981 56.632855</t>
  </si>
  <si>
    <t>+7 (8362) 35-19-77</t>
  </si>
  <si>
    <t>Россия, Республика Марий Эл, Йошкар-Ола, улица Шевцовой</t>
  </si>
  <si>
    <t>47.93787 56.635573</t>
  </si>
  <si>
    <t>Айвенго</t>
  </si>
  <si>
    <t>47.892566 56.638694</t>
  </si>
  <si>
    <t>Флогудс</t>
  </si>
  <si>
    <t>8 (800) 505-44-53</t>
  </si>
  <si>
    <t xml:space="preserve">yoshkar-ola@flogoods.ru  </t>
  </si>
  <si>
    <t>https://yoshkar-ola.flogoods.ru/</t>
  </si>
  <si>
    <t>Техноснаб</t>
  </si>
  <si>
    <t>+7 (8362) 30-53-20</t>
  </si>
  <si>
    <t xml:space="preserve">zakaz@dekor12.ru </t>
  </si>
  <si>
    <t>http://dekor12.ru/</t>
  </si>
  <si>
    <t>47.862149 56.639643</t>
  </si>
  <si>
    <t>Терруар</t>
  </si>
  <si>
    <t>+7 (8362) 33-98-00</t>
  </si>
  <si>
    <t>+7 (937) 118-90-39</t>
  </si>
  <si>
    <t>47.906437 56.630221</t>
  </si>
  <si>
    <t>ТехМаркет</t>
  </si>
  <si>
    <t>+7 (8362) 47-07-40, +7 (8362) 33-43-02, +7 (8362) 33-42-01, +7 (8362) 33-22-63</t>
  </si>
  <si>
    <t>47.865343 56.617548</t>
  </si>
  <si>
    <t>47.863111 56.647256</t>
  </si>
  <si>
    <t>47.851179 56.641718</t>
  </si>
  <si>
    <t>Россия, Республика Марий Эл, Йошкар-Ола, улица Клары Цеткин</t>
  </si>
  <si>
    <t>47.900869 56.618179</t>
  </si>
  <si>
    <t>47.922482 56.629116</t>
  </si>
  <si>
    <t>+7 (8362) 33-44-16, +7 (8362) 33-44-32</t>
  </si>
  <si>
    <t xml:space="preserve">expert24ru@mail.ru  </t>
  </si>
  <si>
    <t>http://yo.zalogov24.com/, http://эксперт24.рф/</t>
  </si>
  <si>
    <t>Комиссионный магазин, Ломбард, Магазин электроники</t>
  </si>
  <si>
    <t>https://vk.com/expert_yo</t>
  </si>
  <si>
    <t>https://ok.ru/expert24ru</t>
  </si>
  <si>
    <t>https://www.facebook.com/expert24ru</t>
  </si>
  <si>
    <t>https://www.instagram.com/expert24ru</t>
  </si>
  <si>
    <t>47.941943 56.634947</t>
  </si>
  <si>
    <t>Центр дополнительного образования</t>
  </si>
  <si>
    <t>+7 (967) 757-56-88</t>
  </si>
  <si>
    <t xml:space="preserve">cdpo@mosi.ru  </t>
  </si>
  <si>
    <t>http://cdo12.ru/</t>
  </si>
  <si>
    <t>47.836021 56.634001</t>
  </si>
  <si>
    <t>Текстильные истории</t>
  </si>
  <si>
    <t>Лохматая ворона</t>
  </si>
  <si>
    <t>+7 (8362) 99-93-31</t>
  </si>
  <si>
    <t>Ногтевая студия, Парикмахерская, Салон красоты, Тату-салон</t>
  </si>
  <si>
    <t>47.925212 56.640384</t>
  </si>
  <si>
    <t>Гаражи</t>
  </si>
  <si>
    <t>Россия, Республика Марий Эл, Йошкар-Ола, улица Шабдара</t>
  </si>
  <si>
    <t>47.889315 56.646847</t>
  </si>
  <si>
    <t>Изготовление ключей</t>
  </si>
  <si>
    <t>Замки и запорные устройства, Металлоремонт</t>
  </si>
  <si>
    <t>47.863815 56.649528</t>
  </si>
  <si>
    <t>Александрийские двери</t>
  </si>
  <si>
    <t>8 (800) 200-15-15, +7 (8362) 38-16-17, +7 (8362) 45-40-12</t>
  </si>
  <si>
    <t xml:space="preserve">info@vasmarket.ru  </t>
  </si>
  <si>
    <t>http://www.aldoor.ru/</t>
  </si>
  <si>
    <t>47.900354 56.64235</t>
  </si>
  <si>
    <t>Золотое Лукошко</t>
  </si>
  <si>
    <t>ул. Лебедева, 41, Йошкар-Ола</t>
  </si>
  <si>
    <t>+7 (917) 701-32-54</t>
  </si>
  <si>
    <t>https://vk.com/zolotoelukoshko</t>
  </si>
  <si>
    <t>47.947713 56.62182</t>
  </si>
  <si>
    <t>Ресурс-АРК</t>
  </si>
  <si>
    <t>Аксарка</t>
  </si>
  <si>
    <t>+7 (8362) 54-24-12</t>
  </si>
  <si>
    <t>+7 (927) 883-23-52</t>
  </si>
  <si>
    <t>Деревообрабатывающее предприятие, Строительные и отделочные работы, Строительство дачных домов и коттеджей</t>
  </si>
  <si>
    <t>ПРОобраз 12</t>
  </si>
  <si>
    <t>+7 (927) 888-21-64</t>
  </si>
  <si>
    <t>Автоакустика, Автосервис, автотехцентр, Изоляционные работы, Тонирование стекол</t>
  </si>
  <si>
    <t>47.944587 56.647088</t>
  </si>
  <si>
    <t>ул. Карла Либкнехта, 82, Йошкар-Ола</t>
  </si>
  <si>
    <t>47.944971 56.637239</t>
  </si>
  <si>
    <t>+7 (8362) 63-05-95</t>
  </si>
  <si>
    <t>47.866532 56.650488</t>
  </si>
  <si>
    <t>+7 (8362) 34-71-81</t>
  </si>
  <si>
    <t>47.929429 56.629379</t>
  </si>
  <si>
    <t>MichurinClub</t>
  </si>
  <si>
    <t>ул. Героев Сталинградской Битвы, 93, Йошкар-Ола</t>
  </si>
  <si>
    <t>+7 (987) 700-05-00</t>
  </si>
  <si>
    <t>https://vk.com/michurinclub12</t>
  </si>
  <si>
    <t>https://www.facebook.com/pages/category/Local-Service/Гостевой-коттедж-MichurinClub-110039713783293/</t>
  </si>
  <si>
    <t>https://www.instagram.com/michurin.club/</t>
  </si>
  <si>
    <t>47.944739 56.616947</t>
  </si>
  <si>
    <t>Экономь карман</t>
  </si>
  <si>
    <t>ул. Зарубина, 37, Йошкар-Ола</t>
  </si>
  <si>
    <t>Магазин овощей и фруктов, Магазин продуктов</t>
  </si>
  <si>
    <t>47.87022 56.635723</t>
  </si>
  <si>
    <t>Модная кроха</t>
  </si>
  <si>
    <t>+7 (927) 882-75-32</t>
  </si>
  <si>
    <t>+7 (8362) 41-06-34</t>
  </si>
  <si>
    <t>Автосигнализация, Магазин автозапчастей и автотоваров</t>
  </si>
  <si>
    <t>47.891122 56.646211</t>
  </si>
  <si>
    <t>Бронницкий Ювелир</t>
  </si>
  <si>
    <t>8 (800) 555-25-65</t>
  </si>
  <si>
    <t xml:space="preserve">ogm@bronnitsy.com, pv@remont077.ru  </t>
  </si>
  <si>
    <t>http://www.bronnitsy.com/</t>
  </si>
  <si>
    <t>Скупка золота и ювелирных изделий, Ювелирный магазин</t>
  </si>
  <si>
    <t>https://vk.com/bronnitskiy.uvelir</t>
  </si>
  <si>
    <t>https://www.facebook.com/bronnitskiy.uvelir</t>
  </si>
  <si>
    <t>https://www.instagram.com/bronnitsy_jewelry</t>
  </si>
  <si>
    <t>1000 Схем</t>
  </si>
  <si>
    <t>Компьютерный ремонт и услуги, Ремонт аудиотехники и видеотехники, Ремонт бытовой техники</t>
  </si>
  <si>
    <t>Йошкар-Олинская городская больница, гастроэнтерологическое отделение</t>
  </si>
  <si>
    <t>http://klib55.polickliniki.ru/</t>
  </si>
  <si>
    <t>Часики 12</t>
  </si>
  <si>
    <t>+7 (987) 719-02-82</t>
  </si>
  <si>
    <t>пн-сб 11:00–19:00; вс 11:00–18:00</t>
  </si>
  <si>
    <t>47.880079 56.632411</t>
  </si>
  <si>
    <t>Кухни</t>
  </si>
  <si>
    <t>47.91729 56.627487</t>
  </si>
  <si>
    <t>Baymarket</t>
  </si>
  <si>
    <t>Россия, Республика Марий Эл, Йошкар-Ола, площадь Республики Пресвятой Девы Марии</t>
  </si>
  <si>
    <t>47.903338 56.633373</t>
  </si>
  <si>
    <t>Прицепы и фаркопы</t>
  </si>
  <si>
    <t>ул. Соловьёва, 22В, Йошкар-Ола</t>
  </si>
  <si>
    <t>+7 (8362) 33-03-07</t>
  </si>
  <si>
    <t>+7 (964) 864-06-03, +7 (917) 706-98-46</t>
  </si>
  <si>
    <t xml:space="preserve">trailer-m@mail.ru, region12@inbox.ru  </t>
  </si>
  <si>
    <t>http://mytreiler.ru/</t>
  </si>
  <si>
    <t>https://vk.com/region12avto</t>
  </si>
  <si>
    <t>https://www.instagram.com/treilerm/</t>
  </si>
  <si>
    <t>47.87382 56.621966</t>
  </si>
  <si>
    <t>Ecoworld</t>
  </si>
  <si>
    <t>+7 (8362) 38-11-12</t>
  </si>
  <si>
    <t>https://yoshkar.eco-world.pro/</t>
  </si>
  <si>
    <t>Жилые дома по ул. Эшкинина</t>
  </si>
  <si>
    <t>Россия, Йошкар-Ола, ул. Эшкинина</t>
  </si>
  <si>
    <t>+7 (8362) 23-32-44</t>
  </si>
  <si>
    <t xml:space="preserve">23-00-14@mail.ru  </t>
  </si>
  <si>
    <t>https://kazanposad.ru/projects/centralniy/</t>
  </si>
  <si>
    <t>47.912907 56.633247</t>
  </si>
  <si>
    <t>Холст Ола</t>
  </si>
  <si>
    <t>Широкоформатная печать</t>
  </si>
  <si>
    <t>https://vk.com/holst_ola</t>
  </si>
  <si>
    <t>https://instagram.com/holst_ola</t>
  </si>
  <si>
    <t>Спецодежда, Средства индивидуальной защиты</t>
  </si>
  <si>
    <t>47.838368 56.641575</t>
  </si>
  <si>
    <t>ТК Алмаз</t>
  </si>
  <si>
    <t>+7 (965) 615-80-80</t>
  </si>
  <si>
    <t>Автомобильные грузоперевозки, Стройматериалы оптом</t>
  </si>
  <si>
    <t>КанцПарк</t>
  </si>
  <si>
    <t>+7 (8362) 38-25-00</t>
  </si>
  <si>
    <t xml:space="preserve">testing@test.ru, info@kanzpark.ru, chief.franch@relef.ru, yaryginav.franch@relef.ru, rodionovki.franch@relef.ru  </t>
  </si>
  <si>
    <t>http://kanzpark.ru/</t>
  </si>
  <si>
    <t>Магазин канцтоваров</t>
  </si>
  <si>
    <t>https://vk.com/kanzpark</t>
  </si>
  <si>
    <t>https://ok.ru/kanzpark</t>
  </si>
  <si>
    <t>https://www.instagram.com/kanzpark/</t>
  </si>
  <si>
    <t>47.845463 56.64099</t>
  </si>
  <si>
    <t>Булко</t>
  </si>
  <si>
    <t>бул. Чавайна, 13А, Йошкар-Ола</t>
  </si>
  <si>
    <t>+7 (8362) 55-33-50</t>
  </si>
  <si>
    <t>Булочная, пекарня, Кондитерская, Магазин продуктов</t>
  </si>
  <si>
    <t>https://vk.com/suvenircake</t>
  </si>
  <si>
    <t>47.921996 56.628505</t>
  </si>
  <si>
    <t>+7 (967) 756-44-49</t>
  </si>
  <si>
    <t>ежедневно, 07:15–20:00</t>
  </si>
  <si>
    <t>47.898779 56.645179</t>
  </si>
  <si>
    <t>Группа компаний Спецтех</t>
  </si>
  <si>
    <t>8 (800) 550-26-80</t>
  </si>
  <si>
    <t xml:space="preserve">info@v-t-m.ru </t>
  </si>
  <si>
    <t>Магазин автозапчастей и автотоваров, Спецтехника и спецавтомобили</t>
  </si>
  <si>
    <t>47.834983 56.632016</t>
  </si>
  <si>
    <t>47.906695 56.637188</t>
  </si>
  <si>
    <t>ул. Зарубина, 67, Йошкар-Ола</t>
  </si>
  <si>
    <t>47.863155 56.640467</t>
  </si>
  <si>
    <t>Tea Funny</t>
  </si>
  <si>
    <t>+7 (495) 739-39-30</t>
  </si>
  <si>
    <t xml:space="preserve">info@teafunny.ru, fr@teafunny.ru  </t>
  </si>
  <si>
    <t>https://teafunnycafe.com/, http://teafunnny.ru/</t>
  </si>
  <si>
    <t>Бар безалкогольных напитков</t>
  </si>
  <si>
    <t>https://vk.com/teafunny</t>
  </si>
  <si>
    <t>https://www.facebook.com/teafunny.ru/</t>
  </si>
  <si>
    <t>https://www.instagram.com/teafunnyofficial</t>
  </si>
  <si>
    <t>Gms-сервис</t>
  </si>
  <si>
    <t>Магазин электроники, Ремонт телефонов</t>
  </si>
  <si>
    <t>47.863815 56.64953</t>
  </si>
  <si>
    <t>Fish'Ka</t>
  </si>
  <si>
    <t>пн-пт 08:00–20:00; сб,вс 08:00–19:30</t>
  </si>
  <si>
    <t>47.920348 56.635402</t>
  </si>
  <si>
    <t>Россия, Республика Марий Эл, Йошкар-Ола, микрорайон Северный</t>
  </si>
  <si>
    <t>47.936268 56.640087</t>
  </si>
  <si>
    <t>Prestige</t>
  </si>
  <si>
    <t>+7 (902) 735-13-23, +7 (937) 930-11-60</t>
  </si>
  <si>
    <t>Двери, Магазин мебели, Окна</t>
  </si>
  <si>
    <t>47.843428 56.644142</t>
  </si>
  <si>
    <t>Конвейер Комплект</t>
  </si>
  <si>
    <t>+7 (925) 305-08-99</t>
  </si>
  <si>
    <t xml:space="preserve">info@atsystem.ru </t>
  </si>
  <si>
    <t>http://atsystem.ru/</t>
  </si>
  <si>
    <t>Релакс</t>
  </si>
  <si>
    <t>47.917704 56.627417</t>
  </si>
  <si>
    <t>Redfox</t>
  </si>
  <si>
    <t>+7 (902) 108-32-42</t>
  </si>
  <si>
    <t>пн 20:00–06:00; вт-сб 18:00–06:00; вс 20:00–06:00</t>
  </si>
  <si>
    <t>47.896852 56.635363</t>
  </si>
  <si>
    <t>ул. Маршала Жукова, 21, Йошкар-Ола</t>
  </si>
  <si>
    <t>+7 (909) 369-75-59</t>
  </si>
  <si>
    <t>47.842008 56.650726</t>
  </si>
  <si>
    <t>Грызлик</t>
  </si>
  <si>
    <t>+7 (961) 373-30-11</t>
  </si>
  <si>
    <t>ул. Соловьёва, 22, корп. 1, Йошкар-Ола</t>
  </si>
  <si>
    <t>+7 (919) 499-73-89</t>
  </si>
  <si>
    <t>47.873045 56.62392</t>
  </si>
  <si>
    <t xml:space="preserve">sales@voda-sestrica.ru  </t>
  </si>
  <si>
    <t>http://сестрица.рф/</t>
  </si>
  <si>
    <t>Магазин воды</t>
  </si>
  <si>
    <t>Додо Пицца</t>
  </si>
  <si>
    <t>8 (800) 333-00-60, 8 (800) 302-00-60</t>
  </si>
  <si>
    <t xml:space="preserve">feedback@dodopizza.com, u0022feedback@dodopizza.com, d.mamlygina@dodopizza.com, r.lukin.dodo@gmail.com, l.eaulova.dodo@gmail.com  </t>
  </si>
  <si>
    <t>https://dodopizza.ru/YoshkarOla/?utm_campaign=premium_card&amp;utm_medium=card_link&amp;utm_source=yandex_maps</t>
  </si>
  <si>
    <t>https://vk.com/dodoyola</t>
  </si>
  <si>
    <t>https://www.facebook.com/dodopizza</t>
  </si>
  <si>
    <t>https://www.youtube.com/c/DodoPizzaRussia</t>
  </si>
  <si>
    <t>https://www.instagram.com/dodoyola/</t>
  </si>
  <si>
    <t>47.870781 56.640872</t>
  </si>
  <si>
    <t>ул. Героев Сталинградской Битвы, 31, Йошкар-Ола</t>
  </si>
  <si>
    <t>47.946854 56.625558</t>
  </si>
  <si>
    <t>47.894855 56.637584</t>
  </si>
  <si>
    <t>Apartment on Sovetskaya 177</t>
  </si>
  <si>
    <t>47.88896 56.62446</t>
  </si>
  <si>
    <t>47.867052 56.637569</t>
  </si>
  <si>
    <t>ул. Палантая, 87, Йошкар-Ола</t>
  </si>
  <si>
    <t>47.882383 56.627308</t>
  </si>
  <si>
    <t>Птица+</t>
  </si>
  <si>
    <t>ул. Баумана, 22А, Йошкар-Ола</t>
  </si>
  <si>
    <t>+7 (8362) 73-18-14</t>
  </si>
  <si>
    <t>47.84451 56.637847</t>
  </si>
  <si>
    <t>наб. Брюгге, 2, Йошкар-Ола</t>
  </si>
  <si>
    <t>47.910981 56.635402</t>
  </si>
  <si>
    <t>47.874693 56.628558</t>
  </si>
  <si>
    <t>+7 (902) 466-68-34</t>
  </si>
  <si>
    <t xml:space="preserve">gomzovotoys@gmail.com  </t>
  </si>
  <si>
    <t>Детские игрушки и игры, Книжный магазин, Магазин канцтоваров, Магазин одежды</t>
  </si>
  <si>
    <t>пн-пт 09:00–19:00; сб 09:30–17:00; вс 09:30–16:00</t>
  </si>
  <si>
    <t>https://vk.com/gomzovotoys</t>
  </si>
  <si>
    <t>47.864513 56.645937</t>
  </si>
  <si>
    <t>+7 (8362) 54-99-29, +7 (8362) 30-95-85</t>
  </si>
  <si>
    <t>https://vk.com/club148301901</t>
  </si>
  <si>
    <t>Спортизация</t>
  </si>
  <si>
    <t>8 (800) 302-02-35</t>
  </si>
  <si>
    <t xml:space="preserve">zakaz@sportizacia.ru, opt@sportizacia.ru  </t>
  </si>
  <si>
    <t>https://yoshkar-ola.sportizacia.ru/</t>
  </si>
  <si>
    <t>Интернет-магазин, Спортивный инвентарь и оборудование</t>
  </si>
  <si>
    <t>https://vk.com/sportizacia_ru</t>
  </si>
  <si>
    <t>+7 (8362) 63-69-00, +7 (8362) 91-88-54</t>
  </si>
  <si>
    <t xml:space="preserve">favorit636900@mail.ru  </t>
  </si>
  <si>
    <t>http://favorit12.ru/</t>
  </si>
  <si>
    <t>47.843923 56.630858</t>
  </si>
  <si>
    <t>Музей истории Марийского машиностроительного завода</t>
  </si>
  <si>
    <t>47.866798 56.633999</t>
  </si>
  <si>
    <t>ул. Машиностроителей, 74Б, корп. 1, Йошкар-Ола</t>
  </si>
  <si>
    <t>Металлические заборы и ограждения</t>
  </si>
  <si>
    <t>47.839592 56.626903</t>
  </si>
  <si>
    <t>Пляж</t>
  </si>
  <si>
    <t>47.919129 56.615955</t>
  </si>
  <si>
    <t>Всероссийское добровольное пожарное общество</t>
  </si>
  <si>
    <t>+7 (8362) 38-00-13, +7 (8362) 64-60-83, +7 (8362) 38-00-23</t>
  </si>
  <si>
    <t xml:space="preserve">mardpo@list.ru  </t>
  </si>
  <si>
    <t>http://vdpo12.ru/</t>
  </si>
  <si>
    <t>Общественная организация, Пожарное оборудование, Пожарные части и службы, Системы безопасности и охраны</t>
  </si>
  <si>
    <t>Волга-Торг</t>
  </si>
  <si>
    <t>+7 (8362) 54-80-58</t>
  </si>
  <si>
    <t>+7 (917) 716-01-41</t>
  </si>
  <si>
    <t xml:space="preserve">14370afcdc17429f9e418d5ffbd0334a@sentry.wixpress.com, pravosudie2018@mail.ru, wixofday@wix.com  </t>
  </si>
  <si>
    <t>https://www.pravo-sudie.com/</t>
  </si>
  <si>
    <t>Аудиторская компания, Бухгалтерские услуги, Финансовый консалтинг</t>
  </si>
  <si>
    <t>https://www.instagram.com/pravo_sudie/</t>
  </si>
  <si>
    <t>Строительный инструмент</t>
  </si>
  <si>
    <t>Expert</t>
  </si>
  <si>
    <t>ул. Суворова, 3, Йошкар-Ола</t>
  </si>
  <si>
    <t>8 (800) 350-05-25</t>
  </si>
  <si>
    <t>47.873249 56.629434</t>
  </si>
  <si>
    <t>Русклимат</t>
  </si>
  <si>
    <t>47.924871 56.641965</t>
  </si>
  <si>
    <t>ул. Лебедева, 53А, Йошкар-Ола</t>
  </si>
  <si>
    <t>47.937794 56.624014</t>
  </si>
  <si>
    <t>Папиррус</t>
  </si>
  <si>
    <t>+7 (8362) 38-05-30</t>
  </si>
  <si>
    <t>47.82921 56.615118</t>
  </si>
  <si>
    <t>47.864161 56.650158</t>
  </si>
  <si>
    <t>У Саида</t>
  </si>
  <si>
    <t>Туман</t>
  </si>
  <si>
    <t>площадь Революции, 3, Йошкар-Ола</t>
  </si>
  <si>
    <t>47.900024 56.636633</t>
  </si>
  <si>
    <t>Сибирское здоровье</t>
  </si>
  <si>
    <t>8 (800) 755-87-55</t>
  </si>
  <si>
    <t>+7 (902) 432-79-71</t>
  </si>
  <si>
    <t xml:space="preserve">eshop@sibvaleo.com, call-centre@sibvaleo.com, custserv@dpd.ru  </t>
  </si>
  <si>
    <t>https://ru.siberianhealth.com/, https://siberianhealth.com/</t>
  </si>
  <si>
    <t>Спортивное питание, Товары для здоровья, Фитопродукция, БАДы</t>
  </si>
  <si>
    <t>https://vk.com/siberianwellness</t>
  </si>
  <si>
    <t>https://ok.ru/siberianwellness</t>
  </si>
  <si>
    <t>https://www.facebook.com/siberianwellness/</t>
  </si>
  <si>
    <t>https://www.youtube.com/channel/UC4k0Vs3lUkCAisXvHmU1llA</t>
  </si>
  <si>
    <t>https://www.instagram.com/siberianwellness/</t>
  </si>
  <si>
    <t>47.887778 56.620779</t>
  </si>
  <si>
    <t>АвтоМастер</t>
  </si>
  <si>
    <t>Деповская ул., 20А, Йошкар-Ола</t>
  </si>
  <si>
    <t>+7 (8362) 55-68-86</t>
  </si>
  <si>
    <t>+7 (967) 755-68-86</t>
  </si>
  <si>
    <t>47.876605 56.621157</t>
  </si>
  <si>
    <t>Детская студия</t>
  </si>
  <si>
    <t>47.92243 56.631102</t>
  </si>
  <si>
    <t>Автоград</t>
  </si>
  <si>
    <t>ул. Суворова, 9Б, Йошкар-Ола</t>
  </si>
  <si>
    <t>+7 (8362) 38-33-11, +7 (8362) 38-60-80</t>
  </si>
  <si>
    <t>47.869473 56.632135</t>
  </si>
  <si>
    <t>Акушерский физиологический корпус № 3</t>
  </si>
  <si>
    <t>бул. Победы, 19А, Йошкар-Ола</t>
  </si>
  <si>
    <t>Родильный дом</t>
  </si>
  <si>
    <t>47.878746 56.63765</t>
  </si>
  <si>
    <t>+7 (8362) 45-25-28</t>
  </si>
  <si>
    <t>+7 (929) 732-03-20</t>
  </si>
  <si>
    <t>47.833286 56.636898</t>
  </si>
  <si>
    <t>Женский мир</t>
  </si>
  <si>
    <t>47.860121 56.64105</t>
  </si>
  <si>
    <t>Аква-Комфорт</t>
  </si>
  <si>
    <t>+7 (8362) 32-00-35</t>
  </si>
  <si>
    <t>ФайТро</t>
  </si>
  <si>
    <t xml:space="preserve">wordpress@example.com  </t>
  </si>
  <si>
    <t>https://faitro.ru/</t>
  </si>
  <si>
    <t>https://vk.com/faitro</t>
  </si>
  <si>
    <t>https://www.instagram.com/faitro_official/</t>
  </si>
  <si>
    <t>Вокзал Йошкар-Ола</t>
  </si>
  <si>
    <t>8 (800) 775-00-00</t>
  </si>
  <si>
    <t>http://yoshkar-ola.dzvr.ru/</t>
  </si>
  <si>
    <t>Железнодорожный транспорт</t>
  </si>
  <si>
    <t>Железнодорожная станция</t>
  </si>
  <si>
    <t>47.879878 56.621691</t>
  </si>
  <si>
    <t>Россия, Республика Марий Эл, Йошкар-Ола, микрорайон Панфиловский</t>
  </si>
  <si>
    <t>47.880814 56.624473</t>
  </si>
  <si>
    <t>+7 (8362) 41-74-96</t>
  </si>
  <si>
    <t>Мед и продукты пчеловодства</t>
  </si>
  <si>
    <t>Кордкрафт</t>
  </si>
  <si>
    <t>Лакокрасочные материалы, Строительный инструмент</t>
  </si>
  <si>
    <t>47.897785 56.650285</t>
  </si>
  <si>
    <t>Teletracking</t>
  </si>
  <si>
    <t>+7 (8362) 33-31-95, +7 (8362) 40-03-01, +7 (8362) 52-05-79</t>
  </si>
  <si>
    <t xml:space="preserve">support@teletracking.ru  </t>
  </si>
  <si>
    <t>http://teletracking.ru/</t>
  </si>
  <si>
    <t>Магазин постельных принадлежностей, Магазин ткани, Трикотаж, трикотажные изделия</t>
  </si>
  <si>
    <t>47.833023 56.636751</t>
  </si>
  <si>
    <t>DoorHan</t>
  </si>
  <si>
    <t>8 (800) 200-22-08</t>
  </si>
  <si>
    <t xml:space="preserve">rostov-na-donu@doorhan.ru, info@doorhan.ru  </t>
  </si>
  <si>
    <t>https://www.doorhan.ru/</t>
  </si>
  <si>
    <t>Автоматические двери и ворота, Алюминий, алюминиевые конструкции, Рольставни</t>
  </si>
  <si>
    <t>https://vk.com/doorhan</t>
  </si>
  <si>
    <t>https://twitter.com/doorhan_ru</t>
  </si>
  <si>
    <t>http://www.facebook.com/DoorHan</t>
  </si>
  <si>
    <t>http://www.youtube.com/doorhankachestvo</t>
  </si>
  <si>
    <t>https://www.instagram.com/doorhan/</t>
  </si>
  <si>
    <t>47.871132 56.635595</t>
  </si>
  <si>
    <t>СтройМаг</t>
  </si>
  <si>
    <t>Сернурский тракт, 2, корп. 2, Йошкар-Ола</t>
  </si>
  <si>
    <t>+7 (8362) 32-70-20</t>
  </si>
  <si>
    <t>пн-пт 08:30–17:30; сб 09:00–15:00</t>
  </si>
  <si>
    <t>47.954397 56.652612</t>
  </si>
  <si>
    <t>Агрегатный цех</t>
  </si>
  <si>
    <t>ул. Волкова, 54, Йошкар-Ола</t>
  </si>
  <si>
    <t>47.902973 56.64734</t>
  </si>
  <si>
    <t>Дистех</t>
  </si>
  <si>
    <t>+7 (8362) 55-08-36</t>
  </si>
  <si>
    <t>http://stopconflikt.ru/</t>
  </si>
  <si>
    <t>Массажный салон, Медцентр, клиника</t>
  </si>
  <si>
    <t>Фото-видео</t>
  </si>
  <si>
    <t>Магазин электроники</t>
  </si>
  <si>
    <t>47.870849 56.645923</t>
  </si>
  <si>
    <t>Колотилки</t>
  </si>
  <si>
    <t>ул. Васильева, 8, Йошкар-Ола</t>
  </si>
  <si>
    <t>+7 (917) 719-15-79</t>
  </si>
  <si>
    <t>сб,вс 10:00–17:00</t>
  </si>
  <si>
    <t>47.828231 56.635254</t>
  </si>
  <si>
    <t>Мистер Икс</t>
  </si>
  <si>
    <t>47.894924 56.639362</t>
  </si>
  <si>
    <t>47.8331 56.636756</t>
  </si>
  <si>
    <t>Студия речевого развития кабинет Логопеда</t>
  </si>
  <si>
    <t>+7 (917) 713-00-61</t>
  </si>
  <si>
    <t>Клуб для детей и подростков, Логопеды</t>
  </si>
  <si>
    <t>https://vk.com/club127562203</t>
  </si>
  <si>
    <t>47.930794 56.628957</t>
  </si>
  <si>
    <t>Уровень</t>
  </si>
  <si>
    <t>+7 (8362) 39-52-62</t>
  </si>
  <si>
    <t>Натяжные и подвесные потолки, Окна, Остекление балконов и лоджий</t>
  </si>
  <si>
    <t>пн-пт 09:00–21:00; сб,вс 09:00–20:00</t>
  </si>
  <si>
    <t>https://vk.com/uroven12_ru</t>
  </si>
  <si>
    <t>47.874332 56.635917</t>
  </si>
  <si>
    <t>Фабрикарт</t>
  </si>
  <si>
    <t>8 (800) 555-88-44, +7 (8362) 49-60-01, +7 (843) 570-01-13</t>
  </si>
  <si>
    <t xml:space="preserve">tatiana@gmail.com </t>
  </si>
  <si>
    <t>http://www.fabrikart.ru/, http://www.fabrikart.ru/shop</t>
  </si>
  <si>
    <t>Одежда для всех</t>
  </si>
  <si>
    <t>47.919667 56.630622</t>
  </si>
  <si>
    <t>ул. Анциферова, 38, Йошкар-Ола</t>
  </si>
  <si>
    <t>47.864622 56.640631</t>
  </si>
  <si>
    <t>Россия, Республика Марий Эл, Йошкар-Ола, микрорайон Комсомольский</t>
  </si>
  <si>
    <t>47.893187 56.644086</t>
  </si>
  <si>
    <t>Клуб любителей собак Фаворит</t>
  </si>
  <si>
    <t>+7 (927) 882-05-77, +7 (987) 725-47-02</t>
  </si>
  <si>
    <t>пн-пт 14:00–18:00</t>
  </si>
  <si>
    <t>Osmos</t>
  </si>
  <si>
    <t>+7 (902) 103-79-11</t>
  </si>
  <si>
    <t>пн-пт 08:00–22:00; сб,вс 10:00–22:00</t>
  </si>
  <si>
    <t>http://vk.com/osmos_yo</t>
  </si>
  <si>
    <t>http://facebook.com/osmos.yo</t>
  </si>
  <si>
    <t>https://www.instagram.com/osmos_yo/</t>
  </si>
  <si>
    <t>47.883392 56.637593</t>
  </si>
  <si>
    <t>Коврочист Хоттабыч</t>
  </si>
  <si>
    <t>+7 (8362) 35-73-00</t>
  </si>
  <si>
    <t>+7 (962) 588-73-00, +7 (964) 862-54-25, +7 (902) 100-73-33</t>
  </si>
  <si>
    <t>https://коврочист.рус/</t>
  </si>
  <si>
    <t>пн-сб 09:00–15:00</t>
  </si>
  <si>
    <t>https://vk.com/kover12ola</t>
  </si>
  <si>
    <t>47.874761 56.655347</t>
  </si>
  <si>
    <t>Амелис</t>
  </si>
  <si>
    <t>Benjamin Moore</t>
  </si>
  <si>
    <t>+7 (8362) 38-16-17</t>
  </si>
  <si>
    <t xml:space="preserve">office@benjaminmoore.ru, msk@benjaminmoore.ru, officevl@benjaminmoore.ru, artplay@benjaminmoore.ru, salon@benjaminmoore.ru  </t>
  </si>
  <si>
    <t>http://benjaminmoore.ru/</t>
  </si>
  <si>
    <t>47.870584 56.63711</t>
  </si>
  <si>
    <t>Точка кипения</t>
  </si>
  <si>
    <t>Красноармейская ул., 71/1, Йошкар-Ола</t>
  </si>
  <si>
    <t>47.874939 56.64431</t>
  </si>
  <si>
    <t>Boho</t>
  </si>
  <si>
    <t>+7 (902) 434-53-03</t>
  </si>
  <si>
    <t>47.893789 56.640302</t>
  </si>
  <si>
    <t>Mio</t>
  </si>
  <si>
    <t>https://vk.com/mioyoshkarola</t>
  </si>
  <si>
    <t>47.840792 56.631522</t>
  </si>
  <si>
    <t>ЦЭС</t>
  </si>
  <si>
    <t>+7 (8362) 29-30-30, +7 (8362) 42-86-26, +7 (8362) 56-57-24, +7 (8362) 41-25-35</t>
  </si>
  <si>
    <t xml:space="preserve">oooces@inbox.ru </t>
  </si>
  <si>
    <t>Алюминий, алюминиевые конструкции, Изготовление витражей, Окна</t>
  </si>
  <si>
    <t>47.902615 56.64113</t>
  </si>
  <si>
    <t>Чехлы.ру</t>
  </si>
  <si>
    <t>8 (800) 600-54-29</t>
  </si>
  <si>
    <t xml:space="preserve">info@opora-mebel.ru </t>
  </si>
  <si>
    <t>https://joshkar-ola.chekhly.ru/</t>
  </si>
  <si>
    <t>https://vk.com/chekhly_ru</t>
  </si>
  <si>
    <t>https://www.facebook.com/%D0%A7%D0%B5%D1%85%D0%BB%D1%8B%D1%80%D1%83-376187289592746/</t>
  </si>
  <si>
    <t>https://www.instagram.com/chekhly_ru/</t>
  </si>
  <si>
    <t>Лето</t>
  </si>
  <si>
    <t>Pro. Kids</t>
  </si>
  <si>
    <t>+7 (917) 711-10-03</t>
  </si>
  <si>
    <t>Печати 5</t>
  </si>
  <si>
    <t>Ленинский просп., 58/19, Йошкар-Ола</t>
  </si>
  <si>
    <t>+7 (8362) 31-34-99</t>
  </si>
  <si>
    <t>http://штамп12.рф/</t>
  </si>
  <si>
    <t>Аварийка</t>
  </si>
  <si>
    <t>+7 (8362) 38-78-78</t>
  </si>
  <si>
    <t>http://avariika12.ru/</t>
  </si>
  <si>
    <t>Визажисты, стилисты, Услуги частных специалистов</t>
  </si>
  <si>
    <t>Проездные билеты</t>
  </si>
  <si>
    <t>Россия, Республика Марий Эл, Йошкар-Ола, улица Героев Сталинградской Битвы</t>
  </si>
  <si>
    <t>Транспортная касса</t>
  </si>
  <si>
    <t>47.946645 56.626317</t>
  </si>
  <si>
    <t>Cube hookah</t>
  </si>
  <si>
    <t>+7 (8362) 90-37-77</t>
  </si>
  <si>
    <t>+7 (902) 433-65-69</t>
  </si>
  <si>
    <t>Бар, паб, Кальян-бар, Кафе, Ночной клуб</t>
  </si>
  <si>
    <t>пн-чт 14:00–02:00; сб 14:00–05:00; вс 14:00–02:00</t>
  </si>
  <si>
    <t>https://vk.com/cubehookah</t>
  </si>
  <si>
    <t>https://www.instagram.com/cube_hookah_yo/</t>
  </si>
  <si>
    <t>47.893496 56.637501</t>
  </si>
  <si>
    <t>Вентастрой Сервис</t>
  </si>
  <si>
    <t>+7 (8362) 30-44-80</t>
  </si>
  <si>
    <t>+7 (937) 936-44-99</t>
  </si>
  <si>
    <t>Йошкин Торт</t>
  </si>
  <si>
    <t>Пролетарская ул., 9, Йошкар-Ола</t>
  </si>
  <si>
    <t>+7 (8362) 99-21-01</t>
  </si>
  <si>
    <t>пн-пт 10:00–18:30; сб,вс 10:00–17:00</t>
  </si>
  <si>
    <t>47.900363 56.643619</t>
  </si>
  <si>
    <t>Trava</t>
  </si>
  <si>
    <t>47.925581 56.634242</t>
  </si>
  <si>
    <t>Roils club</t>
  </si>
  <si>
    <t>47.896723 56.628605</t>
  </si>
  <si>
    <t>Солидарность</t>
  </si>
  <si>
    <t>+7 (8362) 45-55-46</t>
  </si>
  <si>
    <t>47.84977 56.631694</t>
  </si>
  <si>
    <t>Алма</t>
  </si>
  <si>
    <t>+7 (8362) 54-68-54, +7 (8362) 43-13-43</t>
  </si>
  <si>
    <t>+7 (964) 864-68-54</t>
  </si>
  <si>
    <t xml:space="preserve">alma-ooo12@yandex.ru  </t>
  </si>
  <si>
    <t>http://alma12.ru/</t>
  </si>
  <si>
    <t>https://www.instagram.com/alma_potolok12/</t>
  </si>
  <si>
    <t>Selfie</t>
  </si>
  <si>
    <t>+7 (8362) 99-96-50</t>
  </si>
  <si>
    <t>Оптовые продажи пластиковых окон Сервис-Сеть</t>
  </si>
  <si>
    <t>+7 (927) 870-83-39</t>
  </si>
  <si>
    <t xml:space="preserve">okna@servis12.ru </t>
  </si>
  <si>
    <t>Россия, Республика Марий Эл, Йошкар-Ола, Краснофлотская улица</t>
  </si>
  <si>
    <t>47.844409 56.633656</t>
  </si>
  <si>
    <t>+7 (961) 337-00-30</t>
  </si>
  <si>
    <t>пн-сб 08:00–16:30</t>
  </si>
  <si>
    <t>Россия, Республика Марий Эл, Йошкар-Ола, улица Данилина</t>
  </si>
  <si>
    <t>47.892475 56.64884</t>
  </si>
  <si>
    <t>Эльбрус</t>
  </si>
  <si>
    <t>+7 (8362) 45-80-20</t>
  </si>
  <si>
    <t xml:space="preserve">elbrus@mari-el.ru  </t>
  </si>
  <si>
    <t>http://elbrus.mari-el.ru/</t>
  </si>
  <si>
    <t>47.887736 56.655394</t>
  </si>
  <si>
    <t>Шакира</t>
  </si>
  <si>
    <t>47.885756 56.635611</t>
  </si>
  <si>
    <t>Уборка 12</t>
  </si>
  <si>
    <t>Ленинский просп., 20А, Йошкар-Ола</t>
  </si>
  <si>
    <t>+7 (8362) 32-22-13</t>
  </si>
  <si>
    <t>+7 (927) 882-22-13, +7 (960) 091-88-21</t>
  </si>
  <si>
    <t>http://uborka12.ru/</t>
  </si>
  <si>
    <t>47.910181 56.628703</t>
  </si>
  <si>
    <t>+7 (8362) 47-73-01</t>
  </si>
  <si>
    <t>+7 (902) 433-73-01, +7 (996) 958-39-79</t>
  </si>
  <si>
    <t>Ателье по пошиву одежды, Студия дизайна</t>
  </si>
  <si>
    <t>пн-пт 10:00–17:00; сб 10:00–14:00</t>
  </si>
  <si>
    <t>Ив Промлесстрой</t>
  </si>
  <si>
    <t>+7 (917) 701-76-29</t>
  </si>
  <si>
    <t>47.871387 56.621391</t>
  </si>
  <si>
    <t>Дом дерева</t>
  </si>
  <si>
    <t>+7 (8362) 92-83-28</t>
  </si>
  <si>
    <t>Kseni Cake</t>
  </si>
  <si>
    <t>+7 (927) 873-32-25</t>
  </si>
  <si>
    <t>Настенька</t>
  </si>
  <si>
    <t>+7 (917) 700-64-36</t>
  </si>
  <si>
    <t>Детский лагерь отдыха, Детский сад</t>
  </si>
  <si>
    <t>47.913974 56.634665</t>
  </si>
  <si>
    <t>47.875695 56.634966</t>
  </si>
  <si>
    <t>Icon</t>
  </si>
  <si>
    <t>47.900574 56.654763</t>
  </si>
  <si>
    <t>Йошкар-Олинская местная организация Всероссийское Общество Слепых</t>
  </si>
  <si>
    <t>Пролетарская ул., 35, Йошкар-Ола</t>
  </si>
  <si>
    <t>+7 (8362) 46-10-70</t>
  </si>
  <si>
    <t xml:space="preserve">yolavos@yandex.ru  </t>
  </si>
  <si>
    <t>http://vk.com/yolavos</t>
  </si>
  <si>
    <t>47.891236 56.645678</t>
  </si>
  <si>
    <t>Печати5</t>
  </si>
  <si>
    <t>Е1</t>
  </si>
  <si>
    <t>8 (800) 100-12-11, +7 (8362) 32-44-38</t>
  </si>
  <si>
    <t xml:space="preserve">best@e-odin.ru  </t>
  </si>
  <si>
    <t>https://www.e-1.ru/</t>
  </si>
  <si>
    <t>Магазин мебели, Шкафы-купе</t>
  </si>
  <si>
    <t>Комсомольская ул., 77А, Йошкар-Ола</t>
  </si>
  <si>
    <t>+7 (8362) 45-80-00</t>
  </si>
  <si>
    <t>Автомойка, Автосалон, Автосервис, автотехцентр, Кузовной ремонт, Шиномонтаж</t>
  </si>
  <si>
    <t>https://vk.com/club78821626</t>
  </si>
  <si>
    <t>47.901576 56.646322</t>
  </si>
  <si>
    <t>ЭкологияГазАвтосервис</t>
  </si>
  <si>
    <t>+7 (927) 684-55-12, +7 (987) 706-71-87</t>
  </si>
  <si>
    <t>47.946781 56.634277</t>
  </si>
  <si>
    <t>ул. Мира, 32, Йошкар-Ола</t>
  </si>
  <si>
    <t xml:space="preserve">info@dorsten.ru  </t>
  </si>
  <si>
    <t>http://dorsten.ru/</t>
  </si>
  <si>
    <t>47.944677 56.634877</t>
  </si>
  <si>
    <t>Сернурский тракт, 17А, Йошкар-Ола</t>
  </si>
  <si>
    <t>8 (800) 350-05-25, +7 (8362) 66-68-80, +7 (8362) 66-67-65</t>
  </si>
  <si>
    <t>Автомойка, АГНС, АГЗС, АГНКС, АЗС, Шиномонтаж</t>
  </si>
  <si>
    <t>47.936856 56.645506</t>
  </si>
  <si>
    <t>+7 (927) 682-12-88</t>
  </si>
  <si>
    <t>пн-пт 09:30–19:00; сб,вс 10:00–18:00</t>
  </si>
  <si>
    <t>47.83599 56.641458</t>
  </si>
  <si>
    <t>Константа плюс</t>
  </si>
  <si>
    <t>+7 (8362) 31-76-05</t>
  </si>
  <si>
    <t>Центр Avon</t>
  </si>
  <si>
    <t>наб. Амстердам, 1, Йошкар-Ола</t>
  </si>
  <si>
    <t>+7 (927) 883-03-28</t>
  </si>
  <si>
    <t>http://avonkoor.ru/</t>
  </si>
  <si>
    <t>47.898827 56.631456</t>
  </si>
  <si>
    <t>Россия, Республика Марий Эл, Йошкар-Ола, микрорайон Свердлова</t>
  </si>
  <si>
    <t>47.857539 56.644122</t>
  </si>
  <si>
    <t>Центр медитаций и энергетических практик</t>
  </si>
  <si>
    <t>+7 (969) 778-40-83</t>
  </si>
  <si>
    <t>https://baba-yoga.ru/</t>
  </si>
  <si>
    <t>https://vk.com/babaiyoga</t>
  </si>
  <si>
    <t>+7 (8362) 73-11-80, +7 (8362) 35-15-12, +7 (8362) 30-52-65</t>
  </si>
  <si>
    <t>ТаТа</t>
  </si>
  <si>
    <t>+7 (987) 729-03-20</t>
  </si>
  <si>
    <t>Магазин одежды, Магазин ткани</t>
  </si>
  <si>
    <t>47.852492 56.631298</t>
  </si>
  <si>
    <t>47.898308 56.649995</t>
  </si>
  <si>
    <t>Альфа Трейд</t>
  </si>
  <si>
    <t>Первомайская ул., 179, Йошкар-Ола</t>
  </si>
  <si>
    <t>47.880151 56.628867</t>
  </si>
  <si>
    <t>Платон, платежный терминал</t>
  </si>
  <si>
    <t>8 (800) 550-02-02</t>
  </si>
  <si>
    <t xml:space="preserve">bus2018@td2018.ru </t>
  </si>
  <si>
    <t>http://platon.ru/</t>
  </si>
  <si>
    <t>https://vk.com/platon_ts</t>
  </si>
  <si>
    <t>http://ok.ru/platonsystem</t>
  </si>
  <si>
    <t>https://www.facebook.com/SystemPlaton/</t>
  </si>
  <si>
    <t>Нижнее белье</t>
  </si>
  <si>
    <t>47.855707 56.644315</t>
  </si>
  <si>
    <t>ГК Мечта-2</t>
  </si>
  <si>
    <t>47.846007 56.623912</t>
  </si>
  <si>
    <t>Июль</t>
  </si>
  <si>
    <t>+7 (8362) 65-07-75, +7 (8362) 30-62-72</t>
  </si>
  <si>
    <t>Бар Три толстяка</t>
  </si>
  <si>
    <t>+7 (8362) 63-77-50</t>
  </si>
  <si>
    <t>47.837644 56.635563</t>
  </si>
  <si>
    <t>+7 (987) 708-67-71</t>
  </si>
  <si>
    <t>https://vk.com/clubkoketka12</t>
  </si>
  <si>
    <t>47.881686 56.631008</t>
  </si>
  <si>
    <t>8 (800) 333-22-44, +7 (8362) 41-98-86</t>
  </si>
  <si>
    <t>Автошкола Шумахер</t>
  </si>
  <si>
    <t>+7 (906) 336-26-93</t>
  </si>
  <si>
    <t>https://vk.com/shumaher12rus</t>
  </si>
  <si>
    <t>Союз строителей</t>
  </si>
  <si>
    <t>47.926662 56.640625</t>
  </si>
  <si>
    <t>Республиканский молочный завод</t>
  </si>
  <si>
    <t>47.824168 56.62709</t>
  </si>
  <si>
    <t>На работе</t>
  </si>
  <si>
    <t>47.942173 56.634086</t>
  </si>
  <si>
    <t>Сауна Тихий Угол</t>
  </si>
  <si>
    <t>2-й Луговой пер., 15, Йошкар-Ола</t>
  </si>
  <si>
    <t>+7 (8362) 20-22-22, +7 (8362) 46-92-53</t>
  </si>
  <si>
    <t>+7 (902) 430-22-22</t>
  </si>
  <si>
    <t>47.915455 56.652893</t>
  </si>
  <si>
    <t>Hobby House</t>
  </si>
  <si>
    <t>+7 (902) 124-99-88</t>
  </si>
  <si>
    <t>Нитки, пряжа, Товары для творчества и рукоделия, Швейная фурнитура</t>
  </si>
  <si>
    <t>47.838609 56.64156</t>
  </si>
  <si>
    <t>Best Way</t>
  </si>
  <si>
    <t>+7 (8362) 34-60-97</t>
  </si>
  <si>
    <t>+7 (917) 717-39-50</t>
  </si>
  <si>
    <t>https://vk.com/club149430697</t>
  </si>
  <si>
    <t>Фрезерная резка ЧПУ</t>
  </si>
  <si>
    <t xml:space="preserve">frezer-reklama@inbox.ru  </t>
  </si>
  <si>
    <t>http://cnc-milling.ru/</t>
  </si>
  <si>
    <t>47.933406 56.632076</t>
  </si>
  <si>
    <t>Государственное казённое учреждение культуры Республики Марий Эл Республиканская библиотека для слепых</t>
  </si>
  <si>
    <t>ул. Волкова, 64, Йошкар-Ола</t>
  </si>
  <si>
    <t>+7 (8362) 46-08-25, +7 (8362) 38-00-77</t>
  </si>
  <si>
    <t xml:space="preserve">biblslep12@yandex.ru, informsreda@yandex.ru, biblslep12@mari-el.ru, metod.rbs12@yandex.ru  </t>
  </si>
  <si>
    <t>http://www.rbs12.ru/, http://mincult12.ru/, http://portal.mari.ru/mincult/Pages/rbs.aspx</t>
  </si>
  <si>
    <t>47.90133 56.644718</t>
  </si>
  <si>
    <t>Джим</t>
  </si>
  <si>
    <t>+7 (8362) 32-44-04</t>
  </si>
  <si>
    <t>+7 (960) 093-09-40, +7 (937) 116-31-00</t>
  </si>
  <si>
    <t>https://автошколаджим.рф/</t>
  </si>
  <si>
    <t>https://vk.com/jimschool</t>
  </si>
  <si>
    <t>https://instagram.com/jimschool?igshid=16m23r22o5tw</t>
  </si>
  <si>
    <t>47.914905 56.636312</t>
  </si>
  <si>
    <t>Республиканская клиническая больница, отделение функциональной диагностики</t>
  </si>
  <si>
    <t>+7 (8362) 46-04-35, +7 (8362) 68-94-93</t>
  </si>
  <si>
    <t>Дома из бревна</t>
  </si>
  <si>
    <t>+7 (8362) 96-37-61</t>
  </si>
  <si>
    <t>+7 (987) 719-67-77</t>
  </si>
  <si>
    <t xml:space="preserve">admin@website.ru, akcept2005@mail.ru  </t>
  </si>
  <si>
    <t>http://ekodom12.ru/</t>
  </si>
  <si>
    <t>Пиломатериалы, Строительство дачных домов и коттеджей</t>
  </si>
  <si>
    <t>Геоиз 2</t>
  </si>
  <si>
    <t>ул. Эшкинина, 8, Йошкар-Ола</t>
  </si>
  <si>
    <t>+7 (8362) 78-00-00</t>
  </si>
  <si>
    <t>47.905483 56.629689</t>
  </si>
  <si>
    <t>Арслан</t>
  </si>
  <si>
    <t>+7 (999) 145-38-76</t>
  </si>
  <si>
    <t xml:space="preserve">mari-arslan@mail.ru, kuklina-10@mail.ru  </t>
  </si>
  <si>
    <t>http://mariarslan.ru/</t>
  </si>
  <si>
    <t>СтудПит</t>
  </si>
  <si>
    <t>47.884464 56.621611</t>
  </si>
  <si>
    <t>+7 (927) 886-40-00</t>
  </si>
  <si>
    <t>https://vk.com/tsk_arena</t>
  </si>
  <si>
    <t>Россия, Республика Марий Эл, Йошкар-Ола, Севастопольский переулок</t>
  </si>
  <si>
    <t>47.946213 56.641451</t>
  </si>
  <si>
    <t>47.885894 56.626974</t>
  </si>
  <si>
    <t>Региональная физкультурная общественная организация Федерация Каратэ Кокусинкай республики Марий Эл</t>
  </si>
  <si>
    <t>+7 (917) 707-36-40</t>
  </si>
  <si>
    <t>АиФ в Марий Эл</t>
  </si>
  <si>
    <t>47.901795 56.645825</t>
  </si>
  <si>
    <t>УК Семерочка</t>
  </si>
  <si>
    <t>Красноармейская ул., 74, Йошкар-Ола</t>
  </si>
  <si>
    <t>+7 (8362) 30-42-79</t>
  </si>
  <si>
    <t xml:space="preserve">zheuk7@mail.ru </t>
  </si>
  <si>
    <t>47.878425 56.644302</t>
  </si>
  <si>
    <t>Детский сад № 40 г. Йошкар-Олы Одуванчик</t>
  </si>
  <si>
    <t>Советская ул., 20А, Йошкар-Ола</t>
  </si>
  <si>
    <t>+7 (8362) 46-00-56, +7 (8362) 45-89-90, +7 (36224) 5-89-90</t>
  </si>
  <si>
    <t>http://edu.mari.ru/mouo-yoshkarola/dou40</t>
  </si>
  <si>
    <t>47.910831 56.649785</t>
  </si>
  <si>
    <t>ул. Карла Маркса, 111, Йошкар-Ола</t>
  </si>
  <si>
    <t>+7 (8362) 44-44-74</t>
  </si>
  <si>
    <t>+7 (917) 706-50-50</t>
  </si>
  <si>
    <t>47.8883 56.621967</t>
  </si>
  <si>
    <t>СППК Возрождение</t>
  </si>
  <si>
    <t>+7 (8362) 41-39-48</t>
  </si>
  <si>
    <t>Магазин продуктов, Производство продуктов питания</t>
  </si>
  <si>
    <t>ул. Лебедева, 57Б, Йошкар-Ола</t>
  </si>
  <si>
    <t>47.935934 56.623402</t>
  </si>
  <si>
    <t>Вкус.ru</t>
  </si>
  <si>
    <t>47.879869 56.627315</t>
  </si>
  <si>
    <t>Тенты Поволжья</t>
  </si>
  <si>
    <t>ул. Якова Эшпая, 124, Йошкар-Ола</t>
  </si>
  <si>
    <t>+7 (987) 520-74-41</t>
  </si>
  <si>
    <t xml:space="preserve">tentoptom2020@gmail.com, 138062@gmail.com  </t>
  </si>
  <si>
    <t>http://www.tent-opt.ru/</t>
  </si>
  <si>
    <t>Автотенты и пологи, Тенты, шатры, навесы</t>
  </si>
  <si>
    <t>47.885133 56.643389</t>
  </si>
  <si>
    <t>Кровля</t>
  </si>
  <si>
    <t>47.839628 56.62692</t>
  </si>
  <si>
    <t>47.907687 56.631217</t>
  </si>
  <si>
    <t>Копировальный центр, Магазин канцтоваров</t>
  </si>
  <si>
    <t>Твой</t>
  </si>
  <si>
    <t>47.92479 56.639852</t>
  </si>
  <si>
    <t>Касса по продаже билетов</t>
  </si>
  <si>
    <t xml:space="preserve">21pegas21@mail.ru, 21pegas21.buh@mail.ru  </t>
  </si>
  <si>
    <t>http://pegas21.ru/</t>
  </si>
  <si>
    <t>Автотовары</t>
  </si>
  <si>
    <t>+7 (8362) 36-60-55</t>
  </si>
  <si>
    <t>+7 (927) 881-77-78</t>
  </si>
  <si>
    <t>Автоаксессуары, Автокосметика, автохимия, Магазин автозапчастей и автотоваров, Смазочные материалы</t>
  </si>
  <si>
    <t>пн-пт 08:30–18:00; сб 09:30–14:00</t>
  </si>
  <si>
    <t>https://vk.com/avtomasla_yola</t>
  </si>
  <si>
    <t>47.864065 56.651021</t>
  </si>
  <si>
    <t>Клик Маркет</t>
  </si>
  <si>
    <t xml:space="preserve">kmarket12@yandex.ru, redaktor@myclickmarket.ru  </t>
  </si>
  <si>
    <t>http://kmarket12.ru/</t>
  </si>
  <si>
    <t>ул. Васильева, 1/2, Йошкар-Ола</t>
  </si>
  <si>
    <t>47.833223 56.636674</t>
  </si>
  <si>
    <t>Совёнок</t>
  </si>
  <si>
    <t>+7 (917) 708-79-65</t>
  </si>
  <si>
    <t>47.927041 56.631695</t>
  </si>
  <si>
    <t>47.944335 56.622039</t>
  </si>
  <si>
    <t>Benefit</t>
  </si>
  <si>
    <t>СПСР-экспресс</t>
  </si>
  <si>
    <t>+7 (987) 709-58-54, +7 (987) 719-86-91</t>
  </si>
  <si>
    <t>http://www.spsr.ru/</t>
  </si>
  <si>
    <t>Курьерские услуги, Почтовое отделение</t>
  </si>
  <si>
    <t>Россия, Республика Марий Эл, Йошкар-Ола, 2-й проезд Олега Кошевого</t>
  </si>
  <si>
    <t>47.943221 56.643312</t>
  </si>
  <si>
    <t>+7 (987) 707-24-54, +7 (902) 465-42-07</t>
  </si>
  <si>
    <t>https://bk12.ru/</t>
  </si>
  <si>
    <t>https://vk.com/club193034059</t>
  </si>
  <si>
    <t>47.874397 56.63048</t>
  </si>
  <si>
    <t>Марийская бумажная компания</t>
  </si>
  <si>
    <t>ул. Ломоносова, 2, корп. 1, Йошкар-Ола</t>
  </si>
  <si>
    <t>+7 (8362) 50-10-74</t>
  </si>
  <si>
    <t>47.88446 56.634956</t>
  </si>
  <si>
    <t>Грузчики + Авто</t>
  </si>
  <si>
    <t>+7 (902) 433-22-47</t>
  </si>
  <si>
    <t>https://vk.com/public83722345</t>
  </si>
  <si>
    <t>HESSEN</t>
  </si>
  <si>
    <t>+7 (8362) 38-50-03, +7 (8362) 38-35-38</t>
  </si>
  <si>
    <t xml:space="preserve">info@h-essen.ru, g4836@yandex.ru </t>
  </si>
  <si>
    <t>47.870118 56.611807</t>
  </si>
  <si>
    <t>ул. Воинов-Интернационалистов, 23А, Йошкар-Ола</t>
  </si>
  <si>
    <t>пн-пт 09:30–19:30; сб,вс 10:00–17:00</t>
  </si>
  <si>
    <t>47.926861 56.634111</t>
  </si>
  <si>
    <t>пт,сб 19:00–06:00</t>
  </si>
  <si>
    <t>47.834325 56.642444</t>
  </si>
  <si>
    <t>Транстахограф</t>
  </si>
  <si>
    <t>ул. Пархоменко, 4А, Йошкар-Ола</t>
  </si>
  <si>
    <t>+7 (8362) 52-48-48</t>
  </si>
  <si>
    <t>GPS-навигаторы</t>
  </si>
  <si>
    <t>47.879163 56.631575</t>
  </si>
  <si>
    <t>Доктор GSM</t>
  </si>
  <si>
    <t>+7 (8362) 77-78-88</t>
  </si>
  <si>
    <t>пн-пт 10:00–18:30; сб,вс 10:00–18:00</t>
  </si>
  <si>
    <t>47.832088 56.636872</t>
  </si>
  <si>
    <t>Ксерокс</t>
  </si>
  <si>
    <t>47.840755 56.635265</t>
  </si>
  <si>
    <t>Ателье по ремонту одежды</t>
  </si>
  <si>
    <t>Ателье по пошиву одежды, Нитки, пряжа, Швейная фурнитура, Шторы, карнизы</t>
  </si>
  <si>
    <t>Мебель Сити</t>
  </si>
  <si>
    <t>+7 (8362) 31-40-61</t>
  </si>
  <si>
    <t>+7 (917) 071-40-61</t>
  </si>
  <si>
    <t>Детская мебель, Корпусная мебель, Магазин мебели, Мебель для кухни, Мягкая мебель</t>
  </si>
  <si>
    <t>47.941249 56.631313</t>
  </si>
  <si>
    <t>Светлое и темное</t>
  </si>
  <si>
    <t>+7 (987) 729-19-44</t>
  </si>
  <si>
    <t>АльтерКом</t>
  </si>
  <si>
    <t>+7 (8362) 39-01-39</t>
  </si>
  <si>
    <t>+7 (937) 939-01-39, +7 (937) 114-07-77</t>
  </si>
  <si>
    <t xml:space="preserve">alter-kom@mail.ru  </t>
  </si>
  <si>
    <t>https://vk.link/alterkom12</t>
  </si>
  <si>
    <t>Антенны, Сетевое оборудование, Системы безопасности и охраны</t>
  </si>
  <si>
    <t>https://vk.com/alterkom12</t>
  </si>
  <si>
    <t>https://www.instagram.com/alterkom_yo</t>
  </si>
  <si>
    <t>47.946894 56.634241</t>
  </si>
  <si>
    <t>АКН Капитал</t>
  </si>
  <si>
    <t>+7 (8362) 45-30-37, +7 (8362) 33-32-60, +7 (8362) 31-26-46</t>
  </si>
  <si>
    <t>+7 (917) 071-26-46</t>
  </si>
  <si>
    <t>+7 (8362) 45-30-37</t>
  </si>
  <si>
    <t xml:space="preserve">info@capital-region.ru  </t>
  </si>
  <si>
    <t>http://www.capital-region.ru/</t>
  </si>
  <si>
    <t>https://vk.com/capital_region_ru</t>
  </si>
  <si>
    <t>http://twitter.com/aknkapital</t>
  </si>
  <si>
    <t>http://facebook.com/aknkapital</t>
  </si>
  <si>
    <t>http://instagram.com/aknkapital</t>
  </si>
  <si>
    <t>47.870313 56.625121</t>
  </si>
  <si>
    <t>47.820298 56.627116</t>
  </si>
  <si>
    <t>Грузчики Йошкар-Ола</t>
  </si>
  <si>
    <t>Переезды</t>
  </si>
  <si>
    <t>Первый Визовый центр</t>
  </si>
  <si>
    <t>+7 (937) 111-18-30</t>
  </si>
  <si>
    <t xml:space="preserve">partner@visa-prosto.com  </t>
  </si>
  <si>
    <t>http://visa-rf.ru/i_ola/?utm_source=yandmap</t>
  </si>
  <si>
    <t>Железнодорожные и авиабилеты, Помощь в оформлении виз и загранпаспортов, Турагентство</t>
  </si>
  <si>
    <t>пн-пт 10:00–17:00; сб 10:00–12:00</t>
  </si>
  <si>
    <t>https://www.instagram.com/visaprosto.ioshkarola/</t>
  </si>
  <si>
    <t>47.884864 56.642913</t>
  </si>
  <si>
    <t>Ботанический</t>
  </si>
  <si>
    <t>+7 (8362) 32-46-10</t>
  </si>
  <si>
    <t>Магазин семян, Магазин цветов, Садовый центр</t>
  </si>
  <si>
    <t>вт,ср 09:30–18:30; чт 09:30–17:30; пт 09:30–18:30; сб 10:00–14:00</t>
  </si>
  <si>
    <t>47.89438 56.631122</t>
  </si>
  <si>
    <t>47.968917 56.610831</t>
  </si>
  <si>
    <t>Шить просто</t>
  </si>
  <si>
    <t>Leto cafe</t>
  </si>
  <si>
    <t>47.889619 56.638716</t>
  </si>
  <si>
    <t>Спектр-м</t>
  </si>
  <si>
    <t>+7 (8362) 63-01-11, +7 (8362) 45-66-99</t>
  </si>
  <si>
    <t xml:space="preserve">levit_gsm@mail.ru  </t>
  </si>
  <si>
    <t>http://spectr12.ru/, http://www.okna-spectr.ru/</t>
  </si>
  <si>
    <t>47.878992 56.636659</t>
  </si>
  <si>
    <t>пн-пт 07:00–18:00; сб 08:00–13:00</t>
  </si>
  <si>
    <t>47.870755 56.640939</t>
  </si>
  <si>
    <t>Строй Гарант Эл</t>
  </si>
  <si>
    <t>+7 (8362) 45-74-00</t>
  </si>
  <si>
    <t>+7 (927) 884-19-99, +7 (917) 714-33-03</t>
  </si>
  <si>
    <t>Шахматный клуб</t>
  </si>
  <si>
    <t xml:space="preserve">esavatkov@yandex.ru  </t>
  </si>
  <si>
    <t>https://marichess.ru/</t>
  </si>
  <si>
    <t>ср-пт 17:00–21:00; сб,вс 15:00–20:00</t>
  </si>
  <si>
    <t>https://vk.com/mari_el_chess</t>
  </si>
  <si>
    <t>Сантехмаркет плюс</t>
  </si>
  <si>
    <t>+7 (927) 844-03-92</t>
  </si>
  <si>
    <t>https://сантехмаркет21.рф/</t>
  </si>
  <si>
    <t>Системы вентиляции, Системы водоснабжения, отопления, канализации, Строительство и монтаж бассейнов, аквапарков</t>
  </si>
  <si>
    <t>47.832231 56.639645</t>
  </si>
  <si>
    <t>Автон Nissan</t>
  </si>
  <si>
    <t>+7 (8362) 38-11-11</t>
  </si>
  <si>
    <t xml:space="preserve">info@nissan12.ru  </t>
  </si>
  <si>
    <t>http://nissan-mariel.ru/</t>
  </si>
  <si>
    <t>https://vk.com/nissanpremer_avto</t>
  </si>
  <si>
    <t>https://www.instagram.com/nissan___12/</t>
  </si>
  <si>
    <t>47.882324 56.605057</t>
  </si>
  <si>
    <t>Рифор</t>
  </si>
  <si>
    <t>http://rifor12.ru/</t>
  </si>
  <si>
    <t>Крепежные изделия, Кровля и кровельные материалы, Пиломатериалы, Строительный магазин, Теплоизоляционные материалы</t>
  </si>
  <si>
    <t>47.935478 56.637708</t>
  </si>
  <si>
    <t>ЛюбитьВино ЛюбитьРыбу</t>
  </si>
  <si>
    <t>+7 (917) 714-26-80</t>
  </si>
  <si>
    <t>https://lovewinefish.ru/</t>
  </si>
  <si>
    <t>Магазин алкогольных напитков, Магазин продуктов, Магазин рыбы и морепродуктов</t>
  </si>
  <si>
    <t>https://www.instagram.com/winefishlove</t>
  </si>
  <si>
    <t>47.89344 56.632709</t>
  </si>
  <si>
    <t>Тысяча запчастей</t>
  </si>
  <si>
    <t>+7 (8362) 30-45-46</t>
  </si>
  <si>
    <t>Автоаксессуары, Автокосметика, автохимия, Автостекла, Магазин автозапчастей и автотоваров, Смазочные материалы</t>
  </si>
  <si>
    <t>47.832244 56.642753</t>
  </si>
  <si>
    <t>47.930533 56.62772</t>
  </si>
  <si>
    <t>Ремонт Одежды</t>
  </si>
  <si>
    <t>ул. Рябинина, 17А, Йошкар-Ола</t>
  </si>
  <si>
    <t>+7 (902) 329-58-26</t>
  </si>
  <si>
    <t>+7 (8362) 92-29-88</t>
  </si>
  <si>
    <t>+7 (902) 672-29-88</t>
  </si>
  <si>
    <t>https://www.instagram.com/922_988/</t>
  </si>
  <si>
    <t>Вскрытие авто</t>
  </si>
  <si>
    <t>+7 (961) 378-00-08</t>
  </si>
  <si>
    <t>Аварийная служба, Автосервис, автотехцентр</t>
  </si>
  <si>
    <t>Bvdshop</t>
  </si>
  <si>
    <t>8 (800) 350-58-18</t>
  </si>
  <si>
    <t>https://bvdshop.ru/, https://bvdshop.ru/kontakty/joshkar-ola</t>
  </si>
  <si>
    <t>Услада - Асония</t>
  </si>
  <si>
    <t>+7 (906) 138-46-98, +7 (937) 934-76-42</t>
  </si>
  <si>
    <t xml:space="preserve">mail@uslada.org, support@uslada.org  </t>
  </si>
  <si>
    <t>http://uslada.org/</t>
  </si>
  <si>
    <t>https://vk.com/club126657770</t>
  </si>
  <si>
    <t>Халва</t>
  </si>
  <si>
    <t>8 (800) 100-81-17</t>
  </si>
  <si>
    <t>https://pochtomat.ru/</t>
  </si>
  <si>
    <t>https://www.instagram.com/halva.pochtomat/</t>
  </si>
  <si>
    <t>Грант</t>
  </si>
  <si>
    <t>+7 (8362) 36-73-27</t>
  </si>
  <si>
    <t>+7 (967) 756-73-27</t>
  </si>
  <si>
    <t>Главный Шаг</t>
  </si>
  <si>
    <t>47.880304 56.638162</t>
  </si>
  <si>
    <t>Стройфинанс</t>
  </si>
  <si>
    <t>Odis-media</t>
  </si>
  <si>
    <t>+7 (8362) 42-09-10</t>
  </si>
  <si>
    <t>47.8848 56.6332</t>
  </si>
  <si>
    <t>47.919999 56.63281</t>
  </si>
  <si>
    <t>ГК № 2</t>
  </si>
  <si>
    <t>ул. Зарубина, 38Б, Йошкар-Ола</t>
  </si>
  <si>
    <t>47.873719 56.634056</t>
  </si>
  <si>
    <t>Трансформаторная подстанция № 231</t>
  </si>
  <si>
    <t>Медицинская ул., 7А, Йошкар-Ола</t>
  </si>
  <si>
    <t>47.963055 56.641619</t>
  </si>
  <si>
    <t>British Club</t>
  </si>
  <si>
    <t>47.883524 56.629483</t>
  </si>
  <si>
    <t>Стальной вариант</t>
  </si>
  <si>
    <t>+7 (917) 705-60-27</t>
  </si>
  <si>
    <t xml:space="preserve">info@steelvariant.ru  </t>
  </si>
  <si>
    <t>https://steelvariant.ru/</t>
  </si>
  <si>
    <t>Лазерная резка и гравировка, Металлообработка, Производственное предприятие</t>
  </si>
  <si>
    <t>Кухни Бамбук</t>
  </si>
  <si>
    <t>ул. Прохорова, 44А/1, Йошкар-Ола</t>
  </si>
  <si>
    <t>+7 (987) 712-67-16</t>
  </si>
  <si>
    <t>47.825836 56.630885</t>
  </si>
  <si>
    <t>Васильева-36, ТСЖ</t>
  </si>
  <si>
    <t>Умный ребенок</t>
  </si>
  <si>
    <t>47.910588 56.630668</t>
  </si>
  <si>
    <t>Цезарь</t>
  </si>
  <si>
    <t>47.892734 56.638753</t>
  </si>
  <si>
    <t>+7 (987) 733-21-73</t>
  </si>
  <si>
    <t xml:space="preserve">inform@yola-mkt.ru, plemzavod@mari-el.ru  </t>
  </si>
  <si>
    <t>пн-сб 08:00–20:00, перерыв 13:00–13:30; вс 08:00–19:30, перерыв 13:00–13:30</t>
  </si>
  <si>
    <t>47.854632 56.645119</t>
  </si>
  <si>
    <t>Многопрофильная компания</t>
  </si>
  <si>
    <t>+7 (927) 683-18-80</t>
  </si>
  <si>
    <t>Одевайка</t>
  </si>
  <si>
    <t>47.835189 56.635224</t>
  </si>
  <si>
    <t>ул. Степана Разина, 59, корп. 1, Йошкар-Ола</t>
  </si>
  <si>
    <t>47.898334 56.618185</t>
  </si>
  <si>
    <t>Детское психиатрическое отделение</t>
  </si>
  <si>
    <t>Больница для взрослых, Детская больница</t>
  </si>
  <si>
    <t>47.963829 56.639169</t>
  </si>
  <si>
    <t>47.922123 56.640181</t>
  </si>
  <si>
    <t>Лакомства для собак Корм для собак в Йошкар-Оле</t>
  </si>
  <si>
    <t>+7 (917) 717-21-79</t>
  </si>
  <si>
    <t xml:space="preserve">.@hordog.ru  </t>
  </si>
  <si>
    <t>http://hordog.ru/</t>
  </si>
  <si>
    <t>http://vk.com/hordog</t>
  </si>
  <si>
    <t>http://instagram.com/hordog.ru</t>
  </si>
  <si>
    <t>47.891706 56.621579</t>
  </si>
  <si>
    <t>Nail art room</t>
  </si>
  <si>
    <t>47.893666 56.640778</t>
  </si>
  <si>
    <t>УралСибМетиз</t>
  </si>
  <si>
    <t>8 (800) 550-15-74</t>
  </si>
  <si>
    <t xml:space="preserve">svarka@uralsibmetiz.ru  </t>
  </si>
  <si>
    <t>https://yoshkar-ola.uralsibmetiz.ru/</t>
  </si>
  <si>
    <t>Крепежные изделия, Металлоизделия, Сварочное оборудование и материалы</t>
  </si>
  <si>
    <t>Приём цветных и черных металлов</t>
  </si>
  <si>
    <t>+7 (902) 101-52-57</t>
  </si>
  <si>
    <t>Прием металлолома</t>
  </si>
  <si>
    <t>https://vk.com/Lomov75</t>
  </si>
  <si>
    <t>47.869937 56.631044</t>
  </si>
  <si>
    <t>ул. Воинов-Интернационалистов, 34А, Йошкар-Ола</t>
  </si>
  <si>
    <t>47.917158 56.637171</t>
  </si>
  <si>
    <t>Медицветик</t>
  </si>
  <si>
    <t>+7 (8362) 65-33-33</t>
  </si>
  <si>
    <t>+7 (902) 325-33-33</t>
  </si>
  <si>
    <t xml:space="preserve">minzdrav@mari-el.ru, rznrme@mail.ru, roszdravnadzor@mari-el.ru, sanepid@12.rospotrebnadzor.ru  </t>
  </si>
  <si>
    <t>http://meditsvetic.ru/</t>
  </si>
  <si>
    <t>Массажный салон, Медцентр, клиника, Оздоровительный центр</t>
  </si>
  <si>
    <t>ВидеоТЕМА</t>
  </si>
  <si>
    <t>ул. Йывана Кырли, 14, Йошкар-Ола</t>
  </si>
  <si>
    <t>47.841595 56.639525</t>
  </si>
  <si>
    <t>Апартаменты на Анциферова 8</t>
  </si>
  <si>
    <t>47.863747 56.64909</t>
  </si>
  <si>
    <t>Вася из Гуанчжоу</t>
  </si>
  <si>
    <t>+7 (937) 111-68-88</t>
  </si>
  <si>
    <t xml:space="preserve">vasya.from@yandex.ru  </t>
  </si>
  <si>
    <t>https://vasya-shavi.com/</t>
  </si>
  <si>
    <t>ежедневно, 11:00–22:00</t>
  </si>
  <si>
    <t>https://www.instagram.com/vasya.from</t>
  </si>
  <si>
    <t>47.899887 56.634014</t>
  </si>
  <si>
    <t>Поволжский государственный технологический университет, Факультет социальных технологий</t>
  </si>
  <si>
    <t>Союзстрой</t>
  </si>
  <si>
    <t>ул. Чернякова, 30, Йошкар-Ола</t>
  </si>
  <si>
    <t>+7 (8362) 72-63-80, +7 (8362) 72-29-07</t>
  </si>
  <si>
    <t xml:space="preserve">info@soyuz-dom.ru </t>
  </si>
  <si>
    <t>http://soyuz-dom.ru/</t>
  </si>
  <si>
    <t>47.820143 56.630322</t>
  </si>
  <si>
    <t>Хороший цвет</t>
  </si>
  <si>
    <t>8 (800) 707-42-30</t>
  </si>
  <si>
    <t xml:space="preserve">sale@goodcolor.ru </t>
  </si>
  <si>
    <t>Лакокрасочные материалы, Магазин хозтоваров и бытовой химии</t>
  </si>
  <si>
    <t>47.908955 56.643719</t>
  </si>
  <si>
    <t>47.82933 56.651112</t>
  </si>
  <si>
    <t>Россия, Республика Марий Эл, Йошкар-Ола, улица Карла Маркса</t>
  </si>
  <si>
    <t>47.894306 56.627506</t>
  </si>
  <si>
    <t>АвтоСпецтехника12</t>
  </si>
  <si>
    <t>Административный корпус ООО Дивизион</t>
  </si>
  <si>
    <t>ул. Машиностроителей, 120, корп. 1, Йошкар-Ола</t>
  </si>
  <si>
    <t>47.830761 56.62891</t>
  </si>
  <si>
    <t>Хлебный дар</t>
  </si>
  <si>
    <t>ул. Подольских Курсантов, 18/1, Йошкар-Ола</t>
  </si>
  <si>
    <t>47.862544 56.649954</t>
  </si>
  <si>
    <t>Магазин носков</t>
  </si>
  <si>
    <t>47.945045 56.622969</t>
  </si>
  <si>
    <t>47.924343 56.626483</t>
  </si>
  <si>
    <t>+7 (8362) 64-83-03, +7 (8362) 64-85-83, +7 (8362) 64-98-69, +7 (8362) 64-95-95</t>
  </si>
  <si>
    <t>пн-пт 08:30–17:00, перерыв 12:30–13:00</t>
  </si>
  <si>
    <t>47.936892 56.637232</t>
  </si>
  <si>
    <t>Ваша обувь</t>
  </si>
  <si>
    <t>+7 (937) 114-45-87</t>
  </si>
  <si>
    <t>вт-пт 10:00–18:00; сб 10:00–16:00</t>
  </si>
  <si>
    <t>Республиканская клиническая больница, отделение программного гемодиализа</t>
  </si>
  <si>
    <t>+7 (8362) 46-02-44, +7 (8362) 68-94-69</t>
  </si>
  <si>
    <t>пн-сб 07:00–19:00</t>
  </si>
  <si>
    <t>Сантан Мебель</t>
  </si>
  <si>
    <t>+7 (919) 419-94-52</t>
  </si>
  <si>
    <t>https://mebel-matras.business.site/?m=true</t>
  </si>
  <si>
    <t>РосАвтоВыкуп - выкуп автомобилей в любом состоянии</t>
  </si>
  <si>
    <t>8 (800) 333-75-78</t>
  </si>
  <si>
    <t>+7 (999) 199-10-11</t>
  </si>
  <si>
    <t xml:space="preserve">ruslanirs@yandex.ru, 79278469005@yandex.ru, rosautovykup@yandex.ru  </t>
  </si>
  <si>
    <t>https://yoshkar-ola.rosautovykup.ru/</t>
  </si>
  <si>
    <t>47.871105 56.645851</t>
  </si>
  <si>
    <t>Студия Слуха</t>
  </si>
  <si>
    <t>+7 (8362) 31-63-00, +7 (495) 221-64-41</t>
  </si>
  <si>
    <t>+7 (917) 071-63-00</t>
  </si>
  <si>
    <t xml:space="preserve">info@ssluha.ru  </t>
  </si>
  <si>
    <t>https://www.ssluha.ru/</t>
  </si>
  <si>
    <t>Диагностический центр, Медицинское оборудование, медтехника, Слуховые аппараты</t>
  </si>
  <si>
    <t>вт-пт 09:00–18:00, перерыв 13:00–14:00; сб 09:00–14:00</t>
  </si>
  <si>
    <t>https://vk.com/ssluha</t>
  </si>
  <si>
    <t>https://www.facebook.com/ssluha</t>
  </si>
  <si>
    <t>47.880336 56.627085</t>
  </si>
  <si>
    <t>Автоленд12</t>
  </si>
  <si>
    <t>+7 (8362) 32-31-63</t>
  </si>
  <si>
    <t>+7 (927) 882-31-63, +7 (937) 936-22-23</t>
  </si>
  <si>
    <t>пн-пт 09:30–19:00; сб 10:00–15:00</t>
  </si>
  <si>
    <t>47.846129 56.638779</t>
  </si>
  <si>
    <t>+7 (902) 745-74-24, +7 (967) 759-06-09</t>
  </si>
  <si>
    <t>47.892161 56.638797</t>
  </si>
  <si>
    <t>Котофей</t>
  </si>
  <si>
    <t>47.856063 56.650639</t>
  </si>
  <si>
    <t>ЦирюльникЪ</t>
  </si>
  <si>
    <t>+7 (8362) 32-03-55</t>
  </si>
  <si>
    <t xml:space="preserve">z9229110548@yandex.ru, 2170202@bk.ru  </t>
  </si>
  <si>
    <t>http://salon-hair.ru/</t>
  </si>
  <si>
    <t>https://vk.com/cirulnik12</t>
  </si>
  <si>
    <t>https://www.instagram.com/cirulnik12</t>
  </si>
  <si>
    <t>47.923866 56.634532</t>
  </si>
  <si>
    <t>Pohjanmaan</t>
  </si>
  <si>
    <t>+7 (902) 435-22-20</t>
  </si>
  <si>
    <t xml:space="preserve">ekburg.11@pohjanmaan.ru, russia@pohjanmaan.ru, 26726@inbox.ru, nnovgorod.om@pohjanmaan.ru, blog@pohjanmaan.ru  </t>
  </si>
  <si>
    <t>https://pohjanmaan.ru/, http://www.fin-divan.ru/, http://www.pohjanmaan.ru/places?city=19</t>
  </si>
  <si>
    <t>https://vk.com/pohjanmaan</t>
  </si>
  <si>
    <t>https://www.facebook.com/pohjanmaan.ru</t>
  </si>
  <si>
    <t>http://www.instagram.com/pohjanmaan.ru/</t>
  </si>
  <si>
    <t>47.883279 56.620259</t>
  </si>
  <si>
    <t>+7 (987) 723-13-33, +7 (917) 714-08-10</t>
  </si>
  <si>
    <t>Магазин посуды, Магазин сантехники, Магазин хозтоваров и бытовой химии, Светотехника, Строительный инструмент</t>
  </si>
  <si>
    <t>47.897859 56.650307</t>
  </si>
  <si>
    <t>Placestart Йошкар-Ола</t>
  </si>
  <si>
    <t>8 (800) 777-02-53</t>
  </si>
  <si>
    <t xml:space="preserve">info@place-start.ru, support@place-start.ru, job@place-start.ru  </t>
  </si>
  <si>
    <t>https://yoshkar-ola.place-start.ru/kontakty/</t>
  </si>
  <si>
    <t>Станция</t>
  </si>
  <si>
    <t>+7 (8362) 32-50-50</t>
  </si>
  <si>
    <t>https://vk.com/yostation</t>
  </si>
  <si>
    <t>47.891698 56.629978</t>
  </si>
  <si>
    <t>Мидас</t>
  </si>
  <si>
    <t>Like apple</t>
  </si>
  <si>
    <t>+7 (902) 100-99-91, +7 (902) 100-25-22</t>
  </si>
  <si>
    <t>Салон связи, Товары для мобильных телефонов</t>
  </si>
  <si>
    <t>https://vk.com/id499796328</t>
  </si>
  <si>
    <t>Йошкар-Ола. геология.org</t>
  </si>
  <si>
    <t>+7 (958) 581-51-34</t>
  </si>
  <si>
    <t>47.830348 56.637174</t>
  </si>
  <si>
    <t>Аркуда</t>
  </si>
  <si>
    <t>Арматура 12</t>
  </si>
  <si>
    <t>https://www.instagram.com/armatura_12/</t>
  </si>
  <si>
    <t>47.873872 56.638345</t>
  </si>
  <si>
    <t>Автокондиционеры</t>
  </si>
  <si>
    <t>+7 (8362) 44-44-74, +7 (8362) 94-39-36</t>
  </si>
  <si>
    <t>+7 (917) 706-50-50, +7 (902) 744-44-74</t>
  </si>
  <si>
    <t>пн-пт 09:00–20:00; сб 09:00–17:00</t>
  </si>
  <si>
    <t>47.889412 56.622444</t>
  </si>
  <si>
    <t>+7 (8362) 29-92-55</t>
  </si>
  <si>
    <t>Автоэкспертиза, оценка автомобилей, Адвокаты, Юридические услуги</t>
  </si>
  <si>
    <t>https://vk.com/public169504406</t>
  </si>
  <si>
    <t>47.884379 56.637188</t>
  </si>
  <si>
    <t>Магазин постельных принадлежностей, Магазин ткани, Текстильная компания, Трикотаж, трикотажные изделия</t>
  </si>
  <si>
    <t>47.943683 56.634278</t>
  </si>
  <si>
    <t>Абонентский отдел</t>
  </si>
  <si>
    <t>Отделение реабилитации</t>
  </si>
  <si>
    <t>Больница для взрослых, Детская больница, Медицинская реабилитация</t>
  </si>
  <si>
    <t>Радиан</t>
  </si>
  <si>
    <t>бул. Данилова, 10, Йошкар-Ола</t>
  </si>
  <si>
    <t>+7 (8362) 56-24-73</t>
  </si>
  <si>
    <t>47.949914 56.628778</t>
  </si>
  <si>
    <t>У Федота</t>
  </si>
  <si>
    <t>ул. Серова, 128, Йошкар-Ола</t>
  </si>
  <si>
    <t>+7 (904) 724-22-38, +7 (917) 707-29-24</t>
  </si>
  <si>
    <t xml:space="preserve">tatyana@yolaarenda.ru </t>
  </si>
  <si>
    <t>47.876751 56.656496</t>
  </si>
  <si>
    <t>Астарта</t>
  </si>
  <si>
    <t>Магазин верхней одежды</t>
  </si>
  <si>
    <t>Первый поезд</t>
  </si>
  <si>
    <t>+7 (964) 863-80-43, +7 (937) 939-72-76</t>
  </si>
  <si>
    <t>47.878807 56.62094</t>
  </si>
  <si>
    <t>СИВ-Строй</t>
  </si>
  <si>
    <t>+7 (8362) 64-99-57</t>
  </si>
  <si>
    <t xml:space="preserve">order@siv-stroy.ru, info@siv-stroy.ru  </t>
  </si>
  <si>
    <t>http://siv-stroy.ru/</t>
  </si>
  <si>
    <t>47.870335 56.637865</t>
  </si>
  <si>
    <t>Соня</t>
  </si>
  <si>
    <t>+7 (987) 710-39-38</t>
  </si>
  <si>
    <t>http://msonya.ru/</t>
  </si>
  <si>
    <t>Магазин постельных принадлежностей, Магазин ткани</t>
  </si>
  <si>
    <t>пн-пт 10:00–18:30; сб 10:00–16:00; вс 10:00–14:00</t>
  </si>
  <si>
    <t>Ozon</t>
  </si>
  <si>
    <t>бул. 70-летия Победы в Великой Отечественной войне, 8, Йошкар-Ола</t>
  </si>
  <si>
    <t>+7 (987) 553-93-37</t>
  </si>
  <si>
    <t xml:space="preserve">help@ozon.ru, u003ehelp@ozon.ru, referral@ozon.ru  </t>
  </si>
  <si>
    <t>https://www.ozon.ru/geo/?areaId=18559u0026pointId=83912</t>
  </si>
  <si>
    <t>https://vk.com/club193142479</t>
  </si>
  <si>
    <t>https://ok.ru/group/58756834001141</t>
  </si>
  <si>
    <t>https://www.facebook.com/Ozon-NN-111968963767275</t>
  </si>
  <si>
    <t>https://www.instagram.com/ozonagent</t>
  </si>
  <si>
    <t>47.918042 56.64102</t>
  </si>
  <si>
    <t>Трудный возраст</t>
  </si>
  <si>
    <t>+7 (917) 706-13-73</t>
  </si>
  <si>
    <t>https://trudniyvozrast.ru/</t>
  </si>
  <si>
    <t>Психологическая служба, Семейное консультирование, Тренинги</t>
  </si>
  <si>
    <t>https://vk.com/trudnyiwozrast</t>
  </si>
  <si>
    <t>Дорожное радио</t>
  </si>
  <si>
    <t>47.870962 56.636091</t>
  </si>
  <si>
    <t>Irbis</t>
  </si>
  <si>
    <t>8 (800) 500-53-30</t>
  </si>
  <si>
    <t xml:space="preserve">smart@azsirbis.ru, u003esmart@azsirbis.ru, card@azsirbis.ru, secretar@azsirbis.ru  </t>
  </si>
  <si>
    <t>http://www.tranzit-city.com/, http://www.azsirbis.ru/</t>
  </si>
  <si>
    <t>АЗС, Магазин продуктов</t>
  </si>
  <si>
    <t>https://vk.com/azsirbis</t>
  </si>
  <si>
    <t>https://www.facebook.com/azsirbis</t>
  </si>
  <si>
    <t>https://www.instagram.com/azs_irbis</t>
  </si>
  <si>
    <t>47.838219 56.633096</t>
  </si>
  <si>
    <t>Магазин постельных принадлежностей, Трикотаж, трикотажные изделия</t>
  </si>
  <si>
    <t>47.867688 56.637416</t>
  </si>
  <si>
    <t>Куратор</t>
  </si>
  <si>
    <t>Красноармейская ул., 43Б, Йошкар-Ола</t>
  </si>
  <si>
    <t>8 (800) 551-66-12</t>
  </si>
  <si>
    <t xml:space="preserve">info@kuratorteam.ru  </t>
  </si>
  <si>
    <t>https://joshkar-ola.kuratorteam.ru/</t>
  </si>
  <si>
    <t>47.894048 56.640194</t>
  </si>
  <si>
    <t>Авто</t>
  </si>
  <si>
    <t>8 (800) 500-15-09</t>
  </si>
  <si>
    <t xml:space="preserve">bitronic@mail.ru, 2774080@bk.ru  </t>
  </si>
  <si>
    <t>http://www.5koles.me/</t>
  </si>
  <si>
    <t>https://vk.com/polnotovaru</t>
  </si>
  <si>
    <t>Турецкая ярмарка</t>
  </si>
  <si>
    <t>47.920039 56.632772</t>
  </si>
  <si>
    <t>Граница</t>
  </si>
  <si>
    <t>+7 (987) 713-48-89</t>
  </si>
  <si>
    <t>Виноград</t>
  </si>
  <si>
    <t>47.829842 56.637354</t>
  </si>
  <si>
    <t>МигКредит</t>
  </si>
  <si>
    <t>8 (800) 100-34-96</t>
  </si>
  <si>
    <t xml:space="preserve">marketing@migcredit.ru, support@0-12.ru </t>
  </si>
  <si>
    <t>https://migcredit.ru/dengi3/?aid=276u0026lid=1u0026tid=Kartochkau0026utm_campaign=Ioshkar_Olau0026utm_content=Kartochkau0026utm_medium=cpmu0026utm_source=yandex_geou0026utm_term=geoservisiu0026wmid=Йошкар_Ола</t>
  </si>
  <si>
    <t>Автоломбард, Микрофинансирование</t>
  </si>
  <si>
    <t>https://vk.com/migcredit</t>
  </si>
  <si>
    <t>https://www.facebook.com/MigCredit</t>
  </si>
  <si>
    <t>Автосервис Energy</t>
  </si>
  <si>
    <t>ул. Павленко, 74А, Йошкар-Ола</t>
  </si>
  <si>
    <t>+7 (987) 716-30-00</t>
  </si>
  <si>
    <t>47.934867 56.635437</t>
  </si>
  <si>
    <t>+7 (960) 097-53-03</t>
  </si>
  <si>
    <t>http://www.instagram.com/mebel_city_yoshkar_ola</t>
  </si>
  <si>
    <t>47.925631 56.634294</t>
  </si>
  <si>
    <t>Шахматы</t>
  </si>
  <si>
    <t>47.869321 56.640086</t>
  </si>
  <si>
    <t>Медицинский диагностический центр Резонанс</t>
  </si>
  <si>
    <t>ул. Карла Либкнехта, 106В, Йошкар-Ола</t>
  </si>
  <si>
    <t>+7 (8362) 34-84-35, +7 (8362) 34-84-34</t>
  </si>
  <si>
    <t xml:space="preserve">info@mrigroup.ru  </t>
  </si>
  <si>
    <t>http://mrtola.ru/</t>
  </si>
  <si>
    <t>Диагностический центр, Магниты и магнитные системы, Оздоровительный центр</t>
  </si>
  <si>
    <t>47.871716 56.646178</t>
  </si>
  <si>
    <t>Ассорти</t>
  </si>
  <si>
    <t>47.885267 56.643108</t>
  </si>
  <si>
    <t>https://vk.com/for_kids_yo</t>
  </si>
  <si>
    <t>47.913757 56.634516</t>
  </si>
  <si>
    <t>Магазин женской одежды</t>
  </si>
  <si>
    <t>47.867188 56.63757</t>
  </si>
  <si>
    <t>Центр здоровья Эго</t>
  </si>
  <si>
    <t>47.900778 56.638885</t>
  </si>
  <si>
    <t>+7 (8362) 20-99-33, +7 (8362) 54-25-25</t>
  </si>
  <si>
    <t>+7 (960) 094-81-18, +7 (902) 430-99-33</t>
  </si>
  <si>
    <t>http://sauna-vanezia.ru/</t>
  </si>
  <si>
    <t>http://vk.com/sauna_venezia</t>
  </si>
  <si>
    <t>47.86173 56.62048</t>
  </si>
  <si>
    <t>Россия, Республика Марий Эл, Йошкар-Ола, улица Петрова</t>
  </si>
  <si>
    <t>47.924965 56.640639</t>
  </si>
  <si>
    <t>Магазин салютов</t>
  </si>
  <si>
    <t>http://йошкар-ола.цветной-дым.рф/salut/</t>
  </si>
  <si>
    <t>Товары для праздника, Фейерверки и пиротехника</t>
  </si>
  <si>
    <t>FreshTime</t>
  </si>
  <si>
    <t>Антикафе</t>
  </si>
  <si>
    <t>пн-чт 14:00–21:00; пт-вс 11:00–22:00</t>
  </si>
  <si>
    <t>47.863373 56.641991</t>
  </si>
  <si>
    <t>47.940238 56.632656</t>
  </si>
  <si>
    <t>47.946753 56.637295</t>
  </si>
  <si>
    <t>Жалюзи WinLee</t>
  </si>
  <si>
    <t>8 (800) 555-12-60</t>
  </si>
  <si>
    <t>https://йошкар-ола.жалюзи.орг/</t>
  </si>
  <si>
    <t>Жалюзи и рулонные шторы, Рольставни, Шторы, карнизы</t>
  </si>
  <si>
    <t>Auto Help</t>
  </si>
  <si>
    <t>+7 (8362) 27-28-50</t>
  </si>
  <si>
    <t>47.9435 56.636273</t>
  </si>
  <si>
    <t>+7 (8362) 34-77-20, +7 (8362) 33-74-51, +7 (8362) 34-77-10</t>
  </si>
  <si>
    <t>47.951084 56.639511</t>
  </si>
  <si>
    <t>Крепежные изделия, Светотехника, Электромонтажные и электроустановочные изделия</t>
  </si>
  <si>
    <t>47.856247 56.650617</t>
  </si>
  <si>
    <t>Alpha omega</t>
  </si>
  <si>
    <t>https://vk.com/alphasomega</t>
  </si>
  <si>
    <t xml:space="preserve">sernur@lukoz.ru, taras@kozi.ru, kg@kozi.ru, uu@lukoz.ru, bei@lukoz.ru  </t>
  </si>
  <si>
    <t>http://www.kozi.ru/</t>
  </si>
  <si>
    <t>https://vk.com/kozi12</t>
  </si>
  <si>
    <t>https://www.facebook.com/lukoz12</t>
  </si>
  <si>
    <t>https://www.instagram.com/ssz_lukoz</t>
  </si>
  <si>
    <t>47.925018 56.634584</t>
  </si>
  <si>
    <t>Терминал</t>
  </si>
  <si>
    <t>ул. Луначарского, 22, Йошкар-Ола</t>
  </si>
  <si>
    <t>+7 (8362) 48-30-70, +7 (8362) 54-75-47</t>
  </si>
  <si>
    <t>Бетон, бетонные изделия, ЖБИ</t>
  </si>
  <si>
    <t>47.911268 56.613341</t>
  </si>
  <si>
    <t>47.928231 56.634589</t>
  </si>
  <si>
    <t>Канцелярские товары</t>
  </si>
  <si>
    <t>Детские игрушки и игры, Магазин канцтоваров</t>
  </si>
  <si>
    <t>47.833077 56.636773</t>
  </si>
  <si>
    <t>Альянс-Авто Официальный дилер Mitsubishi</t>
  </si>
  <si>
    <t xml:space="preserve">info@mm-auto.ru  </t>
  </si>
  <si>
    <t>https://mitsubishi12.ru/</t>
  </si>
  <si>
    <t>Автосалон, Автосервис, автотехцентр, Кузовной ремонт</t>
  </si>
  <si>
    <t>https://vk.com/mitsubishi12</t>
  </si>
  <si>
    <t>https://www.instagram.com/mitsubishi.12/</t>
  </si>
  <si>
    <t>47.882001 56.60493</t>
  </si>
  <si>
    <t>Доктор Лоскутов</t>
  </si>
  <si>
    <t>Воскресенский просп., 3, Йошкар-Ола</t>
  </si>
  <si>
    <t>+7 (937) 930-34-63</t>
  </si>
  <si>
    <t>47.91673 56.641732</t>
  </si>
  <si>
    <t>Магазин мяса, колбас, Молочный магазин</t>
  </si>
  <si>
    <t>47.879465 56.63297</t>
  </si>
  <si>
    <t>ул. Тургенева, 28, Йошкар-Ола</t>
  </si>
  <si>
    <t>47.867797 56.624757</t>
  </si>
  <si>
    <t>Россия, Республика Марий Эл, Йошкар-Ола, улица Павленко</t>
  </si>
  <si>
    <t>47.941249 56.63182</t>
  </si>
  <si>
    <t>47.845463 56.64104</t>
  </si>
  <si>
    <t>Компьютерный центр Print</t>
  </si>
  <si>
    <t>+7 (8362) 68-26-05</t>
  </si>
  <si>
    <t xml:space="preserve">iecafe@mail.ru  </t>
  </si>
  <si>
    <t>https://vk.com/kcprint</t>
  </si>
  <si>
    <t>https://www.instagram.com/kcprint_12/</t>
  </si>
  <si>
    <t>47.888278 56.633763</t>
  </si>
  <si>
    <t>Соблазн</t>
  </si>
  <si>
    <t>47.874382 56.636991</t>
  </si>
  <si>
    <t>47.893429 56.638989</t>
  </si>
  <si>
    <t>Кировский трикотаж</t>
  </si>
  <si>
    <t>47.881842 56.630907</t>
  </si>
  <si>
    <t>Винил12</t>
  </si>
  <si>
    <t>ул. Логинова, 8, Йошкар-Ола</t>
  </si>
  <si>
    <t>+7 (967) 757-06-87</t>
  </si>
  <si>
    <t>47.875327 56.633828</t>
  </si>
  <si>
    <t>Свадебный дом</t>
  </si>
  <si>
    <t>Кокшайский пр., 1, Йошкар-Ола</t>
  </si>
  <si>
    <t>+7 (987) 710-90-90, +7 (902) 465-87-01</t>
  </si>
  <si>
    <t>47.883753 56.621994</t>
  </si>
  <si>
    <t>Lounge 3D Cinema</t>
  </si>
  <si>
    <t>+7 (8362) 32-36-32, +7 (843) 247-77-27</t>
  </si>
  <si>
    <t xml:space="preserve">info@lounge3d.ru  </t>
  </si>
  <si>
    <t>пн-чт 15:00–04:00; пт-вс 15:00–06:00</t>
  </si>
  <si>
    <t>https://vk.com/lounge_cinema</t>
  </si>
  <si>
    <t>https://www.instagram.com/lounge3d.ru</t>
  </si>
  <si>
    <t>47.923376 56.635507</t>
  </si>
  <si>
    <t>Россия, Республика Марий Эл, Йошкар-Ола, улица Пирогова</t>
  </si>
  <si>
    <t>47.853264 56.632398</t>
  </si>
  <si>
    <t>Пассажирские перевозки-город</t>
  </si>
  <si>
    <t>+7 (8362) 73-00-21, +7 (8362) 73-84-69</t>
  </si>
  <si>
    <t>Экзерсис</t>
  </si>
  <si>
    <t>Творческий коллектив, Школа танцев</t>
  </si>
  <si>
    <t>Информ-Траст</t>
  </si>
  <si>
    <t>47.896624 56.628462</t>
  </si>
  <si>
    <t>47.83069 56.625386</t>
  </si>
  <si>
    <t>47.864432 56.646034</t>
  </si>
  <si>
    <t>47.951848 56.640011</t>
  </si>
  <si>
    <t>Ангелочек</t>
  </si>
  <si>
    <t>47.843178 56.641899</t>
  </si>
  <si>
    <t>AMAKids</t>
  </si>
  <si>
    <t>8 (800) 500-39-79, +7 (8362) 39-17-00, +7 (495) 120-39-79</t>
  </si>
  <si>
    <t>+7 (937) 939-17-00</t>
  </si>
  <si>
    <t xml:space="preserve">14370afcdc17429f9e418d5ffbd0334a@sentry.wixpress.com, detvora.dosug@mail.ru, wixofday@wix.com  </t>
  </si>
  <si>
    <t>http://amakids.ru/, https://t.me/amakids_rus, https://yoshkar_ola.amakids.ru/, https://yoshkar_ola.amakids.ru/contacts/yoshkar_ola/ul-petrova-2a/</t>
  </si>
  <si>
    <t>https://vk.com/amakids</t>
  </si>
  <si>
    <t>https://ok.ru/group/55388097085456</t>
  </si>
  <si>
    <t>https://www.facebook.com/amakidscenter/</t>
  </si>
  <si>
    <t>https://www.youtube.com/channel/UCzwXzL3D8BwUzTre-_-o-RA</t>
  </si>
  <si>
    <t>Платежный терминал, банк Йошкар-Ола, ПАО</t>
  </si>
  <si>
    <t>Пантера Плюс</t>
  </si>
  <si>
    <t>+7 (8362) 71-01-01, +7 (8362) 99-40-44</t>
  </si>
  <si>
    <t>+7 (917) 700-66-44, +7 (927) 874-48-65</t>
  </si>
  <si>
    <t xml:space="preserve">avto-pantera12@bk.ru, avto_pantera12@bk.ru, panteraplus_edu@mail.ru  </t>
  </si>
  <si>
    <t>http://avtopantera12.ru/, http://www.pantera-edu.ru/</t>
  </si>
  <si>
    <t>Автошкола, Дополнительное образование, Школа охраны</t>
  </si>
  <si>
    <t>https://vk.com/avtopantera12</t>
  </si>
  <si>
    <t>https://www.instagram.com/avtopantera/</t>
  </si>
  <si>
    <t>47.887849 56.634461</t>
  </si>
  <si>
    <t>Вельвет</t>
  </si>
  <si>
    <t>47.866184 56.644737</t>
  </si>
  <si>
    <t>Пункт приема лома</t>
  </si>
  <si>
    <t>ул. Чапаева, 75, Йошкар-Ола</t>
  </si>
  <si>
    <t>Цветные металлы</t>
  </si>
  <si>
    <t>47.908256 56.644285</t>
  </si>
  <si>
    <t>47.874916 56.638324</t>
  </si>
  <si>
    <t>Малевич</t>
  </si>
  <si>
    <t>+7 (902) 439-76-68, +7 (902) 739-11-05</t>
  </si>
  <si>
    <t xml:space="preserve">malevich.pro@mail.ru  </t>
  </si>
  <si>
    <t>Клуб для детей и подростков, Художественная мастерская, Школа искусств</t>
  </si>
  <si>
    <t>https://vk.com/marimalevich</t>
  </si>
  <si>
    <t>https://www.youtube.com/channel/UCnIvECAZ-u6Tjp-OKBLc7Ag</t>
  </si>
  <si>
    <t>https://www.instagram.com/malevich_yo</t>
  </si>
  <si>
    <t>+7 (991) 463-01-39</t>
  </si>
  <si>
    <t>47.874461 56.636651</t>
  </si>
  <si>
    <t>http://www.орфей-12.рф/</t>
  </si>
  <si>
    <t>Звуковое и световое оборудование, Изготовление и ремонт музыкальных инструментов, Музыкальный магазин</t>
  </si>
  <si>
    <t>47.88567 56.635516</t>
  </si>
  <si>
    <t>ИКЕА</t>
  </si>
  <si>
    <t>Изготовление и монтаж зеркал, Магазин мебели, Светильники</t>
  </si>
  <si>
    <t>12-е Королевство</t>
  </si>
  <si>
    <t>+7 (987) 712-15-26</t>
  </si>
  <si>
    <t xml:space="preserve">tkanihlopok@yandex.ru  </t>
  </si>
  <si>
    <t>http://vk.com/12thkingdom</t>
  </si>
  <si>
    <t>http://www.instagram.com/12korolevstvo</t>
  </si>
  <si>
    <t>47.843895 56.630911</t>
  </si>
  <si>
    <t>Россия, Республика Марий Эл, Йошкар-Ола, улица Репина</t>
  </si>
  <si>
    <t>47.864965 56.62454</t>
  </si>
  <si>
    <t>47.889317 56.624303</t>
  </si>
  <si>
    <t>Wildberries.ru</t>
  </si>
  <si>
    <t>8 (800) 100-75-05</t>
  </si>
  <si>
    <t xml:space="preserve">sychnikov.oleg@wildberries.ru, sales@wildberries.ru, lk@wildberries.ru, blago@wildberries.ru, pr@wildberries.ru </t>
  </si>
  <si>
    <t>http://www.wildberries.ru/, http://www.wb.ru/</t>
  </si>
  <si>
    <t>https://vk.com/club9695053</t>
  </si>
  <si>
    <t>https://ok.ru/wildberries</t>
  </si>
  <si>
    <t>https://www.facebook.com/wildberries.ru</t>
  </si>
  <si>
    <t>https://www.youtube.com/channel/UCtnVdR1jFU2tqJvpoh9Iwxw</t>
  </si>
  <si>
    <t>https://www.instagram.com/wildberriesru</t>
  </si>
  <si>
    <t>47.936003 56.637571</t>
  </si>
  <si>
    <t>Леди Сервис</t>
  </si>
  <si>
    <t>+7 (987) 730-99-95</t>
  </si>
  <si>
    <t xml:space="preserve">sport_active@list.ru  </t>
  </si>
  <si>
    <t>Автосервис, автотехцентр, Ремонт мототехники, Сварочные работы</t>
  </si>
  <si>
    <t>https://vk.com/liqui_moly_12</t>
  </si>
  <si>
    <t>47.833959 56.631439</t>
  </si>
  <si>
    <t>Государственное бюджетное учреждение Республики Марий Эл Автобаза Правительства Республики Марий Эл</t>
  </si>
  <si>
    <t>47.878655 56.627081</t>
  </si>
  <si>
    <t>Квартира посуточно</t>
  </si>
  <si>
    <t>ул. Машиностроителей, 6, Йошкар-Ола</t>
  </si>
  <si>
    <t>47.87375 56.6486</t>
  </si>
  <si>
    <t>Пинскдрев</t>
  </si>
  <si>
    <t>+7 (8362) 41-40-87</t>
  </si>
  <si>
    <t xml:space="preserve">john_smith@example.com  </t>
  </si>
  <si>
    <t>https://pinskdrev.ru/</t>
  </si>
  <si>
    <t>47.903805 56.64158</t>
  </si>
  <si>
    <t>ГБУ РМЭ РКБ отделение челюстно-лицевой хирургии</t>
  </si>
  <si>
    <t>+7 (8362) 42-39-80, +7 (8362) 42-36-80</t>
  </si>
  <si>
    <t>Первомайская ул., 117, Йошкар-Ола</t>
  </si>
  <si>
    <t>47.883987 56.632755</t>
  </si>
  <si>
    <t>Институт строительства и архитектуры</t>
  </si>
  <si>
    <t>47.884876 56.62188</t>
  </si>
  <si>
    <t>Степ АП Веб</t>
  </si>
  <si>
    <t>+7 (903) 317-59-87</t>
  </si>
  <si>
    <t>Substan</t>
  </si>
  <si>
    <t>ул. Воинов-Интернационалистов, 38, Йошкар-Ола</t>
  </si>
  <si>
    <t>АГНС, АГЗС, АГНКС, АЗС</t>
  </si>
  <si>
    <t>47.910103 56.638148</t>
  </si>
  <si>
    <t>Стиль сумок</t>
  </si>
  <si>
    <t>Клуб робототехники Амперка.РФ</t>
  </si>
  <si>
    <t>Строительные машины</t>
  </si>
  <si>
    <t>ул. Ломоносова, 13, Йошкар-Ола</t>
  </si>
  <si>
    <t>+7 (8362) 51-35-77</t>
  </si>
  <si>
    <t>+7 (964) 861-35-77</t>
  </si>
  <si>
    <t>Аренда строительной и спецтехники, Нерудные материалы</t>
  </si>
  <si>
    <t>47.871428 56.617531</t>
  </si>
  <si>
    <t>Газпромбанк. Банкомат</t>
  </si>
  <si>
    <t>пн-пт 08:00–19:00; сб 08:00–16:00</t>
  </si>
  <si>
    <t>47.959274 56.644032</t>
  </si>
  <si>
    <t>Пункт приема батареек</t>
  </si>
  <si>
    <t>8 (800) 100-03-26</t>
  </si>
  <si>
    <t xml:space="preserve">info@eco2eco.ru  </t>
  </si>
  <si>
    <t>http://eco2eco.ru/</t>
  </si>
  <si>
    <t>Мобильные ТелеСистемы</t>
  </si>
  <si>
    <t>ул. Степана Разина, 84/3, Йошкар-Ола</t>
  </si>
  <si>
    <t>8 (800) 250-08-90</t>
  </si>
  <si>
    <t>ИКФ Экспертный Совет</t>
  </si>
  <si>
    <t>Вознесенская ул., 82А, Йошкар-Ола</t>
  </si>
  <si>
    <t>+7 (8362) 42-87-78</t>
  </si>
  <si>
    <t>47.898422 56.633047</t>
  </si>
  <si>
    <t>Магазин декоративной косметики и парфюмерии</t>
  </si>
  <si>
    <t>Неврологическое отделение</t>
  </si>
  <si>
    <t>47.963534 56.639253</t>
  </si>
  <si>
    <t>ул. Тюленина, 34А, Йошкар-Ола</t>
  </si>
  <si>
    <t>47.938287 56.638801</t>
  </si>
  <si>
    <t>Телеателье</t>
  </si>
  <si>
    <t>+7 (8362) 54-14-41</t>
  </si>
  <si>
    <t>Ремонт аудиотехники и видеотехники, Ремонт бытовой техники, Ремонт электрооборудования</t>
  </si>
  <si>
    <t>47.888175 56.646264</t>
  </si>
  <si>
    <t>Avanti</t>
  </si>
  <si>
    <t>+7 (8362) 31-62-52</t>
  </si>
  <si>
    <t xml:space="preserve">admin@avantimebel.ru  </t>
  </si>
  <si>
    <t>http://avantimebel.ru/</t>
  </si>
  <si>
    <t>Мельпром</t>
  </si>
  <si>
    <t>+7 (8362) 38-21-04</t>
  </si>
  <si>
    <t>+7 (917) 700-95-20</t>
  </si>
  <si>
    <t>пн-сб 07:00–20:00, перерыв 13:00–13:30; вс 07:00–19:30, перерыв 13:00–13:30</t>
  </si>
  <si>
    <t>47.846661 56.628134</t>
  </si>
  <si>
    <t>Монако</t>
  </si>
  <si>
    <t>+7 (8362) 92-22-00</t>
  </si>
  <si>
    <t>+7 (906) 137-07-15</t>
  </si>
  <si>
    <t>http://monako12.ru/</t>
  </si>
  <si>
    <t>47.917299 56.638095</t>
  </si>
  <si>
    <t>Джинса</t>
  </si>
  <si>
    <t>+7 (929) 733-81-40</t>
  </si>
  <si>
    <t>47.929504 56.629368</t>
  </si>
  <si>
    <t>Лидер низких цен</t>
  </si>
  <si>
    <t>+7 (902) 100-00-20</t>
  </si>
  <si>
    <t>Магазин верхней одежды, Магазин детской обуви, Магазин детской одежды, Магазин обуви, Магазин одежды</t>
  </si>
  <si>
    <t>пн-пт 09:00–19:30; сб,вс 09:00–19:00</t>
  </si>
  <si>
    <t>47.862732 56.64549</t>
  </si>
  <si>
    <t>Дезцентр СЭС</t>
  </si>
  <si>
    <t>+7 (987) 727-72-32</t>
  </si>
  <si>
    <t>+7 (915) 611-14-11</t>
  </si>
  <si>
    <t xml:space="preserve">beloshweyka68@mail.ru  </t>
  </si>
  <si>
    <t>https://beloshweyka.ru/</t>
  </si>
  <si>
    <t>Магазин детской одежды, Одежда оптом, Трикотаж, трикотажные изделия</t>
  </si>
  <si>
    <t>47.84544 56.628391</t>
  </si>
  <si>
    <t>https://www.youtube.com/channel/UCbklhLzhFCxfRyh-iramSJQ</t>
  </si>
  <si>
    <t>47.89448 56.64047</t>
  </si>
  <si>
    <t>Concept Club</t>
  </si>
  <si>
    <t>8 (800) 333-83-63, +7 (8362) 23-01-40</t>
  </si>
  <si>
    <t>+7 (917) 708-88-84</t>
  </si>
  <si>
    <t xml:space="preserve">onlinestore@conceptclub.ru, vozvrat@conceptclub.ru, info@conceptclub.ru, b2b@conceptgroup.ru, franch@conceptgroup.ru  </t>
  </si>
  <si>
    <t>http://www.conceptclub.ru/?utm_medium=organicu0026utm_source=yamaps, https://www.conceptclub.ru/</t>
  </si>
  <si>
    <t>Магазин галантереи и аксессуаров, Магазин джинсовой одежды, Магазин одежды</t>
  </si>
  <si>
    <t>http://vk.com/conceptclubofficial</t>
  </si>
  <si>
    <t>http://www.facebook.com/conceptclub</t>
  </si>
  <si>
    <t>https://www.instagram.com/concept_club</t>
  </si>
  <si>
    <t>47.929757 56.627983</t>
  </si>
  <si>
    <t>+7 (902) 101-16-11, +7 (917) 713-29-73</t>
  </si>
  <si>
    <t>http://тандем12.рф/</t>
  </si>
  <si>
    <t>Автоателье, Детейлинг, Студия автотюнинга</t>
  </si>
  <si>
    <t>https://vk.com/peretyazhka_rulya_v_yoshkarole</t>
  </si>
  <si>
    <t>http://instagram.com/tandem_12</t>
  </si>
  <si>
    <t>47.900489 56.654823</t>
  </si>
  <si>
    <t>Торговая компания Мелодия комфорта</t>
  </si>
  <si>
    <t>+7 (8362) 30-82-03</t>
  </si>
  <si>
    <t>Корпусная мебель, Магазин бытовой техники, Магазин мебели</t>
  </si>
  <si>
    <t>пн-пт 10:00–18:00, перерыв 12:00–13:00; сб 10:00–16:00</t>
  </si>
  <si>
    <t>Йошкар-Олинский отдел субсидий</t>
  </si>
  <si>
    <t>+7 (8362) 45-27-62, +7 (8362) 45-37-96</t>
  </si>
  <si>
    <t>пн-чт 08:00–15:00</t>
  </si>
  <si>
    <t>Корона</t>
  </si>
  <si>
    <t>ул. Мира, 115, Йошкар-Ола</t>
  </si>
  <si>
    <t>+7 (967) 755-08-85, +7 (902) 100-09-55, +7 (902) 744-08-08</t>
  </si>
  <si>
    <t xml:space="preserve">550885@list.ru  </t>
  </si>
  <si>
    <t>http://korona12.ru/</t>
  </si>
  <si>
    <t>https://vk.com/hotel550855</t>
  </si>
  <si>
    <t>https://www.instagram.com/korona12yola/</t>
  </si>
  <si>
    <t>47.934069 56.637117</t>
  </si>
  <si>
    <t>Поликлиника Любава</t>
  </si>
  <si>
    <t xml:space="preserve">l383353@yandex.ru  </t>
  </si>
  <si>
    <t>https://poliklinika-lubava.ru/</t>
  </si>
  <si>
    <t>Больница для взрослых, Детская поликлиника, Медцентр, клиника</t>
  </si>
  <si>
    <t>https://vk.com/medcentr12.lubava</t>
  </si>
  <si>
    <t>47.923469 56.635429</t>
  </si>
  <si>
    <t>Лодки Ковчег</t>
  </si>
  <si>
    <t>8 (800) 700-15-57</t>
  </si>
  <si>
    <t xml:space="preserve">kovcheg.ufa@mail.ru, lodki02@yandex.ru  </t>
  </si>
  <si>
    <t>http://yoshkarola.pvc-lodki.ru/</t>
  </si>
  <si>
    <t>Ремонтно-строительные работы</t>
  </si>
  <si>
    <t>+7 (8362) 70-70-29, +7 (8362) 98-68-65</t>
  </si>
  <si>
    <t>Тахогуру</t>
  </si>
  <si>
    <t>8 (800) 505-35-95</t>
  </si>
  <si>
    <t>+7 (916) 654-13-65</t>
  </si>
  <si>
    <t>https://www.taho.guru/</t>
  </si>
  <si>
    <t>Автомобильные тахографы</t>
  </si>
  <si>
    <t>https://vk.com/tahoguru</t>
  </si>
  <si>
    <t>https://www.instagram.com/taho.guru</t>
  </si>
  <si>
    <t>Моделент</t>
  </si>
  <si>
    <t>+7 (8362) 40-20-40</t>
  </si>
  <si>
    <t>+7 (937) 112-00-40</t>
  </si>
  <si>
    <t xml:space="preserve">info@modelent.ru  </t>
  </si>
  <si>
    <t>http://modelent.ru/</t>
  </si>
  <si>
    <t>Мягкая мебель</t>
  </si>
  <si>
    <t>47.906615 56.627642</t>
  </si>
  <si>
    <t>Саша</t>
  </si>
  <si>
    <t>47.885774 56.635449</t>
  </si>
  <si>
    <t>Информационное агентство МариПресс</t>
  </si>
  <si>
    <t>ул. Анникова, 9, Йошкар-Ола</t>
  </si>
  <si>
    <t>+7 (902) 431-76-51</t>
  </si>
  <si>
    <t>Информационное агентство, Редакция СМИ</t>
  </si>
  <si>
    <t>47.836744 56.644188</t>
  </si>
  <si>
    <t>+7 (8362) 41-62-22</t>
  </si>
  <si>
    <t>+7 (961) 377-59-78</t>
  </si>
  <si>
    <t>+7 (8362) 63-01-62</t>
  </si>
  <si>
    <t>Прокат автомобилей</t>
  </si>
  <si>
    <t>Автомобильные диски и шины</t>
  </si>
  <si>
    <t>47.904464 56.64733</t>
  </si>
  <si>
    <t>Магазин бытовой химии</t>
  </si>
  <si>
    <t>Топ-топ</t>
  </si>
  <si>
    <t>+7 (906) 138-55-33</t>
  </si>
  <si>
    <t>47.910057 56.630751</t>
  </si>
  <si>
    <t>Печатникъ</t>
  </si>
  <si>
    <t xml:space="preserve">pechatnik012@mail.ru  </t>
  </si>
  <si>
    <t>http://pechatnik12.ru/</t>
  </si>
  <si>
    <t>Центральный - центр товаров для детей и взрослых</t>
  </si>
  <si>
    <t>+7 (902) 326-53-83</t>
  </si>
  <si>
    <t>Детский магазин, Магазин посуды, Магазин хозтоваров и бытовой химии</t>
  </si>
  <si>
    <t>https://vk.com/yolacentralniy</t>
  </si>
  <si>
    <t>https://www.instagram.com/centralniy_12</t>
  </si>
  <si>
    <t>Научно-производственный центр по Охране и Использованию Памятников Истории и Культуры</t>
  </si>
  <si>
    <t>+7 (8362) 45-09-96</t>
  </si>
  <si>
    <t xml:space="preserve">mincult12@mail.ru, pressa_mincult12@mail.ru, iskusstvo-nb@mail.ru, rgupnpc@rambler.ru, s_pavlova00@bk.ru, biblslep12@yandex.ru </t>
  </si>
  <si>
    <t>47.901827 56.636711</t>
  </si>
  <si>
    <t>Центр оздоровления человека</t>
  </si>
  <si>
    <t>Медцентр, клиника, Психологическая служба</t>
  </si>
  <si>
    <t>ул. Дружбы, 95А, Йошкар-Ола</t>
  </si>
  <si>
    <t>47.864628 56.65219</t>
  </si>
  <si>
    <t>Дом Данилы Мокеева</t>
  </si>
  <si>
    <t>ул. Подольских Курсантов, 22, Йошкар-Ола</t>
  </si>
  <si>
    <t>Дом инвалидов и престарелых</t>
  </si>
  <si>
    <t>47.859871 56.649701</t>
  </si>
  <si>
    <t>Росточек</t>
  </si>
  <si>
    <t>+7 (8362) 20-55-75</t>
  </si>
  <si>
    <t>+7 (902) 466-42-66</t>
  </si>
  <si>
    <t>пн-пт 08:00–19:30; сб 09:00–18:00; вс 12:00–19:00</t>
  </si>
  <si>
    <t>Art</t>
  </si>
  <si>
    <t>+7 (902) 433-73-01</t>
  </si>
  <si>
    <t>47.873566 56.647623</t>
  </si>
  <si>
    <t>Nikki Bambino</t>
  </si>
  <si>
    <t>+7 (915) 076-43-14</t>
  </si>
  <si>
    <t>https://vk.com/club128785897</t>
  </si>
  <si>
    <t>https://www.instagram.com/nikkibambino/</t>
  </si>
  <si>
    <t>Мегафарб</t>
  </si>
  <si>
    <t>47.880232 56.636384</t>
  </si>
  <si>
    <t>+7 (8362) 37-22-34</t>
  </si>
  <si>
    <t>47.917793 56.641287</t>
  </si>
  <si>
    <t>Детская одежда</t>
  </si>
  <si>
    <t>47.873788 56.645286</t>
  </si>
  <si>
    <t>Нефть</t>
  </si>
  <si>
    <t>+7 (967) 758-19-19</t>
  </si>
  <si>
    <t>Агентство правовой поддержки</t>
  </si>
  <si>
    <t>+7 (8362) 35-63-11</t>
  </si>
  <si>
    <t>Parfum</t>
  </si>
  <si>
    <t>47.909176 56.644365</t>
  </si>
  <si>
    <t>Интерактивная выставка</t>
  </si>
  <si>
    <t>+7 (915) 356-00-57, +7 (961) 918-51-01</t>
  </si>
  <si>
    <t>Выставочный центр, Организация и обслуживание выставок</t>
  </si>
  <si>
    <t>YolaStamps</t>
  </si>
  <si>
    <t>+7 (987) 711-79-21</t>
  </si>
  <si>
    <t>https://yolastamps.ru/</t>
  </si>
  <si>
    <t>https://vk.com/club129311836</t>
  </si>
  <si>
    <t>https://www.instagram.com/pechatiyola/</t>
  </si>
  <si>
    <t>Индустрия регионального климата</t>
  </si>
  <si>
    <t>Речная ул., 58/1, Йошкар-Ола</t>
  </si>
  <si>
    <t>+7 (8362) 26-96-94</t>
  </si>
  <si>
    <t>Газовое оборудование, Кондиционеры, Системы вентиляции</t>
  </si>
  <si>
    <t>47.857405 56.654521</t>
  </si>
  <si>
    <t>МДК</t>
  </si>
  <si>
    <t>+7 (8362) 38-88-64</t>
  </si>
  <si>
    <t>+7 (967) 757-18-64</t>
  </si>
  <si>
    <t>https://vk.com/club68447929</t>
  </si>
  <si>
    <t>Феникс</t>
  </si>
  <si>
    <t>+7 (905) 194-80-24</t>
  </si>
  <si>
    <t>Магазин подарков и сувениров, Ювелирный магазин</t>
  </si>
  <si>
    <t>47.92909 56.627956</t>
  </si>
  <si>
    <t>Гарантия безопасности</t>
  </si>
  <si>
    <t>+7 (8362) 42-55-50, +7 (8362) 42-55-03</t>
  </si>
  <si>
    <t>http://www.гб12.рф/</t>
  </si>
  <si>
    <t>Безопасность труда, Дополнительное образование, Учебный центр, Центр повышения квалификации</t>
  </si>
  <si>
    <t>47.883848 56.637303</t>
  </si>
  <si>
    <t>47.861333 56.619136</t>
  </si>
  <si>
    <t>ул. Димитрова, 61, Йошкар-Ола</t>
  </si>
  <si>
    <t>Магазин кулинарии</t>
  </si>
  <si>
    <t>47.854966 56.64565</t>
  </si>
  <si>
    <t>Baron</t>
  </si>
  <si>
    <t>47.83249 56.636574</t>
  </si>
  <si>
    <t>РТП</t>
  </si>
  <si>
    <t>+7 (8362) 41-02-83</t>
  </si>
  <si>
    <t>Складские услуги, Таможенный брокер</t>
  </si>
  <si>
    <t>Оптстройснаб</t>
  </si>
  <si>
    <t>http://metallprofil12.ru/</t>
  </si>
  <si>
    <t>Отопительное оборудование и системы, Системы водоснабжения, отопления, канализации, Строительный магазин</t>
  </si>
  <si>
    <t>Окна Штерн</t>
  </si>
  <si>
    <t>+7 (8362) 76-00-18</t>
  </si>
  <si>
    <t>Центр земельных и имущественных отношений, МБУ</t>
  </si>
  <si>
    <t>+7 (906) 139-35-55</t>
  </si>
  <si>
    <t>БТИ, Управление недвижимостью</t>
  </si>
  <si>
    <t>47.965125 56.64004</t>
  </si>
  <si>
    <t>АвтоклавМ</t>
  </si>
  <si>
    <t>+7 (8362) 61-63-11</t>
  </si>
  <si>
    <t>+7 (902) 101-63-11</t>
  </si>
  <si>
    <t>http://avtoklavm.tiu.ru/</t>
  </si>
  <si>
    <t>Оборудование для ресторанов, Пищевое оборудование</t>
  </si>
  <si>
    <t>Yana Krastynya 6a</t>
  </si>
  <si>
    <t>ул. Яна Крастыня, 6А, Йошкар-Ола</t>
  </si>
  <si>
    <t>+7 (8362) 33-13-45, +7 (8362) 90-04-04</t>
  </si>
  <si>
    <t>47.830208 56.632751</t>
  </si>
  <si>
    <t>47.931726 56.632739</t>
  </si>
  <si>
    <t>Шугаринг SPA</t>
  </si>
  <si>
    <t>+7 (987) 723-77-71</t>
  </si>
  <si>
    <t>Центр мебельной фурнитуры</t>
  </si>
  <si>
    <t>+7 (8362) 74-20-80</t>
  </si>
  <si>
    <t>47.908693 56.615529</t>
  </si>
  <si>
    <t>ВТО 12</t>
  </si>
  <si>
    <t>+7 (960) 094-39-98</t>
  </si>
  <si>
    <t>Магазин нижнего белья и чулочно-носочных изделий</t>
  </si>
  <si>
    <t>47.832525 56.63662</t>
  </si>
  <si>
    <t>Сателит</t>
  </si>
  <si>
    <t>Автоклуб</t>
  </si>
  <si>
    <t>47.870879 56.64598</t>
  </si>
  <si>
    <t>Бюро Переезд</t>
  </si>
  <si>
    <t>+7 (8362) 65-30-70</t>
  </si>
  <si>
    <t xml:space="preserve">byuro.pereezd@yandex.ru  </t>
  </si>
  <si>
    <t>https://vk.com/public169285388</t>
  </si>
  <si>
    <t>Кофейня Цветы</t>
  </si>
  <si>
    <t>ул. Эшкинина, 10В, Йошкар-Ола</t>
  </si>
  <si>
    <t>47.906611 56.630328</t>
  </si>
  <si>
    <t>Первый Бит</t>
  </si>
  <si>
    <t xml:space="preserve">appetit@1cbit.ru </t>
  </si>
  <si>
    <t>47.898289 56.629452</t>
  </si>
  <si>
    <t>Студия загара Ibiza</t>
  </si>
  <si>
    <t>+7 (8362) 90-00-14</t>
  </si>
  <si>
    <t>сквер имени Пушкина</t>
  </si>
  <si>
    <t>Россия, Республика Марий Эл, Йошкар-Ола, сквер имени Пушкина</t>
  </si>
  <si>
    <t>Парк культуры и отдыха, Сквер</t>
  </si>
  <si>
    <t>47.882998 56.635044</t>
  </si>
  <si>
    <t>ежедневно, 08:00–01:00</t>
  </si>
  <si>
    <t>47.882873 56.63858</t>
  </si>
  <si>
    <t>Эдос, ТСЖ</t>
  </si>
  <si>
    <t>ул. Прохорова, 48А, Йошкар-Ола</t>
  </si>
  <si>
    <t>47.823746 56.630827</t>
  </si>
  <si>
    <t>47.821266 56.63312</t>
  </si>
  <si>
    <t>ул. Лебедева, 55А, Йошкар-Ола</t>
  </si>
  <si>
    <t>+7 (8362) 26-76-26</t>
  </si>
  <si>
    <t>47.937427 56.624569</t>
  </si>
  <si>
    <t>47.862537 56.646453</t>
  </si>
  <si>
    <t>Магдитранс</t>
  </si>
  <si>
    <t>+7 (903) 424-29-15</t>
  </si>
  <si>
    <t>Бюро переводов</t>
  </si>
  <si>
    <t>Сфера-М</t>
  </si>
  <si>
    <t>+7 (937) 111-31-82, +7 (939) 722-09-14</t>
  </si>
  <si>
    <t>Фогрин</t>
  </si>
  <si>
    <t>ССМП</t>
  </si>
  <si>
    <t>ул. Ольги Тихомировой, 58, Йошкар-Ола</t>
  </si>
  <si>
    <t>+7 (8362) 42-35-55, +7 (8362) 42-33-95, +7 (8362) 42-38-70, +7 (8362) 42-63-14</t>
  </si>
  <si>
    <t>+7 (8362) 42-35-55, +7 (8362) 42-33-95</t>
  </si>
  <si>
    <t xml:space="preserve">informsreda@yandex.ru, ssmp_yola@mail.ru  </t>
  </si>
  <si>
    <t>http://mari-el.gov.ru/, http://portal.mari.ru/minzdrav/ssmp/Pages/contacts.aspx</t>
  </si>
  <si>
    <t>Скорая помощь</t>
  </si>
  <si>
    <t>Скорая медицинская помощь</t>
  </si>
  <si>
    <t>http://vk.com/club78211122</t>
  </si>
  <si>
    <t>47.87627 56.645912</t>
  </si>
  <si>
    <t>Мойка самообслуживания Партнер</t>
  </si>
  <si>
    <t>+7 (917) 710-02-45</t>
  </si>
  <si>
    <t>Автоаксессуары, Автомойка</t>
  </si>
  <si>
    <t>47.857106 56.623262</t>
  </si>
  <si>
    <t>Парикмахерская Незабудка</t>
  </si>
  <si>
    <t>+7 (8362) 51-01-50</t>
  </si>
  <si>
    <t>пн 09:00–19:00; вт 09:00–14:00; ср 09:00–19:00; чт 09:00–14:00; пт 09:00–19:00; сб 09:00–14:00</t>
  </si>
  <si>
    <t>Находка</t>
  </si>
  <si>
    <t>Магазин посуды, Магазин семян, Магазин хозтоваров и бытовой химии</t>
  </si>
  <si>
    <t>47.835764 56.6369</t>
  </si>
  <si>
    <t>Витадар</t>
  </si>
  <si>
    <t>+7 (8362) 46-86-54</t>
  </si>
  <si>
    <t>Apartment Gagarina 24</t>
  </si>
  <si>
    <t>просп. Гагарина, 24, Йошкар-Ола</t>
  </si>
  <si>
    <t>47.88188 56.624451</t>
  </si>
  <si>
    <t>КПК Пенсионная касса</t>
  </si>
  <si>
    <t>8 (800) 200-14-33</t>
  </si>
  <si>
    <t xml:space="preserve">sfera@sfera-finance.ru  </t>
  </si>
  <si>
    <t>http://sfera-finance.ru/</t>
  </si>
  <si>
    <t>Инвестиционная компания, Микрофинансирование, Потребительская кооперация</t>
  </si>
  <si>
    <t>https://vk.com/sfera_finance</t>
  </si>
  <si>
    <t>47.895625 56.63199</t>
  </si>
  <si>
    <t>Астер</t>
  </si>
  <si>
    <t>+7 (8362) 67-05-00</t>
  </si>
  <si>
    <t>https://vk.com/aster_yola</t>
  </si>
  <si>
    <t>https://www.instagram.com/aster_yola/</t>
  </si>
  <si>
    <t>47.924779 56.639947</t>
  </si>
  <si>
    <t>3, Архангельская слобода, Йошкар-Ола</t>
  </si>
  <si>
    <t>47.903246 56.63255</t>
  </si>
  <si>
    <t>Сенто</t>
  </si>
  <si>
    <t>Колибри</t>
  </si>
  <si>
    <t>Детективное агентство Спрут</t>
  </si>
  <si>
    <t>http://detektivsprut.ru/</t>
  </si>
  <si>
    <t>Детективное агентство, Охранное предприятие, Системы безопасности и охраны, Услуги частных специалистов</t>
  </si>
  <si>
    <t>Магазин чулок и колготок, Трикотаж, трикотажные изделия</t>
  </si>
  <si>
    <t>47.842973 56.641836</t>
  </si>
  <si>
    <t>47.914558 56.631538</t>
  </si>
  <si>
    <t>47.902675 56.649265</t>
  </si>
  <si>
    <t>Россия, Республика Марий Эл, Йошкар-Ола, 5-й микрорайон</t>
  </si>
  <si>
    <t>47.851023 56.647356</t>
  </si>
  <si>
    <t>Петровский</t>
  </si>
  <si>
    <t>47.851834 56.630929</t>
  </si>
  <si>
    <t>KazanExpress</t>
  </si>
  <si>
    <t>8 (800) 700-96-16</t>
  </si>
  <si>
    <t>+7 (960) 079-19-89</t>
  </si>
  <si>
    <t>https://kazanexpress.ru/</t>
  </si>
  <si>
    <t>http://vk.com/kazanexpress</t>
  </si>
  <si>
    <t>http://www.facebook.com/kazanexpress</t>
  </si>
  <si>
    <t>http://instagram.com/kazanexpress</t>
  </si>
  <si>
    <t>47.885595 56.626435</t>
  </si>
  <si>
    <t>Лиды для бизнеса</t>
  </si>
  <si>
    <t>+7 (999) 164-40-00</t>
  </si>
  <si>
    <t>PR-агентство</t>
  </si>
  <si>
    <t>47.864906 56.642431</t>
  </si>
  <si>
    <t>Ммлюкс</t>
  </si>
  <si>
    <t>47.892684 56.638161</t>
  </si>
  <si>
    <t>Onlline</t>
  </si>
  <si>
    <t>+7 (967) 757-59-72</t>
  </si>
  <si>
    <t>Интернет-магазин, Компьютерный ремонт и услуги, Копировальный центр, Ремонт телефонов, Товары для мобильных телефонов</t>
  </si>
  <si>
    <t>47.843215 56.641747</t>
  </si>
  <si>
    <t>Мануфактура12</t>
  </si>
  <si>
    <t>+7 (964) 863-66-55</t>
  </si>
  <si>
    <t>Городское благоустройство</t>
  </si>
  <si>
    <t>Служба аварийного вскрытия дверей</t>
  </si>
  <si>
    <t>Бытовые услуги, Металлоремонт, Установка, ремонт и вскрытие замков</t>
  </si>
  <si>
    <t>47.832369 56.639763</t>
  </si>
  <si>
    <t>ТНС энерго</t>
  </si>
  <si>
    <t>Красноармейская ул., 99А, Йошкар-Ола</t>
  </si>
  <si>
    <t>Магазин мяса, колбас, Молочный магазин, Яйцо и мясо птицы</t>
  </si>
  <si>
    <t>47.866978 56.64572</t>
  </si>
  <si>
    <t>Премьер-теплогаз</t>
  </si>
  <si>
    <t>Проектная организация, Противопожарные системы, Системы безопасности и охраны</t>
  </si>
  <si>
    <t>Техинсервис</t>
  </si>
  <si>
    <t>+7 (8362) 46-03-82</t>
  </si>
  <si>
    <t>47.9042 56.6473</t>
  </si>
  <si>
    <t>47.945602 56.624881</t>
  </si>
  <si>
    <t>Советская ул., 174, Йошкар-Ола</t>
  </si>
  <si>
    <t>47.881529 56.622637</t>
  </si>
  <si>
    <t>Главное управление жилым фондом</t>
  </si>
  <si>
    <t xml:space="preserve">info@guzhf.ru </t>
  </si>
  <si>
    <t>http://guzhf.ru/</t>
  </si>
  <si>
    <t>47.94721 56.623974</t>
  </si>
  <si>
    <t>Детский сад № 27 Светлячок</t>
  </si>
  <si>
    <t>Кремлёвская ул., 27А, Йошкар-Ола</t>
  </si>
  <si>
    <t>http://edu.mari.ru/mouo-yoshkarola/dou27/</t>
  </si>
  <si>
    <t>47.885023 56.63969</t>
  </si>
  <si>
    <t>Дезнадзор</t>
  </si>
  <si>
    <t>+7 (958) 111-89-64</t>
  </si>
  <si>
    <t xml:space="preserve">nadzordez@yandex.ru  </t>
  </si>
  <si>
    <t>http://deznadzor.ru/</t>
  </si>
  <si>
    <t>47.869838 56.650458</t>
  </si>
  <si>
    <t>47.873163 56.619073</t>
  </si>
  <si>
    <t>47.876325 56.648575</t>
  </si>
  <si>
    <t>Мукш отар</t>
  </si>
  <si>
    <t>+7 (906) 335-69-28, +7 (962) 588-24-18</t>
  </si>
  <si>
    <t>Мед и продукты пчеловодства, Товары для пчеловодства</t>
  </si>
  <si>
    <t>Сеть мастерских по изготовлению ключей</t>
  </si>
  <si>
    <t>+7 (8362) 49-46-00</t>
  </si>
  <si>
    <t xml:space="preserve">akademia-alko@mail.ru </t>
  </si>
  <si>
    <t>Алкогольная продукция оптом, Магазин алкогольных напитков</t>
  </si>
  <si>
    <t>Магазин бытовой техники, Магазин посуды, Магазин хозтоваров и бытовой химии, Магазин электротоваров, Электротехническая продукция</t>
  </si>
  <si>
    <t>47.87079 56.645931</t>
  </si>
  <si>
    <t>Россия, Республика Марий Эл, Йошкар-Ола, 2-й Коммунальный переулок</t>
  </si>
  <si>
    <t>47.856106 56.65909</t>
  </si>
  <si>
    <t>Рябушка</t>
  </si>
  <si>
    <t>пер. Ушакова, 36А, Йошкар-Ола</t>
  </si>
  <si>
    <t>47.845993 56.650357</t>
  </si>
  <si>
    <t>Угодья</t>
  </si>
  <si>
    <t>+7 (964) 861-13-11</t>
  </si>
  <si>
    <t>пн-пт 07:00–20:00; сб 09:00–17:00; вс 10:00–17:00</t>
  </si>
  <si>
    <t>47.889619 56.641263</t>
  </si>
  <si>
    <t>Россия, Республика Марий Эл, Йошкар-Ола, улица Пушкина</t>
  </si>
  <si>
    <t>47.886879 56.634525</t>
  </si>
  <si>
    <t>More</t>
  </si>
  <si>
    <t>Западная ул., 21, Йошкар-Ола</t>
  </si>
  <si>
    <t>+7 (987) 713-06-12</t>
  </si>
  <si>
    <t>Курсы иностранных языков, Школа танцев</t>
  </si>
  <si>
    <t>https://vk.com/club198226444</t>
  </si>
  <si>
    <t>47.831489 56.646994</t>
  </si>
  <si>
    <t>Диэнай</t>
  </si>
  <si>
    <t>8 (800) 333-01-34</t>
  </si>
  <si>
    <t xml:space="preserve">zakaz@dna-sklad.ru  </t>
  </si>
  <si>
    <t>http://yoshkarola.dna-sklad.ru/</t>
  </si>
  <si>
    <t>47.896922 56.633743</t>
  </si>
  <si>
    <t>Диамант</t>
  </si>
  <si>
    <t>пн-пт 11:00–20:00; сб,вс 11:00–19:00</t>
  </si>
  <si>
    <t>47.907624 56.637412</t>
  </si>
  <si>
    <t>Магазин нижнего белья и носков Алина</t>
  </si>
  <si>
    <t>Феликс</t>
  </si>
  <si>
    <t>+7 (987) 720-00-63</t>
  </si>
  <si>
    <t xml:space="preserve">mebel-shop@felix.ru, felix@felix.ru  </t>
  </si>
  <si>
    <t>https://yoshkar-ola.felix.ru/</t>
  </si>
  <si>
    <t>Магазин мебели, Мебель для офиса</t>
  </si>
  <si>
    <t>https://vk.com/felix_office</t>
  </si>
  <si>
    <t>https://www.facebook.com/mebel.felix.ru</t>
  </si>
  <si>
    <t>https://www.instagram.com/mebel_felix_ru</t>
  </si>
  <si>
    <t xml:space="preserve">marketing_info@apteka-aprel.ru, stm@apteka-aprel.ru, poisk_info@apteka-aprel.ru, reklama@apteka-aprel.ru </t>
  </si>
  <si>
    <t>https://apteka-april.ru/, https://api.whatsapp.com/send?phone=79182009001</t>
  </si>
  <si>
    <t>https://www.instagram.com/apteka__aprel/</t>
  </si>
  <si>
    <t>47.913401 56.626874</t>
  </si>
  <si>
    <t>Соляная пещера Сольен</t>
  </si>
  <si>
    <t>+7 (987) 711-63-13</t>
  </si>
  <si>
    <t>пн-пт 12:00–19:00; сб 10:00–15:00</t>
  </si>
  <si>
    <t>https://vk.com/solien.yola</t>
  </si>
  <si>
    <t>47.920586 56.629029</t>
  </si>
  <si>
    <t>Selena</t>
  </si>
  <si>
    <t>+7 (987) 727-02-71, +7 (905) 198-05-83</t>
  </si>
  <si>
    <t>47.832881 56.641839</t>
  </si>
  <si>
    <t>+7 (8362) 40-03-01</t>
  </si>
  <si>
    <t>Контрольно-измерительные приборы</t>
  </si>
  <si>
    <t>+7 (8362) 52-55-22</t>
  </si>
  <si>
    <t>+7 (909) 369-90-18</t>
  </si>
  <si>
    <t>47.890814 56.637951</t>
  </si>
  <si>
    <t>Апартаменты Красноармейская</t>
  </si>
  <si>
    <t>47.86879 56.645443</t>
  </si>
  <si>
    <t>Анжелика</t>
  </si>
  <si>
    <t>вс 10:00–20:00</t>
  </si>
  <si>
    <t>https://vk.com/12angelika</t>
  </si>
  <si>
    <t>https://vk.com/club161880296</t>
  </si>
  <si>
    <t>47.93746 56.636677</t>
  </si>
  <si>
    <t>Красноармейская ул., 84, Йошкар-Ола</t>
  </si>
  <si>
    <t>47.871769 56.646252</t>
  </si>
  <si>
    <t>Посуда для дома</t>
  </si>
  <si>
    <t>47.896195 56.632416</t>
  </si>
  <si>
    <t>47.865958 56.644713</t>
  </si>
  <si>
    <t>Центр консультационной поддержки</t>
  </si>
  <si>
    <t>47.880203 56.644928</t>
  </si>
  <si>
    <t>Color bar Авантаж</t>
  </si>
  <si>
    <t>ул. Лебедева, 51А, Йошкар-Ола</t>
  </si>
  <si>
    <t>+7 (8362) 43-92-82</t>
  </si>
  <si>
    <t>+7 (964) 863-92-82</t>
  </si>
  <si>
    <t>https://vk.com/club188776120</t>
  </si>
  <si>
    <t>https://instagram.com/avantage_yola</t>
  </si>
  <si>
    <t>47.939794 56.622972</t>
  </si>
  <si>
    <t>Шальная пена</t>
  </si>
  <si>
    <t>47.935741 56.644373</t>
  </si>
  <si>
    <t>Рать</t>
  </si>
  <si>
    <t xml:space="preserve">kalabay86@mail.ru, masha_van23@mail.ru  </t>
  </si>
  <si>
    <t>https://vk.com/fbs_rme</t>
  </si>
  <si>
    <t>47.873756 56.652645</t>
  </si>
  <si>
    <t>+7 (964) 864-80-01</t>
  </si>
  <si>
    <t>47.892458 56.627634</t>
  </si>
  <si>
    <t>Йошкар-Олинская городская больница, нейрохирургическое отделение</t>
  </si>
  <si>
    <t>+7 (8362) 46-41-00, +7 (8362) 64-71-19, +7 (8362) 68-54-53</t>
  </si>
  <si>
    <t>Вета</t>
  </si>
  <si>
    <t>+7 (8362) 22-64-12, +7 (8362) 22-07-35</t>
  </si>
  <si>
    <t>Спортивный клуб Самбо-Патриот</t>
  </si>
  <si>
    <t>+7 (902) 432-99-65</t>
  </si>
  <si>
    <t>https://vk.com/club68627349</t>
  </si>
  <si>
    <t>Маравтотранс</t>
  </si>
  <si>
    <t>+7 (8362) 41-08-00</t>
  </si>
  <si>
    <t>Евробус</t>
  </si>
  <si>
    <t>+7 (927) 883-48-81</t>
  </si>
  <si>
    <t>Экспертиза и оценка</t>
  </si>
  <si>
    <t xml:space="preserve">info-expertiza@mail.ru, info-sout12@yandex.ru  </t>
  </si>
  <si>
    <t>http://www.expertizatruda.ru/</t>
  </si>
  <si>
    <t>47.897265 56.653676</t>
  </si>
  <si>
    <t>47.855062 56.64419</t>
  </si>
  <si>
    <t>Точка роста</t>
  </si>
  <si>
    <t>Дополнительное образование, Услуги репетиторов, Центр развития ребенка</t>
  </si>
  <si>
    <t>47.877674 56.627868</t>
  </si>
  <si>
    <t>Дом на ул. Западная, 23</t>
  </si>
  <si>
    <t>Западная ул., 23, Йошкар-Ола</t>
  </si>
  <si>
    <t>+7 (8362) 41-43-28</t>
  </si>
  <si>
    <t xml:space="preserve">zaopmk3@mail.ru </t>
  </si>
  <si>
    <t>https://aopmk3.com/real_estate/apartments/13/</t>
  </si>
  <si>
    <t>47.831524 56.646381</t>
  </si>
  <si>
    <t>Тинькофф</t>
  </si>
  <si>
    <t>8 (800) 555-77-78, 8 (800) 755-74-24</t>
  </si>
  <si>
    <t xml:space="preserve">u002ffe50bf6eb24f4a03a7baa9a69e0b8984@platform-sentry.tcsbank.ru, u002ffe50bf6eb24f4a03a7baa9a69e0b8984@sentry.tinkoff.ru  </t>
  </si>
  <si>
    <t>https://www.tinkoff.ru/</t>
  </si>
  <si>
    <t>https://vk.com/tinkoffbank</t>
  </si>
  <si>
    <t>https://ok.ru/tinkoffbank</t>
  </si>
  <si>
    <t>https://www.facebook.com/tinkoffbank</t>
  </si>
  <si>
    <t>https://www.instagram.com/TinkoffBank</t>
  </si>
  <si>
    <t>47.917031 56.631417</t>
  </si>
  <si>
    <t>Аренда квартир посуточно Йошкар-Ола</t>
  </si>
  <si>
    <t>Первомайская ул., 84, Йошкар-Ола</t>
  </si>
  <si>
    <t>47.891505 56.645534</t>
  </si>
  <si>
    <t>+7 (8362) 96-36-36</t>
  </si>
  <si>
    <t xml:space="preserve">borei12okna@mail.ru </t>
  </si>
  <si>
    <t>Родник здоровья</t>
  </si>
  <si>
    <t>8 (800) 200-01-33</t>
  </si>
  <si>
    <t>+7 (917) 704-33-18, +7 (961) 334-58-90</t>
  </si>
  <si>
    <t xml:space="preserve">info@roz.ru, katya@roz.ru  </t>
  </si>
  <si>
    <t>https://roz.ru/</t>
  </si>
  <si>
    <t>Парфюмерно-косметическая компания, Товары для здоровья, Фитопродукция, БАДы</t>
  </si>
  <si>
    <t>пн-пт 12:00–19:00; сб 14:00–17:00</t>
  </si>
  <si>
    <t>https://vk.com/rozrussia</t>
  </si>
  <si>
    <t>https://ok.ru/rozru</t>
  </si>
  <si>
    <t>https://www.facebook.com/springofhealts</t>
  </si>
  <si>
    <t>https://www.youtube.com/channel/UCyvArP2V4IfRWBqHeE8SVvg</t>
  </si>
  <si>
    <t>Шалман у бабая</t>
  </si>
  <si>
    <t>Россия, Республика Марий Эл, Йошкар-Ола, садоводческое некоммерческое товарищество Коммунальник</t>
  </si>
  <si>
    <t>+7 (987) 725-04-75</t>
  </si>
  <si>
    <t>сб,вс 10:00–18:00</t>
  </si>
  <si>
    <t>47.870584 56.660883</t>
  </si>
  <si>
    <t>Euro мейд</t>
  </si>
  <si>
    <t>Секонд-хенд</t>
  </si>
  <si>
    <t>47.920537 56.632356</t>
  </si>
  <si>
    <t>Кот Компот</t>
  </si>
  <si>
    <t>Леммет</t>
  </si>
  <si>
    <t>+7 (8362) 54-99-44, +7 (8362) 31-94-94</t>
  </si>
  <si>
    <t>47.843138 56.641055</t>
  </si>
  <si>
    <t>Master-a12.ru</t>
  </si>
  <si>
    <t>ул. Подольских Курсантов, 6Б, Йошкар-Ола</t>
  </si>
  <si>
    <t>+7 (8362) 66-01-51</t>
  </si>
  <si>
    <t>+7 (902) 439-01-51</t>
  </si>
  <si>
    <t>http://master-a12.ru/</t>
  </si>
  <si>
    <t>Интернет-магазин, Кондиционеры, Ремонт климатических систем, Установка кондиционеров</t>
  </si>
  <si>
    <t>47.871096 56.652853</t>
  </si>
  <si>
    <t>Статус Памятники</t>
  </si>
  <si>
    <t>+7 (8362) 51-77-80, +7 (8362) 48-65-90</t>
  </si>
  <si>
    <t>47.884868 56.642931</t>
  </si>
  <si>
    <t>47.92159 56.640279</t>
  </si>
  <si>
    <t>Пим Пилигрим</t>
  </si>
  <si>
    <t>+7 (902) 100-22-11</t>
  </si>
  <si>
    <t xml:space="preserve">pimpiligrim@mail.ru </t>
  </si>
  <si>
    <t>Детские игровые залы и площадки, Организация и проведение детских праздников</t>
  </si>
  <si>
    <t>http://vk.com/pimpiligrim</t>
  </si>
  <si>
    <t>ул. Строителей, 29, Йошкар-Ола</t>
  </si>
  <si>
    <t>47.84365 56.631303</t>
  </si>
  <si>
    <t>+7 (8362) 41-01-44, +7 (8362) 41-49-09</t>
  </si>
  <si>
    <t>Кирпич, Стройматериалы оптом, Сухие строительные смеси, Цемент</t>
  </si>
  <si>
    <t>47.894389 56.646128</t>
  </si>
  <si>
    <t>Спортивная школа по Конному Спорту</t>
  </si>
  <si>
    <t>+7 (8362) 45-56-82, +7 (8362) 42-33-39</t>
  </si>
  <si>
    <t xml:space="preserve">ludmila150259@yandex.ru, megaticc@gmail.com  </t>
  </si>
  <si>
    <t>http://minsport-mari.ru/, http://yolaswimming.ucoz.ru/</t>
  </si>
  <si>
    <t>Спортивная школа, Спортивное объединение</t>
  </si>
  <si>
    <t>KitMoney</t>
  </si>
  <si>
    <t>Пункт взимания платы</t>
  </si>
  <si>
    <t>47.936366 56.623423</t>
  </si>
  <si>
    <t>Арма</t>
  </si>
  <si>
    <t>+7 (927) 879-06-09</t>
  </si>
  <si>
    <t>47.894062 56.641055</t>
  </si>
  <si>
    <t>Марийская Станция по Борьбе С Болезнями Животных</t>
  </si>
  <si>
    <t>+7 (8362) 45-74-62</t>
  </si>
  <si>
    <t>Лаборатория ветеринарно-санитарной экспертизы</t>
  </si>
  <si>
    <t>Гарант Плюс</t>
  </si>
  <si>
    <t>+7 (8362) 92-25-20</t>
  </si>
  <si>
    <t>Кузнечный двор</t>
  </si>
  <si>
    <t>Кованые изделия, Металлические заборы и ограждения, Металлоизделия</t>
  </si>
  <si>
    <t>Твое путешествие</t>
  </si>
  <si>
    <t>+7 (917) 717-35-79</t>
  </si>
  <si>
    <t>На взлёт</t>
  </si>
  <si>
    <t>+7 (8362) 33-83-28</t>
  </si>
  <si>
    <t>+7 (937) 933-83-28</t>
  </si>
  <si>
    <t xml:space="preserve">navzlet05@yandex.ru  </t>
  </si>
  <si>
    <t>пн-пт 10:00–19:00; сб 10:00–14:00; вс 10:00–12:00</t>
  </si>
  <si>
    <t>https://vk.com/navzlet05</t>
  </si>
  <si>
    <t>Россия, Республика Марий Эл, Йошкар-Ола, микрорайон 9Б</t>
  </si>
  <si>
    <t>47.822687 56.639073</t>
  </si>
  <si>
    <t>Специальная оценка условий труда Йошкар Ола</t>
  </si>
  <si>
    <t>ул. Чехова, 60А, Йошкар-Ола</t>
  </si>
  <si>
    <t>+7 (8362) 30-59-46</t>
  </si>
  <si>
    <t xml:space="preserve">info@isokazan.ru  </t>
  </si>
  <si>
    <t>http://isoyola.ru/</t>
  </si>
  <si>
    <t>47.887831 56.645074</t>
  </si>
  <si>
    <t>47.868183 56.648692</t>
  </si>
  <si>
    <t>ГК Сигнал-1</t>
  </si>
  <si>
    <t>47.903658 56.653271</t>
  </si>
  <si>
    <t>47.939503 56.622892</t>
  </si>
  <si>
    <t>+7 (8362) 38-36-64</t>
  </si>
  <si>
    <t xml:space="preserve">o.glebova@mar-dor.ru, info-mad@mar-dor.ru  </t>
  </si>
  <si>
    <t>http://mar-dor.ru/</t>
  </si>
  <si>
    <t>47.859564 56.641841</t>
  </si>
  <si>
    <t>ул. Воинов-Интернационалистов, 32А, Йошкар-Ола</t>
  </si>
  <si>
    <t>47.919894 56.637568</t>
  </si>
  <si>
    <t>Доступный дом</t>
  </si>
  <si>
    <t>47.886367 56.646278</t>
  </si>
  <si>
    <t>Магазин цветов Жасмин</t>
  </si>
  <si>
    <t>+7 (8362) 50-05-54, +7 (8362) 52-52-00, +7 (8362) 39-12-28</t>
  </si>
  <si>
    <t>+7 (964) 860-05-54, +7 (964) 862-52-00, +7 (967) 755-25-94</t>
  </si>
  <si>
    <t>47.898284 56.644627</t>
  </si>
  <si>
    <t>ул. Машиностроителей, 8Б, Йошкар-Ола</t>
  </si>
  <si>
    <t>47.873094 56.647374</t>
  </si>
  <si>
    <t>+7 (8362) 20-00-77</t>
  </si>
  <si>
    <t>Apartments Lux on Voskresenskiy Prospekt 13 А</t>
  </si>
  <si>
    <t>47.912827 56.634758</t>
  </si>
  <si>
    <t>ул. Карла Маркса, 127, Йошкар-Ола</t>
  </si>
  <si>
    <t>47.884648 56.616871</t>
  </si>
  <si>
    <t>КПК Финанс</t>
  </si>
  <si>
    <t xml:space="preserve">mail@mkfinans.ru  </t>
  </si>
  <si>
    <t>http://mkfinans.ru/</t>
  </si>
  <si>
    <t>Микрофинансирование, Небанковская кредитная организация, Финансовый консалтинг</t>
  </si>
  <si>
    <t>47.891282 56.642082</t>
  </si>
  <si>
    <t>Россия, Республика Марий Эл, Йошкар-Ола, микрорайон 9В</t>
  </si>
  <si>
    <t>47.825764 56.63168</t>
  </si>
  <si>
    <t>Nadom Pro</t>
  </si>
  <si>
    <t>+7 (987) 727-77-55</t>
  </si>
  <si>
    <t>http://nadom.pro/</t>
  </si>
  <si>
    <t>Строительные и отделочные работы, Управляющая компания</t>
  </si>
  <si>
    <t>пн-пт 06:00–22:00</t>
  </si>
  <si>
    <t>47.907464 56.631122</t>
  </si>
  <si>
    <t>Автоколледж</t>
  </si>
  <si>
    <t>+7 (8362) 32-27-00</t>
  </si>
  <si>
    <t>+7 (905) 008-34-08</t>
  </si>
  <si>
    <t>http://autocollege12.ru/</t>
  </si>
  <si>
    <t>47.834748 56.644146</t>
  </si>
  <si>
    <t>Холостяк</t>
  </si>
  <si>
    <t>ул. Зарубина, 55А, Йошкар-Ола</t>
  </si>
  <si>
    <t>47.865822 56.63887</t>
  </si>
  <si>
    <t>Магазин ткани, Нитки, пряжа, Ремонт одежды</t>
  </si>
  <si>
    <t>47.841477 56.632426</t>
  </si>
  <si>
    <t>Спортивный клуб Тарханово</t>
  </si>
  <si>
    <t>Спортивная ул., 1Л, Йошкар-Ола</t>
  </si>
  <si>
    <t>47.85071 56.654719</t>
  </si>
  <si>
    <t>Depech Mod</t>
  </si>
  <si>
    <t>47.892572 56.638696</t>
  </si>
  <si>
    <t>585 Золото</t>
  </si>
  <si>
    <t>8 (800) 555-55-85</t>
  </si>
  <si>
    <t xml:space="preserve">585@zolotoy.ru, rabota@zolotoy.ru  </t>
  </si>
  <si>
    <t>https://www.585zolotoy.ru/</t>
  </si>
  <si>
    <t>https://vk.com/my585zolotoy</t>
  </si>
  <si>
    <t>47.885072 56.634117</t>
  </si>
  <si>
    <t>+7 (8362) 77-99-19</t>
  </si>
  <si>
    <t>Магазин мяса, колбас, Магазин продуктов, Магазин рыбы и морепродуктов</t>
  </si>
  <si>
    <t>47.932 56.639103</t>
  </si>
  <si>
    <t>Россия, Республика Марий Эл, Йошкар-Ола, Садовая улица</t>
  </si>
  <si>
    <t>47.849507 56.632064</t>
  </si>
  <si>
    <t>Автоинлайн</t>
  </si>
  <si>
    <t>+7 (8362) 50-60-40</t>
  </si>
  <si>
    <t>+7 (902) 100-04-94</t>
  </si>
  <si>
    <t xml:space="preserve">klakson.12@mail.ru  </t>
  </si>
  <si>
    <t>https://vk.com/yoshkarola_autoinline</t>
  </si>
  <si>
    <t>https://facebook.com/autoinline.yoshkarola</t>
  </si>
  <si>
    <t>47.867098 56.647113</t>
  </si>
  <si>
    <t>Апартаменты на Ольги Тихомировой 59</t>
  </si>
  <si>
    <t>+7 (961) 336-31-30</t>
  </si>
  <si>
    <t>https://yolarenda.ru/</t>
  </si>
  <si>
    <t>47.877777 56.646416</t>
  </si>
  <si>
    <t>47.833304 56.632113</t>
  </si>
  <si>
    <t>АО Контакт, цех № 8</t>
  </si>
  <si>
    <t>47.864727 56.620705</t>
  </si>
  <si>
    <t>пн-пт 10:00–19:00, перерыв 13:00–14:00; сб,вс 10:00–18:00, перерыв 13:00–14:00</t>
  </si>
  <si>
    <t>47.887583 56.630386</t>
  </si>
  <si>
    <t>Счастливый малыш</t>
  </si>
  <si>
    <t>+7 (8362) 70-02-81</t>
  </si>
  <si>
    <t>47.828857 56.632273</t>
  </si>
  <si>
    <t>+7 (8362) 92-14-15, +7 (8362) 29-01-28</t>
  </si>
  <si>
    <t>пн-пт 10:15–19:00; сб 10:00–16:00</t>
  </si>
  <si>
    <t>Ивушка</t>
  </si>
  <si>
    <t>+7 (937) 938-55-54</t>
  </si>
  <si>
    <t>Магазин одежды, Магазин постельных принадлежностей, Товары для дома</t>
  </si>
  <si>
    <t>пн-пт 09:30–18:30; сб,вс 09:30–17:00</t>
  </si>
  <si>
    <t>https://vk.com/ivushka12</t>
  </si>
  <si>
    <t>47.885563 56.646817</t>
  </si>
  <si>
    <t>Пирожникофф</t>
  </si>
  <si>
    <t>8 (800) 777-10-32</t>
  </si>
  <si>
    <t xml:space="preserve">office@pirojnikoff.ru, pirojnikoff@yandex.ru  </t>
  </si>
  <si>
    <t>https://pirojnikoff.ru/</t>
  </si>
  <si>
    <t>47.952088 56.640248</t>
  </si>
  <si>
    <t>Атмосфера</t>
  </si>
  <si>
    <t>+7 (8362) 71-37-82</t>
  </si>
  <si>
    <t>+7 (917) 708-62-64, +7 (902) 466-37-82</t>
  </si>
  <si>
    <t>Клуб для детей и подростков, Спортивный клуб, секция, Творческий коллектив, Фитнес-клуб, Школа танцев</t>
  </si>
  <si>
    <t>ежедневно, 09:00–21:30</t>
  </si>
  <si>
    <t>47.873986 56.638306</t>
  </si>
  <si>
    <t>Levexx</t>
  </si>
  <si>
    <t>+7 (917) 718-67-81</t>
  </si>
  <si>
    <t xml:space="preserve">selling@levexx.com </t>
  </si>
  <si>
    <t>Промышленное оборудование, Противопожарные системы, Системы вентиляции</t>
  </si>
  <si>
    <t>пн 08:00–18:00; вт-чт 08:00–20:00; пт 08:00–18:00; сб 09:00–14:00</t>
  </si>
  <si>
    <t>47.905326 56.629685</t>
  </si>
  <si>
    <t>РГКУ Информационный центр Республики Марий Эл</t>
  </si>
  <si>
    <t>+7 (8362) 30-00-96, +7 (8362) 56-66-99, +7 (8362) 69-00-20</t>
  </si>
  <si>
    <t>+7 (8362) 63-01-71</t>
  </si>
  <si>
    <t>47.911164 56.63571</t>
  </si>
  <si>
    <t>Fix-сервис</t>
  </si>
  <si>
    <t>+7 (937) 111-50-50, +7 (917) 711-50-50</t>
  </si>
  <si>
    <t>https://vk.com/fixservice12</t>
  </si>
  <si>
    <t>ШинСервис</t>
  </si>
  <si>
    <t>+7 (8362) 44-51-00</t>
  </si>
  <si>
    <t>Сварочные работы, Шиномонтаж</t>
  </si>
  <si>
    <t>47.880778 56.617104</t>
  </si>
  <si>
    <t>Новый Табачок</t>
  </si>
  <si>
    <t>47.94745 56.628954</t>
  </si>
  <si>
    <t>Аптека 12 Плюс</t>
  </si>
  <si>
    <t>47.922475 56.635792</t>
  </si>
  <si>
    <t>47.90946 56.652497</t>
  </si>
  <si>
    <t>Джип-сафари</t>
  </si>
  <si>
    <t>Россия, Республика Марий Эл, Йошкар-Ола, Центральный парк культуры и отдыха</t>
  </si>
  <si>
    <t>Аттракцион</t>
  </si>
  <si>
    <t>47.892217 56.637922</t>
  </si>
  <si>
    <t>Grand apartments Lev Tolstoy</t>
  </si>
  <si>
    <t>47.89221 56.64832</t>
  </si>
  <si>
    <t>Дары Кавказа</t>
  </si>
  <si>
    <t>+7 (8362) 55-09-77</t>
  </si>
  <si>
    <t>47.924833 56.634496</t>
  </si>
  <si>
    <t>+7 (8362) 52-15-21, +7 (8362) 54-54-54</t>
  </si>
  <si>
    <t>ТСН Васильево</t>
  </si>
  <si>
    <t>47.829762 56.637043</t>
  </si>
  <si>
    <t>Такси Народное</t>
  </si>
  <si>
    <t>+7 (8362) 42-30-00, +7 (8362) 50-05-00, +7 (8362) 64-91-08, +7 (8362) 24-24-24</t>
  </si>
  <si>
    <t xml:space="preserve">narodnoetaxi@mail.ru  </t>
  </si>
  <si>
    <t>https://vk.com/taxinarodnoe12</t>
  </si>
  <si>
    <t>Еврофуд</t>
  </si>
  <si>
    <t>47.824466 56.627868</t>
  </si>
  <si>
    <t>Образовательный центр Эволюция</t>
  </si>
  <si>
    <t>ул. Воинов-Интернационалистов, 34, Йошкар-Ола</t>
  </si>
  <si>
    <t>+7 (8362) 23-50-10</t>
  </si>
  <si>
    <t>+7 (902) 105-26-48</t>
  </si>
  <si>
    <t xml:space="preserve">admin@evoeducation.ru, info@evoeducation.ru  </t>
  </si>
  <si>
    <t>http://evoeducation.ru/</t>
  </si>
  <si>
    <t>Дополнительное образование, Курсы иностранных языков, Общеобразовательная школа</t>
  </si>
  <si>
    <t>https://vk.com/evolution_yo</t>
  </si>
  <si>
    <t>https://www.instagram.com/evolution_yo</t>
  </si>
  <si>
    <t>47.917194 56.636717</t>
  </si>
  <si>
    <t>Rock lounge</t>
  </si>
  <si>
    <t>ул. Соловьёва, 22А/1, Йошкар-Ола</t>
  </si>
  <si>
    <t>+7 (967) 757-39-63</t>
  </si>
  <si>
    <t>Бар, паб, Кальян-бар</t>
  </si>
  <si>
    <t>https://www.instagram.com/rocklounge_yo/</t>
  </si>
  <si>
    <t>47.87097 56.626</t>
  </si>
  <si>
    <t>Детская одежда и обувь</t>
  </si>
  <si>
    <t>Магазин детской обуви, Магазин детской одежды</t>
  </si>
  <si>
    <t>47.82096 56.633079</t>
  </si>
  <si>
    <t>Ost Metal</t>
  </si>
  <si>
    <t>Фестивальная ул., 8, Йошкар-Ола</t>
  </si>
  <si>
    <t>+7 (8362) 37-90-44</t>
  </si>
  <si>
    <t>+7 (902) 433-90-44</t>
  </si>
  <si>
    <t>47.839709 56.652749</t>
  </si>
  <si>
    <t>47.89332 56.621783</t>
  </si>
  <si>
    <t>Медведь</t>
  </si>
  <si>
    <t>+7 (902) 430-03-33</t>
  </si>
  <si>
    <t xml:space="preserve">zkp10@ya.ru  </t>
  </si>
  <si>
    <t>http://medvedstroi.ru/</t>
  </si>
  <si>
    <t>Квартиры в новостройках, Строительная компания, Строительное оборудование и техника</t>
  </si>
  <si>
    <t>https://vk.com/medvedstroi</t>
  </si>
  <si>
    <t>47.896142 56.633565</t>
  </si>
  <si>
    <t>Ромбус</t>
  </si>
  <si>
    <t>Комсомольская ул., 122, Йошкар-Ола</t>
  </si>
  <si>
    <t>+7 (8362) 23-36-23</t>
  </si>
  <si>
    <t xml:space="preserve">czk.rhombus@mail.ru  </t>
  </si>
  <si>
    <t>https://rhombus12.ru/</t>
  </si>
  <si>
    <t>https://www.instagram.com/rhombus_yo</t>
  </si>
  <si>
    <t>47.893113 56.636768</t>
  </si>
  <si>
    <t>Глава крестьянского фермерского хозяйства ИП Опалев Дмитрий Александрович</t>
  </si>
  <si>
    <t>+7 (987) 726-53-03</t>
  </si>
  <si>
    <t>Сельскохозяйственное предприятие</t>
  </si>
  <si>
    <t>47.870542 56.635433</t>
  </si>
  <si>
    <t>Хит</t>
  </si>
  <si>
    <t>+7 (8362) 27-87-42</t>
  </si>
  <si>
    <t>+7 (917) 705-85-13</t>
  </si>
  <si>
    <t>+7 (8362) 55-33-40, +7 (8362) 55-33-50</t>
  </si>
  <si>
    <t>47.882258 56.623067</t>
  </si>
  <si>
    <t>Мебель City</t>
  </si>
  <si>
    <t>+7 (8362) 77-41-04</t>
  </si>
  <si>
    <t>47.916221 56.631439</t>
  </si>
  <si>
    <t>Уличный Фотограф</t>
  </si>
  <si>
    <t>Дополнительное образование, Театральное и цирковое образование</t>
  </si>
  <si>
    <t>47.886312 56.629292</t>
  </si>
  <si>
    <t>Дефиле</t>
  </si>
  <si>
    <t>Мишки из роз - Happy Bears</t>
  </si>
  <si>
    <t>+7 (999) 145-91-22</t>
  </si>
  <si>
    <t>https://vk.com/happy_bears12</t>
  </si>
  <si>
    <t>https://www.instagram.com/happy_bears12/</t>
  </si>
  <si>
    <t>47.830106 56.629573</t>
  </si>
  <si>
    <t>Двери тут дешевле</t>
  </si>
  <si>
    <t>+7 (8362) 34-18-39</t>
  </si>
  <si>
    <t>https://vk.com/dweritut</t>
  </si>
  <si>
    <t>https://www.instagram.com/door_tut</t>
  </si>
  <si>
    <t>+7 (8362) 45-28-89, +7 (8362) 45-28-88, +7 (8362) 50-75-07, +7 (8362) 45-69-79</t>
  </si>
  <si>
    <t>Магазин автозапчастей и автотоваров, Шиномонтаж, Шины и диски</t>
  </si>
  <si>
    <t>47.902984 56.647666</t>
  </si>
  <si>
    <t>+7 (937) 939-04-11</t>
  </si>
  <si>
    <t xml:space="preserve">statusvolga@yandex.ru  </t>
  </si>
  <si>
    <t>http://statusvolga.ru/</t>
  </si>
  <si>
    <t>Натяжные и подвесные потолки, Светильники, Светотехника</t>
  </si>
  <si>
    <t>https://vk.com/natyazhnye_potolki_status</t>
  </si>
  <si>
    <t>https://www.instagram.com/status_volga</t>
  </si>
  <si>
    <t>47.87006 56.645486</t>
  </si>
  <si>
    <t>ФГБУ Нижегородский референтный центр Россельхознадзора</t>
  </si>
  <si>
    <t>+7 (8362) 45-76-75, +7 (8362) 46-81-17</t>
  </si>
  <si>
    <t>Лаборатория ветеринарно-санитарной экспертизы, Органы государственного надзора</t>
  </si>
  <si>
    <t>47.89756 56.644262</t>
  </si>
  <si>
    <t>Агентство инвестиционного и экспортного развития</t>
  </si>
  <si>
    <t>Воскресенский просп., 9А, Йошкар-Ола</t>
  </si>
  <si>
    <t>+7 (8362) 34-19-19, +7 (8362) 41-10-10</t>
  </si>
  <si>
    <t>+7 (8362) 41-10-10</t>
  </si>
  <si>
    <t xml:space="preserve">invest.export12@mail.ru  </t>
  </si>
  <si>
    <t>https://export12.com/</t>
  </si>
  <si>
    <t>Бизнес-консалтинг, Инвестиционная компания, Организация конференций и семинаров</t>
  </si>
  <si>
    <t>https://vk.com/exportinvest12</t>
  </si>
  <si>
    <t>https://www.facebook.com/exportinvest12</t>
  </si>
  <si>
    <t>47.912724 56.635744</t>
  </si>
  <si>
    <t>Baby Shop Yoshka</t>
  </si>
  <si>
    <t>+7 (937) 938-69-52</t>
  </si>
  <si>
    <t>Секьюрити Профи</t>
  </si>
  <si>
    <t>47.859684 56.640953</t>
  </si>
  <si>
    <t>Строй сам</t>
  </si>
  <si>
    <t>+7 (8362) 29-58-75</t>
  </si>
  <si>
    <t>+7 (902) 102-68-10</t>
  </si>
  <si>
    <t>Водостоки и водосточные системы, Кровля и кровельные материалы, Фасады и фасадные системы</t>
  </si>
  <si>
    <t>https://vk.com/stroysam12</t>
  </si>
  <si>
    <t>47.870593 56.630764</t>
  </si>
  <si>
    <t>Хостел на Чехова</t>
  </si>
  <si>
    <t>Россия, Республика Марий Эл, Йошкар-Ола, улица Чехова</t>
  </si>
  <si>
    <t>+7 (917) 071-33-99</t>
  </si>
  <si>
    <t>47.89352 56.64343</t>
  </si>
  <si>
    <t>Отдел электротоваров</t>
  </si>
  <si>
    <t>47.925557 56.634413</t>
  </si>
  <si>
    <t>+7 (964) 250-05-30, +7 (902) 670-98-00</t>
  </si>
  <si>
    <t>Агентство недвижимости, Финансовый консалтинг, Юридические услуги</t>
  </si>
  <si>
    <t>пн-пт 09:00–18:00; сб 13:00–15:00</t>
  </si>
  <si>
    <t>Волжская Бумажная Компания</t>
  </si>
  <si>
    <t>ул. Никиткино, 16, Йошкар-Ола</t>
  </si>
  <si>
    <t>+7 (8362) 23-14-40, +7 (8362) 23-14-44</t>
  </si>
  <si>
    <t>47.959346 56.615847</t>
  </si>
  <si>
    <t>Регион-12</t>
  </si>
  <si>
    <t>+7 (927) 883-03-07, +7 (960) 095-31-11, +7 (917) 706-98-46</t>
  </si>
  <si>
    <t xml:space="preserve">region12@inbox.ru  </t>
  </si>
  <si>
    <t>http://region12-avto.ru/</t>
  </si>
  <si>
    <t>47.87415 56.622167</t>
  </si>
  <si>
    <t>ул. Анникова, 6Б, Йошкар-Ола</t>
  </si>
  <si>
    <t>47.841498 56.647027</t>
  </si>
  <si>
    <t>47.925199 56.627696</t>
  </si>
  <si>
    <t>47.891973 56.632265</t>
  </si>
  <si>
    <t>Сайдорс</t>
  </si>
  <si>
    <t>ул. Строителей, 95, корп. 103, стр. 3, Йошкар-Ола</t>
  </si>
  <si>
    <t xml:space="preserve">bestexit@bk.ru  </t>
  </si>
  <si>
    <t>http://bestexit.ru/</t>
  </si>
  <si>
    <t>Двери, Кованые изделия, Металлоконструкции, Производственное предприятие</t>
  </si>
  <si>
    <t>Питьевые галереи и источники</t>
  </si>
  <si>
    <t>Молодёжная ул., 41, Йошкар-Ола</t>
  </si>
  <si>
    <t>Водоразборная колонка, Питьевые галереи и источники</t>
  </si>
  <si>
    <t>47.851448 56.659066</t>
  </si>
  <si>
    <t>Красноармейская ул., 109, Йошкар-Ола</t>
  </si>
  <si>
    <t>47.859328 56.644652</t>
  </si>
  <si>
    <t>География</t>
  </si>
  <si>
    <t>8 (800) 700-10-40, +7 (8362) 32-55-25</t>
  </si>
  <si>
    <t xml:space="preserve">cb21@geograftour.com, buh2@geograftour.by, agent@geograftour.by, almata4@geograftour.kz  </t>
  </si>
  <si>
    <t>http://www.geograftour.com/</t>
  </si>
  <si>
    <t>https://vk.com/geograftur</t>
  </si>
  <si>
    <t>https://www.facebook.com/geograftourrr</t>
  </si>
  <si>
    <t>https://www.instagram.com/geograftur_rus</t>
  </si>
  <si>
    <t>47.930134 56.627936</t>
  </si>
  <si>
    <t>47.91528 56.643569</t>
  </si>
  <si>
    <t>Bike-Service</t>
  </si>
  <si>
    <t>+7 (8362) 77-80-21</t>
  </si>
  <si>
    <t>Ремонт велосипедов</t>
  </si>
  <si>
    <t>вт-сб 12:00–18:00, перерыв 14:00–15:00</t>
  </si>
  <si>
    <t>https://vk.com/public192939001</t>
  </si>
  <si>
    <t>47.848108 56.62802</t>
  </si>
  <si>
    <t>47.922099 56.640158</t>
  </si>
  <si>
    <t>Россия, Республика Марий Эл, Йошкар-Ола, микрорайон Спортивный</t>
  </si>
  <si>
    <t>47.915929 56.637974</t>
  </si>
  <si>
    <t>Киоск по продаже косметики и сувениров</t>
  </si>
  <si>
    <t>Детские игрушки и игры, Магазин парфюмерии и косметики, Магазин подарков и сувениров</t>
  </si>
  <si>
    <t>Восток Строй</t>
  </si>
  <si>
    <t>47.887858 56.645089</t>
  </si>
  <si>
    <t>Елес</t>
  </si>
  <si>
    <t>+7 (8362) 38-30-60</t>
  </si>
  <si>
    <t>https://vk.com/eles_12</t>
  </si>
  <si>
    <t>https://www.instagram.com/studio__eles/</t>
  </si>
  <si>
    <t>47.8568 56.642722</t>
  </si>
  <si>
    <t>Sunmar, туристическое агентство</t>
  </si>
  <si>
    <t>+7 (8362) 32-52-32</t>
  </si>
  <si>
    <t>+7 (927) 883-52-78</t>
  </si>
  <si>
    <t>47.869883 56.64546</t>
  </si>
  <si>
    <t>47.92629 56.635127</t>
  </si>
  <si>
    <t>47.946127 56.626661</t>
  </si>
  <si>
    <t>Рабочий Персонал</t>
  </si>
  <si>
    <t>8 (800) 201-96-05, +7 (8362) 26-66-05</t>
  </si>
  <si>
    <t xml:space="preserve">rabochy-personal@mail.ru </t>
  </si>
  <si>
    <t>http://rabochy-personal.ru/</t>
  </si>
  <si>
    <t>Аутсорсинг, Земляные работы, Услуги грузчиков</t>
  </si>
  <si>
    <t>Дизайн Проект 12</t>
  </si>
  <si>
    <t>+7 (8362) 50-16-50</t>
  </si>
  <si>
    <t>Denim</t>
  </si>
  <si>
    <t>47.843299 56.641217</t>
  </si>
  <si>
    <t>Метдор</t>
  </si>
  <si>
    <t>+7 (8362) 33-30-83</t>
  </si>
  <si>
    <t>Общественный корпус детских правозащитников</t>
  </si>
  <si>
    <t>+7 (909) 367-08-41</t>
  </si>
  <si>
    <t>Офис Права</t>
  </si>
  <si>
    <t>+7 (8362) 31-61-60</t>
  </si>
  <si>
    <t xml:space="preserve">info@jurist12.ru  </t>
  </si>
  <si>
    <t>https://jurist12.ru/</t>
  </si>
  <si>
    <t>Агентство недвижимости, Адвокаты, Юридические услуги</t>
  </si>
  <si>
    <t>KupiVIP - пункт выдачи заказов</t>
  </si>
  <si>
    <t>8 (800) 100-44-99</t>
  </si>
  <si>
    <t>http://kupivip.ru/</t>
  </si>
  <si>
    <t>https://vk.com/kupivipru</t>
  </si>
  <si>
    <t>https://ok.ru/kupivip.ru</t>
  </si>
  <si>
    <t>https://www.facebook.com/kupivip.ru</t>
  </si>
  <si>
    <t>https://www.instagram.com/kupivip/</t>
  </si>
  <si>
    <t>47.88784 56.627971</t>
  </si>
  <si>
    <t>47.863709 56.649507</t>
  </si>
  <si>
    <t>ГК Северный</t>
  </si>
  <si>
    <t>Россия, Республика Марий Эл, Йошкар-Ола, микрорайон Тарханово</t>
  </si>
  <si>
    <t>47.85448 56.659047</t>
  </si>
  <si>
    <t>Фотон</t>
  </si>
  <si>
    <t>47.843253 56.640957</t>
  </si>
  <si>
    <t>ул. Йывана Кырли, 28А, Йошкар-Ола</t>
  </si>
  <si>
    <t>47.838384 56.638889</t>
  </si>
  <si>
    <t>Кладка, сеть складов строительных материалов</t>
  </si>
  <si>
    <t>Магазин натуральных камней и ювелирных изделий</t>
  </si>
  <si>
    <t>Бюро судебно-медицинской экспертизы</t>
  </si>
  <si>
    <t>47.830181 56.614691</t>
  </si>
  <si>
    <t>Телефон доверия</t>
  </si>
  <si>
    <t>просп. Гагарина, 16А, Йошкар-Ола</t>
  </si>
  <si>
    <t>47.884121 56.626203</t>
  </si>
  <si>
    <t>Масло</t>
  </si>
  <si>
    <t>+7 (8362) 45-06-73</t>
  </si>
  <si>
    <t>Акцепт</t>
  </si>
  <si>
    <t>+7 (8362) 94-32-50</t>
  </si>
  <si>
    <t>+7 (902) 103-72-37</t>
  </si>
  <si>
    <t>Цех УКВ</t>
  </si>
  <si>
    <t>ул. Осипенко, 50А, Йошкар-Ола</t>
  </si>
  <si>
    <t>Промышленная инфраструктура</t>
  </si>
  <si>
    <t>47.879626 56.645034</t>
  </si>
  <si>
    <t>Наденька</t>
  </si>
  <si>
    <t>47.832979 56.636645</t>
  </si>
  <si>
    <t>Каскад</t>
  </si>
  <si>
    <t>47.853662 56.627328</t>
  </si>
  <si>
    <t>ул. Осипенко, 2, Йошкар-Ола</t>
  </si>
  <si>
    <t>+7 (902) 430-87-07</t>
  </si>
  <si>
    <t>пн-пт 07:00–20:00; сб,вс 07:00–16:00</t>
  </si>
  <si>
    <t>47.88616 56.65417</t>
  </si>
  <si>
    <t>47.889471 56.632429</t>
  </si>
  <si>
    <t>Stihl</t>
  </si>
  <si>
    <t>47.873511 56.652544</t>
  </si>
  <si>
    <t>Hermes</t>
  </si>
  <si>
    <t>8 (800) 350-95-43, 8 (800) 775-62-75</t>
  </si>
  <si>
    <t xml:space="preserve">mail@example.com, hr@hermesrussia.ru  </t>
  </si>
  <si>
    <t>http://www.hermesrussia.ru/</t>
  </si>
  <si>
    <t>пн-пт 10:00–20:00; сб 10:00–19:00</t>
  </si>
  <si>
    <t>47.870238 56.636422</t>
  </si>
  <si>
    <t>Апартаменты Совершенная классика в центре Столицы</t>
  </si>
  <si>
    <t>Первомайская ул., 148А, Йошкар-Ола</t>
  </si>
  <si>
    <t>47.881952 56.634247</t>
  </si>
  <si>
    <t>Чемоданыч Плюс</t>
  </si>
  <si>
    <t>47.896356 56.634552</t>
  </si>
  <si>
    <t>Giromax - гироскутеры в Йошкар-Оле</t>
  </si>
  <si>
    <t>Массажный кабинет</t>
  </si>
  <si>
    <t>бул. Победы, 37, Йошкар-Ола</t>
  </si>
  <si>
    <t>+7 (927) 683-46-84</t>
  </si>
  <si>
    <t>47.872273 56.639258</t>
  </si>
  <si>
    <t>1X</t>
  </si>
  <si>
    <t>47.877247 56.628645</t>
  </si>
  <si>
    <t>Сон и я</t>
  </si>
  <si>
    <t>+7 (912) 557-92-79</t>
  </si>
  <si>
    <t>+7 (8362) 23-25-37</t>
  </si>
  <si>
    <t>http://steklo-bridj.ru/</t>
  </si>
  <si>
    <t>ГК Пограничник</t>
  </si>
  <si>
    <t>Автосервис, автотехцентр, Гаражный кооператив</t>
  </si>
  <si>
    <t>вт-вс 10:00–22:00</t>
  </si>
  <si>
    <t>47.825506 56.630625</t>
  </si>
  <si>
    <t>Детский сад № 52 г. Йошкар-олы Колибри</t>
  </si>
  <si>
    <t>ул. Эшкинина, 7, Йошкар-Ола</t>
  </si>
  <si>
    <t xml:space="preserve">uoa-yoshkar-ola@yandex.ru, info@school1yola.ru, olaschool2@yandex.ru, mou-sh3-yoshkar-ola@yandex.ru, yoshgim4@mail.ru  </t>
  </si>
  <si>
    <t>http://yola.edu12.ru/</t>
  </si>
  <si>
    <t>47.907999 56.628926</t>
  </si>
  <si>
    <t>ГБУ РМЭ Йошкар-Олинская детская городская больница, отделение патологий новорожденных и недоношенных детей</t>
  </si>
  <si>
    <t>+7 (8362) 64-19-76, +7 (8362) 45-55-89</t>
  </si>
  <si>
    <t>Apartment on Antsiferova st 33a</t>
  </si>
  <si>
    <t>ул. Анциферова, 33А, Йошкар-Ола</t>
  </si>
  <si>
    <t>47.866672 56.642808</t>
  </si>
  <si>
    <t>СпецТорг+</t>
  </si>
  <si>
    <t>+7 (8362) 50-05-67</t>
  </si>
  <si>
    <t xml:space="preserve">500567@inbox.ru  </t>
  </si>
  <si>
    <t>http://500567.ru/</t>
  </si>
  <si>
    <t>Магазин посуды, Магазин хозтоваров и бытовой химии, Мебель на заказ, Оборудование для ресторанов, Оптовый магазин, Посуда оптом, Текстильная компания</t>
  </si>
  <si>
    <t>47.888417 56.630682</t>
  </si>
  <si>
    <t>Магнолия</t>
  </si>
  <si>
    <t>Сернурский тракт, 6, Йошкар-Ола</t>
  </si>
  <si>
    <t>47.955342 56.649446</t>
  </si>
  <si>
    <t>Молния</t>
  </si>
  <si>
    <t>Магазин электроники, Товары для мобильных телефонов, Электротехническая продукция</t>
  </si>
  <si>
    <t>47.907711 56.629907</t>
  </si>
  <si>
    <t>Сдобно-ВО!</t>
  </si>
  <si>
    <t>Кондитерская, Торты на заказ</t>
  </si>
  <si>
    <t>47.863448 56.649621</t>
  </si>
  <si>
    <t>47.856124 56.650214</t>
  </si>
  <si>
    <t>Независимый предприниматель Amway Медведева Елена. Йошкар-Ола</t>
  </si>
  <si>
    <t>Полезный Юрист</t>
  </si>
  <si>
    <t>+7 (902) 106-52-33, +7 (902) 739-30-66</t>
  </si>
  <si>
    <t>https://vk.com/poleznyi_jurist</t>
  </si>
  <si>
    <t>ежедневно, 08:00–22:00, перерыв 12:30–13:00</t>
  </si>
  <si>
    <t>47.826496 56.636623</t>
  </si>
  <si>
    <t>Конфискат/Мега Сити</t>
  </si>
  <si>
    <t>Магазин детской одежды, Магазин обуви, Магазин одежды, Магазин постельных принадлежностей</t>
  </si>
  <si>
    <t>Мастерская по ремонту обуви</t>
  </si>
  <si>
    <t>47.907281 56.629628</t>
  </si>
  <si>
    <t>Интерфарм-3</t>
  </si>
  <si>
    <t>8 (800) 100-09-91, +7 (8362) 72-40-20, +7 (8362) 42-23-14, +7 (8362) 42-23-09</t>
  </si>
  <si>
    <t>пн-пт 08:00–21:00; сб,вс 09:00–20:00</t>
  </si>
  <si>
    <t>47.873987 56.636915</t>
  </si>
  <si>
    <t>+7 (8362) 79-97-00</t>
  </si>
  <si>
    <t>+7 (902) 109-49-49</t>
  </si>
  <si>
    <t>Магазин товаров смешанного типа</t>
  </si>
  <si>
    <t>Детские игрушки и игры, Книжный магазин, Магазин хозтоваров и бытовой химии</t>
  </si>
  <si>
    <t>47.963535 56.639249</t>
  </si>
  <si>
    <t>Балетная студия Эльвиры Большовой</t>
  </si>
  <si>
    <t>+7 (987) 717-40-58</t>
  </si>
  <si>
    <t>пн-пт 17:45–20:30</t>
  </si>
  <si>
    <t>ул. Прохорова, 31Б, Йошкар-Ола</t>
  </si>
  <si>
    <t>47.839574 56.633877</t>
  </si>
  <si>
    <t>47.837046 56.640072</t>
  </si>
  <si>
    <t>KFC</t>
  </si>
  <si>
    <t>+7 (937) 573-37-43</t>
  </si>
  <si>
    <t xml:space="preserve">kfc@grayling.com  </t>
  </si>
  <si>
    <t>https://www.kfc.ru/restaurants/1329</t>
  </si>
  <si>
    <t>https://vk.com/kfcrussia</t>
  </si>
  <si>
    <t>https://www.facebook.com/kfcrussia</t>
  </si>
  <si>
    <t>https://www.instagram.com/kfcrussia/</t>
  </si>
  <si>
    <t>47.843768 56.641192</t>
  </si>
  <si>
    <t>Подушки-обнимашки</t>
  </si>
  <si>
    <t>+7 (937) 939-25-30</t>
  </si>
  <si>
    <t xml:space="preserve">info@podushki-obnimashki.ru  </t>
  </si>
  <si>
    <t>http://podushki-obnimashki.ru/</t>
  </si>
  <si>
    <t>https://vk.com/podushki__obnimashki</t>
  </si>
  <si>
    <t>https://www.instagram.com/podushki.obnimashki/?hl=ru</t>
  </si>
  <si>
    <t>Россия, Республика Марий Эл, Йошкар-Ола, Октябрьский микрорайон</t>
  </si>
  <si>
    <t>47.841255 56.633863</t>
  </si>
  <si>
    <t>Корейская косметика Йошкар-Ола</t>
  </si>
  <si>
    <t xml:space="preserve">info@kor-kos.ru  </t>
  </si>
  <si>
    <t>http://kor-kos.ru/</t>
  </si>
  <si>
    <t>Партнер Яндекс.Такси</t>
  </si>
  <si>
    <t>8 (800) 301-10-32</t>
  </si>
  <si>
    <t xml:space="preserve">me@example.com, u002f91e0b325cc754b6f8c36853c2c6b194c@sentry.iddqd.yandex.net  </t>
  </si>
  <si>
    <t>https://taxi.yandex.ru/rabota/?utm_campaign=yaspavcardu0026utm_content=yapartneru0026utm_source=yaspravochnik, https://taxi.yandex.ru/rabota/gorod/rf/?c=Йошкар-Олаu0026m=2u0026utm_campaign=yaspavcardu0026utm_content=yapartneru0026utm_source=yaspravochniku0026utm_term=Йошкар-Ола</t>
  </si>
  <si>
    <t>Партнеры Яндекс.Такси</t>
  </si>
  <si>
    <t>ежедневно, 09:00–14:00</t>
  </si>
  <si>
    <t>47.946981 56.637419</t>
  </si>
  <si>
    <t>47.898921 56.637581</t>
  </si>
  <si>
    <t>Вранац</t>
  </si>
  <si>
    <t>ул. Рябинина, 2, Йошкар-Ола</t>
  </si>
  <si>
    <t>пн-чт 11:00–23:00; пт,сб 11:00–00:00; вс 11:00–23:00</t>
  </si>
  <si>
    <t>https://vk.com/vranac12</t>
  </si>
  <si>
    <t>47.878385 56.641633</t>
  </si>
  <si>
    <t>IML</t>
  </si>
  <si>
    <t>8 (800) 755-75-51, +7 (495) 988-49-05</t>
  </si>
  <si>
    <t xml:space="preserve">call@iml.ru, sales_department@iml.ru  </t>
  </si>
  <si>
    <t>https://iml.ru/</t>
  </si>
  <si>
    <t>https://vk.com/iml_official</t>
  </si>
  <si>
    <t>https://www.facebook.com/iml.ru</t>
  </si>
  <si>
    <t>http://instagram.com/iml_delivery</t>
  </si>
  <si>
    <t>47.870158 56.636218</t>
  </si>
  <si>
    <t>Бар Столичный</t>
  </si>
  <si>
    <t>47.873166 56.650831</t>
  </si>
  <si>
    <t>47.883209 56.633457</t>
  </si>
  <si>
    <t>Платёжный терминал</t>
  </si>
  <si>
    <t>47.952326 56.621423</t>
  </si>
  <si>
    <t>Психолог Трифонова У. П.</t>
  </si>
  <si>
    <t>+7 (917) 707-07-05</t>
  </si>
  <si>
    <t xml:space="preserve">happy-psychology@yandex.ru  </t>
  </si>
  <si>
    <t>https://happy-psychology.ru/</t>
  </si>
  <si>
    <t>Психологическая служба, Семейное консультирование</t>
  </si>
  <si>
    <t>https://vk.com/be_happy_psychologist</t>
  </si>
  <si>
    <t>https://www.instagram.com/uliyana_trifonova/</t>
  </si>
  <si>
    <t>47.852417 56.631357</t>
  </si>
  <si>
    <t>Морфей</t>
  </si>
  <si>
    <t>Проектная студия Дизайнер</t>
  </si>
  <si>
    <t>47.90974 56.628573</t>
  </si>
  <si>
    <t>Ульяна</t>
  </si>
  <si>
    <t>+7 (917) 071-62-16</t>
  </si>
  <si>
    <t>http://ulyana-mebel12.ru/</t>
  </si>
  <si>
    <t>Магазин мебели, Мебель для спальни, Мягкая мебель</t>
  </si>
  <si>
    <t>https://www.instagram.com/mebel_ulyana</t>
  </si>
  <si>
    <t>47.832915 56.641519</t>
  </si>
  <si>
    <t>47.84543 56.641723</t>
  </si>
  <si>
    <t>Галерея искусства АРТ-Витрина</t>
  </si>
  <si>
    <t>+7 (987) 710-01-58</t>
  </si>
  <si>
    <t xml:space="preserve">info@artvitrina.com  </t>
  </si>
  <si>
    <t>http://www.artvitrina.com/</t>
  </si>
  <si>
    <t>Выставочный центр, Музей, Художественный салон</t>
  </si>
  <si>
    <t>https://vk.com/artvitrinagallery</t>
  </si>
  <si>
    <t>https://www.facebook.com/ARTvitrina.Gallery/</t>
  </si>
  <si>
    <t>https://www.instagram.com/Artvitrina.gallery</t>
  </si>
  <si>
    <t>47.886903 56.640303</t>
  </si>
  <si>
    <t>Экопромбезопасность</t>
  </si>
  <si>
    <t>+7 (8362) 25-59-88</t>
  </si>
  <si>
    <t>+7 (902) 329-03-38</t>
  </si>
  <si>
    <t>Одежда и обувь</t>
  </si>
  <si>
    <t>47.94704 56.626518</t>
  </si>
  <si>
    <t>47.832662 56.6436</t>
  </si>
  <si>
    <t>Авантис Моторс</t>
  </si>
  <si>
    <t>8 (800) 333-08-29, +7 (8362) 38-50-83</t>
  </si>
  <si>
    <t xml:space="preserve">zakaz@avantsb.ru, info@avantsb.ru  </t>
  </si>
  <si>
    <t>http://www.avantsb.ru/</t>
  </si>
  <si>
    <t>https://vk.com/avantis.official</t>
  </si>
  <si>
    <t>https://www.facebook.com/avantis.official</t>
  </si>
  <si>
    <t>https://www.instagram.com/avantis.official</t>
  </si>
  <si>
    <t>47.886777 56.64453</t>
  </si>
  <si>
    <t>Шинмастер</t>
  </si>
  <si>
    <t>+7 (8362) 76-07-00</t>
  </si>
  <si>
    <t>+7 (902) 466-02-32</t>
  </si>
  <si>
    <t>http://instagram.com/shinmaster_12</t>
  </si>
  <si>
    <t>47.900491 56.654821</t>
  </si>
  <si>
    <t>+7 (917) 701-89-94, +7 (902) 438-27-32</t>
  </si>
  <si>
    <t>47.829432 56.637268</t>
  </si>
  <si>
    <t>Россия, Республика Марий Эл, Йошкар-Ола, микрорайон Юбилейный</t>
  </si>
  <si>
    <t>47.922738 56.630763</t>
  </si>
  <si>
    <t>Baraшек</t>
  </si>
  <si>
    <t>+7 (8362) 36-99-99</t>
  </si>
  <si>
    <t xml:space="preserve">info@barashek.ru  </t>
  </si>
  <si>
    <t>https://barashek.ru/?utm_campaign=sprav_siteu0026utm_medium=spravu0026utm_source=yandex</t>
  </si>
  <si>
    <t>пн-чт 11:00–21:00; пт,сб 11:00–23:00; вс 11:00–21:00</t>
  </si>
  <si>
    <t>https://vk.com/barashek</t>
  </si>
  <si>
    <t>https://www.instagram.com/barashekru</t>
  </si>
  <si>
    <t>47.91165 56.631396</t>
  </si>
  <si>
    <t>Логопед Актив</t>
  </si>
  <si>
    <t>+7 (937) 938-25-54</t>
  </si>
  <si>
    <t xml:space="preserve">yulya.domracheva.1996@mail.ru  </t>
  </si>
  <si>
    <t>http://logopedaktiv.ru/</t>
  </si>
  <si>
    <t>Логопеды</t>
  </si>
  <si>
    <t>https://www.instagram.com/logopedaktiv_yo</t>
  </si>
  <si>
    <t>47.888015 56.635094</t>
  </si>
  <si>
    <t>Арский кирпич - Отдел продаж</t>
  </si>
  <si>
    <t>Арматурная ул., 7, Йошкар-Ола</t>
  </si>
  <si>
    <t>+7 (843) 253-10-33</t>
  </si>
  <si>
    <t>+7 (903) 305-10-33</t>
  </si>
  <si>
    <t>http://aspk.su/</t>
  </si>
  <si>
    <t>Кирпич, Строительный магазин</t>
  </si>
  <si>
    <t>пн-пт 07:00–19:00; сб 07:00–15:00</t>
  </si>
  <si>
    <t>https://vk.com/aspkarsk</t>
  </si>
  <si>
    <t>https://www.instagram.com/arsky_kirpich</t>
  </si>
  <si>
    <t>Хорошие Кухни</t>
  </si>
  <si>
    <t>+7 (8362) 90-09-72</t>
  </si>
  <si>
    <t>https://vk.com/horkuhni</t>
  </si>
  <si>
    <t>Серебряная ложка</t>
  </si>
  <si>
    <t>+7 (8362) 27-35-30</t>
  </si>
  <si>
    <t>+7 (902) 735-35-30</t>
  </si>
  <si>
    <t>47.884942 56.635859</t>
  </si>
  <si>
    <t>Лером</t>
  </si>
  <si>
    <t>+7 (937) 933-84-40</t>
  </si>
  <si>
    <t>Готов к труду и обороне</t>
  </si>
  <si>
    <t>47.948731 56.624429</t>
  </si>
  <si>
    <t>DeD</t>
  </si>
  <si>
    <t>+7 (927) 877-55-77</t>
  </si>
  <si>
    <t xml:space="preserve">ded.lounge.bar@yandex.ru, info@domain.com  </t>
  </si>
  <si>
    <t>http://ded12.ru/</t>
  </si>
  <si>
    <t>Игровые приставки, Кальян-бар, Кафе</t>
  </si>
  <si>
    <t>пн-чт 12:00–01:00; пт,сб 12:00–03:00; вс 12:00–01:00</t>
  </si>
  <si>
    <t>https://vk.com/ded_lounge_bar_yo</t>
  </si>
  <si>
    <t>https://www.youtube.com/channel/UCjDFPxUQJ1rbKE6x32QPLZg</t>
  </si>
  <si>
    <t>https://www.instagram.com/ded_hookah/</t>
  </si>
  <si>
    <t>47.901854 56.632818</t>
  </si>
  <si>
    <t>Бутера кофе</t>
  </si>
  <si>
    <t>Hand Made</t>
  </si>
  <si>
    <t>+7 (8362) 66-05-06</t>
  </si>
  <si>
    <t>Магазин подарков и сувениров, Художественный салон</t>
  </si>
  <si>
    <t>https://vk.com/handmade660506</t>
  </si>
  <si>
    <t>Cats</t>
  </si>
  <si>
    <t>47.893041 56.63853</t>
  </si>
  <si>
    <t>Сервис Технолоджи Групп</t>
  </si>
  <si>
    <t>+7 (8362) 38-08-71</t>
  </si>
  <si>
    <t>47.943473 56.636258</t>
  </si>
  <si>
    <t>47.870804 56.645928</t>
  </si>
  <si>
    <t>Россия, Республика Марий Эл, Йошкар-Ола, микрорайон Сомбатхей</t>
  </si>
  <si>
    <t>47.915664 56.629324</t>
  </si>
  <si>
    <t>Йошкар-Олинская детская городская больница Онкогематологическое отделение</t>
  </si>
  <si>
    <t>Природные самоцветы</t>
  </si>
  <si>
    <t>47.891459 56.634073</t>
  </si>
  <si>
    <t>Vetro</t>
  </si>
  <si>
    <t>8 (800) 707-44-94, 8 (800) 707-77-52</t>
  </si>
  <si>
    <t xml:space="preserve">island@vetro.com.ru  </t>
  </si>
  <si>
    <t>https://vetro.pro/, http://vetro.com.ru/, https://yoshkar-ola.vetro.pro/</t>
  </si>
  <si>
    <t>Автостекла, Стекло, стекольная продукция, Тонирование стекол</t>
  </si>
  <si>
    <t>https://vk.com/avtosteklo_vetro</t>
  </si>
  <si>
    <t>https://www.facebook.com/avtosteklovetro</t>
  </si>
  <si>
    <t>Shambhala</t>
  </si>
  <si>
    <t>пн-пт 07:30–19:00; сб 08:00–18:00</t>
  </si>
  <si>
    <t>47.863533 56.645879</t>
  </si>
  <si>
    <t>Дневной стационар</t>
  </si>
  <si>
    <t>47.945535 56.623603</t>
  </si>
  <si>
    <t>Учебная парикмахерская</t>
  </si>
  <si>
    <t>47.845037 56.628223</t>
  </si>
  <si>
    <t>Напольные покрытия, Оптовый магазин, Строительный магазин</t>
  </si>
  <si>
    <t>ЖК Симфония</t>
  </si>
  <si>
    <t>ул. Баумана, 66, Йошкар-Ола</t>
  </si>
  <si>
    <t>+7 (8362) 32-12-10</t>
  </si>
  <si>
    <t>http://baumana.novdom7.ru/</t>
  </si>
  <si>
    <t>47.848862 56.634163</t>
  </si>
  <si>
    <t>Рыба</t>
  </si>
  <si>
    <t>47.922058 56.630134</t>
  </si>
  <si>
    <t>Асна</t>
  </si>
  <si>
    <t xml:space="preserve">director@asna.ru, fb@asna.ru, reklama@asna.ru  </t>
  </si>
  <si>
    <t>https://www.asna.ru/</t>
  </si>
  <si>
    <t>https://vk.com/asna_ru</t>
  </si>
  <si>
    <t>Студия красоты Diamond</t>
  </si>
  <si>
    <t>+7 (917) 904-52-93</t>
  </si>
  <si>
    <t>47.83441 56.644168</t>
  </si>
  <si>
    <t>Живинка</t>
  </si>
  <si>
    <t>+7 (8362) 35-79-00</t>
  </si>
  <si>
    <t>+7 (927) 870-41-56</t>
  </si>
  <si>
    <t>http://travel-agency-2699.business.site/</t>
  </si>
  <si>
    <t>пн-пт 10:00–19:00, перерыв 15:00–16:00</t>
  </si>
  <si>
    <t>Evkrata</t>
  </si>
  <si>
    <t>Магазин канцтоваров и игрушек</t>
  </si>
  <si>
    <t>47.889979 56.641534</t>
  </si>
  <si>
    <t>Медицинский центр Мобилизационных Резервов Резерв</t>
  </si>
  <si>
    <t>+7 (8362) 72-88-10</t>
  </si>
  <si>
    <t>Медицинская лаборатория, Патронажная служба, Скорая медицинская помощь</t>
  </si>
  <si>
    <t>47.863649 56.624782</t>
  </si>
  <si>
    <t>47.892148 56.631032</t>
  </si>
  <si>
    <t>Ландшафт-сервис, Ландшафтная Компания</t>
  </si>
  <si>
    <t>Comepay</t>
  </si>
  <si>
    <t xml:space="preserve">claim@comepay.ru, user@mydomain.ru </t>
  </si>
  <si>
    <t>https://money.comepay.ru/, https://comepay.ru/</t>
  </si>
  <si>
    <t>Вита Центральная</t>
  </si>
  <si>
    <t>пн-сб 07:00–22:00; вс 08:00–22:00</t>
  </si>
  <si>
    <t>47.884974 56.635932</t>
  </si>
  <si>
    <t>ул. Чехова, 18А, Йошкар-Ола</t>
  </si>
  <si>
    <t>Чио Чио</t>
  </si>
  <si>
    <t>8 (800) 200-13-27, +7 (8362) 33-80-04, +7 (8362) 33-40-10</t>
  </si>
  <si>
    <t>+7 (937) 932-80-04</t>
  </si>
  <si>
    <t xml:space="preserve">ilnazmail@gmail.com  </t>
  </si>
  <si>
    <t>http://chio-chio.ru/</t>
  </si>
  <si>
    <t>Барбершоп, Парикмахерская, Салон бровей и ресниц, Салон красоты</t>
  </si>
  <si>
    <t>https://vk.com/chiochio_yoshkarola</t>
  </si>
  <si>
    <t>https://www.instagram.com/chiochio_yo</t>
  </si>
  <si>
    <t>47.922446 56.630084</t>
  </si>
  <si>
    <t>Inside</t>
  </si>
  <si>
    <t>+7 (902) 436-60-85</t>
  </si>
  <si>
    <t xml:space="preserve">inside.market.7@gmail.com  </t>
  </si>
  <si>
    <t>http://in-side.market/</t>
  </si>
  <si>
    <t>Товары для мобильных телефонов</t>
  </si>
  <si>
    <t>https://vk.com/inside_market</t>
  </si>
  <si>
    <t>https://www.instagram.com/in_side.market</t>
  </si>
  <si>
    <t>Крепежные изделия, Лакокрасочные материалы, Магазин хозтоваров и бытовой химии</t>
  </si>
  <si>
    <t>47.835032 56.635354</t>
  </si>
  <si>
    <t>ул. Соловьёва, 7, Йошкар-Ола</t>
  </si>
  <si>
    <t>47.875081 56.620081</t>
  </si>
  <si>
    <t>Территория Красоты</t>
  </si>
  <si>
    <t>https://vk.com/id208056820</t>
  </si>
  <si>
    <t>47.86417 56.646727</t>
  </si>
  <si>
    <t>Спутник</t>
  </si>
  <si>
    <t>+7 (917) 713-07-31</t>
  </si>
  <si>
    <t>ул. Панфилова, 28А, Йошкар-Ола</t>
  </si>
  <si>
    <t>47.880844 56.627385</t>
  </si>
  <si>
    <t>ДокторПрофи</t>
  </si>
  <si>
    <t>+7 (8362) 38-53-84, +7 (8362) 32-59-09, +7 (8362) 23-18-23, +7 (8362) 32-63-23</t>
  </si>
  <si>
    <t xml:space="preserve">info@doctorprofi12.ru  </t>
  </si>
  <si>
    <t>http://doctorprofi12.ru/</t>
  </si>
  <si>
    <t>47.887041 56.629679</t>
  </si>
  <si>
    <t>Vиктория</t>
  </si>
  <si>
    <t>47.888873 56.630094</t>
  </si>
  <si>
    <t>Школа танцев Успех</t>
  </si>
  <si>
    <t>+7 (902) 744-79-56</t>
  </si>
  <si>
    <t xml:space="preserve">vystupay@gmail.com  </t>
  </si>
  <si>
    <t>пн-пт 18:00–21:00</t>
  </si>
  <si>
    <t>https://vk.com/club115978794</t>
  </si>
  <si>
    <t>Sweet Kids Mariel</t>
  </si>
  <si>
    <t>+7 (917) 719-79-79</t>
  </si>
  <si>
    <t>Автокресла, Детский магазин</t>
  </si>
  <si>
    <t>https://vk.com/sweetkidsmariel</t>
  </si>
  <si>
    <t>47.87361 56.647729</t>
  </si>
  <si>
    <t>The room</t>
  </si>
  <si>
    <t>Cosmogon.ru</t>
  </si>
  <si>
    <t>8 (800) 222-91-65</t>
  </si>
  <si>
    <t xml:space="preserve">opt@cosmogon.ru, mag-gudvin@mail.ru, egina@cosmogon.ru, smirnov@cosmogon.ru, zaytsev@cosmogon.ru </t>
  </si>
  <si>
    <t>Интернет-магазин, Пищевое оборудование</t>
  </si>
  <si>
    <t>Магазин косметики</t>
  </si>
  <si>
    <t>+7 (917) 709-42-63</t>
  </si>
  <si>
    <t>пн-чт 09:00–18:00; пт 09:00–17:00; сб 10:00–15:00</t>
  </si>
  <si>
    <t>Топаз</t>
  </si>
  <si>
    <t>47.930179 56.628386</t>
  </si>
  <si>
    <t>https://pecom.ru/, http://easyway.ru/</t>
  </si>
  <si>
    <t>https://www.youtube.com/user/Greynessfull</t>
  </si>
  <si>
    <t>Лучшая пара</t>
  </si>
  <si>
    <t>Гикс</t>
  </si>
  <si>
    <t>+7 (987) 731-56-52</t>
  </si>
  <si>
    <t>Оценочная компания, Строительная экспертиза и технадзор</t>
  </si>
  <si>
    <t>https://vk.com/gis_kapitel</t>
  </si>
  <si>
    <t>47.870268 56.625103</t>
  </si>
  <si>
    <t>ЖК Этажи</t>
  </si>
  <si>
    <t>ул. Чернякова, 3, Йошкар-Ола</t>
  </si>
  <si>
    <t>+7 (8362) 33-55-88</t>
  </si>
  <si>
    <t>http://sever12.ru/</t>
  </si>
  <si>
    <t>47.819767 56.637886</t>
  </si>
  <si>
    <t>Союз Вейп Шоп</t>
  </si>
  <si>
    <t>+7 (8362) 99-95-53</t>
  </si>
  <si>
    <t>+7 (902) 435-95-53, +7 (961) 337-21-11</t>
  </si>
  <si>
    <t xml:space="preserve">m89613372111@gmail.com  </t>
  </si>
  <si>
    <t>Вейп шоп, Кальян-бар, Кафе</t>
  </si>
  <si>
    <t>https://vk.com/soyzvape12</t>
  </si>
  <si>
    <t>https://instagram.com/soyzvapeclub12</t>
  </si>
  <si>
    <t>47.8824 56.63775</t>
  </si>
  <si>
    <t>Accurat</t>
  </si>
  <si>
    <t>ул. Строителей, 98Б, корп. 1, Йошкар-Ола</t>
  </si>
  <si>
    <t>+7 (995) 961-26-50</t>
  </si>
  <si>
    <t>Автомойка, Детейлинг</t>
  </si>
  <si>
    <t>https://vk.com/accurat_detailing</t>
  </si>
  <si>
    <t>https://www.instagram.com/accurat_detailing</t>
  </si>
  <si>
    <t>47.874204 56.611335</t>
  </si>
  <si>
    <t>ул. Карла Маркса, 122, Йошкар-Ола</t>
  </si>
  <si>
    <t>+7 (8362) 35-08-50, +7 (8362) 35-07-50</t>
  </si>
  <si>
    <t>47.893338 56.626069</t>
  </si>
  <si>
    <t>Ehrle</t>
  </si>
  <si>
    <t>+7 (8362) 76-65-55</t>
  </si>
  <si>
    <t>47.933494 56.625144</t>
  </si>
  <si>
    <t>Группа компаний ЛСК</t>
  </si>
  <si>
    <t>8 (804) 333-06-78</t>
  </si>
  <si>
    <t xml:space="preserve">welcome@zlp-630.com, inbox@example.com, info@gmail.com  </t>
  </si>
  <si>
    <t>https://yoshkar-ola.zlp-630.com/</t>
  </si>
  <si>
    <t>Подъемное оборудование, Промышленное оборудование, Строительное оборудование и техника</t>
  </si>
  <si>
    <t>Мини-бар</t>
  </si>
  <si>
    <t>ул. Прохорова, 29, Йошкар-Ола</t>
  </si>
  <si>
    <t>47.840951 56.634534</t>
  </si>
  <si>
    <t>47.881876 56.639688</t>
  </si>
  <si>
    <t>ул. Петрова, 10А, Йошкар-Ола</t>
  </si>
  <si>
    <t>47.919847 56.632055</t>
  </si>
  <si>
    <t>Чародейка</t>
  </si>
  <si>
    <t>+7 (8362) 93-33-53</t>
  </si>
  <si>
    <t>+7 (961) 373-31-91</t>
  </si>
  <si>
    <t>Yoshka Tattoo</t>
  </si>
  <si>
    <t>+7 (963) 728-22-22</t>
  </si>
  <si>
    <t>Тату-салон</t>
  </si>
  <si>
    <t>http://vk.com/maxgromovtattoo</t>
  </si>
  <si>
    <t>47.868589 56.637521</t>
  </si>
  <si>
    <t>Магазин овощей и фруктов, Магазин продуктов, Орехи, снеки, сухофрукты</t>
  </si>
  <si>
    <t>47.829898 56.639577</t>
  </si>
  <si>
    <t>47.864475 56.646629</t>
  </si>
  <si>
    <t>Yomix</t>
  </si>
  <si>
    <t>+7 (8362) 99-08-22</t>
  </si>
  <si>
    <t>https://yomixpro.ru/</t>
  </si>
  <si>
    <t>Оптовая компания, Производственное предприятие, Сухие строительные смеси</t>
  </si>
  <si>
    <t>https://vk.com/yomixpro</t>
  </si>
  <si>
    <t>47.866308 56.628292</t>
  </si>
  <si>
    <t>Ми-На</t>
  </si>
  <si>
    <t>+7 (929) 732-04-64</t>
  </si>
  <si>
    <t xml:space="preserve">mi-na.m@yandex.ru </t>
  </si>
  <si>
    <t>http://ми-на.рф/</t>
  </si>
  <si>
    <t>47.932302 56.63204</t>
  </si>
  <si>
    <t>ПСК Вектор</t>
  </si>
  <si>
    <t>+7 (917) 070-48-72, +7 (929) 733-12-02</t>
  </si>
  <si>
    <t xml:space="preserve">ooo_psk_vector@mail.ru  </t>
  </si>
  <si>
    <t>Архитектурное бюро, Проектная организация, Строительная экспертиза и технадзор</t>
  </si>
  <si>
    <t>https://vk.com/ooo_psk_vector</t>
  </si>
  <si>
    <t>47.874478 56.630365</t>
  </si>
  <si>
    <t>Ваш Мастер</t>
  </si>
  <si>
    <t>+7 (8362) 77-70-95</t>
  </si>
  <si>
    <t>https://vm12.business.site/</t>
  </si>
  <si>
    <t>47.894346 56.640533</t>
  </si>
  <si>
    <t>Почта России</t>
  </si>
  <si>
    <t>ул. Подольских Курсантов, 26, Йошкар-Ола</t>
  </si>
  <si>
    <t>47.857513 56.649622</t>
  </si>
  <si>
    <t>Марспецмонтаж</t>
  </si>
  <si>
    <t>ул. Алёнкино, 29, Йошкар-Ола</t>
  </si>
  <si>
    <t>+7 (8362) 63-61-34, +7 (8362) 63-61-50</t>
  </si>
  <si>
    <t>http://marspec.ru/</t>
  </si>
  <si>
    <t>47.824689 56.62394</t>
  </si>
  <si>
    <t>47.896841 56.617137</t>
  </si>
  <si>
    <t>+7 (8362) 45-78-94, +7 (8362) 65-53-37, +7 (8362) 31-33-62</t>
  </si>
  <si>
    <t>Компьютерные аксессуары, Компьютерный магазин, Компьютерный ремонт и услуги, Ноутбуки и планшеты, Расходные материалы для оргтехники</t>
  </si>
  <si>
    <t>+7 (961) 375-86-12</t>
  </si>
  <si>
    <t>https://vk.com/subwayrussia</t>
  </si>
  <si>
    <t>https://www.instagram.com/subwayrussia_official</t>
  </si>
  <si>
    <t>47.888765 56.640097</t>
  </si>
  <si>
    <t>Теплогранд-Маркет</t>
  </si>
  <si>
    <t>47.89448 56.647877</t>
  </si>
  <si>
    <t>Ленинский просп., 65, Йошкар-Ола</t>
  </si>
  <si>
    <t>+7 (8362) 52-52-00, +7 (8362) 55-05-46, +7 (8362) 39-12-46</t>
  </si>
  <si>
    <t>+7 (964) 862-52-00, +7 (967) 755-05-46</t>
  </si>
  <si>
    <t>ежедневно, 07:30–21:30</t>
  </si>
  <si>
    <t>47.873767 56.636542</t>
  </si>
  <si>
    <t>Алтамиз</t>
  </si>
  <si>
    <t>+7 (917) 710-71-76</t>
  </si>
  <si>
    <t>Алания</t>
  </si>
  <si>
    <t>+7 (917) 714-31-88</t>
  </si>
  <si>
    <t>https://vk.com/cafealania12</t>
  </si>
  <si>
    <t>http://instagram.com/cafealaniya12</t>
  </si>
  <si>
    <t>47.869042 56.639574</t>
  </si>
  <si>
    <t>Дизель мари.ру</t>
  </si>
  <si>
    <t>+7 (8362) 45-33-06</t>
  </si>
  <si>
    <t>https://vk.com/diesel_mari_ru</t>
  </si>
  <si>
    <t>47.832951 56.637259</t>
  </si>
  <si>
    <t>Атом</t>
  </si>
  <si>
    <t>ул. Суворова, 16, лит.А, Йошкар-Ола</t>
  </si>
  <si>
    <t>+7 (8362) 99-26-42</t>
  </si>
  <si>
    <t>47.866595 56.635298</t>
  </si>
  <si>
    <t>Приём металлолома</t>
  </si>
  <si>
    <t>пн-пт 08:00–18:00; сб 08:00–17:00</t>
  </si>
  <si>
    <t>47.824736 56.62567</t>
  </si>
  <si>
    <t>Цветы, подарки и сувениры</t>
  </si>
  <si>
    <t>бул. Победы, 23/1, Йошкар-Ола</t>
  </si>
  <si>
    <t>+7 (902) 124-55-02</t>
  </si>
  <si>
    <t>Доставка цветов и букетов, Магазин цветов, Товары для праздника</t>
  </si>
  <si>
    <t>https://www.instagram.com/sweettime.yo</t>
  </si>
  <si>
    <t>47.876745 56.639143</t>
  </si>
  <si>
    <t>Пудра</t>
  </si>
  <si>
    <t>DiDi</t>
  </si>
  <si>
    <t>+7 (937) 932-07-08</t>
  </si>
  <si>
    <t>http://didi-yoshkarola-taxi.bussiness.site/</t>
  </si>
  <si>
    <t>https://vk.com/didi12yo</t>
  </si>
  <si>
    <t>https://www.instagram.com/YoTaxi_12</t>
  </si>
  <si>
    <t>ежедневно, 08:00–20:00, перерыв 14:00–14:30</t>
  </si>
  <si>
    <t>47.881148 56.638044</t>
  </si>
  <si>
    <t>Центр регистрации и обслуживания водителей</t>
  </si>
  <si>
    <t>+7 (8362) 52-50-52</t>
  </si>
  <si>
    <t>47.822938 56.626661</t>
  </si>
  <si>
    <t>Krona</t>
  </si>
  <si>
    <t>+7 (960) 093-07-18</t>
  </si>
  <si>
    <t>47.8753 56.633803</t>
  </si>
  <si>
    <t>47.88196 56.63099</t>
  </si>
  <si>
    <t>Декларации</t>
  </si>
  <si>
    <t>бул. Чавайна, 34, Йошкар-Ола</t>
  </si>
  <si>
    <t>Налоговые консультанты</t>
  </si>
  <si>
    <t>47.898087 56.635104</t>
  </si>
  <si>
    <t>Атоз</t>
  </si>
  <si>
    <t>ЁбиДоёби - доставка суши и роллов</t>
  </si>
  <si>
    <t>8 (800) 500-23-40</t>
  </si>
  <si>
    <t xml:space="preserve">franch@ebidoebi.ru </t>
  </si>
  <si>
    <t>https://yobidoyobi.ru/yoshkar-ola/, http://ёбидоёби.рф/</t>
  </si>
  <si>
    <t>Доставка еды и обедов, Суши-бар</t>
  </si>
  <si>
    <t>ежедневно, 11:30–23:30</t>
  </si>
  <si>
    <t>https://vk.com/ebidoebiola</t>
  </si>
  <si>
    <t>https://www.instagram.com/sushiyobidoyobi.yola</t>
  </si>
  <si>
    <t>47.892361 56.62851</t>
  </si>
  <si>
    <t>Почтовые услуги</t>
  </si>
  <si>
    <t>47.863585 56.649637</t>
  </si>
  <si>
    <t>Детская музыкальная школа при Колледже культуры и искусств им. И. С. Палантая</t>
  </si>
  <si>
    <t>ул. Пушкина, 26, Йошкар-Ола</t>
  </si>
  <si>
    <t>+7 (8362) 41-55-89, +7 (8362) 45-24-33</t>
  </si>
  <si>
    <t>http://www.mrkkii.ru/</t>
  </si>
  <si>
    <t>Музыкальное образование</t>
  </si>
  <si>
    <t>47.890665 56.633994</t>
  </si>
  <si>
    <t>Мануальный терапевт и остеопат</t>
  </si>
  <si>
    <t>+7 (987) 711-39-01</t>
  </si>
  <si>
    <t>Магазин напольных покрытий Пол мира</t>
  </si>
  <si>
    <t>+7 (8362) 65-15-00</t>
  </si>
  <si>
    <t>+7 (961) 375-87-53</t>
  </si>
  <si>
    <t>Напольные покрытия, Строительный магазин</t>
  </si>
  <si>
    <t>Еврочехол</t>
  </si>
  <si>
    <t>+7 (8362) 52-00-22</t>
  </si>
  <si>
    <t xml:space="preserve">support@tiu.ru </t>
  </si>
  <si>
    <t>https://evrochehol.ru/, https://evrochehol.ru/shops/</t>
  </si>
  <si>
    <t>https://vk.com/evrochehol</t>
  </si>
  <si>
    <t>https://www.facebook.com/evrochehol</t>
  </si>
  <si>
    <t>https://www.instagram.com/evrochehol_ru</t>
  </si>
  <si>
    <t>Bunker</t>
  </si>
  <si>
    <t>пн-ср 13:00–01:00; чт-вс 13:00–23:00</t>
  </si>
  <si>
    <t>Фабрика рекламы Постер</t>
  </si>
  <si>
    <t>+7 (8362) 32-17-08</t>
  </si>
  <si>
    <t>+7 (927) 882-17-08</t>
  </si>
  <si>
    <t xml:space="preserve">poster12@inbox.ru  </t>
  </si>
  <si>
    <t>http://fr12.ru/</t>
  </si>
  <si>
    <t>Наружная реклама, Полиграфические услуги, Рекламная продукция</t>
  </si>
  <si>
    <t>https://vk.com/poster12</t>
  </si>
  <si>
    <t>https://www.instagram.com/fabrika_poster</t>
  </si>
  <si>
    <t>Юридический центр Консенсус</t>
  </si>
  <si>
    <t>+7 (8362) 33-36-16</t>
  </si>
  <si>
    <t>+7 (927) 681-84-86</t>
  </si>
  <si>
    <t>Сити Классик</t>
  </si>
  <si>
    <t>ГлавФундамент - винтовые сваи в Йошкар-Оле</t>
  </si>
  <si>
    <t>+7 (965) 924-32-40</t>
  </si>
  <si>
    <t xml:space="preserve">barnaul@glavfundament.ru, voronezh@glavfundament.ru, ekb@glavfundament.ru, izhevsk@glavfundament.ru, irkutsk@glavfundament.ru  </t>
  </si>
  <si>
    <t>https://glavfundament.ru/contacts/joshkar_ola_fundament_vintovye_svai/</t>
  </si>
  <si>
    <t>Металлоконструкции, Проектная организация, Строительная компания</t>
  </si>
  <si>
    <t>Clever City</t>
  </si>
  <si>
    <t>47.896819 56.633701</t>
  </si>
  <si>
    <t>47.864447 56.646034</t>
  </si>
  <si>
    <t>Юридические Взыскания</t>
  </si>
  <si>
    <t>ул. Павленко, 60, Йошкар-Ола</t>
  </si>
  <si>
    <t>8 (800) 250-64-26, +7 (8362) 66-80-80</t>
  </si>
  <si>
    <t>+7 (902) 439-80-80</t>
  </si>
  <si>
    <t>47.937014 56.634427</t>
  </si>
  <si>
    <t>РЖД</t>
  </si>
  <si>
    <t>Железнодорожная пассажирская компания</t>
  </si>
  <si>
    <t>47.880283 56.621902</t>
  </si>
  <si>
    <t>Диван диваныч</t>
  </si>
  <si>
    <t>47.918076 56.629415</t>
  </si>
  <si>
    <t>1С Бухгалтерия Йошкар-Ола</t>
  </si>
  <si>
    <t>ул. Анциферова, 3, Йошкар-Ола</t>
  </si>
  <si>
    <t>+7 (909) 305-92-77</t>
  </si>
  <si>
    <t>IT-компания, Автоматизация документооборота, Автоматизация производств, Программное обеспечение</t>
  </si>
  <si>
    <t>47.865257 56.649295</t>
  </si>
  <si>
    <t>Vipaper</t>
  </si>
  <si>
    <t xml:space="preserve">info@vipaper.ru  </t>
  </si>
  <si>
    <t>https://vipaper.ru/</t>
  </si>
  <si>
    <t>Магазин обоев</t>
  </si>
  <si>
    <t>пн,вт,чт,пт 10:00–18:00; сб,вс 10:00–16:00</t>
  </si>
  <si>
    <t>47.819532 56.639207</t>
  </si>
  <si>
    <t>47.89394 56.634167</t>
  </si>
  <si>
    <t>Система М2лаб Застройщик</t>
  </si>
  <si>
    <t>ул. Свердлова, 49Б, Йошкар-Ола</t>
  </si>
  <si>
    <t xml:space="preserve">sales@m2lab.ru, hr@m2lab.ru  </t>
  </si>
  <si>
    <t>https://m2lab.ru/</t>
  </si>
  <si>
    <t>https://vk.com/m2lab</t>
  </si>
  <si>
    <t>https://www.facebook.com/m2lab.ru</t>
  </si>
  <si>
    <t>https://www.youtube.com/channel/UCnvRWSO9rjKMg_3IfqXRaoQ</t>
  </si>
  <si>
    <t>47.862661 56.641174</t>
  </si>
  <si>
    <t>Vs-Proffi</t>
  </si>
  <si>
    <t>бул. Чавайна, 35, Йошкар-Ола</t>
  </si>
  <si>
    <t>47.89809 56.634412</t>
  </si>
  <si>
    <t>Ленинский просп., 63А, Йошкар-Ола</t>
  </si>
  <si>
    <t>47.873944 56.636227</t>
  </si>
  <si>
    <t>Киоск по продаже хлебобулочных изделий</t>
  </si>
  <si>
    <t>ул. Подольских Курсантов, 28/1, Йошкар-Ола</t>
  </si>
  <si>
    <t>47.856274 56.649815</t>
  </si>
  <si>
    <t>+7 (8362) 52-52-00, +7 (8362) 50-05-58</t>
  </si>
  <si>
    <t>+7 (964) 860-05-58, +7 (964) 862-52-00</t>
  </si>
  <si>
    <t>47.922363 56.635102</t>
  </si>
  <si>
    <t>47.892567 56.638693</t>
  </si>
  <si>
    <t>ПСК Грандстрой</t>
  </si>
  <si>
    <t>+7 (987) 725-68-74</t>
  </si>
  <si>
    <t>Девалайн</t>
  </si>
  <si>
    <t>ул. Степана Разина, 61А, Йошкар-Ола</t>
  </si>
  <si>
    <t>+7 (8362) 41-07-08</t>
  </si>
  <si>
    <t>http://agro12.ru/</t>
  </si>
  <si>
    <t>Автомобильные грузоперевозки, Веревки, канаты, тросы, Камины, печи, Магазин автозапчастей и автотоваров, Производство и оптовая продажа автозапчастей, Сельскохозяйственная техника</t>
  </si>
  <si>
    <t>47.8991 56.6182</t>
  </si>
  <si>
    <t>Азбука Комфорта</t>
  </si>
  <si>
    <t>47.874293 56.636648</t>
  </si>
  <si>
    <t>Ваш Уют</t>
  </si>
  <si>
    <t>https://www.instagram.com/12korolevstvo/</t>
  </si>
  <si>
    <t>+7 (8362) 48-47-43</t>
  </si>
  <si>
    <t>+7 (927) 882-20-74</t>
  </si>
  <si>
    <t>47.852713 56.631448</t>
  </si>
  <si>
    <t>Агроресурс</t>
  </si>
  <si>
    <t>8 (800) 555-59-05, +7 (499) 703-14-31</t>
  </si>
  <si>
    <t xml:space="preserve">agrozavod@agrozavod.ru, foodatlas-vk@crmfoodatlas.ru  </t>
  </si>
  <si>
    <t>https://agrozavod.ru/</t>
  </si>
  <si>
    <t>Оборудование для ресторанов, Пищевое оборудование, Фасовочно-упаковочное оборудование</t>
  </si>
  <si>
    <t>https://vk.com/foodatlas</t>
  </si>
  <si>
    <t>https://ok.ru/group/54432748666985</t>
  </si>
  <si>
    <t>https://twitter.com/foodatlas_rus</t>
  </si>
  <si>
    <t>http://facebook.com/агроресурс-419967168349321</t>
  </si>
  <si>
    <t>http://youtube.com/user/agroresurs74</t>
  </si>
  <si>
    <t>https://www.instagram.com/Foodatlas_rus/</t>
  </si>
  <si>
    <t>47.855782 56.652517</t>
  </si>
  <si>
    <t>47.883326 56.638439</t>
  </si>
  <si>
    <t>Леон</t>
  </si>
  <si>
    <t xml:space="preserve">ivanov@mail.ru, kuhninazakaz12@mail.ru  </t>
  </si>
  <si>
    <t>http://kuhleon.ru/</t>
  </si>
  <si>
    <t>Max Decor</t>
  </si>
  <si>
    <t>+7 (927) 882-80-89</t>
  </si>
  <si>
    <t xml:space="preserve">info@vipaper.ru, sorina@vipaper.ru  </t>
  </si>
  <si>
    <t>https://www.vipaper.ru/</t>
  </si>
  <si>
    <t>https://vk.com/vipaper</t>
  </si>
  <si>
    <t>https://www.instagram.com/m_a_x_decor</t>
  </si>
  <si>
    <t>47.864757 56.624268</t>
  </si>
  <si>
    <t>Yola12</t>
  </si>
  <si>
    <t>Антенны, Телекоммуникационная компания, Устройство сетей</t>
  </si>
  <si>
    <t>Россия, Республика Марий Эл, Йошкар-Ола, улица Авиации</t>
  </si>
  <si>
    <t>47.947833 56.634478</t>
  </si>
  <si>
    <t>ЖК ул. Эшкинина</t>
  </si>
  <si>
    <t>https://pmk-9.ru/</t>
  </si>
  <si>
    <t>47.913258 56.635376</t>
  </si>
  <si>
    <t>Keauty</t>
  </si>
  <si>
    <t>47.90046 56.63847</t>
  </si>
  <si>
    <t>Ипотека Рифор</t>
  </si>
  <si>
    <t xml:space="preserve">ipoteka@rifor12.ru  </t>
  </si>
  <si>
    <t>http://ipotekarifor.ru/</t>
  </si>
  <si>
    <t>Platforma</t>
  </si>
  <si>
    <t>+7 (927) 888-03-52</t>
  </si>
  <si>
    <t>47.843007 56.640911</t>
  </si>
  <si>
    <t>Буфет</t>
  </si>
  <si>
    <t>47.873351 56.619141</t>
  </si>
  <si>
    <t>47.843568 56.640872</t>
  </si>
  <si>
    <t>Центр помощи мигрантам</t>
  </si>
  <si>
    <t>+7 (964) 861-56-66</t>
  </si>
  <si>
    <t>Миграционные услуги, Юридические услуги</t>
  </si>
  <si>
    <t>47.89711 56.635232</t>
  </si>
  <si>
    <t>Срочный ремонт обуви</t>
  </si>
  <si>
    <t>47.887061 56.633129</t>
  </si>
  <si>
    <t>Троицкая лавка</t>
  </si>
  <si>
    <t>Религиозные товары</t>
  </si>
  <si>
    <t>47.902357 56.635565</t>
  </si>
  <si>
    <t>Домашний детский сад Страна Чудес</t>
  </si>
  <si>
    <t>47.868206 56.648777</t>
  </si>
  <si>
    <t>47.946925 56.637386</t>
  </si>
  <si>
    <t>47.906263 56.627545</t>
  </si>
  <si>
    <t>47.850628 56.638472</t>
  </si>
  <si>
    <t>Молодость</t>
  </si>
  <si>
    <t>47.862713 56.64757</t>
  </si>
  <si>
    <t>Moda.ru</t>
  </si>
  <si>
    <t>Аптека Наша аптека на улице Машиностроителей</t>
  </si>
  <si>
    <t>ул. Машиностроителей, 22А, корп. А, Йошкар-Ола</t>
  </si>
  <si>
    <t>Рыбка</t>
  </si>
  <si>
    <t>47.86206 56.647592</t>
  </si>
  <si>
    <t>47.843426 56.640863</t>
  </si>
  <si>
    <t>X-El</t>
  </si>
  <si>
    <t>Магазин Кубиков Рубика</t>
  </si>
  <si>
    <t>8 (800) 775-46-56, +7 (499) 391-02-00, +7 (8362) 90-27-57</t>
  </si>
  <si>
    <t xml:space="preserve">hello@cubz.ru </t>
  </si>
  <si>
    <t>Детские игрушки и игры, Настольные и интеллектуальные игры</t>
  </si>
  <si>
    <t>Анюта</t>
  </si>
  <si>
    <t>+7 (902) 431-38-99</t>
  </si>
  <si>
    <t>47.882701 56.637739</t>
  </si>
  <si>
    <t>Дом в МКР. Молодежный</t>
  </si>
  <si>
    <t>ул. Петрова, 31, Йошкар-Ола</t>
  </si>
  <si>
    <t>+7 (8362) 45-66-99</t>
  </si>
  <si>
    <t>http://www.spectr12.ru/build/43-stroitelstvo-zhilogo-doma-v-mikrorayone-molodezhnyy.html</t>
  </si>
  <si>
    <t>47.924366 56.643208</t>
  </si>
  <si>
    <t>Best &amp; Элемент</t>
  </si>
  <si>
    <t>ул. Гончарова, 2А/1, Йошкар-Ола</t>
  </si>
  <si>
    <t>+7 (906) 380-66-88</t>
  </si>
  <si>
    <t>http://bestelement.wix.com/temp</t>
  </si>
  <si>
    <t>Склад строительных материалов</t>
  </si>
  <si>
    <t>47.908439 56.644182</t>
  </si>
  <si>
    <t>Вестрейд</t>
  </si>
  <si>
    <t>+7 (902) 326-84-66</t>
  </si>
  <si>
    <t>47.869964 56.627258</t>
  </si>
  <si>
    <t>Тибер</t>
  </si>
  <si>
    <t>+7 (8362) 33-09-33</t>
  </si>
  <si>
    <t>47.871051 56.609484</t>
  </si>
  <si>
    <t>+7 (8362) 39-07-67, +7 (8362) 33-00-79</t>
  </si>
  <si>
    <t xml:space="preserve">ylugovaindira@bk.ru, valencia16.ri@mail.ru </t>
  </si>
  <si>
    <t>Натяжные и подвесные потолки, Окна, Светильники</t>
  </si>
  <si>
    <t>47.881744 56.637739</t>
  </si>
  <si>
    <t>Пчелка</t>
  </si>
  <si>
    <t>ул. Чехова, 69А, Йошкар-Ола</t>
  </si>
  <si>
    <t>47.883124 56.644461</t>
  </si>
  <si>
    <t>Время меняться</t>
  </si>
  <si>
    <t>ул. Пушкина, 42, Йошкар-Ола</t>
  </si>
  <si>
    <t>Визажисты, стилисты, Косметология, Ногтевая студия, Парикмахерская, Салон красоты</t>
  </si>
  <si>
    <t>47.882504 56.635659</t>
  </si>
  <si>
    <t>МБОУ Средняя общеобразовательная школа № 15 г. Йошкар-Олы</t>
  </si>
  <si>
    <t>+7 (8362) 64-27-44, +7 (8362) 22-78-82</t>
  </si>
  <si>
    <t xml:space="preserve">schoolmari15@yandex.ru  </t>
  </si>
  <si>
    <t>http://yola15.ru/</t>
  </si>
  <si>
    <t>https://vk.com/yola15</t>
  </si>
  <si>
    <t>47.942658 56.632259</t>
  </si>
  <si>
    <t>Султан Сулейман</t>
  </si>
  <si>
    <t>ул. Строителей, 3А, Йошкар-Ола</t>
  </si>
  <si>
    <t>https://www.instagram.com/sultan_suleyman_cafe/</t>
  </si>
  <si>
    <t>47.832953 56.638931</t>
  </si>
  <si>
    <t>Золотая иголочка</t>
  </si>
  <si>
    <t>+7 (8362) 51-33-35</t>
  </si>
  <si>
    <t>https://vk.com/club67318924</t>
  </si>
  <si>
    <t>Теплогранд</t>
  </si>
  <si>
    <t>+7 (960) 095-09-69</t>
  </si>
  <si>
    <t xml:space="preserve">info-teplogrand@yandex.ru  </t>
  </si>
  <si>
    <t>http://teplo-grand.ru/</t>
  </si>
  <si>
    <t>Водостоки и водосточные системы, Котлы и котельное оборудование, Монтаж и обслуживание систем водоснабжения и канализации, Проектная организация, Теплоснабжение, Электромонтажные работы</t>
  </si>
  <si>
    <t>Swatch</t>
  </si>
  <si>
    <t>+7 (917) 666-89-99</t>
  </si>
  <si>
    <t xml:space="preserve">swatch-info@ru.swatchgroup.com  </t>
  </si>
  <si>
    <t>https://2020.swatch.com/ru_ru/, http://swatch.com/, https://www.swatch.com/ru_ru, https://www.swatch.com/ru_ru/store-locator/russia/central-russia/yoshkar-ola/yolka-mall</t>
  </si>
  <si>
    <t>http://vk.com/swatchru</t>
  </si>
  <si>
    <t>http://twitter.com/Swatch</t>
  </si>
  <si>
    <t>https://www.facebook.com/www.swatch.ru</t>
  </si>
  <si>
    <t>http://www.youtube.com/swatch</t>
  </si>
  <si>
    <t>https://www.instagram.com/swatch</t>
  </si>
  <si>
    <t>47.929732 56.628067</t>
  </si>
  <si>
    <t>Савинская школа-интернат</t>
  </si>
  <si>
    <t>Школьная ул., 9, Йошкар-Ола</t>
  </si>
  <si>
    <t>+7 (8362) 72-17-70</t>
  </si>
  <si>
    <t>47.848099 56.655258</t>
  </si>
  <si>
    <t>CIEL</t>
  </si>
  <si>
    <t>+7 (987) 713-03-77, +7 (927) 883-29-55, +7 (917) 222-02-04, +7 (917) 701-97-07</t>
  </si>
  <si>
    <t xml:space="preserve">web@ciel.ru  </t>
  </si>
  <si>
    <t>https://ciel.ru/</t>
  </si>
  <si>
    <t>пн 14:00–18:00; вт 14:00–19:00; ср 14:00–18:00; чт 14:00–19:00; пт 14:00–18:00; сб 11:00–14:00</t>
  </si>
  <si>
    <t>Роддом</t>
  </si>
  <si>
    <t>47.879221 56.637496</t>
  </si>
  <si>
    <t>ООО Русагро Марий Эл</t>
  </si>
  <si>
    <t>47.895935 56.614118</t>
  </si>
  <si>
    <t>Авис</t>
  </si>
  <si>
    <t>Строительная компания, Строительные и отделочные работы, Строительство дачных домов и коттеджей, Фасады и фасадные системы</t>
  </si>
  <si>
    <t>ТСК ГринВуд</t>
  </si>
  <si>
    <t>+7 (8362) 36-39-39</t>
  </si>
  <si>
    <t>+7 (987) 716-78-88, +7 (967) 756-39-39</t>
  </si>
  <si>
    <t>Магазин продукты</t>
  </si>
  <si>
    <t>ул. Анциферова, 15, Йошкар-Ола</t>
  </si>
  <si>
    <t>47.866417 56.647648</t>
  </si>
  <si>
    <t>Отличный повод</t>
  </si>
  <si>
    <t>ул. Машиностроителей, 103, Йошкар-Ола</t>
  </si>
  <si>
    <t>47.846644 56.628815</t>
  </si>
  <si>
    <t>Три минтая</t>
  </si>
  <si>
    <t>47.865227 56.645996</t>
  </si>
  <si>
    <t>https://vk.com/prazdnikprokaznik12</t>
  </si>
  <si>
    <t>47.917276 56.631274</t>
  </si>
  <si>
    <t>+7 (917) 701-33-47</t>
  </si>
  <si>
    <t>47.832255 56.639886</t>
  </si>
  <si>
    <t>+7 (8362) 77-00-78</t>
  </si>
  <si>
    <t>http://vega12.ru/</t>
  </si>
  <si>
    <t>Автосервис 443</t>
  </si>
  <si>
    <t>ул. Соловьёва, 18А, Йошкар-Ола</t>
  </si>
  <si>
    <t>+7 (8362) 43-33-44</t>
  </si>
  <si>
    <t>47.8763 56.6205</t>
  </si>
  <si>
    <t>47.897327 56.628451</t>
  </si>
  <si>
    <t>Россия, Республика Марий Эл, Йошкар-Ола, улица Чихайдарово</t>
  </si>
  <si>
    <t>47.891992 56.609962</t>
  </si>
  <si>
    <t>+7 (937) 370-25-09</t>
  </si>
  <si>
    <t>Магазин кондитерских изделий</t>
  </si>
  <si>
    <t>47.896599 56.633303</t>
  </si>
  <si>
    <t>Сервак_12</t>
  </si>
  <si>
    <t>Медицинская ул., 6, корп. 2, Йошкар-Ола</t>
  </si>
  <si>
    <t>+7 (902) 745-78-73, +7 (902) 101-75-97</t>
  </si>
  <si>
    <t>http://instagram.com/servak_12</t>
  </si>
  <si>
    <t>47.959164 56.638299</t>
  </si>
  <si>
    <t>Hardmode</t>
  </si>
  <si>
    <t>+7 (902) 670-99-99</t>
  </si>
  <si>
    <t>Игровые приставки, Кальян-бар, Киберспорт</t>
  </si>
  <si>
    <t>https://vk.com/hardmode_arena</t>
  </si>
  <si>
    <t>https://www.instagram.com/hardmode_arena</t>
  </si>
  <si>
    <t>47.845711 56.640997</t>
  </si>
  <si>
    <t>Управление Федеральной службы войск национальной гвардии Российской Федерации по Республике Марий Эл</t>
  </si>
  <si>
    <t>8 (800) 350-08-97</t>
  </si>
  <si>
    <t>https://rosguard.gov.ru/, http://rosgvard.ru/</t>
  </si>
  <si>
    <t>47.876611 56.646059</t>
  </si>
  <si>
    <t>Адвокатский кабинет Иванова Р. В.</t>
  </si>
  <si>
    <t>+7 (927) 888-00-77, +7 (902) 329-48-22, +7 (917) 702-94-38</t>
  </si>
  <si>
    <t xml:space="preserve">admin@website.ru, advokaton@mail.ru  </t>
  </si>
  <si>
    <t>http://advokaton.com/</t>
  </si>
  <si>
    <t>47.864313 56.64593</t>
  </si>
  <si>
    <t>Grill Bar</t>
  </si>
  <si>
    <t>47.961053 56.613433</t>
  </si>
  <si>
    <t>Золотофф</t>
  </si>
  <si>
    <t>8 (800) 200-25-09</t>
  </si>
  <si>
    <t>https://zolotoff.cc/</t>
  </si>
  <si>
    <t>https://vk.com/mfo_zolotoff</t>
  </si>
  <si>
    <t>https://www.instagram.com/mfo_zolotoff</t>
  </si>
  <si>
    <t>Doors-ola</t>
  </si>
  <si>
    <t>Двери, Мебельная фурнитура и комплектующие</t>
  </si>
  <si>
    <t>47.936424 56.636744</t>
  </si>
  <si>
    <t>4 Такта</t>
  </si>
  <si>
    <t>+7 (8362) 33-69-11</t>
  </si>
  <si>
    <t>+7 (927) 888-71-11</t>
  </si>
  <si>
    <t>ежедневно, 08:00–20:00, перерыв 13:00–14:00</t>
  </si>
  <si>
    <t>47.954962 56.649266</t>
  </si>
  <si>
    <t>47.881923 56.622145</t>
  </si>
  <si>
    <t>Механика</t>
  </si>
  <si>
    <t>ул. Кармазина, 20, Йошкар-Ола</t>
  </si>
  <si>
    <t>+7 (8362) 27-20-40</t>
  </si>
  <si>
    <t>+7 (987) 718-00-06, +7 (902) 735-12-24</t>
  </si>
  <si>
    <t>47.969192 56.643688</t>
  </si>
  <si>
    <t>Россия, Республика Марий Эл, парк Сосновая Роща</t>
  </si>
  <si>
    <t>47.925149 56.616536</t>
  </si>
  <si>
    <t>47.832597 56.640025</t>
  </si>
  <si>
    <t>Пск12</t>
  </si>
  <si>
    <t>ул. Тургенева, 13, Йошкар-Ола</t>
  </si>
  <si>
    <t>Аренда строительной и спецтехники, Проектная организация, Строительная компания</t>
  </si>
  <si>
    <t>47.869723 56.622674</t>
  </si>
  <si>
    <t>Россия, Республика Марий Эл, Йошкар-Ола, микрорайон Кирзавод</t>
  </si>
  <si>
    <t>47.942723 56.630831</t>
  </si>
  <si>
    <t>ул. 8 Марта, 59, Йошкар-Ола</t>
  </si>
  <si>
    <t>47.965369 56.642384</t>
  </si>
  <si>
    <t>Домашние копчёности</t>
  </si>
  <si>
    <t>ул. Машиностроителей, 107А, корп. 1, Йошкар-Ола</t>
  </si>
  <si>
    <t>47.840229 56.626328</t>
  </si>
  <si>
    <t>Ukub</t>
  </si>
  <si>
    <t>47.919684 56.635574</t>
  </si>
  <si>
    <t>47.943178 56.634538</t>
  </si>
  <si>
    <t>Церковная лавка</t>
  </si>
  <si>
    <t>47.946626 56.637627</t>
  </si>
  <si>
    <t>Медведица</t>
  </si>
  <si>
    <t>ул. Машиностроителей, 22, Йошкар-Ола</t>
  </si>
  <si>
    <t>+7 (8362) 91-29-84</t>
  </si>
  <si>
    <t>+7 (917) 705-73-23</t>
  </si>
  <si>
    <t>Галантерейные изделия оптом</t>
  </si>
  <si>
    <t>47.86664 56.637951</t>
  </si>
  <si>
    <t>Парковка</t>
  </si>
  <si>
    <t>Красноармейская слобода, 13, Йошкар-Ола</t>
  </si>
  <si>
    <t>47.909148 56.640144</t>
  </si>
  <si>
    <t>47.872403 56.653427</t>
  </si>
  <si>
    <t>Apartment Bounty</t>
  </si>
  <si>
    <t>ул. Димитрова, 62, Йошкар-Ола</t>
  </si>
  <si>
    <t>47.851921 56.645798</t>
  </si>
  <si>
    <t>Жилой дом по ул. Фестивальная, 47</t>
  </si>
  <si>
    <t>Фестивальная ул., 52, Йошкар-Ола</t>
  </si>
  <si>
    <t>https://oaokontinent.ru/festivalnaya-poz-47/#available</t>
  </si>
  <si>
    <t>47.836601 56.650562</t>
  </si>
  <si>
    <t>https://sfera-finance.ru/</t>
  </si>
  <si>
    <t>47.887745 56.641954</t>
  </si>
  <si>
    <t>Россия, Республика Марий Эл, Йошкар-Ола, улица Земнухова</t>
  </si>
  <si>
    <t>47.937257 56.633484</t>
  </si>
  <si>
    <t>Wildberries</t>
  </si>
  <si>
    <t>47.885813 56.625826</t>
  </si>
  <si>
    <t>Синтакс</t>
  </si>
  <si>
    <t>+7 (8362) 64-16-41, +7 (8362) 64-16-42</t>
  </si>
  <si>
    <t>http://sintaks.pulscen.ru/</t>
  </si>
  <si>
    <t>пн-пт 08:00–17:00, перерыв 12:00–13:00; сб 09:00–14:00, перерыв 12:00–13:00</t>
  </si>
  <si>
    <t>+7 (8362) 49-08-70, +7 (8362) 30-75-07</t>
  </si>
  <si>
    <t>https://dok12.ru/</t>
  </si>
  <si>
    <t>47.875758 56.619487</t>
  </si>
  <si>
    <t>Газетный киоск</t>
  </si>
  <si>
    <t>Магазин канцтоваров, Точка продажи прессы</t>
  </si>
  <si>
    <t>47.963403 56.639167</t>
  </si>
  <si>
    <t>Фиалка монмартра</t>
  </si>
  <si>
    <t>47.892733 56.638751</t>
  </si>
  <si>
    <t>Продукты у дома</t>
  </si>
  <si>
    <t>47.835354 56.635257</t>
  </si>
  <si>
    <t>Кредитно потребительский Кооператив Оричевский</t>
  </si>
  <si>
    <t>8 (800) 600-14-60</t>
  </si>
  <si>
    <t xml:space="preserve">orich43@mail.ru  </t>
  </si>
  <si>
    <t>http://www.orich43.ru/</t>
  </si>
  <si>
    <t>Инвестиционная компания, Микрофинансирование, Небанковская кредитная организация</t>
  </si>
  <si>
    <t>https://vk.com/public195345440</t>
  </si>
  <si>
    <t>https://www.instagram.com/kpk_12reg</t>
  </si>
  <si>
    <t>Международный коралловый клуб</t>
  </si>
  <si>
    <t>47.883756 56.63383</t>
  </si>
  <si>
    <t>Маргарита Камины</t>
  </si>
  <si>
    <t>https://fireform.ru/</t>
  </si>
  <si>
    <t>https://vk.com/mkleptsova</t>
  </si>
  <si>
    <t>https://www.facebook.com/RitaFireForm</t>
  </si>
  <si>
    <t>https://www.instagram.com/margarita_kaminy</t>
  </si>
  <si>
    <t>47.908133 56.651973</t>
  </si>
  <si>
    <t>Видякин и партнеры</t>
  </si>
  <si>
    <t>+7 (927) 886-91-10</t>
  </si>
  <si>
    <t xml:space="preserve">stanislav.vidyakin@ya.ru  </t>
  </si>
  <si>
    <t>https://vidakin.ru/</t>
  </si>
  <si>
    <t>Автоматические ворота в Йошкар-Оле</t>
  </si>
  <si>
    <t>+7 (902) 329-04-14</t>
  </si>
  <si>
    <t>47.9443 56.635016</t>
  </si>
  <si>
    <t>Магазин продуктов, Магазин сыров</t>
  </si>
  <si>
    <t>47.843747 56.641018</t>
  </si>
  <si>
    <t>Марийская нефтяная компания</t>
  </si>
  <si>
    <t>+7 (8362) 99-56-55, +7 (8362) 73-50-17</t>
  </si>
  <si>
    <t>АЗС, Смазочные материалы</t>
  </si>
  <si>
    <t>47.839338 56.617893</t>
  </si>
  <si>
    <t>47.88944 56.640263</t>
  </si>
  <si>
    <t>Домохозяйка</t>
  </si>
  <si>
    <t>ул. Героев Сталинградской Битвы, 31Б, Йошкар-Ола</t>
  </si>
  <si>
    <t>47.947097 56.625714</t>
  </si>
  <si>
    <t>47.912589 56.63556</t>
  </si>
  <si>
    <t>Росагропроект</t>
  </si>
  <si>
    <t>Салюты и Шары</t>
  </si>
  <si>
    <t>+7 (987) 733-41-98</t>
  </si>
  <si>
    <t>http://йошкар-ола.цветной-дым.рф/</t>
  </si>
  <si>
    <t>https://vk.com/salutmari</t>
  </si>
  <si>
    <t>47.921278 56.630318</t>
  </si>
  <si>
    <t>Ober</t>
  </si>
  <si>
    <t>ул. Авиации, 26, Йошкар-Ола</t>
  </si>
  <si>
    <t>+7 (8362) 49-47-01, +7 (8362) 49-47-05</t>
  </si>
  <si>
    <t xml:space="preserve">office@ober-dveri.ru, info@ober-dveri.ru  </t>
  </si>
  <si>
    <t>http://ober-dveri.ru/</t>
  </si>
  <si>
    <t>https://vk.com/oberdveri</t>
  </si>
  <si>
    <t>https://www.instagram.com/oberdveri/</t>
  </si>
  <si>
    <t>47.94889 56.63562</t>
  </si>
  <si>
    <t>Музей дворца детского творчества</t>
  </si>
  <si>
    <t>47.8871 56.634998</t>
  </si>
  <si>
    <t>Посуточная квартира на набережной</t>
  </si>
  <si>
    <t>https://vk.com/yolarenda</t>
  </si>
  <si>
    <t>47.896732 56.630951</t>
  </si>
  <si>
    <t>Центр подключения водителей</t>
  </si>
  <si>
    <t>47.903252 56.646556</t>
  </si>
  <si>
    <t>Городок</t>
  </si>
  <si>
    <t>ежедневно, 07:30–20:50</t>
  </si>
  <si>
    <t>47.965869 56.614632</t>
  </si>
  <si>
    <t>МА Энергия</t>
  </si>
  <si>
    <t>ул. Кирова, 9Б, Йошкар-Ола</t>
  </si>
  <si>
    <t>+7 (987) 722-57-94</t>
  </si>
  <si>
    <t xml:space="preserve">maenergy@yandex.ru  </t>
  </si>
  <si>
    <t>http://maenergy.ru/</t>
  </si>
  <si>
    <t>Газовое оборудование, Котлы и котельное оборудование, Монтаж и обслуживание систем водоснабжения и канализации</t>
  </si>
  <si>
    <t>47.928453 56.631224</t>
  </si>
  <si>
    <t>Мастерская Красоты</t>
  </si>
  <si>
    <t>ул. Пушкина, 18, Йошкар-Ола</t>
  </si>
  <si>
    <t>47.89376 56.633011</t>
  </si>
  <si>
    <t>Leto</t>
  </si>
  <si>
    <t>+7 (917) 703-93-33</t>
  </si>
  <si>
    <t>https://vk.com/moment_zagar_yola_club</t>
  </si>
  <si>
    <t>Best-M</t>
  </si>
  <si>
    <t>+7 (987) 704-88-81</t>
  </si>
  <si>
    <t>Детская мебель, Корпусная мебель, Мебель для кухни, Мебель на заказ, Шкафы-купе</t>
  </si>
  <si>
    <t>https://vk.com/club145973507</t>
  </si>
  <si>
    <t>ГБУ Республики Марий Эл Спортивная школа олимпийского резерва по футболу и регби</t>
  </si>
  <si>
    <t>+7 (8362) 30-48-46, +7 (8362) 45-57-07</t>
  </si>
  <si>
    <t>+7 (906) 139-46-35</t>
  </si>
  <si>
    <t xml:space="preserve">nenashkin69@mail.ru, msport@gov.mari.ru  </t>
  </si>
  <si>
    <t>http://futbol-rme.ucoz.ru/, http://minsport-mari.ru/</t>
  </si>
  <si>
    <t>Спортивная школа, Спортивный клуб, секция, Спортивный комплекс</t>
  </si>
  <si>
    <t>47.917241 56.639621</t>
  </si>
  <si>
    <t>Golden Hands</t>
  </si>
  <si>
    <t>+7 (987) 709-51-91, +7 (987) 723-72-82</t>
  </si>
  <si>
    <t>Флоатрум</t>
  </si>
  <si>
    <t>+7 (927) 874-64-06</t>
  </si>
  <si>
    <t xml:space="preserve">floatroom@rambler.ru  </t>
  </si>
  <si>
    <t>http://floatroom.ru/</t>
  </si>
  <si>
    <t>Казанский государственный медицинский университет, Кафедра общей врачебной практики № 2</t>
  </si>
  <si>
    <t>ул. Осипенко, 33А, Йошкар-Ола</t>
  </si>
  <si>
    <t>47.885384 56.649565</t>
  </si>
  <si>
    <t>Суши мастер</t>
  </si>
  <si>
    <t>8 (800) 707-55-50</t>
  </si>
  <si>
    <t xml:space="preserve">office@sushi-master.ru, hr@sushi-master.ru, a.voronchihin@sushi-master.ru </t>
  </si>
  <si>
    <t>https://yoshkar-ola.sushi-master.ru/</t>
  </si>
  <si>
    <t>Доставка еды и обедов, Ресторан, Суши-бар</t>
  </si>
  <si>
    <t>https://vk.com/sm_yoshkarola</t>
  </si>
  <si>
    <t>https://facebook.com/sushi.master12</t>
  </si>
  <si>
    <t>https://instagram.com/sushi.master12</t>
  </si>
  <si>
    <t>47.913473 56.626847</t>
  </si>
  <si>
    <t>Гастроном</t>
  </si>
  <si>
    <t>47.843514 56.630957</t>
  </si>
  <si>
    <t>АГЗС Газпром</t>
  </si>
  <si>
    <t>+7 (495) 777-79-97, +7 (495) 777-97-40, +7 (495) 777-77-97</t>
  </si>
  <si>
    <t xml:space="preserve">e.sazonova@gnpholding.ru, info@gazpromlpg.ru  </t>
  </si>
  <si>
    <t>http://www.gazpromlpg.ru/?id=18</t>
  </si>
  <si>
    <t>АГНС, АГЗС, АГНКС</t>
  </si>
  <si>
    <t>47.90324 56.608735</t>
  </si>
  <si>
    <t>Русский Альянс</t>
  </si>
  <si>
    <t>+7 (927) 877-77-07</t>
  </si>
  <si>
    <t>Аудиторская компания, Пожарное оборудование, Противопожарные системы</t>
  </si>
  <si>
    <t>пн-пт 08:00–17:00, перерыв 11:00–12:30</t>
  </si>
  <si>
    <t>+7 (8362) 54-14-51</t>
  </si>
  <si>
    <t>пн-пт 07:30–16:00; сб 08:00–13:00</t>
  </si>
  <si>
    <t>47.873746 56.652017</t>
  </si>
  <si>
    <t>Мастерская по ремонту ювелирных изделий</t>
  </si>
  <si>
    <t>Автоконтроль</t>
  </si>
  <si>
    <t>+7 (8362) 45-90-98</t>
  </si>
  <si>
    <t>47.903233 56.646726</t>
  </si>
  <si>
    <t>МариМаркет</t>
  </si>
  <si>
    <t>47.868569 56.650428</t>
  </si>
  <si>
    <t>Управляющая компания Наш дом</t>
  </si>
  <si>
    <t>47.925875 56.640856</t>
  </si>
  <si>
    <t>47.912792 56.626314</t>
  </si>
  <si>
    <t>47.842741 56.64178</t>
  </si>
  <si>
    <t>Мариэнергосбыт</t>
  </si>
  <si>
    <t>47.916098 56.643669</t>
  </si>
  <si>
    <t>+7 (927) 883-11-33</t>
  </si>
  <si>
    <t>Марийский государственный университет</t>
  </si>
  <si>
    <t>47.878614 56.643063</t>
  </si>
  <si>
    <t>47.877388 56.645422</t>
  </si>
  <si>
    <t>Форест</t>
  </si>
  <si>
    <t>8 (800) 551-14-40, +7 (8362) 38-02-00</t>
  </si>
  <si>
    <t xml:space="preserve">sales-manager@dveriforest.ru  </t>
  </si>
  <si>
    <t>http://dveriforest.ru/</t>
  </si>
  <si>
    <t>Двери, Товары для интерьера</t>
  </si>
  <si>
    <t>пн-пт 10:00–19:00; сб 09:00–14:00</t>
  </si>
  <si>
    <t>http://vk.com/dveriforest</t>
  </si>
  <si>
    <t>https://www.instagram.com/forestdveri_official/</t>
  </si>
  <si>
    <t>47.873863 56.612152</t>
  </si>
  <si>
    <t>Торговый центр Кремлёвский</t>
  </si>
  <si>
    <t>47.897354 56.63406</t>
  </si>
  <si>
    <t>ПГСК Знамя</t>
  </si>
  <si>
    <t>Малиновая ул., 31А, Йошкар-Ола</t>
  </si>
  <si>
    <t>+7 (8362) 99-06-13</t>
  </si>
  <si>
    <t>вс 10:00–12:00</t>
  </si>
  <si>
    <t>47.951342 56.620174</t>
  </si>
  <si>
    <t>Уютная баня</t>
  </si>
  <si>
    <t>+7 (8362) 35-26-12</t>
  </si>
  <si>
    <t>+7 (927) 872-66-11</t>
  </si>
  <si>
    <t>Двери, Строительная компания</t>
  </si>
  <si>
    <t>Россия, Республика Марий Эл, Йошкар-Ола, Нагорный микрорайон</t>
  </si>
  <si>
    <t>47.942562 56.624184</t>
  </si>
  <si>
    <t>ГК Стрела-3</t>
  </si>
  <si>
    <t>Советская ул., 132А, Йошкар-Ола</t>
  </si>
  <si>
    <t>47.895877 56.633993</t>
  </si>
  <si>
    <t>+7 (8362) 52-52-00, +7 (8362) 55-05-43, +7 (8362) 39-12-65</t>
  </si>
  <si>
    <t>+7 (967) 755-05-43, +7 (964) 862-52-00</t>
  </si>
  <si>
    <t>Доставка цветов и букетов, Магазин подарков и сувениров, Магазин цветов, Удобрения</t>
  </si>
  <si>
    <t>47.837383 56.640323</t>
  </si>
  <si>
    <t>Банкомат, Сбербанк, ПАО</t>
  </si>
  <si>
    <t>ул. Машиностроителей, 22А/1, Йошкар-Ола</t>
  </si>
  <si>
    <t>ул. Соловьёва, 2А, Йошкар-Ола</t>
  </si>
  <si>
    <t>47.883114 56.617268</t>
  </si>
  <si>
    <t>Агентство креативного маркетинга Лид Бастерз</t>
  </si>
  <si>
    <t>Ленинский просп., 20В, Йошкар-Ола</t>
  </si>
  <si>
    <t>http://вашфильм.рф/</t>
  </si>
  <si>
    <t>https://vk.com/biznes_online.crimea</t>
  </si>
  <si>
    <t>https://www.youtube.com/channel/UCpDA-mlq8NVrhcPihFhalmg?view</t>
  </si>
  <si>
    <t>https://www.instagram.com/bizness.crimea</t>
  </si>
  <si>
    <t>47.910496 56.627054</t>
  </si>
  <si>
    <t>47.900466 56.633966</t>
  </si>
  <si>
    <t>Мебель Гид</t>
  </si>
  <si>
    <t>Лесэкспорт12</t>
  </si>
  <si>
    <t>+7 (964) 860-03-85</t>
  </si>
  <si>
    <t>Mtv up</t>
  </si>
  <si>
    <t>ул. Клары Цеткин, 16, Йошкар-Ола</t>
  </si>
  <si>
    <t>+7 (927) 874-08-38</t>
  </si>
  <si>
    <t>Безалкогольные напитки оптом, Магазин воды</t>
  </si>
  <si>
    <t>47.907226 56.618571</t>
  </si>
  <si>
    <t>DPD</t>
  </si>
  <si>
    <t>Квартира Лофт</t>
  </si>
  <si>
    <t>Комсомольская ул., 38Б, Йошкар-Ола</t>
  </si>
  <si>
    <t>47.89921 56.64818</t>
  </si>
  <si>
    <t>Металлолом</t>
  </si>
  <si>
    <t>+7 (8362) 61-75-65</t>
  </si>
  <si>
    <t>Дверной континент</t>
  </si>
  <si>
    <t>+7 (8362) 32-03-43</t>
  </si>
  <si>
    <t>+7 (937) 117-17-12</t>
  </si>
  <si>
    <t>Двери, Корпусная мебель, Окна</t>
  </si>
  <si>
    <t>http://vk.com/stepdoor</t>
  </si>
  <si>
    <t>Cyber Logovo 2.0</t>
  </si>
  <si>
    <t>+7 (902) 745-04-47, +7 (919) 412-60-00</t>
  </si>
  <si>
    <t>Игровой клуб, Интернет-кафе, Киберспорт, Развлекательный центр</t>
  </si>
  <si>
    <t>https://vk.com/cyberlogovo</t>
  </si>
  <si>
    <t>47.889857 56.639004</t>
  </si>
  <si>
    <t>Советская ул., 72А, Йошкар-Ола</t>
  </si>
  <si>
    <t>47.901715 56.642717</t>
  </si>
  <si>
    <t>Аптека на Крылова</t>
  </si>
  <si>
    <t>+7 (8362) 45-06-55, +7 (8362) 45-28-42, +7 (8362) 45-28-67</t>
  </si>
  <si>
    <t>+7 (8362) 45-00-24</t>
  </si>
  <si>
    <t>47.860136 56.625172</t>
  </si>
  <si>
    <t>СпецЭлектроСтрой</t>
  </si>
  <si>
    <t>Строительная компания, Электромонтажные работы</t>
  </si>
  <si>
    <t>47.892459 56.625841</t>
  </si>
  <si>
    <t>Спортлайн</t>
  </si>
  <si>
    <t>+7 (8362) 99-13-89</t>
  </si>
  <si>
    <t>Магазин бильярда, Оптовый магазин, Спортивный магазин</t>
  </si>
  <si>
    <t>ГК Маяк</t>
  </si>
  <si>
    <t>47.837813 56.623189</t>
  </si>
  <si>
    <t xml:space="preserve">guryevilya@mail.ru  </t>
  </si>
  <si>
    <t>Магазин алкогольных напитков, Магазин пива</t>
  </si>
  <si>
    <t>https://vk.com/pivmankazan</t>
  </si>
  <si>
    <t>47.913548 56.626849</t>
  </si>
  <si>
    <t>Физиотерапевтическое отделение</t>
  </si>
  <si>
    <t>+7 (8362) 64-69-77</t>
  </si>
  <si>
    <t>47.945567 56.62368</t>
  </si>
  <si>
    <t>Башмачок</t>
  </si>
  <si>
    <t>Магазин детской обуви</t>
  </si>
  <si>
    <t>47.838634 56.64157</t>
  </si>
  <si>
    <t>АвтоГаз12</t>
  </si>
  <si>
    <t>+7 (8362) 93-32-24, +7 (8362) 20-51-51</t>
  </si>
  <si>
    <t xml:space="preserve">avtogaz12@bk.ru  </t>
  </si>
  <si>
    <t>Газовое оборудование, Установка ГБО</t>
  </si>
  <si>
    <t>https://vk.com/avtogaz12</t>
  </si>
  <si>
    <t>47.875772 56.642705</t>
  </si>
  <si>
    <t>Архивный отдел Администрации городского округа г. Йошкар-Ола</t>
  </si>
  <si>
    <t>+7 (8362) 45-18-68</t>
  </si>
  <si>
    <t>Администрация, Архив</t>
  </si>
  <si>
    <t>Трансформаторная подстанция № 5</t>
  </si>
  <si>
    <t>47.914631 56.638332</t>
  </si>
  <si>
    <t>Fortuna</t>
  </si>
  <si>
    <t>Россия, Республика Марий Эл, Йошкар-Ола, улица Кольцова</t>
  </si>
  <si>
    <t>47.860412 56.627201</t>
  </si>
  <si>
    <t>Экспресс деньги</t>
  </si>
  <si>
    <t>http://экспрессденьги.рф/</t>
  </si>
  <si>
    <t>http://vk.com/expressmoney</t>
  </si>
  <si>
    <t>47.837306 56.640198</t>
  </si>
  <si>
    <t>ул. Дружбы, 87, Йошкар-Ола</t>
  </si>
  <si>
    <t>47.858842 56.651916</t>
  </si>
  <si>
    <t>Интерно</t>
  </si>
  <si>
    <t>47.892 56.629928</t>
  </si>
  <si>
    <t>Моя родня</t>
  </si>
  <si>
    <t>47.892142 56.614532</t>
  </si>
  <si>
    <t>Самолёт</t>
  </si>
  <si>
    <t>+7 (8362) 23-29-23</t>
  </si>
  <si>
    <t>Bazooka Store</t>
  </si>
  <si>
    <t>ул. Кирова, 12/1, Йошкар-Ола</t>
  </si>
  <si>
    <t>+7 (8362) 93-53-55</t>
  </si>
  <si>
    <t>+7 (902) 435-62-45</t>
  </si>
  <si>
    <t>https://vk.com/bazooka.store.yoshkarola</t>
  </si>
  <si>
    <t>https://instagram.com/bazooka.store.yoshkarola</t>
  </si>
  <si>
    <t>47.931156 56.631952</t>
  </si>
  <si>
    <t>Мебельный Дом</t>
  </si>
  <si>
    <t>+7 (8362) 38-00-34</t>
  </si>
  <si>
    <t xml:space="preserve">dom.mebelniy12@gmail.com  </t>
  </si>
  <si>
    <t>ежедневно, 09:00–19:00, перерыв 12:00–13:00</t>
  </si>
  <si>
    <t>http://vk.com/mebelniydom12</t>
  </si>
  <si>
    <t>47.897958 56.636302</t>
  </si>
  <si>
    <t>Евро дизель</t>
  </si>
  <si>
    <t>+7 (8362) 34-30-00</t>
  </si>
  <si>
    <t>+7 (929) 734-30-00</t>
  </si>
  <si>
    <t xml:space="preserve">kuznetsov200@mail.ru  </t>
  </si>
  <si>
    <t>https://vk.com/eurodiesel12</t>
  </si>
  <si>
    <t>Марилогистик</t>
  </si>
  <si>
    <t>+7 (987) 710-47-45</t>
  </si>
  <si>
    <t>47.944335 56.623554</t>
  </si>
  <si>
    <t>Фотодом</t>
  </si>
  <si>
    <t>+7 (927) 682-83-38, +7 (987) 701-05-40</t>
  </si>
  <si>
    <t>пн-пт 09:30–17:00</t>
  </si>
  <si>
    <t>https://vk.com/fotoyoshkarolarussia</t>
  </si>
  <si>
    <t>https://ok.ru/group/53528254349397</t>
  </si>
  <si>
    <t>https://www.instagram.com/kassa_n1/</t>
  </si>
  <si>
    <t>47.880799 56.632248</t>
  </si>
  <si>
    <t>Успенская ул., 11В, Йошкар-Ола</t>
  </si>
  <si>
    <t>47.883945 56.627673</t>
  </si>
  <si>
    <t>Смешарики</t>
  </si>
  <si>
    <t>ул. Анникова, 16, Йошкар-Ола</t>
  </si>
  <si>
    <t>+7 (917) 717-42-72</t>
  </si>
  <si>
    <t>пн-пт 07:00–18:30</t>
  </si>
  <si>
    <t>47.833062 56.644613</t>
  </si>
  <si>
    <t>Кузьмич</t>
  </si>
  <si>
    <t>Chernika</t>
  </si>
  <si>
    <t>+7 (8362) 54-33-66</t>
  </si>
  <si>
    <t>47.896321 56.632803</t>
  </si>
  <si>
    <t>+7 (8362) 70-07-00</t>
  </si>
  <si>
    <t>Республиканская клиническая больница ревматологическое отделение</t>
  </si>
  <si>
    <t>+7 (8362) 46-04-14, +7 (8362) 46-07-30</t>
  </si>
  <si>
    <t>ЛидерСтрой12</t>
  </si>
  <si>
    <t>+7 (8362) 78-78-50, +7 (8362) 92-13-00</t>
  </si>
  <si>
    <t>Кровельные работы, Кровля и кровельные материалы, Окна, Проектная организация, Строительная компания, Строительный магазин</t>
  </si>
  <si>
    <t>47.882977 56.640085</t>
  </si>
  <si>
    <t>Шиномонтаж, Шины и диски</t>
  </si>
  <si>
    <t>47.869914 56.631844</t>
  </si>
  <si>
    <t>ул. Строителей, 103А, Йошкар-Ола</t>
  </si>
  <si>
    <t>47.877074 56.611061</t>
  </si>
  <si>
    <t>47.869193 56.640051</t>
  </si>
  <si>
    <t>Инструмент</t>
  </si>
  <si>
    <t>+7 (8362) 70-55-99</t>
  </si>
  <si>
    <t>Ремонт электрооборудования, Электро- и бензоинструмент</t>
  </si>
  <si>
    <t>47.924619 56.641598</t>
  </si>
  <si>
    <t>Благоустройство</t>
  </si>
  <si>
    <t>+7 (8362) 60-00-74</t>
  </si>
  <si>
    <t>47.896889 56.635392</t>
  </si>
  <si>
    <t>Запчасти Про_100</t>
  </si>
  <si>
    <t>+7 (961) 376-33-93</t>
  </si>
  <si>
    <t>http://про100-запчасти.рф/</t>
  </si>
  <si>
    <t>47.947705 56.636234</t>
  </si>
  <si>
    <t>Мужская одежда</t>
  </si>
  <si>
    <t>47.921836 56.640231</t>
  </si>
  <si>
    <t>Truck Service</t>
  </si>
  <si>
    <t>+7 (8362) 34-59-59</t>
  </si>
  <si>
    <t>+7 (927) 879-20-78</t>
  </si>
  <si>
    <t xml:space="preserve">info@truck-service12.ru  </t>
  </si>
  <si>
    <t>http://truck-service12.ru/</t>
  </si>
  <si>
    <t>Автосервис, автотехцентр, Сварочные работы</t>
  </si>
  <si>
    <t>Компьютерный клуб</t>
  </si>
  <si>
    <t>ул. Эшкинина, 6/1, Йошкар-Ола</t>
  </si>
  <si>
    <t>+7 (8362) 73-17-32, +7 (8362) 73-68-08</t>
  </si>
  <si>
    <t>+7 (915) 956-47-64</t>
  </si>
  <si>
    <t>+7 (8362) 73-15-52</t>
  </si>
  <si>
    <t>ул. Лебедева, 34, Йошкар-Ола</t>
  </si>
  <si>
    <t>47.950674 56.621128</t>
  </si>
  <si>
    <t>Дёнер</t>
  </si>
  <si>
    <t>ул. Якова Эшпая, 136/2, Йошкар-Ола</t>
  </si>
  <si>
    <t>БизнесПроект</t>
  </si>
  <si>
    <t>47.899643 56.642699</t>
  </si>
  <si>
    <t>Закусочная Дубки</t>
  </si>
  <si>
    <t>+7 (8362) 64-37-54</t>
  </si>
  <si>
    <t>ежедневно, 08:00–17:30</t>
  </si>
  <si>
    <t>47.946929 56.626023</t>
  </si>
  <si>
    <t>Страна детства</t>
  </si>
  <si>
    <t>47.820355 56.630438</t>
  </si>
  <si>
    <t>47.837078 56.640154</t>
  </si>
  <si>
    <t>Iprod</t>
  </si>
  <si>
    <t>+7 (999) 609-35-28</t>
  </si>
  <si>
    <t xml:space="preserve">info@iprod12.ru </t>
  </si>
  <si>
    <t>Школьный музей</t>
  </si>
  <si>
    <t>47.840199 56.643398</t>
  </si>
  <si>
    <t>Модница</t>
  </si>
  <si>
    <t>Магазин бижутерии, Магазин сумок и чемоданов, Магазин часов</t>
  </si>
  <si>
    <t>Таливенда</t>
  </si>
  <si>
    <t>8 (800) 600-04-44</t>
  </si>
  <si>
    <t>+7 (960) 090-88-88, +7 (961) 334-60-33</t>
  </si>
  <si>
    <t xml:space="preserve">sales@talivenda.com  </t>
  </si>
  <si>
    <t>https://talivenda.com/</t>
  </si>
  <si>
    <t>https://www.facebook.com/TalivendaLLC/</t>
  </si>
  <si>
    <t>https://www.instagram.com/talivenda/</t>
  </si>
  <si>
    <t>47.895248 56.610346</t>
  </si>
  <si>
    <t>Apartment on Pushkina 8</t>
  </si>
  <si>
    <t>47.896403 56.632374</t>
  </si>
  <si>
    <t>Алые паруса</t>
  </si>
  <si>
    <t>+7 (937) 939-40-39</t>
  </si>
  <si>
    <t>https://vk.com/alieparusayo</t>
  </si>
  <si>
    <t>47.846815 56.632182</t>
  </si>
  <si>
    <t>Мебельный центр</t>
  </si>
  <si>
    <t>Корпусная мебель, Мебель для кухни, Мебель на заказ, Мягкая мебель</t>
  </si>
  <si>
    <t>47.917019 56.641179</t>
  </si>
  <si>
    <t>Правозащитник 12</t>
  </si>
  <si>
    <t>+7 (8362) 50-66-20, +7 (8362) 35-25-50, +7 (8362) 90-60-97</t>
  </si>
  <si>
    <t>+7 (917) 716-03-33, +7 (960) 090-45-41</t>
  </si>
  <si>
    <t>Аварийная служба, Адвокаты, Юридические услуги</t>
  </si>
  <si>
    <t>Rafa</t>
  </si>
  <si>
    <t>47.894337 56.640579</t>
  </si>
  <si>
    <t>Прекрасная Елена</t>
  </si>
  <si>
    <t>+7 (927) 684-15-64, +7 (927) 871-43-36</t>
  </si>
  <si>
    <t>Массажный салон, Ногтевая студия, Солярий</t>
  </si>
  <si>
    <t>пн-пт 08:00–20:00; сб 09:00–18:00; вс 10:00–18:00</t>
  </si>
  <si>
    <t>47.939249 56.6228</t>
  </si>
  <si>
    <t>Мини-Отель Бавария</t>
  </si>
  <si>
    <t>Водопроводная ул., 41А, Йошкар-Ола</t>
  </si>
  <si>
    <t>+7 (8362) 70-07-10</t>
  </si>
  <si>
    <t>47.897974 56.648766</t>
  </si>
  <si>
    <t>Мир Семян</t>
  </si>
  <si>
    <t>+7 (8362) 94-00-93</t>
  </si>
  <si>
    <t>Магазин для садоводов, Магазин семян, Сельскохозяйственная продукция, Средства защиты растений, Удобрения</t>
  </si>
  <si>
    <t>47.887342 56.632851</t>
  </si>
  <si>
    <t>Специализированная организация Конкурсные торги</t>
  </si>
  <si>
    <t>+7 (902) 744-55-26</t>
  </si>
  <si>
    <t>Территория красоты № 1</t>
  </si>
  <si>
    <t>https://vk.com/tatuazh_yoshkarola</t>
  </si>
  <si>
    <t>47.85675 56.642302</t>
  </si>
  <si>
    <t>47.820905 56.628885</t>
  </si>
  <si>
    <t>Эко Фэмили</t>
  </si>
  <si>
    <t>ул. Эшкинина, 72, Йошкар-Ола</t>
  </si>
  <si>
    <t>+7 (902) 433-31-33</t>
  </si>
  <si>
    <t>Детская мебель, Магазин мебели, Магазин постельных принадлежностей</t>
  </si>
  <si>
    <t>https://vk.com/eco_family_krovatka</t>
  </si>
  <si>
    <t>https://www.instagram.com/eco_family_krovatka</t>
  </si>
  <si>
    <t>47.852699 56.646444</t>
  </si>
  <si>
    <t>Детки-Конфетки</t>
  </si>
  <si>
    <t>Тир</t>
  </si>
  <si>
    <t>47.891647 56.63538</t>
  </si>
  <si>
    <t>Avva</t>
  </si>
  <si>
    <t>47.885586 56.63547</t>
  </si>
  <si>
    <t>47.844131 56.63208</t>
  </si>
  <si>
    <t>Акватерм</t>
  </si>
  <si>
    <t>47.880312 56.625861</t>
  </si>
  <si>
    <t>Сайт Скидок</t>
  </si>
  <si>
    <t>+7 (987) 727-00-26</t>
  </si>
  <si>
    <t>РусАлка</t>
  </si>
  <si>
    <t>ул. Вавилова, 30, Йошкар-Ола</t>
  </si>
  <si>
    <t xml:space="preserve">e.gerasimova@russalco.ru, kp@russalco.ru  </t>
  </si>
  <si>
    <t>http://www.rusalka-market.ru/</t>
  </si>
  <si>
    <t>Магазин алкогольных напитков, Супермаркет</t>
  </si>
  <si>
    <t>https://vk.com/rus_a1ka</t>
  </si>
  <si>
    <t>https://www.facebook.com/groups/rusa1ka/</t>
  </si>
  <si>
    <t>https://www.instagram.com/rusalko.official</t>
  </si>
  <si>
    <t>47.879846 56.651236</t>
  </si>
  <si>
    <t>Канцтовары оптом, Копировальный центр, Магазин канцтоваров, Товары для творчества и рукоделия</t>
  </si>
  <si>
    <t>Инфекционное отделение</t>
  </si>
  <si>
    <t>47.924755 56.632265</t>
  </si>
  <si>
    <t>Glam</t>
  </si>
  <si>
    <t>47.892716 56.638541</t>
  </si>
  <si>
    <t>АльпаАрбо</t>
  </si>
  <si>
    <t>+7 (927) 883-77-73, +7 (987) 722-65-52</t>
  </si>
  <si>
    <t>47.830627 56.636298</t>
  </si>
  <si>
    <t>Пункт выдачи товара</t>
  </si>
  <si>
    <t>+7 (927) 878-46-45</t>
  </si>
  <si>
    <t>https://vk.com/rexzooshop</t>
  </si>
  <si>
    <t>47.871511 56.637417</t>
  </si>
  <si>
    <t>Марафет Йошкар-Ола</t>
  </si>
  <si>
    <t xml:space="preserve">dezmarafet@gmail.com  </t>
  </si>
  <si>
    <t>https://yoshkar-ola.dezmarafet.ru/</t>
  </si>
  <si>
    <t>пн-сб 08:00–22:00; вс 13:00–22:00</t>
  </si>
  <si>
    <t>https://www.facebook.com/groups/dezmarafet31</t>
  </si>
  <si>
    <t>https://www.youtube.com/channel/UCikHoGn6cg0HYAM1VkLkuaw</t>
  </si>
  <si>
    <t>47.851144 56.642738</t>
  </si>
  <si>
    <t>1000 Мелочей</t>
  </si>
  <si>
    <t>47.83608 56.642168</t>
  </si>
  <si>
    <t>пн-пт 08:00–19:00; сб 10:00–18:00; вс 10:00–17:00</t>
  </si>
  <si>
    <t>+7 (8362) 45-77-58, +7 (8362) 46-89-82, +7 (8362) 46-90-92</t>
  </si>
  <si>
    <t>Детская поликлиника, Женская консультация</t>
  </si>
  <si>
    <t>47.902992 56.644135</t>
  </si>
  <si>
    <t>https://www.instagram.com/merci.flowers.school/</t>
  </si>
  <si>
    <t>47.893798 56.632591</t>
  </si>
  <si>
    <t>Геометрия</t>
  </si>
  <si>
    <t>+7 (8362) 32-15-85</t>
  </si>
  <si>
    <t>+7 (927) 882-15-85</t>
  </si>
  <si>
    <t>http://геокухни.рф/</t>
  </si>
  <si>
    <t>https://vk.com/geometria5</t>
  </si>
  <si>
    <t>ТэоХим</t>
  </si>
  <si>
    <t>Московская ул., 31, Йошкар-Ола</t>
  </si>
  <si>
    <t>+7 (927) 240-62-80</t>
  </si>
  <si>
    <t>http://teohim-mariel.ru/</t>
  </si>
  <si>
    <t>47.953762 56.6345</t>
  </si>
  <si>
    <t>Аптека 12 плюс</t>
  </si>
  <si>
    <t>ул. Строителей, 1А, Йошкар-Ола</t>
  </si>
  <si>
    <t>47.832709 56.639002</t>
  </si>
  <si>
    <t>Стройситигрупп</t>
  </si>
  <si>
    <t>+7 (8362) 94-95-30</t>
  </si>
  <si>
    <t>+7 (927) 681-53-33</t>
  </si>
  <si>
    <t>Аренда строительной и спецтехники, Электромонтажные работы</t>
  </si>
  <si>
    <t>+7 (8362) 55-05-76</t>
  </si>
  <si>
    <t>47.882308 56.631596</t>
  </si>
  <si>
    <t>47.908469 56.627202</t>
  </si>
  <si>
    <t>+7 (8362) 34-79-89</t>
  </si>
  <si>
    <t xml:space="preserve">info@luch-ltd.ru  </t>
  </si>
  <si>
    <t>http://luch-ltd.ru/</t>
  </si>
  <si>
    <t>Квартиры в новостройках, Продажа и аренда коммерческой недвижимости, Строительная компания</t>
  </si>
  <si>
    <t>Gxb Development</t>
  </si>
  <si>
    <t>+7 (8362) 30-47-00</t>
  </si>
  <si>
    <t xml:space="preserve">hello@gxbventures.com  </t>
  </si>
  <si>
    <t>http://www.gxbventures.com/</t>
  </si>
  <si>
    <t>https://vk.com/gxbdev</t>
  </si>
  <si>
    <t>https://twitter.com/home?lang=en</t>
  </si>
  <si>
    <t>https://www.facebook.com/acroplia</t>
  </si>
  <si>
    <t>https://www.youtube.com/channel/UCZ6-9FXRWvU_iL200_Z97DA?view_as=subscriber</t>
  </si>
  <si>
    <t>https://www.instagram.com/acroplia/?hl=ru</t>
  </si>
  <si>
    <t>+7 (8362) 77-77-57</t>
  </si>
  <si>
    <t>+7 (987) 705-17-71</t>
  </si>
  <si>
    <t>47.835955 56.641441</t>
  </si>
  <si>
    <t>Wow Lashes</t>
  </si>
  <si>
    <t>+7 (917) 709-35-33, +7 (937) 935-67-22</t>
  </si>
  <si>
    <t>Косметология, Обучение мастеров для салонов красоты</t>
  </si>
  <si>
    <t>https://vk.com/lashstudio12</t>
  </si>
  <si>
    <t>КриалЭнергоСтрой</t>
  </si>
  <si>
    <t>8 (800) 555-44-01</t>
  </si>
  <si>
    <t xml:space="preserve">info@krialenergo.ru, n.shastina@krialenergo.ru  </t>
  </si>
  <si>
    <t>https://www.krialenergo.ru/</t>
  </si>
  <si>
    <t>Промышленное оборудование, Строительное оборудование и техника, Энергетическое оборудование</t>
  </si>
  <si>
    <t>https://vk.com/krialenergo</t>
  </si>
  <si>
    <t>https://www.facebook.com/zavod.kes</t>
  </si>
  <si>
    <t>https://www.instagram.com/zavod_kes</t>
  </si>
  <si>
    <t>47.899222 56.645203</t>
  </si>
  <si>
    <t>Совкомбанк, отделение</t>
  </si>
  <si>
    <t>8 (800) 200-66-96, 8 (800) 100-00-06</t>
  </si>
  <si>
    <t xml:space="preserve">cib@sovcombank.ru, fi@sovcombank.ru  </t>
  </si>
  <si>
    <t>http://www.sovcombank.ru/</t>
  </si>
  <si>
    <t>https://vk.com/sovcombank</t>
  </si>
  <si>
    <t>https://www.facebook.com/sovcombank</t>
  </si>
  <si>
    <t>47.880875 56.632244</t>
  </si>
  <si>
    <t>Магазин бижутерии, Ювелирный магазин</t>
  </si>
  <si>
    <t>47.832778 56.636608</t>
  </si>
  <si>
    <t>ТЦ Пушкинский, Отдел Tnl Profi</t>
  </si>
  <si>
    <t>+7 (8362) 52-62-26</t>
  </si>
  <si>
    <t>+7 (964) 862-62-26</t>
  </si>
  <si>
    <t>пн-пт 10:30–19:00; сб 10:30–18:00; вс 10:30–17:00</t>
  </si>
  <si>
    <t>https://instagram.com/tnlprofi_yo</t>
  </si>
  <si>
    <t>47.885643 56.635501</t>
  </si>
  <si>
    <t>Букетто</t>
  </si>
  <si>
    <t>+7 (967) 755-25-56</t>
  </si>
  <si>
    <t>Доставка цветов и букетов, Магазин цветов, Праздничное агентство</t>
  </si>
  <si>
    <t>47.894506 56.629302</t>
  </si>
  <si>
    <t>Россия, Республика Марий Эл, Йошкар-Ола, улица Тюленина</t>
  </si>
  <si>
    <t>47.936215 56.637257</t>
  </si>
  <si>
    <t>Звёздная ул., 4/1, Йошкар-Ола</t>
  </si>
  <si>
    <t>Воскресенский просп., 9, Йошкар-Ола</t>
  </si>
  <si>
    <t>47.91294 56.636216</t>
  </si>
  <si>
    <t>ТеАрт</t>
  </si>
  <si>
    <t>+7 (8362) 54-52-54</t>
  </si>
  <si>
    <t>47.89871 56.630615</t>
  </si>
  <si>
    <t>47.869811 56.631179</t>
  </si>
  <si>
    <t>ГБУ РМЭ Йошкар-Олинская детская городская больница, педиатрическое отделение</t>
  </si>
  <si>
    <t>+7 (8362) 56-61-85, +7 (8362) 45-56-05</t>
  </si>
  <si>
    <t>http://mari-el.gov.ru/minzdrav/jdgb/Pages/main.aspx</t>
  </si>
  <si>
    <t>ЭкспертСтрой</t>
  </si>
  <si>
    <t>Тайный покупатель</t>
  </si>
  <si>
    <t>+7 (927) 681-10-94</t>
  </si>
  <si>
    <t>ООО Лина</t>
  </si>
  <si>
    <t>ул. Якова Эшпая, 150А, Йошкар-Ола</t>
  </si>
  <si>
    <t>+7 (927) 882-01-20</t>
  </si>
  <si>
    <t>http://lina12.ru/</t>
  </si>
  <si>
    <t>47.881615 56.639999</t>
  </si>
  <si>
    <t>Йошкар-Олинский реабилитационный центр для детей и подростков с ограниченными возможностями</t>
  </si>
  <si>
    <t>ул. Петрова, 3А, Йошкар-Ола</t>
  </si>
  <si>
    <t>+7 (8362) 21-55-89, +7 (8362) 21-55-92, +7 (8362) 22-21-40</t>
  </si>
  <si>
    <t>+7 (8362) 56-11-02</t>
  </si>
  <si>
    <t>http://mari-el.gov.ru/minsoc/d_yola_sov/Pages/main.aspx</t>
  </si>
  <si>
    <t>47.913873 56.628533</t>
  </si>
  <si>
    <t>+7 (8362) 33-30-05</t>
  </si>
  <si>
    <t>Зерно и зерноотходы, Овощи и фрукты оптом</t>
  </si>
  <si>
    <t>Йошкар-Олинский филиал ФГУП РЧЦ ПФО</t>
  </si>
  <si>
    <t>ул. Рябинина, 8А, Йошкар-Ола</t>
  </si>
  <si>
    <t>пн-чт 09:00–18:00; пт 09:00–16:45</t>
  </si>
  <si>
    <t>47.875818 56.639709</t>
  </si>
  <si>
    <t>Медико-санитарная часть № 1 г. Йошкар-Олы, Гинекологическое отделение № 2</t>
  </si>
  <si>
    <t>Медсанчасть</t>
  </si>
  <si>
    <t>47.880914 56.650854</t>
  </si>
  <si>
    <t>Тэбир</t>
  </si>
  <si>
    <t>47.900508 56.642118</t>
  </si>
  <si>
    <t>ФБУ Чувашская лаборатория судебной экспертизы</t>
  </si>
  <si>
    <t>+7 (8362) 41-03-38</t>
  </si>
  <si>
    <t>Росгосстрах Банк</t>
  </si>
  <si>
    <t>9, Архангельская слобода, Йошкар-Ола</t>
  </si>
  <si>
    <t>47.90206 56.633185</t>
  </si>
  <si>
    <t>Трансформаторная подстанция № 134</t>
  </si>
  <si>
    <t>Россия, Республика Марий Эл, Йошкар-Ола, Молодёжный переулок</t>
  </si>
  <si>
    <t>47.849125 56.655952</t>
  </si>
  <si>
    <t>47.856134 56.620652</t>
  </si>
  <si>
    <t>Ростехстрой</t>
  </si>
  <si>
    <t>Flowbar</t>
  </si>
  <si>
    <t>+7 (8362) 77-33-01</t>
  </si>
  <si>
    <t>+7 (902) 437-31-73</t>
  </si>
  <si>
    <t>Кофейня, Магазин цветов</t>
  </si>
  <si>
    <t>47.906278 56.630142</t>
  </si>
  <si>
    <t>ул. Карла Либкнехта, 83, Йошкар-Ола</t>
  </si>
  <si>
    <t>47.935644 56.625341</t>
  </si>
  <si>
    <t>ГК Луч</t>
  </si>
  <si>
    <t>ул. Крылова, 53АК5, Йошкар-Ола</t>
  </si>
  <si>
    <t>+7 (8362) 73-50-14</t>
  </si>
  <si>
    <t>47.835923 56.616085</t>
  </si>
  <si>
    <t>47.921534 56.628724</t>
  </si>
  <si>
    <t>Кондитерская, Кондитерские изделия оптом, Магазин продуктов</t>
  </si>
  <si>
    <t>47.830666 56.632255</t>
  </si>
  <si>
    <t>Truck empire</t>
  </si>
  <si>
    <t>+7 (8362) 48-30-00</t>
  </si>
  <si>
    <t xml:space="preserve">none@none.ru, mmk12.ru@yandex.ru, truck.ru@mail.ru </t>
  </si>
  <si>
    <t>http://truck-empire.ru/</t>
  </si>
  <si>
    <t>47.824984 56.619177</t>
  </si>
  <si>
    <t>Магазин сантехники и хозяйственных товаров</t>
  </si>
  <si>
    <t xml:space="preserve">lashstudio@yandex.ru  </t>
  </si>
  <si>
    <t>https://vk.com/club145126733</t>
  </si>
  <si>
    <t>47.883499 56.616814</t>
  </si>
  <si>
    <t>Doors-Ola</t>
  </si>
  <si>
    <t>8 (800) 250-40-03, +7 (8362) 41-25-69, +7 (8362) 98-46-14</t>
  </si>
  <si>
    <t xml:space="preserve">zakaz@doors-ola.ru, finance@doors-ola.ru  </t>
  </si>
  <si>
    <t>https://doors-ola.ru/</t>
  </si>
  <si>
    <t>https://vk.com/doorsola</t>
  </si>
  <si>
    <t>https://www.youtube.com/channel/UCgwb72nFOp84E7cJLZQspvQ</t>
  </si>
  <si>
    <t>https://www.instagram.com/doorsola</t>
  </si>
  <si>
    <t>47.906141 56.627515</t>
  </si>
  <si>
    <t>Представительство в городе</t>
  </si>
  <si>
    <t>Грин лайт</t>
  </si>
  <si>
    <t>+7 (8362) 33-20-80</t>
  </si>
  <si>
    <t>+7 (927) 883-20-80, +7 (987) 730-69-67</t>
  </si>
  <si>
    <t xml:space="preserve">ytvdm@mail.ru  </t>
  </si>
  <si>
    <t>https://vk.com/greenlightyo</t>
  </si>
  <si>
    <t>47.832817 56.636646</t>
  </si>
  <si>
    <t>+7 (8362) 50-19-52</t>
  </si>
  <si>
    <t xml:space="preserve">myasosvezhee@bk.ru  </t>
  </si>
  <si>
    <t>http://myasosvezhee.ru/</t>
  </si>
  <si>
    <t>Магазин мяса, колбас, Магазин продуктов</t>
  </si>
  <si>
    <t>пн-пт 09:00–18:45; сб 09:00–17:45; вс 09:00–15:45</t>
  </si>
  <si>
    <t>https://vk.com/myasosvezhee</t>
  </si>
  <si>
    <t>47.884101 56.616246</t>
  </si>
  <si>
    <t>47.921126 56.637058</t>
  </si>
  <si>
    <t>Средняя общеобразовательная школа № 31 г. Йошкар-Олы</t>
  </si>
  <si>
    <t>+7 (8362) 23-50-55</t>
  </si>
  <si>
    <t>47.824964 56.631382</t>
  </si>
  <si>
    <t>47.923942 56.625878</t>
  </si>
  <si>
    <t>Par-Nick</t>
  </si>
  <si>
    <t>https://vk.com/par_nick</t>
  </si>
  <si>
    <t>47.943399 56.63461</t>
  </si>
  <si>
    <t>С-Агросервис</t>
  </si>
  <si>
    <t>+7 (918) 254-75-46</t>
  </si>
  <si>
    <t>Резиновые и резинотехнические изделия</t>
  </si>
  <si>
    <t>Галерея Столов</t>
  </si>
  <si>
    <t>+7 (927) 882-17-70</t>
  </si>
  <si>
    <t>https://vk.com/galereyastolov</t>
  </si>
  <si>
    <t>Коттедж на Северной</t>
  </si>
  <si>
    <t>+7 (902) 745-62-22</t>
  </si>
  <si>
    <t>http://www.severvip.ru/</t>
  </si>
  <si>
    <t>47.846869 56.660395</t>
  </si>
  <si>
    <t>Первая Клининговая компания</t>
  </si>
  <si>
    <t>+7 (8362) 75-70-66, +7 (8362) 61-20-02</t>
  </si>
  <si>
    <t>Бытовые услуги, Клининговые услуги</t>
  </si>
  <si>
    <t>47.884164 56.637103</t>
  </si>
  <si>
    <t>47.884457 56.620042</t>
  </si>
  <si>
    <t>Энерджи</t>
  </si>
  <si>
    <t>Светильники, Светотехника</t>
  </si>
  <si>
    <t>47.843232 56.641832</t>
  </si>
  <si>
    <t>Торговая база</t>
  </si>
  <si>
    <t>47.892096 56.615308</t>
  </si>
  <si>
    <t>Марийский завод силикатного кирпича</t>
  </si>
  <si>
    <t>47.819374 56.639263</t>
  </si>
  <si>
    <t>Россия, Республика Марий Эл, Йошкар-Ола, Трудовой переулок</t>
  </si>
  <si>
    <t>47.856975 56.658723</t>
  </si>
  <si>
    <t>8, Архангельская слобода, Йошкар-Ола</t>
  </si>
  <si>
    <t>+7 (8362) 92-05-50</t>
  </si>
  <si>
    <t>47.901993 56.632995</t>
  </si>
  <si>
    <t>47.843943 56.640951</t>
  </si>
  <si>
    <t>Вышка связи</t>
  </si>
  <si>
    <t>Телекоммуникационное оборудование</t>
  </si>
  <si>
    <t>47.83044 56.615244</t>
  </si>
  <si>
    <t>Компонент Сервис</t>
  </si>
  <si>
    <t>+7 (8362) 72-22-03</t>
  </si>
  <si>
    <t xml:space="preserve">inter@componentnn.com  </t>
  </si>
  <si>
    <t>http://componentnn.com/</t>
  </si>
  <si>
    <t>47.859466 56.642004</t>
  </si>
  <si>
    <t>Йошкар-олинский Медицинский колледж</t>
  </si>
  <si>
    <t>ул. Прохорова, 24, Йошкар-Ола</t>
  </si>
  <si>
    <t>+7 (8362) 42-37-20</t>
  </si>
  <si>
    <t>http://edu.mari.ru/prof/imk, http://edu.mari.ru/</t>
  </si>
  <si>
    <t>47.839724 56.634742</t>
  </si>
  <si>
    <t>Технологии управления</t>
  </si>
  <si>
    <t>+7 (8362) 22-12-40, +7 (8362) 56-07-87</t>
  </si>
  <si>
    <t>Офис продаж</t>
  </si>
  <si>
    <t>Союз Сп</t>
  </si>
  <si>
    <t>+7 (927) 874-56-70</t>
  </si>
  <si>
    <t xml:space="preserve">greendozor.ru@gmail.com </t>
  </si>
  <si>
    <t>Травматолого-ортопедическое отделение</t>
  </si>
  <si>
    <t>47.963545 56.639236</t>
  </si>
  <si>
    <t>Tonerstyle.ru</t>
  </si>
  <si>
    <t>Водопроводная ул., 87, Йошкар-Ола</t>
  </si>
  <si>
    <t>+7 (8362) 65-02-34</t>
  </si>
  <si>
    <t>+7 (987) 714-08-98, +7 (902) 325-02-34</t>
  </si>
  <si>
    <t>http://tonerstyle.ru/</t>
  </si>
  <si>
    <t>Автостекла, Детейлинг, Кузовной ремонт, Пленки архитектурные, декоративные, защитные, Тонирование стекол</t>
  </si>
  <si>
    <t>https://vk.com/toner_style</t>
  </si>
  <si>
    <t>47.881169 56.652446</t>
  </si>
  <si>
    <t>ул. Калинина, 23/18, Йошкар-Ола</t>
  </si>
  <si>
    <t>47.841059 56.650645</t>
  </si>
  <si>
    <t>КабLook</t>
  </si>
  <si>
    <t>Магазин обуви, Магазин сумок и чемоданов</t>
  </si>
  <si>
    <t>Концертный зал</t>
  </si>
  <si>
    <t>Комсомольская ул., 124В, Йошкар-Ола</t>
  </si>
  <si>
    <t>47.891742 56.635125</t>
  </si>
  <si>
    <t>Style</t>
  </si>
  <si>
    <t>47.958249 56.650748</t>
  </si>
  <si>
    <t>Савва</t>
  </si>
  <si>
    <t>+7 (8362) 31-03-53, +7 (8362) 31-03-02</t>
  </si>
  <si>
    <t>+7 (961) 374-97-96</t>
  </si>
  <si>
    <t xml:space="preserve">savvaokna@yandex.ru  </t>
  </si>
  <si>
    <t>https://savvaokna.ru/</t>
  </si>
  <si>
    <t>Окна, Производственное предприятие</t>
  </si>
  <si>
    <t>пн,вт,ср,пт 09:00–18:00, перерыв 12:00–13:00</t>
  </si>
  <si>
    <t>Приём металла</t>
  </si>
  <si>
    <t>+7 (8362) 62-21-62, +7 (8362) 99-75-37</t>
  </si>
  <si>
    <t>+7 (902) 102-21-62</t>
  </si>
  <si>
    <t>Прием вторсырья, Цветные металлы, Черная металлургия</t>
  </si>
  <si>
    <t>47.850997 56.625779</t>
  </si>
  <si>
    <t>DHL</t>
  </si>
  <si>
    <t>+7 (8362) 23-99-99</t>
  </si>
  <si>
    <t xml:space="preserve">user@domain.com, ruwebcustomer@dhl.com, rucash@dhl.com, dgfrus.mow@dhl.com, salesfreightrussia@dhl.com, service@dhl-globalmail.com, rucv@dhl.com, info.dsc.ru@dhl.com, info-hr.dgfru@dhl.com, rujob@dhl.com </t>
  </si>
  <si>
    <t>http://www.dhl.ru/, https://express.dhl.ru/</t>
  </si>
  <si>
    <t>Курьерские услуги, Логистическая компания</t>
  </si>
  <si>
    <t>https://vk.com/dhlclub</t>
  </si>
  <si>
    <t>https://www.facebook.com/dhl.russia/</t>
  </si>
  <si>
    <t>https://www.instagram.com/dhlexpressrussia</t>
  </si>
  <si>
    <t>Поволжский государственный технологический университет, Приемная ректора</t>
  </si>
  <si>
    <t>+7 (8362) 45-02-72</t>
  </si>
  <si>
    <t>http://volgatech.net/</t>
  </si>
  <si>
    <t>47.89205 56.630873</t>
  </si>
  <si>
    <t>ул. Героев Сталинградской Битвы, 25, Йошкар-Ола</t>
  </si>
  <si>
    <t>47.947536 56.627402</t>
  </si>
  <si>
    <t>Марметлом</t>
  </si>
  <si>
    <t>ул. Панфилова, 8, Йошкар-Ола</t>
  </si>
  <si>
    <t>47.890068 56.620741</t>
  </si>
  <si>
    <t>+7 (964) 864-16-62</t>
  </si>
  <si>
    <t>Кондиционеры, Монтаж и обслуживание систем водоснабжения и канализации, Установка кондиционеров</t>
  </si>
  <si>
    <t>Азбука жилья</t>
  </si>
  <si>
    <t>+7 (8362) 30-96-09</t>
  </si>
  <si>
    <t>47.880774 56.632718</t>
  </si>
  <si>
    <t>Россия, Республика Марий Эл, Йошкар-Ола, микрорайон Мирный</t>
  </si>
  <si>
    <t>47.935178 56.64485</t>
  </si>
  <si>
    <t>Софи</t>
  </si>
  <si>
    <t>Общероссийский народный фронт</t>
  </si>
  <si>
    <t>+7 (8362) 45-53-75, +7 (8362) 45-51-70</t>
  </si>
  <si>
    <t xml:space="preserve">post@onf.ru, press@onf.ru, 22region@onf.ru, 28region@onf.ru, 29region@onf.ru  </t>
  </si>
  <si>
    <t>https://onf.ru/</t>
  </si>
  <si>
    <t>https://vk.com/onfront</t>
  </si>
  <si>
    <t>https://www.facebook.com/rosnarodfront</t>
  </si>
  <si>
    <t>https://www.instagram.com/onf_front/</t>
  </si>
  <si>
    <t>+7 (902) 326-08-08, +7 (902) 329-33-58</t>
  </si>
  <si>
    <t>47.963135 56.614135</t>
  </si>
  <si>
    <t>Катрин</t>
  </si>
  <si>
    <t>Фаина</t>
  </si>
  <si>
    <t>AnnStyle</t>
  </si>
  <si>
    <t>+7 (8362) 95-24-94</t>
  </si>
  <si>
    <t>пн-пт 12:00–18:00; сб,вс 12:00–16:00</t>
  </si>
  <si>
    <t>Яблоня</t>
  </si>
  <si>
    <t>+7 (967) 758-55-55</t>
  </si>
  <si>
    <t>https://www.instagram.com/yablonya.yo</t>
  </si>
  <si>
    <t>47.906544 56.63032</t>
  </si>
  <si>
    <t>Apartments Home Hotel в Йошкар-Ола</t>
  </si>
  <si>
    <t>47.85294 56.64515</t>
  </si>
  <si>
    <t>47.892742 56.63875</t>
  </si>
  <si>
    <t>Террасная доска Ridus</t>
  </si>
  <si>
    <t>http://myridus.ru/</t>
  </si>
  <si>
    <t>Напольные покрытия, Пиломатериалы, Строительные и отделочные работы</t>
  </si>
  <si>
    <t>47.830629 56.636297</t>
  </si>
  <si>
    <t>Отопительное оборудование и системы, Системы водоснабжения, отопления, канализации, Строительный магазин, Теплоизоляционные материалы</t>
  </si>
  <si>
    <t>47.896815 56.618823</t>
  </si>
  <si>
    <t>47.845132 56.628276</t>
  </si>
  <si>
    <t>Театральный</t>
  </si>
  <si>
    <t>47.888752 56.638909</t>
  </si>
  <si>
    <t>47.925679 56.634281</t>
  </si>
  <si>
    <t>Полимер12</t>
  </si>
  <si>
    <t xml:space="preserve">aleksandr.t.65@mail.ru  </t>
  </si>
  <si>
    <t>http://polimer12.ru/</t>
  </si>
  <si>
    <t>Все движки</t>
  </si>
  <si>
    <t>+7 (987) 717-94-06</t>
  </si>
  <si>
    <t>+7 (987) 714-71-87</t>
  </si>
  <si>
    <t>http://lubidom.ru/</t>
  </si>
  <si>
    <t>Мясные продукты Халяль</t>
  </si>
  <si>
    <t>ул. Степана Разина, 82, Йошкар-Ола</t>
  </si>
  <si>
    <t>47.885595 56.620612</t>
  </si>
  <si>
    <t>EvaJust</t>
  </si>
  <si>
    <t>+7 (937) 114-81-15</t>
  </si>
  <si>
    <t>Bee Clever</t>
  </si>
  <si>
    <t>+7 (987) 712-32-50</t>
  </si>
  <si>
    <t xml:space="preserve">natashadoronina@gmail.com  </t>
  </si>
  <si>
    <t>https://vk.com/bee_clever</t>
  </si>
  <si>
    <t>47.893913 56.639392</t>
  </si>
  <si>
    <t>47.887725 56.642344</t>
  </si>
  <si>
    <t>+7 (8362) 66-10-06</t>
  </si>
  <si>
    <t>Колосок</t>
  </si>
  <si>
    <t>47.90083 56.6172</t>
  </si>
  <si>
    <t>Малахит</t>
  </si>
  <si>
    <t>+7 (8362) 90-35-75</t>
  </si>
  <si>
    <t>Nomerok-Russia</t>
  </si>
  <si>
    <t>+7 (961) 377-87-73</t>
  </si>
  <si>
    <t>Граверные работы, Магазин подарков и сувениров, Тара и упаковочные материалы</t>
  </si>
  <si>
    <t>ЕвроПрибор</t>
  </si>
  <si>
    <t>+7 (8362) 33-21-11</t>
  </si>
  <si>
    <t>Монтаж и обслуживание систем водоснабжения и канализации, Строительные и отделочные работы, Строительство дачных домов и коттеджей, Строительство и обслуживание инженерных сетей, Электромонтажные работы</t>
  </si>
  <si>
    <t>Детский клуб Эврика</t>
  </si>
  <si>
    <t>+7 (8362) 42-53-01</t>
  </si>
  <si>
    <t>вт 12:00–19:00; ср 11:00–19:00; чт-сб 12:00–19:00</t>
  </si>
  <si>
    <t>47.884569 56.63729</t>
  </si>
  <si>
    <t>Юридическая Ассоциация</t>
  </si>
  <si>
    <t>+7 (8362) 20-01-01, +7 (8362) 29-91-01, +7 (8362) 23-31-01, +7 (8362) 24-41-01</t>
  </si>
  <si>
    <t xml:space="preserve">1@zakon12.ru, expert@zakon12.ru  </t>
  </si>
  <si>
    <t>https://юристо.рф/</t>
  </si>
  <si>
    <t>Адвокаты, Защита прав потребителя, Оценочная компания, Юридические услуги</t>
  </si>
  <si>
    <t>https://vk.com/uristo_rf</t>
  </si>
  <si>
    <t>https://ok.ru/uristo</t>
  </si>
  <si>
    <t>https://www.youtube.com/shopot2008</t>
  </si>
  <si>
    <t>https://www.instagram.com/uristo.rf</t>
  </si>
  <si>
    <t>47.888101 56.630659</t>
  </si>
  <si>
    <t>Детские игрушки и игры, Детский магазин</t>
  </si>
  <si>
    <t>47.917368 56.63809</t>
  </si>
  <si>
    <t>47.884984 56.620141</t>
  </si>
  <si>
    <t>Россия, Республика Марий Эл, Йошкар-Ола, улица Тургенева</t>
  </si>
  <si>
    <t>47.869415 56.623261</t>
  </si>
  <si>
    <t>Кондитерские изделия</t>
  </si>
  <si>
    <t>47.899082 56.643993</t>
  </si>
  <si>
    <t>Марлеспроект</t>
  </si>
  <si>
    <t xml:space="preserve">marlesproekt@mail.ru  </t>
  </si>
  <si>
    <t>http://marlesproekt.ru/</t>
  </si>
  <si>
    <t>47.926028 56.640833</t>
  </si>
  <si>
    <t>Все для ремонта обуви</t>
  </si>
  <si>
    <t>+7 (8362) 46-12-73</t>
  </si>
  <si>
    <t>Обувные материалы и фурнитура, Швейная фурнитура</t>
  </si>
  <si>
    <t>пн-пт 08:30–18:00, перерыв 13:00–14:00; сб 08:30–13:00</t>
  </si>
  <si>
    <t>47.888097 56.646232</t>
  </si>
  <si>
    <t>47.862405 56.625602</t>
  </si>
  <si>
    <t>Лезертаг Йошкар-Ола, клуб Резидент</t>
  </si>
  <si>
    <t>47.917074 56.631117</t>
  </si>
  <si>
    <t>47.885071 56.634074</t>
  </si>
  <si>
    <t>Здравушка</t>
  </si>
  <si>
    <t>Футбольный клуб Олимпия</t>
  </si>
  <si>
    <t>47.866488 56.643883</t>
  </si>
  <si>
    <t>Автогазсервис</t>
  </si>
  <si>
    <t>+7 (8362) 63-03-85, +7 (8362) 41-24-25</t>
  </si>
  <si>
    <t>Автосервис, автотехцентр, Пункт техосмотра</t>
  </si>
  <si>
    <t>47.886277 56.608749</t>
  </si>
  <si>
    <t>Кофейня 5</t>
  </si>
  <si>
    <t>https://instagram.com/kofeinyan5</t>
  </si>
  <si>
    <t>47.895979 56.634872</t>
  </si>
  <si>
    <t>47.883412 56.616377</t>
  </si>
  <si>
    <t>Студия детского праздника КаРаМеЛь</t>
  </si>
  <si>
    <t>+7 (902) 672-60-60, +7 (987) 707-50-00</t>
  </si>
  <si>
    <t>Курсы и мастер-классы, Организация и проведение детских праздников, Товары для праздника</t>
  </si>
  <si>
    <t>https://vk.com/karamel_yola</t>
  </si>
  <si>
    <t>https://instagram.com/animator_karamel</t>
  </si>
  <si>
    <t>47.86982 56.645519</t>
  </si>
  <si>
    <t>Пряжа</t>
  </si>
  <si>
    <t>Нитки, пряжа</t>
  </si>
  <si>
    <t>47.881806 56.630842</t>
  </si>
  <si>
    <t>Ателье по пошиву одежды, Ремонт одежды, Швейная фурнитура</t>
  </si>
  <si>
    <t>47.889284 56.642257</t>
  </si>
  <si>
    <t>Неолазер, филиал в Йошкар-Оле</t>
  </si>
  <si>
    <t>8 (800) 250-22-54</t>
  </si>
  <si>
    <t xml:space="preserve">igor@neolaser.ru, sergey@neolaser.ru  </t>
  </si>
  <si>
    <t>http://yoshkarola.neolaser.ru/</t>
  </si>
  <si>
    <t>Лазерная резка и гравировка, Металлоизделия, Металлообработка</t>
  </si>
  <si>
    <t>Люкс</t>
  </si>
  <si>
    <t>пер. Авиации, 26, корп. 1, Йошкар-Ола</t>
  </si>
  <si>
    <t>47.946276 56.632382</t>
  </si>
  <si>
    <t>Государственный архив аудиовизуальной документации Республики Марий Эл</t>
  </si>
  <si>
    <t>+7 (8362) 41-35-17</t>
  </si>
  <si>
    <t>47.900974 56.644831</t>
  </si>
  <si>
    <t>47.881963 56.630991</t>
  </si>
  <si>
    <t>47.894102 56.645018</t>
  </si>
  <si>
    <t>Ремонт сотовых</t>
  </si>
  <si>
    <t xml:space="preserve">info@avrora24.ru  </t>
  </si>
  <si>
    <t>http://avrora-servis.ru/</t>
  </si>
  <si>
    <t>https://vk.com/avroraservice</t>
  </si>
  <si>
    <t>47.864434 56.646034</t>
  </si>
  <si>
    <t>47.828226 56.634005</t>
  </si>
  <si>
    <t>47.882535 56.623852</t>
  </si>
  <si>
    <t>Марийск автотранс</t>
  </si>
  <si>
    <t>+7 (8362) 45-75-20, +7 (8362) 45-46-40</t>
  </si>
  <si>
    <t>47.900745 56.646844</t>
  </si>
  <si>
    <t>АвантажСтудио</t>
  </si>
  <si>
    <t>бул. Ураева, 9А, Йошкар-Ола</t>
  </si>
  <si>
    <t>+7 (8362) 33-42-87, +7 (8362) 33-82-87</t>
  </si>
  <si>
    <t>47.926639 56.638694</t>
  </si>
  <si>
    <t>Чайный квадрат</t>
  </si>
  <si>
    <t>+7 (8362) 38-71-88</t>
  </si>
  <si>
    <t>+7 (967) 757-01-88</t>
  </si>
  <si>
    <t>Клуб досуга, Магазин посуды, Магазин чая и кофе</t>
  </si>
  <si>
    <t>https://vk.com/tea.square</t>
  </si>
  <si>
    <t>http://facebook.com/square.tea12</t>
  </si>
  <si>
    <t>https://www.instagram.com/square.tea</t>
  </si>
  <si>
    <t>47.920055 56.626752</t>
  </si>
  <si>
    <t>Иван-чай Яндар</t>
  </si>
  <si>
    <t>8 (800) 200-61-39</t>
  </si>
  <si>
    <t>+7 (939) 723-70-23</t>
  </si>
  <si>
    <t xml:space="preserve">zakaz@yandar.ru  </t>
  </si>
  <si>
    <t>http://yandar.ru/</t>
  </si>
  <si>
    <t>Интернет-магазин, Магазин чая и кофе, Производство продуктов питания</t>
  </si>
  <si>
    <t>https://vk.com/iteashop</t>
  </si>
  <si>
    <t>https://instagram.com/yandar_tea</t>
  </si>
  <si>
    <t>47.898609 56.636854</t>
  </si>
  <si>
    <t>СпецСтрой</t>
  </si>
  <si>
    <t>+7 (8362) 38-28-02, +7 (8362) 38-28-01</t>
  </si>
  <si>
    <t>+7 (8362) 38-28-02</t>
  </si>
  <si>
    <t xml:space="preserve">info@gkspecstroy.ru </t>
  </si>
  <si>
    <t>Пожарное оборудование, Проектная организация, Противопожарные системы, Строительная компания</t>
  </si>
  <si>
    <t>Русалка</t>
  </si>
  <si>
    <t>47.950385 56.621128</t>
  </si>
  <si>
    <t>МонтажЭнерго</t>
  </si>
  <si>
    <t>ул. 8 Марта, 25А, Йошкар-Ола</t>
  </si>
  <si>
    <t>Котлы и котельное оборудование, Монтаж и обслуживание систем водоснабжения и канализации</t>
  </si>
  <si>
    <t>47.95119 56.642342</t>
  </si>
  <si>
    <t>47.825603 56.630438</t>
  </si>
  <si>
    <t>Тонус-клуб</t>
  </si>
  <si>
    <t>8 (800) 770-08-03</t>
  </si>
  <si>
    <t>+7 (987) 717-00-64</t>
  </si>
  <si>
    <t xml:space="preserve">sales@tonusmail.ru, my@mail.ru, kesha@mail.ru, law@tonusmail.ru, fr@tonusmail.ru  </t>
  </si>
  <si>
    <t>https://tonusclub.ru/</t>
  </si>
  <si>
    <t>пн-пт 07:00–22:00; сб,вс 08:00–21:00</t>
  </si>
  <si>
    <t>https://vk.com/tonus_club</t>
  </si>
  <si>
    <t>https://www.facebook.com/mytonusclub/</t>
  </si>
  <si>
    <t>https://www.instagram.com/tonusclub/</t>
  </si>
  <si>
    <t>47.89973 56.63554</t>
  </si>
  <si>
    <t>Askor</t>
  </si>
  <si>
    <t>+7 (902) 739-69-69</t>
  </si>
  <si>
    <t>https://www.instagram.com/askor_yo/</t>
  </si>
  <si>
    <t>47.903462 56.642693</t>
  </si>
  <si>
    <t>ул. Карла Либкнехта, 67Г, Йошкар-Ола</t>
  </si>
  <si>
    <t>+7 (902) 358-26-17</t>
  </si>
  <si>
    <t>47.939943 56.631481</t>
  </si>
  <si>
    <t>Сто+</t>
  </si>
  <si>
    <t>47.885851 56.616248</t>
  </si>
  <si>
    <t>Dream Shop</t>
  </si>
  <si>
    <t>бул. Ураева, 34, корп. 1, Йошкар-Ола</t>
  </si>
  <si>
    <t>Дорожно-строительная техника, Строительное оборудование и техника</t>
  </si>
  <si>
    <t>47.928893 56.638605</t>
  </si>
  <si>
    <t>Милана</t>
  </si>
  <si>
    <t>47.892734 56.638278</t>
  </si>
  <si>
    <t>47.871231 56.635763</t>
  </si>
  <si>
    <t>АйТи Рокет</t>
  </si>
  <si>
    <t>47.907692 56.631223</t>
  </si>
  <si>
    <t>+7 (8362) 63-47-10, +7 (8362) 63-44-62, +7 (8362) 63-45-90</t>
  </si>
  <si>
    <t xml:space="preserve">rmz_2005@mail.ru, rmz_2005sbit@mail.ru </t>
  </si>
  <si>
    <t>http://rmz12.ru/</t>
  </si>
  <si>
    <t>Молочная продукция оптом, Молочный магазин, Производство продуктов питания</t>
  </si>
  <si>
    <t>47.923991 56.634586</t>
  </si>
  <si>
    <t>НПФ СТ</t>
  </si>
  <si>
    <t>Красноармейская слобода, 44/1, Йошкар-Ола</t>
  </si>
  <si>
    <t>47.913674 56.642635</t>
  </si>
  <si>
    <t>ул. Кулибина, 1, Йошкар-Ола</t>
  </si>
  <si>
    <t>47.853417 56.649944</t>
  </si>
  <si>
    <t>7цветик</t>
  </si>
  <si>
    <t>ул. Машиностроителей, 128Б, Йошкар-Ола</t>
  </si>
  <si>
    <t>47.820216 56.62694</t>
  </si>
  <si>
    <t>Шоурум модной одежды и обуви Гардероб12</t>
  </si>
  <si>
    <t>+7 (927) 887-62-22</t>
  </si>
  <si>
    <t>Магазин галантереи и аксессуаров, Магазин обуви, Магазин одежды, Магазин сумок и чемоданов</t>
  </si>
  <si>
    <t>https://vk.com/ekaterinagarderob12</t>
  </si>
  <si>
    <t>Техосмотр автомобилей категории В</t>
  </si>
  <si>
    <t>+7 (967) 757-17-50</t>
  </si>
  <si>
    <t>Транстентком</t>
  </si>
  <si>
    <t>ул. Мира, 3, Йошкар-Ола</t>
  </si>
  <si>
    <t>+7 (926) 082-80-25</t>
  </si>
  <si>
    <t>Каисса</t>
  </si>
  <si>
    <t>+7 (961) 375-22-00</t>
  </si>
  <si>
    <t>Социальный прогресс Молодая семья</t>
  </si>
  <si>
    <t>+7 (8362) 48-36-48, +7 (8332) 21-05-30</t>
  </si>
  <si>
    <t xml:space="preserve">spms12@mail.ru </t>
  </si>
  <si>
    <t>Агентство недвижимости, Микрофинансирование, Юридические услуги</t>
  </si>
  <si>
    <t>47.870067 56.63586</t>
  </si>
  <si>
    <t>+7 (917) 701-06-72</t>
  </si>
  <si>
    <t>47.940005 56.632045</t>
  </si>
  <si>
    <t>Apartment in the city centre</t>
  </si>
  <si>
    <t>47.881959 56.634263</t>
  </si>
  <si>
    <t>Садит</t>
  </si>
  <si>
    <t>47.884446 56.616557</t>
  </si>
  <si>
    <t>Ремонт окон Йошкар-Ола</t>
  </si>
  <si>
    <t>+7 (965) 331-52-05</t>
  </si>
  <si>
    <t>http://remontokonjoshkarola.remontokonnedorogo.ru/</t>
  </si>
  <si>
    <t>47.887131 56.632342</t>
  </si>
  <si>
    <t>бул. 70-летия Победы в Великой Отечественной войне, 7А, Йошкар-Ола</t>
  </si>
  <si>
    <t>47.918275 56.638996</t>
  </si>
  <si>
    <t>+7 (8362) 45-28-88, +7 (8362) 63-87-07</t>
  </si>
  <si>
    <t>+7 (981) 687-09-11</t>
  </si>
  <si>
    <t>http://kl6240.polzdr.ru/</t>
  </si>
  <si>
    <t>Диетические и диабетические продукты, Оздоровительный центр</t>
  </si>
  <si>
    <t>пн-пт 14:00–18:00; сб 14:00–16:00</t>
  </si>
  <si>
    <t>Вечность изготовление памятников и надгробий, установка памятников, благоустройство</t>
  </si>
  <si>
    <t>ул. Якова Эшпая, 115, Йошкар-Ола</t>
  </si>
  <si>
    <t>+7 (902) 100-16-01</t>
  </si>
  <si>
    <t xml:space="preserve">vechnost-12@yandex.ru  </t>
  </si>
  <si>
    <t>http://vechnost-12.ru/</t>
  </si>
  <si>
    <t>47.88559 56.642811</t>
  </si>
  <si>
    <t>Студия Non Stop</t>
  </si>
  <si>
    <t>пн-пт 16:00–21:00; сб,вс 13:00–17:00</t>
  </si>
  <si>
    <t>Gamer</t>
  </si>
  <si>
    <t>Фотомагазин</t>
  </si>
  <si>
    <t>ул. Волкова, 155А, Йошкар-Ола</t>
  </si>
  <si>
    <t>47.89244 56.62935</t>
  </si>
  <si>
    <t>Чипполино</t>
  </si>
  <si>
    <t>47.885988 56.632516</t>
  </si>
  <si>
    <t>Церковь евангельских христиан-баптистов Примирение</t>
  </si>
  <si>
    <t>ул. Дружбы, 90, Йошкар-Ола</t>
  </si>
  <si>
    <t>47.857404 56.652766</t>
  </si>
  <si>
    <t>Сумки</t>
  </si>
  <si>
    <t>47.923949 56.634515</t>
  </si>
  <si>
    <t>Наиля</t>
  </si>
  <si>
    <t>МарКорн</t>
  </si>
  <si>
    <t>+7 (969) 627-25-51</t>
  </si>
  <si>
    <t>Зерно и зерноотходы</t>
  </si>
  <si>
    <t>47.877555 56.627886</t>
  </si>
  <si>
    <t>Ремонт БензоИнструмента</t>
  </si>
  <si>
    <t>+7 (8362) 51-13-13</t>
  </si>
  <si>
    <t>Ремонт электрооборудования</t>
  </si>
  <si>
    <t>47.871095 56.623811</t>
  </si>
  <si>
    <t>+7 (8362) 75-95-74, +7 (8362) 32-30-01</t>
  </si>
  <si>
    <t>+7 (927) 870-93-85</t>
  </si>
  <si>
    <t>Бытовые услуги, Металлоремонт</t>
  </si>
  <si>
    <t>47.884104 56.632968</t>
  </si>
  <si>
    <t>Тритон Трейд</t>
  </si>
  <si>
    <t>ул. Крылова, 45, корп. А, Йошкар-Ола</t>
  </si>
  <si>
    <t>+7 (903) 061-25-30</t>
  </si>
  <si>
    <t>Кухни Премьер</t>
  </si>
  <si>
    <t>+7 (8362) 45-42-96</t>
  </si>
  <si>
    <t xml:space="preserve">info@kuhni-premier.ru, riochocolate@kuhni-premier.ru  </t>
  </si>
  <si>
    <t>http://kuhni-premier.ru/</t>
  </si>
  <si>
    <t>https://vk.com/kuhnipremier</t>
  </si>
  <si>
    <t>47.901287 56.642012</t>
  </si>
  <si>
    <t>Центр проката автомобилей</t>
  </si>
  <si>
    <t>47.932657 56.644074</t>
  </si>
  <si>
    <t>Dimira</t>
  </si>
  <si>
    <t>47.832894 56.641708</t>
  </si>
  <si>
    <t>Магазин разносортной продукции</t>
  </si>
  <si>
    <t>Магазин сантехники, Светотехника</t>
  </si>
  <si>
    <t>ТуристМаг</t>
  </si>
  <si>
    <t>+7 (967) 909-76-75</t>
  </si>
  <si>
    <t>Товары для охоты, Товары для рыбалки</t>
  </si>
  <si>
    <t>https://vk.com/touristmag</t>
  </si>
  <si>
    <t>ФГБУ Марийский центр научно-технической информации</t>
  </si>
  <si>
    <t>+7 (8362) 72-58-57, +7 (8362) 42-89-20</t>
  </si>
  <si>
    <t>Патентные услуги</t>
  </si>
  <si>
    <t>Интернет-магазин косметики tianDe</t>
  </si>
  <si>
    <t>+7 (917) 713-42-92</t>
  </si>
  <si>
    <t xml:space="preserve">index@tiande12.ru </t>
  </si>
  <si>
    <t>Интернет-магазин, Распространители косметики и бытовой химии</t>
  </si>
  <si>
    <t>47.876746 56.644341</t>
  </si>
  <si>
    <t>Строительный мир</t>
  </si>
  <si>
    <t>Фанера</t>
  </si>
  <si>
    <t>пн-пт 09:00–17:00, перерыв 12:00–13:00; сб 09:00–12:00</t>
  </si>
  <si>
    <t>47.8568 56.6296</t>
  </si>
  <si>
    <t>ул. Якова Эшпая, 150Б, Йошкар-Ола</t>
  </si>
  <si>
    <t>47.882594 56.639541</t>
  </si>
  <si>
    <t>ТСЖ Дружба</t>
  </si>
  <si>
    <t>бул. 70-летия Победы в Великой Отечественной войне, 12, Йошкар-Ола</t>
  </si>
  <si>
    <t>+7 (8362) 42-62-26</t>
  </si>
  <si>
    <t>Московская ярмарка</t>
  </si>
  <si>
    <t>47.919894 56.626579</t>
  </si>
  <si>
    <t>47.848746 56.664006</t>
  </si>
  <si>
    <t>Одежда</t>
  </si>
  <si>
    <t>+7 (960) 095-00-50</t>
  </si>
  <si>
    <t>Магазин одежды, Одежда оптом</t>
  </si>
  <si>
    <t>http://vk.com/mskjaklin</t>
  </si>
  <si>
    <t>https://instagram.com/zhaklinmasterskaia</t>
  </si>
  <si>
    <t>47.884916 56.63549</t>
  </si>
  <si>
    <t>Марийский республиканский фильмофонд</t>
  </si>
  <si>
    <t>+7 (8362) 42-38-70</t>
  </si>
  <si>
    <t>47.877335 56.641354</t>
  </si>
  <si>
    <t>Жажда Стиля</t>
  </si>
  <si>
    <t>https://vk.com/public64473218</t>
  </si>
  <si>
    <t>ул. Анциферова, 12, Йошкар-Ола</t>
  </si>
  <si>
    <t>47.864977 56.643268</t>
  </si>
  <si>
    <t>Россия, Республика Марий Эл, Йошкар-Ола, микрорайон Восточный</t>
  </si>
  <si>
    <t>47.929475 56.634859</t>
  </si>
  <si>
    <t>Детский Арт Лофт</t>
  </si>
  <si>
    <t>+7 (964) 860-77-66</t>
  </si>
  <si>
    <t>Детские игровые залы и площадки, Клуб для детей и подростков, Клуб досуга</t>
  </si>
  <si>
    <t>https://vk.com/21corner_studio</t>
  </si>
  <si>
    <t>https://www.instagram.com/kids.loft_yola_21corner/?hl=ru</t>
  </si>
  <si>
    <t>+7 (917) 701-05-21</t>
  </si>
  <si>
    <t>пн-пт 09:30–19:00; сб 09:30–18:00; вс 09:30–19:00</t>
  </si>
  <si>
    <t>Модная штучка</t>
  </si>
  <si>
    <t>Лавка чудес</t>
  </si>
  <si>
    <t>47.885486 56.635224</t>
  </si>
  <si>
    <t>Galant</t>
  </si>
  <si>
    <t>47.947415 56.628942</t>
  </si>
  <si>
    <t>Православный центр г. Йошкар-Олы</t>
  </si>
  <si>
    <t xml:space="preserve">socsluzhenie@mail.ru  </t>
  </si>
  <si>
    <t>http://marimiloserdie.ru/</t>
  </si>
  <si>
    <t>Православный храм, Религиозное объединение</t>
  </si>
  <si>
    <t>пн-пт 08:00–19:00, перерыв 12:00–13:00; сб 10:00–14:00, перерыв 12:00–13:00; вс 11:00–18:00, перерыв 12:00–13:00</t>
  </si>
  <si>
    <t>https://vk.com/club130638157</t>
  </si>
  <si>
    <t>47.8986 56.632287</t>
  </si>
  <si>
    <t>Детский Оздоровительный Лагерь им. Ю. А. Гагарина</t>
  </si>
  <si>
    <t>+7 (8362) 45-58-33</t>
  </si>
  <si>
    <t>+7 (903) 326-60-52</t>
  </si>
  <si>
    <t>http://dolgagarina12.ru/</t>
  </si>
  <si>
    <t>Детский лагерь отдыха, Дом отдыха</t>
  </si>
  <si>
    <t>Центр иностранных языков</t>
  </si>
  <si>
    <t>+7 (917) 714-78-13</t>
  </si>
  <si>
    <t>Дополнительное образование, Клуб для детей и подростков, Курсы иностранных языков</t>
  </si>
  <si>
    <t>+7 (937) 114-22-97</t>
  </si>
  <si>
    <t>Спортивная одежда и обувь</t>
  </si>
  <si>
    <t>Апартаменты на Красноармейской 70а</t>
  </si>
  <si>
    <t>Красноармейская ул., 70А, Йошкар-Ола</t>
  </si>
  <si>
    <t>+7 (927) 883-33-25</t>
  </si>
  <si>
    <t>Гостиница, Жилье посуточно</t>
  </si>
  <si>
    <t>47.883102 56.644009</t>
  </si>
  <si>
    <t>Fly Style</t>
  </si>
  <si>
    <t>Сейвори Хауз</t>
  </si>
  <si>
    <t>+7 (917) 710-30-04</t>
  </si>
  <si>
    <t xml:space="preserve">savoryhouse@yandex.ru  </t>
  </si>
  <si>
    <t>https://savory-house.ru/</t>
  </si>
  <si>
    <t>https://vk.com/savoryhouse12</t>
  </si>
  <si>
    <t>https://www.instagram.com/savory_house12/</t>
  </si>
  <si>
    <t>пн,вт 17:00–20:00; ср 11:00–20:00; чт,пт 17:00–20:00; сб 10:00–16:00</t>
  </si>
  <si>
    <t>47.934131 56.637159</t>
  </si>
  <si>
    <t>Натали u0026 Я</t>
  </si>
  <si>
    <t>Ле'Муррр</t>
  </si>
  <si>
    <t>47.918649 56.635729</t>
  </si>
  <si>
    <t>Наш миф</t>
  </si>
  <si>
    <t>47.840661 56.635362</t>
  </si>
  <si>
    <t>47.880379 56.633253</t>
  </si>
  <si>
    <t>Лапшичная Салют</t>
  </si>
  <si>
    <t>+7 (961) 333-40-05</t>
  </si>
  <si>
    <t>https://vk.com/salut.food</t>
  </si>
  <si>
    <t>47.898322 56.635342</t>
  </si>
  <si>
    <t>Tris12</t>
  </si>
  <si>
    <t>Строительный магазин, Теплоизоляционные материалы</t>
  </si>
  <si>
    <t>+7 (8362) 94-05-55</t>
  </si>
  <si>
    <t>Deseo</t>
  </si>
  <si>
    <t>47.843522 56.641157</t>
  </si>
  <si>
    <t>ул. Йывана Кырли, 5А, Йошкар-Ола</t>
  </si>
  <si>
    <t>+7 (8362) 49-10-30</t>
  </si>
  <si>
    <t>47.84894 56.642023</t>
  </si>
  <si>
    <t>сквер Воинов-десантников</t>
  </si>
  <si>
    <t>Россия, Республика Марий Эл, Йошкар-Ола, площадь Победы</t>
  </si>
  <si>
    <t>47.870867 56.639456</t>
  </si>
  <si>
    <t>ул. Подольских Курсантов, 13, Йошкар-Ола</t>
  </si>
  <si>
    <t>47.867225 56.650089</t>
  </si>
  <si>
    <t>Сиреневая аллея</t>
  </si>
  <si>
    <t>Медицинская ул., 5А, Йошкар-Ола</t>
  </si>
  <si>
    <t>47.961738 56.641494</t>
  </si>
  <si>
    <t>Ам кухни</t>
  </si>
  <si>
    <t>Автоматизированные системы</t>
  </si>
  <si>
    <t>Автоматизация производств, Программное обеспечение</t>
  </si>
  <si>
    <t>47.907698 56.631223</t>
  </si>
  <si>
    <t>Люк</t>
  </si>
  <si>
    <t>47.865055 56.619098</t>
  </si>
  <si>
    <t>Girls u0026 mode</t>
  </si>
  <si>
    <t>Магазин одежды, Магазин сумок и чемоданов</t>
  </si>
  <si>
    <t>Лаборатория Новая техника, подразделение Технопарка МарГТУ</t>
  </si>
  <si>
    <t>Консультативная поликлиника</t>
  </si>
  <si>
    <t>47.964249 56.639031</t>
  </si>
  <si>
    <t>Бутик кофе</t>
  </si>
  <si>
    <t>+7 (917) 717-25-17</t>
  </si>
  <si>
    <t>https://www.instagram.com/boutiqe_coffee12/?hl=ru</t>
  </si>
  <si>
    <t>47.917702 56.627445</t>
  </si>
  <si>
    <t>ГБУЗ Республики Марий Эл Республиканская клиническая больница, отоларингологическое отделение</t>
  </si>
  <si>
    <t>+7 (8362) 42-18-00</t>
  </si>
  <si>
    <t>Смешные цены</t>
  </si>
  <si>
    <t>47.952423 56.640351</t>
  </si>
  <si>
    <t>МТС</t>
  </si>
  <si>
    <t>47.882293 56.622287</t>
  </si>
  <si>
    <t>47.907459 56.636988</t>
  </si>
  <si>
    <t>СНТ Милосердие</t>
  </si>
  <si>
    <t>+7 (902) 100-31-58</t>
  </si>
  <si>
    <t xml:space="preserve">snt.miloserdie2018@gmail.com  </t>
  </si>
  <si>
    <t>Общественная организация, Садоводческие товарищества и общества</t>
  </si>
  <si>
    <t>https://vk.com/mercy12</t>
  </si>
  <si>
    <t>https://ok.ru/sntmiloserdie</t>
  </si>
  <si>
    <t>47.966775 56.633214</t>
  </si>
  <si>
    <t>МакАрт+</t>
  </si>
  <si>
    <t>+7 (917) 714-81-01</t>
  </si>
  <si>
    <t>Двери, Оптовая компания, Производственное предприятие</t>
  </si>
  <si>
    <t>http://vk.com/dveriyoyoshkarola</t>
  </si>
  <si>
    <t>Дек</t>
  </si>
  <si>
    <t>+7 (8362) 49-06-93</t>
  </si>
  <si>
    <t>+7 (967) 759-06-93</t>
  </si>
  <si>
    <t>ежедневно, 09:00–16:00</t>
  </si>
  <si>
    <t>+7 (8362) 29-29-99</t>
  </si>
  <si>
    <t>Булочная, пекарня, Магазин кулинарии, Магазин продуктов</t>
  </si>
  <si>
    <t>47.880975 56.632621</t>
  </si>
  <si>
    <t>Киоск по продаже халяльной продукции</t>
  </si>
  <si>
    <t>Россия, Республика Марий Эл, Йошкар-Ола, микрорайон Ремзавод</t>
  </si>
  <si>
    <t>47.945979 56.636446</t>
  </si>
  <si>
    <t>ул. Машиностроителей, 81В, Йошкар-Ола</t>
  </si>
  <si>
    <t>47.85081 56.629716</t>
  </si>
  <si>
    <t>+7 (902) 670-40-33</t>
  </si>
  <si>
    <t>Товары для пчеловодства</t>
  </si>
  <si>
    <t>Комапния Ай-Вижен</t>
  </si>
  <si>
    <t>+7 (8362) 35-27-52</t>
  </si>
  <si>
    <t xml:space="preserve">i-vision12@yandex.ru </t>
  </si>
  <si>
    <t>http://vk.com/i.vision12</t>
  </si>
  <si>
    <t>https://www.facebook.com/i.vision12</t>
  </si>
  <si>
    <t>Шаурма восточная № 1</t>
  </si>
  <si>
    <t>Ленинский просп., 60/4, Йошкар-Ола</t>
  </si>
  <si>
    <t>47.873746 56.637338</t>
  </si>
  <si>
    <t>Don edon</t>
  </si>
  <si>
    <t>+7 (960) 091-31-13</t>
  </si>
  <si>
    <t>https://vk.com/donedon12</t>
  </si>
  <si>
    <t>47.928477 56.626948</t>
  </si>
  <si>
    <t>TireStock.ru</t>
  </si>
  <si>
    <t>8 (800) 444-14-63</t>
  </si>
  <si>
    <t xml:space="preserve">info@tirestock.ru  </t>
  </si>
  <si>
    <t>https://yoshkar-ola.tirestock.ru/</t>
  </si>
  <si>
    <t>https://vk.com/tirestock</t>
  </si>
  <si>
    <t>Сантехника для вашего дома</t>
  </si>
  <si>
    <t>+7 (8362) 43-83-50</t>
  </si>
  <si>
    <t>Магазин сантехники, Сантехнические работы</t>
  </si>
  <si>
    <t>пн-пт 09:00–17:00; сб 09:00–15:00</t>
  </si>
  <si>
    <t>47.866345 56.634755</t>
  </si>
  <si>
    <t>АвтоБУМ</t>
  </si>
  <si>
    <t>+7 (927) 878-96-04</t>
  </si>
  <si>
    <t xml:space="preserve">torg-112@mail.ru  </t>
  </si>
  <si>
    <t>Автоаксессуары, Автомобильные прицепы, Интернет-магазин, Магазин автозапчастей и автотоваров</t>
  </si>
  <si>
    <t>пн-пт 08:00–16:00; сб 08:00–12:00</t>
  </si>
  <si>
    <t>https://vk.com/club81668421</t>
  </si>
  <si>
    <t>АЛТЫН золото</t>
  </si>
  <si>
    <t>+7 (952) 761-24-46</t>
  </si>
  <si>
    <t xml:space="preserve">test@test.ru, altyn.gold.nn@yandex.ru  </t>
  </si>
  <si>
    <t>http://altyn-gold.ru/</t>
  </si>
  <si>
    <t>https://vk.com/altyn.gold</t>
  </si>
  <si>
    <t>https://www.instagram.com/altyn.life</t>
  </si>
  <si>
    <t>Жилсервис 64</t>
  </si>
  <si>
    <t>+7 (987) 239-69-04</t>
  </si>
  <si>
    <t>http://remvann64.ru/</t>
  </si>
  <si>
    <t>Реставрационная мастерская</t>
  </si>
  <si>
    <t>Кремль</t>
  </si>
  <si>
    <t>47.890225 56.635418</t>
  </si>
  <si>
    <t>47.830163 56.639702</t>
  </si>
  <si>
    <t>Алмазное бурение, сверление отверстий</t>
  </si>
  <si>
    <t>Красноармейская ул., 43, корп. 3, Йошкар-Ола</t>
  </si>
  <si>
    <t>+7 (917) 070-15-03</t>
  </si>
  <si>
    <t>Алмазная резка</t>
  </si>
  <si>
    <t>https://vk.com/almaznoe_burenie_joshkar_ola12</t>
  </si>
  <si>
    <t>Лайф Мебель на заказ</t>
  </si>
  <si>
    <t>47.885456 56.634942</t>
  </si>
  <si>
    <t>Юнион Полис</t>
  </si>
  <si>
    <t>+7 (8362) 20-18-18</t>
  </si>
  <si>
    <t>пн-пт 08:00–17:30; сб 08:30–13:00</t>
  </si>
  <si>
    <t>Магазин постельных принадлежностей, Спецодежда, Средства индивидуальной защиты</t>
  </si>
  <si>
    <t>Радио Электро Хозтовары</t>
  </si>
  <si>
    <t>47.858126 56.643559</t>
  </si>
  <si>
    <t>+7 (8362) 20-39-47</t>
  </si>
  <si>
    <t>47.898443 56.636622</t>
  </si>
  <si>
    <t>Монета.ру</t>
  </si>
  <si>
    <t xml:space="preserve">tech@support.moneta.ru, helpdesk.support@moneta.ru  </t>
  </si>
  <si>
    <t>http://moneta.ru/</t>
  </si>
  <si>
    <t>47.898767 56.629963</t>
  </si>
  <si>
    <t>ул. Йывана Кырли, 15Г, Йошкар-Ола</t>
  </si>
  <si>
    <t>47.84161 56.642595</t>
  </si>
  <si>
    <t>БиК</t>
  </si>
  <si>
    <t>+7 (8362) 46-80-00, +7 (8362) 34-18-40, +7 (8362) 41-45-89, +7 (8362) 41-63-40, +7 (8362) 34-18-90, +7 (8362) 63-54-00</t>
  </si>
  <si>
    <t>Мир шапок</t>
  </si>
  <si>
    <t>ДебетКредит</t>
  </si>
  <si>
    <t>+7 (8362) 91-00-90</t>
  </si>
  <si>
    <t>47.945145 56.634135</t>
  </si>
  <si>
    <t>Спецрезерв</t>
  </si>
  <si>
    <t>Информационная служба</t>
  </si>
  <si>
    <t>Здравствуйте</t>
  </si>
  <si>
    <t>Комсомольская ул., 92/1, Йошкар-Ола</t>
  </si>
  <si>
    <t>+7 (8362) 38-38-30, +7 (8362) 33-37-30</t>
  </si>
  <si>
    <t xml:space="preserve">info@zdrav12.ru, clinica2017@mail.ru  </t>
  </si>
  <si>
    <t>http://zdrav12.ru/</t>
  </si>
  <si>
    <t>пн-пт 07:00–20:00; сб 08:00–16:00</t>
  </si>
  <si>
    <t>47.896994 56.642462</t>
  </si>
  <si>
    <t>КопиТехник</t>
  </si>
  <si>
    <t>+7 (902) 435-24-41</t>
  </si>
  <si>
    <t xml:space="preserve">t252441@yandex.ru, i252441@yandex.ru  </t>
  </si>
  <si>
    <t>Магазин подарков и сувениров, Расходные материалы для оргтехники, Фотоуслуги</t>
  </si>
  <si>
    <t>https://vk.com/bumaga_inktec_revkol_jetprint</t>
  </si>
  <si>
    <t>47.921278 56.630335</t>
  </si>
  <si>
    <t>47.884287 56.60927</t>
  </si>
  <si>
    <t>Территория отдыха</t>
  </si>
  <si>
    <t>ул. Дружбы, 2, корп. 1, Йошкар-Ола</t>
  </si>
  <si>
    <t>+7 (8362) 39-42-39</t>
  </si>
  <si>
    <t>+7 (987) 705-24-24</t>
  </si>
  <si>
    <t>Банкетный зал, Санаторий</t>
  </si>
  <si>
    <t>http://vk.com/besedki_12</t>
  </si>
  <si>
    <t>47.838135 56.653461</t>
  </si>
  <si>
    <t>47.87663 56.62525</t>
  </si>
  <si>
    <t>Промышленные товары</t>
  </si>
  <si>
    <t>47.883237 56.620226</t>
  </si>
  <si>
    <t>Леди Классик</t>
  </si>
  <si>
    <t>https://vk.com/classic_ladies</t>
  </si>
  <si>
    <t>Магазин фруктов и овощей</t>
  </si>
  <si>
    <t>Запсчастье для иномарок</t>
  </si>
  <si>
    <t>+7 (8362) 38-17-91</t>
  </si>
  <si>
    <t>https://zap-mag.ru/?utm_campaign=ioshkarola_stroiteleyu0026utm_medium=referral_Paidu0026utm_source=YandexMap</t>
  </si>
  <si>
    <t>Автоаксессуары, Интернет-магазин, Магазин автозапчастей и автотоваров, Смазочные материалы</t>
  </si>
  <si>
    <t>пн-пт 08:00–18:00; сб 09:00–16:00</t>
  </si>
  <si>
    <t>https://vk.com/zapschastierf</t>
  </si>
  <si>
    <t>https://www.instagram.com/zapschastie</t>
  </si>
  <si>
    <t>+7 (937) 116-25-90</t>
  </si>
  <si>
    <t>47.881392 56.646023</t>
  </si>
  <si>
    <t>Раскрась Мир, РОО</t>
  </si>
  <si>
    <t>Visat Indian</t>
  </si>
  <si>
    <t>+7 (902) 124-45-95</t>
  </si>
  <si>
    <t>47.923979 56.635708</t>
  </si>
  <si>
    <t>Минимаркет</t>
  </si>
  <si>
    <t>47.832472 56.643396</t>
  </si>
  <si>
    <t>Хороший бар</t>
  </si>
  <si>
    <t>+7 (987) 706-69-23</t>
  </si>
  <si>
    <t>47.845485 56.643816</t>
  </si>
  <si>
    <t>+7 (8362) 43-38-83</t>
  </si>
  <si>
    <t>Эксперт 12</t>
  </si>
  <si>
    <t>+7 (8362) 23-43-13</t>
  </si>
  <si>
    <t>Автоэкспертиза, оценка автомобилей</t>
  </si>
  <si>
    <t>47.896143 56.647643</t>
  </si>
  <si>
    <t>Белита-Витэкс-Волговят</t>
  </si>
  <si>
    <t>+7 (8362) 56-42-20</t>
  </si>
  <si>
    <t>+7 (917) 712-16-32</t>
  </si>
  <si>
    <t xml:space="preserve">belita.shop@yandex.ru  </t>
  </si>
  <si>
    <t>http://www.bielita12.ru/</t>
  </si>
  <si>
    <t>Магазин парфюмерии и косметики, Оптовая компания, Парфюмерно-косметическая компания</t>
  </si>
  <si>
    <t>https://www.instagram.com/belita.yola/</t>
  </si>
  <si>
    <t>47.909148 56.614639</t>
  </si>
  <si>
    <t>WarmHoff</t>
  </si>
  <si>
    <t>+7 (927) 871-01-78</t>
  </si>
  <si>
    <t xml:space="preserve">info@warmhoff.ru  </t>
  </si>
  <si>
    <t>http://obogrevateli12.ru/</t>
  </si>
  <si>
    <t>Чистый дом</t>
  </si>
  <si>
    <t>ул. Анциферова, 27, Йошкар-Ола</t>
  </si>
  <si>
    <t>+7 (962) 321-90-70, +7 (967) 792-10-13</t>
  </si>
  <si>
    <t>Бытовые услуги, Химчистка</t>
  </si>
  <si>
    <t>47.867431 56.64453</t>
  </si>
  <si>
    <t>Медицинская ул., 3/8, Йошкар-Ола</t>
  </si>
  <si>
    <t>47.959629 56.641771</t>
  </si>
  <si>
    <t>Аэрофлотовец-2</t>
  </si>
  <si>
    <t>Малинка</t>
  </si>
  <si>
    <t>47.831353 56.646729</t>
  </si>
  <si>
    <t>47.894352 56.632097</t>
  </si>
  <si>
    <t>47.870737 56.636302</t>
  </si>
  <si>
    <t>Магазин сумок и головных уборов</t>
  </si>
  <si>
    <t>Магазин головных уборов, Магазин сумок и чемоданов</t>
  </si>
  <si>
    <t>На Вишнёвой</t>
  </si>
  <si>
    <t>47.95053 56.621133</t>
  </si>
  <si>
    <t>Amway Йошка</t>
  </si>
  <si>
    <t>Россия, Республика Марий Эл, Йошкар-Ола, Транспортная улица</t>
  </si>
  <si>
    <t>47.853067 56.65744</t>
  </si>
  <si>
    <t>Отделение гнойной хирургии</t>
  </si>
  <si>
    <t>47.963527 56.639252</t>
  </si>
  <si>
    <t>Платформа</t>
  </si>
  <si>
    <t>ИП Мартьянов Р. Л.</t>
  </si>
  <si>
    <t>+7 (8362) 72-46-73, +7 (8362) 96-87-96</t>
  </si>
  <si>
    <t>+7 (8362) 72-46-73</t>
  </si>
  <si>
    <t>Чистюля</t>
  </si>
  <si>
    <t>47.946488 56.623233</t>
  </si>
  <si>
    <t>+7 (8362) 34-72-20</t>
  </si>
  <si>
    <t>пн 09:00–19:00; вт 09:00–18:00; ср-сб 09:00–19:00; вс 09:00–18:00</t>
  </si>
  <si>
    <t>47.946906 56.625919</t>
  </si>
  <si>
    <t>Аленушка</t>
  </si>
  <si>
    <t>47.925037 56.641637</t>
  </si>
  <si>
    <t>Телевизионная башня РТРС</t>
  </si>
  <si>
    <t>47.87924 56.64513</t>
  </si>
  <si>
    <t>Ремонт и изготовление тентов</t>
  </si>
  <si>
    <t>Россия, Республика Марий Эл, Йошкар-Ола, Ленинградская улица</t>
  </si>
  <si>
    <t>+7 (902) 736-67-67</t>
  </si>
  <si>
    <t>47.966057 56.632847</t>
  </si>
  <si>
    <t>ул. Некрасова, 41/11, Йошкар-Ола</t>
  </si>
  <si>
    <t>47.907679 56.6531</t>
  </si>
  <si>
    <t>Марийский Лифтовый завод</t>
  </si>
  <si>
    <t>8 (800) 550-05-98</t>
  </si>
  <si>
    <t xml:space="preserve">info@mari-lift.ru </t>
  </si>
  <si>
    <t>http://mari-lift.ru/</t>
  </si>
  <si>
    <t>Подъемное оборудование, Складское оборудование, Товары для инвалидов, средства реабилитации</t>
  </si>
  <si>
    <t>47.950384 56.621907</t>
  </si>
  <si>
    <t>WorkToText</t>
  </si>
  <si>
    <t>Московская ул., 44, Йошкар-Ола</t>
  </si>
  <si>
    <t>+7 (931) 356-88-87</t>
  </si>
  <si>
    <t>47.951468 56.633719</t>
  </si>
  <si>
    <t>Vista</t>
  </si>
  <si>
    <t>8 (800) 700-92-92, +7 (8362) 49-48-44</t>
  </si>
  <si>
    <t xml:space="preserve">f.agency@vista-tour.ru  </t>
  </si>
  <si>
    <t>http://www.vista-tour.ru/</t>
  </si>
  <si>
    <t>47.843756 56.640991</t>
  </si>
  <si>
    <t>КМ-Гальваника</t>
  </si>
  <si>
    <t>47.853523 56.613121</t>
  </si>
  <si>
    <t>Квиз Эйнштейн Party</t>
  </si>
  <si>
    <t>+7 (927) 873-05-69</t>
  </si>
  <si>
    <t xml:space="preserve">yo@albertparty.ru  </t>
  </si>
  <si>
    <t>Квесты, Развлекательный центр</t>
  </si>
  <si>
    <t>вт,сб,вс 20:00–22:00</t>
  </si>
  <si>
    <t>https://vk.com/eparty12</t>
  </si>
  <si>
    <t>Кондитерская, Магазин чая и кофе</t>
  </si>
  <si>
    <t>47.865934 56.650358</t>
  </si>
  <si>
    <t>Синема Эл</t>
  </si>
  <si>
    <t>+7 (8362) 23-27-10</t>
  </si>
  <si>
    <t>пн-ср 10:00–00:00; чт-вс 10:00–23:00</t>
  </si>
  <si>
    <t>https://vk.com/cinemaelyola</t>
  </si>
  <si>
    <t>47.833281 56.641968</t>
  </si>
  <si>
    <t>ул. Свердлова, 12, Йошкар-Ола</t>
  </si>
  <si>
    <t>47.833139 56.637265</t>
  </si>
  <si>
    <t>Лампа</t>
  </si>
  <si>
    <t>47.922084 56.638426</t>
  </si>
  <si>
    <t>Девчата</t>
  </si>
  <si>
    <t>Косметология, Ногтевая студия, Парикмахерская, Салон красоты</t>
  </si>
  <si>
    <t>47.872517 56.638693</t>
  </si>
  <si>
    <t>Меркурий</t>
  </si>
  <si>
    <t>Медицинская ул., 9Б, Йошкар-Ола</t>
  </si>
  <si>
    <t>ежедневно, 06:00–23:00</t>
  </si>
  <si>
    <t>47.964923 56.640619</t>
  </si>
  <si>
    <t>Офисная мебель — представительство в Йошкар-Оле</t>
  </si>
  <si>
    <t xml:space="preserve">info@ofi-meb.ru, user@mail.ru  </t>
  </si>
  <si>
    <t>https://yoshkarola.ofi-meb.ru/</t>
  </si>
  <si>
    <t>47.895099 56.616546</t>
  </si>
  <si>
    <t>47.922484 56.635715</t>
  </si>
  <si>
    <t>Медицинская ул., 6, Йошкар-Ола</t>
  </si>
  <si>
    <t>+7 (8362) 54-60-10</t>
  </si>
  <si>
    <t>https://vk.com/geometry12</t>
  </si>
  <si>
    <t>47.958825 56.640159</t>
  </si>
  <si>
    <t>Студия рекламы</t>
  </si>
  <si>
    <t>47.900225 56.638247</t>
  </si>
  <si>
    <t>Пряжа Ткань</t>
  </si>
  <si>
    <t>Магазин ткани, Нитки, пряжа</t>
  </si>
  <si>
    <t>47.92491 56.63454</t>
  </si>
  <si>
    <t>47.830846 56.632299</t>
  </si>
  <si>
    <t>Новый свет</t>
  </si>
  <si>
    <t>Инжэкопроект</t>
  </si>
  <si>
    <t>+7 (929) 900-06-96</t>
  </si>
  <si>
    <t>http://инжэкопроект.рф/</t>
  </si>
  <si>
    <t>Россия, Республика Марий Эл, Йошкар-Ола, улица Кутузова</t>
  </si>
  <si>
    <t>47.845782 56.631437</t>
  </si>
  <si>
    <t>Завод металлоконструкций</t>
  </si>
  <si>
    <t>+7 (917) 702-25-78</t>
  </si>
  <si>
    <t>Старый ЗАГС</t>
  </si>
  <si>
    <t>47.885901 56.625746</t>
  </si>
  <si>
    <t>Хирургическое отделение № 3</t>
  </si>
  <si>
    <t>Диспансер, Медцентр, клиника</t>
  </si>
  <si>
    <t>47.882747 56.650602</t>
  </si>
  <si>
    <t>Онис</t>
  </si>
  <si>
    <t>+7 (8362) 68-16-15</t>
  </si>
  <si>
    <t>https://onisshop.ru/</t>
  </si>
  <si>
    <t>Интернет-магазин, Магазин автозапчастей и автотоваров, Шины и диски</t>
  </si>
  <si>
    <t>пн-сб 08:00–20:00; вс 09:00–17:00</t>
  </si>
  <si>
    <t>47.928301 56.625043</t>
  </si>
  <si>
    <t xml:space="preserve">nailsmariya@yandex.ru, shop@elmscan.ru  </t>
  </si>
  <si>
    <t>https://vk.com/nailcity_shop</t>
  </si>
  <si>
    <t>Пропан</t>
  </si>
  <si>
    <t>Фестивальная ул., 70Б, Йошкар-Ола</t>
  </si>
  <si>
    <t>47.832115 56.642416</t>
  </si>
  <si>
    <t>Магазин Продукты из деревни</t>
  </si>
  <si>
    <t>ежедневно, 08:00–20:30</t>
  </si>
  <si>
    <t>47.945045 56.62233</t>
  </si>
  <si>
    <t>Прием радиодеталей</t>
  </si>
  <si>
    <t>Россия, Республика Марий Эл, Йошкар-Ола, микрорайон Машиностроитель</t>
  </si>
  <si>
    <t>Контрольно-измерительные приборы, Электронные приборы и компоненты</t>
  </si>
  <si>
    <t>47.869953 56.632608</t>
  </si>
  <si>
    <t>Магазин бижутерии, Магазин сумок и чемоданов</t>
  </si>
  <si>
    <t>Автотон</t>
  </si>
  <si>
    <t>+7 (8362) 98-10-23</t>
  </si>
  <si>
    <t>Автомойка, Студия автотюнинга, Тонирование стекол</t>
  </si>
  <si>
    <t>Мурзаев А. Ю.</t>
  </si>
  <si>
    <t>+7 (8362) 45-35-33</t>
  </si>
  <si>
    <t>Шинный центр</t>
  </si>
  <si>
    <t>ул. Павленко, 74, Йошкар-Ола</t>
  </si>
  <si>
    <t>47.934505 56.635708</t>
  </si>
  <si>
    <t>Мясокомбинат Звениговский</t>
  </si>
  <si>
    <t>47.870279 56.640781</t>
  </si>
  <si>
    <t>Teplowin</t>
  </si>
  <si>
    <t>+7 (8362) 36-76-11, +7 (8362) 52-55-30</t>
  </si>
  <si>
    <t xml:space="preserve">ezhovate@mail.ru, n_chibireva@mail.ru, nastya_fedyukowa@mail.ru, s.s.cotovo@mail.ru, novoctroy.31@mail.ru, servis-comfort@bk.ru, profit-nt@mail.ru, okna@foks-nt.ru, vika1988-88@bk.ru, dir@oknakalita.ru </t>
  </si>
  <si>
    <t>http://teplowin.ru/</t>
  </si>
  <si>
    <t>ул. Дружбы, 39, Йошкар-Ола</t>
  </si>
  <si>
    <t>+7 (927) 882-06-42</t>
  </si>
  <si>
    <t>Автосервис, автотехцентр, Продажа и ремонт автобусов, Ремонт АКПП, Ремонт двигателей, Шиномонтаж</t>
  </si>
  <si>
    <t>https://vk.com/motorsport12</t>
  </si>
  <si>
    <t>47.846453 56.65225</t>
  </si>
  <si>
    <t>Приволжское бюро переводов г. Йошкар-Ола</t>
  </si>
  <si>
    <t>8 (800) 201-49-18</t>
  </si>
  <si>
    <t xml:space="preserve">mail@perevod-pfo.ru  </t>
  </si>
  <si>
    <t>https://yola.perevod-pfo.ru/</t>
  </si>
  <si>
    <t>Апостиль и легализация документов, Бюро переводов</t>
  </si>
  <si>
    <t>Интеграл</t>
  </si>
  <si>
    <t>47.848643 56.627828</t>
  </si>
  <si>
    <t>Эскорт</t>
  </si>
  <si>
    <t>Советская ул., 178, Йошкар-Ола</t>
  </si>
  <si>
    <t>Россия, Республика Марий Эл, Йошкар-Ола, Спортивная улица</t>
  </si>
  <si>
    <t>47.858188 56.656348</t>
  </si>
  <si>
    <t>47.938451 56.644445</t>
  </si>
  <si>
    <t>47.884726 56.638426</t>
  </si>
  <si>
    <t>47.892505 56.638592</t>
  </si>
  <si>
    <t>47.833312 56.637453</t>
  </si>
  <si>
    <t>Таверна</t>
  </si>
  <si>
    <t>47.923543 56.639866</t>
  </si>
  <si>
    <t>12 Штор</t>
  </si>
  <si>
    <t>+7 (967) 757-42-10</t>
  </si>
  <si>
    <t>Жалюзи и рулонные шторы</t>
  </si>
  <si>
    <t>http://www.instagram.com/12shtor.official/</t>
  </si>
  <si>
    <t>47.892015 56.641446</t>
  </si>
  <si>
    <t>КофеБарро</t>
  </si>
  <si>
    <t>бул. Чавайна, 33/1, Йошкар-Ола</t>
  </si>
  <si>
    <t>Modadi</t>
  </si>
  <si>
    <t>47.906596 56.62853</t>
  </si>
  <si>
    <t>Topaz</t>
  </si>
  <si>
    <t>+7 (8362) 73-38-48</t>
  </si>
  <si>
    <t>http://topaz-38.pulscen.ru/</t>
  </si>
  <si>
    <t>Магазин продуктов, Мука и крупы, Продукты питания оптом</t>
  </si>
  <si>
    <t>ул. Прохорова, 49/3, Йошкар-Ола</t>
  </si>
  <si>
    <t>+7 (960) 096-30-80</t>
  </si>
  <si>
    <t>47.850666 56.637962</t>
  </si>
  <si>
    <t>Йошкар-Олинская Тэц-2</t>
  </si>
  <si>
    <t>АЭС, ГЭС, ТЭС</t>
  </si>
  <si>
    <t>47.845701 56.612068</t>
  </si>
  <si>
    <t>TianDe</t>
  </si>
  <si>
    <t>47.888121 56.635023</t>
  </si>
  <si>
    <t>Феррум</t>
  </si>
  <si>
    <t>8 (800) 700-21-70</t>
  </si>
  <si>
    <t xml:space="preserve">info@sto21.ru  </t>
  </si>
  <si>
    <t>http://www.frrm.ru/</t>
  </si>
  <si>
    <t>Суши-Маркет</t>
  </si>
  <si>
    <t>8 (800) 700-67-76</t>
  </si>
  <si>
    <t xml:space="preserve">fk2005@mail.ru, pr@sushi-market.com </t>
  </si>
  <si>
    <t>https://yoshkar-ola.sushi-market.com/</t>
  </si>
  <si>
    <t>Доставка еды и обедов, Магазин суши и азиатских продуктов, Суши-бар</t>
  </si>
  <si>
    <t>https://vk.com/sushimarket_com</t>
  </si>
  <si>
    <t>https://ok.ru/sushimarket</t>
  </si>
  <si>
    <t>https://twitter.com/sushimarket_com</t>
  </si>
  <si>
    <t>https://www.facebook.com/SushiMarketCom</t>
  </si>
  <si>
    <t>https://www.instagram.com/sushi.market/</t>
  </si>
  <si>
    <t>47.929083 56.627931</t>
  </si>
  <si>
    <t>Завхоз</t>
  </si>
  <si>
    <t>ул. Строителей, 99Г, корп. 1, Йошкар-Ола</t>
  </si>
  <si>
    <t>+7 (8362) 34-43-44</t>
  </si>
  <si>
    <t>Крепежные изделия, Лакокрасочные материалы, Системы водоснабжения, отопления, канализации, Сухие строительные смеси, Электро- и бензоинструмент</t>
  </si>
  <si>
    <t>47.866188 56.615195</t>
  </si>
  <si>
    <t>Apartment on Mashinostroiteley 14</t>
  </si>
  <si>
    <t>ул. Машиностроителей, 14, Йошкар-Ола</t>
  </si>
  <si>
    <t>47.871826 56.64328</t>
  </si>
  <si>
    <t>Дом по ул. Комсомольская</t>
  </si>
  <si>
    <t>+7 (8362) 32-57-21</t>
  </si>
  <si>
    <t>http://magistr-house.ru/strojaschiesja_obekty/mnogokvartirnyj_zhiloj_dom_ulitsa_komsomolskaja_i__ii_etap/</t>
  </si>
  <si>
    <t>47.898872 56.646072</t>
  </si>
  <si>
    <t>47.892016 56.648115</t>
  </si>
  <si>
    <t>ИП Соколов В. В.</t>
  </si>
  <si>
    <t>+7 (927) 883-32-52</t>
  </si>
  <si>
    <t>47.848529 56.633741</t>
  </si>
  <si>
    <t>Фортис</t>
  </si>
  <si>
    <t>ул. Суворова, 20, Йошкар-Ола</t>
  </si>
  <si>
    <t>+7 (905) 368-88-43</t>
  </si>
  <si>
    <t>47.8654 56.636224</t>
  </si>
  <si>
    <t>Oliana</t>
  </si>
  <si>
    <t>47.917704 56.627435</t>
  </si>
  <si>
    <t>МегаСервис</t>
  </si>
  <si>
    <t>+7 (8362) 30-65-63</t>
  </si>
  <si>
    <t>пн-пт 07:00–20:00; сб 08:00–20:00; вс 09:00–20:00</t>
  </si>
  <si>
    <t>Юнискул</t>
  </si>
  <si>
    <t>Бюро переводов, Курсы иностранных языков, Услуги репетиторов</t>
  </si>
  <si>
    <t>47.917704 56.627451</t>
  </si>
  <si>
    <t>Детский танцевальный коллектив Апельсин</t>
  </si>
  <si>
    <t>+7 (8362) 96-05-09</t>
  </si>
  <si>
    <t>https://vk.com/tancy_yoshkar_ola</t>
  </si>
  <si>
    <t>47.829454 56.636873</t>
  </si>
  <si>
    <t>Студия моделирования фигуры Forma</t>
  </si>
  <si>
    <t>47.827924 56.633836</t>
  </si>
  <si>
    <t>бул. Чавайна, 39, Йошкар-Ола</t>
  </si>
  <si>
    <t>47.896573 56.634782</t>
  </si>
  <si>
    <t>Элавий, НКО</t>
  </si>
  <si>
    <t>47.876773 56.630882</t>
  </si>
  <si>
    <t>ул. Зарубина, 19, Йошкар-Ола</t>
  </si>
  <si>
    <t>47.878499 56.62968</t>
  </si>
  <si>
    <t>Dyxless</t>
  </si>
  <si>
    <t>+7 (8362) 54-95-95</t>
  </si>
  <si>
    <t>Ласковые сети</t>
  </si>
  <si>
    <t>Бар, паб, Магазин алкогольных напитков</t>
  </si>
  <si>
    <t>47.865847 56.650382</t>
  </si>
  <si>
    <t>Россия, Республика Марий Эл, Йошкар-Ола, улица Мира</t>
  </si>
  <si>
    <t>47.955541 56.6206</t>
  </si>
  <si>
    <t>Все для свадьбы</t>
  </si>
  <si>
    <t>+7 (981) 910-12-33</t>
  </si>
  <si>
    <t xml:space="preserve">support@njanine.ru </t>
  </si>
  <si>
    <t>47.903911 56.633536</t>
  </si>
  <si>
    <t>Всё для стройки</t>
  </si>
  <si>
    <t>+7 (8362) 27-26-40</t>
  </si>
  <si>
    <t>47.957908 56.650576</t>
  </si>
  <si>
    <t>47.839346 56.640006</t>
  </si>
  <si>
    <t>ул. Крылова, 27Б, Йошкар-Ола</t>
  </si>
  <si>
    <t>47.857641 56.622491</t>
  </si>
  <si>
    <t>47.909868 56.63195</t>
  </si>
  <si>
    <t>Пролетарская ул., 71/2, Йошкар-Ола</t>
  </si>
  <si>
    <t>47.875659 56.648365</t>
  </si>
  <si>
    <t>Правовед</t>
  </si>
  <si>
    <t>Детская школа искусств им. П.И. Чайковского</t>
  </si>
  <si>
    <t>+7 (8362) 42-01-61, +7 (8362) 42-96-20, +7 (8362) 42-01-95, +7 (8362) 45-10-36, +7 (36224) 2-01-61, +7 (36224) 2-96-20</t>
  </si>
  <si>
    <t>+7 (8362) 43-00-58</t>
  </si>
  <si>
    <t xml:space="preserve">muz-ola@mail.ru  </t>
  </si>
  <si>
    <t>http://muz-ola.mari-el.muzkult.ru/</t>
  </si>
  <si>
    <t>Дополнительное образование, Клуб для детей и подростков, Общеобразовательная школа, Школа искусств</t>
  </si>
  <si>
    <t>пн-пт 08:00–20:00, перерыв 12:00–13:00; сб,вс 08:00–18:00, перерыв 12:00–13:00</t>
  </si>
  <si>
    <t>47.885915 56.634776</t>
  </si>
  <si>
    <t>Мару</t>
  </si>
  <si>
    <t>ул. Героев Сталинградской Битвы, 35Б, Йошкар-Ола</t>
  </si>
  <si>
    <t>+7 (8362) 32-69-25</t>
  </si>
  <si>
    <t>47.947517 56.624842</t>
  </si>
  <si>
    <t>Доступный Мир</t>
  </si>
  <si>
    <t>Общежитие Торгово-технологического колледжа</t>
  </si>
  <si>
    <t>47.84616 56.627791</t>
  </si>
  <si>
    <t>Бар, паб, Быстрое питание</t>
  </si>
  <si>
    <t>47.946431 56.637267</t>
  </si>
  <si>
    <t>Автопитер</t>
  </si>
  <si>
    <t>+7 (927) 889-31-74</t>
  </si>
  <si>
    <t xml:space="preserve">roznica@autopiter.ru, 1@browser-events.autopiter.ru, example@autopiter.ru  </t>
  </si>
  <si>
    <t>https://autopiter.ru/</t>
  </si>
  <si>
    <t>Запчасти для мототехники, Магазин автозапчастей и автотоваров, Смазочные материалы</t>
  </si>
  <si>
    <t>https://vk.com/russiaauto</t>
  </si>
  <si>
    <t>http://www.facebook.com/russiaauto</t>
  </si>
  <si>
    <t>https://www.instagram.com/autopiter.ru</t>
  </si>
  <si>
    <t>Станция Скорой Медицинской Помощи</t>
  </si>
  <si>
    <t>Водопроводная ул., 85А, Йошкар-Ола</t>
  </si>
  <si>
    <t>47.881829 56.652342</t>
  </si>
  <si>
    <t>Good Style</t>
  </si>
  <si>
    <t>ул. Палантая, 112Б, Йошкар-Ола</t>
  </si>
  <si>
    <t>47.887983 56.632969</t>
  </si>
  <si>
    <t>Signature</t>
  </si>
  <si>
    <t>+7 (8362) 46-05-44, +7 (8362) 46-00-74</t>
  </si>
  <si>
    <t>Солярий, СПА-салон, Фитнес-клуб</t>
  </si>
  <si>
    <t>https://vk.com/b_signature</t>
  </si>
  <si>
    <t>47.893401 56.647054</t>
  </si>
  <si>
    <t>Главное Юридическое Бюро</t>
  </si>
  <si>
    <t>+7 (8362) 48-78-87</t>
  </si>
  <si>
    <t>+7 (967) 758-78-87</t>
  </si>
  <si>
    <t xml:space="preserve">yurist-yoshkar-ola@ya.ru </t>
  </si>
  <si>
    <t>http://юрист-йошкар-ола.рф/</t>
  </si>
  <si>
    <t>https://vk.com/12yurist</t>
  </si>
  <si>
    <t>Стройблок</t>
  </si>
  <si>
    <t>+7 (8362) 45-89-03</t>
  </si>
  <si>
    <t>Вкусный кофе</t>
  </si>
  <si>
    <t>47.893036 56.638574</t>
  </si>
  <si>
    <t>Ремонт сотовых телефонов</t>
  </si>
  <si>
    <t>47.943356 56.634569</t>
  </si>
  <si>
    <t>47.908963 56.630722</t>
  </si>
  <si>
    <t>Детское питание</t>
  </si>
  <si>
    <t>+7 (902) 466-78-39</t>
  </si>
  <si>
    <t>Магазин детского питания</t>
  </si>
  <si>
    <t>47.922066 56.640165</t>
  </si>
  <si>
    <t>Arabesque</t>
  </si>
  <si>
    <t>+7 (962) 588-61-27</t>
  </si>
  <si>
    <t>https://vk.com/arabesque12reg</t>
  </si>
  <si>
    <t>Кутария</t>
  </si>
  <si>
    <t>+7 (8362) 45-43-72</t>
  </si>
  <si>
    <t>http://кугарня.рф/</t>
  </si>
  <si>
    <t>47.898821 56.631358</t>
  </si>
  <si>
    <t>Автоломбард-Залог. Йошкар-Олинское отделение</t>
  </si>
  <si>
    <t>8 (800) 200-13-78</t>
  </si>
  <si>
    <t xml:space="preserve">info@autolombard-zalog.ru  </t>
  </si>
  <si>
    <t>http://joshkar-ola.autolombard-zalog.ru/</t>
  </si>
  <si>
    <t>https://vk.com/autolombardzalog</t>
  </si>
  <si>
    <t>Мистер Блеск</t>
  </si>
  <si>
    <t>+7 (8362) 23-27-97, +7 (8362) 35-21-21</t>
  </si>
  <si>
    <t>47.838056 56.627847</t>
  </si>
  <si>
    <t>Авто Мастер</t>
  </si>
  <si>
    <t>Титан</t>
  </si>
  <si>
    <t>+7 (8362) 32-08-48</t>
  </si>
  <si>
    <t>+7 (937) 936-03-22</t>
  </si>
  <si>
    <t xml:space="preserve">kirov.titan@yandex.ru  </t>
  </si>
  <si>
    <t>https://yo.titan-shop.ru/</t>
  </si>
  <si>
    <t>https://vk.com/titan_shop12</t>
  </si>
  <si>
    <t>47.869732 56.64613</t>
  </si>
  <si>
    <t>Е8</t>
  </si>
  <si>
    <t>+7 (8362) 34-70-14</t>
  </si>
  <si>
    <t xml:space="preserve">e8@e8company.ru  </t>
  </si>
  <si>
    <t>http://www.mariel.e8company.ru/</t>
  </si>
  <si>
    <t>https://www.instagram.com/e8company/</t>
  </si>
  <si>
    <t>47.896671 56.627287</t>
  </si>
  <si>
    <t>47.912287 56.635223</t>
  </si>
  <si>
    <t>Детская студия Подсолнух</t>
  </si>
  <si>
    <t>+7 (8362) 26-63-00, +7 (8362) 99-90-02, +7 (8362) 42-89-75</t>
  </si>
  <si>
    <t>+7 (917) 711-30-32</t>
  </si>
  <si>
    <t xml:space="preserve">osipel@gmail.com  </t>
  </si>
  <si>
    <t>пн-пт 08:30–20:00; сб 08:30–18:00</t>
  </si>
  <si>
    <t>http://vk.com/sunflower_yo</t>
  </si>
  <si>
    <t>47.84166 56.632362</t>
  </si>
  <si>
    <t>47.839578 56.626899</t>
  </si>
  <si>
    <t>Россия, Республика Марий Эл, Йошкар-Ола, бульвар Данилова</t>
  </si>
  <si>
    <t>47.944841 56.628658</t>
  </si>
  <si>
    <t>47.832546 56.643307</t>
  </si>
  <si>
    <t>8 (800) 555-66-71, +7 (8362) 63-95-54, +7 (8362) 67-76-77</t>
  </si>
  <si>
    <t xml:space="preserve">info@zodchij.ru  </t>
  </si>
  <si>
    <t>http://zodchij.ru/</t>
  </si>
  <si>
    <t>https://vk.com/dveri_zodchij</t>
  </si>
  <si>
    <t>https://www.facebook.com/dverizodchij/</t>
  </si>
  <si>
    <t>https://www.youtube.com/channel/UCMrphmAKLtpoNXGV3TyiUWw</t>
  </si>
  <si>
    <t>https://www.instagram.com/zodchiy_k</t>
  </si>
  <si>
    <t>Лейсан</t>
  </si>
  <si>
    <t>+7 (8362) 34-43-16</t>
  </si>
  <si>
    <t>пн-пт 09:00–19:00; сб,вс 09:30–18:00</t>
  </si>
  <si>
    <t>47.95288 56.640837</t>
  </si>
  <si>
    <t>Дмитрий</t>
  </si>
  <si>
    <t>Поликлиника</t>
  </si>
  <si>
    <t>бул. Победы, 21/11, Йошкар-Ола</t>
  </si>
  <si>
    <t>пн-пт 08:00–16:20, перерыв 12:00–12:30</t>
  </si>
  <si>
    <t>47.877239 56.638273</t>
  </si>
  <si>
    <t>Шинный сервис</t>
  </si>
  <si>
    <t>+7 (8362) 38-60-90, +7 (8362) 45-35-38, +7 (8362) 93-30-00</t>
  </si>
  <si>
    <t>ул. Зарубина, 33А, Йошкар-Ола</t>
  </si>
  <si>
    <t>47.870569 56.635029</t>
  </si>
  <si>
    <t>Торнадо Сервис</t>
  </si>
  <si>
    <t>+7 (8362) 55-09-30</t>
  </si>
  <si>
    <t xml:space="preserve">yri_85@inbox.ru  </t>
  </si>
  <si>
    <t>Бытовые услуги, Прачечная, Химчистка</t>
  </si>
  <si>
    <t>https://vk.com/tornadoservice</t>
  </si>
  <si>
    <t>https://ok.ru/tornadoservice</t>
  </si>
  <si>
    <t>https://www.instagram.com/tornadoservis/</t>
  </si>
  <si>
    <t>+7 (927) 882-49-10</t>
  </si>
  <si>
    <t>47.832657 56.643361</t>
  </si>
  <si>
    <t>100 Квадратов</t>
  </si>
  <si>
    <t>вт-вс 17:00–01:00</t>
  </si>
  <si>
    <t>47.890086 56.632519</t>
  </si>
  <si>
    <t>Лесовичок</t>
  </si>
  <si>
    <t>+7 (964) 864-28-91</t>
  </si>
  <si>
    <t>Каркасный-Мир</t>
  </si>
  <si>
    <t>+7 (8362) 67-01-11</t>
  </si>
  <si>
    <t>+7 (917) 717-50-54</t>
  </si>
  <si>
    <t xml:space="preserve">info@karkas-mir.ru  </t>
  </si>
  <si>
    <t>http://karkas-mir.ru/</t>
  </si>
  <si>
    <t>https://vk.com/karkasmir</t>
  </si>
  <si>
    <t>https://www.instagram.com/karkasmir</t>
  </si>
  <si>
    <t>Группа соя сейлз</t>
  </si>
  <si>
    <t>+7 (8362) 56-57-44</t>
  </si>
  <si>
    <t>ул. Машиностроителей, 78А, корп. 1, Йошкар-Ола</t>
  </si>
  <si>
    <t>47.835846 56.627099</t>
  </si>
  <si>
    <t>Рекламная Группа Сарафан</t>
  </si>
  <si>
    <t>+7 (8362) 42-28-28, +7 (8362) 63-00-86</t>
  </si>
  <si>
    <t xml:space="preserve">reklama@sarafan12.ru  </t>
  </si>
  <si>
    <t>http://sarafan12.ru/</t>
  </si>
  <si>
    <t>Видеопроизводство, Рекламное агентство, Студия звукозаписи</t>
  </si>
  <si>
    <t>https://vk.com/sarafan_reklama</t>
  </si>
  <si>
    <t>47.880463 56.638088</t>
  </si>
  <si>
    <t>Лаванда</t>
  </si>
  <si>
    <t>47.944842 56.636478</t>
  </si>
  <si>
    <t>Dzett</t>
  </si>
  <si>
    <t>ул. Петрова, 30, Йошкар-Ола</t>
  </si>
  <si>
    <t>+7 (995) 108-46-45</t>
  </si>
  <si>
    <t xml:space="preserve">info@dzett.ru  </t>
  </si>
  <si>
    <t>https://dzett.ru/</t>
  </si>
  <si>
    <t>Интернет-магазин, Магазин галантереи и аксессуаров, Магазин сумок и чемоданов</t>
  </si>
  <si>
    <t>https://vk.com/dzett_leatherline</t>
  </si>
  <si>
    <t>https://www.facebook.com/Dzett.Leatherline</t>
  </si>
  <si>
    <t>https://www.youtube.com/channel/UCy9Jw-U848zSBJSonjhZE4w?sub_confirmation=1</t>
  </si>
  <si>
    <t>https://www.instagram.com/horo.shop/</t>
  </si>
  <si>
    <t>47.92601 56.6415</t>
  </si>
  <si>
    <t>ГК Энергетик</t>
  </si>
  <si>
    <t>47.852862 56.608289</t>
  </si>
  <si>
    <t>Мебель Хит</t>
  </si>
  <si>
    <t>Корпусная мебель, Мебель для кухни, Мягкая мебель</t>
  </si>
  <si>
    <t>Польская мода</t>
  </si>
  <si>
    <t>Реал Инвест</t>
  </si>
  <si>
    <t>+7 (831) 434-07-00</t>
  </si>
  <si>
    <t>+7 (937) 117-03-01</t>
  </si>
  <si>
    <t xml:space="preserve">co2prom@mail.ru, strelkovaleksei@mail.ru, example@mail.ru  </t>
  </si>
  <si>
    <t>https://www.real-invest.ru/</t>
  </si>
  <si>
    <t>47.832496 56.642469</t>
  </si>
  <si>
    <t>+7 (8362) 43-93-77</t>
  </si>
  <si>
    <t>Ногтевая студия, Парикмахерская, СПА-салон</t>
  </si>
  <si>
    <t>47.859465 56.64098</t>
  </si>
  <si>
    <t>Автомастерская Valvoline</t>
  </si>
  <si>
    <t>Вознесенская ул., 13, Йошкар-Ола</t>
  </si>
  <si>
    <t>+7 (927) 876-03-94</t>
  </si>
  <si>
    <t>Автосервис, автотехцентр, Грузовые автомобили, грузовая техника, Продажа и ремонт автобусов, Смазочные материалы, Шиномонтаж</t>
  </si>
  <si>
    <t>47.905268 56.642466</t>
  </si>
  <si>
    <t>Bronoskins ТЦ Yolka</t>
  </si>
  <si>
    <t>+7 (987) 704-42-08, +7 (919) 390-21-16</t>
  </si>
  <si>
    <t xml:space="preserve">admin@bronoskins.com  </t>
  </si>
  <si>
    <t>https://bronoskins.com/</t>
  </si>
  <si>
    <t>https://vk.com/bronoskins</t>
  </si>
  <si>
    <t>https://twitter.com/bronoskins</t>
  </si>
  <si>
    <t>https://www.facebook.com/bronoskins</t>
  </si>
  <si>
    <t>https://www.youtube.com/bronoskins</t>
  </si>
  <si>
    <t>https://www.instagram.com/bronoskins_yola/</t>
  </si>
  <si>
    <t>Фс-технологии</t>
  </si>
  <si>
    <t>+7 (8362) 31-50-62</t>
  </si>
  <si>
    <t>+7 (904) 724-50-62</t>
  </si>
  <si>
    <t xml:space="preserve">sale@fs-tech.ru  </t>
  </si>
  <si>
    <t>http://fs-tech.ru/</t>
  </si>
  <si>
    <t>http://vk.com/fstech</t>
  </si>
  <si>
    <t>47.935489 56.63774</t>
  </si>
  <si>
    <t>Магазин фоторамок</t>
  </si>
  <si>
    <t>Пивточка</t>
  </si>
  <si>
    <t>ЧелТрансКом</t>
  </si>
  <si>
    <t>+7 (3517) 50-46-61</t>
  </si>
  <si>
    <t>+7 (951) 449-19-01, +7 (999) 585-59-69</t>
  </si>
  <si>
    <t xml:space="preserve">cheltc@mail.ru, fruzen196910@mail.ru, artyom.rykov.91@bk.ru  </t>
  </si>
  <si>
    <t>http://cheltcom.ru/</t>
  </si>
  <si>
    <t>Автомобильные грузоперевозки, Перевозка негабаритных грузов, Переезды</t>
  </si>
  <si>
    <t>https://vk.com/cheltcom_ru</t>
  </si>
  <si>
    <t>https://ok.ru/cheltcom</t>
  </si>
  <si>
    <t>https://twitter.com/cheltcom</t>
  </si>
  <si>
    <t>https://www.facebook.com/cheltcom</t>
  </si>
  <si>
    <t>Пмк-3</t>
  </si>
  <si>
    <t>Пролетарская ул., 63А, Йошкар-Ола</t>
  </si>
  <si>
    <t>+7 (8362) 45-58-77, +7 (8362) 41-43-28, +7 (8362) 45-56-01, +7 (8362) 56-59-91</t>
  </si>
  <si>
    <t xml:space="preserve">zaopmk3@mail.ru  </t>
  </si>
  <si>
    <t>https://aopmk3.com/</t>
  </si>
  <si>
    <t>Агентство недвижимости, Квартиры в новостройках, Строительная компания</t>
  </si>
  <si>
    <t>47.879117 56.647555</t>
  </si>
  <si>
    <t>Анфилада</t>
  </si>
  <si>
    <t>+7 (905) 182-47-50</t>
  </si>
  <si>
    <t>Дизайн интерьеров, Строительные и отделочные работы</t>
  </si>
  <si>
    <t>47.916863 56.638236</t>
  </si>
  <si>
    <t>Успенская ул., 3, Йошкар-Ола</t>
  </si>
  <si>
    <t>47.886214 56.628302</t>
  </si>
  <si>
    <t>Комэкс</t>
  </si>
  <si>
    <t>+7 (8362) 45-06-93, +7 (8362) 41-05-51</t>
  </si>
  <si>
    <t>+7 (8362) 45-06-93</t>
  </si>
  <si>
    <t xml:space="preserve">komexpo@yandex.ru, info@komexpo.ru  </t>
  </si>
  <si>
    <t>http://www.komexpo.ru/</t>
  </si>
  <si>
    <t>Организация и обслуживание выставок</t>
  </si>
  <si>
    <t>47.895772 56.63315</t>
  </si>
  <si>
    <t>Ак Барс</t>
  </si>
  <si>
    <t>47.884226 56.629362</t>
  </si>
  <si>
    <t>Мисс Тюнинг, интернет-магазин автотоваров</t>
  </si>
  <si>
    <t>ул. Петрова, 2, Йошкар-Ола</t>
  </si>
  <si>
    <t>47.916425 56.627307</t>
  </si>
  <si>
    <t>47.884025 56.641427</t>
  </si>
  <si>
    <t>Рези-Спорт</t>
  </si>
  <si>
    <t>8 (800) 550-63-54</t>
  </si>
  <si>
    <t xml:space="preserve">info@resi-sport.ru  </t>
  </si>
  <si>
    <t>https://yoshkar-ola.resi-sport.ru/</t>
  </si>
  <si>
    <t>Детское игровое оборудование, Покрытия для площадок</t>
  </si>
  <si>
    <t>+7 (8362) 49-08-08</t>
  </si>
  <si>
    <t>47.934974 56.624032</t>
  </si>
  <si>
    <t>47.900551 56.643653</t>
  </si>
  <si>
    <t>ул. Дзержинского, 5/18, Йошкар-Ола</t>
  </si>
  <si>
    <t>47.845072 56.651863</t>
  </si>
  <si>
    <t>Apartment Na Pervomaiskoy</t>
  </si>
  <si>
    <t>47.884742 56.635516</t>
  </si>
  <si>
    <t>3D-печать, Магазин подарков и сувениров, Фотоуслуги</t>
  </si>
  <si>
    <t>47.829845 56.639743</t>
  </si>
  <si>
    <t>Фитнес-клуб Эверест</t>
  </si>
  <si>
    <t>+7 (999) 609-80-44</t>
  </si>
  <si>
    <t>http://everestgym.business.site/</t>
  </si>
  <si>
    <t>пн-пт 08:00–22:00; сб,вс 09:00–20:00</t>
  </si>
  <si>
    <t>http://vk.com/gymeverest</t>
  </si>
  <si>
    <t>47.841748 56.632417</t>
  </si>
  <si>
    <t>Лофт</t>
  </si>
  <si>
    <t>+7 (8362) 34-47-00</t>
  </si>
  <si>
    <t>+7 (927) 878-46-91</t>
  </si>
  <si>
    <t>47.872343 56.639362</t>
  </si>
  <si>
    <t>47.890942 56.643719</t>
  </si>
  <si>
    <t>Входные Двери Статус</t>
  </si>
  <si>
    <t>+7 (8362) 23-04-67</t>
  </si>
  <si>
    <t>Двери, Стеклянные двери</t>
  </si>
  <si>
    <t>ул. Прохорова, 31А, Йошкар-Ола</t>
  </si>
  <si>
    <t>47.839897 56.633892</t>
  </si>
  <si>
    <t>47.838151 56.635285</t>
  </si>
  <si>
    <t>Мастерская по ремонту зонтов</t>
  </si>
  <si>
    <t>Ателье по пошиву одежды, Металлоремонт, Ремонт обуви, Ремонт часов</t>
  </si>
  <si>
    <t>47.8559 56.6447</t>
  </si>
  <si>
    <t>Лестницы Просто. РУ</t>
  </si>
  <si>
    <t>8 (800) 555-96-53</t>
  </si>
  <si>
    <t>47.846042 56.626124</t>
  </si>
  <si>
    <t>47.884786 56.638934</t>
  </si>
  <si>
    <t>бул. Ураева, 10, Йошкар-Ола</t>
  </si>
  <si>
    <t>47.92618 56.639501</t>
  </si>
  <si>
    <t>Шаг за шагом</t>
  </si>
  <si>
    <t>http://shagshagom.ru/</t>
  </si>
  <si>
    <t>47.883807 56.634045</t>
  </si>
  <si>
    <t>ул. Якова Эшпая, 117, Йошкар-Ола</t>
  </si>
  <si>
    <t>47.885401 56.642375</t>
  </si>
  <si>
    <t>Мясо птицы</t>
  </si>
  <si>
    <t>Sofe</t>
  </si>
  <si>
    <t>+7 (8362) 22-27-47</t>
  </si>
  <si>
    <t>47.914411 56.627197</t>
  </si>
  <si>
    <t>НЛО</t>
  </si>
  <si>
    <t>пн-пт 10:00–20:00; сб,вс 10:00–21:00</t>
  </si>
  <si>
    <t>47.891943 56.637697</t>
  </si>
  <si>
    <t>Джинсовое Созвездие</t>
  </si>
  <si>
    <t>Косметичка</t>
  </si>
  <si>
    <t>Центр Развития Интеллекта</t>
  </si>
  <si>
    <t>47.913784 56.634501</t>
  </si>
  <si>
    <t>47.919441 56.637695</t>
  </si>
  <si>
    <t>+7 (8362) 33-74-27, +7 (8362) 33-74-29</t>
  </si>
  <si>
    <t>Мистер Разборкин</t>
  </si>
  <si>
    <t>+7 (939) 726-55-00, +7 (939) 726-58-88</t>
  </si>
  <si>
    <t>Авторазбор, Выкуп автомобилей, Магазин автозапчастей и автотоваров</t>
  </si>
  <si>
    <t>47.901764 56.646316</t>
  </si>
  <si>
    <t>ARTLine</t>
  </si>
  <si>
    <t>Воскресенский просп., 1, Йошкар-Ола</t>
  </si>
  <si>
    <t>+7 (937) 939-59-97</t>
  </si>
  <si>
    <t>47.917972 56.642489</t>
  </si>
  <si>
    <t>ул. Карла Либкнехта, 64/6, Йошкар-Ола</t>
  </si>
  <si>
    <t>47.950983 56.639723</t>
  </si>
  <si>
    <t>Престиж мебель</t>
  </si>
  <si>
    <t>+7 (927) 824-53-56</t>
  </si>
  <si>
    <t xml:space="preserve">prestige173@mail.ru  </t>
  </si>
  <si>
    <t>https://maril.pmv173.ru/</t>
  </si>
  <si>
    <t>Магазин мебели, Мебель на заказ, Мебельная фабрика</t>
  </si>
  <si>
    <t>https://vk.com/pmv173</t>
  </si>
  <si>
    <t>https://twitter.com/pmv173</t>
  </si>
  <si>
    <t>https://www.youtube.com/channel/UCDlK9kc-iQp6VLgp-ulC5vA?view_as=subscriber</t>
  </si>
  <si>
    <t>https://www.instagram.com/prestizhmebel/</t>
  </si>
  <si>
    <t>Бикам</t>
  </si>
  <si>
    <t>ул. Мышино, 116Б, Йошкар-Ола</t>
  </si>
  <si>
    <t>+7 (8362) 50-06-53</t>
  </si>
  <si>
    <t>+7 (906) 137-85-37</t>
  </si>
  <si>
    <t>47.826378 56.656975</t>
  </si>
  <si>
    <t>Легенда</t>
  </si>
  <si>
    <t>+7 (927) 881-43-34</t>
  </si>
  <si>
    <t xml:space="preserve">b5xcursions@mail.ru, xcursions@mail.ru  </t>
  </si>
  <si>
    <t>https://visitola.ru/yoshkar-ola-excursions</t>
  </si>
  <si>
    <t>Магазин подарков и сувениров, Экскурсии</t>
  </si>
  <si>
    <t>Мечта</t>
  </si>
  <si>
    <t>ул. Матросова, 25А, Йошкар-Ола</t>
  </si>
  <si>
    <t>47.846738 56.634149</t>
  </si>
  <si>
    <t>Фундэкс</t>
  </si>
  <si>
    <t>8 (800) 333-43-26, +7 (342) 202-56-20</t>
  </si>
  <si>
    <t>+7 (981) 974-38-82, +7 (912) 780-27-60, +7 (921) 716-17-41</t>
  </si>
  <si>
    <t xml:space="preserve">n.novgorod@fundex.su, regionsales@fundex.su, spb@fundex.su, moscow@fundex.su, zc@2gis.ru  </t>
  </si>
  <si>
    <t>http://www.fundex.su/, https://www.fundex.su/contact/mariel/, https://www.fundex.su/contact/mariel/fundex.su</t>
  </si>
  <si>
    <t>https://vk.com/fundex</t>
  </si>
  <si>
    <t>https://twitter.com/fundex_russia</t>
  </si>
  <si>
    <t>https://www.facebook.com/fundex.russia</t>
  </si>
  <si>
    <t>47.875731 56.634897</t>
  </si>
  <si>
    <t>ТМ</t>
  </si>
  <si>
    <t>Бест Вей</t>
  </si>
  <si>
    <t>47.8877 56.634469</t>
  </si>
  <si>
    <t>пн-пт 07:00–19:00; сб 07:00–18:00; вс 08:00–18:00</t>
  </si>
  <si>
    <t>47.904905 56.629617</t>
  </si>
  <si>
    <t>Инфанта</t>
  </si>
  <si>
    <t>+7 (8362) 96-67-00</t>
  </si>
  <si>
    <t>ежедневно, 05:00–11:00</t>
  </si>
  <si>
    <t>https://instagram.com/infantak1400</t>
  </si>
  <si>
    <t>Дрема</t>
  </si>
  <si>
    <t>пер. Машиностроителей, 8, корп. Г, Предзаводской микрорайон, Йошкар-Ола</t>
  </si>
  <si>
    <t>+7 (927) 734-53-49</t>
  </si>
  <si>
    <t>Ателье по пошиву одежды, Бытовые услуги</t>
  </si>
  <si>
    <t>47.862535 56.638763</t>
  </si>
  <si>
    <t>Фан Клининг</t>
  </si>
  <si>
    <t>ул. Баумана, 9А, Йошкар-Ола</t>
  </si>
  <si>
    <t>+7 (8362) 43-59-58</t>
  </si>
  <si>
    <t>+7 (927) 888-15-36</t>
  </si>
  <si>
    <t>Бытовые услуги, Дезинфекция, дезинсекция, дератизация, Химчистка</t>
  </si>
  <si>
    <t>пн-пт 09:00–18:00, перерыв 13:00–14:00; сб,вс 10:00–17:00, перерыв 13:00–14:00</t>
  </si>
  <si>
    <t>47.848036 56.643277</t>
  </si>
  <si>
    <t>Мебель братьев Баженовых</t>
  </si>
  <si>
    <t>8 (800) 250-43-06</t>
  </si>
  <si>
    <t xml:space="preserve">info@kirovmebel.ru, personal@kirovmebel.ru  </t>
  </si>
  <si>
    <t>http://kirovmebel.ru/</t>
  </si>
  <si>
    <t>Узи-мед</t>
  </si>
  <si>
    <t>http://kl6241.polzdr.ru/</t>
  </si>
  <si>
    <t>47.90041 56.638612</t>
  </si>
  <si>
    <t>Ап-про</t>
  </si>
  <si>
    <t>ул. Анникова, 3, Йошкар-Ола</t>
  </si>
  <si>
    <t>8 (800) 777-56-17</t>
  </si>
  <si>
    <t>47.842332 56.644401</t>
  </si>
  <si>
    <t>Mia Donna</t>
  </si>
  <si>
    <t>47.89433 56.640566</t>
  </si>
  <si>
    <t>Мастерская по ремонту обуви и сумок</t>
  </si>
  <si>
    <t>Мебельстан</t>
  </si>
  <si>
    <t>+7 (958) 843-20-12, +7 (958) 843-20-13</t>
  </si>
  <si>
    <t xml:space="preserve">mebelstan.kazan@yandex.ru  </t>
  </si>
  <si>
    <t>http://mebelstan.com/</t>
  </si>
  <si>
    <t>https://vk.com/mebelstaan</t>
  </si>
  <si>
    <t>https://www.instagram.com/mebelstaan</t>
  </si>
  <si>
    <t>47.833211 56.641457</t>
  </si>
  <si>
    <t>47.847876 56.6412</t>
  </si>
  <si>
    <t>47.854087 56.655817</t>
  </si>
  <si>
    <t>Восточные Тайны</t>
  </si>
  <si>
    <t>+7 (927) 882-28-39</t>
  </si>
  <si>
    <t>http://www.east-secrets.com/</t>
  </si>
  <si>
    <t>http://www.instagram.com/vostochnye_tainy</t>
  </si>
  <si>
    <t>Декоративные покрытия, Дизайн интерьеров</t>
  </si>
  <si>
    <t>47.907643 56.631209</t>
  </si>
  <si>
    <t>ул. Воинов-Интернационалистов, 37, Йошкар-Ола</t>
  </si>
  <si>
    <t>47.918671 56.635689</t>
  </si>
  <si>
    <t>Русутилит</t>
  </si>
  <si>
    <t>8 (800) 200-88-14</t>
  </si>
  <si>
    <t xml:space="preserve">info@rusutilit.ru  </t>
  </si>
  <si>
    <t>https://rusutilit.ru/</t>
  </si>
  <si>
    <t>Толстяк</t>
  </si>
  <si>
    <t>Служба эвакуации и ремонта автомобилей</t>
  </si>
  <si>
    <t>Автомобильные грузоперевозки, Автосервис, автотехцентр, Автотехпомощь, эвакуация автомобилей, Кузовной ремонт, Ремонт двигателей</t>
  </si>
  <si>
    <t>Обслуживание автокондиционеров</t>
  </si>
  <si>
    <t>47.834928 56.643112</t>
  </si>
  <si>
    <t>Контакт центр Недвижимость</t>
  </si>
  <si>
    <t>+7 (927) 884-81-23</t>
  </si>
  <si>
    <t>Здравица</t>
  </si>
  <si>
    <t>+7 (937) 383-24-12</t>
  </si>
  <si>
    <t>47.869823 56.645523</t>
  </si>
  <si>
    <t>Гвардия</t>
  </si>
  <si>
    <t>47.882559 56.62542</t>
  </si>
  <si>
    <t>Laura</t>
  </si>
  <si>
    <t>Лина, Производственно-складская база</t>
  </si>
  <si>
    <t xml:space="preserve">320-120@vudava.ru, info@vudava.ru  </t>
  </si>
  <si>
    <t>http://vudava.ru/</t>
  </si>
  <si>
    <t>Мэрилин</t>
  </si>
  <si>
    <t>Kotofey</t>
  </si>
  <si>
    <t>47.85815 56.644578</t>
  </si>
  <si>
    <t>+7 (937) 939-10-55</t>
  </si>
  <si>
    <t xml:space="preserve">info@estate21.ru </t>
  </si>
  <si>
    <t>https://www.estate-12.ru/</t>
  </si>
  <si>
    <t>Агентство недвижимости, Ипотечное агентство, Квартиры в новостройках</t>
  </si>
  <si>
    <t>Детский сад Ягодка</t>
  </si>
  <si>
    <t>47.85089 56.630685</t>
  </si>
  <si>
    <t>Красноармейская ул., 116А, Йошкар-Ола</t>
  </si>
  <si>
    <t>47.857234 56.646037</t>
  </si>
  <si>
    <t>Банк Пойдём!</t>
  </si>
  <si>
    <t>8 (800) 200-12-30, +7 (8362) 38-03-70</t>
  </si>
  <si>
    <t xml:space="preserve">info@poidem.ru, hr@poidem.ru </t>
  </si>
  <si>
    <t>http://www.poidem.ru/?utm_campaign=aug2020u0026utm_medium=cpcu0026utm_source=yamaps</t>
  </si>
  <si>
    <t>пн-пт 09:00–18:00; сб 13:00–14:00</t>
  </si>
  <si>
    <t>Гринвэй</t>
  </si>
  <si>
    <t>+7 (902) 430-92-08</t>
  </si>
  <si>
    <t>пн 15:00–19:00; вт 12:00–16:00; ср-пт 15:00–19:00; сб 12:00–19:00</t>
  </si>
  <si>
    <t>https://vk.com/greenwayecology</t>
  </si>
  <si>
    <t>Принтекс, Типография</t>
  </si>
  <si>
    <t xml:space="preserve">info12@printecs.com  </t>
  </si>
  <si>
    <t>http://printecs.com/</t>
  </si>
  <si>
    <t>Изготовление и оптовая продажа сувениров, Полиграфические услуги, Почтовые рассылки, Рекламное агентство</t>
  </si>
  <si>
    <t xml:space="preserve">nb-apod@pecom.ru, vkrbsalavat2@mail.ru, makstash72@gmail.com, blg28rus7@gmail.com, sashadas90@mail.ru, gri.gor@mail.ru, suevalov.r@dns-shop.ru, arh.corp@dns-shop.ru, filatov.art@dns-shop.ru, mandrik.r@dns-shop.ru </t>
  </si>
  <si>
    <t>http://dns-shop.ru/?city=yoshkar-olau0026utm_campaign=ya_mapsu0026utm_medium=cpcu0026utm_source=ya_maps_3533, https://www.dns-shop.ru/</t>
  </si>
  <si>
    <t>https://vk.com/dnsstore</t>
  </si>
  <si>
    <t>https://www.facebook.com/dnsshop</t>
  </si>
  <si>
    <t>47.930559 56.628385</t>
  </si>
  <si>
    <t>Улица Кирова дом15</t>
  </si>
  <si>
    <t>Россия, Республика Марий Эл, Йошкар-Ола, улица Кирова</t>
  </si>
  <si>
    <t>47.9297 56.63171</t>
  </si>
  <si>
    <t>Полиграфическая Артель</t>
  </si>
  <si>
    <t>1, Архангельская слобода, Йошкар-Ола</t>
  </si>
  <si>
    <t>+7 (8362) 55-28-48, +7 (8362) 55-28-20</t>
  </si>
  <si>
    <t>+7 (967) 755-28-20, +7 (967) 755-28-48</t>
  </si>
  <si>
    <t xml:space="preserve">artel-format@yandex.ru, poli-artel@yandex.ru  </t>
  </si>
  <si>
    <t>Изготовление и оптовая продажа сувениров, Копировальный центр, Полиграфические услуги, Широкоформатная печать</t>
  </si>
  <si>
    <t>https://vk.com/poliartel</t>
  </si>
  <si>
    <t>https://www.instagram.com/poliartel_yola/</t>
  </si>
  <si>
    <t>47.903546 56.632862</t>
  </si>
  <si>
    <t>47.921323 56.630241</t>
  </si>
  <si>
    <t>+7 (987) 722-58-68</t>
  </si>
  <si>
    <t>47.842829 56.641802</t>
  </si>
  <si>
    <t>Адвокатский кабинет Кривченко Ю. С.</t>
  </si>
  <si>
    <t>Автопульт</t>
  </si>
  <si>
    <t>+7 (917) 706-84-32</t>
  </si>
  <si>
    <t>ул. Лебедева, 33, Йошкар-Ола</t>
  </si>
  <si>
    <t>47.950773 56.621551</t>
  </si>
  <si>
    <t>Moda Li</t>
  </si>
  <si>
    <t>+7 (903) 326-97-24</t>
  </si>
  <si>
    <t>Магазин детской одежды, Магазин одежды, Магазин чулок и колготок, Трикотаж, трикотажные изделия</t>
  </si>
  <si>
    <t>47.922671 56.635811</t>
  </si>
  <si>
    <t>Tikkurila</t>
  </si>
  <si>
    <t>ул. Машиностроителей, 44, Йошкар-Ола</t>
  </si>
  <si>
    <t>+7 (8362) 32-00-65</t>
  </si>
  <si>
    <t xml:space="preserve">kubtikkurila@bk.ru, fin-159@yandex.ru  </t>
  </si>
  <si>
    <t>https://marikraska.ru/</t>
  </si>
  <si>
    <t>https://www.instagram.com/color_studio_12/</t>
  </si>
  <si>
    <t>47.852847 56.632154</t>
  </si>
  <si>
    <t>Вита экспресс</t>
  </si>
  <si>
    <t>47.924109 56.634748</t>
  </si>
  <si>
    <t>АгентПлюс</t>
  </si>
  <si>
    <t>+7 (8362) 42-47-45, +7 (8362) 51-65-16, +7 (8362) 51-25-12, +7 (8362) 51-35-13</t>
  </si>
  <si>
    <t>Квест-шоу</t>
  </si>
  <si>
    <t>+7 (927) 683-17-73</t>
  </si>
  <si>
    <t xml:space="preserve">info@fortboyard-joshkarola.ru  </t>
  </si>
  <si>
    <t>http://fortboyard-joshkarola.ru/</t>
  </si>
  <si>
    <t>47.888731 56.638677</t>
  </si>
  <si>
    <t>Джаянти</t>
  </si>
  <si>
    <t>+7 (917) 715-32-16</t>
  </si>
  <si>
    <t>8 (800) 200-40-28, +7 (8362) 99-40-44, +7 (8362) 30-59-46</t>
  </si>
  <si>
    <t>+7 (917) 700-66-44</t>
  </si>
  <si>
    <t>Ремонт компьютеров и ноутбуков</t>
  </si>
  <si>
    <t>+7 (902) 737-41-27</t>
  </si>
  <si>
    <t xml:space="preserve">https@mc.yandex.ru, remontpk12@mail.ru  </t>
  </si>
  <si>
    <t>http://www.pc12.ru/</t>
  </si>
  <si>
    <t>Компьютерный ремонт и услуги, Ноутбуки и планшеты</t>
  </si>
  <si>
    <t>47.828659 56.63355</t>
  </si>
  <si>
    <t>+7 (927) 876-19-75</t>
  </si>
  <si>
    <t>47.874429 56.637083</t>
  </si>
  <si>
    <t>47.921546 56.640263</t>
  </si>
  <si>
    <t>+7 (902) 860-06-82</t>
  </si>
  <si>
    <t>http://sitepokupok.ru/</t>
  </si>
  <si>
    <t>47.913975 56.627096</t>
  </si>
  <si>
    <t>Россия, Республика Марий Эл, Йошкар-Ола, улица Менделеева</t>
  </si>
  <si>
    <t>47.904807 56.649602</t>
  </si>
  <si>
    <t>Прованс</t>
  </si>
  <si>
    <t>+7 (927) 682-29-28</t>
  </si>
  <si>
    <t>http://provence12.ru/</t>
  </si>
  <si>
    <t>47.833213 56.641471</t>
  </si>
  <si>
    <t>47.882565 56.622246</t>
  </si>
  <si>
    <t>Пижама в историческом центре с видом на Набережную</t>
  </si>
  <si>
    <t>47.89883 56.63498</t>
  </si>
  <si>
    <t>Street eat</t>
  </si>
  <si>
    <t>пн-сб 09:30–22:00</t>
  </si>
  <si>
    <t>Bounty</t>
  </si>
  <si>
    <t>+7 (902) 744-44-06</t>
  </si>
  <si>
    <t>http://vk.com/bounty_hotel_rooms</t>
  </si>
  <si>
    <t>47.893745 56.649075</t>
  </si>
  <si>
    <t>Ногтевая студия The Q</t>
  </si>
  <si>
    <t>+7 (8362) 39-30-00</t>
  </si>
  <si>
    <t>+7 (937) 939-30-00, +7 (902) 329-90-99</t>
  </si>
  <si>
    <t>пн-пт 09:00–19:00; сб,вс 10:00–19:00</t>
  </si>
  <si>
    <t>https://www.instagram.com/the_q_manicure</t>
  </si>
  <si>
    <t>Рестарт сервис</t>
  </si>
  <si>
    <t>+7 (8362) 50-80-19</t>
  </si>
  <si>
    <t>+7 (964) 860-80-19</t>
  </si>
  <si>
    <t>https://vk.com/re_start_service_yo</t>
  </si>
  <si>
    <t>ул. Прохорова, 46, Йошкар-Ола</t>
  </si>
  <si>
    <t>+7 (909) 366-88-12</t>
  </si>
  <si>
    <t>47.825848 56.629868</t>
  </si>
  <si>
    <t>Радиостанция</t>
  </si>
  <si>
    <t>+7 (902) 671-93-91</t>
  </si>
  <si>
    <t>47.924941 56.639892</t>
  </si>
  <si>
    <t>ул. Чехова, 69, Йошкар-Ола</t>
  </si>
  <si>
    <t>+7 (8362) 29-29-99, +7 (8362) 45-72-10</t>
  </si>
  <si>
    <t>Булочная, пекарня, Быстрое питание, Магазин продуктов</t>
  </si>
  <si>
    <t>47.883582 56.645235</t>
  </si>
  <si>
    <t>ул. Строителей, 25Б, Йошкар-Ола</t>
  </si>
  <si>
    <t>47.841089 56.632774</t>
  </si>
  <si>
    <t>Россия, Республика Марий Эл, Йошкар-Ола, бульвар Победы</t>
  </si>
  <si>
    <t>47.882635 56.638077</t>
  </si>
  <si>
    <t>Волков &amp; Партнёры</t>
  </si>
  <si>
    <t>Воскресенский просп., 13, Йошкар-Ола, Россия</t>
  </si>
  <si>
    <t>+7 (937) 111-17-77</t>
  </si>
  <si>
    <t xml:space="preserve">volkov777@gmail.com  </t>
  </si>
  <si>
    <t>http://volkovpartners.ru/</t>
  </si>
  <si>
    <t>Адвокаты, Арбитражный суд, Юридические услуги</t>
  </si>
  <si>
    <t>https://vk.com/volkovpartners</t>
  </si>
  <si>
    <t>https://www.facebook.com/volkovpartners.ru</t>
  </si>
  <si>
    <t>https://www.youtube.com/channel/UC2SokEKHf4ZsuUDlbWbRvrw?view_as=subscriber</t>
  </si>
  <si>
    <t>https://www.instagram.com/advocate.volkov</t>
  </si>
  <si>
    <t>47.911601 56.634095</t>
  </si>
  <si>
    <t>Мир Валенок</t>
  </si>
  <si>
    <t>8 (800) 700-16-36</t>
  </si>
  <si>
    <t xml:space="preserve">mirvalenok@yandex.ru </t>
  </si>
  <si>
    <t>http://мирваленок.рф/</t>
  </si>
  <si>
    <t>Войлочные и фетровые изделия, Обувная компания</t>
  </si>
  <si>
    <t>Сладости для радости</t>
  </si>
  <si>
    <t>47.922809 56.635605</t>
  </si>
  <si>
    <t>Мясо, рыба</t>
  </si>
  <si>
    <t>47.913655 56.634172</t>
  </si>
  <si>
    <t>47.917286 56.630315</t>
  </si>
  <si>
    <t>47.836529 56.63435</t>
  </si>
  <si>
    <t>Балкон и лоджия</t>
  </si>
  <si>
    <t>+7 (902) 466-55-04</t>
  </si>
  <si>
    <t>Остекление балконов и лоджий</t>
  </si>
  <si>
    <t>47.881849 56.631214</t>
  </si>
  <si>
    <t>47.891811 56.63862</t>
  </si>
  <si>
    <t>47.892151 56.629442</t>
  </si>
  <si>
    <t>Дримтера</t>
  </si>
  <si>
    <t>+7 (919) 632-73-29</t>
  </si>
  <si>
    <t xml:space="preserve">belorukova_t@mail.ru, sukhova.l2014@yandex.ru, galina19450828@mail.ru, twr.svetlana.shalagina@yandex.ru, gulsina1963@mail.ru  </t>
  </si>
  <si>
    <t>http://dtlife.ru/</t>
  </si>
  <si>
    <t>Товары для дома, Товары для здоровья, Фитопродукция, БАДы</t>
  </si>
  <si>
    <t>пн-пт 11:00–19:00; сб 11:00–17:00</t>
  </si>
  <si>
    <t>https://vk.com/dtkazan</t>
  </si>
  <si>
    <t>https://ok.ru/profile/589732758571</t>
  </si>
  <si>
    <t>https://www.facebook.com/vitali.belorukov</t>
  </si>
  <si>
    <t>https://www.youtube.com/channel/UCsWPBudu8MWiORzFKkoaPSg/featured</t>
  </si>
  <si>
    <t>https://www.instagram.com/t_belorukova_</t>
  </si>
  <si>
    <t>Авангард Групп</t>
  </si>
  <si>
    <t>ул. Пугачёва, 1Ж, Йошкар-Ола</t>
  </si>
  <si>
    <t>+7 (8362) 23-06-20, +7 (8362) 23-06-19</t>
  </si>
  <si>
    <t xml:space="preserve">info@dveri-avangard.ru  </t>
  </si>
  <si>
    <t>http://dveri-avangard.ru/</t>
  </si>
  <si>
    <t>47.871523 56.620504</t>
  </si>
  <si>
    <t>Ведущий эксперт</t>
  </si>
  <si>
    <t>+7 (8362) 30-88-00</t>
  </si>
  <si>
    <t>+7 (967) 757-88-26</t>
  </si>
  <si>
    <t xml:space="preserve">tender@mail.ru, torgi@vedexp.ru, sales@bink12.ru  </t>
  </si>
  <si>
    <t>http://vedexp.ru/</t>
  </si>
  <si>
    <t>Аутсорсинг, Организация аукционов и тендеров, Удостоверяющий центр</t>
  </si>
  <si>
    <t>https://vk.com/vedexp</t>
  </si>
  <si>
    <t>47.940814 56.623142</t>
  </si>
  <si>
    <t>Финам</t>
  </si>
  <si>
    <t>8 (800) 200-44-00, +7 (8362) 23-29-51</t>
  </si>
  <si>
    <t xml:space="preserve">volgograd@corp.finam.ru, ask@corp.finam.ru  </t>
  </si>
  <si>
    <t>https://www.finam.ru/</t>
  </si>
  <si>
    <t>https://vk.com/finam_ru</t>
  </si>
  <si>
    <t>http://twitter.com/finam_blog</t>
  </si>
  <si>
    <t>http://www.facebook.com/finam.ru</t>
  </si>
  <si>
    <t>https://www.instagram.com/finam_fotoblog</t>
  </si>
  <si>
    <t>ул. Подольских Курсантов, 14Б, Йошкар-Ола</t>
  </si>
  <si>
    <t>47.866147 56.650329</t>
  </si>
  <si>
    <t>Студия ремонта Андрея Лебедева</t>
  </si>
  <si>
    <t>ул. Воинов-Интернационалистов, 13А, Йошкар-Ола</t>
  </si>
  <si>
    <t>+7 (967) 757-33-53</t>
  </si>
  <si>
    <t>https://www.instagram.com/studialebedeva</t>
  </si>
  <si>
    <t>47.934588 56.632803</t>
  </si>
  <si>
    <t>47.876426 56.633859</t>
  </si>
  <si>
    <t>Санатории России</t>
  </si>
  <si>
    <t>+7 (8362) 34-72-87</t>
  </si>
  <si>
    <t>47.880212 56.625864</t>
  </si>
  <si>
    <t>Союз ветеранов-ракетчиков</t>
  </si>
  <si>
    <t>+7 (903) 326-60-76</t>
  </si>
  <si>
    <t>ср 17:00–20:00</t>
  </si>
  <si>
    <t>Сетикон</t>
  </si>
  <si>
    <t>47.874727 56.62799</t>
  </si>
  <si>
    <t>Ленинский просп., 62, Йошкар-Ола</t>
  </si>
  <si>
    <t>47.87318 56.637358</t>
  </si>
  <si>
    <t>Кадастровый инженер</t>
  </si>
  <si>
    <t>+7 (961) 337-85-53</t>
  </si>
  <si>
    <t>Кадастровые работы, Оценочная компания</t>
  </si>
  <si>
    <t>47.901428 56.643689</t>
  </si>
  <si>
    <t>Центр выдачи заказов по каталогам Faberlic</t>
  </si>
  <si>
    <t>+7 (909) 367-34-92</t>
  </si>
  <si>
    <t>пн 16:00–19:00; вт 09:00–12:00; ср,чт 16:00–19:00; пт 16:00–18:00; сб 11:00–15:00</t>
  </si>
  <si>
    <t>Red Букет</t>
  </si>
  <si>
    <t>http://www.instagram.com/redbuket</t>
  </si>
  <si>
    <t>47.896171 56.641181</t>
  </si>
  <si>
    <t>47.832468 56.636461</t>
  </si>
  <si>
    <t>ГК Берёзка</t>
  </si>
  <si>
    <t>47.869769 56.637578</t>
  </si>
  <si>
    <t>Совет ветеранов</t>
  </si>
  <si>
    <t>Кремлёвская ул., 4, Йошкар-Ола</t>
  </si>
  <si>
    <t>47.897816 56.637719</t>
  </si>
  <si>
    <t>ул. Карла Либкнехта, 63, Йошкар-Ола</t>
  </si>
  <si>
    <t>47.942512 56.63363</t>
  </si>
  <si>
    <t>Дом в МКР. Спортивный</t>
  </si>
  <si>
    <t>+7 (8362) 65-55-50</t>
  </si>
  <si>
    <t>http://росагрострой12.рф/objects/zhiloy-dom-v-mikrorayone-sportivnyy-sk-arena/</t>
  </si>
  <si>
    <t>47.91832 56.639057</t>
  </si>
  <si>
    <t>Elis</t>
  </si>
  <si>
    <t>Радость</t>
  </si>
  <si>
    <t>+7 (8362) 50-77-66</t>
  </si>
  <si>
    <t>Кроватка12</t>
  </si>
  <si>
    <t>Детская мебель, Корпусная мебель, Мебель на заказ</t>
  </si>
  <si>
    <t>https://vk.com/eco_domik_12</t>
  </si>
  <si>
    <t>Вятка-банк. Операционный Офис Машиностроителей 9</t>
  </si>
  <si>
    <t>+7 (8362) 63-03-99</t>
  </si>
  <si>
    <t>Электрон</t>
  </si>
  <si>
    <t>+7 (8362) 45-13-22</t>
  </si>
  <si>
    <t xml:space="preserve">mbt-kassa@mail.ru  </t>
  </si>
  <si>
    <t>http://www.electron12.ru/</t>
  </si>
  <si>
    <t>47.888016 56.642395</t>
  </si>
  <si>
    <t>Время Деньги</t>
  </si>
  <si>
    <t>+7 (960) 179-30-00</t>
  </si>
  <si>
    <t xml:space="preserve">office@time-of-money.ru  </t>
  </si>
  <si>
    <t>https://joshkar-ola.time-of-money.ru/</t>
  </si>
  <si>
    <t>Ипотечное агентство, Кредитный брокер, Микрофинансирование</t>
  </si>
  <si>
    <t>Ремонтная мастерская</t>
  </si>
  <si>
    <t>+7 (927) 878-79-08</t>
  </si>
  <si>
    <t>Металлоремонт, Ремонт обуви</t>
  </si>
  <si>
    <t>47.886802 56.644596</t>
  </si>
  <si>
    <t>Дети войны, РОО</t>
  </si>
  <si>
    <t>ул. Карла Маркса, 107, Йошкар-Ола</t>
  </si>
  <si>
    <t>47.891527 56.623706</t>
  </si>
  <si>
    <t>Всероссийское общество спасения на водах</t>
  </si>
  <si>
    <t>пн-пт 08:00–17:30, перерыв 12:00–13:20</t>
  </si>
  <si>
    <t>47.881474 56.627425</t>
  </si>
  <si>
    <t>ул. Подольских Курсантов, 14Г, Йошкар-Ола</t>
  </si>
  <si>
    <t>47.865094 56.650154</t>
  </si>
  <si>
    <t>Капитал</t>
  </si>
  <si>
    <t>+7 (964) 864-52-22</t>
  </si>
  <si>
    <t>47.94026 56.632001</t>
  </si>
  <si>
    <t>Ли Вест</t>
  </si>
  <si>
    <t>8 (800) 700-78-33, +7 (8362) 32-33-81</t>
  </si>
  <si>
    <t>+7 (927) 882-33-81</t>
  </si>
  <si>
    <t xml:space="preserve">liwest@liwest.ru </t>
  </si>
  <si>
    <t>http://www.liwest.ru/</t>
  </si>
  <si>
    <t>Товары для здоровья, Фитопродукция, БАДы</t>
  </si>
  <si>
    <t>http://vk.com/li_west</t>
  </si>
  <si>
    <t>https://www.facebook.com/groups/134242700561968</t>
  </si>
  <si>
    <t>http://www.youtube.com/user/liwestcompany</t>
  </si>
  <si>
    <t>https://www.instagram.com/corporation_liwest/</t>
  </si>
  <si>
    <t>Мос-септик</t>
  </si>
  <si>
    <t>Монтаж и обслуживание систем водоснабжения и канализации, Очистные сооружения и оборудование, Системы водоснабжения, отопления, канализации</t>
  </si>
  <si>
    <t>Rio</t>
  </si>
  <si>
    <t>ул. Льва Толстого, 62, Йошкар-Ола</t>
  </si>
  <si>
    <t>https://instagram.com/rio_yoshkarola</t>
  </si>
  <si>
    <t>47.898647 56.647311</t>
  </si>
  <si>
    <t>Магазин нижнего белья</t>
  </si>
  <si>
    <t>Renzacci</t>
  </si>
  <si>
    <t>+7 (8362) 45-18-99, +7 (8362) 41-77-00</t>
  </si>
  <si>
    <t xml:space="preserve">renzacci@mail.ru </t>
  </si>
  <si>
    <t>http://renzacci12.ru/</t>
  </si>
  <si>
    <t>Бытовые услуги, Клининговые услуги, Прачечная, Химчистка, Чистка ковров</t>
  </si>
  <si>
    <t>47.894704 56.636406</t>
  </si>
  <si>
    <t>Комментарий Альянс Групп</t>
  </si>
  <si>
    <t>http://12alliance.ru/</t>
  </si>
  <si>
    <t>47.832115 56.643932</t>
  </si>
  <si>
    <t>Трансавто</t>
  </si>
  <si>
    <t>Сернурская ул., 20Ж, Йошкар-Ола</t>
  </si>
  <si>
    <t>+7 (8362) 32-38-90</t>
  </si>
  <si>
    <t>47.945458 56.644955</t>
  </si>
  <si>
    <t>47.92224 56.63599</t>
  </si>
  <si>
    <t>ежедневно, 09:30–18:30</t>
  </si>
  <si>
    <t>47.868349 56.644745</t>
  </si>
  <si>
    <t>Отдел канцтоваров</t>
  </si>
  <si>
    <t>47.91771 56.627416</t>
  </si>
  <si>
    <t>Всё пучком</t>
  </si>
  <si>
    <t>+7 (902) 466-08-00</t>
  </si>
  <si>
    <t>http://цветы12.рф/</t>
  </si>
  <si>
    <t>https://vk.com/vspychkom</t>
  </si>
  <si>
    <t>47.899572 56.644599</t>
  </si>
  <si>
    <t>Готовьте сами</t>
  </si>
  <si>
    <t>47.91888 56.630022</t>
  </si>
  <si>
    <t>Мехико</t>
  </si>
  <si>
    <t>Жареный бугор</t>
  </si>
  <si>
    <t>Магазин пива, Магазин продуктов, Магазин рыбы и морепродуктов</t>
  </si>
  <si>
    <t>47.831375 56.639903</t>
  </si>
  <si>
    <t>Apartment in City Center on Krasnoarmeyskaya</t>
  </si>
  <si>
    <t>47.887971 56.641592</t>
  </si>
  <si>
    <t>Кирпич Маркет</t>
  </si>
  <si>
    <t>+7 (8362) 38-37-88</t>
  </si>
  <si>
    <t>+7 (964) 861-88-87</t>
  </si>
  <si>
    <t xml:space="preserve">info@stroisistemi.ru  </t>
  </si>
  <si>
    <t>http://stroitelnye-sistemy-1.blizko.ru/</t>
  </si>
  <si>
    <t>пн-пт 10:30–18:30</t>
  </si>
  <si>
    <t>Автоломбард JustLombard</t>
  </si>
  <si>
    <t>8 (800) 200-60-74</t>
  </si>
  <si>
    <t xml:space="preserve">info@justlombard.ru, info@justlombard.ru.ru </t>
  </si>
  <si>
    <t>Автоломбард, Кредитный брокер, Микрофинансирование</t>
  </si>
  <si>
    <t>Скейтпарк</t>
  </si>
  <si>
    <t>47.8659 56.640203</t>
  </si>
  <si>
    <t>Стимул-м</t>
  </si>
  <si>
    <t>+7 (8362) 64-85-80, +7 (8362) 31-08-58</t>
  </si>
  <si>
    <t>пн-пт 08:30–19:00; сб 08:30–18:00; вс 08:30–16:00</t>
  </si>
  <si>
    <t>47.935708 56.637628</t>
  </si>
  <si>
    <t>White u0026 Smile</t>
  </si>
  <si>
    <t>+7 (967) 758-21-48</t>
  </si>
  <si>
    <t>Установка и ремонт газобаллонного оборудования</t>
  </si>
  <si>
    <t>+7 (8362) 76-50-34</t>
  </si>
  <si>
    <t>+7 (927) 680-15-01</t>
  </si>
  <si>
    <t>Автосервис, автотехцентр, Кузовной ремонт, Установка ГБО, Шиномонтаж</t>
  </si>
  <si>
    <t>Toma shop</t>
  </si>
  <si>
    <t>47.831546 56.644815</t>
  </si>
  <si>
    <t>8 (800) 333-41-30</t>
  </si>
  <si>
    <t>https://vk.com/coffeelike12</t>
  </si>
  <si>
    <t>47.938065 56.624366</t>
  </si>
  <si>
    <t>ПринТерра</t>
  </si>
  <si>
    <t>Складская ул., 20, Йошкар-Ола</t>
  </si>
  <si>
    <t>+7 (8362) 38-57-97, +7 (8362) 38-57-87</t>
  </si>
  <si>
    <t>Копировальный центр, Расходные материалы для оргтехники</t>
  </si>
  <si>
    <t>47.896254 56.616126</t>
  </si>
  <si>
    <t>Правильный сервис</t>
  </si>
  <si>
    <t>+7 (8362) 34-71-55</t>
  </si>
  <si>
    <t xml:space="preserve">support@pravserv.ru  </t>
  </si>
  <si>
    <t>http://yoshkar-ola.pravserv.ru/</t>
  </si>
  <si>
    <t>https://vk.com/pravservyo</t>
  </si>
  <si>
    <t>https://www.instagram.com/pravserv.yo</t>
  </si>
  <si>
    <t>47.937321 56.623632</t>
  </si>
  <si>
    <t>Инженерная компания АкваСфера</t>
  </si>
  <si>
    <t>+7 (8362) 32-04-80</t>
  </si>
  <si>
    <t xml:space="preserve">info@akva-sfera.ru </t>
  </si>
  <si>
    <t>Монтаж и обслуживание систем водоснабжения и канализации, Монтажные работы, Системы водоснабжения, отопления, канализации</t>
  </si>
  <si>
    <t>Фруктовый</t>
  </si>
  <si>
    <t>+7 (927) 682-72-90</t>
  </si>
  <si>
    <t>47.930863 56.634452</t>
  </si>
  <si>
    <t>Кафе домашней кухни Мойка</t>
  </si>
  <si>
    <t>47.928443 56.626984</t>
  </si>
  <si>
    <t>47.828634 56.613066</t>
  </si>
  <si>
    <t>Омса</t>
  </si>
  <si>
    <t>47.886628 56.638032</t>
  </si>
  <si>
    <t>ежедневно, 07:30–18:30</t>
  </si>
  <si>
    <t>47.918659 56.631282</t>
  </si>
  <si>
    <t>Букет</t>
  </si>
  <si>
    <t>+7 (929) 733-18-10, +7 (902) 358-18-10, +7 (902) 124-75-79</t>
  </si>
  <si>
    <t xml:space="preserve">st.bouquet@mail.ru  </t>
  </si>
  <si>
    <t>http://bouquet12.ru/</t>
  </si>
  <si>
    <t>https://vk.com/st.bouquet</t>
  </si>
  <si>
    <t>https://www.instagram.com/st.bouquet</t>
  </si>
  <si>
    <t>47.892791 56.632532</t>
  </si>
  <si>
    <t>47.840743 56.619989</t>
  </si>
  <si>
    <t>Семейный</t>
  </si>
  <si>
    <t>ул. Карла Маркса, 101, Йошкар-Ола</t>
  </si>
  <si>
    <t>47.897146 56.627892</t>
  </si>
  <si>
    <t>Магазин брюк</t>
  </si>
  <si>
    <t>47.887772 56.647665</t>
  </si>
  <si>
    <t>47.872336 56.650863</t>
  </si>
  <si>
    <t>YOFiX</t>
  </si>
  <si>
    <t>Советская ул., 118/23, Йошкар-Ола</t>
  </si>
  <si>
    <t>+7 (902) 124-03-54</t>
  </si>
  <si>
    <t>https://vk.com/yofix</t>
  </si>
  <si>
    <t>https://www.instagram.com/yofix12</t>
  </si>
  <si>
    <t>47.897158 56.635842</t>
  </si>
  <si>
    <t>Каре</t>
  </si>
  <si>
    <t>Медицинская ул., 9, Йошкар-Ола</t>
  </si>
  <si>
    <t>47.964286 56.641287</t>
  </si>
  <si>
    <t>Медико-санитарная Часть № 12 Федеральной Службы Исполнения Наказаний</t>
  </si>
  <si>
    <t>+7 (8362) 68-65-15, +7 (8362) 68-65-79, +7 (8362) 68-69-01, +7 (8362) 68-65-40</t>
  </si>
  <si>
    <t>http://s95a.polickliniki.ru/</t>
  </si>
  <si>
    <t>47.864601 56.616555</t>
  </si>
  <si>
    <t>Orwood</t>
  </si>
  <si>
    <t xml:space="preserve">roman@orwood.ru, fasad@orwood.ru, sm@vts21.ru, alicofasad@yandex.ru, zakaz@allione.ru  </t>
  </si>
  <si>
    <t>http://orwood.ru/</t>
  </si>
  <si>
    <t>Корпусная мебель, Мебельная фурнитура и комплектующие</t>
  </si>
  <si>
    <t>47.898484 56.617469</t>
  </si>
  <si>
    <t>МариЭкспресс</t>
  </si>
  <si>
    <t>ул. Машиностроителей, 74А, Йошкар-Ола</t>
  </si>
  <si>
    <t>+7 (906) 336-72-99</t>
  </si>
  <si>
    <t xml:space="preserve">info@mariexpress.ru  </t>
  </si>
  <si>
    <t>http://mariexpress.ru/</t>
  </si>
  <si>
    <t>47.840831 56.627743</t>
  </si>
  <si>
    <t>Апартаменты Лидия Люкс</t>
  </si>
  <si>
    <t>+7 (987) 705-16-51</t>
  </si>
  <si>
    <t>47.893147 56.634983</t>
  </si>
  <si>
    <t>+7 (977) 341-45-80</t>
  </si>
  <si>
    <t xml:space="preserve">password@nic.ru </t>
  </si>
  <si>
    <t>http://vk.com/linda_manikur</t>
  </si>
  <si>
    <t>47.912171 56.627247</t>
  </si>
  <si>
    <t>Железный Дровосек</t>
  </si>
  <si>
    <t>+7 (8362) 73-83-41</t>
  </si>
  <si>
    <t>47.888791 56.627271</t>
  </si>
  <si>
    <t>47.872371 56.621505</t>
  </si>
  <si>
    <t>ул. Галавтеева, 18, Йошкар-Ола</t>
  </si>
  <si>
    <t>+7 (937) 117-48-88, +7 (902) 329-48-08</t>
  </si>
  <si>
    <t>Оптовый магазин, Тара и упаковочные материалы</t>
  </si>
  <si>
    <t>47.975444 56.614421</t>
  </si>
  <si>
    <t>Лодочная станция</t>
  </si>
  <si>
    <t>Россия, Республика Марий Эл, Йошкар-Ола, набережная Брюгге</t>
  </si>
  <si>
    <t>47.906171 56.636483</t>
  </si>
  <si>
    <t>47.834046 56.641674</t>
  </si>
  <si>
    <t>Магазин текстиля</t>
  </si>
  <si>
    <t>Патентиум</t>
  </si>
  <si>
    <t>8 (800) 100-82-21</t>
  </si>
  <si>
    <t xml:space="preserve">info@patentium.ru  </t>
  </si>
  <si>
    <t>https://yoshkar-ola.patentium.ru/</t>
  </si>
  <si>
    <t>Патентные услуги, Товарные знаки</t>
  </si>
  <si>
    <t>https://vk.com/patentium</t>
  </si>
  <si>
    <t>https://facebook.com/Patentium</t>
  </si>
  <si>
    <t>https://www.instagram.com/patentium.ru/</t>
  </si>
  <si>
    <t>Аренда СпецТехники</t>
  </si>
  <si>
    <t>ул. Строителей, 10, Йошкар-Ола</t>
  </si>
  <si>
    <t>+7 (927) 883-30-17</t>
  </si>
  <si>
    <t>http://аренда-12.рф/</t>
  </si>
  <si>
    <t>47.906466 56.63035</t>
  </si>
  <si>
    <t>Пятерочка</t>
  </si>
  <si>
    <t>47.8806 56.62325</t>
  </si>
  <si>
    <t>Pretty Woman</t>
  </si>
  <si>
    <t>Лесстрой 12</t>
  </si>
  <si>
    <t>8 (800) 600-85-77</t>
  </si>
  <si>
    <t>+7 (909) 366-22-68</t>
  </si>
  <si>
    <t xml:space="preserve">product@lesstroy12.ru  </t>
  </si>
  <si>
    <t>http://lesstroy12.ru/</t>
  </si>
  <si>
    <t>Студия моды</t>
  </si>
  <si>
    <t>+7 (904) 724-00-05</t>
  </si>
  <si>
    <t>Ателье по пошиву одежды, Магазин одежды, Магазин ткани</t>
  </si>
  <si>
    <t>47.894111 56.635273</t>
  </si>
  <si>
    <t>Mp3melody</t>
  </si>
  <si>
    <t>ул. Волкова, 15, Йошкар-Ола</t>
  </si>
  <si>
    <t>Музыкальный клуб</t>
  </si>
  <si>
    <t>47.911062 56.650849</t>
  </si>
  <si>
    <t>Юниоркод</t>
  </si>
  <si>
    <t>Дома Поволжья</t>
  </si>
  <si>
    <t>+7 (927) 880-85-85</t>
  </si>
  <si>
    <t>https://дома-поволжья.рф/</t>
  </si>
  <si>
    <t>https://vk.com/volgasip</t>
  </si>
  <si>
    <t>https://www.instagram.com/volgasip.ru</t>
  </si>
  <si>
    <t>47.930959 56.632016</t>
  </si>
  <si>
    <t>+7 (8362) 33-66-84, +7 (8362) 39-10-29</t>
  </si>
  <si>
    <t>+7 (8362) 20-78-15</t>
  </si>
  <si>
    <t>https://vk.com/parikmaherskaya_joshkarola</t>
  </si>
  <si>
    <t>Формула упаковки</t>
  </si>
  <si>
    <t>8 (800) 550-57-61</t>
  </si>
  <si>
    <t>Столярная мастерская</t>
  </si>
  <si>
    <t>ул. Дружбы, 101, Йошкар-Ола</t>
  </si>
  <si>
    <t>Столярные работы</t>
  </si>
  <si>
    <t>47.867954 56.652363</t>
  </si>
  <si>
    <t>Инфекционный корпус</t>
  </si>
  <si>
    <t>ул. Карла Либкнехта, 55, корп. 3, Йошкар-Ола</t>
  </si>
  <si>
    <t>47.954655 56.640347</t>
  </si>
  <si>
    <t>Офис компании Мегафон</t>
  </si>
  <si>
    <t>47.89791 56.64492</t>
  </si>
  <si>
    <t>S. Lavia</t>
  </si>
  <si>
    <t>47.843381 56.640972</t>
  </si>
  <si>
    <t>Фестивальный</t>
  </si>
  <si>
    <t>+7 (929) 733-14-80</t>
  </si>
  <si>
    <t>47.835924 56.641438</t>
  </si>
  <si>
    <t>+7 (8362) 44-07-35</t>
  </si>
  <si>
    <t>47.886361 56.637818</t>
  </si>
  <si>
    <t>Автобаня</t>
  </si>
  <si>
    <t>+7 (8362) 27-97-97</t>
  </si>
  <si>
    <t>https://vk.com/avtobania_12</t>
  </si>
  <si>
    <t>https://www.instagram.com/avtobania12/</t>
  </si>
  <si>
    <t>47.917971 56.643172</t>
  </si>
  <si>
    <t>47.892637 56.639512</t>
  </si>
  <si>
    <t>Serbia of Dragana</t>
  </si>
  <si>
    <t>+7 (905) 379-87-07</t>
  </si>
  <si>
    <t xml:space="preserve">admin@serbia12.ru  </t>
  </si>
  <si>
    <t>http://serbia12.ru/</t>
  </si>
  <si>
    <t>47.929117 56.627977</t>
  </si>
  <si>
    <t>Водомер</t>
  </si>
  <si>
    <t>+7 (8362) 39-07-09</t>
  </si>
  <si>
    <t>Монтаж и обслуживание систем водоснабжения и канализации, Отопительное оборудование и системы, Сварочные работы, Строительные и отделочные работы, Установка кондиционеров</t>
  </si>
  <si>
    <t>47.881997 56.631088</t>
  </si>
  <si>
    <t>Mobil 1 центр</t>
  </si>
  <si>
    <t>+7 (8362) 51-02-10, 8 (800) 707-90-90</t>
  </si>
  <si>
    <t xml:space="preserve">daria.a.rybakova@exxonmobil.com  </t>
  </si>
  <si>
    <t>https://www.mobil.ru/, http://www.mymobil.ru/?utm_campaign=Y.maps_sept-dec2020&amp;utm_medium=profile&amp;utm_source=Yandex_maps_master</t>
  </si>
  <si>
    <t>Экспресс-пункт замены масла</t>
  </si>
  <si>
    <t>47.857459 56.622836</t>
  </si>
  <si>
    <t>Flamingo</t>
  </si>
  <si>
    <t>47.833117 56.636744</t>
  </si>
  <si>
    <t>Единая Юридическая Служба, консультационный центр</t>
  </si>
  <si>
    <t>Van Cliff</t>
  </si>
  <si>
    <t>+7 (939) 725-11-36</t>
  </si>
  <si>
    <t xml:space="preserve">info@vancliff.ru  </t>
  </si>
  <si>
    <t>http://vancliff.ru/</t>
  </si>
  <si>
    <t>47.843771 56.640864</t>
  </si>
  <si>
    <t>Правовая защита потребителей</t>
  </si>
  <si>
    <t>+7 (8362) 95-91-11, +7 (8362) 20-42-90</t>
  </si>
  <si>
    <t>Кадастровый центр Марий Эл</t>
  </si>
  <si>
    <t>47.883353 56.633702</t>
  </si>
  <si>
    <t>Барби</t>
  </si>
  <si>
    <t>47.840996 56.634496</t>
  </si>
  <si>
    <t>Аквафор</t>
  </si>
  <si>
    <t>8 (800) 333-81-00, 8 (800) 333-77-52, 8 (800) 555-30-35, +7 (843) 555-60-66</t>
  </si>
  <si>
    <t xml:space="preserve">voda@voda-kazan.ru, waterboss.msk@aquaphor.ru, prom@aquaphor.ru, msk@aquaboss.ru  </t>
  </si>
  <si>
    <t>http://www.aquaphor.ru/where/russia/marii-el/80, http://www.aquaphor.ru/, http://y-ola.shop.aquaphor.ru/</t>
  </si>
  <si>
    <t>https://vk.com/aquaphor</t>
  </si>
  <si>
    <t>https://www.facebook.com/aquaphor.ru</t>
  </si>
  <si>
    <t>https://www.youtube.com/user/AquaphorCorp</t>
  </si>
  <si>
    <t>https://www.instagram.com/aquaphor.ru/</t>
  </si>
  <si>
    <t>СтройСервис</t>
  </si>
  <si>
    <t>+7 (8362) 99-92-07</t>
  </si>
  <si>
    <t xml:space="preserve">korotkonatasha2010@yandex.ru  </t>
  </si>
  <si>
    <t>Комплектующие для окон, Окна, Строительная компания, Фасады и фасадные системы</t>
  </si>
  <si>
    <t>https://vk.com/structure_service</t>
  </si>
  <si>
    <t>Микрорайон Молодежный</t>
  </si>
  <si>
    <t>+7 (8362) 72-29-07</t>
  </si>
  <si>
    <t xml:space="preserve">ooovektor21@mail.ru </t>
  </si>
  <si>
    <t>https://vecten.ru/proektnaya-deklaraciya/</t>
  </si>
  <si>
    <t>47.918476 56.642525</t>
  </si>
  <si>
    <t>Дом Страхования Мекафинанс</t>
  </si>
  <si>
    <t>+7 (8362) 34-74-40</t>
  </si>
  <si>
    <t>+7 (937) 937-02-59, +7 (927) 882-02-59</t>
  </si>
  <si>
    <t xml:space="preserve">ooomeka@bk.ru, info@mekafinance.ru  </t>
  </si>
  <si>
    <t>http://mekafinance.ru/</t>
  </si>
  <si>
    <t>Микрофинансирование, Страховая компания, Страховой брокер</t>
  </si>
  <si>
    <t>пн-пт 08:00–19:00; сб,вс 10:00–16:00</t>
  </si>
  <si>
    <t>https://vk.com/strahovanie12</t>
  </si>
  <si>
    <t>https://www.instagram.com/mekafinance</t>
  </si>
  <si>
    <t>+7 (8362) 73-01-09, +7 (8362) 96-41-92</t>
  </si>
  <si>
    <t>http://www.mk12.ru/</t>
  </si>
  <si>
    <t>47.8402 56.6362</t>
  </si>
  <si>
    <t>Мир Кронштейнов</t>
  </si>
  <si>
    <t>ул. Серова, 106, Йошкар-Ола</t>
  </si>
  <si>
    <t>Крепежные изделия, Металлоизделия, Металлоконструкции, Металлообработка</t>
  </si>
  <si>
    <t>47.884447 56.655294</t>
  </si>
  <si>
    <t>Контур 12</t>
  </si>
  <si>
    <t>Ленинский просп., 24ВС2, Йошкар-Ола</t>
  </si>
  <si>
    <t>+7 (8362) 90-80-13</t>
  </si>
  <si>
    <t>Фан-Фан</t>
  </si>
  <si>
    <t>+7 (8362) 21-14-75</t>
  </si>
  <si>
    <t>+7 (902) 431-14-75</t>
  </si>
  <si>
    <t>http://vk.com/beautyfanfan</t>
  </si>
  <si>
    <t>https://www.instagram.com/beauty_salon_funfun</t>
  </si>
  <si>
    <t>47.920781 56.637058</t>
  </si>
  <si>
    <t>Красноармейская ул., 14, Йошкар-Ола</t>
  </si>
  <si>
    <t>+7 (927) 882-26-19, +7 (929) 734-50-10</t>
  </si>
  <si>
    <t xml:space="preserve">borus2007@bk.ru  </t>
  </si>
  <si>
    <t>https://vk.com/csp_borus</t>
  </si>
  <si>
    <t>47.899366 56.640164</t>
  </si>
  <si>
    <t>Нпотэл</t>
  </si>
  <si>
    <t>+7 (8362) 45-58-66</t>
  </si>
  <si>
    <t>пн-пт 08:30–18:30, перерыв 12:00–13:00</t>
  </si>
  <si>
    <t>47.932352 56.634146</t>
  </si>
  <si>
    <t>47.89049 56.644257</t>
  </si>
  <si>
    <t>Golden Place</t>
  </si>
  <si>
    <t>Ювелирные камни, Ювелирный магазин</t>
  </si>
  <si>
    <t>https://vk.com/yolagp</t>
  </si>
  <si>
    <t>Спектр Йошкар Ола</t>
  </si>
  <si>
    <t>47.859543 56.640961</t>
  </si>
  <si>
    <t>47.873458 56.634204</t>
  </si>
  <si>
    <t>ул. Эшкинина, 22, Йошкар-Ола</t>
  </si>
  <si>
    <t>47.915634 56.635595</t>
  </si>
  <si>
    <t>NPtour</t>
  </si>
  <si>
    <t>Спортивная одежда и обувь, Спортивный инвентарь и оборудование, Спортивный магазин, Товары для отдыха и туризма</t>
  </si>
  <si>
    <t>47.88593 56.635544</t>
  </si>
  <si>
    <t>ИдеалЬ</t>
  </si>
  <si>
    <t>47.907682 56.631219</t>
  </si>
  <si>
    <t>Шериф</t>
  </si>
  <si>
    <t>Твоя экономия</t>
  </si>
  <si>
    <t>47.891585 56.629988</t>
  </si>
  <si>
    <t>L'etolie</t>
  </si>
  <si>
    <t>+7 (8362) 38-44-04, +7 (8362) 38-04-20</t>
  </si>
  <si>
    <t>http://www.da12.ru/</t>
  </si>
  <si>
    <t>47.89842 56.636612</t>
  </si>
  <si>
    <t>Россия, Республика Марий Эл, Йошкар-Ола, Луговая улица</t>
  </si>
  <si>
    <t>47.915318 56.651634</t>
  </si>
  <si>
    <t>47.887975 56.632971</t>
  </si>
  <si>
    <t>Базис</t>
  </si>
  <si>
    <t>47.89847 56.63662</t>
  </si>
  <si>
    <t>47.885469 56.635422</t>
  </si>
  <si>
    <t>Новотроицк</t>
  </si>
  <si>
    <t>47.894281 56.639766</t>
  </si>
  <si>
    <t>Связьтранснефть</t>
  </si>
  <si>
    <t>ул. 8 Марта, 25, Йошкар-Ола</t>
  </si>
  <si>
    <t>47.950592 56.642437</t>
  </si>
  <si>
    <t>8 (800) 555-52-92, +7 (8362) 43-21-43</t>
  </si>
  <si>
    <t>+7 (903) 326-65-52</t>
  </si>
  <si>
    <t xml:space="preserve">im@respect-shoes.ru  </t>
  </si>
  <si>
    <t>https://respect-shoes.ru/</t>
  </si>
  <si>
    <t>https://vk.com/respectshoess</t>
  </si>
  <si>
    <t>https://www.facebook.com/RESPECTSHOES</t>
  </si>
  <si>
    <t>http://instagram.com/respectshoes</t>
  </si>
  <si>
    <t>47.844022 56.641044</t>
  </si>
  <si>
    <t>Natalya Derbyshire</t>
  </si>
  <si>
    <t>+7 (8362) 31-00-05</t>
  </si>
  <si>
    <t>http://natalyaderbyshire.com/</t>
  </si>
  <si>
    <t>47.894392 56.635201</t>
  </si>
  <si>
    <t>Советская ул., 154, Йошкар-Ола</t>
  </si>
  <si>
    <t>47.892769 56.62972</t>
  </si>
  <si>
    <t>Аист</t>
  </si>
  <si>
    <t>+7 (8362) 65-61-07, +7 (8362) 25-33-55, +7 (8362) 61-77-14</t>
  </si>
  <si>
    <t xml:space="preserve">34sofia@mail.ru  </t>
  </si>
  <si>
    <t>http://www.aist-dom.ru/</t>
  </si>
  <si>
    <t>Школа для будущих мам</t>
  </si>
  <si>
    <t>На расхват</t>
  </si>
  <si>
    <t>Люкс-Строй</t>
  </si>
  <si>
    <t>+7 (8362) 25-00-25, +7 (8362) 50-71-11, +7 (8362) 50-72-22</t>
  </si>
  <si>
    <t xml:space="preserve">info@dom-brevna.ru, oooluxstroy@mail.ru  </t>
  </si>
  <si>
    <t>https://dom-brevna.ru/</t>
  </si>
  <si>
    <t>Строительная компания, Строительный магазин, Строительство дачных домов и коттеджей</t>
  </si>
  <si>
    <t>http://vk.com/luxstroy12</t>
  </si>
  <si>
    <t>http://facebook.com/luxstroy012</t>
  </si>
  <si>
    <t>https://www.youtube.com/channel/UCtwWGEWPSODrXpl7LsVjsIQ</t>
  </si>
  <si>
    <t>https://instagram.com/luxstroy12</t>
  </si>
  <si>
    <t>47.868232 56.648676</t>
  </si>
  <si>
    <t>47.894368 56.635294</t>
  </si>
  <si>
    <t>Luckylaki</t>
  </si>
  <si>
    <t>+7 (8362) 38-33-18</t>
  </si>
  <si>
    <t xml:space="preserve">sales@luckylaki.ru, info@luckylaki.ru </t>
  </si>
  <si>
    <t>https://vk.com/luckylaki_io</t>
  </si>
  <si>
    <t>Ломбард Доверие</t>
  </si>
  <si>
    <t>+7 (902) 102-64-52</t>
  </si>
  <si>
    <t xml:space="preserve">info@lombard-ola.ru </t>
  </si>
  <si>
    <t>пн-пт 10:00–18:00, перерыв 12:00–13:00</t>
  </si>
  <si>
    <t>4х4 Полный привод</t>
  </si>
  <si>
    <t>47.928726 56.626943</t>
  </si>
  <si>
    <t>Кальяны Zr Premium Store</t>
  </si>
  <si>
    <t>+7 (929) 734-45-00</t>
  </si>
  <si>
    <t>Вейп шоп, Магазин табака и курительных принадлежностей, Табачная продукция оптом</t>
  </si>
  <si>
    <t>https://vk.com/zrpremium</t>
  </si>
  <si>
    <t>https://www.instagram.com/zr_premium_store_yola</t>
  </si>
  <si>
    <t>47.88955 56.639719</t>
  </si>
  <si>
    <t>Николя</t>
  </si>
  <si>
    <t>ГК Скиф-2</t>
  </si>
  <si>
    <t>47.867167 56.622461</t>
  </si>
  <si>
    <t>47.868627 56.638178</t>
  </si>
  <si>
    <t>47.871311 56.642583</t>
  </si>
  <si>
    <t>Нафаня</t>
  </si>
  <si>
    <t>https://vk.com/nafanyaannikov</t>
  </si>
  <si>
    <t>Первый Цветочный</t>
  </si>
  <si>
    <t>+7 (8362) 40-13-40</t>
  </si>
  <si>
    <t>+7 (937) 933-30-45, +7 (909) 140-04-92</t>
  </si>
  <si>
    <t>https://vk.com/pervyi_tsvetochnyi</t>
  </si>
  <si>
    <t>47.888524 56.641807</t>
  </si>
  <si>
    <t>Сернурский сырзавод Фирменный отдел</t>
  </si>
  <si>
    <t>+7 (937) 113-20-82</t>
  </si>
  <si>
    <t>47.902258 56.636731</t>
  </si>
  <si>
    <t>МКК ИнвестКредитСервис</t>
  </si>
  <si>
    <t>+7 (8362) 30-48-88</t>
  </si>
  <si>
    <t xml:space="preserve">mfoiks@yandex.ru </t>
  </si>
  <si>
    <t>http://mkk-pro100zaim.ru/</t>
  </si>
  <si>
    <t>47.881084 56.637203</t>
  </si>
  <si>
    <t>ул. Мира, 52, Йошкар-Ола</t>
  </si>
  <si>
    <t>47.940882 56.635697</t>
  </si>
  <si>
    <t>47.82821 56.635914</t>
  </si>
  <si>
    <t>Ритуальная служба г. Йошкар-Олы</t>
  </si>
  <si>
    <t>Больничная ул., 18А, Йошкар-Ола</t>
  </si>
  <si>
    <t>47.888305 56.650608</t>
  </si>
  <si>
    <t>Медицинский Факультет Маргу</t>
  </si>
  <si>
    <t>47.876837 56.642611</t>
  </si>
  <si>
    <t>Мобил-сервис</t>
  </si>
  <si>
    <t>https://vk.com/club106216973</t>
  </si>
  <si>
    <t>БериСобери.ру</t>
  </si>
  <si>
    <t>8 (800) 600-25-84</t>
  </si>
  <si>
    <t xml:space="preserve">clients@berisoberi.ru  </t>
  </si>
  <si>
    <t>https://berisoberi.ru/</t>
  </si>
  <si>
    <t>Детские игрушки и игры, Товары для творчества и рукоделия</t>
  </si>
  <si>
    <t>https://vk.com/berisoberi</t>
  </si>
  <si>
    <t>https://www.instagram.com/berisoberi.ru/</t>
  </si>
  <si>
    <t>Электроник</t>
  </si>
  <si>
    <t>47.885676 56.635053</t>
  </si>
  <si>
    <t>Гриль</t>
  </si>
  <si>
    <t>47.883072 56.62033</t>
  </si>
  <si>
    <t>бул. 70-летия Победы в Великой Отечественной войне, 6, Йошкар-Ола</t>
  </si>
  <si>
    <t>+7 (991) 462-77-99</t>
  </si>
  <si>
    <t>Магазин пива, Магазин продуктов, Орехи, снеки, сухофрукты</t>
  </si>
  <si>
    <t>пн-пт 12:00–00:00; сб,вс 10:00–00:00</t>
  </si>
  <si>
    <t>https://instagram.com/pivteka</t>
  </si>
  <si>
    <t>47.919225 56.640696</t>
  </si>
  <si>
    <t>Pedant.ru</t>
  </si>
  <si>
    <t>+7 (8362) 38-11-22</t>
  </si>
  <si>
    <t xml:space="preserve">hr@pedant.ru </t>
  </si>
  <si>
    <t>https://pedant-yoshkar-ola.ru/</t>
  </si>
  <si>
    <t>Ремонт телефонов, Товары для мобильных телефонов</t>
  </si>
  <si>
    <t>https://vk.com/pedant_yoshkarola</t>
  </si>
  <si>
    <t>https://ok.ru/group/56605325000886</t>
  </si>
  <si>
    <t>https://www.instagram.com/pedant_yola/</t>
  </si>
  <si>
    <t>47.896761 56.627916</t>
  </si>
  <si>
    <t>АВТОритет</t>
  </si>
  <si>
    <t>+7 (917) 713-36-66, +7 (964) 861-35-55</t>
  </si>
  <si>
    <t xml:space="preserve">dev_des@avtoritet-12.ru, footer@avtoritet-12.ru </t>
  </si>
  <si>
    <t>http://avtoritet-12.ru/</t>
  </si>
  <si>
    <t>Изоляционные работы, Студия автотюнинга, Тонирование стекол</t>
  </si>
  <si>
    <t>https://vk.com/avtoritet12</t>
  </si>
  <si>
    <t>https://twitter.com/AVTOritet_12</t>
  </si>
  <si>
    <t>http://facebook.com/groups/avtoritet12</t>
  </si>
  <si>
    <t>47.834768 56.643564</t>
  </si>
  <si>
    <t>47.853301 56.642357</t>
  </si>
  <si>
    <t>Инженерные Комплексные Решения по Энергосбережению</t>
  </si>
  <si>
    <t>+7 (8362) 63-69-90</t>
  </si>
  <si>
    <t>+7 (905) 027-01-42</t>
  </si>
  <si>
    <t xml:space="preserve">inkres@mail.ru </t>
  </si>
  <si>
    <t>Инжиниринг, Системы водоснабжения, отопления, канализации, Энергосбережение и энергоаудит</t>
  </si>
  <si>
    <t>Лютеранского прихода</t>
  </si>
  <si>
    <t>Зелёная ул., 62, Йошкар-Ола</t>
  </si>
  <si>
    <t>47.854383 56.633893</t>
  </si>
  <si>
    <t>Мегалэнд</t>
  </si>
  <si>
    <t>Парк культуры и отдыха, Развлекательный центр</t>
  </si>
  <si>
    <t>47.913903 56.641956</t>
  </si>
  <si>
    <t>Прозапчасть24</t>
  </si>
  <si>
    <t>+7 (8362) 29-25-44</t>
  </si>
  <si>
    <t>+7 (902) 329-25-44</t>
  </si>
  <si>
    <t xml:space="preserve">info@prozapchast24.ru  </t>
  </si>
  <si>
    <t>https://joshkar-ola.prozapchast24.ru/</t>
  </si>
  <si>
    <t>Запчасти и аксессуары для бытовой техники</t>
  </si>
  <si>
    <t>ул. Анникова, 3А, Йошкар-Ола</t>
  </si>
  <si>
    <t>47.841611 56.644509</t>
  </si>
  <si>
    <t>Аленкинская Передвижная Механизированная Колонна</t>
  </si>
  <si>
    <t>Бутик итальянского стиля</t>
  </si>
  <si>
    <t>Двери, Корпусная мебель, Мягкая мебель</t>
  </si>
  <si>
    <t>Медцентр</t>
  </si>
  <si>
    <t>47.965327 56.639124</t>
  </si>
  <si>
    <t>Салон обуви</t>
  </si>
  <si>
    <t>47.896838 56.634417</t>
  </si>
  <si>
    <t>47.916054 56.629013</t>
  </si>
  <si>
    <t>ГК Замок</t>
  </si>
  <si>
    <t>47.82716 56.638437</t>
  </si>
  <si>
    <t>47.86213 56.645504</t>
  </si>
  <si>
    <t>ул. Хасанова, 3, Йошкар-Ола</t>
  </si>
  <si>
    <t>47.886838 56.625574</t>
  </si>
  <si>
    <t>Ларец</t>
  </si>
  <si>
    <t>47.919267 56.616615</t>
  </si>
  <si>
    <t>Двери Ревер</t>
  </si>
  <si>
    <t>ул. Карла Маркса, 131, корп. 4, Йошкар-Ола</t>
  </si>
  <si>
    <t>+7 (902) 100-22-42</t>
  </si>
  <si>
    <t xml:space="preserve">14370afcdc17429f9e418d5ffbd0334a@sentry.wixpress.com, ptk.arkaim@mail.ru  </t>
  </si>
  <si>
    <t>http://reverdoors.com/</t>
  </si>
  <si>
    <t>https://vk.com/reverdoors</t>
  </si>
  <si>
    <t>https://www.youtube.com/channel/UCv5aIcGw5qnpV5kV6Qc13dw</t>
  </si>
  <si>
    <t>https://www.instagram.com/rever_doors</t>
  </si>
  <si>
    <t>47.890358 56.612775</t>
  </si>
  <si>
    <t>https://vk.com/feyaprof</t>
  </si>
  <si>
    <t>Мойбизнес</t>
  </si>
  <si>
    <t>Бизнес-инкубатор, Бизнес-центр</t>
  </si>
  <si>
    <t>47.90769 56.631226</t>
  </si>
  <si>
    <t>Россия, Республика Марий Эл, Йошкар-Ола, Речная улица</t>
  </si>
  <si>
    <t>47.84689 56.654119</t>
  </si>
  <si>
    <t>47.843461 56.655011</t>
  </si>
  <si>
    <t>Дом печей</t>
  </si>
  <si>
    <t>ул. 8 Марта, 12, Йошкар-Ола</t>
  </si>
  <si>
    <t>+7 (888) 111-88-55</t>
  </si>
  <si>
    <t xml:space="preserve">dompechei@yandex.ru, moscow@dompechei.ru, nnovgorod@dompechei.ru, chuvashiya@dompechei.ru, mariy-el@dompechei.ru </t>
  </si>
  <si>
    <t>http://элит-камин.рф/mariy-el/</t>
  </si>
  <si>
    <t>47.948018 56.642768</t>
  </si>
  <si>
    <t>Банк Хоум Кредит Банкомат</t>
  </si>
  <si>
    <t>8 (800) 700-80-06</t>
  </si>
  <si>
    <t>https://www.homecredit.ru/</t>
  </si>
  <si>
    <t>https://www.facebook.com/homecreditru/</t>
  </si>
  <si>
    <t>47.894775 56.630877</t>
  </si>
  <si>
    <t>La belle</t>
  </si>
  <si>
    <t>Чай кофе</t>
  </si>
  <si>
    <t>47.896182 56.632406</t>
  </si>
  <si>
    <t>47.899896 56.636206</t>
  </si>
  <si>
    <t>Дом на ул. Первомайская</t>
  </si>
  <si>
    <t>http://www.spectr12.ru/build/37-stroitelstvo-zhilogo-doma-v-yoshkar-ole-na-ulice-pervomayskaya.html</t>
  </si>
  <si>
    <t>47.894093 56.648258</t>
  </si>
  <si>
    <t>47.86381 56.649525</t>
  </si>
  <si>
    <t>47.885513 56.637106</t>
  </si>
  <si>
    <t>ул. Строителей, 50, Йошкар-Ола</t>
  </si>
  <si>
    <t>47.838694 56.633578</t>
  </si>
  <si>
    <t>Чемоданыч плюс</t>
  </si>
  <si>
    <t>47.894015 56.640575</t>
  </si>
  <si>
    <t>Стэф сервис</t>
  </si>
  <si>
    <t>47.907687 56.631225</t>
  </si>
  <si>
    <t>+7 (987) 717-36-45</t>
  </si>
  <si>
    <t>Звениговский мясокомбинат</t>
  </si>
  <si>
    <t>Кондитерская, Магазин мяса, колбас, Молочный магазин, Мороженое</t>
  </si>
  <si>
    <t>47.82085 56.628861</t>
  </si>
  <si>
    <t>Селфика</t>
  </si>
  <si>
    <t>ул. Карла Маркса, 131Б, Йошкар-Ола</t>
  </si>
  <si>
    <t>+7 (937) 115-73-13</t>
  </si>
  <si>
    <t>https://www.selfica.su/</t>
  </si>
  <si>
    <t>Детские товары оптом, Оптовая компания, Товары для творчества и рукоделия</t>
  </si>
  <si>
    <t>https://vk.com/m.selfica_tm</t>
  </si>
  <si>
    <t>47.89111 56.612613</t>
  </si>
  <si>
    <t>Йошкар-Олинский марийско-русский евангелическо-лютеранский приход Уральского пробства Евангелическо-лютеранской церкви Ингрии</t>
  </si>
  <si>
    <t>Октябрьская ул., 43, Йошкар-Ола</t>
  </si>
  <si>
    <t>47.853855 56.633818</t>
  </si>
  <si>
    <t>47.887061 56.635371</t>
  </si>
  <si>
    <t>Тандем-М</t>
  </si>
  <si>
    <t>Drupal Service</t>
  </si>
  <si>
    <t>+7 (964) 861-97-00</t>
  </si>
  <si>
    <t>https://drupal-service.ru/</t>
  </si>
  <si>
    <t>47.864505 56.649608</t>
  </si>
  <si>
    <t>Отдел продаж подрядчиков</t>
  </si>
  <si>
    <t>+7 (902) 739-22-22</t>
  </si>
  <si>
    <t>47.882642 56.632287</t>
  </si>
  <si>
    <t>47.879672 56.632212</t>
  </si>
  <si>
    <t>Свит Лайм</t>
  </si>
  <si>
    <t>+7 (902) 102-21-00</t>
  </si>
  <si>
    <t xml:space="preserve">79278880485@yandex.ru  </t>
  </si>
  <si>
    <t>https://sweetlime12.ru/</t>
  </si>
  <si>
    <t>Лазерная эпиляция, Оборудование и материалы для салонов красоты, Шугаринг</t>
  </si>
  <si>
    <t>https://vk.com/depilyatsiya_joshkarola</t>
  </si>
  <si>
    <t>https://www.instagram.com/sweet_lime_studio</t>
  </si>
  <si>
    <t>47.899526 56.642459</t>
  </si>
  <si>
    <t>Продуктовый магазин</t>
  </si>
  <si>
    <t>Алгоритм Инвестиций</t>
  </si>
  <si>
    <t>+7 (8362) 45-12-90, +7 (8362) 45-85-08, +7 (8362) 45-33-40</t>
  </si>
  <si>
    <t>47.896904 56.613762</t>
  </si>
  <si>
    <t>Агентство недвижимости Самарина и Ко</t>
  </si>
  <si>
    <t>+7 (8362) 27-63-21</t>
  </si>
  <si>
    <t>+7 (902) 664-73-89, +7 (902) 437-63-21</t>
  </si>
  <si>
    <t xml:space="preserve">oasamarina@yandex.ru  </t>
  </si>
  <si>
    <t>http://samarina.es9.ru/</t>
  </si>
  <si>
    <t>https://vk.com/an_samarinaiko</t>
  </si>
  <si>
    <t>https://www.instagram.com/samarina_i_ko</t>
  </si>
  <si>
    <t>47.88835 56.631247</t>
  </si>
  <si>
    <t>Еда и пиво</t>
  </si>
  <si>
    <t>47.881904 56.622755</t>
  </si>
  <si>
    <t>Юридическая контора</t>
  </si>
  <si>
    <t>47.885204 56.63943</t>
  </si>
  <si>
    <t>47.890737 56.644385</t>
  </si>
  <si>
    <t>ПМК Артикул</t>
  </si>
  <si>
    <t>+7 (8362) 99-67-88</t>
  </si>
  <si>
    <t xml:space="preserve">artikul12@bk.ru </t>
  </si>
  <si>
    <t>http://артикул12.рф/</t>
  </si>
  <si>
    <t>Рекламная продукция, Рекламное агентство, Рекламное оборудование и материалы</t>
  </si>
  <si>
    <t>47.89478 56.646537</t>
  </si>
  <si>
    <t>+7 (8362) 67-03-00</t>
  </si>
  <si>
    <t>+7 (902) 105-74-97</t>
  </si>
  <si>
    <t>ежедневно, 18:00–06:00</t>
  </si>
  <si>
    <t>47.898766 56.635536</t>
  </si>
  <si>
    <t>Россия, Республика Марий Эл, Йошкар-Ола, микрорайон Вашский</t>
  </si>
  <si>
    <t>47.881391 56.628691</t>
  </si>
  <si>
    <t>https://sdobnovo.ru/fotogalereja/</t>
  </si>
  <si>
    <t>Дисконт</t>
  </si>
  <si>
    <t>+7 (919) 418-86-36</t>
  </si>
  <si>
    <t>Тахографы</t>
  </si>
  <si>
    <t>+7 (917) 700-77-71, +7 (902) 100-77-71</t>
  </si>
  <si>
    <t xml:space="preserve">nokia00123@list.ru  </t>
  </si>
  <si>
    <t>http://taxo-mari.ru/</t>
  </si>
  <si>
    <t>Автомобильные тахографы, Медицинская комиссия, Мониторинг автотранспорта</t>
  </si>
  <si>
    <t>47.926022 56.635053</t>
  </si>
  <si>
    <t>Прием Радиодеталей и Автокатализаторов</t>
  </si>
  <si>
    <t>+7 (909) 305-45-21</t>
  </si>
  <si>
    <t>Контрольно-измерительные приборы, Прием вторсырья, Электронные приборы и компоненты</t>
  </si>
  <si>
    <t>47.877474 56.632699</t>
  </si>
  <si>
    <t>Обувной магазин</t>
  </si>
  <si>
    <t>Askona</t>
  </si>
  <si>
    <t>+7 (902) 745-81-82</t>
  </si>
  <si>
    <t xml:space="preserve">sale@askona.ru, welcome@askona.ru  </t>
  </si>
  <si>
    <t>https://www.askona.ru/?utm_campaign=geoserviceu0026utm_medium=cpcu0026utm_source=yandex_sprav, https://www.askona.ru/magaziny/rossiya/r-mariy-el/yoshkar-ola/17578.htm?utm_campaign=geoserviceu0026utm_medium=cpcu0026utm_source=yandex_sprav</t>
  </si>
  <si>
    <t>Магазин мебели, Магазин постельных принадлежностей, Матрасы</t>
  </si>
  <si>
    <t>47.833331 56.641921</t>
  </si>
  <si>
    <t>Марийский филиал Татнефть-АЗС центр</t>
  </si>
  <si>
    <t>+7 (8362) 41-52-50, +7 (8362) 64-00-88, +7 (8362) 63-97-96</t>
  </si>
  <si>
    <t>+7 (8362) 41-52-50</t>
  </si>
  <si>
    <t>Русалка Кафетерий</t>
  </si>
  <si>
    <t>47.940083 56.632065</t>
  </si>
  <si>
    <t>Октан</t>
  </si>
  <si>
    <t>+7 (8362) 55-33-58, +7 (8362) 55-33-66, +7 (8362) 73-34-65</t>
  </si>
  <si>
    <t>Dymshop</t>
  </si>
  <si>
    <t>Советская ул., 160, Йошкар-Ола</t>
  </si>
  <si>
    <t>+7 (937) 116-64-47</t>
  </si>
  <si>
    <t xml:space="preserve">dymshop.yo@gmail.com  </t>
  </si>
  <si>
    <t>http://yo.dymshop.online/</t>
  </si>
  <si>
    <t>47.888668 56.625482</t>
  </si>
  <si>
    <t>Марийская клюква</t>
  </si>
  <si>
    <t>47.820134 56.638514</t>
  </si>
  <si>
    <t>Прорайдер</t>
  </si>
  <si>
    <t>+7 (8362) 38-31-21, +7 (8362) 33-03-21, +7 (8362) 77-80-21</t>
  </si>
  <si>
    <t>Веломагазин, Ремонт велосипедов, Спортивный инвентарь и оборудование</t>
  </si>
  <si>
    <t>https://vk.com/prorider12</t>
  </si>
  <si>
    <t>47.884927 56.640692</t>
  </si>
  <si>
    <t>ИП Омаров Р. Д.</t>
  </si>
  <si>
    <t>+7 (8362) 49-13-13</t>
  </si>
  <si>
    <t>+7 (906) 334-54-11</t>
  </si>
  <si>
    <t xml:space="preserve">12bunkerinfo@mail.ru  </t>
  </si>
  <si>
    <t>https://dveribunker.ru/</t>
  </si>
  <si>
    <t>Двери, Окрасочное оборудование</t>
  </si>
  <si>
    <t>https://vk.com/dveribunker</t>
  </si>
  <si>
    <t>https://www.youtube.com/channel/UCfxtuf1u3h5IAIsX2DoIl8w/videos</t>
  </si>
  <si>
    <t>https://www.instagram.com/dveribunker12</t>
  </si>
  <si>
    <t>Photoduet</t>
  </si>
  <si>
    <t>+7 (987) 717-09-78</t>
  </si>
  <si>
    <t>http://photoduet.jimdo.com/</t>
  </si>
  <si>
    <t>Апартаменты на Ленинском 53 А</t>
  </si>
  <si>
    <t>Ленинский просп., 53А, Йошкар-Ола</t>
  </si>
  <si>
    <t>47.876019 56.633476</t>
  </si>
  <si>
    <t>Формы.Онлайн</t>
  </si>
  <si>
    <t>https://формы.онлайн/</t>
  </si>
  <si>
    <t>Наружная реклама, Пластмассовые и пластиковые изделия, Производственное предприятие</t>
  </si>
  <si>
    <t>47.861558 56.618617</t>
  </si>
  <si>
    <t>Подольский</t>
  </si>
  <si>
    <t>ул. Подольских Курсантов, 10, Йошкар-Ола</t>
  </si>
  <si>
    <t>47.867309 56.650766</t>
  </si>
  <si>
    <t>Фёствент</t>
  </si>
  <si>
    <t>Строительство и обслуживание инженерных сетей</t>
  </si>
  <si>
    <t>47.89332 56.63709</t>
  </si>
  <si>
    <t>Bomtas</t>
  </si>
  <si>
    <t>Тхиен Дыонг</t>
  </si>
  <si>
    <t>+7 (902) 325-77-28</t>
  </si>
  <si>
    <t>http://www.vvd12.ru/</t>
  </si>
  <si>
    <t>пн-пт 19:00–21:00; сб,вс 13:00–15:00</t>
  </si>
  <si>
    <t>https://vk.com/club3852188</t>
  </si>
  <si>
    <t>47.871812 56.621364</t>
  </si>
  <si>
    <t>ДомакС</t>
  </si>
  <si>
    <t>+7 (8362) 77-12-70</t>
  </si>
  <si>
    <t xml:space="preserve">domaks12@mail.ru  </t>
  </si>
  <si>
    <t>http://www.domaks12.ru/, http://домакс12.рф/</t>
  </si>
  <si>
    <t>Городское благоустройство, Дизайн интерьеров, Остекление балконов и лоджий, Строительная компания, Строительные и отделочные работы</t>
  </si>
  <si>
    <t>https://vk.com/domaks12</t>
  </si>
  <si>
    <t>47.882163 56.640783</t>
  </si>
  <si>
    <t>Россия, Республика Марий Эл, Йошкар-Ола, Арматурная улица</t>
  </si>
  <si>
    <t>47.882079 56.616314</t>
  </si>
  <si>
    <t>ул. Прохорова, 18А, Йошкар-Ола</t>
  </si>
  <si>
    <t>47.841207 56.636306</t>
  </si>
  <si>
    <t>Степашка</t>
  </si>
  <si>
    <t>ул. Строителей, 27, Йошкар-Ола</t>
  </si>
  <si>
    <t>+7 (964) 861-72-75</t>
  </si>
  <si>
    <t>Детские игрушки и игры, Магазин белья и купальников, Магазин детской одежды</t>
  </si>
  <si>
    <t>47.842151 56.632007</t>
  </si>
  <si>
    <t>Апекс</t>
  </si>
  <si>
    <t>+7 (902) 102-01-73</t>
  </si>
  <si>
    <t>Легион</t>
  </si>
  <si>
    <t>+7 (964) 863-84-00</t>
  </si>
  <si>
    <t xml:space="preserve">legionparts12@mail.ru  </t>
  </si>
  <si>
    <t>http://legionparts12.ru/</t>
  </si>
  <si>
    <t>47.859018 56.639669</t>
  </si>
  <si>
    <t>Ателье Руслан и Людмила</t>
  </si>
  <si>
    <t>+7 (987) 721-61-19</t>
  </si>
  <si>
    <t>пн-пт 09:00–19:00; сб 09:00–17:00; вс 09:00–14:00</t>
  </si>
  <si>
    <t>УК</t>
  </si>
  <si>
    <t>ул. Волкова, 139, Йошкар-Ола</t>
  </si>
  <si>
    <t>47.89346 56.632701</t>
  </si>
  <si>
    <t>Центр открытого образования</t>
  </si>
  <si>
    <t>+7 (902) 744-43-30</t>
  </si>
  <si>
    <t xml:space="preserve">rz_men6@elis.ru  </t>
  </si>
  <si>
    <t>https://elis.ru/</t>
  </si>
  <si>
    <t>https://vk.com/elisshop</t>
  </si>
  <si>
    <t>https://www.facebook.com/elis.shop.ru</t>
  </si>
  <si>
    <t>https://www.instagram.com/elis_official_group</t>
  </si>
  <si>
    <t>47.927105 56.634828</t>
  </si>
  <si>
    <t>М-ка</t>
  </si>
  <si>
    <t>+7 (937) 116-06-61</t>
  </si>
  <si>
    <t xml:space="preserve">m-ka12@mail.ru  </t>
  </si>
  <si>
    <t>Детская мебель</t>
  </si>
  <si>
    <t>https://vk.com/publicmka</t>
  </si>
  <si>
    <t>Сарай</t>
  </si>
  <si>
    <t>+7 (8362) 76-87-76</t>
  </si>
  <si>
    <t>Бар, паб, Караоке-клуб, Ресторан</t>
  </si>
  <si>
    <t>пн-чт 18:00–23:00; пт,сб 18:00–05:00; вс 18:00–03:00</t>
  </si>
  <si>
    <t>https://vk.com/karaokebar_saray</t>
  </si>
  <si>
    <t>https://instagram.com/karaokebar_saray</t>
  </si>
  <si>
    <t>47.915365 56.643544</t>
  </si>
  <si>
    <t>47.822467 56.626749</t>
  </si>
  <si>
    <t>Церковная лавка на Успенской улице</t>
  </si>
  <si>
    <t>Успенская ул., 40А, Йошкар-Ола</t>
  </si>
  <si>
    <t>47.882307 56.630149</t>
  </si>
  <si>
    <t>ул. Мира, 2В, Йошкар-Ола</t>
  </si>
  <si>
    <t>+7 (8362) 64-77-30</t>
  </si>
  <si>
    <t xml:space="preserve">izba@mari-el.ru  </t>
  </si>
  <si>
    <t>https://izba-12.company.site/</t>
  </si>
  <si>
    <t>https://vk.com/cafe_izba</t>
  </si>
  <si>
    <t>http://instagram.com/izba12</t>
  </si>
  <si>
    <t>47.953473 56.62846</t>
  </si>
  <si>
    <t>Мир керамики</t>
  </si>
  <si>
    <t>Центрпол</t>
  </si>
  <si>
    <t xml:space="preserve">ds@dengi-seichas.ru, ds@dengi-seichas.com  </t>
  </si>
  <si>
    <t>Красноармейская ул., 111А, Йошкар-Ола</t>
  </si>
  <si>
    <t>пн-пт 09:00–20:00, перерыв 12:15–12:30; сб 09:00–18:00, перерыв 12:15–12:30</t>
  </si>
  <si>
    <t>47.858762 56.644728</t>
  </si>
  <si>
    <t>Чемпионика</t>
  </si>
  <si>
    <t>+7 (902) 100-33-44</t>
  </si>
  <si>
    <t>http://championika.ru/</t>
  </si>
  <si>
    <t>https://vk.com/dfc_12</t>
  </si>
  <si>
    <t>Образ</t>
  </si>
  <si>
    <t>47.820432 56.630814</t>
  </si>
  <si>
    <t>47.83253 56.637092</t>
  </si>
  <si>
    <t>Татьяна</t>
  </si>
  <si>
    <t>Магазин белья и купальников, Трикотаж, трикотажные изделия</t>
  </si>
  <si>
    <t>47.837297 56.635485</t>
  </si>
  <si>
    <t>СитиВет12</t>
  </si>
  <si>
    <t>+7 (8362) 48-24-44</t>
  </si>
  <si>
    <t>47.877818 56.632597</t>
  </si>
  <si>
    <t>пн-сб 08:00–16:00</t>
  </si>
  <si>
    <t>ПК Сенсор</t>
  </si>
  <si>
    <t>ул. Строителей, 101А3, Йошкар-Ола</t>
  </si>
  <si>
    <t>+7 (8362) 30-44-88</t>
  </si>
  <si>
    <t>Производственное предприятие, Электротехническая продукция</t>
  </si>
  <si>
    <t>47.874461 56.612566</t>
  </si>
  <si>
    <t>Реклайн</t>
  </si>
  <si>
    <t>47.860738 56.619198</t>
  </si>
  <si>
    <t>ул. Павленко, 7, Йошкар-Ола</t>
  </si>
  <si>
    <t>47.943587 56.630208</t>
  </si>
  <si>
    <t>Камень</t>
  </si>
  <si>
    <t>+7 (8362) 54-66-24</t>
  </si>
  <si>
    <t>Изделия из камня, Облицовочные материалы, Тротуарная плитка</t>
  </si>
  <si>
    <t>пн-пт 09:00–17:00; сб 09:30–14:00</t>
  </si>
  <si>
    <t>47.861654 56.639407</t>
  </si>
  <si>
    <t>Шиномонтаж Колесница</t>
  </si>
  <si>
    <t>Молодёжная ул., 23, Йошкар-Ола</t>
  </si>
  <si>
    <t>+7 (8362) 98-78-01</t>
  </si>
  <si>
    <t>+7 (902) 358-78-01</t>
  </si>
  <si>
    <t>http://kolesniza12.ru/</t>
  </si>
  <si>
    <t>Автосервис, автотехцентр, Диагностический центр, Шиномонтаж</t>
  </si>
  <si>
    <t>47.846346 56.657131</t>
  </si>
  <si>
    <t>ЭкоЗвук</t>
  </si>
  <si>
    <t>+7 (8362) 75-25-26</t>
  </si>
  <si>
    <t xml:space="preserve">comment@localhost.ru, eco-zvuk12@mail.ru, ecozvuk12@mail.ru  </t>
  </si>
  <si>
    <t>http://www.eco-zvuk12.ru/</t>
  </si>
  <si>
    <t>https://vk.com/ecozvuk12</t>
  </si>
  <si>
    <t>Детская площадка</t>
  </si>
  <si>
    <t>Кремлёвская ул., 35, Йошкар-Ола</t>
  </si>
  <si>
    <t>47.881421 56.640754</t>
  </si>
  <si>
    <t>Волгафлекс, склад</t>
  </si>
  <si>
    <t>+7 (8362) 38-03-80, +7 (495) 204-20-49, +7 (495) 560-49-17</t>
  </si>
  <si>
    <t xml:space="preserve">info@petrol-hoses.ru, info@volgaflex.ru, support@tiu.ru  </t>
  </si>
  <si>
    <t>http://volgaflex.ru/</t>
  </si>
  <si>
    <t>Оптовая компания, Производственное предприятие, Рукава и шланги</t>
  </si>
  <si>
    <t>https://vk.com/volgaflex</t>
  </si>
  <si>
    <t>https://www.instagram.com/volgaflex.ru/</t>
  </si>
  <si>
    <t>47.8214 56.628705</t>
  </si>
  <si>
    <t>+7 (8362) 32-03-88</t>
  </si>
  <si>
    <t>47.83285 56.638921</t>
  </si>
  <si>
    <t>Incanto Mio</t>
  </si>
  <si>
    <t>+7 (8362) 66-88-67</t>
  </si>
  <si>
    <t>https://vk.com/incantomiosumki</t>
  </si>
  <si>
    <t>47.870788 56.645936</t>
  </si>
  <si>
    <t>+7 (8362) 22-93-95, +7 (8362) 43-22-88</t>
  </si>
  <si>
    <t>+7 (917) 701-24-82</t>
  </si>
  <si>
    <t>47.946472 56.623168</t>
  </si>
  <si>
    <t>Церковь Успения Пресвятой Богородицы</t>
  </si>
  <si>
    <t>Успенская ул., 40, Йошкар-Ола</t>
  </si>
  <si>
    <t>+7 (8362) 45-84-38</t>
  </si>
  <si>
    <t xml:space="preserve">bukvkn@mail.ru  </t>
  </si>
  <si>
    <t>http://uspenie-ola.cerkov.ru/</t>
  </si>
  <si>
    <t>http://vk.com/uspenskhram</t>
  </si>
  <si>
    <t>47.882553 56.63041</t>
  </si>
  <si>
    <t>Кухня</t>
  </si>
  <si>
    <t>47.866354 56.634687</t>
  </si>
  <si>
    <t>Дар</t>
  </si>
  <si>
    <t>+7 (967) 756-20-15</t>
  </si>
  <si>
    <t xml:space="preserve">info@soyuzsp.com </t>
  </si>
  <si>
    <t>Парфюмерно-косметическая компания</t>
  </si>
  <si>
    <t>47.92502 56.634644</t>
  </si>
  <si>
    <t>47.889241 56.629724</t>
  </si>
  <si>
    <t>ТоргКомпМЕТ</t>
  </si>
  <si>
    <t>+7 (8362) 24-50-11</t>
  </si>
  <si>
    <t>+7 (902) 105-83-47</t>
  </si>
  <si>
    <t>http://met16.pulscen.ru/</t>
  </si>
  <si>
    <t>Металлические заборы и ограждения, Металлопрокат, Трубы и трубопроводная арматура</t>
  </si>
  <si>
    <t>Поволжский государственный технологический университет, Институт механики и машиностроения</t>
  </si>
  <si>
    <t>+7 (8362) 68-60-51</t>
  </si>
  <si>
    <t>Бетон М</t>
  </si>
  <si>
    <t>+7 (8362) 40-05-00, +7 (8362) 30-66-68, +7 (8362) 50-29-80</t>
  </si>
  <si>
    <t xml:space="preserve">3abeton_m12@mail.ru, beton_m12@mail.ru  </t>
  </si>
  <si>
    <t>http://betonmari.ru/</t>
  </si>
  <si>
    <t>Аренда строительной и спецтехники, Бетон, бетонные изделия, Строительный магазин, Сухие строительные смеси</t>
  </si>
  <si>
    <t>+7 (962) 588-45-04, +7 (902) 435-04-08</t>
  </si>
  <si>
    <t>47.889429 56.642447</t>
  </si>
  <si>
    <t>Obuv12</t>
  </si>
  <si>
    <t>ул. Строителей, 98С1, Йошкар-Ола</t>
  </si>
  <si>
    <t>47.871186 56.612306</t>
  </si>
  <si>
    <t>Посудная лавка</t>
  </si>
  <si>
    <t>Магазин посуды, Магазин хозтоваров и бытовой химии</t>
  </si>
  <si>
    <t>47.837784 56.635507</t>
  </si>
  <si>
    <t>Lova</t>
  </si>
  <si>
    <t>+7 (987) 707-10-56</t>
  </si>
  <si>
    <t>Громкий бункер</t>
  </si>
  <si>
    <t>Сернурский тракт, 10Б, Йошкар-Ола</t>
  </si>
  <si>
    <t>Автоакустика, Изоляционные работы</t>
  </si>
  <si>
    <t>пн-пт 09:00–17:00; сб,вс 10:00–14:00</t>
  </si>
  <si>
    <t>47.945537 56.646914</t>
  </si>
  <si>
    <t>КПК Строительно-Сберегательная касса</t>
  </si>
  <si>
    <t>ул. Машиностроителей, 57, Йошкар-Ола</t>
  </si>
  <si>
    <t>+7 (8362) 34-79-00</t>
  </si>
  <si>
    <t>47.871585 56.639426</t>
  </si>
  <si>
    <t>47.933772 56.624708</t>
  </si>
  <si>
    <t>Hand made</t>
  </si>
  <si>
    <t>ГК Мир</t>
  </si>
  <si>
    <t>47.958205 56.631553</t>
  </si>
  <si>
    <t>Studio A</t>
  </si>
  <si>
    <t>+7 (902) 670-40-49, +7 (906) 335-00-50</t>
  </si>
  <si>
    <t>http://studioa12.ru/</t>
  </si>
  <si>
    <t>Обучение мастеров для салонов красоты, Учебный центр, Центр повышения квалификации</t>
  </si>
  <si>
    <t>https://www.instagram.com/studio_a_yola/</t>
  </si>
  <si>
    <t>47.914787 56.635897</t>
  </si>
  <si>
    <t>Элеваторный пр., 11Г, Йошкар-Ола</t>
  </si>
  <si>
    <t>+7 (8362) 40-18-19</t>
  </si>
  <si>
    <t>+7 (929) 733-18-19</t>
  </si>
  <si>
    <t>47.894075 56.610874</t>
  </si>
  <si>
    <t>ТелеМир</t>
  </si>
  <si>
    <t>+7 (8362) 39-12-53</t>
  </si>
  <si>
    <t>+7 (937) 939-12-53, +7 (927) 408-65-43</t>
  </si>
  <si>
    <t xml:space="preserve">donate@opencart.com, info@solar-on.ru  </t>
  </si>
  <si>
    <t>http://telemirmag.ru/, http://solar-on.ru/, http://y-ola.kroks.ru/</t>
  </si>
  <si>
    <t>Антенны, Системы безопасности и охраны, Энергетическое оборудование</t>
  </si>
  <si>
    <t>http://instagram.com/telemirmag</t>
  </si>
  <si>
    <t>47.835865 56.641442</t>
  </si>
  <si>
    <t>Развитие 12</t>
  </si>
  <si>
    <t>+7 (967) 759-12-12</t>
  </si>
  <si>
    <t>Строительные и отделочные работы, Строительство дачных домов и коттеджей</t>
  </si>
  <si>
    <t>Эндорфин</t>
  </si>
  <si>
    <t>+7 (902) 329-08-94</t>
  </si>
  <si>
    <t>47.883057 56.640071</t>
  </si>
  <si>
    <t>47.822428 56.626672</t>
  </si>
  <si>
    <t>Леспром Брикет</t>
  </si>
  <si>
    <t>+7 (906) 335-74-79</t>
  </si>
  <si>
    <t xml:space="preserve">lespromles@mail.ru, cc.kostya@mail.ru, t9@ya.ru, admin@website.ru, info@lesprom12.ru  </t>
  </si>
  <si>
    <t>http://lesprom12.ru/</t>
  </si>
  <si>
    <t>Деревообрабатывающее предприятие, Твердое топливо</t>
  </si>
  <si>
    <t>пн-чт 09:00–18:00; пт 09:00–00:00</t>
  </si>
  <si>
    <t>https://vk.com/lesprom12</t>
  </si>
  <si>
    <t>ГБО 12</t>
  </si>
  <si>
    <t>ул. Шабдара, 13А, Йошкар-Ола</t>
  </si>
  <si>
    <t>+7 (8362) 75-08-88</t>
  </si>
  <si>
    <t>+7 (987) 708-80-39</t>
  </si>
  <si>
    <t>47.893006 56.651171</t>
  </si>
  <si>
    <t>http://www.oldgeorge.ru/</t>
  </si>
  <si>
    <t>47.866933 56.641786</t>
  </si>
  <si>
    <t>Маримед</t>
  </si>
  <si>
    <t>+7 (8362) 32-07-07</t>
  </si>
  <si>
    <t>Жилой дом по ул. Яблочкова</t>
  </si>
  <si>
    <t>ул. Яблочкова, 18, Йошкар-Ола</t>
  </si>
  <si>
    <t>+7 (8362) 40-12-09</t>
  </si>
  <si>
    <t>http://княжино.рф/yabl</t>
  </si>
  <si>
    <t>47.854153 56.648468</t>
  </si>
  <si>
    <t>Gtd</t>
  </si>
  <si>
    <t>8 (800) 234-59-60, +7 (8362) 30-40-49</t>
  </si>
  <si>
    <t xml:space="preserve">info@gtdel.com  </t>
  </si>
  <si>
    <t>https://gtdel.com/</t>
  </si>
  <si>
    <t>Автомобильные грузоперевозки, Грузовые авиаперевозки, Логистическая компания</t>
  </si>
  <si>
    <t>https://vk.com/tkglobaltruckdelivery</t>
  </si>
  <si>
    <t>https://ok.ru/globaltruckdelivery</t>
  </si>
  <si>
    <t>https://www.facebook.com/tkglobaltruckdelivery</t>
  </si>
  <si>
    <t>https://www.instagram.com/tk_gtd</t>
  </si>
  <si>
    <t>47.867216 56.615018</t>
  </si>
  <si>
    <t>GSM-сервис</t>
  </si>
  <si>
    <t>Кадастровый инженер Соловей Н. В.</t>
  </si>
  <si>
    <t>+7 (961) 376-79-97</t>
  </si>
  <si>
    <t>Вино-водочный магазин КДС</t>
  </si>
  <si>
    <t>47.830804 56.632243</t>
  </si>
  <si>
    <t>Брейк-данс</t>
  </si>
  <si>
    <t>47.891544 56.637445</t>
  </si>
  <si>
    <t>Magic White</t>
  </si>
  <si>
    <t>+7 (987) 709-66-76</t>
  </si>
  <si>
    <t xml:space="preserve">magicwhite12@mail.ru, zayavka@012.magic-white.ru  </t>
  </si>
  <si>
    <t>http://012.magic-white.ru/</t>
  </si>
  <si>
    <t>пн-пт 11:00–20:00; сб,вс 10:00–18:00</t>
  </si>
  <si>
    <t>https://instagram.com/magic_white_yoshkarola</t>
  </si>
  <si>
    <t>Light Lounge</t>
  </si>
  <si>
    <t>ул. Чехова, 61, Йошкар-Ола, Россия</t>
  </si>
  <si>
    <t>+7 (8362) 37-37-77</t>
  </si>
  <si>
    <t>+7 (902) 745-53-77</t>
  </si>
  <si>
    <t>https://vk.com/light.lounge12</t>
  </si>
  <si>
    <t>https://www.facebook.com/Light-Lounge-Game-and-Relax-Йошкар-Ола-109503877568432/</t>
  </si>
  <si>
    <t>https://www.instagram.com/light.lounge12/</t>
  </si>
  <si>
    <t>47.886752 56.644345</t>
  </si>
  <si>
    <t>ГК Кировец</t>
  </si>
  <si>
    <t>47.86944 56.633365</t>
  </si>
  <si>
    <t>Elixir</t>
  </si>
  <si>
    <t>+7 (8362) 51-11-17</t>
  </si>
  <si>
    <t>пн-пт 11:00–19:00; сб,вс 11:00–18:00</t>
  </si>
  <si>
    <t>https://vk.com/time_smoke12</t>
  </si>
  <si>
    <t>47.880673 56.638165</t>
  </si>
  <si>
    <t>Vnd Press</t>
  </si>
  <si>
    <t>+7 (960) 098-00-65</t>
  </si>
  <si>
    <t xml:space="preserve">tdp1204@yandex.ru, m-vinokurov@yandex.ru, vndpress@yandex.ru  </t>
  </si>
  <si>
    <t>Видеосъемка, Редакция СМИ, Телекомпания</t>
  </si>
  <si>
    <t>https://vk.com/vndpress</t>
  </si>
  <si>
    <t>https://www.youtube.com/channel/UC2gpLDJYaXs3vxNodJBcWwA?view_as=subscriber</t>
  </si>
  <si>
    <t>Пролетарская ул., 22, Йошкар-Ола</t>
  </si>
  <si>
    <t>47.895997 56.645217</t>
  </si>
  <si>
    <t>Мясо рыба</t>
  </si>
  <si>
    <t>ул. Машиностроителей, 2, Йошкар-Ола</t>
  </si>
  <si>
    <t>Магазин мяса, колбас, Магазин рыбы и морепродуктов, Яйцо и мясо птицы</t>
  </si>
  <si>
    <t>47.872843 56.651039</t>
  </si>
  <si>
    <t>Коникс</t>
  </si>
  <si>
    <t>+7 (8362) 64-14-00, +7 (8362) 64-18-55</t>
  </si>
  <si>
    <t>http://koniks.pulscen.ru/</t>
  </si>
  <si>
    <t>Металлообрабатывающее оборудование, Электро- и бензоинструмент</t>
  </si>
  <si>
    <t>47.877725 56.627183</t>
  </si>
  <si>
    <t>Смарт.ру</t>
  </si>
  <si>
    <t>Кремлёвская ул., 33-2, Йошкар-Ола</t>
  </si>
  <si>
    <t>+7 (960) 096-02-19</t>
  </si>
  <si>
    <t xml:space="preserve">info1@smartoriginal.ru, info@smartoriginal.ru  </t>
  </si>
  <si>
    <t>https://smartoriginal.ru/</t>
  </si>
  <si>
    <t>Клининговое оборудование и инвентарь, Магазин хозтоваров и бытовой химии</t>
  </si>
  <si>
    <t>вт-чт 12:00–18:00</t>
  </si>
  <si>
    <t>https://vk.com/smartoriginalru</t>
  </si>
  <si>
    <t>https://www.facebook.com/smartoriginal.ru</t>
  </si>
  <si>
    <t>47.8821 56.640743</t>
  </si>
  <si>
    <t>Септик Йошкар-Ола</t>
  </si>
  <si>
    <t xml:space="preserve">info@mos-septik.ru, info@mos-septik16.ru </t>
  </si>
  <si>
    <t>http://септик-канализация-йошкар-ола.рф/</t>
  </si>
  <si>
    <t>Водостоки и водосточные системы, Монтаж и обслуживание систем водоснабжения и канализации, Системы водоснабжения, отопления, канализации</t>
  </si>
  <si>
    <t>47.824706 56.639447</t>
  </si>
  <si>
    <t>47.885839 56.627806</t>
  </si>
  <si>
    <t>В пиве</t>
  </si>
  <si>
    <t>пн-чт 12:00–23:00; пт,сб 11:00–00:00; вс 11:00–23:00</t>
  </si>
  <si>
    <t>47.864027 56.650999</t>
  </si>
  <si>
    <t>+7 (967) 758-32-31</t>
  </si>
  <si>
    <t>Магазин посуды, Магазин хозтоваров и бытовой химии, Магазин электротоваров, Электротехническая продукция</t>
  </si>
  <si>
    <t>47.921142 56.640536</t>
  </si>
  <si>
    <t>Умники и умницы</t>
  </si>
  <si>
    <t>+7 (937) 935-58-07</t>
  </si>
  <si>
    <t>Логопеды, Услуги репетиторов, Центр развития ребенка</t>
  </si>
  <si>
    <t>47.889679 56.642744</t>
  </si>
  <si>
    <t>Дубовая роща</t>
  </si>
  <si>
    <t xml:space="preserve">matour@yandex.ru, koni@matour.ru </t>
  </si>
  <si>
    <t>47.93419 56.650037</t>
  </si>
  <si>
    <t>Наш Экспресс</t>
  </si>
  <si>
    <t>+7 (8362) 46-80-88</t>
  </si>
  <si>
    <t>Like центр</t>
  </si>
  <si>
    <t>Бизнес-консалтинг, Бизнес-центр, Курсы и мастер-классы</t>
  </si>
  <si>
    <t>Тут дешевле</t>
  </si>
  <si>
    <t>+7 (937) 118-59-10</t>
  </si>
  <si>
    <t>8 (800) 250-44-34</t>
  </si>
  <si>
    <t xml:space="preserve">554049@inbox.ru </t>
  </si>
  <si>
    <t>http://www.dpd.ru/</t>
  </si>
  <si>
    <t>Автомобильные грузоперевозки, Грузовые авиаперевозки, Курьерские услуги</t>
  </si>
  <si>
    <t>https://vk.com/dpdru</t>
  </si>
  <si>
    <t>https://www.facebook.com/dpd.ru</t>
  </si>
  <si>
    <t>47.876337 56.620468</t>
  </si>
  <si>
    <t>Ваш уют</t>
  </si>
  <si>
    <t>+7 (987) 717-66-84, +7 (927) 889-18-26</t>
  </si>
  <si>
    <t xml:space="preserve">mebel_29@mail.ru  </t>
  </si>
  <si>
    <t>http://vu21.ru/</t>
  </si>
  <si>
    <t>Магазин мебели, Мебель для кухни, Мебель для офиса, Мебель на заказ</t>
  </si>
  <si>
    <t>47.936898 56.645559</t>
  </si>
  <si>
    <t>ул. Соловьёва, 18, корп. 1, Йошкар-Ола</t>
  </si>
  <si>
    <t>Россия, Республика Марий Эл, Йошкар-Ола, парк культуры и отдыха имени 400-летия Йошкар-Олы</t>
  </si>
  <si>
    <t>47.916786 56.622346</t>
  </si>
  <si>
    <t>RoboMAKER</t>
  </si>
  <si>
    <t>+7 (8362) 54-70-90</t>
  </si>
  <si>
    <t>+7 (964) 864-70-90</t>
  </si>
  <si>
    <t>пн-пт 09:00–18:00; сб 09:30–17:00</t>
  </si>
  <si>
    <t>+7 (917) 707-52-00</t>
  </si>
  <si>
    <t>пн-сб 10:00–18:00, перерыв 14:00–15:00</t>
  </si>
  <si>
    <t>Центр бухгалтерских услуг</t>
  </si>
  <si>
    <t>+7 (8362) 99-19-10</t>
  </si>
  <si>
    <t>47.914779 56.636057</t>
  </si>
  <si>
    <t>Пит-стоп</t>
  </si>
  <si>
    <t>47.936691 56.645545</t>
  </si>
  <si>
    <t>Единый центр недвижимости</t>
  </si>
  <si>
    <t>47.912548 56.635489</t>
  </si>
  <si>
    <t>47.937613 56.623679</t>
  </si>
  <si>
    <t>Россия, Республика Марий Эл, Йошкар-Ола, улица Орая</t>
  </si>
  <si>
    <t>47.899794 56.653165</t>
  </si>
  <si>
    <t>Горячий хлеб</t>
  </si>
  <si>
    <t>+7 (927) 680-65-00</t>
  </si>
  <si>
    <t>Россия, Республика Марий Эл, Йошкар-Ола, 4-й микрорайон</t>
  </si>
  <si>
    <t>47.85626 56.651271</t>
  </si>
  <si>
    <t>Аксиния</t>
  </si>
  <si>
    <t>Джина</t>
  </si>
  <si>
    <t>47.897281 56.6285</t>
  </si>
  <si>
    <t>Россия, Республика Марий Эл, Медведевский район, посёлок городского типа Медведево, улица Некрасова</t>
  </si>
  <si>
    <t>47.820373 56.633442</t>
  </si>
  <si>
    <t xml:space="preserve">dbkondratiev@gmail.com  </t>
  </si>
  <si>
    <t>Автоаксессуары, Автоакустика, Автосервис, автотехцентр</t>
  </si>
  <si>
    <t>https://vk.com/loud_bunker</t>
  </si>
  <si>
    <t>https://www.instagram.com/loudbunker12</t>
  </si>
  <si>
    <t>47.945338 56.646603</t>
  </si>
  <si>
    <t>Парадигма</t>
  </si>
  <si>
    <t>+7 (8362) 76-03-12</t>
  </si>
  <si>
    <t>http://риэлтор12.рф/</t>
  </si>
  <si>
    <t>https://vk.com/paradigma12</t>
  </si>
  <si>
    <t>https://ok.ru/alex.donskoy</t>
  </si>
  <si>
    <t>https://www.facebook.com/Al.Donskoy</t>
  </si>
  <si>
    <t>https://www.instagram.com/paradigma_12/</t>
  </si>
  <si>
    <t>47.888114 56.635074</t>
  </si>
  <si>
    <t>+7 (8362) 97-15-87</t>
  </si>
  <si>
    <t>+7 (902) 739-05-22</t>
  </si>
  <si>
    <t>Малаховское пенное</t>
  </si>
  <si>
    <t>47.878713 56.639101</t>
  </si>
  <si>
    <t>Цветы плюс</t>
  </si>
  <si>
    <t>+7 (8362) 45-85-43, +7 (8362) 45-85-38</t>
  </si>
  <si>
    <t>47.880131 56.61728</t>
  </si>
  <si>
    <t>HorDog.ru</t>
  </si>
  <si>
    <t>+7 (987) 703-00-44</t>
  </si>
  <si>
    <t>Зоомагазин, Интернет-магазин</t>
  </si>
  <si>
    <t>https://vk.com/hordog</t>
  </si>
  <si>
    <t>https://www.instagram.com/hordog.ru</t>
  </si>
  <si>
    <t>47.890906 56.62068</t>
  </si>
  <si>
    <t>https://plomba12.ru/</t>
  </si>
  <si>
    <t>https://www.facebook.com/%D0%9E%D0%9E%D0%9E-%D0%9C%D0%B5%D1%82%D0%B0%D0%BB%D0%BB%D0%98%D0%BD%D1%81%D1%82-109990984165263</t>
  </si>
  <si>
    <t>47.9291 56.627962</t>
  </si>
  <si>
    <t>Рандеву</t>
  </si>
  <si>
    <t>+7 (937) 939-04-39, +7 (902) 671-89-09, +7 (937) 939-37-35</t>
  </si>
  <si>
    <t xml:space="preserve">randevu1212@yandex.ru, 79278469005@yandex.ru </t>
  </si>
  <si>
    <t>http://randevu12.ru/</t>
  </si>
  <si>
    <t>Клуб досуга, Салон эротического массажа, СПА-салон</t>
  </si>
  <si>
    <t>+7 (8362) 33-04-77, +7 (8362) 52-03-18</t>
  </si>
  <si>
    <t>+7 (987) 726-14-54</t>
  </si>
  <si>
    <t xml:space="preserve">imperiaprazdnika@yandex.ru  </t>
  </si>
  <si>
    <t>Территория красоты</t>
  </si>
  <si>
    <t>+7 (917) 708-52-28</t>
  </si>
  <si>
    <t>https://www.facebook.com/territoryofstyle/</t>
  </si>
  <si>
    <t>https://www.instagram.com/territoryofstyle/</t>
  </si>
  <si>
    <t>Блеск-авто</t>
  </si>
  <si>
    <t>+7 (8362) 62-64-62</t>
  </si>
  <si>
    <t>+7 (902) 439-61-84</t>
  </si>
  <si>
    <t>https://vk.com/bleskavto12</t>
  </si>
  <si>
    <t>47.881231 56.652389</t>
  </si>
  <si>
    <t>47.88513 56.630663</t>
  </si>
  <si>
    <t>Радио Рекорд Марий Эл 104, 1 FM</t>
  </si>
  <si>
    <t>+7 (8362) 48-38-00</t>
  </si>
  <si>
    <t>47.891762 56.621435</t>
  </si>
  <si>
    <t>Ирен</t>
  </si>
  <si>
    <t>47.87142 56.642745</t>
  </si>
  <si>
    <t>Like</t>
  </si>
  <si>
    <t>+7 (987) 733-74-44</t>
  </si>
  <si>
    <t>https://vk.com/like_football_yo</t>
  </si>
  <si>
    <t>47.917718 56.634372</t>
  </si>
  <si>
    <t>+7 (8362) 45-05-90</t>
  </si>
  <si>
    <t>47.887496 56.643016</t>
  </si>
  <si>
    <t>Белая птица</t>
  </si>
  <si>
    <t>+7 (8362) 38-22-22, +7 (8362) 38-22-17, +7 (8362) 38-22-14</t>
  </si>
  <si>
    <t>47.912996 56.636133</t>
  </si>
  <si>
    <t>ГБУ Рэм РКБ, бактериологическая лаборатория</t>
  </si>
  <si>
    <t>+7 (8362) 42-66-57</t>
  </si>
  <si>
    <t>пн-пт 07:30–17:00, перерыв 12:00–12:30</t>
  </si>
  <si>
    <t>Радиостанция Пульс-Радио 103, 8 FM</t>
  </si>
  <si>
    <t>+7 (8362) 42-28-28, +7 (8362) 63-00-88, +7 (8362) 42-69-26</t>
  </si>
  <si>
    <t xml:space="preserve">reklama@sarafan12.ru, fm@puls-radio.ru  </t>
  </si>
  <si>
    <t>http://www.puls-radio.ru/</t>
  </si>
  <si>
    <t>Радиокомпания, Редакция СМИ, Рекламное агентство</t>
  </si>
  <si>
    <t>http://vk.com/club21699335</t>
  </si>
  <si>
    <t>https://ok.ru/group/57689674088632</t>
  </si>
  <si>
    <t>https://www.instagram.com/pulsradio_yo</t>
  </si>
  <si>
    <t>47.880701 56.63803</t>
  </si>
  <si>
    <t>+7 (967) 470-45-46</t>
  </si>
  <si>
    <t>Доп12</t>
  </si>
  <si>
    <t>+7 (987) 702-71-69</t>
  </si>
  <si>
    <t>пн-пт 08:30–17:30; сб 09:00–13:00</t>
  </si>
  <si>
    <t>Альфа+</t>
  </si>
  <si>
    <t>+7 (8362) 76-66-00</t>
  </si>
  <si>
    <t xml:space="preserve">info@alfa12.ru  </t>
  </si>
  <si>
    <t>http://www.oknaalfa12.ru/</t>
  </si>
  <si>
    <t>47.832327 56.639705</t>
  </si>
  <si>
    <t>+7 (8362) 46-96-79</t>
  </si>
  <si>
    <t>47.8989 56.651</t>
  </si>
  <si>
    <t>Правовед. 12 юрист</t>
  </si>
  <si>
    <t>+7 (902) 437-24-25</t>
  </si>
  <si>
    <t>Mixtura</t>
  </si>
  <si>
    <t>47.883554 56.63217</t>
  </si>
  <si>
    <t>47.839959 56.63358</t>
  </si>
  <si>
    <t>Премиум-Авто</t>
  </si>
  <si>
    <t>+7 (937) 118-80-01</t>
  </si>
  <si>
    <t>https://www.instagram.com/premiumauto_12/</t>
  </si>
  <si>
    <t>47.885442 56.610114</t>
  </si>
  <si>
    <t>Fenomen True Cost</t>
  </si>
  <si>
    <t>+7 (8362) 67-00-77</t>
  </si>
  <si>
    <t>Бар, паб, Кальян-бар, Кафе</t>
  </si>
  <si>
    <t>пн-чт 15:00–02:00; пт,сб 15:00–03:00; вс 15:00–02:00</t>
  </si>
  <si>
    <t>https://www.instagram.com/fenomen_true_cost</t>
  </si>
  <si>
    <t>47.883464 56.640541</t>
  </si>
  <si>
    <t>47.929778 56.63962</t>
  </si>
  <si>
    <t>Промсвязьбанк</t>
  </si>
  <si>
    <t>ул. Льва Толстого, 51, Йошкар-Ола</t>
  </si>
  <si>
    <t>8 (800) 333-03-03</t>
  </si>
  <si>
    <t xml:space="preserve">info@psbank.ru, broker@psbank.ru  </t>
  </si>
  <si>
    <t>https://www.psbank.ru/</t>
  </si>
  <si>
    <t>https://vk.com/psbank_ru</t>
  </si>
  <si>
    <t>https://ok.ru/psbank</t>
  </si>
  <si>
    <t>http://www.facebook.com/psbank</t>
  </si>
  <si>
    <t>https://www.instagram.com/psbank_ru/</t>
  </si>
  <si>
    <t>47.894741 56.647427</t>
  </si>
  <si>
    <t>Торговый центр Ремзаводский</t>
  </si>
  <si>
    <t>47.946908 56.637402</t>
  </si>
  <si>
    <t>Россия, Республика Марий Эл, Йошкар-Ола, улица Большое Чигашево</t>
  </si>
  <si>
    <t>47.858885 56.608211</t>
  </si>
  <si>
    <t>Мир</t>
  </si>
  <si>
    <t>+7 (8362) 41-55-55, +7 (8362) 41-88-88</t>
  </si>
  <si>
    <t>http://идеалкровля.рф/</t>
  </si>
  <si>
    <t>Кровля и кровельные материалы, Фасады и фасадные системы</t>
  </si>
  <si>
    <t>https://vk.com/krovlya_12</t>
  </si>
  <si>
    <t>47.898324 56.629595</t>
  </si>
  <si>
    <t>Ростелеком</t>
  </si>
  <si>
    <t>47.89577 56.633001</t>
  </si>
  <si>
    <t>Рыбалочка</t>
  </si>
  <si>
    <t>47.929117 56.628053</t>
  </si>
  <si>
    <t>ЭПЛ Якутские бриллианты</t>
  </si>
  <si>
    <t>8 (800) 333-67-37</t>
  </si>
  <si>
    <t xml:space="preserve">zk@epldiamond.ru, help@epldiamond.com  </t>
  </si>
  <si>
    <t>https://epldiamond.ru/, http://epldiamond.com/, https://epldiamond.ru/company/stores/yoshkar-ola-trts-elka-ip-markina-m-v-/</t>
  </si>
  <si>
    <t>Ювелирная мастерская, Ювелирные камни, Ювелирный магазин</t>
  </si>
  <si>
    <t>https://vk.com/epl_diamond</t>
  </si>
  <si>
    <t>https://www.ok.ru/epldiamonds</t>
  </si>
  <si>
    <t>https://twitter.com/epldiamond</t>
  </si>
  <si>
    <t>https://www.facebook.com/epldiamond</t>
  </si>
  <si>
    <t>https://www.youtube.com/channel/UCZXu-PqAozURY_B6On7zZ1g</t>
  </si>
  <si>
    <t>https://www.instagram.com/epl_diamond/</t>
  </si>
  <si>
    <t>Стадион Искож</t>
  </si>
  <si>
    <t>Спортивный комплекс</t>
  </si>
  <si>
    <t>Водолей</t>
  </si>
  <si>
    <t>ул. 70-летия Вооружённых Сил СССР, 7, Йошкар-Ола</t>
  </si>
  <si>
    <t>47.894703 56.620647</t>
  </si>
  <si>
    <t>Ремонт техники</t>
  </si>
  <si>
    <t>Компьютерный магазин, Компьютерный ремонт и услуги</t>
  </si>
  <si>
    <t>47.921532 56.64029</t>
  </si>
  <si>
    <t>АгроРост</t>
  </si>
  <si>
    <t>Красноармейская ул., 122А, Йошкар-Ола</t>
  </si>
  <si>
    <t>+7 (919) 412-66-90</t>
  </si>
  <si>
    <t>http://exterminating.pulscen.ru/</t>
  </si>
  <si>
    <t>Дезинфекция, дезинсекция, дератизация, Оптовая компания, Средства защиты растений</t>
  </si>
  <si>
    <t>47.849806 56.643475</t>
  </si>
  <si>
    <t>Торговый центр Кировский</t>
  </si>
  <si>
    <t>47.928397 56.631201</t>
  </si>
  <si>
    <t>Гидравлическое оборудование</t>
  </si>
  <si>
    <t>+7 (902) 329-50-72</t>
  </si>
  <si>
    <t>Гидравлическое и пневматическое оборудование, Производственное предприятие, Резиновые и резинотехнические изделия</t>
  </si>
  <si>
    <t>ИП Ушаков А. В</t>
  </si>
  <si>
    <t>ул. Свердлова, 38Б, Йошкар-Ола</t>
  </si>
  <si>
    <t>47.870557 56.641995</t>
  </si>
  <si>
    <t>Котофеич</t>
  </si>
  <si>
    <t>+7 (917) 710-45-88</t>
  </si>
  <si>
    <t>47.832664 56.636645</t>
  </si>
  <si>
    <t>47.8515 56.64279</t>
  </si>
  <si>
    <t>Picolinos</t>
  </si>
  <si>
    <t>47.897059 56.640621</t>
  </si>
  <si>
    <t>ЭкспертБюро</t>
  </si>
  <si>
    <t>+7 (8362) 90-20-20</t>
  </si>
  <si>
    <t>Reforma</t>
  </si>
  <si>
    <t>47.828229 56.639276</t>
  </si>
  <si>
    <t>Скарлет</t>
  </si>
  <si>
    <t>47.833161 56.636813</t>
  </si>
  <si>
    <t>Россия, Республика Марий Эл, Йошкар-Ола, улица Конакова</t>
  </si>
  <si>
    <t>47.895078 56.64827</t>
  </si>
  <si>
    <t>47.843665 56.630859</t>
  </si>
  <si>
    <t>47.932345 56.634217</t>
  </si>
  <si>
    <t>+7 (902) 664-24-24</t>
  </si>
  <si>
    <t>Автомойка, Кафе</t>
  </si>
  <si>
    <t>Сон-Маркет</t>
  </si>
  <si>
    <t>+7 (8362) 20-10-00</t>
  </si>
  <si>
    <t>+7 (902) 103-41-00</t>
  </si>
  <si>
    <t>Матрасы, Ортопедический салон</t>
  </si>
  <si>
    <t>47.839671 56.627</t>
  </si>
  <si>
    <t>Армадион</t>
  </si>
  <si>
    <t>+7 (8362) 64-24-88</t>
  </si>
  <si>
    <t xml:space="preserve">armadionzakaz@gmail.com  </t>
  </si>
  <si>
    <t>http://armadion.ru/</t>
  </si>
  <si>
    <t>Двери, Металлоконструкции, Металлообработка</t>
  </si>
  <si>
    <t>47.928092 56.627655</t>
  </si>
  <si>
    <t>101 Птенец</t>
  </si>
  <si>
    <t>+7 (917) 713-76-56, +7 (927) 680-59-66</t>
  </si>
  <si>
    <t>Детский сад, Клуб для детей и подростков</t>
  </si>
  <si>
    <t>47.939339 56.633086</t>
  </si>
  <si>
    <t>Хумай</t>
  </si>
  <si>
    <t>+7 (8362) 30-67-91</t>
  </si>
  <si>
    <t>вт-пт 08:00–20:00; сб 10:00–16:00</t>
  </si>
  <si>
    <t>47.890134 56.63974</t>
  </si>
  <si>
    <t>47.904468 56.626074</t>
  </si>
  <si>
    <t>Отель 2020</t>
  </si>
  <si>
    <t>8 (800) 770-08-75, +7 (8362) 39-20-20</t>
  </si>
  <si>
    <t>+7 (927) 870-20-20</t>
  </si>
  <si>
    <t xml:space="preserve">2020hotel@bk.ru  </t>
  </si>
  <si>
    <t>http://hotel-2020.ru/</t>
  </si>
  <si>
    <t>https://vk.com/club198578964</t>
  </si>
  <si>
    <t>https://www.instagram.com/hotel2020yo?igshid=16ebqyp5etjfm</t>
  </si>
  <si>
    <t>47.86308 56.63778</t>
  </si>
  <si>
    <t>Ваши Деньги</t>
  </si>
  <si>
    <t>47.877761 56.632803</t>
  </si>
  <si>
    <t>47.921765 56.64022</t>
  </si>
  <si>
    <t>47.862451 56.651889</t>
  </si>
  <si>
    <t>Mackler</t>
  </si>
  <si>
    <t>ул. Рябинина, 38/1, Йошкар-Ола</t>
  </si>
  <si>
    <t>47.868956 56.635048</t>
  </si>
  <si>
    <t>47.876721 56.630101</t>
  </si>
  <si>
    <t>Магазин автозапчастей</t>
  </si>
  <si>
    <t>+7 (8362) 33-48-81</t>
  </si>
  <si>
    <t>пн-пт 10:00–18:00; сб 10:00–14:30</t>
  </si>
  <si>
    <t>+7 (8362) 98-72-27</t>
  </si>
  <si>
    <t>Финансовый консалтинг</t>
  </si>
  <si>
    <t>Ленинский просп., 18В, Йошкар-Ола</t>
  </si>
  <si>
    <t>47.91127 56.626943</t>
  </si>
  <si>
    <t>Габдрафикова Р. Н., ИП</t>
  </si>
  <si>
    <t>Сернурский тракт, 17, Йошкар-Ола</t>
  </si>
  <si>
    <t>47.936134 56.645282</t>
  </si>
  <si>
    <t>47.868569 56.647929</t>
  </si>
  <si>
    <t>Косметология, Салон бровей и ресниц</t>
  </si>
  <si>
    <t>47.884181 56.641398</t>
  </si>
  <si>
    <t>Домовенок</t>
  </si>
  <si>
    <t>ул. Прохорова, 50А, Йошкар-Ола</t>
  </si>
  <si>
    <t>47.821659 56.630516</t>
  </si>
  <si>
    <t>Апартаменты Lux на Набережной</t>
  </si>
  <si>
    <t>47.91776 56.64107</t>
  </si>
  <si>
    <t>Залоги</t>
  </si>
  <si>
    <t>Кассы</t>
  </si>
  <si>
    <t>47.88029 56.621909</t>
  </si>
  <si>
    <t>Happy Studio</t>
  </si>
  <si>
    <t>+7 (963) 126-09-66</t>
  </si>
  <si>
    <t>https://vk.com/happy_studio_yo</t>
  </si>
  <si>
    <t>https://www.instagram.com/happy_studio_yo/</t>
  </si>
  <si>
    <t>Первомайская ул., 177/1, Йошкар-Ола</t>
  </si>
  <si>
    <t>47.880789 56.629075</t>
  </si>
  <si>
    <t>Сервис центр Электроник</t>
  </si>
  <si>
    <t>+7 (902) 102-31-09</t>
  </si>
  <si>
    <t>https://vk.com/12electronic</t>
  </si>
  <si>
    <t>Веселый Носочник</t>
  </si>
  <si>
    <t>https://vk.com/club107849321</t>
  </si>
  <si>
    <t>Орбита</t>
  </si>
  <si>
    <t>47.890666 56.637317</t>
  </si>
  <si>
    <t>Учебный центр 12</t>
  </si>
  <si>
    <t>+7 (909) 369-41-17</t>
  </si>
  <si>
    <t xml:space="preserve">ucheb.centr.12@mail.ru </t>
  </si>
  <si>
    <t>https://учебный-центр-12.рф/</t>
  </si>
  <si>
    <t>https://vk.com/uchebcentr12</t>
  </si>
  <si>
    <t>https://ok.ru/group/53275479965843</t>
  </si>
  <si>
    <t>https://twitter.com/uchebcentr12</t>
  </si>
  <si>
    <t>https://www.facebook.com/uchebcentr12</t>
  </si>
  <si>
    <t>47.887598 56.62958</t>
  </si>
  <si>
    <t>Яблоко</t>
  </si>
  <si>
    <t>РЕСО-Гарантия, СПАО</t>
  </si>
  <si>
    <t xml:space="preserve">mail@reso.ru  </t>
  </si>
  <si>
    <t>http://reso.ru/</t>
  </si>
  <si>
    <t>https://facebook.com/reso.ru</t>
  </si>
  <si>
    <t>Хобби и творчество</t>
  </si>
  <si>
    <t xml:space="preserve">hobby-art@bk.ru  </t>
  </si>
  <si>
    <t>http://хобби-творчество.рф/</t>
  </si>
  <si>
    <t>https://vk.com/hobby_tvorchestvo</t>
  </si>
  <si>
    <t>https://instagram.com/hobby_tvorchestvo</t>
  </si>
  <si>
    <t>47.892821 56.638184</t>
  </si>
  <si>
    <t>+7 (8362) 32-96-65</t>
  </si>
  <si>
    <t>47.828314 56.633835</t>
  </si>
  <si>
    <t>Чайная Тонус</t>
  </si>
  <si>
    <t>Кафе, Магазин чая и кофе</t>
  </si>
  <si>
    <t>47.832604 56.639568</t>
  </si>
  <si>
    <t>47.935266 56.637748</t>
  </si>
  <si>
    <t>Дом по ул. Димитрова</t>
  </si>
  <si>
    <t>+7 (8362) 43-40-30</t>
  </si>
  <si>
    <t xml:space="preserve">gorizonty2014@mail.ru  </t>
  </si>
  <si>
    <t>http://ksb-dom.ru/projects/gYoshkarOlaulDimitrovaseverneedoma73/</t>
  </si>
  <si>
    <t>пн-чт 09:00–18:00, перерыв 12:00–13:00; пт 09:00–17:00, перерыв 12:00–13:00</t>
  </si>
  <si>
    <t>47.854614 56.645889</t>
  </si>
  <si>
    <t>Бочонок</t>
  </si>
  <si>
    <t>47.845454 56.643788</t>
  </si>
  <si>
    <t>Ивашка</t>
  </si>
  <si>
    <t>+7 (8362) 55-06-46</t>
  </si>
  <si>
    <t>47.889556 56.642753</t>
  </si>
  <si>
    <t>Магазин мяса, колбас, Яйцо и мясо птицы</t>
  </si>
  <si>
    <t>47.907157 56.629487</t>
  </si>
  <si>
    <t>ГК Техник</t>
  </si>
  <si>
    <t>+7 (8362) 73-47-61</t>
  </si>
  <si>
    <t>47.854733 56.618993</t>
  </si>
  <si>
    <t>Россия, Республика Марий Эл, Йошкар-Ола, микрорайон Центральный</t>
  </si>
  <si>
    <t>47.91364 56.636277</t>
  </si>
  <si>
    <t>Лаборатория красоты The Beauty Lab</t>
  </si>
  <si>
    <t>+7 (8362) 32-00-00</t>
  </si>
  <si>
    <t>+7 (937) 930-33-87</t>
  </si>
  <si>
    <t xml:space="preserve">info@thebeautylab.ru, thebeautylab12@gmail.com  </t>
  </si>
  <si>
    <t>http://thebeautylab.ru/, https://beauty.dikidi.net/record/222189</t>
  </si>
  <si>
    <t>https://www.instagram.com/thebeautylab12/</t>
  </si>
  <si>
    <t>47.918302 56.640896</t>
  </si>
  <si>
    <t>Газпром межрегионгаз Йошкар-Ола</t>
  </si>
  <si>
    <t>+7 (8362) 41-29-14, +7 (8362) 63-03-96, +7 (8362) 68-85-08</t>
  </si>
  <si>
    <t xml:space="preserve">info@gazmsk.ru, f0509114@gazmsk.ru, f0509211@gazmsk.ru, f0509318@gazmsk.ru, f0509412@gazmsk.ru  </t>
  </si>
  <si>
    <t>http://mrg12.ru/, http://mrg.gazprom.ru/</t>
  </si>
  <si>
    <t>Нефтегазовая компания, Служба газового хозяйства</t>
  </si>
  <si>
    <t>https://www.facebook.com/mrgyo12</t>
  </si>
  <si>
    <t>47.9038 56.6163</t>
  </si>
  <si>
    <t>просп. Гагарина, 20, Йошкар-Ола</t>
  </si>
  <si>
    <t>+7 (8362) 42-48-12, +7 (8362) 63-77-78</t>
  </si>
  <si>
    <t>47.883348 56.62498</t>
  </si>
  <si>
    <t>Радуга вкуса</t>
  </si>
  <si>
    <t>пн-чт 10:00–22:00; пт,сб 10:00–22:55; вс 10:00–22:00</t>
  </si>
  <si>
    <t>47.847512 56.641305</t>
  </si>
  <si>
    <t>Разливные напитки</t>
  </si>
  <si>
    <t>47.836536 56.644877</t>
  </si>
  <si>
    <t>Газовые Сети</t>
  </si>
  <si>
    <t>+7 (8362) 45-51-90, +7 (8362) 45-71-29</t>
  </si>
  <si>
    <t>Управление недвижимостью</t>
  </si>
  <si>
    <t>Лоск</t>
  </si>
  <si>
    <t>+7 (8362) 64-81-52, +7 (8362) 64-80-85</t>
  </si>
  <si>
    <t>Алкополис 24</t>
  </si>
  <si>
    <t>+7 (499) 343-52-75</t>
  </si>
  <si>
    <t>+7 (961) 375-75-11</t>
  </si>
  <si>
    <t>http://alkopolis24.ru/</t>
  </si>
  <si>
    <t>Бар, паб, Доставка еды и обедов</t>
  </si>
  <si>
    <t>https://instagram.com/alkopolis12?igshid=1sqa9up1ssask</t>
  </si>
  <si>
    <t>47.869259 56.64621</t>
  </si>
  <si>
    <t>Пончик</t>
  </si>
  <si>
    <t>ул. Строителей, 48, Йошкар-Ола</t>
  </si>
  <si>
    <t>+7 (8362) 63-77-96</t>
  </si>
  <si>
    <t>47.837653 56.634283</t>
  </si>
  <si>
    <t>+7 (902) 436-06-45</t>
  </si>
  <si>
    <t>https://vk.com/opticaprestig</t>
  </si>
  <si>
    <t>Кроссовки</t>
  </si>
  <si>
    <t>47.916781 56.631345</t>
  </si>
  <si>
    <t>Relax Dance Bar</t>
  </si>
  <si>
    <t>http://vk.com/relax.dance</t>
  </si>
  <si>
    <t>47.885643 56.640606</t>
  </si>
  <si>
    <t>Smart Vision Studio</t>
  </si>
  <si>
    <t>+7 (902) 430-74-70, +7 (927) 882-18-86</t>
  </si>
  <si>
    <t>http://www.smartvsn.com/</t>
  </si>
  <si>
    <t>https://vk.com/smartvsn</t>
  </si>
  <si>
    <t>Милый шкаф</t>
  </si>
  <si>
    <t>+7 (937) 939-05-77, +7 (902) 737-05-77, +7 (902) 439-87-55</t>
  </si>
  <si>
    <t>47.916449 56.641213</t>
  </si>
  <si>
    <t>Тёплые ладошки</t>
  </si>
  <si>
    <t>+7 (917) 715-68-80</t>
  </si>
  <si>
    <t xml:space="preserve">teplie.ladochki@yandex.ru, teplie_ladochki@yandex.ru  </t>
  </si>
  <si>
    <t>http://teplie-ladochki.ru/</t>
  </si>
  <si>
    <t>47.864775 56.650547</t>
  </si>
  <si>
    <t>Поволжский государственный технологический университет Кафедра информатики и системного программирования</t>
  </si>
  <si>
    <t>+7 (8362) 68-28-74</t>
  </si>
  <si>
    <t>Студия пара</t>
  </si>
  <si>
    <t>47.891826 56.612285</t>
  </si>
  <si>
    <t>Кондитерский отдел</t>
  </si>
  <si>
    <t>+7 (987) 711-47-23</t>
  </si>
  <si>
    <t>Palitra</t>
  </si>
  <si>
    <t>+7 (8362) 92-27-37</t>
  </si>
  <si>
    <t>+7 (987) 718-85-40</t>
  </si>
  <si>
    <t>47.90797 56.627211</t>
  </si>
  <si>
    <t>Русская компрессорная компания</t>
  </si>
  <si>
    <t>8 (800) 500-76-39</t>
  </si>
  <si>
    <t xml:space="preserve">info@ruscompr.com </t>
  </si>
  <si>
    <t>http://joshkar-ola.ruscompr.com/</t>
  </si>
  <si>
    <t>Гидравлика и пневматика</t>
  </si>
  <si>
    <t>Компрессоры и компрессорное оборудование</t>
  </si>
  <si>
    <t>Белорусская косметика</t>
  </si>
  <si>
    <t>8 (800) 250-09-41</t>
  </si>
  <si>
    <t xml:space="preserve">kirova@bykosmetika.ru  </t>
  </si>
  <si>
    <t>https://yoshkar-ola.bykosmetika.ru/</t>
  </si>
  <si>
    <t>Магазин парфюмерии и косметики, Магазин хозтоваров и бытовой химии, Магазин чулок и колготок</t>
  </si>
  <si>
    <t>https://vk.com/bykosmetikaru</t>
  </si>
  <si>
    <t>https://www.instagram.com/bykosmetika.ru</t>
  </si>
  <si>
    <t>47.881238 56.632654</t>
  </si>
  <si>
    <t>+7 (8362) 42-58-66</t>
  </si>
  <si>
    <t>47.921918 56.630323</t>
  </si>
  <si>
    <t>Stillok</t>
  </si>
  <si>
    <t>+7 (996) 115-52-12</t>
  </si>
  <si>
    <t xml:space="preserve">info@stillok.ru  </t>
  </si>
  <si>
    <t>http://stillok.ru/</t>
  </si>
  <si>
    <t>https://vk.com/stillok12</t>
  </si>
  <si>
    <t>ул. Лебедева, 2, Йошкар-Ола</t>
  </si>
  <si>
    <t>+7 (8362) 64-29-55</t>
  </si>
  <si>
    <t>47.954288 56.620461</t>
  </si>
  <si>
    <t>Салават</t>
  </si>
  <si>
    <t>47.827992 56.633879</t>
  </si>
  <si>
    <t>пн-сб 08:00–20:00, перерыв 13:00–13:30; вс 08:00–19:30</t>
  </si>
  <si>
    <t>47.86346 56.649528</t>
  </si>
  <si>
    <t>Центр Праздничных Распродаж Улыбки</t>
  </si>
  <si>
    <t>+7 (8362) 38-80-06</t>
  </si>
  <si>
    <t>+7 (967) 757-10-06</t>
  </si>
  <si>
    <t>http://улыбки.рф/</t>
  </si>
  <si>
    <t>https://www.facebook.com/Ulybki</t>
  </si>
  <si>
    <t>https://www.instagram.com/ulybki_jola</t>
  </si>
  <si>
    <t>47.924032 56.625846</t>
  </si>
  <si>
    <t>47.918663 56.638465</t>
  </si>
  <si>
    <t>Трансформаторная подстанция № 325</t>
  </si>
  <si>
    <t>47.918749 56.629379</t>
  </si>
  <si>
    <t>Детский лофт</t>
  </si>
  <si>
    <t>+7 (8362) 55-06-20</t>
  </si>
  <si>
    <t>+7 (967) 755-06-20</t>
  </si>
  <si>
    <t>https://vk.com/detskiyloft_yo</t>
  </si>
  <si>
    <t>47.883267 56.63914</t>
  </si>
  <si>
    <t>47.946878 56.637476</t>
  </si>
  <si>
    <t>Спорт плюс</t>
  </si>
  <si>
    <t>Спортивная одежда и обувь, Спортивный инвентарь и оборудование</t>
  </si>
  <si>
    <t>47.843614 56.640862</t>
  </si>
  <si>
    <t>Энергобаланс</t>
  </si>
  <si>
    <t>+7 (927) 870-97-83</t>
  </si>
  <si>
    <t>Селери</t>
  </si>
  <si>
    <t>47.8273 56.63004</t>
  </si>
  <si>
    <t>Бетон Регион 12</t>
  </si>
  <si>
    <t>Россия, Республика Марий Эл, Йошкар-Ола, улица Артёма</t>
  </si>
  <si>
    <t>+7 (8362) 66-16-86</t>
  </si>
  <si>
    <t>+7 (987) 733-35-24, +7 (902) 738-77-78</t>
  </si>
  <si>
    <t xml:space="preserve">address@mail.ru </t>
  </si>
  <si>
    <t>http://betonregion12.ru/, http://www.betonregion.ru/</t>
  </si>
  <si>
    <t>https://vk.com/smmtelescope</t>
  </si>
  <si>
    <t>47.84734 56.663987</t>
  </si>
  <si>
    <t>Бюро путешествий</t>
  </si>
  <si>
    <t>+7 (902) 329-19-10, +7 (917) 717-35-79</t>
  </si>
  <si>
    <t>47.914842 56.636349</t>
  </si>
  <si>
    <t>Автостекла тонировка</t>
  </si>
  <si>
    <t>47.86044 56.638863</t>
  </si>
  <si>
    <t>ул. Строителей, 105А, Йошкар-Ола</t>
  </si>
  <si>
    <t>47.878173 56.610683</t>
  </si>
  <si>
    <t>47.906785 56.637422</t>
  </si>
  <si>
    <t>Адвокатский кабинет Тютюнова А. А.</t>
  </si>
  <si>
    <t>Краснофлотская ул., 28, Йошкар-Ола</t>
  </si>
  <si>
    <t>+7 (8362) 27-28-25</t>
  </si>
  <si>
    <t>+7 (902) 102-00-71</t>
  </si>
  <si>
    <t xml:space="preserve">zakaz@gruzchik12.ru </t>
  </si>
  <si>
    <t>Автомобильные грузоперевозки, Прием вторсырья, Сварочные работы, Строительные и отделочные работы, Услуги грузчиков</t>
  </si>
  <si>
    <t>47.844712 56.632902</t>
  </si>
  <si>
    <t>47.859545 56.654398</t>
  </si>
  <si>
    <t>+7 (8362) 39-09-95</t>
  </si>
  <si>
    <t>пн-пт 09:00–19:00; сб 10:00–17:00; вс 10:00–16:00</t>
  </si>
  <si>
    <t>47.835592 56.635787</t>
  </si>
  <si>
    <t>Ягодка</t>
  </si>
  <si>
    <t>+7 (967) 758-44-34</t>
  </si>
  <si>
    <t>https://vk.com/club154353789</t>
  </si>
  <si>
    <t>47.878946 56.639696</t>
  </si>
  <si>
    <t>Спортивная школа по борьбе дзюдо Чемпион</t>
  </si>
  <si>
    <t>+7 (906) 335-85-55</t>
  </si>
  <si>
    <t>Клуб для детей и подростков, Спортивная школа, Спортивный клуб, секция</t>
  </si>
  <si>
    <t>+7 (929) 734-48-49</t>
  </si>
  <si>
    <t>47.892423 56.645726</t>
  </si>
  <si>
    <t>ул. Мира, 66, Йошкар-Ола</t>
  </si>
  <si>
    <t>+7 (960) 096-14-31</t>
  </si>
  <si>
    <t>47.938236 56.636541</t>
  </si>
  <si>
    <t>Samsung, сервисный центр</t>
  </si>
  <si>
    <t>Компьютерный ремонт и услуги, Ремонт бытовой техники, Ремонт телефонов</t>
  </si>
  <si>
    <t>47.872355 56.651041</t>
  </si>
  <si>
    <t>Shell</t>
  </si>
  <si>
    <t>+7 (987) 728-45-40</t>
  </si>
  <si>
    <t xml:space="preserve">potrebitel-ru@shell.com  </t>
  </si>
  <si>
    <t>http://www.shell.com.ru/</t>
  </si>
  <si>
    <t>https://vk.com/shell</t>
  </si>
  <si>
    <t>http://twitter.com/Shell_Russia</t>
  </si>
  <si>
    <t>https://www.facebook.com/ShellRF</t>
  </si>
  <si>
    <t>https://www.youtube.com/user/Shell</t>
  </si>
  <si>
    <t>https://www.instagram.com/shell</t>
  </si>
  <si>
    <t>47.891462 56.623694</t>
  </si>
  <si>
    <t>47.885227 56.632193</t>
  </si>
  <si>
    <t>47.895631 56.634586</t>
  </si>
  <si>
    <t>Body shop</t>
  </si>
  <si>
    <t>Strogani</t>
  </si>
  <si>
    <t>+7 (987) 715-54-56</t>
  </si>
  <si>
    <t>http://strogani.ru/</t>
  </si>
  <si>
    <t>Деревообрабатывающее предприятие, Оптовая компания, Пиломатериалы</t>
  </si>
  <si>
    <t>47.886178 56.631595</t>
  </si>
  <si>
    <t>Средняя Общеобразовательная школа № 31 г. Йошкар-олы</t>
  </si>
  <si>
    <t>Музей истории г. Йошкар-Олы, фондохранилище</t>
  </si>
  <si>
    <t>+7 (8362) 42-36-32, +7 (8362) 42-43-84</t>
  </si>
  <si>
    <t>47.945585 56.624757</t>
  </si>
  <si>
    <t>47.87026 56.62341</t>
  </si>
  <si>
    <t>Фортуна К</t>
  </si>
  <si>
    <t>+7 (927) 882-82-05, +7 (937) 939-00-52</t>
  </si>
  <si>
    <t>Магазин обуви, Спецодежда, Товары для отдыха и туризма, Товары для охоты, Товары для рыбалки</t>
  </si>
  <si>
    <t>пн-пт 10:00–19:00; сб 10:00–16:00; вс 10:00–15:00</t>
  </si>
  <si>
    <t>47.949537 56.622583</t>
  </si>
  <si>
    <t>47.852505 56.632249</t>
  </si>
  <si>
    <t>47.824338 56.629907</t>
  </si>
  <si>
    <t>Магазин белья и купальников, Магазин чулок и колготок, Трикотаж, трикотажные изделия</t>
  </si>
  <si>
    <t>47.841491 56.63242</t>
  </si>
  <si>
    <t>Булочная, пекарня, Магазин кулинарии</t>
  </si>
  <si>
    <t>47.88676 56.64446</t>
  </si>
  <si>
    <t>Cyber Logovo 1.0</t>
  </si>
  <si>
    <t>+7 (8362) 31-03-03</t>
  </si>
  <si>
    <t>http://cyberlogovo.ru/</t>
  </si>
  <si>
    <t>Игровой клуб, Интернет-кафе, Киберспорт</t>
  </si>
  <si>
    <t>https://www.youtube.com/channel/UCwkPSBJFlLYIRTel71ljwDg?view_as=subscriber</t>
  </si>
  <si>
    <t>https://www.instagram.com/cyber_logovo</t>
  </si>
  <si>
    <t>47.920366 56.626539</t>
  </si>
  <si>
    <t>47.837859 56.63548</t>
  </si>
  <si>
    <t>Город мастеров</t>
  </si>
  <si>
    <t>47.873702 56.64718</t>
  </si>
  <si>
    <t>Glassshine</t>
  </si>
  <si>
    <t>+7 (8362) 32-13-10</t>
  </si>
  <si>
    <t xml:space="preserve">2495900@mail.ru  </t>
  </si>
  <si>
    <t>http://www.svetech.ru/</t>
  </si>
  <si>
    <t>Россия, Республика Марий Эл, Йошкар-Ола, улица Подольских Курсантов</t>
  </si>
  <si>
    <t>пн-пт 07:00–18:00; сб 08:00–15:00</t>
  </si>
  <si>
    <t>47.865792 56.650214</t>
  </si>
  <si>
    <t>просп. Гагарина, 30А, Йошкар-Ола</t>
  </si>
  <si>
    <t>Цемент</t>
  </si>
  <si>
    <t>47.876324 56.62441</t>
  </si>
  <si>
    <t>Милена</t>
  </si>
  <si>
    <t>47.849471 56.643448</t>
  </si>
  <si>
    <t>Panasonic</t>
  </si>
  <si>
    <t>ул. Ольги Тихомировой, 59А, Йошкар-Ола</t>
  </si>
  <si>
    <t>47.878361 56.647041</t>
  </si>
  <si>
    <t>47.880896 56.610291</t>
  </si>
  <si>
    <t>Волга ресурс</t>
  </si>
  <si>
    <t>47.840798 56.631669</t>
  </si>
  <si>
    <t>Регионторг</t>
  </si>
  <si>
    <t>+7 (937) 932-78-48</t>
  </si>
  <si>
    <t>Уралкерамика</t>
  </si>
  <si>
    <t xml:space="preserve">zki@uralceramica.ru  </t>
  </si>
  <si>
    <t>http://www.uralceramica.ru/</t>
  </si>
  <si>
    <t>Керамическая плитка, Магазин сантехники, Облицовочные материалы</t>
  </si>
  <si>
    <t>47.828411 56.633797</t>
  </si>
  <si>
    <t>47.854782 56.653948</t>
  </si>
  <si>
    <t>Вишня</t>
  </si>
  <si>
    <t>+7 (927) 882-22-67</t>
  </si>
  <si>
    <t>Визажисты, стилисты, Ногтевая студия</t>
  </si>
  <si>
    <t>Механика-Казань</t>
  </si>
  <si>
    <t>+7 (843) 265-45-44, +7 (843) 267-45-44</t>
  </si>
  <si>
    <t>http://kardan16.ru/</t>
  </si>
  <si>
    <t>Автосервис, автотехцентр, Магазин автозапчастей и автотоваров, Пункт техосмотра</t>
  </si>
  <si>
    <t>Любимая пекарня</t>
  </si>
  <si>
    <t>47.886809 56.644562</t>
  </si>
  <si>
    <t>+7 (8362) 96-97-07</t>
  </si>
  <si>
    <t>+7 (902) 436-97-07</t>
  </si>
  <si>
    <t>47.868341 56.637937</t>
  </si>
  <si>
    <t>47.832046 56.636898</t>
  </si>
  <si>
    <t>47.949109 56.627398</t>
  </si>
  <si>
    <t>Металлоремонт, Установка, ремонт и вскрытие замков</t>
  </si>
  <si>
    <t>47.84114 56.632735</t>
  </si>
  <si>
    <t>8 (800) 333-16-31</t>
  </si>
  <si>
    <t xml:space="preserve">oper08@pobeda-ul.ru </t>
  </si>
  <si>
    <t>http://магазинпобеда.рф/</t>
  </si>
  <si>
    <t>https://vk.com/magazinpobeda</t>
  </si>
  <si>
    <t>https://ok.ru/group/53874855968836</t>
  </si>
  <si>
    <t>https://www.facebook.com/magazinpobeda</t>
  </si>
  <si>
    <t>https://www.youtube.com/channel/UCV54csd0QgnPvZ5DwyRho9A</t>
  </si>
  <si>
    <t>https://www.instagram.com/discounter_pobeda/</t>
  </si>
  <si>
    <t>47.866923 56.61495</t>
  </si>
  <si>
    <t>Дежурный Аптекарь</t>
  </si>
  <si>
    <t>+7 (8362) 45-87-43</t>
  </si>
  <si>
    <t>47.898512 56.644881</t>
  </si>
  <si>
    <t>Служба Эвакуации Автомобилей</t>
  </si>
  <si>
    <t>Устюрт</t>
  </si>
  <si>
    <t>+7 (937) 939-61-39, +7 (905) 008-53-49</t>
  </si>
  <si>
    <t>пн 00:00–12:00, перерыв 12:00–13:00; вт-пт 13:00–12:00; сб 13:00–00:00</t>
  </si>
  <si>
    <t>Дары Глубин</t>
  </si>
  <si>
    <t>+7 (8362) 50-04-06</t>
  </si>
  <si>
    <t>Рыба и морепродукты оптом</t>
  </si>
  <si>
    <t>пн-пт 07:30–16:30; сб 07:30–13:00</t>
  </si>
  <si>
    <t>Miss Laminaria</t>
  </si>
  <si>
    <t>47.843537 56.64103</t>
  </si>
  <si>
    <t>Перевозка умерших - Груз 200</t>
  </si>
  <si>
    <t>ул. Сергея Тюленина, 3, Йошкар-Ола</t>
  </si>
  <si>
    <t>пн-пт 07:00–22:00; сб,вс круглосуточно</t>
  </si>
  <si>
    <t>47.944021 56.641065</t>
  </si>
  <si>
    <t>Терапевтическое отделение</t>
  </si>
  <si>
    <t>ул. Карла Либкнехта, 55, корп. 4, Йошкар-Ола</t>
  </si>
  <si>
    <t>47.955773 56.640185</t>
  </si>
  <si>
    <t>47.890559 56.644351</t>
  </si>
  <si>
    <t>ГБУ РМЭ Перинатальный центр. Акушерский корпус</t>
  </si>
  <si>
    <t>+7 (8362) 73-63-90</t>
  </si>
  <si>
    <t>Гинекологическая клиника</t>
  </si>
  <si>
    <t>http://vk.com/club34177283</t>
  </si>
  <si>
    <t>47.8786 56.6381</t>
  </si>
  <si>
    <t>КрепМастер12</t>
  </si>
  <si>
    <t>+7 (8362) 38-17-38</t>
  </si>
  <si>
    <t>47.855873 56.644624</t>
  </si>
  <si>
    <t>Добровольное Общество Содействия Армии, Авиации и Флоту России</t>
  </si>
  <si>
    <t>Растворо-бетонный комбинат</t>
  </si>
  <si>
    <t>http://rbk12.ru/</t>
  </si>
  <si>
    <t>Аренда строительной и спецтехники, Бетон, бетонные изделия, ЖБИ, Металлоизделия, Нерудные материалы</t>
  </si>
  <si>
    <t>47.898423 56.611265</t>
  </si>
  <si>
    <t>Федеральное казенное учреждение здравоохранения Медико-санитарная часть № 12 Федеральной службы исполнения наказаний</t>
  </si>
  <si>
    <t>+7 (8362) 68-65-40</t>
  </si>
  <si>
    <t>http://94str.polickliniki.ru/</t>
  </si>
  <si>
    <t>Buro</t>
  </si>
  <si>
    <t>+7 (8362) 77-88-77, +7 (8362) 37-87-83</t>
  </si>
  <si>
    <t>Рекламное агентство, Студия дизайна, Широкоформатная печать</t>
  </si>
  <si>
    <t>https://vk.com/buro_pr</t>
  </si>
  <si>
    <t>https://ok.ru/group/55472368910363</t>
  </si>
  <si>
    <t>http://instagram.com/buropr12/</t>
  </si>
  <si>
    <t>Ntyre</t>
  </si>
  <si>
    <t>+7 (8362) 32-45-45</t>
  </si>
  <si>
    <t>+7 (927) 871-35-45</t>
  </si>
  <si>
    <t xml:space="preserve">maxxis12@inbox.ru  </t>
  </si>
  <si>
    <t>http://www.ntyre12.ru/</t>
  </si>
  <si>
    <t>https://vk.com/ntyre12</t>
  </si>
  <si>
    <t>https://www.instagram.com/ntyre12/</t>
  </si>
  <si>
    <t>47.879287 56.61302</t>
  </si>
  <si>
    <t>ул. Анциферова, 6, Йошкар-Ола</t>
  </si>
  <si>
    <t>ежедневно, 07:00–23:30</t>
  </si>
  <si>
    <t>47.863445 56.650717</t>
  </si>
  <si>
    <t>https://www.gazprombank.ru/?utm_campaign=d:dkm|ag:gpbu0026utm_medium=mapsu0026utm_source=yandex</t>
  </si>
  <si>
    <t>47.882558 56.622241</t>
  </si>
  <si>
    <t>47.955265 56.618588</t>
  </si>
  <si>
    <t>Веб-Трактор</t>
  </si>
  <si>
    <t>+7 (962) 588-45-72</t>
  </si>
  <si>
    <t>http://webtractor.ru/</t>
  </si>
  <si>
    <t>пн-пт 10:00–18:00, перерыв 13:30–14:30</t>
  </si>
  <si>
    <t>http://vk.com/webtractor</t>
  </si>
  <si>
    <t>https://www.facebook.com/WebtractorAgency</t>
  </si>
  <si>
    <t>47.9146 56.6358</t>
  </si>
  <si>
    <t>Fashion модельная студия</t>
  </si>
  <si>
    <t>+7 (937) 931-22-63</t>
  </si>
  <si>
    <t xml:space="preserve">14370afcdc17429f9e418d5ffbd0334a@sentry.wixpress.com  </t>
  </si>
  <si>
    <t>https://fashionstudioyo.wixsite.com/fashion</t>
  </si>
  <si>
    <t>https://vk.com/fashionstudioyo</t>
  </si>
  <si>
    <t>https://www.facebook.com/fashionstudioyo</t>
  </si>
  <si>
    <t>https://www.instagram.com/fashionstudioyo</t>
  </si>
  <si>
    <t>АвтоОко</t>
  </si>
  <si>
    <t>+7 (8362) 32-40-10</t>
  </si>
  <si>
    <t xml:space="preserve">483817@mail.ru, alekseymirra@mail.ru  </t>
  </si>
  <si>
    <t>https://skzicard.ru/karta-voditelya-tahografa-v-marij-ehl-joshkar-ola/</t>
  </si>
  <si>
    <t>47.838595 56.633442</t>
  </si>
  <si>
    <t>ГБУ РМЭ поликлиника № 2 г. Йошкар-Ола, отделение функциональной диагностики</t>
  </si>
  <si>
    <t>+7 (8362) 45-75-31</t>
  </si>
  <si>
    <t>http://so56.polickliniki.ru/</t>
  </si>
  <si>
    <t>Автомагазин 888</t>
  </si>
  <si>
    <t>+7 (8362) 46-06-00</t>
  </si>
  <si>
    <t xml:space="preserve">t_63@mail.ru  </t>
  </si>
  <si>
    <t>https://puls-avto12.ru/</t>
  </si>
  <si>
    <t>Автоаксессуары, Магазин автозапчастей и автотоваров, Смазочные материалы</t>
  </si>
  <si>
    <t>47.90115 56.647316</t>
  </si>
  <si>
    <t>Техно Легион</t>
  </si>
  <si>
    <t>+7 (961) 333-75-57</t>
  </si>
  <si>
    <t>http://npp-tl.ru/</t>
  </si>
  <si>
    <t>Екатерина</t>
  </si>
  <si>
    <t>Ателье по пошиву одежды, Курсы и мастер-классы</t>
  </si>
  <si>
    <t>47.864441 56.646034</t>
  </si>
  <si>
    <t>DIVAN BOSS</t>
  </si>
  <si>
    <t>+7 (937) 118-59-29</t>
  </si>
  <si>
    <t>https://divanboss.ru/</t>
  </si>
  <si>
    <t>https://vk.com/divanboss</t>
  </si>
  <si>
    <t>https://www.instagram.com/divanboss.ru</t>
  </si>
  <si>
    <t>47.83341 56.641658</t>
  </si>
  <si>
    <t>47.890366 56.623121</t>
  </si>
  <si>
    <t>Национальная президентская общеобразовательная школа-интернат</t>
  </si>
  <si>
    <t>наб. Брюгге, 1, Йошкар-Ола</t>
  </si>
  <si>
    <t>+7 (8362) 64-18-64, +7 (8362) 64-16-61, +7 (8362) 45-12-82</t>
  </si>
  <si>
    <t xml:space="preserve">npshiskusstv@mail.ru  </t>
  </si>
  <si>
    <t>http://vk.com/npshi_1</t>
  </si>
  <si>
    <t>47.910653 56.636668</t>
  </si>
  <si>
    <t>Восход</t>
  </si>
  <si>
    <t>47.897165 56.61879</t>
  </si>
  <si>
    <t>Мебель. Er</t>
  </si>
  <si>
    <t>+7 (987) 712-61-10</t>
  </si>
  <si>
    <t>47.926051 56.634381</t>
  </si>
  <si>
    <t>Портал художественного образования</t>
  </si>
  <si>
    <t>Общежитие № 2</t>
  </si>
  <si>
    <t>47.879569 56.651059</t>
  </si>
  <si>
    <t>Теплогазстрой</t>
  </si>
  <si>
    <t>+7 (8362) 56-21-00</t>
  </si>
  <si>
    <t>Жилой дом по ул. Петрова</t>
  </si>
  <si>
    <t>+7 (8362) 56-25-13</t>
  </si>
  <si>
    <t>http://iss12.ru/?page_id=8</t>
  </si>
  <si>
    <t>47.922363 56.641247</t>
  </si>
  <si>
    <t>Приемное отделение</t>
  </si>
  <si>
    <t>+7 (937) 934-19-50, +7 (917) 702-25-59</t>
  </si>
  <si>
    <t>+7 (8362) 33-56-81</t>
  </si>
  <si>
    <t>47.893571 56.640796</t>
  </si>
  <si>
    <t>Жилой дом по ул. Мира-Ураева</t>
  </si>
  <si>
    <t>бул. Ураева, 6А, Йошкар-Ола</t>
  </si>
  <si>
    <t>+7 (8362) 38-07-80</t>
  </si>
  <si>
    <t>https://stroyinvest12.ru/catalog/mira-uraeva/</t>
  </si>
  <si>
    <t>47.933228 56.638439</t>
  </si>
  <si>
    <t>Exprof</t>
  </si>
  <si>
    <t>47.917735 56.629452</t>
  </si>
  <si>
    <t>DaCar.ru</t>
  </si>
  <si>
    <t>+7 (903) 050-50-58</t>
  </si>
  <si>
    <t>https://www.dacar.ru/site/office-change?id=94</t>
  </si>
  <si>
    <t>пн-пт 09:00–17:00; сб 10:00–03:00</t>
  </si>
  <si>
    <t>47.880953 56.616898</t>
  </si>
  <si>
    <t>Мари Мясо</t>
  </si>
  <si>
    <t>+7 (961) 337-21-11</t>
  </si>
  <si>
    <t>47.946572 56.633981</t>
  </si>
  <si>
    <t>ул. Баумана, 18А, Йошкар-Ола</t>
  </si>
  <si>
    <t>47.8439 56.639341</t>
  </si>
  <si>
    <t>47.903306 56.643927</t>
  </si>
  <si>
    <t>Крепкие Перцы</t>
  </si>
  <si>
    <t>47.957575 56.650593</t>
  </si>
  <si>
    <t>Орехи сухофрукты</t>
  </si>
  <si>
    <t>47.856242 56.650506</t>
  </si>
  <si>
    <t>Детkids</t>
  </si>
  <si>
    <t>+7 (939) 723-00-77</t>
  </si>
  <si>
    <t>Булочная</t>
  </si>
  <si>
    <t>47.840638 56.635284</t>
  </si>
  <si>
    <t>Йошка.ру</t>
  </si>
  <si>
    <t>+7 (987) 711-59-52</t>
  </si>
  <si>
    <t>https://ioshka.ru/</t>
  </si>
  <si>
    <t>Интернет-маркетинг, Информационный интернет-сайт, Справочник</t>
  </si>
  <si>
    <t>https://vk.com/ioshkaru</t>
  </si>
  <si>
    <t>Интро</t>
  </si>
  <si>
    <t>+7 (987) 700-36-80, +7 (960) 096-95-98, +7 (902) 745-50-40</t>
  </si>
  <si>
    <t xml:space="preserve">info@ruintro.ru, intro-12@mail.ru  </t>
  </si>
  <si>
    <t>http://ruintro.ru/</t>
  </si>
  <si>
    <t>Лакокрасочные материалы, Окрасочное оборудование</t>
  </si>
  <si>
    <t>https://vk.com/ruintro</t>
  </si>
  <si>
    <t>https://www.facebook.com/ruintro</t>
  </si>
  <si>
    <t>https://www.instagram.com/ruintro.ru</t>
  </si>
  <si>
    <t>47.86549 56.617467</t>
  </si>
  <si>
    <t>DVD-диски</t>
  </si>
  <si>
    <t>Посуда плюс</t>
  </si>
  <si>
    <t>Россия, Республика Марий Эл, Йошкар-Ола, улица Олега Кошевого</t>
  </si>
  <si>
    <t>47.938007 56.640463</t>
  </si>
  <si>
    <t>Vers</t>
  </si>
  <si>
    <t>47.917704 56.627429</t>
  </si>
  <si>
    <t>Интернет-магазин MaGGaz12.ru</t>
  </si>
  <si>
    <t>+7 (937) 930-70-04</t>
  </si>
  <si>
    <t xml:space="preserve">support@maggaz12.ru, helpline@best2pay.net  </t>
  </si>
  <si>
    <t>https://maggaz12.ru/</t>
  </si>
  <si>
    <t>Газовое оборудование, Котлы и котельное оборудование, Системы водоснабжения, отопления, канализации</t>
  </si>
  <si>
    <t>https://vk.com/maggaz12</t>
  </si>
  <si>
    <t>https://www.instagram.com/maggaz12.ru/</t>
  </si>
  <si>
    <t>47.841601 56.632538</t>
  </si>
  <si>
    <t>Багира</t>
  </si>
  <si>
    <t>Fast Money</t>
  </si>
  <si>
    <t>8 (800) 333-22-00</t>
  </si>
  <si>
    <t xml:space="preserve">info@fastmoney.ru  </t>
  </si>
  <si>
    <t>https://fastmoney.ru/</t>
  </si>
  <si>
    <t>Магазин подарков и сувениров, Православный храм, Религиозные товары</t>
  </si>
  <si>
    <t>47.858044 56.644564</t>
  </si>
  <si>
    <t>Эдисон</t>
  </si>
  <si>
    <t>+7 (8362) 55-06-15</t>
  </si>
  <si>
    <t>47.906651 56.630453</t>
  </si>
  <si>
    <t>47.917233 56.630293</t>
  </si>
  <si>
    <t>Кофе</t>
  </si>
  <si>
    <t>Красноармейская слобода, 56, Йошкар-Ола</t>
  </si>
  <si>
    <t>47.917455 56.643146</t>
  </si>
  <si>
    <t>Happy pony</t>
  </si>
  <si>
    <t>Парк аттракционов</t>
  </si>
  <si>
    <t>47.87375 56.652023</t>
  </si>
  <si>
    <t>Ремонт и пошив одежды</t>
  </si>
  <si>
    <t>47.82795 56.639383</t>
  </si>
  <si>
    <t>Леспромхоз 12</t>
  </si>
  <si>
    <t>47.926089 56.640819</t>
  </si>
  <si>
    <t>Сириус 12</t>
  </si>
  <si>
    <t>Строительно-промышленный техникум</t>
  </si>
  <si>
    <t>Медицинская ул., 5, Йошкар-Ола</t>
  </si>
  <si>
    <t>+7 (8362) 46-35-72, +7 (8362) 22-34-71, +7 (8362) 46-31-38</t>
  </si>
  <si>
    <t>47.96181 56.640962</t>
  </si>
  <si>
    <t>Медведевский хлеб</t>
  </si>
  <si>
    <t>47.885562 56.632954</t>
  </si>
  <si>
    <t>Серебряная чайка</t>
  </si>
  <si>
    <t>8 (800) 707-14-55</t>
  </si>
  <si>
    <t xml:space="preserve">zakaz@silvergull.ru  </t>
  </si>
  <si>
    <t>https://www.silvergull.ru/</t>
  </si>
  <si>
    <t>Интернет-магазин, Ювелирный магазин</t>
  </si>
  <si>
    <t>Добродел</t>
  </si>
  <si>
    <t>47.895837 56.633236</t>
  </si>
  <si>
    <t>Киви</t>
  </si>
  <si>
    <t>47.876941 56.648456</t>
  </si>
  <si>
    <t>Белая полоса</t>
  </si>
  <si>
    <t>8 (800) 550-77-23</t>
  </si>
  <si>
    <t>http://bp-5.ru/</t>
  </si>
  <si>
    <t>Регистрация и ликвидация предприятий</t>
  </si>
  <si>
    <t>47.893356 56.632531</t>
  </si>
  <si>
    <t>КПК первый ипотечный</t>
  </si>
  <si>
    <t xml:space="preserve">admin@website.ru, kpkipoteka@mail.ru  </t>
  </si>
  <si>
    <t>http://kpk12.ru/</t>
  </si>
  <si>
    <t>Ипотечное агентство</t>
  </si>
  <si>
    <t>47.890076 56.632719</t>
  </si>
  <si>
    <t>Ринмед</t>
  </si>
  <si>
    <t>ул. Чехова, 33А, Йошкар-Ола</t>
  </si>
  <si>
    <t>47.902901 56.641261</t>
  </si>
  <si>
    <t>+7 (8362) 35-21-21, +7 (8362) 23-27-97</t>
  </si>
  <si>
    <t>http://тцмастер.рф/</t>
  </si>
  <si>
    <t>https://vk.com/club173651639</t>
  </si>
  <si>
    <t>47.839438 56.626886</t>
  </si>
  <si>
    <t>47.865427 56.645703</t>
  </si>
  <si>
    <t>47.833605 56.636979</t>
  </si>
  <si>
    <t>Пункт выдачи Озон</t>
  </si>
  <si>
    <t>+7 (937) 111-18-50</t>
  </si>
  <si>
    <t>https://www.ozon.ru/</t>
  </si>
  <si>
    <t>47.873781 56.645564</t>
  </si>
  <si>
    <t>+7 (8362) 92-99-29</t>
  </si>
  <si>
    <t>https://vk.com/club151418815</t>
  </si>
  <si>
    <t>Первомайская ул., 136Б, Йошкар-Ола</t>
  </si>
  <si>
    <t>+7 (8362) 45-26-94</t>
  </si>
  <si>
    <t>Антенна</t>
  </si>
  <si>
    <t>Россия, Республика Марий Эл, Йошкар-Ола, 10-й микрорайон</t>
  </si>
  <si>
    <t>47.878479 56.644678</t>
  </si>
  <si>
    <t>Грузовичок 12</t>
  </si>
  <si>
    <t>+7 (8362) 54-57-57, +7 (8362) 27-12-12, +7 (8362) 54-18-40</t>
  </si>
  <si>
    <t>+7 (902) 108-22-22, +7 (964) 864-57-57</t>
  </si>
  <si>
    <t xml:space="preserve">gruzovichok_12@mail.ru  </t>
  </si>
  <si>
    <t>http://gruzovichok12.ru/</t>
  </si>
  <si>
    <t>С иголочки</t>
  </si>
  <si>
    <t>+7 (8362) 36-71-36</t>
  </si>
  <si>
    <t>+7 (962) 588-52-34</t>
  </si>
  <si>
    <t>47.882972 56.63426</t>
  </si>
  <si>
    <t>47.886039 56.63738</t>
  </si>
  <si>
    <t>PROдвижение</t>
  </si>
  <si>
    <t>+7 (8362) 32-13-20</t>
  </si>
  <si>
    <t>Производственная компания ПлитСтрой</t>
  </si>
  <si>
    <t>+7 (987) 711-72-90</t>
  </si>
  <si>
    <t>Облицовочные материалы, Стройматериалы оптом, Тротуарная плитка</t>
  </si>
  <si>
    <t>+7 (987) 726-46-23</t>
  </si>
  <si>
    <t>47.947376 56.646967</t>
  </si>
  <si>
    <t>Кекс, офис</t>
  </si>
  <si>
    <t>+7 (927) 873-94-61</t>
  </si>
  <si>
    <t xml:space="preserve">12kekc@mail.ru </t>
  </si>
  <si>
    <t>Tasty Cloud</t>
  </si>
  <si>
    <t>+7 (917) 710-69-38</t>
  </si>
  <si>
    <t>https://vk.com/tastycloud12</t>
  </si>
  <si>
    <t>https://www.instagram.com/tastycloud12?igshid=g1i195ptvx4b</t>
  </si>
  <si>
    <t>47.885675 56.635437</t>
  </si>
  <si>
    <t>+7 (8362) 36-32-11</t>
  </si>
  <si>
    <t>47.92667 56.639313</t>
  </si>
  <si>
    <t>47.879082 56.633881</t>
  </si>
  <si>
    <t>Защита Ваших Прав</t>
  </si>
  <si>
    <t>+7 (902) 107-54-54</t>
  </si>
  <si>
    <t xml:space="preserve">info@zvp12.ru  </t>
  </si>
  <si>
    <t>http://www.zvp12.ru/</t>
  </si>
  <si>
    <t>https://vk.com/zvp_12</t>
  </si>
  <si>
    <t>47.904463 56.641059</t>
  </si>
  <si>
    <t>Хочу Цветы</t>
  </si>
  <si>
    <t>+7 (960) 095-83-21</t>
  </si>
  <si>
    <t>Детские игрушки и игры, Доставка цветов и букетов, Магазин цветов, Товары для праздника</t>
  </si>
  <si>
    <t>https://vk.com/hochucveti12</t>
  </si>
  <si>
    <t>Визажист Наталья Загайнова</t>
  </si>
  <si>
    <t>+7 (902) 436-03-53</t>
  </si>
  <si>
    <t>https://vk.com/girlsstylestation</t>
  </si>
  <si>
    <t>Моби-маркет.рф</t>
  </si>
  <si>
    <t>+7 (987) 729-83-09</t>
  </si>
  <si>
    <t>Компьютерный магазин, Ремонт телефонов, Салон связи, Товары для мобильных телефонов</t>
  </si>
  <si>
    <t>Канатный парк</t>
  </si>
  <si>
    <t>Веревочный парк</t>
  </si>
  <si>
    <t>47.909126 56.62579</t>
  </si>
  <si>
    <t>Медтехника Марий Эл</t>
  </si>
  <si>
    <t>+7 (8362) 49-68-16</t>
  </si>
  <si>
    <t>+7 (8362) 49-68-15</t>
  </si>
  <si>
    <t>Ремонт медицинской техники</t>
  </si>
  <si>
    <t>47.859388 56.62494</t>
  </si>
  <si>
    <t>Промсвязьбанк, Офис Йошкар-Олинский</t>
  </si>
  <si>
    <t>8 (800) 333-03-03, 8 (800) 333-25-50</t>
  </si>
  <si>
    <t xml:space="preserve">info@psbank.ru  </t>
  </si>
  <si>
    <t>http://www.psbank.ru/</t>
  </si>
  <si>
    <t>47.894829 56.647421</t>
  </si>
  <si>
    <t>Улыбка Радуги</t>
  </si>
  <si>
    <t>8 (800) 505-66-00</t>
  </si>
  <si>
    <t xml:space="preserve">email@r-ulybka.ru, support@r-ulybka.ru  </t>
  </si>
  <si>
    <t>https://www.r-ulybka.ru/, http://www.r-ulybka.ru/?utm_campaign=experiment04.2020u0026utm_medium=mapsu0026utm_source=yadex</t>
  </si>
  <si>
    <t>Магазин парфюмерии и косметики, Магазин хозтоваров и бытовой химии, Товары для дома</t>
  </si>
  <si>
    <t>http://vk.com/club14138383</t>
  </si>
  <si>
    <t>https://ok.ru/ulybkaradugi</t>
  </si>
  <si>
    <t>https://www.facebook.com/ulybkaradugi1</t>
  </si>
  <si>
    <t>https://www.youtube.com/channel/UCo-oNyiFO8YExXswvbQ3Mgw</t>
  </si>
  <si>
    <t>https://www.instagram.com/ulybkaradugi/</t>
  </si>
  <si>
    <t>47.882267 56.621808</t>
  </si>
  <si>
    <t>Домашняя кухня</t>
  </si>
  <si>
    <t>+7 (8362) 36-61-03</t>
  </si>
  <si>
    <t xml:space="preserve">fooddom12@yandex.ru  </t>
  </si>
  <si>
    <t>http://fooddom12.ru/</t>
  </si>
  <si>
    <t>пн-пт 10:00–21:30; сб 10:00–15:00</t>
  </si>
  <si>
    <t>https://vk.com/fooddom12</t>
  </si>
  <si>
    <t>47.87919 56.641491</t>
  </si>
  <si>
    <t>Поволжский государственных технологический университет, административно-хозяйственный блок</t>
  </si>
  <si>
    <t>47.892379 56.631253</t>
  </si>
  <si>
    <t>Algiz</t>
  </si>
  <si>
    <t>http://algiz12.ru/</t>
  </si>
  <si>
    <t>Двери, Кованые изделия, Металлические заборы и ограждения</t>
  </si>
  <si>
    <t>М-строй</t>
  </si>
  <si>
    <t>+7 (987) 731-89-94</t>
  </si>
  <si>
    <t>47.856335 56.646129</t>
  </si>
  <si>
    <t>ГК Южный</t>
  </si>
  <si>
    <t>47.849165 56.624982</t>
  </si>
  <si>
    <t>Big Twin</t>
  </si>
  <si>
    <t>+7 (8362) 32-14-00</t>
  </si>
  <si>
    <t>+7 (937) 113-95-06</t>
  </si>
  <si>
    <t>Автосервис, автотехцентр, Магазин автозапчастей и автотоваров, Ремонт мототехники</t>
  </si>
  <si>
    <t>https://vk.com/club156579486</t>
  </si>
  <si>
    <t>47.934908 56.644085</t>
  </si>
  <si>
    <t>Всестилевая федерация боевых искусств</t>
  </si>
  <si>
    <t>+7 (8362) 50-96-96</t>
  </si>
  <si>
    <t>пн 18:00–21:00; вт 17:00–21:00; ср 18:00–21:00; чт 17:00–20:00; пт 18:00–21:00; сб 18:00–20:00; вс 17:00–21:30</t>
  </si>
  <si>
    <t>https://vk.com/crossfit_12rus</t>
  </si>
  <si>
    <t>Магазин халяльной продукции</t>
  </si>
  <si>
    <t>47.854432 56.645915</t>
  </si>
  <si>
    <t>Визовый центр</t>
  </si>
  <si>
    <t>Обучение за рубежом, Помощь в оформлении виз и загранпаспортов, Работа за рубежом, Турагентство</t>
  </si>
  <si>
    <t>https://instagram.com/Visaprosto.ioshkarola</t>
  </si>
  <si>
    <t>Мясо</t>
  </si>
  <si>
    <t>47.883978 56.632857</t>
  </si>
  <si>
    <t>ГК Вулкан</t>
  </si>
  <si>
    <t>47.872326 56.647267</t>
  </si>
  <si>
    <t>Турал</t>
  </si>
  <si>
    <t>пр. Какшан, 21, Йошкар-Ола</t>
  </si>
  <si>
    <t>47.907693 56.615629</t>
  </si>
  <si>
    <t>Труд, ЖСК</t>
  </si>
  <si>
    <t>Дантистъ</t>
  </si>
  <si>
    <t>ул. Павленко, 55, Йошкар-Ола</t>
  </si>
  <si>
    <t>+7 (8362) 23-05-32</t>
  </si>
  <si>
    <t>http://дантистъ12.рф/</t>
  </si>
  <si>
    <t>https://instagram.com/dentist_yola?igshid=1ptg8jesm229x</t>
  </si>
  <si>
    <t>47.936278 56.633061</t>
  </si>
  <si>
    <t>Совкомбанк</t>
  </si>
  <si>
    <t>http://sovcombank.ru/</t>
  </si>
  <si>
    <t>47.890417 56.641475</t>
  </si>
  <si>
    <t>47.892739 56.627139</t>
  </si>
  <si>
    <t>Автоcервис Garage</t>
  </si>
  <si>
    <t>+7 (8362) 99-93-32, +7 (8362) 27-77-73</t>
  </si>
  <si>
    <t>+7 (902) 329-93-32</t>
  </si>
  <si>
    <t>Автосервис, автотехцентр, Автосервисное и гаражное оборудование, Автотехпомощь, эвакуация автомобилей, Кузовной ремонт</t>
  </si>
  <si>
    <t>пн-сб 09:00–20:00; вс 09:00–12:00</t>
  </si>
  <si>
    <t>https://vk.com/garage_technology</t>
  </si>
  <si>
    <t>47.866783 56.61684</t>
  </si>
  <si>
    <t>Заря</t>
  </si>
  <si>
    <t>+7 (999) 145-01-20</t>
  </si>
  <si>
    <t xml:space="preserve">vpk_zarya@mail.ru, kseh2012@ya.ru  </t>
  </si>
  <si>
    <t>https://vk.com/vpk_zarya</t>
  </si>
  <si>
    <t>Лямур</t>
  </si>
  <si>
    <t>+7 (987) 709-52-02</t>
  </si>
  <si>
    <t>Магазин детской одежды, Салон вечерней одежды, Свадебный салон</t>
  </si>
  <si>
    <t>https://vk.com/salonlamour</t>
  </si>
  <si>
    <t>https://www.instagram.com/salonlamour12/</t>
  </si>
  <si>
    <t>Теплострой</t>
  </si>
  <si>
    <t>+7 (8362) 46-33-20, +7 (8362) 22-29-26</t>
  </si>
  <si>
    <t>47.950738 56.641976</t>
  </si>
  <si>
    <t>Бижу</t>
  </si>
  <si>
    <t>47.884568 56.63413</t>
  </si>
  <si>
    <t>47.900641 56.648177</t>
  </si>
  <si>
    <t>47.929573 56.629289</t>
  </si>
  <si>
    <t>Фабрика межкомнатных дверей</t>
  </si>
  <si>
    <t>+7 (919) 418-97-98</t>
  </si>
  <si>
    <t xml:space="preserve">zaharov_gold@mail.ru, support@tiu.ru  </t>
  </si>
  <si>
    <t>http://dveri-12rus.ru/</t>
  </si>
  <si>
    <t>47.840175 56.621134</t>
  </si>
  <si>
    <t>Мария</t>
  </si>
  <si>
    <t>47.924355 56.639056</t>
  </si>
  <si>
    <t>Инглида</t>
  </si>
  <si>
    <t>+7 (8362) 45-22-32</t>
  </si>
  <si>
    <t>Магазин ткани, Товары для дома, Шторы, карнизы</t>
  </si>
  <si>
    <t>https://www.instagram.com/inglida12/</t>
  </si>
  <si>
    <t>47.900675 56.642176</t>
  </si>
  <si>
    <t>Кондитерская Сладкий мир</t>
  </si>
  <si>
    <t>47.866047 56.64984</t>
  </si>
  <si>
    <t>Шторы12</t>
  </si>
  <si>
    <t>+7 (8362) 24-25-60</t>
  </si>
  <si>
    <t>Ателье по пошиву одежды, Ремонт кожи, Шторы, карнизы</t>
  </si>
  <si>
    <t>https://vk.com/poshivshtor12</t>
  </si>
  <si>
    <t>47.840416 56.634402</t>
  </si>
  <si>
    <t>47.889213 56.628373</t>
  </si>
  <si>
    <t>ЖСК Сатурн</t>
  </si>
  <si>
    <t>просп. Гагарина, 15А, Йошкар-Ола</t>
  </si>
  <si>
    <t>47.888272 56.626124</t>
  </si>
  <si>
    <t>Пассажирские перевозки</t>
  </si>
  <si>
    <t>+7 (960) 098-39-40, +7 (917) 707-77-55</t>
  </si>
  <si>
    <t xml:space="preserve">info@buslines.ru </t>
  </si>
  <si>
    <t>http://buslines.ru/</t>
  </si>
  <si>
    <t>47.858394 56.644203</t>
  </si>
  <si>
    <t>Россия, Республика Марий Эл, Йошкар-Ола, Кирпичная улица</t>
  </si>
  <si>
    <t>47.94106 56.62482</t>
  </si>
  <si>
    <t>AdmiralPools композитные бассейны</t>
  </si>
  <si>
    <t>+7 (8362) 45-87-66</t>
  </si>
  <si>
    <t>https://www.admiralpools.ru/</t>
  </si>
  <si>
    <t>Пункт выдачи, Строительство и монтаж бассейнов, аквапарков, Шоу-рум</t>
  </si>
  <si>
    <t>Папины игрушки</t>
  </si>
  <si>
    <t>ул. Героев Сталинградской Битвы, 41, Йошкар-Ола</t>
  </si>
  <si>
    <t>47.946339 56.62232</t>
  </si>
  <si>
    <t>ул. Дружбы, 99А, Йошкар-Ола</t>
  </si>
  <si>
    <t>47.867482 56.652597</t>
  </si>
  <si>
    <t>Спорт товары Йошкар-Ола</t>
  </si>
  <si>
    <t>https://vk.com/public143748654</t>
  </si>
  <si>
    <t>https://www.instagram.com/sport_tovar_12/</t>
  </si>
  <si>
    <t>47.843378 56.641067</t>
  </si>
  <si>
    <t>Велосипеды</t>
  </si>
  <si>
    <t>+7 (8362) 94-09-53</t>
  </si>
  <si>
    <t>вт-вс 08:00–17:00</t>
  </si>
  <si>
    <t>47.930322 56.631358</t>
  </si>
  <si>
    <t>Дом книги</t>
  </si>
  <si>
    <t>+7 (8362) 45-55-09, +7 (8362) 45-55-33</t>
  </si>
  <si>
    <t>Книжный магазин, Магазин канцтоваров, Товары для творчества и рукоделия</t>
  </si>
  <si>
    <t>https://www.instagram.com/domknigi_yola</t>
  </si>
  <si>
    <t>47.895174 56.639746</t>
  </si>
  <si>
    <t>Bijoux Mania</t>
  </si>
  <si>
    <t xml:space="preserve">model@bijouxmania.ru </t>
  </si>
  <si>
    <t>47.896472 56.627342</t>
  </si>
  <si>
    <t>Городская метрологическая служба</t>
  </si>
  <si>
    <t>+7 (927) 401-30-60</t>
  </si>
  <si>
    <t xml:space="preserve">poverkapro@yandex.ru  </t>
  </si>
  <si>
    <t>https://12.poverkapro.ru/, http://poverkapro.ru/</t>
  </si>
  <si>
    <t>Водосчетчики, газосчетчики, теплосчетчики, Ремонт измерительных приборов, Стандартизация и метрология</t>
  </si>
  <si>
    <t>https://vk.com/poverkapro12</t>
  </si>
  <si>
    <t>https://www.instagram.com/poverkapro</t>
  </si>
  <si>
    <t>+7 (917) 716-57-00</t>
  </si>
  <si>
    <t>пн-сб 06:00–19:00</t>
  </si>
  <si>
    <t>https://vk.com/yo.hkspartak</t>
  </si>
  <si>
    <t>Сернурский сырзавод</t>
  </si>
  <si>
    <t xml:space="preserve">sernur@lukoz.ru  </t>
  </si>
  <si>
    <t>Молочная продукция оптом, Молочный магазин</t>
  </si>
  <si>
    <t>47.885877 56.642261</t>
  </si>
  <si>
    <t>ул. Машиностроителей, 22А/6, Йошкар-Ола</t>
  </si>
  <si>
    <t>47.874567 56.636538</t>
  </si>
  <si>
    <t>47.927885 56.631447</t>
  </si>
  <si>
    <t>Like-kids</t>
  </si>
  <si>
    <t>+7 (905) 379-44-44</t>
  </si>
  <si>
    <t xml:space="preserve">nicnaem@mail.ru  </t>
  </si>
  <si>
    <t>https://vk.com/likekids12</t>
  </si>
  <si>
    <t>Деалстрой</t>
  </si>
  <si>
    <t>+7 (8362) 49-75-57</t>
  </si>
  <si>
    <t>+7 (987) 720-98-15</t>
  </si>
  <si>
    <t>Городское благоустройство, Строительные и отделочные работы, Строительный магазин</t>
  </si>
  <si>
    <t>Союз Писателей России</t>
  </si>
  <si>
    <t>http://vk.com/public158999528</t>
  </si>
  <si>
    <t>47.898701 56.631243</t>
  </si>
  <si>
    <t>47.898438 56.636604</t>
  </si>
  <si>
    <t>Мини типография</t>
  </si>
  <si>
    <t>Полиграфические услуги, Типография, Фотоуслуги</t>
  </si>
  <si>
    <t>47.864117 56.648</t>
  </si>
  <si>
    <t>47.863657 56.64685</t>
  </si>
  <si>
    <t>Другая Еда</t>
  </si>
  <si>
    <t>просп. Гагарина, 1, Йошкар-Ола</t>
  </si>
  <si>
    <t>+7 (917) 706-60-30, +7 (919) 419-53-57</t>
  </si>
  <si>
    <t>http://ekkomarket.ru/</t>
  </si>
  <si>
    <t>https://vk.com/ekkomarket</t>
  </si>
  <si>
    <t>https://www.instagram.com/ekkomarket</t>
  </si>
  <si>
    <t>47.889021 56.630401</t>
  </si>
  <si>
    <t>1000 и 1 Мелочь</t>
  </si>
  <si>
    <t>Школьная ул., 48, Йошкар-Ола</t>
  </si>
  <si>
    <t>47.852811 56.657676</t>
  </si>
  <si>
    <t>Винтаж</t>
  </si>
  <si>
    <t>8 (800) 505-80-25</t>
  </si>
  <si>
    <t>+7 (927) 682-65-32, +7 (927) 680-57-38</t>
  </si>
  <si>
    <t xml:space="preserve">nfo@idealtea.ru </t>
  </si>
  <si>
    <t>https://tea-coffee.info/, https://vintage-tea.com/</t>
  </si>
  <si>
    <t>https://www.facebook.com/vintage-911250212277374</t>
  </si>
  <si>
    <t>47.885441 56.622273</t>
  </si>
  <si>
    <t>47.90769 56.631223</t>
  </si>
  <si>
    <t>3-Rooms Apartment in Centre</t>
  </si>
  <si>
    <t>47.881786 56.645905</t>
  </si>
  <si>
    <t>Магазин трикотажа</t>
  </si>
  <si>
    <t>47.830351 56.632194</t>
  </si>
  <si>
    <t>Приёмное отделение</t>
  </si>
  <si>
    <t>+7 (8362) 45-09-08</t>
  </si>
  <si>
    <t>47.884311 56.649749</t>
  </si>
  <si>
    <t>Дрёма</t>
  </si>
  <si>
    <t>Ателье по пошиву одежды, Бытовые услуги, Химчистка</t>
  </si>
  <si>
    <t>Тандем Групп</t>
  </si>
  <si>
    <t>+7 (8362) 23-06-19, +7 (8362) 23-06-20</t>
  </si>
  <si>
    <t>+7 (991) 463-13-19</t>
  </si>
  <si>
    <t xml:space="preserve">info@tandem12.ru  </t>
  </si>
  <si>
    <t>http://tandem12.ru/</t>
  </si>
  <si>
    <t>47.871559 56.620633</t>
  </si>
  <si>
    <t>Константа</t>
  </si>
  <si>
    <t>+7 (917) 700-92-60</t>
  </si>
  <si>
    <t>Банкротство юридических и физических лиц</t>
  </si>
  <si>
    <t>+7 (8362) 52-10-06</t>
  </si>
  <si>
    <t>+7 (927) 888-29-99</t>
  </si>
  <si>
    <t xml:space="preserve">info@bankrotstvo12.ru  </t>
  </si>
  <si>
    <t>http://bankrotstvo12.ru/</t>
  </si>
  <si>
    <t>47.91543 56.634323</t>
  </si>
  <si>
    <t>47.851281 56.64267</t>
  </si>
  <si>
    <t>Флористум</t>
  </si>
  <si>
    <t>8 (800) 600-54-97</t>
  </si>
  <si>
    <t xml:space="preserve">service@floristum.ru  </t>
  </si>
  <si>
    <t>http://yoshkar-ola.floristum.ru/</t>
  </si>
  <si>
    <t>47.950147 56.626886</t>
  </si>
  <si>
    <t>УпакМосТорг</t>
  </si>
  <si>
    <t>8 (800) 555-09-31</t>
  </si>
  <si>
    <t xml:space="preserve">info@upakmostorg.ru  </t>
  </si>
  <si>
    <t>https://joshkar-ola.upakmostorg.ru/</t>
  </si>
  <si>
    <t>Мастер-Сервис 12</t>
  </si>
  <si>
    <t>+7 (8362) 25-53-99</t>
  </si>
  <si>
    <t>+7 (902) 465-18-84</t>
  </si>
  <si>
    <t>Кокшайский пр., 47, Йошкар-Ола</t>
  </si>
  <si>
    <t>http://skb12.ru/</t>
  </si>
  <si>
    <t>47.873988 56.60974</t>
  </si>
  <si>
    <t>Магазин корейской косметики</t>
  </si>
  <si>
    <t>Головные уборы меха</t>
  </si>
  <si>
    <t>Магазин головных уборов, Магазин кожи и меха, Магазин одежды</t>
  </si>
  <si>
    <t>47.924612 56.639683</t>
  </si>
  <si>
    <t>Под Ключ</t>
  </si>
  <si>
    <t xml:space="preserve">katalog@pg12.ru  </t>
  </si>
  <si>
    <t>https://vk.com/pk_yoshkarola</t>
  </si>
  <si>
    <t>ГАЗ</t>
  </si>
  <si>
    <t>47.842147 56.632649</t>
  </si>
  <si>
    <t>Амперка 12</t>
  </si>
  <si>
    <t>https://amperka.tb.ru/</t>
  </si>
  <si>
    <t>Услуги репетиторов</t>
  </si>
  <si>
    <t>АвтоТема</t>
  </si>
  <si>
    <t>+7 (987) 707-99-87</t>
  </si>
  <si>
    <t>Автокосметика, автохимия, Магазин автозапчастей и автотоваров, Пункт выдачи</t>
  </si>
  <si>
    <t>https://vk.com/avtotema.avtozapchasti</t>
  </si>
  <si>
    <t>https://instagram.com/avto_tema2015</t>
  </si>
  <si>
    <t>47.952833 56.640773</t>
  </si>
  <si>
    <t>Актив Деньги</t>
  </si>
  <si>
    <t>Home Hotel</t>
  </si>
  <si>
    <t>http://arenday12.ru/</t>
  </si>
  <si>
    <t>Авто 12</t>
  </si>
  <si>
    <t>Красноармейская ул., 76Г, Йошкар-Ола</t>
  </si>
  <si>
    <t>Автосервис, автотехцентр, Ремонт двигателей, Студия автотюнинга, Шиномонтаж</t>
  </si>
  <si>
    <t>Жар птица</t>
  </si>
  <si>
    <t>Деповская ул., 18А, Йошкар-Ола</t>
  </si>
  <si>
    <t>47.879444 56.62031</t>
  </si>
  <si>
    <t>Nail</t>
  </si>
  <si>
    <t>+7 (8362) 38-70-10</t>
  </si>
  <si>
    <t>47.870216 56.636236</t>
  </si>
  <si>
    <t>Антикварная Сувенирная лавка</t>
  </si>
  <si>
    <t>+7 (917) 702-02-03</t>
  </si>
  <si>
    <t xml:space="preserve">developer.site@bk.ru  </t>
  </si>
  <si>
    <t>http://antikvar89177020203.ru/</t>
  </si>
  <si>
    <t>Антикварный магазин, Комиссионный магазин, Магазин подарков и сувениров</t>
  </si>
  <si>
    <t>пн 09:00–19:00; вт-чт 10:00–19:00; пт-вс 08:00–18:00</t>
  </si>
  <si>
    <t>47.883357 56.620123</t>
  </si>
  <si>
    <t>Станкореммашсервис, филиал</t>
  </si>
  <si>
    <t>+7 (8362) 23-22-16</t>
  </si>
  <si>
    <t>Стальснаб</t>
  </si>
  <si>
    <t>+7 (917) 071-62-22</t>
  </si>
  <si>
    <t xml:space="preserve">stallsnab@inbox.ru  </t>
  </si>
  <si>
    <t>http://stallsnab.ru/</t>
  </si>
  <si>
    <t>Металлопрокат, Строительная арматура, Строительный магазин</t>
  </si>
  <si>
    <t>пн-пт 08:00–17:00, перерыв 12:00–13:00; сб 08:00–12:00</t>
  </si>
  <si>
    <t>https://instagram.com/stallsnab12/</t>
  </si>
  <si>
    <t>Лестница Мари</t>
  </si>
  <si>
    <t>+7 (964) 861-06-06</t>
  </si>
  <si>
    <t>ул. Строителей, 36В, Йошкар-Ола</t>
  </si>
  <si>
    <t>47.83225 56.63827</t>
  </si>
  <si>
    <t>пн,ср,пт 20:00–22:00</t>
  </si>
  <si>
    <t>47.892182 56.630837</t>
  </si>
  <si>
    <t>Строй-Союз</t>
  </si>
  <si>
    <t>+7 (987) 723-52-07</t>
  </si>
  <si>
    <t>Счастье жизни</t>
  </si>
  <si>
    <t xml:space="preserve">example@site.com  </t>
  </si>
  <si>
    <t>http://fodsg.ru/</t>
  </si>
  <si>
    <t>Магазин парфюмерии и косметики, Фитопродукция, БАДы</t>
  </si>
  <si>
    <t>Геотехнология</t>
  </si>
  <si>
    <t>+7 (961) 378-82-92, +7 (927) 874-82-54</t>
  </si>
  <si>
    <t>http://12geo.ru/</t>
  </si>
  <si>
    <t>Apartments on Meditsinskaya</t>
  </si>
  <si>
    <t>Медицинская ул., 13Б, Йошкар-Ола</t>
  </si>
  <si>
    <t>47.967064 56.641562</t>
  </si>
  <si>
    <t>47.923945 56.634415</t>
  </si>
  <si>
    <t>ул. Карла Либкнехта, 57, Йошкар-Ола</t>
  </si>
  <si>
    <t>47.948831 56.637719</t>
  </si>
  <si>
    <t>Россия, Республика Марий Эл, Йошкар-Ола, улица Волкова</t>
  </si>
  <si>
    <t>47.891655 56.630786</t>
  </si>
  <si>
    <t>47.925516 56.639984</t>
  </si>
  <si>
    <t>Секционные ворота</t>
  </si>
  <si>
    <t>+7 (967) 756-58-68</t>
  </si>
  <si>
    <t>АвтоВольтаж</t>
  </si>
  <si>
    <t>47.868617 56.647743</t>
  </si>
  <si>
    <t>Ультрамарин</t>
  </si>
  <si>
    <t>+7 (8362) 45-58-39, +7 (8362) 39-45-00</t>
  </si>
  <si>
    <t>пн-пт 08:00–20:00; сб 08:00–18:00; вс 10:00–18:00</t>
  </si>
  <si>
    <t>http://vk.com/ultramarin12</t>
  </si>
  <si>
    <t>47.888057 56.63015</t>
  </si>
  <si>
    <t>Хорошик</t>
  </si>
  <si>
    <t>+7 (985) 189-58-34</t>
  </si>
  <si>
    <t xml:space="preserve">donate@opencart.com </t>
  </si>
  <si>
    <t>47.925966 56.629394</t>
  </si>
  <si>
    <t>47.878869 56.62549</t>
  </si>
  <si>
    <t>Репетиционная база Paralon Studio</t>
  </si>
  <si>
    <t>+7 (937) 932-63-68</t>
  </si>
  <si>
    <t>https://vk.com/public137826779</t>
  </si>
  <si>
    <t>47.913523 56.641972</t>
  </si>
  <si>
    <t>Smile Room</t>
  </si>
  <si>
    <t>+7 (967) 759-08-98</t>
  </si>
  <si>
    <t xml:space="preserve">ooo.cpb@mail.ru, natalimd_73@mail.ru, raxmanova1982@mail.ru  </t>
  </si>
  <si>
    <t>https://yo.smilerooms.ru/</t>
  </si>
  <si>
    <t>https://vk.com/smileroom12</t>
  </si>
  <si>
    <t>https://www.instagram.com/smile_room12/</t>
  </si>
  <si>
    <t>Уфанет</t>
  </si>
  <si>
    <t>+7 (8362) 22-40-02</t>
  </si>
  <si>
    <t xml:space="preserve">otm@ufanet.ru, alena_ilina@ufanet.ru, ermakov_p@ufanet.ru, v.krasnoborodkin@gmail.com, mastera@ufanet.ru, ul@ufanet.ru </t>
  </si>
  <si>
    <t>http://ufanet.online/internet/joshkar-ola/?utm_campaign=voinovint20&amp;utm_medium=spravochnik&amp;utm_source=yandex</t>
  </si>
  <si>
    <t>Интернет-провайдер, Кабельное телевидение, Телекоммуникационная компания</t>
  </si>
  <si>
    <t>ежедневно, 16:00–20:00</t>
  </si>
  <si>
    <t>https://vk.com/ufanet</t>
  </si>
  <si>
    <t>https://twitter.com/theufanet</t>
  </si>
  <si>
    <t>https://www.facebook.com/TheUfanet</t>
  </si>
  <si>
    <t>https://www.youtube.com/user/TheUfanet</t>
  </si>
  <si>
    <t>https://www.instagram.com/ufanet</t>
  </si>
  <si>
    <t>ул. Калинина, 46/16, Йошкар-Ола</t>
  </si>
  <si>
    <t>47.839299 56.648411</t>
  </si>
  <si>
    <t>вт,чт 16:30–20:00, перерыв 18:00–18:30</t>
  </si>
  <si>
    <t>https://vk.com/kolotilki</t>
  </si>
  <si>
    <t>47.928586 56.626902</t>
  </si>
  <si>
    <t>НПП Линко</t>
  </si>
  <si>
    <t>+7 (937) 938-63-88, +7 (909) 938-96-67</t>
  </si>
  <si>
    <t xml:space="preserve">linko.npp@mail.ru, linkolinz@yandex.ru  </t>
  </si>
  <si>
    <t>http://linkolinz.ru/, http://www.растворы-и-линзы.рф/</t>
  </si>
  <si>
    <t>Контактные линзы, Производственное предприятие</t>
  </si>
  <si>
    <t>Офис займов для пенсионеров</t>
  </si>
  <si>
    <t>47.931236 56.637787</t>
  </si>
  <si>
    <t>Детский клуб Юность</t>
  </si>
  <si>
    <t>47.940269 56.634243</t>
  </si>
  <si>
    <t>PadАЙфоН</t>
  </si>
  <si>
    <t>+7 (927) 870-64-45, +7 (927) 885-06-06</t>
  </si>
  <si>
    <t>47.896552 56.628626</t>
  </si>
  <si>
    <t>Люция</t>
  </si>
  <si>
    <t>47.921294 56.630301</t>
  </si>
  <si>
    <t>Мебельный салон Адриатика</t>
  </si>
  <si>
    <t>+7 (969) 627-44-57</t>
  </si>
  <si>
    <t>47.84152 56.632407</t>
  </si>
  <si>
    <t>ул. Баумана, 17, Йошкар-Ола</t>
  </si>
  <si>
    <t>+7 (916) 654-13-65, +7 (917) 713-94-50</t>
  </si>
  <si>
    <t>47.845602 56.640075</t>
  </si>
  <si>
    <t>Центр доктора Бубновского</t>
  </si>
  <si>
    <t>8 (800) 770-09-99, +7 (8362) 39-00-21</t>
  </si>
  <si>
    <t>+7 (927) 880-65-69</t>
  </si>
  <si>
    <t xml:space="preserve">belorusskaya@bubnovsky.org, info@bubnovsky-center.ru  </t>
  </si>
  <si>
    <t>http://yoshkar-ola.bubnovsky.org/, http://www.bubnovsky.org/</t>
  </si>
  <si>
    <t>Медицинская реабилитация, Медцентр, клиника, Оздоровительный центр</t>
  </si>
  <si>
    <t>https://vk.com/bubnovsky_org</t>
  </si>
  <si>
    <t>https://www.facebook.com/bubnovskyofficial</t>
  </si>
  <si>
    <t>https://www.instagram.com/bubnovsky_official/</t>
  </si>
  <si>
    <t>47.875224 56.619561</t>
  </si>
  <si>
    <t>Запчасти для иномарок</t>
  </si>
  <si>
    <t>47.859101 56.639659</t>
  </si>
  <si>
    <t>бул. Победы, 5, корп. 1, Йошкар-Ола</t>
  </si>
  <si>
    <t>47.883067 56.635857</t>
  </si>
  <si>
    <t>47.863459 56.650701</t>
  </si>
  <si>
    <t>47.895363 56.640324</t>
  </si>
  <si>
    <t>AYAKids</t>
  </si>
  <si>
    <t>47.91335 56.627123</t>
  </si>
  <si>
    <t>Хмелефф</t>
  </si>
  <si>
    <t>пн-пт 11:00–22:00; сб,вс 10:00–22:00</t>
  </si>
  <si>
    <t>47.918965 56.633321</t>
  </si>
  <si>
    <t>ИТА-Волга</t>
  </si>
  <si>
    <t>Жалюзи и рулонные шторы, Окна, Строительный магазин</t>
  </si>
  <si>
    <t>пн-пт 08:00–17:00, перерыв 12:00–13:00; сб 09:00–13:00</t>
  </si>
  <si>
    <t>Общежитие № 1</t>
  </si>
  <si>
    <t>Водопроводная ул., 89, Йошкар-Ола</t>
  </si>
  <si>
    <t>47.88019 56.652464</t>
  </si>
  <si>
    <t>Туалетная бумага и полотенца</t>
  </si>
  <si>
    <t>+7 (960) 071-54-62</t>
  </si>
  <si>
    <t xml:space="preserve">bumaga-chelny@mail.ru  </t>
  </si>
  <si>
    <t>http://bumaga-tualetnaya.ru/</t>
  </si>
  <si>
    <t>47.869928 56.627243</t>
  </si>
  <si>
    <t>+7 (927) 667-19-95, +7 (969) 759-19-95</t>
  </si>
  <si>
    <t>https://vk.com/expert_sb_ru/</t>
  </si>
  <si>
    <t>https://ok.ru/group/51398541574351</t>
  </si>
  <si>
    <t>https://www.facebook.com/expertsystemsb/</t>
  </si>
  <si>
    <t>https://www.youtube.com/channel/UCuQo_BfFJFktfYgqUvvGYrg</t>
  </si>
  <si>
    <t>https://www.instagram.com/expert_system_sb/</t>
  </si>
  <si>
    <t>Гастрономъ</t>
  </si>
  <si>
    <t>47.932831 56.637512</t>
  </si>
  <si>
    <t>Арбитражный управляющий Кропинов С. П.</t>
  </si>
  <si>
    <t>Apartment on Leninskiy Prospekt Yoshkar-Ola</t>
  </si>
  <si>
    <t>47.875862 56.634897</t>
  </si>
  <si>
    <t>47.87931 56.62258</t>
  </si>
  <si>
    <t>Свежее</t>
  </si>
  <si>
    <t>Площадка для вождения</t>
  </si>
  <si>
    <t>47.874935 56.642873</t>
  </si>
  <si>
    <t>47.917246 56.631386</t>
  </si>
  <si>
    <t>Девайс</t>
  </si>
  <si>
    <t>+7 (8362) 25-44-77</t>
  </si>
  <si>
    <t>47.86439 56.645944</t>
  </si>
  <si>
    <t>ул. Степана Разина, 18, Йошкар-Ола</t>
  </si>
  <si>
    <t>47.902484 56.619353</t>
  </si>
  <si>
    <t>Больница</t>
  </si>
  <si>
    <t>ул. Волкова, 109, Йошкар-Ола</t>
  </si>
  <si>
    <t>47.895881 56.635885</t>
  </si>
  <si>
    <t>Площадка для вождения ДОСААФ</t>
  </si>
  <si>
    <t>47.869308 56.655026</t>
  </si>
  <si>
    <t>47.902891 56.646659</t>
  </si>
  <si>
    <t>Ваш Ломбард</t>
  </si>
  <si>
    <t>+7 (8362) 39-02-88</t>
  </si>
  <si>
    <t>+7 (967) 757-00-25</t>
  </si>
  <si>
    <t>Кровельные работы, Строительство бань и саун, Строительство дачных домов и коттеджей</t>
  </si>
  <si>
    <t>ПСК Мастер</t>
  </si>
  <si>
    <t>+7 (8362) 31-10-11</t>
  </si>
  <si>
    <t>Проектная организация, Строительная компания, Строительство дачных домов и коттеджей</t>
  </si>
  <si>
    <t>47.857056 56.646414</t>
  </si>
  <si>
    <t>ГК Стрела</t>
  </si>
  <si>
    <t>47.874034 56.620731</t>
  </si>
  <si>
    <t>47.886732 56.62696</t>
  </si>
  <si>
    <t>Займы</t>
  </si>
  <si>
    <t>47.881394 56.638027</t>
  </si>
  <si>
    <t>Литер А1</t>
  </si>
  <si>
    <t>ул. Анникова, 4, Йошкар-Ола</t>
  </si>
  <si>
    <t>47.841972 56.645024</t>
  </si>
  <si>
    <t>47.893561 56.639077</t>
  </si>
  <si>
    <t>47.870647 56.649548</t>
  </si>
  <si>
    <t>Учебный центр Анликс</t>
  </si>
  <si>
    <t>+7 (902) 670-40-49</t>
  </si>
  <si>
    <t>https://brows.anliks.ru/</t>
  </si>
  <si>
    <t>Курсы и мастер-классы, Обучение мастеров для салонов красоты, Учебный центр</t>
  </si>
  <si>
    <t>https://vk.com/club73980550</t>
  </si>
  <si>
    <t>https://www.instagram.com/anliks_yo</t>
  </si>
  <si>
    <t>For you</t>
  </si>
  <si>
    <t>Центр страховых услуг</t>
  </si>
  <si>
    <t>+7 (8362) 44-80-08</t>
  </si>
  <si>
    <t>+7 (902) 124-80-08</t>
  </si>
  <si>
    <t xml:space="preserve">osago12@inbox.ru, osago.dk.kbm@bk.ru  </t>
  </si>
  <si>
    <t>http://osago12.ru/</t>
  </si>
  <si>
    <t>Пункт техосмотра, Страхование автомобилей, Страховой брокер</t>
  </si>
  <si>
    <t>пн-пт 09:00–18:00, перерыв 12:00–13:00; сб 09:00–15:00</t>
  </si>
  <si>
    <t>https://vk.com/12osago</t>
  </si>
  <si>
    <t>https://www.instagram.com/tsentr_osago</t>
  </si>
  <si>
    <t>47.880146 56.626344</t>
  </si>
  <si>
    <t>Баланс плюс</t>
  </si>
  <si>
    <t>+7 (8362) 41-07-10, +7 (8362) 32-33-81</t>
  </si>
  <si>
    <t>+7 (8362) 41-07-10</t>
  </si>
  <si>
    <t>РеалФото+</t>
  </si>
  <si>
    <t>47.898117 56.648756</t>
  </si>
  <si>
    <t>Все для рыбалки</t>
  </si>
  <si>
    <t>+7 (902) 434-38-88</t>
  </si>
  <si>
    <t>пн-сб 07:00–18:00; вс 07:00–17:00</t>
  </si>
  <si>
    <t>Пивбург</t>
  </si>
  <si>
    <t>47.873432 56.649826</t>
  </si>
  <si>
    <t>НПП Порошковые Технологии</t>
  </si>
  <si>
    <t>ул. Гончарова, 1В, Йошкар-Ола</t>
  </si>
  <si>
    <t>+7 (927) 883-43-48, +7 (927) 683-18-80</t>
  </si>
  <si>
    <t xml:space="preserve">info@powdertech.ru  </t>
  </si>
  <si>
    <t>https://powdertech.ru/</t>
  </si>
  <si>
    <t>Металлоизделия, Металлообработка, Металлургическое предприятие</t>
  </si>
  <si>
    <t>https://vk.com/public189986496</t>
  </si>
  <si>
    <t>47.894023 56.614215</t>
  </si>
  <si>
    <t>Магазин детской одежды и игрушек</t>
  </si>
  <si>
    <t>47.887181 56.627738</t>
  </si>
  <si>
    <t>+7 (8362) 51-03-76</t>
  </si>
  <si>
    <t>+7 (906) 139-26-89</t>
  </si>
  <si>
    <t xml:space="preserve">510376@bk.ru, dolnik2004@mail.ru  </t>
  </si>
  <si>
    <t>Детские игрушки и игры, Магазин детской обуви, Магазин детской одежды, Магазин обуви, Магазин одежды</t>
  </si>
  <si>
    <t>https://vk.com/detska</t>
  </si>
  <si>
    <t>47.827996 56.633855</t>
  </si>
  <si>
    <t>47.932337 56.634186</t>
  </si>
  <si>
    <t>Ампер Сервисный центр промышленной электроники</t>
  </si>
  <si>
    <t>+7 (8362) 32-09-75</t>
  </si>
  <si>
    <t>+7 (927) 882-09-75</t>
  </si>
  <si>
    <t xml:space="preserve">info@ampersc.ru, info@radian12.ru </t>
  </si>
  <si>
    <t>Автоматизация производств, Ремонт промышленного оборудования, Ремонт электрооборудования, Сварочное оборудование и материалы</t>
  </si>
  <si>
    <t>47.863586 56.617555</t>
  </si>
  <si>
    <t>47.848663 56.627813</t>
  </si>
  <si>
    <t>Центр активного отдыха</t>
  </si>
  <si>
    <t>Спортивная база</t>
  </si>
  <si>
    <t>47.921063 56.646426</t>
  </si>
  <si>
    <t>Строймаш</t>
  </si>
  <si>
    <t>47.858932 56.639763</t>
  </si>
  <si>
    <t>ВагонкаЛюкс</t>
  </si>
  <si>
    <t>Пиломатериалы, Производственное предприятие</t>
  </si>
  <si>
    <t>ЦСК</t>
  </si>
  <si>
    <t>47.914989 56.643479</t>
  </si>
  <si>
    <t>Магазин бытовой техники, Магазин хозтоваров и бытовой химии</t>
  </si>
  <si>
    <t>47.871706 56.635997</t>
  </si>
  <si>
    <t>Премьера</t>
  </si>
  <si>
    <t>ул. Петрова, 27А, Йошкар-Ола</t>
  </si>
  <si>
    <t>+7 (8362) 92-40-92</t>
  </si>
  <si>
    <t>пн-пт 08:30–19:00; сб,вс 08:30–15:00</t>
  </si>
  <si>
    <t>47.923817 56.641499</t>
  </si>
  <si>
    <t>https://www.facebook.com/flergrand</t>
  </si>
  <si>
    <t>47.883333 56.632873</t>
  </si>
  <si>
    <t>47.852534 56.631357</t>
  </si>
  <si>
    <t>Домашний лекарь</t>
  </si>
  <si>
    <t>+7 (8362) 41-05-60, +7 (8362) 33-07-13</t>
  </si>
  <si>
    <t>+7 (999) 609-23-66</t>
  </si>
  <si>
    <t>пн-чт 08:30–18:00; пт 08:30–16:30; сб 09:00–15:00</t>
  </si>
  <si>
    <t>Пункт выдачи термопакетов Партнер</t>
  </si>
  <si>
    <t>+7 (902) 106-66-66</t>
  </si>
  <si>
    <t>СпецЭлектрик</t>
  </si>
  <si>
    <t>Кабель и провод, Электротехническая продукция</t>
  </si>
  <si>
    <t>47.863813 56.649521</t>
  </si>
  <si>
    <t>47.885989 56.628778</t>
  </si>
  <si>
    <t>Русское поле</t>
  </si>
  <si>
    <t>ул. Ломоносова, 2Г, корп. 3, Йошкар-Ола</t>
  </si>
  <si>
    <t>+7 (8362) 41-50-80, +7 (8362) 45-59-11, +7 (8362) 74-07-58, +7 (8362) 72-07-58</t>
  </si>
  <si>
    <t xml:space="preserve">415080@mail.ru  </t>
  </si>
  <si>
    <t>http://semenagost.ru/</t>
  </si>
  <si>
    <t>Магазин семян, Оптовая компания, Оптовый магазин</t>
  </si>
  <si>
    <t>47.879314 56.614584</t>
  </si>
  <si>
    <t>47.843461 56.641181</t>
  </si>
  <si>
    <t>Офис</t>
  </si>
  <si>
    <t>47.897313 56.618888</t>
  </si>
  <si>
    <t>АлексПрофф</t>
  </si>
  <si>
    <t xml:space="preserve">support@ap12.ru </t>
  </si>
  <si>
    <t>Двери, Жалюзи и рулонные шторы, Комплектующие для окон, Натяжные и подвесные потолки, Окна</t>
  </si>
  <si>
    <t>Бульвар</t>
  </si>
  <si>
    <t>ул. Палантая, 56, Йошкар-Ола, Россия</t>
  </si>
  <si>
    <t>http://vk.com/club105122783</t>
  </si>
  <si>
    <t>47.888944 56.633398</t>
  </si>
  <si>
    <t>Квалитет</t>
  </si>
  <si>
    <t>+7 (927) 888-11-11</t>
  </si>
  <si>
    <t>https://qvalitet.ru/, https://qvalitet.ru/shop/</t>
  </si>
  <si>
    <t>Kvartira Yoshkar-Ola</t>
  </si>
  <si>
    <t>47.893319 56.648532</t>
  </si>
  <si>
    <t>Спецмонтаж</t>
  </si>
  <si>
    <t>+7 (917) 704-77-71</t>
  </si>
  <si>
    <t>Спортзал Поволжского государственного технологического университета</t>
  </si>
  <si>
    <t>Советская ул., 158А, Йошкар-Ола</t>
  </si>
  <si>
    <t xml:space="preserve">info@volgatech.net, priem@volgatech.net, press@volgatech.net, alexfom@volgatech.net  </t>
  </si>
  <si>
    <t>https://www.volgatech.net/</t>
  </si>
  <si>
    <t>http://vk.com/volgatech</t>
  </si>
  <si>
    <t>http://ok.ru/volgatech</t>
  </si>
  <si>
    <t>http://facebook.com/volgatech</t>
  </si>
  <si>
    <t>https://www.youtube.com/channel/UCX06I-Fhz0BbPhnYFzssttQ</t>
  </si>
  <si>
    <t>http://instagram.com/volgatech</t>
  </si>
  <si>
    <t>47.891795 56.629019</t>
  </si>
  <si>
    <t>Гриффон</t>
  </si>
  <si>
    <t xml:space="preserve">dveri_stroitel@mail.ru, opt@dverigriffon.ru  </t>
  </si>
  <si>
    <t>http://dverigriffon.ru/</t>
  </si>
  <si>
    <t>Поволжский государственный технологический университет, Радиотехнический факультет</t>
  </si>
  <si>
    <t>47.884884 56.621883</t>
  </si>
  <si>
    <t>Абц Снабжение</t>
  </si>
  <si>
    <t>8 (800) 511-99-50</t>
  </si>
  <si>
    <t xml:space="preserve">sale@abcsnab.ru  </t>
  </si>
  <si>
    <t>https://yla.abcsnab.ru/</t>
  </si>
  <si>
    <t>Водосчетчики, газосчетчики, теплосчетчики, Сантехника оптом, Трубы и трубопроводная арматура</t>
  </si>
  <si>
    <t>Сернурский тракт, 23, корп. 1, Йошкар-Ола</t>
  </si>
  <si>
    <t>47.928273 56.643355</t>
  </si>
  <si>
    <t>Автоломбард офис Йошкар-Ола</t>
  </si>
  <si>
    <t>8 (800) 505-02-98</t>
  </si>
  <si>
    <t>http://joshkar-ola.avtolombard.net/</t>
  </si>
  <si>
    <t>+7 (8362) 23-03-73</t>
  </si>
  <si>
    <t>вт 15:00–19:00; ср-пт 09:00–13:00</t>
  </si>
  <si>
    <t>47.887048 56.630344</t>
  </si>
  <si>
    <t>Electronical Service</t>
  </si>
  <si>
    <t>47.896326 56.632803</t>
  </si>
  <si>
    <t>НПК Эксперт</t>
  </si>
  <si>
    <t>8 (800) 500-58-30</t>
  </si>
  <si>
    <t xml:space="preserve">potencialrf@mail.ru  </t>
  </si>
  <si>
    <t>http://diskwood.ru/</t>
  </si>
  <si>
    <t>Eservice_Katalizator12.ru</t>
  </si>
  <si>
    <t>ул. Прохорова, 49/2, Йошкар-Ола</t>
  </si>
  <si>
    <t>+7 (8362) 24-25-95</t>
  </si>
  <si>
    <t>+7 (902) 102-94-74</t>
  </si>
  <si>
    <t xml:space="preserve">katalizator12@bk.ru  </t>
  </si>
  <si>
    <t>http://katalizator12.ru/</t>
  </si>
  <si>
    <t>https://vk.com/katalik12ru</t>
  </si>
  <si>
    <t>https://www.instagram.com/eservice_katalizator12.ru/</t>
  </si>
  <si>
    <t>47.826923 56.62914</t>
  </si>
  <si>
    <t>Молоко</t>
  </si>
  <si>
    <t>47.917052 56.630426</t>
  </si>
  <si>
    <t>Бахор</t>
  </si>
  <si>
    <t>ул. Карла Маркса, 138, Йошкар-Ола</t>
  </si>
  <si>
    <t>47.88612 56.619858</t>
  </si>
  <si>
    <t>47.854297 56.645867</t>
  </si>
  <si>
    <t>Эко СЭС</t>
  </si>
  <si>
    <t>+7 (919) 911-89-45</t>
  </si>
  <si>
    <t>https://joshkarola.ecoses.pro/</t>
  </si>
  <si>
    <t>Дезинфекция, дезинсекция, дератизация, Санитарно-эпидемиологическая служба</t>
  </si>
  <si>
    <t>47.95278 56.640807</t>
  </si>
  <si>
    <t>Автозалог 68</t>
  </si>
  <si>
    <t>+7 (8362) 44-68-68</t>
  </si>
  <si>
    <t>+7 (902) 106-12-88</t>
  </si>
  <si>
    <t xml:space="preserve">narbonmkk2017@yandex.ru, autolombard68@gmail.com  </t>
  </si>
  <si>
    <t>https://zaimpts12.ru/</t>
  </si>
  <si>
    <t>https://vk.com/autozalog12</t>
  </si>
  <si>
    <t>47.888481 56.632831</t>
  </si>
  <si>
    <t>ХозторгОпт</t>
  </si>
  <si>
    <t>47.896868 56.616883</t>
  </si>
  <si>
    <t>47.899504 56.643811</t>
  </si>
  <si>
    <t>ГБУ РМЭ Республиканская клиническая больница, иммунологическая лаборатория</t>
  </si>
  <si>
    <t>+7 (8362) 68-94-59</t>
  </si>
  <si>
    <t>пн-пт 08:00–15:00, перерыв 12:00–13:00</t>
  </si>
  <si>
    <t>47.88519 56.649701</t>
  </si>
  <si>
    <t>Carfagen</t>
  </si>
  <si>
    <t>+7 (965) 559-21-11</t>
  </si>
  <si>
    <t xml:space="preserve">alex.carfagen@gmail.com </t>
  </si>
  <si>
    <t>http://carfagen.ru/content/contacts, http://www.carfagen.ru/</t>
  </si>
  <si>
    <t>Интернет Магнат</t>
  </si>
  <si>
    <t>+7 (904) 724-28-75</t>
  </si>
  <si>
    <t xml:space="preserve">internetmagnat@mail.ru, example@mail.com  </t>
  </si>
  <si>
    <t>https://remont-telefonov12.ru/, https://fb.me/remont.tel12</t>
  </si>
  <si>
    <t>https://www.instagram.com/remont.telefonov12/</t>
  </si>
  <si>
    <t>47.883951 56.63288</t>
  </si>
  <si>
    <t>47.879009 56.622629</t>
  </si>
  <si>
    <t>Фрунты овощи</t>
  </si>
  <si>
    <t>47.94675 56.62557</t>
  </si>
  <si>
    <t>47.855913 56.643737</t>
  </si>
  <si>
    <t>Фабрика обжарки кофейных зерен</t>
  </si>
  <si>
    <t>47.826145 56.627991</t>
  </si>
  <si>
    <t>Детские игрушки и игры, Магазин парфюмерии и косметики, Магазин хозтоваров и бытовой химии</t>
  </si>
  <si>
    <t>47.884587 56.634126</t>
  </si>
  <si>
    <t>Малярка</t>
  </si>
  <si>
    <t>+7 (927) 871-68-39</t>
  </si>
  <si>
    <t>Автосервисное и гаражное оборудование, Кузовной ремонт</t>
  </si>
  <si>
    <t>https://vk.com/club174828623</t>
  </si>
  <si>
    <t>47.865831 56.617374</t>
  </si>
  <si>
    <t>Proxinail shop</t>
  </si>
  <si>
    <t>+7 (927) 883-93-11</t>
  </si>
  <si>
    <t>https://vk.com/proxinail_shop12</t>
  </si>
  <si>
    <t>https://instagram.com/proxinail_shop</t>
  </si>
  <si>
    <t>47.916818 56.631315</t>
  </si>
  <si>
    <t>ул. Строителей, 52, Йошкар-Ола</t>
  </si>
  <si>
    <t>47.840032 56.632397</t>
  </si>
  <si>
    <t>Ловчий 12</t>
  </si>
  <si>
    <t>ул. Карла Маркса, 99/1, Йошкар-Ола</t>
  </si>
  <si>
    <t>47.896095 56.628738</t>
  </si>
  <si>
    <t>Автоюрист</t>
  </si>
  <si>
    <t>+7 (8362) 96-97-97</t>
  </si>
  <si>
    <t>http://vozvratprav12.ru/</t>
  </si>
  <si>
    <t>http://vk.com/vozvratprav12</t>
  </si>
  <si>
    <t>47.87927 56.64791</t>
  </si>
  <si>
    <t>Йошкар-олинский Технический центр Общероссийской Общественно-государственной Организации Добровольное Общество Содействия Армии, Авиации и Флоту России</t>
  </si>
  <si>
    <t>Колледж, Техникум, Училище</t>
  </si>
  <si>
    <t>47.872138 56.654456</t>
  </si>
  <si>
    <t>ЭнергосбыТ Плюс</t>
  </si>
  <si>
    <t>+7 (8362) 23-27-44, +7 (8362) 23-27-11</t>
  </si>
  <si>
    <t xml:space="preserve">email@sitename.ru, komiesc@komiesc.ru  </t>
  </si>
  <si>
    <t>http://chuvashia.esplus.ru/</t>
  </si>
  <si>
    <t>47.849184 56.629983</t>
  </si>
  <si>
    <t xml:space="preserve">info@magnat.ru, sukhorukov.ko@magnat.ru, spirina.yi@magnat.ru  </t>
  </si>
  <si>
    <t>https://magnat.ru/</t>
  </si>
  <si>
    <t>Бытовая химия оптом, Магазин продуктов, Средства гигиены</t>
  </si>
  <si>
    <t>https://vk.com/gkmagnat</t>
  </si>
  <si>
    <t>https://www.facebook.com/gkmagnat</t>
  </si>
  <si>
    <t>WoodTec</t>
  </si>
  <si>
    <t>+7 (8352) 22-82-01</t>
  </si>
  <si>
    <t>+7 (917) 078-90-80, +7 (917) 078-82-01</t>
  </si>
  <si>
    <t xml:space="preserve">stanki-m12@yandex.ru </t>
  </si>
  <si>
    <t>http://вудтек-йошкар-ола.рф/</t>
  </si>
  <si>
    <t>Лодочная Станция</t>
  </si>
  <si>
    <t>47.906397 56.63642</t>
  </si>
  <si>
    <t>47.946956 56.625554</t>
  </si>
  <si>
    <t>ул. Артёма, 19, Йошкар-Ола</t>
  </si>
  <si>
    <t>47.848672 56.659393</t>
  </si>
  <si>
    <t>47.925893 56.628386</t>
  </si>
  <si>
    <t>SimMobile Service</t>
  </si>
  <si>
    <t>+7 (8362) 26-34-00</t>
  </si>
  <si>
    <t>пн-пт 12:00–19:00</t>
  </si>
  <si>
    <t>Технолайн</t>
  </si>
  <si>
    <t>+7 (8362) 41-42-00</t>
  </si>
  <si>
    <t xml:space="preserve">teh_l@mail.ru </t>
  </si>
  <si>
    <t>http://www.teh12.ru/</t>
  </si>
  <si>
    <t>Водосчетчики, газосчетчики, теплосчетчики, Монтаж и обслуживание систем водоснабжения и канализации, Сантехнические работы, Системы водоснабжения, отопления, канализации</t>
  </si>
  <si>
    <t>47.900853 56.646819</t>
  </si>
  <si>
    <t>Веселая ленточка</t>
  </si>
  <si>
    <t>Салон красоты Zebra</t>
  </si>
  <si>
    <t>+7 (937) 932-92-09</t>
  </si>
  <si>
    <t xml:space="preserve">zebrauprav@mail.ru, zebra.clients@mail.ru  </t>
  </si>
  <si>
    <t>https://vk.com/zebra.manicure</t>
  </si>
  <si>
    <t>https://www.instagram.com/zebra.manicure</t>
  </si>
  <si>
    <t>47.879331 56.632442</t>
  </si>
  <si>
    <t>Бакалейная лавка</t>
  </si>
  <si>
    <t>Rubicon</t>
  </si>
  <si>
    <t xml:space="preserve">resume@cc-rubicon.ru  </t>
  </si>
  <si>
    <t>http://cc-rubicon.ru/</t>
  </si>
  <si>
    <t>Колл-центр</t>
  </si>
  <si>
    <t>47.89361 56.637632</t>
  </si>
  <si>
    <t>Факультет информатики и вычислительной техники</t>
  </si>
  <si>
    <t>Транзит Оил</t>
  </si>
  <si>
    <t>ул. Воинов-Интернационалистов, 28А, Йошкар-Ола</t>
  </si>
  <si>
    <t>47.918787 56.636437</t>
  </si>
  <si>
    <t>Премиум</t>
  </si>
  <si>
    <t>ул. Машиностроителей, 120, корп. 3, Йошкар-Ола</t>
  </si>
  <si>
    <t>+7 (8362) 58-53-48</t>
  </si>
  <si>
    <t>47.829333 56.627441</t>
  </si>
  <si>
    <t>Мир посуды</t>
  </si>
  <si>
    <t>47.831444 56.639784</t>
  </si>
  <si>
    <t>ул. Анникова, 12, Йошкар-Ола</t>
  </si>
  <si>
    <t>47.835303 56.645081</t>
  </si>
  <si>
    <t>Магазин тканей</t>
  </si>
  <si>
    <t>47.885445 56.632546</t>
  </si>
  <si>
    <t>Красноармейская ул., 49А, Йошкар-Ола</t>
  </si>
  <si>
    <t>+7 (8362) 21-31-21</t>
  </si>
  <si>
    <t>Киностудия</t>
  </si>
  <si>
    <t>47.890257 56.640639</t>
  </si>
  <si>
    <t>47.828209 56.63319</t>
  </si>
  <si>
    <t>Золотая лилия</t>
  </si>
  <si>
    <t>Детишник</t>
  </si>
  <si>
    <t>+7 (987) 710-40-01</t>
  </si>
  <si>
    <t>47.830349 56.637212</t>
  </si>
  <si>
    <t>Комсомольская ул., 52А, Йошкар-Ола</t>
  </si>
  <si>
    <t>Строительный магазин, Цемент</t>
  </si>
  <si>
    <t>47.899661 56.646235</t>
  </si>
  <si>
    <t>ПУ Парус</t>
  </si>
  <si>
    <t>47.841676 56.632396</t>
  </si>
  <si>
    <t>+7 (917) 719-92-52</t>
  </si>
  <si>
    <t>пн-пт 08:30–20:30; сб,вс 08:30–19:30</t>
  </si>
  <si>
    <t>47.92822 56.637165</t>
  </si>
  <si>
    <t>Скороход</t>
  </si>
  <si>
    <t>47.884503 56.620005</t>
  </si>
  <si>
    <t>Водопроводная ул., 46, Йошкар-Ола</t>
  </si>
  <si>
    <t>+7 (902) 745-95-95</t>
  </si>
  <si>
    <t>47.898204 56.649662</t>
  </si>
  <si>
    <t>МАФСпецПрокат</t>
  </si>
  <si>
    <t>+7 (937) 939-26-50</t>
  </si>
  <si>
    <t>https://amerunion.ru/</t>
  </si>
  <si>
    <t>Металлическая мебель, Металлические заборы и ограждения, Металлоконструкции</t>
  </si>
  <si>
    <t>Студия депиляции Eva</t>
  </si>
  <si>
    <t>+7 (902) 100-70-66</t>
  </si>
  <si>
    <t>Косметология, СПА-салон, Шугаринг</t>
  </si>
  <si>
    <t>https://vk.com/yolasaharandvosk</t>
  </si>
  <si>
    <t>https://www.instagram.com/evastudio.yola</t>
  </si>
  <si>
    <t>47.899219 56.645742</t>
  </si>
  <si>
    <t>Ds drift garage</t>
  </si>
  <si>
    <t>+7 (917) 700-67-08</t>
  </si>
  <si>
    <t>Студия автотюнинга</t>
  </si>
  <si>
    <t>https://vk.com/dsdriftgarage</t>
  </si>
  <si>
    <t>47.868328 56.654538</t>
  </si>
  <si>
    <t>Старт</t>
  </si>
  <si>
    <t>47.869326 56.640083</t>
  </si>
  <si>
    <t>Кировец</t>
  </si>
  <si>
    <t>ул. Воинов-Интернационалистов, 15В, Йошкар-Ола</t>
  </si>
  <si>
    <t>+7 (937) 115-25-55</t>
  </si>
  <si>
    <t>47.9338 56.6326</t>
  </si>
  <si>
    <t>Олара</t>
  </si>
  <si>
    <t>+7 (902) 104-90-51</t>
  </si>
  <si>
    <t xml:space="preserve">info@olara.ru  </t>
  </si>
  <si>
    <t>http://olara.ru/</t>
  </si>
  <si>
    <t>вс 08:00–18:00, перерыв 12:00–13:00</t>
  </si>
  <si>
    <t>+7 (917) 700-92-51</t>
  </si>
  <si>
    <t>ТиЛэнд</t>
  </si>
  <si>
    <t>https://vk.com/tealand12</t>
  </si>
  <si>
    <t>Husqvarna</t>
  </si>
  <si>
    <t>ул. Гончарова, 9, Йошкар-Ола</t>
  </si>
  <si>
    <t>8 (800) 200-16-89, +7 (8362) 74-17-77</t>
  </si>
  <si>
    <t xml:space="preserve">office.at@husqvarnagroup.com, mg@mastergarden.by, marketing@mastergarden.by, sales.belgium@husqvarnagroup.com, thor@valhall-group.com  </t>
  </si>
  <si>
    <t>http://www.husqvarna.com/ru/</t>
  </si>
  <si>
    <t>Магазин хозтоваров и бытовой химии, Электро- и бензоинструмент</t>
  </si>
  <si>
    <t>47.887511 56.615405</t>
  </si>
  <si>
    <t>Экстрим</t>
  </si>
  <si>
    <t>+7 (964) 861-03-54</t>
  </si>
  <si>
    <t>47.8972 56.6188</t>
  </si>
  <si>
    <t>Магазин постельных принадлежностей, Ремонт одежды, Трикотаж, трикотажные изделия</t>
  </si>
  <si>
    <t>Автомойка 44</t>
  </si>
  <si>
    <t>+7 (8362) 67-84-44</t>
  </si>
  <si>
    <t>+7 (967) 757-35-35</t>
  </si>
  <si>
    <t xml:space="preserve">donate@opencart.com  </t>
  </si>
  <si>
    <t>http://avto44.pro/</t>
  </si>
  <si>
    <t>http://vk.com/autocomplex44</t>
  </si>
  <si>
    <t>47.913789 56.642759</t>
  </si>
  <si>
    <t>Ботофеич</t>
  </si>
  <si>
    <t>http://anna12.ru/</t>
  </si>
  <si>
    <t>47.923966 56.634546</t>
  </si>
  <si>
    <t>Tirax</t>
  </si>
  <si>
    <t>Магазин электротранспорта, Товары для мобильных телефонов</t>
  </si>
  <si>
    <t>Россия, Республика Марий Эл, Йошкар-Ола, улица Анникова</t>
  </si>
  <si>
    <t>47.837795 56.644447</t>
  </si>
  <si>
    <t>+7 (8362) 70-70-07, +7 (8362) 70-00-07</t>
  </si>
  <si>
    <t>+7 (902) 465-70-07</t>
  </si>
  <si>
    <t xml:space="preserve">virginiaperevod@gmail.com  </t>
  </si>
  <si>
    <t>http://virginiacenter.ru/</t>
  </si>
  <si>
    <t>Дополнительное образование, Курсы и мастер-классы, Курсы иностранных языков</t>
  </si>
  <si>
    <t>пн-пт 09:00–21:00; сб 09:00–14:00</t>
  </si>
  <si>
    <t>https://vk.com/virginia_707007</t>
  </si>
  <si>
    <t>47.889362 56.642712</t>
  </si>
  <si>
    <t>Юдм-групп</t>
  </si>
  <si>
    <t>+7 (8362) 40-05-80</t>
  </si>
  <si>
    <t>+7 (964) 860-20-54, +7 (927) 870-72-93</t>
  </si>
  <si>
    <t>http://дверъ12.рф/</t>
  </si>
  <si>
    <t>47.945585 56.634504</t>
  </si>
  <si>
    <t>Поволжский государственный технологический университет, Экономический факультет</t>
  </si>
  <si>
    <t>Мебель холл</t>
  </si>
  <si>
    <t>+7 (937) 933-99-03</t>
  </si>
  <si>
    <t xml:space="preserve">mebelholl-163@bk.ru  </t>
  </si>
  <si>
    <t>http://mebelhol-kazan.ru/</t>
  </si>
  <si>
    <t>Детская мебель, Корпусная мебель, Магазин мебели</t>
  </si>
  <si>
    <t>https://vk.com/club73836981</t>
  </si>
  <si>
    <t>Uaz запчасти</t>
  </si>
  <si>
    <t>47.866254 56.615046</t>
  </si>
  <si>
    <t>Магазин Пенная гавань</t>
  </si>
  <si>
    <t>47.849168 56.627994</t>
  </si>
  <si>
    <t>47.9032 56.643618</t>
  </si>
  <si>
    <t>Марго</t>
  </si>
  <si>
    <t>Корпусная мебель, Мебель для кухни, Мебель на заказ, Натяжные и подвесные потолки, Шкафы-купе</t>
  </si>
  <si>
    <t>47.893259 56.639031</t>
  </si>
  <si>
    <t>Вероника</t>
  </si>
  <si>
    <t>Первомайская ул., 105А, Йошкар-Ола</t>
  </si>
  <si>
    <t>47.889398 56.640868</t>
  </si>
  <si>
    <t>Эрос</t>
  </si>
  <si>
    <t>+7 (8362) 31-62-77</t>
  </si>
  <si>
    <t>пн-чт 13:00–01:00; пт,сб 13:00–04:00; вс 13:00–01:00</t>
  </si>
  <si>
    <t>47.896431 56.632955</t>
  </si>
  <si>
    <t>47.923691 56.641226</t>
  </si>
  <si>
    <t>Шатура</t>
  </si>
  <si>
    <t>8 (800) 555-06-65, +7 (8362) 38-02-08</t>
  </si>
  <si>
    <t>+7 (937) 939-25-29, +7 (987) 726-52-39</t>
  </si>
  <si>
    <t xml:space="preserve">i.v.sezganova@nto-sale.ru, yu.a.popova@nto-sale.ru, ishop@shatura.com, info@ecom.sberbank.ru  </t>
  </si>
  <si>
    <t>https://www.shatura.com/</t>
  </si>
  <si>
    <t>47.833213 56.641469</t>
  </si>
  <si>
    <t>АГРО Займ</t>
  </si>
  <si>
    <t>8 (800) 250-75-88</t>
  </si>
  <si>
    <t xml:space="preserve">agrozaim@bk.ru  </t>
  </si>
  <si>
    <t>http://www.marizaim.ru/</t>
  </si>
  <si>
    <t>47.871659 56.621781</t>
  </si>
  <si>
    <t>47.896755 56.626585</t>
  </si>
  <si>
    <t>Табак</t>
  </si>
  <si>
    <t>47.870514 56.645838</t>
  </si>
  <si>
    <t>Центр протезирования и ортопедии</t>
  </si>
  <si>
    <t>+7 (917) 071-62-61</t>
  </si>
  <si>
    <t>47.852477 56.631245</t>
  </si>
  <si>
    <t>Смайл</t>
  </si>
  <si>
    <t>+7 (8362) 76-03-03, +7 (8362) 76-04-04</t>
  </si>
  <si>
    <t xml:space="preserve">smile.stom12@mail.ru  </t>
  </si>
  <si>
    <t>http://smile12.ru/</t>
  </si>
  <si>
    <t>https://vk.com/smile12.stom</t>
  </si>
  <si>
    <t>https://www.instagram.com/smile12.stom/</t>
  </si>
  <si>
    <t>47.922003 56.628435</t>
  </si>
  <si>
    <t>47.882138 56.631333</t>
  </si>
  <si>
    <t>47.884617 56.62285</t>
  </si>
  <si>
    <t>47.831722 56.625664</t>
  </si>
  <si>
    <t>47.880047 56.624909</t>
  </si>
  <si>
    <t>Россия, Республика Марий Эл, Йошкар-Ола, 1-й микрорайон</t>
  </si>
  <si>
    <t>47.86807 56.641662</t>
  </si>
  <si>
    <t>Yoenglish</t>
  </si>
  <si>
    <t>+7 (917) 719-15-05</t>
  </si>
  <si>
    <t>https://vk.com/yoenglish12</t>
  </si>
  <si>
    <t>Квадраты</t>
  </si>
  <si>
    <t>Комсомольская ул., 94, Йошкар-Ола</t>
  </si>
  <si>
    <t>+7 (8362) 44-95-66</t>
  </si>
  <si>
    <t>47.896401 56.641718</t>
  </si>
  <si>
    <t>Красноармейская ул., 51А, Йошкар-Ола</t>
  </si>
  <si>
    <t>47.890647 56.641394</t>
  </si>
  <si>
    <t>47.869705 56.652683</t>
  </si>
  <si>
    <t>Ресо-гарантия</t>
  </si>
  <si>
    <t>47.864213 56.642517</t>
  </si>
  <si>
    <t>Ленинградская ул., 2, корп. 3, Йошкар-Ола</t>
  </si>
  <si>
    <t>47.977345 56.636073</t>
  </si>
  <si>
    <t>Гарант плюс</t>
  </si>
  <si>
    <t>47.862566 56.646487</t>
  </si>
  <si>
    <t>Пятачок</t>
  </si>
  <si>
    <t>47.877832 56.639281</t>
  </si>
  <si>
    <t>СтройХолдинг</t>
  </si>
  <si>
    <t>+7 (8362) 49-08-19</t>
  </si>
  <si>
    <t>47.913961 56.635695</t>
  </si>
  <si>
    <t>47.841543 56.644492</t>
  </si>
  <si>
    <t>Лён</t>
  </si>
  <si>
    <t>+7 (910) 957-93-03, +7 (987) 726-04-41</t>
  </si>
  <si>
    <t>Магазин одежды, Магазин постельных принадлежностей</t>
  </si>
  <si>
    <t>47.900408 56.63847</t>
  </si>
  <si>
    <t>Торговый центр Орбита</t>
  </si>
  <si>
    <t>47.841623 56.63246</t>
  </si>
  <si>
    <t>Филиал по Республике Марий Эл Рослесинфорг</t>
  </si>
  <si>
    <t>+7 (8362) 55-10-08</t>
  </si>
  <si>
    <t xml:space="preserve">amur.lp@roslesinforg.ru, dal.lp@roslesinforg.ru, kamcht.lp@roslesinforg.ru, primor.lp@roslesinforg.ru, buryat.lp@roslesinforg.ru  </t>
  </si>
  <si>
    <t>https://roslesinforg.ru/</t>
  </si>
  <si>
    <t>Лесничество, лесхоз</t>
  </si>
  <si>
    <t>https://vk.com/veronayola</t>
  </si>
  <si>
    <t>47.871327 56.635499</t>
  </si>
  <si>
    <t>47.832278 56.639701</t>
  </si>
  <si>
    <t>ГБУ Республики Марий Эл Информсреда</t>
  </si>
  <si>
    <t>+7 (8362) 45-01-59, +7 (8362) 41-43-90</t>
  </si>
  <si>
    <t xml:space="preserve">rc@gov.mari.ru, starikov@gov.mari.ru, informsreda@gov.mari.ru  </t>
  </si>
  <si>
    <t>http://informsreda.mari-el.gov.ru/</t>
  </si>
  <si>
    <t>IT-компания, Информационная безопасность, Удостоверяющий центр</t>
  </si>
  <si>
    <t>47.883456 56.630952</t>
  </si>
  <si>
    <t>Эхо плюс</t>
  </si>
  <si>
    <t>47.871217 56.635387</t>
  </si>
  <si>
    <t>Электрика</t>
  </si>
  <si>
    <t>47.839414 56.626831</t>
  </si>
  <si>
    <t>Россия, Республика Марий Эл, Йошкар-Ола, садоводческое некоммерческое товарищество Мир</t>
  </si>
  <si>
    <t>47.968256 56.632481</t>
  </si>
  <si>
    <t>Летта</t>
  </si>
  <si>
    <t>+7 (906) 334-08-08</t>
  </si>
  <si>
    <t>47.922041 56.640196</t>
  </si>
  <si>
    <t>Экспертные системы</t>
  </si>
  <si>
    <t>+7 (917) 700-77-09</t>
  </si>
  <si>
    <t>47.871725 56.642466</t>
  </si>
  <si>
    <t>Крымские чебуреки</t>
  </si>
  <si>
    <t>+7 (8362) 35-25-26</t>
  </si>
  <si>
    <t>ежедневно, 10:30–22:00</t>
  </si>
  <si>
    <t>47.881776 56.638142</t>
  </si>
  <si>
    <t>Offroad база Алёнка</t>
  </si>
  <si>
    <t>ул. Алёнкино, 6А, Йошкар-Ола</t>
  </si>
  <si>
    <t>+7 (937) 114-06-63</t>
  </si>
  <si>
    <t>https://offroad12.org/</t>
  </si>
  <si>
    <t>Автосервис, автотехцентр, Ремонт двигателей, Студия автотюнинга</t>
  </si>
  <si>
    <t>47.825783 56.620258</t>
  </si>
  <si>
    <t>47.921806 56.639096</t>
  </si>
  <si>
    <t>Разбор</t>
  </si>
  <si>
    <t>Авторазбор</t>
  </si>
  <si>
    <t>https://vk.com/autorazbor12rus</t>
  </si>
  <si>
    <t>47.952627 56.649577</t>
  </si>
  <si>
    <t>Сахарок</t>
  </si>
  <si>
    <t>+7 (8352) 55-00-20</t>
  </si>
  <si>
    <t>http://saharok21.ru/</t>
  </si>
  <si>
    <t>47.952348 56.62146</t>
  </si>
  <si>
    <t>пн-пт 09:00–18:30; сб 08:30–16:30</t>
  </si>
  <si>
    <t>47.896128 56.641038</t>
  </si>
  <si>
    <t>+7 (8362) 52-60-60, +7 (8362) 71-87-19</t>
  </si>
  <si>
    <t>+7 (917) 709-32-32</t>
  </si>
  <si>
    <t>Ветеринарная клиника, Гостиница для животных, Приют для животных</t>
  </si>
  <si>
    <t>http://vk.com/id274095521</t>
  </si>
  <si>
    <t>My Brilliant Smile</t>
  </si>
  <si>
    <t>+7 (960) 090-33-77</t>
  </si>
  <si>
    <t>Средства гигиены</t>
  </si>
  <si>
    <t>https://vk.com/my_brilliant_smile_yola12</t>
  </si>
  <si>
    <t>ГК Ралли</t>
  </si>
  <si>
    <t>47.894656 56.619752</t>
  </si>
  <si>
    <t>Сделано с душой</t>
  </si>
  <si>
    <t>+7 (917) 714-80-07</t>
  </si>
  <si>
    <t>47.828247 56.635342</t>
  </si>
  <si>
    <t>Марий Эл Дорстрой, Медведевский филиал</t>
  </si>
  <si>
    <t>47.886987 56.626554</t>
  </si>
  <si>
    <t>ЛогистикАвто</t>
  </si>
  <si>
    <t>+7 (932) 012-67-37</t>
  </si>
  <si>
    <t xml:space="preserve">zakaz@logistic-avto.ru, sm@logistic-avto.ru, tn@logistic-avto.ru, hr@logistic-avto.ru  </t>
  </si>
  <si>
    <t>https://yoshkar-ola.logistic-avto.ru/</t>
  </si>
  <si>
    <t>https://vk.com/club54997850</t>
  </si>
  <si>
    <t>https://www.youtube.com/channel/UCJ2xFrgFvA3B3PlDP-aY3bw</t>
  </si>
  <si>
    <t>https://www.instagram.com/logistic_avto/</t>
  </si>
  <si>
    <t>Магазин Телефоны</t>
  </si>
  <si>
    <t>+7 (8362) 70-27-02</t>
  </si>
  <si>
    <t>Комиссионный магазин, Магазин электроники, Товары для мобильных телефонов</t>
  </si>
  <si>
    <t>ежедневно, 09:00–15:00</t>
  </si>
  <si>
    <t>47.887966 56.632981</t>
  </si>
  <si>
    <t>Студия маникюра</t>
  </si>
  <si>
    <t>+7 (8362) 65-70-08</t>
  </si>
  <si>
    <t>47.89654 56.62863</t>
  </si>
  <si>
    <t>+7 (8362) 45-66-73</t>
  </si>
  <si>
    <t>http://triada12.ru/</t>
  </si>
  <si>
    <t>+7 (8362) 23-34-44</t>
  </si>
  <si>
    <t>+7 (987) 711-50-59</t>
  </si>
  <si>
    <t>Флэш-плюс</t>
  </si>
  <si>
    <t>+7 (8362) 45-41-90</t>
  </si>
  <si>
    <t>47.897274 56.635241</t>
  </si>
  <si>
    <t>47.873201 56.61911</t>
  </si>
  <si>
    <t>Очистные сооружения</t>
  </si>
  <si>
    <t>Россия, Республика Марий Эл, Йошкар-Ола, микрорайон Ширяйково</t>
  </si>
  <si>
    <t>47.918638 56.612835</t>
  </si>
  <si>
    <t>Спецтехизоляция, завод № 1</t>
  </si>
  <si>
    <t>8 (800) 707-30-51</t>
  </si>
  <si>
    <t xml:space="preserve">info@volgadiod.ru  </t>
  </si>
  <si>
    <t>http://volgadiod.ru/</t>
  </si>
  <si>
    <t>47.856256 56.650364</t>
  </si>
  <si>
    <t>Центр диагностики Maha</t>
  </si>
  <si>
    <t>47.872695 56.629684</t>
  </si>
  <si>
    <t>Ингосстрах</t>
  </si>
  <si>
    <t>+7 (937) 937-22-67</t>
  </si>
  <si>
    <t>Канцсити</t>
  </si>
  <si>
    <t>47.820899 56.633257</t>
  </si>
  <si>
    <t>Zебра</t>
  </si>
  <si>
    <t>+7 (8362) 40-31-40</t>
  </si>
  <si>
    <t>+7 (929) 733-31-40</t>
  </si>
  <si>
    <t>http://сауна-зебра.рф/</t>
  </si>
  <si>
    <t>47.897457 56.64995</t>
  </si>
  <si>
    <t>47.875092 56.638985</t>
  </si>
  <si>
    <t>Дип</t>
  </si>
  <si>
    <t>Day In Way</t>
  </si>
  <si>
    <t>+7 (927) 881-50-00</t>
  </si>
  <si>
    <t xml:space="preserve">diw12@mail.ru  </t>
  </si>
  <si>
    <t>https://vk.com/diw12</t>
  </si>
  <si>
    <t>Планета покупок</t>
  </si>
  <si>
    <t>47.917707 56.627419</t>
  </si>
  <si>
    <t>Страна подарков</t>
  </si>
  <si>
    <t>+7 (909) 369-59-84</t>
  </si>
  <si>
    <t>+7 (8362) 44-08-08</t>
  </si>
  <si>
    <t>+7 (902) 744-08-08</t>
  </si>
  <si>
    <t>47.934261 56.637115</t>
  </si>
  <si>
    <t>Министерство Юстиции РФ Йошкар-Олинский филиал Чувашской Лаборатории Судебной Экспертизы</t>
  </si>
  <si>
    <t>Судебно-медицинская экспертиза, Экспертиза</t>
  </si>
  <si>
    <t>47.855577 56.649367</t>
  </si>
  <si>
    <t>ИП Леухин</t>
  </si>
  <si>
    <t>Медицинская ул., 16, Йошкар-Ола</t>
  </si>
  <si>
    <t>47.968338 56.639783</t>
  </si>
  <si>
    <t>Клуб здорового образа жизни Измени себя</t>
  </si>
  <si>
    <t>+7 (917) 700-66-69, +7 (902) 664-11-52</t>
  </si>
  <si>
    <t>http://kl6236.polzdr.ru/</t>
  </si>
  <si>
    <t>пн-сб 07:00–11:00</t>
  </si>
  <si>
    <t>Магазин орехов и сухофруктов</t>
  </si>
  <si>
    <t>47.884623 56.634078</t>
  </si>
  <si>
    <t>Moska</t>
  </si>
  <si>
    <t>http://moska.su/, http://msa.ru.com/</t>
  </si>
  <si>
    <t>Магазин одежды, Спортивный магазин</t>
  </si>
  <si>
    <t>47.892739 56.63875</t>
  </si>
  <si>
    <t>47.913954 56.626865</t>
  </si>
  <si>
    <t>Домоуправление № 116</t>
  </si>
  <si>
    <t>ул. Кутрухина, 11, Йошкар-Ола</t>
  </si>
  <si>
    <t>47.948683 56.626912</t>
  </si>
  <si>
    <t>Термоджет</t>
  </si>
  <si>
    <t>8 (800) 100-19-75</t>
  </si>
  <si>
    <t xml:space="preserve">moscow.ru.sfs@siemens.com, kabanova.n@baltlease.ru, element77@ulh.ru  </t>
  </si>
  <si>
    <t>http://yoshkarola.thermojet.ru/</t>
  </si>
  <si>
    <t>Отопительное оборудование и системы, Производственное предприятие, Теплоснабжение</t>
  </si>
  <si>
    <t xml:space="preserve">franshiza@bubnovsky.org  </t>
  </si>
  <si>
    <t>http://www.bubnovsky.org/, https://yoshkar-ola.bubnovsky.org/</t>
  </si>
  <si>
    <t>47.888046 56.634999</t>
  </si>
  <si>
    <t>Еатк</t>
  </si>
  <si>
    <t>47.882088 56.632551</t>
  </si>
  <si>
    <t>Apartment on Uraeva</t>
  </si>
  <si>
    <t>бул. Ураева, 8А, Йошкар-Ола</t>
  </si>
  <si>
    <t>47.929119 56.639806</t>
  </si>
  <si>
    <t>Интернет-магазин klinker-ola.ru</t>
  </si>
  <si>
    <t>+7 (902) 100-07-39</t>
  </si>
  <si>
    <t>Интернет-магазин, Строительный магазин</t>
  </si>
  <si>
    <t>47.907558 56.631273</t>
  </si>
  <si>
    <t>Наша Арена</t>
  </si>
  <si>
    <t>ул. Суворова, 26, корп. 106, Йошкар-Ола</t>
  </si>
  <si>
    <t>+7 (906) 336-51-54</t>
  </si>
  <si>
    <t>47.855941 56.640165</t>
  </si>
  <si>
    <t>Семёновская Пилорама</t>
  </si>
  <si>
    <t>+7 (960) 096-77-22</t>
  </si>
  <si>
    <t xml:space="preserve">pilorama@izmassiva.ru  </t>
  </si>
  <si>
    <t>https://pilomaterial-yoshkar-ola.company.site/</t>
  </si>
  <si>
    <t>Пиломатериалы, Столярные работы, Строительство бань и саун</t>
  </si>
  <si>
    <t>47.954274 56.65022</t>
  </si>
  <si>
    <t>47.888496 56.625435</t>
  </si>
  <si>
    <t>Hover</t>
  </si>
  <si>
    <t xml:space="preserve">condor_avto@mail.ru  </t>
  </si>
  <si>
    <t>http://condor12.ru/</t>
  </si>
  <si>
    <t>47.872873 56.653739</t>
  </si>
  <si>
    <t>Сернурский Сырзавод</t>
  </si>
  <si>
    <t>Picasso</t>
  </si>
  <si>
    <t>+7 (961) 337-90-57</t>
  </si>
  <si>
    <t>47.906112 56.63005</t>
  </si>
  <si>
    <t>+7 (8362) 52-94-94</t>
  </si>
  <si>
    <t>http://elf-mebel.ru/</t>
  </si>
  <si>
    <t>Детская мебель, Корпусная мебель, Мебель для кухни, Мебель для офиса, Мебель на заказ, Мебельная фабрика</t>
  </si>
  <si>
    <t>Холодтехпром</t>
  </si>
  <si>
    <t>Россия, Республика Марий Эл, Йошкар-Ола, улица Пугачёва</t>
  </si>
  <si>
    <t>+7 (8362) 34-80-43</t>
  </si>
  <si>
    <t xml:space="preserve">holodtech@mail.ru </t>
  </si>
  <si>
    <t>https://yoshkar-ola.holodtp.ru/</t>
  </si>
  <si>
    <t>Оборудование для ресторанов, Промышленное холодильное оборудование, Торговое оборудование</t>
  </si>
  <si>
    <t>Церковь царственных страстотерпцев</t>
  </si>
  <si>
    <t>47.839088 56.629569</t>
  </si>
  <si>
    <t>+7 (8362) 73-34-99</t>
  </si>
  <si>
    <t>+7 (964) 860-88-77, +7 (904) 724-40-85</t>
  </si>
  <si>
    <t xml:space="preserve">tkrotor@yandex.ru, support@tiu.ru, 14370afcdc17429f9e418d5ffbd0334a@sentry.wixpress.com, firmarotor12@yandex.ru, wixofday@wix.com  </t>
  </si>
  <si>
    <t>https://tkrotor.ru/, http://www.rotor12.ru/</t>
  </si>
  <si>
    <t>Редукторы, Ремонт электрооборудования, Электродвигатели</t>
  </si>
  <si>
    <t>47.900991 56.63847</t>
  </si>
  <si>
    <t>Солнечная поляна</t>
  </si>
  <si>
    <t>Советская ул., 123А, Йошкар-Ола</t>
  </si>
  <si>
    <t>+7 (8362) 54-10-54</t>
  </si>
  <si>
    <t>Продажа земельных участков, Строительство дачных домов и коттеджей</t>
  </si>
  <si>
    <t>47.898961 56.635996</t>
  </si>
  <si>
    <t>Хлебозавод № 20</t>
  </si>
  <si>
    <t>+7 (8362) 33-56-91</t>
  </si>
  <si>
    <t>47.832666 56.63909</t>
  </si>
  <si>
    <t>47.884594 56.634045</t>
  </si>
  <si>
    <t>Сладкий мирок</t>
  </si>
  <si>
    <t>ежедневно, 05:00–18:00</t>
  </si>
  <si>
    <t>47.884954 56.619908</t>
  </si>
  <si>
    <t>Центр грудничкового плавания Буль-Буль</t>
  </si>
  <si>
    <t>Первомайская ул., 80, Йошкар-Ола, Россия</t>
  </si>
  <si>
    <t>+7 (937) 935-40-20</t>
  </si>
  <si>
    <t xml:space="preserve">bulbulyo01@mail.ru  </t>
  </si>
  <si>
    <t>http://bulbulcentr.ru/yoshka</t>
  </si>
  <si>
    <t>Клуб для детей и подростков, Фитнес-клуб, Центр развития ребенка</t>
  </si>
  <si>
    <t>47.892682 56.647712</t>
  </si>
  <si>
    <t>Квартиры посуточно Deluxe</t>
  </si>
  <si>
    <t>Красноармейская ул., 92, Йошкар-Ола</t>
  </si>
  <si>
    <t>47.869039 56.646801</t>
  </si>
  <si>
    <t>Мариэкспресс</t>
  </si>
  <si>
    <t>+7 (8362) 33-00-43</t>
  </si>
  <si>
    <t>47.868899 56.653888</t>
  </si>
  <si>
    <t>Мастер - клининг</t>
  </si>
  <si>
    <t>+7 (927) 888-45-96, +7 (902) 325-23-14</t>
  </si>
  <si>
    <t>Компания Промышленного Альпинизма</t>
  </si>
  <si>
    <t>Детский садик 47. Чудо остров</t>
  </si>
  <si>
    <t>ул. Кирова, 15Б, Йошкар-Ола</t>
  </si>
  <si>
    <t>47.930137 56.636406</t>
  </si>
  <si>
    <t>Фармация</t>
  </si>
  <si>
    <t>47.952484 56.640382</t>
  </si>
  <si>
    <t>47.84104 56.634403</t>
  </si>
  <si>
    <t>ул. Воинов-Интернационалистов, 32, Йошкар-Ола</t>
  </si>
  <si>
    <t>47.919357 56.637539</t>
  </si>
  <si>
    <t>Бойцовский клуб Единоборец12</t>
  </si>
  <si>
    <t>+7 (8362) 68-68-65</t>
  </si>
  <si>
    <t>http://edinoborec12.ru/</t>
  </si>
  <si>
    <t>пн-пт 09:00–22:00; сб 09:00–21:00</t>
  </si>
  <si>
    <t>47.892653 56.626784</t>
  </si>
  <si>
    <t>47.86311 56.645895</t>
  </si>
  <si>
    <t>Мега пупс</t>
  </si>
  <si>
    <t>Детские игрушки и игры, Магазин детской обуви, Магазин детской одежды</t>
  </si>
  <si>
    <t>47.951987 56.640104</t>
  </si>
  <si>
    <t>ул. 8 Марта, 59А, Йошкар-Ола</t>
  </si>
  <si>
    <t>47.965211 56.64193</t>
  </si>
  <si>
    <t>Котельные-Хитинвест</t>
  </si>
  <si>
    <t>ул. Кольцова, 53, Йошкар-Ола</t>
  </si>
  <si>
    <t>+7 (8362) 32-11-54</t>
  </si>
  <si>
    <t xml:space="preserve">web@support.com, info@aqua-n.ru  </t>
  </si>
  <si>
    <t>http://joshkarola.kotelnie.com/</t>
  </si>
  <si>
    <t>47.861888 56.627733</t>
  </si>
  <si>
    <t>47.907398 56.637073</t>
  </si>
  <si>
    <t>47.862761 56.627828</t>
  </si>
  <si>
    <t>Государственное бюджетное учреждение республики Марий Эл Автотранспортная компания</t>
  </si>
  <si>
    <t>Автомобильные грузоперевозки, Прокат автомобилей</t>
  </si>
  <si>
    <t>Кредит-союз XXI век</t>
  </si>
  <si>
    <t>+7 (8362) 72-09-00, +7 (8362) 45-19-89</t>
  </si>
  <si>
    <t>Buffet</t>
  </si>
  <si>
    <t>47.892347 56.638425</t>
  </si>
  <si>
    <t>47.827676 56.639374</t>
  </si>
  <si>
    <t>Максима</t>
  </si>
  <si>
    <t>+7 (902) 100-20-71</t>
  </si>
  <si>
    <t xml:space="preserve">14370afcdc17429f9e418d5ffbd0334a@sentry.wixpress.com, info@max-cati.ru, wixofday@wix.com  </t>
  </si>
  <si>
    <t>http://max-cati.ru/</t>
  </si>
  <si>
    <t>Социологические исследования</t>
  </si>
  <si>
    <t>Марбис</t>
  </si>
  <si>
    <t>+7 (917) 719-90-29</t>
  </si>
  <si>
    <t>http://marbisrus.ru/</t>
  </si>
  <si>
    <t>Внешнеторговые и внешнеэкономические организации</t>
  </si>
  <si>
    <t>ежедневно, 09:00–19:30, перерыв 13:15–14:00</t>
  </si>
  <si>
    <t>47.865282 56.645634</t>
  </si>
  <si>
    <t>Ипотека-Про</t>
  </si>
  <si>
    <t>+7 (8362) 55-08-55</t>
  </si>
  <si>
    <t>+7 (967) 755-08-55</t>
  </si>
  <si>
    <t xml:space="preserve">ipoteka-pro@yandex.ru  </t>
  </si>
  <si>
    <t>http://ipoteka12.ru/</t>
  </si>
  <si>
    <t>Брокерская компания, Инвестиционная компания, Ипотечное агентство</t>
  </si>
  <si>
    <t>https://vk.com/ipoteka12</t>
  </si>
  <si>
    <t>https://ok.ru/ipoteka12</t>
  </si>
  <si>
    <t>47.927358 56.629394</t>
  </si>
  <si>
    <t>47.892861 56.645708</t>
  </si>
  <si>
    <t>47.92468 56.639795</t>
  </si>
  <si>
    <t>Первая Региональная Общестроительная Компания</t>
  </si>
  <si>
    <t>+7 (902) 124-39-70, +7 (964) 861-31-35, +7 (964) 863-42-19</t>
  </si>
  <si>
    <t>http://окнадома.рф/</t>
  </si>
  <si>
    <t>47.841182 56.632783</t>
  </si>
  <si>
    <t>МПТ Обособленное подразделение г. Йошкар-Ола</t>
  </si>
  <si>
    <t>+7 (962) 588-34-08</t>
  </si>
  <si>
    <t>Комильфо</t>
  </si>
  <si>
    <t>+7 (8362) 55-08-38</t>
  </si>
  <si>
    <t>Хореографическое училище</t>
  </si>
  <si>
    <t>Dream Art</t>
  </si>
  <si>
    <t>Художественная мастерская, Художественный салон</t>
  </si>
  <si>
    <t>47.964269 56.641001</t>
  </si>
  <si>
    <t>Rg</t>
  </si>
  <si>
    <t>47.890094 56.632531</t>
  </si>
  <si>
    <t>+7 (8362) 44-10-17</t>
  </si>
  <si>
    <t>Паркет 73</t>
  </si>
  <si>
    <t>8 (800) 511-94-96</t>
  </si>
  <si>
    <t xml:space="preserve">ulyanovsk@parket73.ru, joshkar-ola@parket73.ru  </t>
  </si>
  <si>
    <t>https://parket73.ru/, https://joshkar-ola.parket73.ru/</t>
  </si>
  <si>
    <t>Двери, Ламинат, Паркет, Строительный гипермаркет</t>
  </si>
  <si>
    <t>https://vk.com/parket73</t>
  </si>
  <si>
    <t>https://ok.ru/group/54224426631381</t>
  </si>
  <si>
    <t>https://instagram.com/parket73/</t>
  </si>
  <si>
    <t>Конфеты и печенье</t>
  </si>
  <si>
    <t>47.863445 56.649621</t>
  </si>
  <si>
    <t>Десертрум</t>
  </si>
  <si>
    <t>+7 (967) 755-09-70</t>
  </si>
  <si>
    <t>47.92705 56.629178</t>
  </si>
  <si>
    <t>Специальное Конструкторско-технологическое Бюро Сатурн</t>
  </si>
  <si>
    <t>+7 (8362) 74-09-85</t>
  </si>
  <si>
    <t>Плейбери</t>
  </si>
  <si>
    <t>+7 (8362) 67-79-00</t>
  </si>
  <si>
    <t>+7 (902) 436-70-03</t>
  </si>
  <si>
    <t>Югория</t>
  </si>
  <si>
    <t>8 (800) 100-82-00, +7 (8362) 30-42-11</t>
  </si>
  <si>
    <t xml:space="preserve">ccenter@ugsk.ru, mail@ugsk.ru, corp@ugsk.ru, personal@ugsk.ru, 3apersonal@ugsk.ru  </t>
  </si>
  <si>
    <t>https://www.ugsk.ru/</t>
  </si>
  <si>
    <t>https://vk.com/ugoria24</t>
  </si>
  <si>
    <t>http://twitter.com/ugoria24</t>
  </si>
  <si>
    <t>http://facebook.com/ugoria24</t>
  </si>
  <si>
    <t>http://instagram.com/ugoria24</t>
  </si>
  <si>
    <t>+7 (8362) 34-13-42</t>
  </si>
  <si>
    <t>+7 (902) 358-68-82</t>
  </si>
  <si>
    <t>Детская поликлиника, Медицинская лаборатория, Медцентр, клиника, Поликлиника для взрослых</t>
  </si>
  <si>
    <t>http://youtube.com/channel/UCfTGO05kCA66zBUJnx4agew</t>
  </si>
  <si>
    <t>https://www.instagram.com/mc_amelik</t>
  </si>
  <si>
    <t>47.901281 56.639703</t>
  </si>
  <si>
    <t>47.847214 56.660816</t>
  </si>
  <si>
    <t>Империум</t>
  </si>
  <si>
    <t>+7 (909) 369-99-55</t>
  </si>
  <si>
    <t>Автоателье, Студия автотюнинга</t>
  </si>
  <si>
    <t>https://vk.com/public89698380</t>
  </si>
  <si>
    <t>47.872989 56.650805</t>
  </si>
  <si>
    <t>+7 (8362) 77-70-00, +7 (8362) 77-77-70</t>
  </si>
  <si>
    <t>ул. Суворова, 3А, Йошкар-Ола</t>
  </si>
  <si>
    <t>47.873343 56.629418</t>
  </si>
  <si>
    <t>47.94652 56.623394</t>
  </si>
  <si>
    <t>Салон оптики Вау</t>
  </si>
  <si>
    <t>http://optikabay.ru/</t>
  </si>
  <si>
    <t>47.888798 56.629677</t>
  </si>
  <si>
    <t>Холодный мир</t>
  </si>
  <si>
    <t>+7 (917) 710-73-37</t>
  </si>
  <si>
    <t xml:space="preserve">info@reg.ru, tm@reg.ru, sales@site.ru, user@example.ru, you@yourcompany.com </t>
  </si>
  <si>
    <t>Метма-мебель</t>
  </si>
  <si>
    <t>+7 (8362) 55-12-00</t>
  </si>
  <si>
    <t xml:space="preserve">vsevorota12@mail.ru  </t>
  </si>
  <si>
    <t>https://hoermann12.ru/</t>
  </si>
  <si>
    <t>Коробки для переезда</t>
  </si>
  <si>
    <t>+7 (8362) 95-00-20</t>
  </si>
  <si>
    <t>47.924076 56.63841</t>
  </si>
  <si>
    <t>станция Дубки</t>
  </si>
  <si>
    <t>Непассажирская станция</t>
  </si>
  <si>
    <t>47.971467 56.627184</t>
  </si>
  <si>
    <t>47.946627 56.625958</t>
  </si>
  <si>
    <t>Солнечный город</t>
  </si>
  <si>
    <t>+7 (8362) 98-15-70</t>
  </si>
  <si>
    <t>http://vk.com/club78294635</t>
  </si>
  <si>
    <t>47.871492 56.638871</t>
  </si>
  <si>
    <t>Музей истории и археологии Республики Марий Эл имени Т. Евсеева</t>
  </si>
  <si>
    <t>+7 (8362) 34-90-42</t>
  </si>
  <si>
    <t>47.907989 56.631586</t>
  </si>
  <si>
    <t>Клевер</t>
  </si>
  <si>
    <t>+7 (961) 335-76-76</t>
  </si>
  <si>
    <t xml:space="preserve">igmarik13@gmail.com  </t>
  </si>
  <si>
    <t>Гипсовые изделия, Изготовление и оптовая продажа сувениров, Товары для интерьера</t>
  </si>
  <si>
    <t>ср-пт 14:00–19:00</t>
  </si>
  <si>
    <t>https://vk.com/clever_decor12</t>
  </si>
  <si>
    <t>47.89015 56.646247</t>
  </si>
  <si>
    <t>Компания Гурман</t>
  </si>
  <si>
    <t>Россия, Республика Марий Эл, Йошкар-Ола, улица Димитрова</t>
  </si>
  <si>
    <t>+7 (8362) 94-69-99</t>
  </si>
  <si>
    <t>+7 (937) 936-12-12</t>
  </si>
  <si>
    <t xml:space="preserve">info@gurman12.ru, contact@example.com, support@gurman12.ru </t>
  </si>
  <si>
    <t>Интернет-магазин, Магазин продуктов</t>
  </si>
  <si>
    <t>47.846437 56.647059</t>
  </si>
  <si>
    <t>Развивай-ка</t>
  </si>
  <si>
    <t>ТТК</t>
  </si>
  <si>
    <t>47.846254 56.627862</t>
  </si>
  <si>
    <t>Автозапчасти 888</t>
  </si>
  <si>
    <t>+7 (8362) 46-06-00, +7 (8362) 43-30-43</t>
  </si>
  <si>
    <t>47.900909 56.647081</t>
  </si>
  <si>
    <t>Modnica</t>
  </si>
  <si>
    <t>47.892848 56.638696</t>
  </si>
  <si>
    <t>Центр раннего развития детей Волшебники</t>
  </si>
  <si>
    <t>+7 (927) 683-90-71</t>
  </si>
  <si>
    <t>7cvetik</t>
  </si>
  <si>
    <t>Россия, Республика Марий Эл, Йошкар-Ола, улица 40 лет Октября</t>
  </si>
  <si>
    <t>47.844878 56.647265</t>
  </si>
  <si>
    <t>Я люблю рисовать</t>
  </si>
  <si>
    <t>47.87374 56.652675</t>
  </si>
  <si>
    <t>Туруновское кладбище</t>
  </si>
  <si>
    <t>Россия, Республика Марий Эл, Йошкар-Ола, Туруновское кладбище</t>
  </si>
  <si>
    <t>Кладбище</t>
  </si>
  <si>
    <t>47.98534 56.630694</t>
  </si>
  <si>
    <t>47.950797 56.639361</t>
  </si>
  <si>
    <t>Газель-Сервис</t>
  </si>
  <si>
    <t>+7 (902) 326-52-56</t>
  </si>
  <si>
    <t>+7 (939) 725-40-03</t>
  </si>
  <si>
    <t>http://www.kfsmak.ru/</t>
  </si>
  <si>
    <t>47.851744 56.63108</t>
  </si>
  <si>
    <t>Porta</t>
  </si>
  <si>
    <t>8 (800) 200-44-07</t>
  </si>
  <si>
    <t xml:space="preserve">info@fmaestro.ru  </t>
  </si>
  <si>
    <t>http://fmaestro.ru/</t>
  </si>
  <si>
    <t>Офис продаж ГК Росинка</t>
  </si>
  <si>
    <t>8 (800) 302-88-29</t>
  </si>
  <si>
    <t xml:space="preserve">rest@gkrosinka.ru, info@gkrosinka.ru  </t>
  </si>
  <si>
    <t>https://www.gkrosinka.ru/</t>
  </si>
  <si>
    <t>https://vk.com/gkrosinka12</t>
  </si>
  <si>
    <t>https://www.instagram.com/gkrosinka.ru</t>
  </si>
  <si>
    <t>47.846583 56.627154</t>
  </si>
  <si>
    <t>47.882623 56.621442</t>
  </si>
  <si>
    <t>Выкуп-Авто</t>
  </si>
  <si>
    <t>+7 (952) 458-57-00</t>
  </si>
  <si>
    <t>47.879495 56.628634</t>
  </si>
  <si>
    <t>Частный логопед-дефектолог</t>
  </si>
  <si>
    <t>+7 (902) 325-78-40</t>
  </si>
  <si>
    <t>пн-пт 14:00–20:00</t>
  </si>
  <si>
    <t>https://vk.com/logoped_1988</t>
  </si>
  <si>
    <t>https://www.instagram.com/ekaterinamominova_logoped/</t>
  </si>
  <si>
    <t>47.846775 56.628055</t>
  </si>
  <si>
    <t>Комбикормовый завод</t>
  </si>
  <si>
    <t>+7 (902) 739-69-99</t>
  </si>
  <si>
    <t>Berito</t>
  </si>
  <si>
    <t>8 (800) 500-74-84</t>
  </si>
  <si>
    <t>https://joshkarola.berito.ru/</t>
  </si>
  <si>
    <t>Детские игрушки и игры, Магазин детской одежды, Магазин одежды</t>
  </si>
  <si>
    <t>47.89541 56.640231</t>
  </si>
  <si>
    <t>Comfortable Apartment in the centre</t>
  </si>
  <si>
    <t>47.878647 56.634698</t>
  </si>
  <si>
    <t>Спутниковое ТВ</t>
  </si>
  <si>
    <t>+7 (917) 070-06-00</t>
  </si>
  <si>
    <t>Профиль групп</t>
  </si>
  <si>
    <t>http://profil-grupp-1.pulscen.ru/</t>
  </si>
  <si>
    <t>47.861187 56.625123</t>
  </si>
  <si>
    <t>Центр здоровья детей</t>
  </si>
  <si>
    <t>47.898978 56.642062</t>
  </si>
  <si>
    <t>47.91077 56.634677</t>
  </si>
  <si>
    <t>Смарти клуб</t>
  </si>
  <si>
    <t>47.873612 56.647627</t>
  </si>
  <si>
    <t>47.841762 56.632214</t>
  </si>
  <si>
    <t>Crossprovider, телекоммуникационная компания</t>
  </si>
  <si>
    <t>8 (800) 550-84-46</t>
  </si>
  <si>
    <t xml:space="preserve">business@crossprovider.ru </t>
  </si>
  <si>
    <t>Сеть фирменных салонов</t>
  </si>
  <si>
    <t>МишаЭкспо</t>
  </si>
  <si>
    <t>8 (800) 707-40-88</t>
  </si>
  <si>
    <t xml:space="preserve">sales@mishaexpo.com, yourmail@mail.com, ceo@mishaexpo.com  </t>
  </si>
  <si>
    <t>https://mishaexpo.com/</t>
  </si>
  <si>
    <t>https://vk.com/mishaexpo</t>
  </si>
  <si>
    <t>https://www.instagram.com/mishaexpo/</t>
  </si>
  <si>
    <t>47.917073 56.637998</t>
  </si>
  <si>
    <t>AM Studia</t>
  </si>
  <si>
    <t>+7 (8362) 55-12-89</t>
  </si>
  <si>
    <t>47.880821 56.636733</t>
  </si>
  <si>
    <t>ГК Мечта</t>
  </si>
  <si>
    <t>ул. Машиностроителей, 109/1, Йошкар-Ола</t>
  </si>
  <si>
    <t>+7 (8362) 44-14-51</t>
  </si>
  <si>
    <t>сб 10:00–13:00</t>
  </si>
  <si>
    <t>47.835004 56.623684</t>
  </si>
  <si>
    <t>47.935858 56.633149</t>
  </si>
  <si>
    <t>Заводпластпродукт</t>
  </si>
  <si>
    <t>+7 (960) 310-61-43</t>
  </si>
  <si>
    <t>Пластмассовые и пластиковые изделия</t>
  </si>
  <si>
    <t>47.885852 56.64076</t>
  </si>
  <si>
    <t>Работаем на 5</t>
  </si>
  <si>
    <t>+7 (987) 725-42-79</t>
  </si>
  <si>
    <t>http://йош-ола.грузчики-переезды-недорого.рф/</t>
  </si>
  <si>
    <t>Автомобильные грузоперевозки, Вывоз мусора и отходов, Снос зданий, Услуги грузчиков</t>
  </si>
  <si>
    <t>Экономь</t>
  </si>
  <si>
    <t>Автомаг</t>
  </si>
  <si>
    <t>ул. Баумана, 100Н, Йошкар-Ола</t>
  </si>
  <si>
    <t>+7 (8362) 73-08-24</t>
  </si>
  <si>
    <t>Crockid</t>
  </si>
  <si>
    <t>47.922055 56.630135</t>
  </si>
  <si>
    <t>Твоё авто</t>
  </si>
  <si>
    <t>+7 (8362) 90-99-09</t>
  </si>
  <si>
    <t>Автосалон, Кредитный брокер, Страхование автомобилей</t>
  </si>
  <si>
    <t>+7 (902) 434-70-43</t>
  </si>
  <si>
    <t>https://instagram.com/viktoria_jeans_</t>
  </si>
  <si>
    <t>Казанский государственный медицинский университет, Йошкар-Олинский учебно-методический центр</t>
  </si>
  <si>
    <t>47.879018 56.648746</t>
  </si>
  <si>
    <t>РосМастер</t>
  </si>
  <si>
    <t>+7 (902) 744-48-00</t>
  </si>
  <si>
    <t xml:space="preserve">taxivizit@bk.ru  </t>
  </si>
  <si>
    <t>https://vk.com/club184260449</t>
  </si>
  <si>
    <t>Икра</t>
  </si>
  <si>
    <t>47.907517 56.627131</t>
  </si>
  <si>
    <t>Лестницы</t>
  </si>
  <si>
    <t>47.839414 56.626834</t>
  </si>
  <si>
    <t>47.846561 56.65225</t>
  </si>
  <si>
    <t>http://instagram.com/sumki_slavia</t>
  </si>
  <si>
    <t>ЖСК Таир</t>
  </si>
  <si>
    <t>+7 (937) 930-37-70</t>
  </si>
  <si>
    <t>пн,ср 09:00–10:00; чт 17:00–18:00; пт 09:00–10:00</t>
  </si>
  <si>
    <t>47.904351 56.617378</t>
  </si>
  <si>
    <t>Выкуп авто</t>
  </si>
  <si>
    <t>47.889376 56.642589</t>
  </si>
  <si>
    <t>Связь-Банк</t>
  </si>
  <si>
    <t>47.932322 56.634092</t>
  </si>
  <si>
    <t>Росгосстрах банк</t>
  </si>
  <si>
    <t>8 (800) 700-40-40</t>
  </si>
  <si>
    <t>http://rgsbank.ru/, https://www.rgsbank.ru/?utm_campaign=glavnay&amp;utm_medium=cpc&amp;utm_source=yandex_geo</t>
  </si>
  <si>
    <t>47.880842 56.632189</t>
  </si>
  <si>
    <t>Автосервис Гарант</t>
  </si>
  <si>
    <t>+7 (8362) 68-16-31</t>
  </si>
  <si>
    <t xml:space="preserve">info@autoservice-garant.ru  </t>
  </si>
  <si>
    <t>http://autoservice-garant.ru/?utm_campaign=service_garant_joshkarola_stroitelej_sitelinku0026utm_content=yandex_map_service_garant_joshkarola_stroitelej_sitelinku0026utm_medium=mapu0026utm_source=yandex</t>
  </si>
  <si>
    <t>пн-пт 08:00–19:00; вс 09:00–17:00</t>
  </si>
  <si>
    <t>https://vk.com/ttsgarant</t>
  </si>
  <si>
    <t>https://ok.ru/group/55154770313470</t>
  </si>
  <si>
    <t>https://www.instagram.com/autoservice_garant/</t>
  </si>
  <si>
    <t>47.928192 56.625663</t>
  </si>
  <si>
    <t>Нитка</t>
  </si>
  <si>
    <t>+7 (917) 705-61-77</t>
  </si>
  <si>
    <t>Ателье по пошиву одежды, Нитки, пряжа, Товары для творчества и рукоделия</t>
  </si>
  <si>
    <t>https://vk.com/longst</t>
  </si>
  <si>
    <t>47.921301 56.630347</t>
  </si>
  <si>
    <t>47.89349 56.631485</t>
  </si>
  <si>
    <t>Физкультурно-оздоровительный комплекс Юбилейный</t>
  </si>
  <si>
    <t>+7 (8362) 30-48-46, +7 (8362) 64-19-85, +7 (8362) 64-16-20, +7 (8362) 45-10-91, +7 (8362) 45-00-14</t>
  </si>
  <si>
    <t>47.886858 56.623112</t>
  </si>
  <si>
    <t>Россия, Республика Марий Эл, Йошкар-Ола, улица Ломоносова</t>
  </si>
  <si>
    <t>47.894295 56.611189</t>
  </si>
  <si>
    <t>47.928199 56.627687</t>
  </si>
  <si>
    <t>+7 (906) 335-41-36</t>
  </si>
  <si>
    <t xml:space="preserve">burovik112@yandex.ru, mail@example.com  </t>
  </si>
  <si>
    <t>http://burtech12.ru/burenie-skvazhin-na-vodu</t>
  </si>
  <si>
    <t>St10</t>
  </si>
  <si>
    <t>+7 (927) 876-31-03</t>
  </si>
  <si>
    <t>47.945503 56.646915</t>
  </si>
  <si>
    <t>Местный</t>
  </si>
  <si>
    <t>47.926114 56.635038</t>
  </si>
  <si>
    <t>Дубрава</t>
  </si>
  <si>
    <t>ежедневно, 05:00–02:00</t>
  </si>
  <si>
    <t>47.85737 56.652083</t>
  </si>
  <si>
    <t>Кондитерская мастерская DolceVita</t>
  </si>
  <si>
    <t>+7 (927) 872-23-41</t>
  </si>
  <si>
    <t>https://vk.com/dolcevita_bakery</t>
  </si>
  <si>
    <t>https://instagram.com/dolcevita_bakery</t>
  </si>
  <si>
    <t>Единица</t>
  </si>
  <si>
    <t xml:space="preserve">medcentr-edinica@yandex.ru </t>
  </si>
  <si>
    <t>47.897394 56.634155</t>
  </si>
  <si>
    <t>47.946773 56.637323</t>
  </si>
  <si>
    <t>ЭкспрессДвери</t>
  </si>
  <si>
    <t>+7 (8362) 32-05-20</t>
  </si>
  <si>
    <t>+7 (902) 108-77-40</t>
  </si>
  <si>
    <t>https://vk.com/expressdoors12</t>
  </si>
  <si>
    <t>https://ok.ru/expressdoors12</t>
  </si>
  <si>
    <t>https://www.instagram.com/sklad_dveri_yola/</t>
  </si>
  <si>
    <t>Оптика Хрусталик</t>
  </si>
  <si>
    <t>+7 (8362) 77-24-44</t>
  </si>
  <si>
    <t>+7 (902) 739-24-44</t>
  </si>
  <si>
    <t>47.894399 56.640512</t>
  </si>
  <si>
    <t>ТехноЛингва</t>
  </si>
  <si>
    <t>+7 (8362) 62-20-50</t>
  </si>
  <si>
    <t>+7 (987) 728-51-81</t>
  </si>
  <si>
    <t xml:space="preserve">info@technolingua.ru, translators@technolingua.ru, technolingua@yandex.ru  </t>
  </si>
  <si>
    <t>https://technolingua.ru/</t>
  </si>
  <si>
    <t>https://vk.com/technolingua</t>
  </si>
  <si>
    <t>https://www.instagram.com/technolingua/</t>
  </si>
  <si>
    <t>47.917198 56.636716</t>
  </si>
  <si>
    <t>Анатоль</t>
  </si>
  <si>
    <t>+7 (917) 718-34-24</t>
  </si>
  <si>
    <t>Косметология, Парикмахерская</t>
  </si>
  <si>
    <t>47.841278 56.64169</t>
  </si>
  <si>
    <t>47.865809 56.645836</t>
  </si>
  <si>
    <t>Точка дыма</t>
  </si>
  <si>
    <t>+7 (8362) 95-55-78</t>
  </si>
  <si>
    <t>Игровые приставки, Кальян-бар, Настольные и интеллектуальные игры</t>
  </si>
  <si>
    <t>пн-чт 12:00–01:00; пт 12:00–03:00; сб 14:00–03:00; вс 14:00–01:00</t>
  </si>
  <si>
    <t>https://vk.com/tochka_dyma12</t>
  </si>
  <si>
    <t>http://instagram.com/tochka_dyma12</t>
  </si>
  <si>
    <t>47.877393 56.628732</t>
  </si>
  <si>
    <t>КузовАвто</t>
  </si>
  <si>
    <t>https://www.instagram.com/konstantin_sh9/</t>
  </si>
  <si>
    <t>47.949417 56.6449</t>
  </si>
  <si>
    <t>47.885981 56.638042</t>
  </si>
  <si>
    <t>47.891758 56.641975</t>
  </si>
  <si>
    <t>47.896275 56.627972</t>
  </si>
  <si>
    <t>Жилой дом по ул. Первомайская, 49</t>
  </si>
  <si>
    <t>+7 (8362) 56-57-66</t>
  </si>
  <si>
    <t>http://www.дск-5.рф/</t>
  </si>
  <si>
    <t>47.894836 56.649441</t>
  </si>
  <si>
    <t>Диета</t>
  </si>
  <si>
    <t>Диетические и диабетические продукты</t>
  </si>
  <si>
    <t>47.888014 56.634964</t>
  </si>
  <si>
    <t>H&amp;M</t>
  </si>
  <si>
    <t>8 (800) 500-78-00</t>
  </si>
  <si>
    <t xml:space="preserve">info.kr@hm.com, customerservice.cn@hm.com, info@hm.com, customerservice.hk.en@hm.com, customerservice.hk.zh@hm.com, info.hk@hm.com, customerservice.mo.en@hm.com, customerservice.mo.zh@hm.com, info.mo@hm.com, customerservice.my.en@hm.com </t>
  </si>
  <si>
    <t>http://www2.hm.com/ru_ru/, http://www2.hm.com/ru_ru/?utm_campaign=RU0756&amp;utm_medium=organic&amp;utm_source=facebook_location</t>
  </si>
  <si>
    <t>Магазин верхней одежды, Магазин галантереи и аксессуаров, Магазин детской одежды, Магазин джинсовой одежды, Магазин обуви, Магазин одежды</t>
  </si>
  <si>
    <t>https://vk.com/hmrussia</t>
  </si>
  <si>
    <t>https://twitter.com/hmrussia</t>
  </si>
  <si>
    <t>https://www.facebook.com/hmrussia</t>
  </si>
  <si>
    <t>http://www.youtube.com/user/hennesandmauritz</t>
  </si>
  <si>
    <t>https://www.instagram.com/hm</t>
  </si>
  <si>
    <t>47.930246 56.627526</t>
  </si>
  <si>
    <t>Мариуралтраксервис</t>
  </si>
  <si>
    <t>+7 (8362) 73-59-99, +7 (8362) 72-02-09</t>
  </si>
  <si>
    <t>+7 (987) 709-10-47, +7 (917) 071-16-86</t>
  </si>
  <si>
    <t xml:space="preserve">14370afcdc17429f9e418d5ffbd0334a@sentry.wixpress.com, btk_muts@mail.ru, xxxxxxxl@xxxex.ru, wixofday@wix.com  </t>
  </si>
  <si>
    <t>http://www.btkmuts.com/</t>
  </si>
  <si>
    <t>Ремонт сельскохозяйственной техники, Сельскохозяйственная техника</t>
  </si>
  <si>
    <t>Апартаменты Петрова 27</t>
  </si>
  <si>
    <t>47.923801 56.640545</t>
  </si>
  <si>
    <t>Дыдынский Андрей Рудольфович</t>
  </si>
  <si>
    <t>+7 (961) 336-06-01</t>
  </si>
  <si>
    <t xml:space="preserve">yanina98@mail.ru  </t>
  </si>
  <si>
    <t>http://dydynskiy.ru/</t>
  </si>
  <si>
    <t>Психотерапевтическая помощь, Семейное консультирование</t>
  </si>
  <si>
    <t>пн-сб 13:00–19:00</t>
  </si>
  <si>
    <t>47.887654 56.629579</t>
  </si>
  <si>
    <t>47.83014 56.633357</t>
  </si>
  <si>
    <t>ул. Йывана Кырли, 19А, Йошкар-Ола</t>
  </si>
  <si>
    <t>Безалкогольные напитки оптом, Магазин пива</t>
  </si>
  <si>
    <t>47.838907 56.641647</t>
  </si>
  <si>
    <t>47.883182 56.63343</t>
  </si>
  <si>
    <t>Проектное бюро</t>
  </si>
  <si>
    <t>47.866191 56.644675</t>
  </si>
  <si>
    <t>Марийская транспортная компания</t>
  </si>
  <si>
    <t>Автобусные междугородные перевозки, Автомобильные грузоперевозки</t>
  </si>
  <si>
    <t>ежедневно, 06:00–18:00</t>
  </si>
  <si>
    <t>47.885126 56.620083</t>
  </si>
  <si>
    <t>Уралкомавто Йошкар-Ола</t>
  </si>
  <si>
    <t>8 (800) 551-65-46</t>
  </si>
  <si>
    <t xml:space="preserve">9270255812@mail.ru, uka89276873344@mail.ru  </t>
  </si>
  <si>
    <t>https://yoshkar-ola.uralkomavto.ru/</t>
  </si>
  <si>
    <t>Верита</t>
  </si>
  <si>
    <t>+7 (8362) 70-58-57, +7 (8362) 94-00-71, +7 (8362) 40-15-03</t>
  </si>
  <si>
    <t>+7 (902) 465-58-57, +7 (902) 664-00-71, +7 (929) 733-15-03</t>
  </si>
  <si>
    <t>47.887845 56.634356</t>
  </si>
  <si>
    <t>Салон цветов Lady Fleur</t>
  </si>
  <si>
    <t>+7 (8362) 41-11-27, +7 (8362) 90-22-90</t>
  </si>
  <si>
    <t>47.898402 56.634143</t>
  </si>
  <si>
    <t>1000 Самоцветов</t>
  </si>
  <si>
    <t>+7 (902) 465-66-59</t>
  </si>
  <si>
    <t xml:space="preserve">samocvetov1000@yandex.ru  </t>
  </si>
  <si>
    <t>http://1000samotsvetov.ru/</t>
  </si>
  <si>
    <t>https://vk.com/club42456527</t>
  </si>
  <si>
    <t>47.895004 56.639739</t>
  </si>
  <si>
    <t>47.869326 56.640089</t>
  </si>
  <si>
    <t>47.855824 56.645841</t>
  </si>
  <si>
    <t>47.868941 56.642294</t>
  </si>
  <si>
    <t>Женская одежда</t>
  </si>
  <si>
    <t>47.837286 56.640066</t>
  </si>
  <si>
    <t>ул. Машиностроителей, 132Б, Йошкар-Ола</t>
  </si>
  <si>
    <t>47.82155 56.629044</t>
  </si>
  <si>
    <t>47.856152 56.622735</t>
  </si>
  <si>
    <t>47.83591 56.636857</t>
  </si>
  <si>
    <t>ул. Героев Сталинградской Битвы, 37А, Йошкар-Ола</t>
  </si>
  <si>
    <t>47.946803 56.624013</t>
  </si>
  <si>
    <t>47.946968 56.626209</t>
  </si>
  <si>
    <t>КТС Ресурс</t>
  </si>
  <si>
    <t>ул. Мира, 113Е, Йошкар-Ола</t>
  </si>
  <si>
    <t>+7 (929) 733-16-00</t>
  </si>
  <si>
    <t xml:space="preserve">ktsresurs@yandex.ru  </t>
  </si>
  <si>
    <t>http://www.ktsresurs.ru/</t>
  </si>
  <si>
    <t>Машиностроительный завод, Металлообрабатывающее оборудование, Металлообработка</t>
  </si>
  <si>
    <t>47.935298 56.635381</t>
  </si>
  <si>
    <t>47.917737 56.631489</t>
  </si>
  <si>
    <t>47.929037 56.629522</t>
  </si>
  <si>
    <t>Жилдорстрой</t>
  </si>
  <si>
    <t>+7 (8362) 58-41-51</t>
  </si>
  <si>
    <t>Школа скорочтения и развития интеллекта IQ 007</t>
  </si>
  <si>
    <t>8 (804) 333-80-07, +7 (8362) 39-30-07</t>
  </si>
  <si>
    <t xml:space="preserve">info@iq007.ru, iq007-lenina@mail.ru, alehiya2016@yandex.ru, iq007u@mail.ru, jakupova_katya@mail.ru  </t>
  </si>
  <si>
    <t>http://iq007.ru/citylist/yoshkar-ola/ul-voinov-internacionalistov-34, http://iq007.ru/</t>
  </si>
  <si>
    <t>Дополнительное образование, Клуб для детей и подростков, Учебный центр, Центр развития ребенка</t>
  </si>
  <si>
    <t>http://vk.com/iq007ru</t>
  </si>
  <si>
    <t>http://facebook.com/allschoolIq007</t>
  </si>
  <si>
    <t>http://instagram.com/iq007_yoshkar_ola/</t>
  </si>
  <si>
    <t>47.916913 56.636768</t>
  </si>
  <si>
    <t>Академия Туризма</t>
  </si>
  <si>
    <t>47.887122 56.640332</t>
  </si>
  <si>
    <t>ЙоКАТ</t>
  </si>
  <si>
    <t>+7 (8262) 25-24-41</t>
  </si>
  <si>
    <t>Пункт проката, Строительный инструмент</t>
  </si>
  <si>
    <t>https://vk.com/tehnik12</t>
  </si>
  <si>
    <t>Wow!</t>
  </si>
  <si>
    <t>Салон бровей и ресниц, Салон красоты</t>
  </si>
  <si>
    <t>47.890119 56.640374</t>
  </si>
  <si>
    <t>Напитки в розлив</t>
  </si>
  <si>
    <t>ул. Яна Крастыня, 2В, Йошкар-Ола</t>
  </si>
  <si>
    <t>47.82734 56.634545</t>
  </si>
  <si>
    <t>Слуховые аппараты</t>
  </si>
  <si>
    <t>+7 (8362) 48-17-48</t>
  </si>
  <si>
    <t>+7 (967) 758-17-48</t>
  </si>
  <si>
    <t>Медицинское оборудование, медтехника, Слуховые аппараты</t>
  </si>
  <si>
    <t>пн-пт 09:30–17:00, перерыв 12:00–13:00</t>
  </si>
  <si>
    <t>47.901509 56.643675</t>
  </si>
  <si>
    <t>47.892393 56.64175</t>
  </si>
  <si>
    <t>47.851882 56.630953</t>
  </si>
  <si>
    <t>47.868389 56.644462</t>
  </si>
  <si>
    <t>47.881638 56.622719</t>
  </si>
  <si>
    <t>СтройБизнесКонсалт</t>
  </si>
  <si>
    <t>8 (800) 505-07-42</t>
  </si>
  <si>
    <t xml:space="preserve">info@sbk-uk.ru  </t>
  </si>
  <si>
    <t>https://yoshkar-ola.sbk-uk.ru/</t>
  </si>
  <si>
    <t>Бухгалтерские услуги, Лицензирование, Юридические услуги</t>
  </si>
  <si>
    <t>47.859387 56.65003</t>
  </si>
  <si>
    <t>пн-пт 10:00–19:00, перерыв 14:00–14:30; сб,вс 10:00–18:00, перерыв 14:00–14:30</t>
  </si>
  <si>
    <t>47.885896 56.635528</t>
  </si>
  <si>
    <t>Диспетчерская служба Тэц-1</t>
  </si>
  <si>
    <t>ул. Лобачевского, 12/29, Йошкар-Ола</t>
  </si>
  <si>
    <t>+7 (8362) 42-51-60, +7 (8362) 42-24-17, +7 (8362) 42-35-00</t>
  </si>
  <si>
    <t>47.875327 56.631847</t>
  </si>
  <si>
    <t>Твигги</t>
  </si>
  <si>
    <t>+7 (927) 882-22-40</t>
  </si>
  <si>
    <t>пн-пт 10:00–20:00; сб,вс 10:00–16:00</t>
  </si>
  <si>
    <t>https://vk.com/twiggystudio</t>
  </si>
  <si>
    <t>47.853624 56.642868</t>
  </si>
  <si>
    <t>+7 (8362) 63-64-69, +7 (8362) 34-52-73</t>
  </si>
  <si>
    <t>47.935585 56.637692</t>
  </si>
  <si>
    <t>Тренажер правИло</t>
  </si>
  <si>
    <t>+7 (917) 711-02-22, +7 (987) 729-02-12</t>
  </si>
  <si>
    <t>ул. Лермонтова, 1, корп. 22, Йошкар-Ола</t>
  </si>
  <si>
    <t>47.864718 56.625376</t>
  </si>
  <si>
    <t>ул. Гоголя, 10, Йошкар-Ола</t>
  </si>
  <si>
    <t>47.895575 56.630515</t>
  </si>
  <si>
    <t>Россия, Республика Марий Эл, Йошкар-Ола, садоводческое некоммерческое товарищество Надежда</t>
  </si>
  <si>
    <t>47.838514 56.653745</t>
  </si>
  <si>
    <t>Перевозка людей ограниченных в самостоятельном передвижении</t>
  </si>
  <si>
    <t>+7 (8362) 44-37-36, +7 (8362) 73-05-85</t>
  </si>
  <si>
    <t>Мюллер холл</t>
  </si>
  <si>
    <t>+7 (8362) 50-10-03</t>
  </si>
  <si>
    <t>Развлекательный центр</t>
  </si>
  <si>
    <t>47.929334 56.625185</t>
  </si>
  <si>
    <t>Надин</t>
  </si>
  <si>
    <t>47.892572 56.638697</t>
  </si>
  <si>
    <t>47.943612 56.634357</t>
  </si>
  <si>
    <t>Friends lounge</t>
  </si>
  <si>
    <t>+7 (8362) 33-49-34</t>
  </si>
  <si>
    <t>пн-чт 13:00–01:00; пт-вс 13:00–02:00</t>
  </si>
  <si>
    <t>Тошка</t>
  </si>
  <si>
    <t>47.924738 56.639747</t>
  </si>
  <si>
    <t>47.837255 56.640086</t>
  </si>
  <si>
    <t>Советская ул., 165, Йошкар-Ола</t>
  </si>
  <si>
    <t>47.892576 56.628003</t>
  </si>
  <si>
    <t>47.830126 56.633331</t>
  </si>
  <si>
    <t>Сувениры</t>
  </si>
  <si>
    <t>Вкусняшка</t>
  </si>
  <si>
    <t>47.831534 56.639629</t>
  </si>
  <si>
    <t>ГК Нива</t>
  </si>
  <si>
    <t>47.843643 56.659141</t>
  </si>
  <si>
    <t>Магазин детской одежды, Магазин одежды, Магазин чулок и колготок</t>
  </si>
  <si>
    <t>47.843785 56.63094</t>
  </si>
  <si>
    <t>+7 (8362) 31-86-27, +7 (8362) 55-12-22, +7 (8362) 45-23-09</t>
  </si>
  <si>
    <t>http://www.spika-metal.ru/</t>
  </si>
  <si>
    <t>Металлопрокат, Строительный магазин</t>
  </si>
  <si>
    <t>Микро-Ушки</t>
  </si>
  <si>
    <t>+7 (937) 114-14-29</t>
  </si>
  <si>
    <t>http://mikronaushniki-yoshkar-ola.ru/</t>
  </si>
  <si>
    <t>https://vk.com/microushki12</t>
  </si>
  <si>
    <t>Элекс</t>
  </si>
  <si>
    <t>8 (800) 100-45-54</t>
  </si>
  <si>
    <t xml:space="preserve">aleksa.mironova1409@mail.ru </t>
  </si>
  <si>
    <t>https://elex.ru/</t>
  </si>
  <si>
    <t>https://vk.com/elex_club</t>
  </si>
  <si>
    <t>https://ok.ru/elexru</t>
  </si>
  <si>
    <t>https://www.facebook.com/elex.elektronika</t>
  </si>
  <si>
    <t>https://www.youtube.com/channel/UC2amhiXcIV66CeZgojrTsJg</t>
  </si>
  <si>
    <t>https://www.instagram.com/elex_home</t>
  </si>
  <si>
    <t>47.8917 56.625286</t>
  </si>
  <si>
    <t>+7 (964) 860-32-11</t>
  </si>
  <si>
    <t>Детский клуб Факел</t>
  </si>
  <si>
    <t>+7 (8362) 45-88-97</t>
  </si>
  <si>
    <t>Дом культуры, Дополнительное образование, Клуб для детей и подростков, Культурный центр</t>
  </si>
  <si>
    <t>47.891926 56.647607</t>
  </si>
  <si>
    <t>ул. Баумана, 16, корп. 1, Йошкар-Ола</t>
  </si>
  <si>
    <t>47.84465 56.640992</t>
  </si>
  <si>
    <t>KoreaShop</t>
  </si>
  <si>
    <t>47.843344 56.641024</t>
  </si>
  <si>
    <t>Карп Карпыч</t>
  </si>
  <si>
    <t>47.892767 56.634762</t>
  </si>
  <si>
    <t>47.885458 56.637664</t>
  </si>
  <si>
    <t>Системный интегратор СЭМ12</t>
  </si>
  <si>
    <t>+7 (902) 100-25-25</t>
  </si>
  <si>
    <t>Курьерские услуги, Проектная организация, Управляющая компания</t>
  </si>
  <si>
    <t>пн-пт 09:00–19:00; сб 10:00–16:30</t>
  </si>
  <si>
    <t>47.870821 56.625471</t>
  </si>
  <si>
    <t>Уроки актерского мастерства для детей</t>
  </si>
  <si>
    <t>+7 (902) 664-23-09</t>
  </si>
  <si>
    <t>Приоритет</t>
  </si>
  <si>
    <t>47.842083 56.632643</t>
  </si>
  <si>
    <t>Альянс Союз</t>
  </si>
  <si>
    <t>+7 (8362) 41-02-83, +7 (8362) 74-20-29</t>
  </si>
  <si>
    <t>Таможенный брокер, Таможенный склад</t>
  </si>
  <si>
    <t>пн-чт 08:00–17:00, перерыв 12:00–12:45; пт 08:00–15:45, перерыв 12:00–12:45</t>
  </si>
  <si>
    <t>Арбанская Лесопилка</t>
  </si>
  <si>
    <t>+7 (8362) 90-83-62</t>
  </si>
  <si>
    <t>+7 (987) 733-48-98</t>
  </si>
  <si>
    <t xml:space="preserve">mir@izmassiva.ru  </t>
  </si>
  <si>
    <t>https://www.izmassiva.ru/</t>
  </si>
  <si>
    <t>Пиломатериалы, Строительство бань и саун, Товары для бани и сауны</t>
  </si>
  <si>
    <t>https://vk.com/arbansles</t>
  </si>
  <si>
    <t>https://twitter.com/arbanles</t>
  </si>
  <si>
    <t>47.954815 56.648992</t>
  </si>
  <si>
    <t>Арт-Инструмент</t>
  </si>
  <si>
    <t>ул. Кирова, 4А/1, Йошкар-Ола</t>
  </si>
  <si>
    <t>Ремонт электрооборудования, Садовый инвентарь и техника, Сварочное оборудование и материалы, Электро- и бензоинструмент</t>
  </si>
  <si>
    <t>вт-вс 08:00–16:00</t>
  </si>
  <si>
    <t>47.930321 56.631379</t>
  </si>
  <si>
    <t>бул. Данилова, 12, Йошкар-Ола</t>
  </si>
  <si>
    <t>47.950748 56.628789</t>
  </si>
  <si>
    <t>Производственная компания</t>
  </si>
  <si>
    <t>+7 (917) 705-50-62</t>
  </si>
  <si>
    <t xml:space="preserve">mebelsauna@yandex.ru  </t>
  </si>
  <si>
    <t>http://mebelsauna.ru/</t>
  </si>
  <si>
    <t>Шашлычная</t>
  </si>
  <si>
    <t>47.823701 56.626663</t>
  </si>
  <si>
    <t>47.865193 56.650166</t>
  </si>
  <si>
    <t>47.900837 56.617203</t>
  </si>
  <si>
    <t>47.959314 56.615823</t>
  </si>
  <si>
    <t>47.932452 56.634319</t>
  </si>
  <si>
    <t>+7 (8362) 77-88-78</t>
  </si>
  <si>
    <t xml:space="preserve">nugumanovagulnara80@mail.ru  </t>
  </si>
  <si>
    <t>https://vk.com/lionyo12</t>
  </si>
  <si>
    <t>47.841483 56.642008</t>
  </si>
  <si>
    <t>ДревПром</t>
  </si>
  <si>
    <t>+7 (962) 590-99-99</t>
  </si>
  <si>
    <t xml:space="preserve">info@drevprom-12.com </t>
  </si>
  <si>
    <t>Деревообрабатывающее предприятие, Пиломатериалы, Тара и упаковочные материалы, Товары для бани и сауны</t>
  </si>
  <si>
    <t>Вико-пресс</t>
  </si>
  <si>
    <t>+7 (8362) 46-00-30, +7 (8362) 46-00-38, +7 (8362) 65-29-83</t>
  </si>
  <si>
    <t>пер. Ползунова, 19, Йошкар-Ола</t>
  </si>
  <si>
    <t>+7 (902) 737-84-77</t>
  </si>
  <si>
    <t>47.855917 56.648008</t>
  </si>
  <si>
    <t>СтарЛайн</t>
  </si>
  <si>
    <t>+7 (8362) 39-66-10</t>
  </si>
  <si>
    <t>+7 (937) 939-66-10</t>
  </si>
  <si>
    <t xml:space="preserve">info@starline-install.ru, sale@alarmstore.ru, spb@starline-install.ru, install@mva-group.ru, info@starline-balashiha.ru  </t>
  </si>
  <si>
    <t>http://fc.starline.ru/?utm_campaign=1202088u0026utm_medium=mapsu0026utm_source=yamaps</t>
  </si>
  <si>
    <t>Автоаксессуары, Автосигнализация, Тонирование стекол</t>
  </si>
  <si>
    <t>https://vk.com/starline112</t>
  </si>
  <si>
    <t>https://www.facebook.com/people/Дудин-Виталий/100027346813092</t>
  </si>
  <si>
    <t>http://www.instagram.com/ftsstarline/</t>
  </si>
  <si>
    <t>47.852419 56.630889</t>
  </si>
  <si>
    <t>Studio FotoLoft</t>
  </si>
  <si>
    <t>47.87078 56.63593</t>
  </si>
  <si>
    <t>Поликлиника № 1. отделение восстановительного лечения</t>
  </si>
  <si>
    <t>+7 (8362) 21-02-40, +7 (8362) 45-21-66, +7 (8362) 45-69-53</t>
  </si>
  <si>
    <t>http://p13a.polickliniki.ru/</t>
  </si>
  <si>
    <t>Больница для взрослых, Детская поликлиника</t>
  </si>
  <si>
    <t>Нет информации</t>
  </si>
  <si>
    <t>47.916143 56.632473</t>
  </si>
  <si>
    <t>ЖК Кремлевский</t>
  </si>
  <si>
    <t>47.900085 56.63662</t>
  </si>
  <si>
    <t>Квентин</t>
  </si>
  <si>
    <t>+7 (999) 145-43-56</t>
  </si>
  <si>
    <t>http://йошкарола.школаквентин.рф/</t>
  </si>
  <si>
    <t>Курсы и мастер-классы, Учебный центр</t>
  </si>
  <si>
    <t>https://www.instagram.com/quentinyua</t>
  </si>
  <si>
    <t>Apartment on Petrova 30</t>
  </si>
  <si>
    <t>47.926395 56.641556</t>
  </si>
  <si>
    <t>СТО-12</t>
  </si>
  <si>
    <t>47.837755 56.62767</t>
  </si>
  <si>
    <t>Хлебозавод № 1, киоск</t>
  </si>
  <si>
    <t>+7 (8362) 33-74-46</t>
  </si>
  <si>
    <t>Автосервис на Пугачёва</t>
  </si>
  <si>
    <t>+7 (8362) 92-69-03</t>
  </si>
  <si>
    <t>47.871327 56.621032</t>
  </si>
  <si>
    <t>Россия, Республика Марий Эл, Йошкар-Ола, улица Щусева</t>
  </si>
  <si>
    <t>47.852255 56.629048</t>
  </si>
  <si>
    <t>ПивЗаправка</t>
  </si>
  <si>
    <t>+7 (906) 335-10-40</t>
  </si>
  <si>
    <t>47.91902 56.633353</t>
  </si>
  <si>
    <t>Тракт</t>
  </si>
  <si>
    <t>47.953721 56.64939</t>
  </si>
  <si>
    <t>Track12</t>
  </si>
  <si>
    <t>+7 (8362) 39-61-10</t>
  </si>
  <si>
    <t>+7 (999) 145-05-73</t>
  </si>
  <si>
    <t>47.829377 56.61647</t>
  </si>
  <si>
    <t>Фотограф Макс Че</t>
  </si>
  <si>
    <t>+7 (917) 705-39-14</t>
  </si>
  <si>
    <t>47.937838 56.624062</t>
  </si>
  <si>
    <t>Polly</t>
  </si>
  <si>
    <t>47.843696 56.640998</t>
  </si>
  <si>
    <t>Добрая Республика Марий Эл</t>
  </si>
  <si>
    <t xml:space="preserve">nkodobro12@mail.ru, your@email.com, admin@nkodobro.ru  </t>
  </si>
  <si>
    <t>http://nkodobro.ru/</t>
  </si>
  <si>
    <t>47.913899 56.626829</t>
  </si>
  <si>
    <t>Транспортная ул., 21А, Йошкар-Ола</t>
  </si>
  <si>
    <t>47.854269 56.656918</t>
  </si>
  <si>
    <t>Волгагенстрой</t>
  </si>
  <si>
    <t>+7 (8362) 32-15-32</t>
  </si>
  <si>
    <t>+7 (927) 887-96-65</t>
  </si>
  <si>
    <t xml:space="preserve">vgs12.rf@gmail.com </t>
  </si>
  <si>
    <t>https://vk.com/vgs12rf</t>
  </si>
  <si>
    <t>https://www.youtube.com/channel/UCaMoNDo0UR4oQ9a9pRchXzQ</t>
  </si>
  <si>
    <t>https://www.instagram.com/volgagenstroi</t>
  </si>
  <si>
    <t>47.882737 56.616586</t>
  </si>
  <si>
    <t>47.87624 56.632145</t>
  </si>
  <si>
    <t>Школа Мадины Хусяиновой</t>
  </si>
  <si>
    <t>+7 (902) 434-42-20</t>
  </si>
  <si>
    <t>Косметология, Ногтевая студия, Обучение мастеров для салонов красоты, Салон красоты</t>
  </si>
  <si>
    <t>https://vk.com/school_yola12</t>
  </si>
  <si>
    <t>47.878594 56.630687</t>
  </si>
  <si>
    <t>ИП Казанцев И. Б.</t>
  </si>
  <si>
    <t>+7 (917) 704-70-58</t>
  </si>
  <si>
    <t>Кортеж</t>
  </si>
  <si>
    <t>Автоаксессуары, Автоакустика, Автосигнализация, Магазин автозапчастей и автотоваров</t>
  </si>
  <si>
    <t>Эксперт Лодок</t>
  </si>
  <si>
    <t>+7 (963) 433-00-42</t>
  </si>
  <si>
    <t>Жара</t>
  </si>
  <si>
    <t>+7 (8362) 23-01-11, +7 (8362) 33-74-11</t>
  </si>
  <si>
    <t>+7 (927) 883-74-11</t>
  </si>
  <si>
    <t xml:space="preserve">razhara@live.ru  </t>
  </si>
  <si>
    <t>http://razhara.ru/</t>
  </si>
  <si>
    <t>https://www.instagram.com/razhara12/</t>
  </si>
  <si>
    <t>47.848818 56.634145</t>
  </si>
  <si>
    <t>ФГБУ Марийский государственный университет Спортивная секция</t>
  </si>
  <si>
    <t>+7 (917) 715-27-02</t>
  </si>
  <si>
    <t>пн-сб 19:00–21:00</t>
  </si>
  <si>
    <t>Jokerъ</t>
  </si>
  <si>
    <t>https://instagram.com/mr_joker.man</t>
  </si>
  <si>
    <t>Единый расчётный центр на территории Республики Марий Эл</t>
  </si>
  <si>
    <t>4, Архангельская слобода, Йошкар-Ола</t>
  </si>
  <si>
    <t>+7 (8362) 23-20-50, +7 (8362) 23-18-13, +7 (8362) 23-19-19</t>
  </si>
  <si>
    <t>+7 (987) 733-02-78</t>
  </si>
  <si>
    <t>+7 (8362) 23-19-19</t>
  </si>
  <si>
    <t xml:space="preserve">erc_office@mail.ru, erc_ipu@mail.ru </t>
  </si>
  <si>
    <t>47.902805 56.632572</t>
  </si>
  <si>
    <t>47.863078 56.646512</t>
  </si>
  <si>
    <t>Цветочная мастерская</t>
  </si>
  <si>
    <t>+7 (8362) 66-83-77</t>
  </si>
  <si>
    <t>+7 (902) 466-83-77, +7 (960) 095-83-21</t>
  </si>
  <si>
    <t>Доставка цветов и букетов, Магазин подарков и сувениров</t>
  </si>
  <si>
    <t>Кузница Велес</t>
  </si>
  <si>
    <t>Красноармейская ул., 124А, Йошкар-Ола</t>
  </si>
  <si>
    <t>47.849419 56.642901</t>
  </si>
  <si>
    <t>47.863944 56.64925</t>
  </si>
  <si>
    <t>Компания ООО Глоринал Груп, ИП Лукашук</t>
  </si>
  <si>
    <t>ул. Машиностроителей, 26, Йошкар-Ола</t>
  </si>
  <si>
    <t>+7 (8362) 97-97-13</t>
  </si>
  <si>
    <t xml:space="preserve">info@company.com, info@tea12.ru  </t>
  </si>
  <si>
    <t>http://tea12.ru/</t>
  </si>
  <si>
    <t>47.865595 56.637438</t>
  </si>
  <si>
    <t>ул. Машиностроителей, 124Г, Йошкар-Ола</t>
  </si>
  <si>
    <t>47.82593 56.626669</t>
  </si>
  <si>
    <t>Лампа-Мед</t>
  </si>
  <si>
    <t>+7 (8362) 28-09-10</t>
  </si>
  <si>
    <t xml:space="preserve">79276674243@yandex.ru  </t>
  </si>
  <si>
    <t>http://lampamed.ru/</t>
  </si>
  <si>
    <t>ул. Ползунова, 25А, корп. 1, Йошкар-Ола</t>
  </si>
  <si>
    <t>47.857588 56.642844</t>
  </si>
  <si>
    <t>47.88371 56.632612</t>
  </si>
  <si>
    <t>47.829981 56.627839</t>
  </si>
  <si>
    <t>Колокольчик</t>
  </si>
  <si>
    <t>47.892177 56.637046</t>
  </si>
  <si>
    <t>ПромКомплектРесурс</t>
  </si>
  <si>
    <t>+7 (8362) 75-85-84, +7 (8362) 41-53-63</t>
  </si>
  <si>
    <t>+7 (8362) 64-96-20</t>
  </si>
  <si>
    <t>47.87288 56.650998</t>
  </si>
  <si>
    <t>ул. Машиностроителей, 126А, Йошкар-Ола</t>
  </si>
  <si>
    <t>47.824398 56.626321</t>
  </si>
  <si>
    <t>Нотариус Бусыгин А. В.</t>
  </si>
  <si>
    <t>+7 (8362) 64-45-21</t>
  </si>
  <si>
    <t>Автосервис 12+</t>
  </si>
  <si>
    <t>47.932061 56.644087</t>
  </si>
  <si>
    <t>Домашний доктор</t>
  </si>
  <si>
    <t>Очистители, увлажнители и ароматизаторы воздуха</t>
  </si>
  <si>
    <t>47.873555 56.647302</t>
  </si>
  <si>
    <t>Yomi-store.ru</t>
  </si>
  <si>
    <t>+7 (927) 881-85-56</t>
  </si>
  <si>
    <t xml:space="preserve">info@yomi-store.ru  </t>
  </si>
  <si>
    <t>http://yomi-store.ru/</t>
  </si>
  <si>
    <t>Интернет-магазин, Магазин электроники, Товары для мобильных телефонов</t>
  </si>
  <si>
    <t>пн-пт 12:00–19:00; сб 13:00–17:00</t>
  </si>
  <si>
    <t>https://vk.com/yomipro</t>
  </si>
  <si>
    <t>https://www.instagram.com/yomipro/</t>
  </si>
  <si>
    <t>Printecs</t>
  </si>
  <si>
    <t>47.914204 56.635138</t>
  </si>
  <si>
    <t>Микс мастерская сценических костюмов</t>
  </si>
  <si>
    <t>+7 (902) 744-45-34</t>
  </si>
  <si>
    <t xml:space="preserve">redstarredarmy@gmail.com, o_leg2008@mail.ru, info.miks12@mail.ru  </t>
  </si>
  <si>
    <t>https://miks12.ruс/</t>
  </si>
  <si>
    <t>Ателье по пошиву одежды, Карнавальные, театральные и танцевальные костюмы, Спецодежда</t>
  </si>
  <si>
    <t>https://vk.com/mikc12</t>
  </si>
  <si>
    <t>https://www.instagram.com/mikc_yola</t>
  </si>
  <si>
    <t>Авокадо</t>
  </si>
  <si>
    <t>Пищевое сырье, Пищевые ингредиенты и специи, Продукты питания оптом</t>
  </si>
  <si>
    <t>Мастер на час Золотые руки</t>
  </si>
  <si>
    <t xml:space="preserve">info@company24.com </t>
  </si>
  <si>
    <t>http://yomaster.bitrix24.site/</t>
  </si>
  <si>
    <t>Сантехнические работы, Столярные работы, Электромонтажные работы</t>
  </si>
  <si>
    <t>https://vk.com/yomaste</t>
  </si>
  <si>
    <t>Мебель Лофт Йошкар-Ола</t>
  </si>
  <si>
    <t>+7 (919) 419-48-58</t>
  </si>
  <si>
    <t>https://vk.com/mebel_loft_yola</t>
  </si>
  <si>
    <t>https://www.instagram.com/premierstyle_yola/</t>
  </si>
  <si>
    <t>Производственная фирма на улице Баумана</t>
  </si>
  <si>
    <t>+7 (8362) 55-81-33</t>
  </si>
  <si>
    <t>47.869813 56.645458</t>
  </si>
  <si>
    <t>Обувной № 1</t>
  </si>
  <si>
    <t>+7 (917) 708-98-12</t>
  </si>
  <si>
    <t>47.886607 56.633201</t>
  </si>
  <si>
    <t>Белый аист-2</t>
  </si>
  <si>
    <t>+7 (906) 335-07-91, +7 (937) 935-14-04</t>
  </si>
  <si>
    <t>47.938171 56.635789</t>
  </si>
  <si>
    <t>Роман</t>
  </si>
  <si>
    <t>http://www.hope.com/</t>
  </si>
  <si>
    <t>сквер имени Ю.М. Свирина</t>
  </si>
  <si>
    <t>Россия, Республика Марий Эл, Йошкар-Ола, улица Рябинина</t>
  </si>
  <si>
    <t>47.868072 56.634616</t>
  </si>
  <si>
    <t>Радио Дача</t>
  </si>
  <si>
    <t>+7 (8362) 49-50-09</t>
  </si>
  <si>
    <t xml:space="preserve">office@good-peoples.ru, officey@good-peoples.ru  </t>
  </si>
  <si>
    <t>https://good-peoples.ru/</t>
  </si>
  <si>
    <t>https://vk.com/radiodacha12</t>
  </si>
  <si>
    <t>47.87104 56.636078</t>
  </si>
  <si>
    <t>47.869946 56.641265</t>
  </si>
  <si>
    <t>47.917239 56.627608</t>
  </si>
  <si>
    <t>СГ-Консалт</t>
  </si>
  <si>
    <t>+7 (8362) 72-22-00, +7 (8362) 20-32-03</t>
  </si>
  <si>
    <t xml:space="preserve">sg-konsalt@mail.ru  </t>
  </si>
  <si>
    <t>http://sgn12.ru/</t>
  </si>
  <si>
    <t>47.880212 56.638899</t>
  </si>
  <si>
    <t>Глонасс-ОЙЛ</t>
  </si>
  <si>
    <t>+7 (8362) 43-98-00</t>
  </si>
  <si>
    <t>+7 (964) 863-98-00</t>
  </si>
  <si>
    <t>Оптовый магазин, Смазочные материалы</t>
  </si>
  <si>
    <t>+7 (927) 886-37-71</t>
  </si>
  <si>
    <t>47.932819 56.644054</t>
  </si>
  <si>
    <t>Performance, Видеостудия</t>
  </si>
  <si>
    <t>47.892395 56.648991</t>
  </si>
  <si>
    <t>+7 (8362) 96-09-60, +7 (3412) 91-66-91</t>
  </si>
  <si>
    <t xml:space="preserve">balashiha@hlebnitca.ru, barnaul@hlebnitca.ru, bryansk@hlebnitca.ru, volgograd@hlebnitca.ru, vologda@hlebnitca.ru  </t>
  </si>
  <si>
    <t>http://hlebnitca.ru/</t>
  </si>
  <si>
    <t>47.830979 56.639866</t>
  </si>
  <si>
    <t>Оплата связи</t>
  </si>
  <si>
    <t>47.868675 56.650486</t>
  </si>
  <si>
    <t>Ремонт и дублирование автомобильных ключей и брелоков</t>
  </si>
  <si>
    <t>47.88969 56.642781</t>
  </si>
  <si>
    <t>47.926307 56.63507</t>
  </si>
  <si>
    <t>ГлавДоставка</t>
  </si>
  <si>
    <t>8 (800) 600-11-00, +7 (8362) 55-50-00</t>
  </si>
  <si>
    <t xml:space="preserve">iin.msk@glavdostavka.ru, kie.brl@glavdostavka.ru, hr@glav-dostavka.ru  </t>
  </si>
  <si>
    <t>https://glav-dostavka.ru/</t>
  </si>
  <si>
    <t>https://vk.com/glav_dostavka</t>
  </si>
  <si>
    <t>https://www.facebook.com/GlavDostavka/</t>
  </si>
  <si>
    <t>https://www.instagram.com/glavdostavka_ru/</t>
  </si>
  <si>
    <t>47.934826 56.644068</t>
  </si>
  <si>
    <t xml:space="preserve">ds@dengi-seichas.ru, ds@dengi-seichas.com, fomina@holdingsfera.ru  </t>
  </si>
  <si>
    <t>47.837538 56.640209</t>
  </si>
  <si>
    <t>КопиЦентр</t>
  </si>
  <si>
    <t>47.842094 56.632613</t>
  </si>
  <si>
    <t>Республиканский Кожно-венерологический Диспансер</t>
  </si>
  <si>
    <t>Больница для взрослых, Диспансер</t>
  </si>
  <si>
    <t>МБДОУ детский сад № 47 Чудо-остров</t>
  </si>
  <si>
    <t>+7 (8362) 41-70-36</t>
  </si>
  <si>
    <t>47.924505 56.625766</t>
  </si>
  <si>
    <t>47.86815 56.64517</t>
  </si>
  <si>
    <t>Как дома</t>
  </si>
  <si>
    <t>Банкетный зал, Ресторан</t>
  </si>
  <si>
    <t>47.873915 56.65236</t>
  </si>
  <si>
    <t>Slim Style</t>
  </si>
  <si>
    <t>+7 (967) 758-39-00</t>
  </si>
  <si>
    <t>http://vk.com/slim12rus</t>
  </si>
  <si>
    <t>47.883788 56.639622</t>
  </si>
  <si>
    <t>InMusic</t>
  </si>
  <si>
    <t>ежедневно, 17:00–00:00</t>
  </si>
  <si>
    <t>47.946056 56.627163</t>
  </si>
  <si>
    <t>Альфаскан – официальный дилер Scania</t>
  </si>
  <si>
    <t>+7 (960) 057-20-30</t>
  </si>
  <si>
    <t xml:space="preserve">service.kazan@alfascan.ru, service.chelny@alfascan.ru, service.ufa@alfascan.ru, bryansk@alfascan.ru, service.izhevsk@alfascan.ru  </t>
  </si>
  <si>
    <t>https://yoshkar-ola.alfascan.ru/</t>
  </si>
  <si>
    <t>Автосервис, автотехцентр, Грузовые автомобили, грузовая техника, Спецтехника и спецавтомобили</t>
  </si>
  <si>
    <t>https://vk.com/alfascan</t>
  </si>
  <si>
    <t>https://www.facebook.com/official.alfascan/</t>
  </si>
  <si>
    <t>https://www.youtube.com/channel/UCyLR8FBsszKjdBahKqWg0uQ?view_as=subscriber</t>
  </si>
  <si>
    <t>https://www.instagram.com/alfascan/</t>
  </si>
  <si>
    <t>47.828893 56.615253</t>
  </si>
  <si>
    <t>47.90062 56.642746</t>
  </si>
  <si>
    <t>+7 (8362) 27-50-51</t>
  </si>
  <si>
    <t>+7 (902) 437-50-51</t>
  </si>
  <si>
    <t>Жигули</t>
  </si>
  <si>
    <t>Реабилитационный центр Двенадцатый Шаг</t>
  </si>
  <si>
    <t>8 (800) 500-89-55</t>
  </si>
  <si>
    <t xml:space="preserve">info@narcomana.net </t>
  </si>
  <si>
    <t>https://narcomana.net/</t>
  </si>
  <si>
    <t>Медицинская реабилитация, Наркологическая клиника, Социальная служба</t>
  </si>
  <si>
    <t>Экономика</t>
  </si>
  <si>
    <t>47.863349 56.649609</t>
  </si>
  <si>
    <t>47.880104 56.642106</t>
  </si>
  <si>
    <t>Yoshatoys</t>
  </si>
  <si>
    <t>+7 (917) 700-13-35</t>
  </si>
  <si>
    <t xml:space="preserve">yoshatoys12@yandex.ru  </t>
  </si>
  <si>
    <t>http://yoshatoys.ru/</t>
  </si>
  <si>
    <t>Детские игрушки и игры, елки и елочные игрушки</t>
  </si>
  <si>
    <t>47.86104 56.620259</t>
  </si>
  <si>
    <t>47.893279 56.634704</t>
  </si>
  <si>
    <t>Оригинальные аппартаменты с ВАУ-эффектом в центре</t>
  </si>
  <si>
    <t>47.88603 56.64339</t>
  </si>
  <si>
    <t>47.834655 56.635296</t>
  </si>
  <si>
    <t>47.874712 56.637207</t>
  </si>
  <si>
    <t>Ника+</t>
  </si>
  <si>
    <t>47.864454 56.645724</t>
  </si>
  <si>
    <t>Творческая мастерская Яны Фридрих</t>
  </si>
  <si>
    <t>47.856824 56.642772</t>
  </si>
  <si>
    <t>Штофф</t>
  </si>
  <si>
    <t>47.950761 56.628781</t>
  </si>
  <si>
    <t>Молти</t>
  </si>
  <si>
    <t>8 (800) 511-07-74</t>
  </si>
  <si>
    <t xml:space="preserve">info@molti-shop.ru, info@neposeda.su  </t>
  </si>
  <si>
    <t>https://molti-shop.ru/</t>
  </si>
  <si>
    <t>ПСК Лидион</t>
  </si>
  <si>
    <t>+7 (987) 724-14-24</t>
  </si>
  <si>
    <t xml:space="preserve">psk.lidion@gmail.com </t>
  </si>
  <si>
    <t>http://lidion.ru/</t>
  </si>
  <si>
    <t>47.825515 56.619148</t>
  </si>
  <si>
    <t>Строймир</t>
  </si>
  <si>
    <t>+7 (8362) 23-18-98</t>
  </si>
  <si>
    <t xml:space="preserve">contact@email.com </t>
  </si>
  <si>
    <t>47.883136 56.643866</t>
  </si>
  <si>
    <t>ГК Урожай</t>
  </si>
  <si>
    <t>Россия, Республика Марий Эл, Йошкар-Ола, Складская улица</t>
  </si>
  <si>
    <t>+7 (8362) 55-01-51</t>
  </si>
  <si>
    <t>47.901417 56.614754</t>
  </si>
  <si>
    <t>Help Me</t>
  </si>
  <si>
    <t>+7 (8362) 34-71-51, +7 (8362) 34-71-61</t>
  </si>
  <si>
    <t xml:space="preserve">ryazan@helpmecentr.ru  </t>
  </si>
  <si>
    <t>http://helpmecentr.ru/</t>
  </si>
  <si>
    <t>Арбитражный суд, Юридические услуги</t>
  </si>
  <si>
    <t>https://vk.com/ryazan.helpme</t>
  </si>
  <si>
    <t>https://www.instagram.com/helpme.centre/</t>
  </si>
  <si>
    <t>ХОЧУЦВЕТЫ</t>
  </si>
  <si>
    <t>+7 (962) 588-45-04</t>
  </si>
  <si>
    <t>Поликлиника № 2, отделение физиотерапии и реабилитации</t>
  </si>
  <si>
    <t>+7 (8362) 45-76-54</t>
  </si>
  <si>
    <t>http://s56.polickliniki.ru/</t>
  </si>
  <si>
    <t>пн-пт 08:00–15:30</t>
  </si>
  <si>
    <t>Россия, Республика Марий Эл, Йошкар-Ола, улица Серова</t>
  </si>
  <si>
    <t>47.879756 56.655817</t>
  </si>
  <si>
    <t>Первое коллекторское бюро</t>
  </si>
  <si>
    <t>8 (800) 234-40-04</t>
  </si>
  <si>
    <t>+7 (987) 720-05-14</t>
  </si>
  <si>
    <t xml:space="preserve">ecc@collector.ru  </t>
  </si>
  <si>
    <t>https://www.collector.ru/</t>
  </si>
  <si>
    <t>Коллекторское агентство</t>
  </si>
  <si>
    <t>https://vk.com/pkbcollector</t>
  </si>
  <si>
    <t>https://www.facebook.com/pkbcollector</t>
  </si>
  <si>
    <t>https://www.youtube.com/channel/UCQvTCOxNJDVrLKDvuTXucQA</t>
  </si>
  <si>
    <t>47.898278 56.629457</t>
  </si>
  <si>
    <t>Россия, Республика Марий Эл, Йошкар-Ола, улица Эшкинина</t>
  </si>
  <si>
    <t>47.905489 56.628621</t>
  </si>
  <si>
    <t>47.920219 56.640535</t>
  </si>
  <si>
    <t>Палладий</t>
  </si>
  <si>
    <t>Сернурский тракт, 22А/1, Йошкар-Ола</t>
  </si>
  <si>
    <t>47.9314 56.641273</t>
  </si>
  <si>
    <t>ул. Пушкина, 14, Йошкар-Ола</t>
  </si>
  <si>
    <t>47.894482 56.632784</t>
  </si>
  <si>
    <t>ПСО Стройтепломонтаж</t>
  </si>
  <si>
    <t>+7 (8362) 58-17-95, +7 (8362) 58-17-93</t>
  </si>
  <si>
    <t>47.946659 56.642272</t>
  </si>
  <si>
    <t>Marmeladov</t>
  </si>
  <si>
    <t>+7 (917) 705-78-80</t>
  </si>
  <si>
    <t xml:space="preserve">14370afcdc17429f9e418d5ffbd0334a@sentry.wixpress.com, contact@marmeladov.net, wixofday@wix.com  </t>
  </si>
  <si>
    <t>https://www.marmeladov.net/</t>
  </si>
  <si>
    <t>Видеопроизводство, Видеосъемка</t>
  </si>
  <si>
    <t>https://vk.com/marmeladov_net</t>
  </si>
  <si>
    <t>47.945027 56.634224</t>
  </si>
  <si>
    <t>47.882594 56.638075</t>
  </si>
  <si>
    <t>Лайвер</t>
  </si>
  <si>
    <t>+7 (8362) 40-12-55, +7 (8362) 32-06-08, +7 (8362) 39-07-39</t>
  </si>
  <si>
    <t xml:space="preserve">maraton@yandex.ru  </t>
  </si>
  <si>
    <t>http://laiver.ru/</t>
  </si>
  <si>
    <t>https://vk.com/kafelaiver</t>
  </si>
  <si>
    <t>https://www.instagram.com/cafelaiver</t>
  </si>
  <si>
    <t>47.925823 56.634414</t>
  </si>
  <si>
    <t>47.82051 56.635686</t>
  </si>
  <si>
    <t>Иконописная мастерская</t>
  </si>
  <si>
    <t>+7 (917) 719-77-65</t>
  </si>
  <si>
    <t xml:space="preserve">icona.stas@mail.ru  </t>
  </si>
  <si>
    <t>http://ikonastas.ru/</t>
  </si>
  <si>
    <t>Иконописная мастерская, Реставрационная мастерская</t>
  </si>
  <si>
    <t>пн 09:30–18:00, перерыв 12:00–13:00; вт-пт 09:00–18:00, перерыв 12:00–13:00</t>
  </si>
  <si>
    <t>https://vk.com/icona_yola</t>
  </si>
  <si>
    <t>47.899042 56.632125</t>
  </si>
  <si>
    <t>Торты</t>
  </si>
  <si>
    <t>47.838631 56.641554</t>
  </si>
  <si>
    <t>Amea Marketing</t>
  </si>
  <si>
    <t>+7 (499) 490-66-84</t>
  </si>
  <si>
    <t xml:space="preserve">start@amea-m.ru  </t>
  </si>
  <si>
    <t>https://amea-m.ru/</t>
  </si>
  <si>
    <t>47.88572 56.641906</t>
  </si>
  <si>
    <t>Йошкар-Олинская детская городская больница, отделение респираторных инфекций</t>
  </si>
  <si>
    <t>+7 (8362) 42-01-66, +7 (8362) 42-65-31</t>
  </si>
  <si>
    <t>47.887041 56.649761</t>
  </si>
  <si>
    <t>Рено Деталь</t>
  </si>
  <si>
    <t>+7 (964) 860-33-31</t>
  </si>
  <si>
    <t xml:space="preserve">author@example.com, my.avto.shop@mail.ru  </t>
  </si>
  <si>
    <t>https://renodetal.turbo.site/</t>
  </si>
  <si>
    <t>пн-пт 08:00–19:00; сб 09:00–14:00</t>
  </si>
  <si>
    <t>https://vk.com/reno.detal</t>
  </si>
  <si>
    <t>https://www.instagram.com/reno.detal/</t>
  </si>
  <si>
    <t>47.859993 56.639006</t>
  </si>
  <si>
    <t>Аксор</t>
  </si>
  <si>
    <t>8 (800) 775-41-45</t>
  </si>
  <si>
    <t xml:space="preserve">axor2010@bk.ru, partner@axor.su </t>
  </si>
  <si>
    <t>Интернет-магазин, Магазин сантехники, Мебель для ванных комнат</t>
  </si>
  <si>
    <t>Питер.ру</t>
  </si>
  <si>
    <t>+7 (8362) 33-54-55</t>
  </si>
  <si>
    <t>47.901366 56.639989</t>
  </si>
  <si>
    <t>47.864501 56.645975</t>
  </si>
  <si>
    <t>Тепличное оборудование</t>
  </si>
  <si>
    <t>Каменный остров</t>
  </si>
  <si>
    <t>+7 (937) 110-73-27</t>
  </si>
  <si>
    <t>47.924648 56.639733</t>
  </si>
  <si>
    <t>Республиканская клиническая больница Биохимическая лаборатория</t>
  </si>
  <si>
    <t>+7 (8362) 46-01-36</t>
  </si>
  <si>
    <t>Больница для взрослых, Медицинская лаборатория</t>
  </si>
  <si>
    <t>47.838255 56.633103</t>
  </si>
  <si>
    <t>47.838372 56.625346</t>
  </si>
  <si>
    <t>+7 (8362) 23-50-53, +7 (8362) 23-50-51</t>
  </si>
  <si>
    <t>Кафе, Спортивно-развлекательный центр</t>
  </si>
  <si>
    <t>https://vk.com/public196934676</t>
  </si>
  <si>
    <t>https://www.youtube.com/channel/UC1gbp6jUcRJLtUKD-lkNMwQ</t>
  </si>
  <si>
    <t>47.85657 56.640496</t>
  </si>
  <si>
    <t>Европа Плюс</t>
  </si>
  <si>
    <t>+7 (8362) 41-38-78, +7 (8362) 95-10-45</t>
  </si>
  <si>
    <t>+7 (902) 735-10-45</t>
  </si>
  <si>
    <t xml:space="preserve">damelkin@mail.ru  </t>
  </si>
  <si>
    <t>http://радиовйошкароле.рф/</t>
  </si>
  <si>
    <t>https://vk.com/europaplus_yo</t>
  </si>
  <si>
    <t>47.899685 56.635009</t>
  </si>
  <si>
    <t>Клуб моржей</t>
  </si>
  <si>
    <t>47.903852 56.625479</t>
  </si>
  <si>
    <t>Модное детство</t>
  </si>
  <si>
    <t>+7 (927) 876-77-99</t>
  </si>
  <si>
    <t>пн-пт 11:00–18:30; сб,вс 11:00–16:00</t>
  </si>
  <si>
    <t>47.838269 56.641596</t>
  </si>
  <si>
    <t>Салон красоты Beauty Studio</t>
  </si>
  <si>
    <t>Визажисты, стилисты, Ногтевая студия, Обучение мастеров для салонов красоты, Салон красоты</t>
  </si>
  <si>
    <t>https://vk.com/makiyazh12</t>
  </si>
  <si>
    <t>https://www.instagram.com/beautystudio_yola/</t>
  </si>
  <si>
    <t>Министерство молодежной политики, спорта и туризма Республики Марий Эл</t>
  </si>
  <si>
    <t>+7 (8362) 34-18-16</t>
  </si>
  <si>
    <t>http://mari-el.gov.ru/minsport</t>
  </si>
  <si>
    <t>47.883882 56.629859</t>
  </si>
  <si>
    <t>Кристалл-Электро</t>
  </si>
  <si>
    <t>Красноармейская ул., 78А, Йошкар-Ола</t>
  </si>
  <si>
    <t>8 (800) 201-68-50, +7 (8362) 23-22-33</t>
  </si>
  <si>
    <t xml:space="preserve">kadr@k-kirov.ru, zhev@k-kirov.ru, tiv@k-kirov.ru, bsv@k-kirov.ru, username@gmail.com  </t>
  </si>
  <si>
    <t>http://kristall43.ru/</t>
  </si>
  <si>
    <t>https://vk.com/kristall43</t>
  </si>
  <si>
    <t>https://ok.ru/group/57537209565392</t>
  </si>
  <si>
    <t>https://www.instagram.com/kristall_elektro_official</t>
  </si>
  <si>
    <t>47.876675 56.644749</t>
  </si>
  <si>
    <t>47.862675 56.646445</t>
  </si>
  <si>
    <t>Магазин Лето</t>
  </si>
  <si>
    <t>+7 (937) 936-88-55</t>
  </si>
  <si>
    <t>Марокко</t>
  </si>
  <si>
    <t>47.924116 56.625915</t>
  </si>
  <si>
    <t>Пункт приема металлолома</t>
  </si>
  <si>
    <t>Оршанское ш., 25, корп. 1, Йошкар-Ола</t>
  </si>
  <si>
    <t>+7 (8362) 75-95-95</t>
  </si>
  <si>
    <t>47.89882 56.65043</t>
  </si>
  <si>
    <t>Джерси</t>
  </si>
  <si>
    <t>Dutpux</t>
  </si>
  <si>
    <t>47.906323 56.612888</t>
  </si>
  <si>
    <t>47.962113 56.632762</t>
  </si>
  <si>
    <t>Pioner-Gun.ru</t>
  </si>
  <si>
    <t>+7 (495) 128-31-54</t>
  </si>
  <si>
    <t xml:space="preserve">podderzhka@pioner-gun.ru  </t>
  </si>
  <si>
    <t>https://ioshkar-ola.pioner-gun.ru/</t>
  </si>
  <si>
    <t>47.915061 56.632565</t>
  </si>
  <si>
    <t>Бактериологическая лаборатория</t>
  </si>
  <si>
    <t>ул. Карла Либкнехта, 55, корп. 1, Йошкар-Ола</t>
  </si>
  <si>
    <t>http://kl55k1.polickliniki.ru/</t>
  </si>
  <si>
    <t>пн-чт 08:00–15:40; пт,сб 08:00–15:00</t>
  </si>
  <si>
    <t>47.954064 56.639337</t>
  </si>
  <si>
    <t>Тачки</t>
  </si>
  <si>
    <t>47.839602 56.626906</t>
  </si>
  <si>
    <t>Мебельная мастерская Divanoff</t>
  </si>
  <si>
    <t>+7 (927) 842-56-37</t>
  </si>
  <si>
    <t xml:space="preserve">divandivanoff@mail.ru  </t>
  </si>
  <si>
    <t>http://yoshkar-ola.divanoff.su/</t>
  </si>
  <si>
    <t>https://ok.ru/peretyazhka.mebeli.yola</t>
  </si>
  <si>
    <t>ХозМаркет Удачный</t>
  </si>
  <si>
    <t>ул. Крылова, 25Д, Йошкар-Ола</t>
  </si>
  <si>
    <t>+7 (8362) 38-17-17</t>
  </si>
  <si>
    <t>Магазин хозтоваров и бытовой химии, Светильники, Товары для дома</t>
  </si>
  <si>
    <t>47.858314 56.623834</t>
  </si>
  <si>
    <t>Межкомнатные двери</t>
  </si>
  <si>
    <t>47.867741 56.625267</t>
  </si>
  <si>
    <t>47.920159 56.635995</t>
  </si>
  <si>
    <t>Заточка деревообрабатывающего инструмента</t>
  </si>
  <si>
    <t>+7 (937) 939-74-39</t>
  </si>
  <si>
    <t>Деревообрабатывающее оборудование, Деревообрабатывающее предприятие, Услуги частных специалистов</t>
  </si>
  <si>
    <t>Портал</t>
  </si>
  <si>
    <t>+7 (8362) 41-46-62, +7 (8362) 42-03-99</t>
  </si>
  <si>
    <t>Мамин хвостик</t>
  </si>
  <si>
    <t>+7 (8362) 51-14-95</t>
  </si>
  <si>
    <t>+7 (964) 861-14-95</t>
  </si>
  <si>
    <t xml:space="preserve">manager@maminhvostik.ru, maminhvostik.ru@gmail.com  </t>
  </si>
  <si>
    <t>http://maminhvostik.ru/</t>
  </si>
  <si>
    <t>https://vk.com/maminhvostik12</t>
  </si>
  <si>
    <t>47.919557 56.640647</t>
  </si>
  <si>
    <t>Карты Водителя Ерцкв Maximum</t>
  </si>
  <si>
    <t>8 (800) 333-52-95</t>
  </si>
  <si>
    <t>+7 (927) 349-98-88, +7 (984) 777-04-35</t>
  </si>
  <si>
    <t xml:space="preserve">karta@maximum-glonass.ru  </t>
  </si>
  <si>
    <t>http://maximum-rus.ru/</t>
  </si>
  <si>
    <t>https://vk.com/karta.voditelya</t>
  </si>
  <si>
    <t>https://www.instagram.com/maximum_russia</t>
  </si>
  <si>
    <t>ЧП Вельдин А. И.</t>
  </si>
  <si>
    <t>Rad</t>
  </si>
  <si>
    <t>Комсомольская ул., 163, Йошкар-Ола</t>
  </si>
  <si>
    <t>+7 (902) 430-67-62</t>
  </si>
  <si>
    <t>пн-пт 15:00–23:00; сб,вс 13:00–23:00</t>
  </si>
  <si>
    <t>47.891487 56.632729</t>
  </si>
  <si>
    <t>Поволжье</t>
  </si>
  <si>
    <t>47.870902 56.647526</t>
  </si>
  <si>
    <t>47.831274 56.639312</t>
  </si>
  <si>
    <t>Чип-тюнинг от Адакт в Йошкар-Оле</t>
  </si>
  <si>
    <t>+7 (987) 717-18-88</t>
  </si>
  <si>
    <t xml:space="preserve">kstovchanin@adact.ru, sasha@adact.ru  </t>
  </si>
  <si>
    <t>https://adact2.ru/c/chip-tuning-yoshkar-ola</t>
  </si>
  <si>
    <t>Автоателье, Автосервис, автотехцентр, Студия автотюнинга</t>
  </si>
  <si>
    <t>47.927743 56.643243</t>
  </si>
  <si>
    <t>Всероссийское добровольное пожарное общество МО</t>
  </si>
  <si>
    <t>ул. Строителей, 15, Йошкар-Ола</t>
  </si>
  <si>
    <t xml:space="preserve">movdpo@yandex.ru, govdpo@mail.ru, volokolvdpo@mail.ru, voskrvdpo2010@mail.ru, vdpo_dmitrov@mail.ru  </t>
  </si>
  <si>
    <t>http://movdpo.ru/, http://movdpo.ru/contacts-other.html</t>
  </si>
  <si>
    <t>Пожарное оборудование, Пожарные части и службы, Противопожарные системы</t>
  </si>
  <si>
    <t>https://vk.com/vdpo_mo</t>
  </si>
  <si>
    <t>https://www.instagram.com/movdpo/</t>
  </si>
  <si>
    <t>47.837059 56.637075</t>
  </si>
  <si>
    <t>Офис займов</t>
  </si>
  <si>
    <t>47.868697 56.63824</t>
  </si>
  <si>
    <t>+7 (8362) 20-31-31</t>
  </si>
  <si>
    <t>http://vk.com/cafenovator</t>
  </si>
  <si>
    <t>47.871021 56.612336</t>
  </si>
  <si>
    <t>Max</t>
  </si>
  <si>
    <t>+7 (8362) 25-55-22, +7 (8362) 20-02-08</t>
  </si>
  <si>
    <t xml:space="preserve">2-555-22@mail.ru  </t>
  </si>
  <si>
    <t>https://vk.com/club150281060</t>
  </si>
  <si>
    <t>47.885659 56.63549</t>
  </si>
  <si>
    <t>СпецДорСтрой</t>
  </si>
  <si>
    <t>+7 (917) 706-13-67</t>
  </si>
  <si>
    <t>https://specdorstroy12.ru/</t>
  </si>
  <si>
    <t>Аренда строительной и спецтехники, Строительная компания, Строительство и ремонт дорог</t>
  </si>
  <si>
    <t>47.917773 56.641374</t>
  </si>
  <si>
    <t>Салон красоты Вуаль</t>
  </si>
  <si>
    <t>ул. Петрова, 18В, Йошкар-Ола</t>
  </si>
  <si>
    <t>+7 (8362) 71-50-05</t>
  </si>
  <si>
    <t>+7 (902) 466-50-05</t>
  </si>
  <si>
    <t>47.920789 56.633646</t>
  </si>
  <si>
    <t>ул. Панфилова, 15, Йошкар-Ола</t>
  </si>
  <si>
    <t>47.885864 56.621345</t>
  </si>
  <si>
    <t>Ленинский просп., 20А/1, Йошкар-Ола</t>
  </si>
  <si>
    <t>47.910615 56.628147</t>
  </si>
  <si>
    <t>Йошкар-Олинская городская организация Общероссийский профсоюз образования</t>
  </si>
  <si>
    <t xml:space="preserve">profkomola@mail.ru  </t>
  </si>
  <si>
    <t>http://iolagorkom.ucoz.ru/</t>
  </si>
  <si>
    <t>47.905017 56.633914</t>
  </si>
  <si>
    <t>Детский клуб Таир</t>
  </si>
  <si>
    <t>+7 (8362) 64-83-05</t>
  </si>
  <si>
    <t>47.93917 56.634146</t>
  </si>
  <si>
    <t>47.879345 56.626494</t>
  </si>
  <si>
    <t>+7 (8362) 27-05-05</t>
  </si>
  <si>
    <t xml:space="preserve">info@agency2.su  </t>
  </si>
  <si>
    <t>http://tricolor-joshkarola.ru/, https://chats.viber.com/tricolor_tv, https://home.tricolor.tv/, https://internet.tricolor.tv/, https://shop.tricolor.tv/, https://www.tricolor.tv/</t>
  </si>
  <si>
    <t>Антенны, Спутниковое телевидение, Телекоммуникационное оборудование</t>
  </si>
  <si>
    <t>https://vk.com/tricolor_tv</t>
  </si>
  <si>
    <t>https://ok.ru/tricolor.tv</t>
  </si>
  <si>
    <t>https://twitter.com/tricolortv</t>
  </si>
  <si>
    <t>https://www.facebook.com/tricolortv</t>
  </si>
  <si>
    <t>https://www.youtube.com/channel/UC-KszRsnmwQEKBhYIe9moCA</t>
  </si>
  <si>
    <t>https://www.instagram.com/tricolor_tv/</t>
  </si>
  <si>
    <t>47.88509 56.637243</t>
  </si>
  <si>
    <t>+7 (919) 419-00-05</t>
  </si>
  <si>
    <t>47.881976 56.631106</t>
  </si>
  <si>
    <t xml:space="preserve">Россия, Республика Марий Эл, Йошкар-Ола, Привокзальная площадь </t>
  </si>
  <si>
    <t>+7 (929) 733-21-40</t>
  </si>
  <si>
    <t>Автобусные билеты</t>
  </si>
  <si>
    <t>ежедневно, 05:40–17:30</t>
  </si>
  <si>
    <t>47.882139 56.621867</t>
  </si>
  <si>
    <t>Рефконтейнер</t>
  </si>
  <si>
    <t>8 (800) 550-84-25</t>
  </si>
  <si>
    <t xml:space="preserve">ioshkar-ola@refkonteyner.ru  </t>
  </si>
  <si>
    <t>https://ioshkar-ola.refkonteyner.ru/</t>
  </si>
  <si>
    <t>Контейнеры, Промышленное холодильное оборудование, Тара и упаковочные материалы</t>
  </si>
  <si>
    <t>пн-пт 09:00–23:00</t>
  </si>
  <si>
    <t>Металлоff</t>
  </si>
  <si>
    <t>Советская ул., 13, Йошкар-Ола</t>
  </si>
  <si>
    <t>+7 (902) 672-58-89</t>
  </si>
  <si>
    <t>47.913227 56.650142</t>
  </si>
  <si>
    <t>Магазин авторских картин, изделий и сувениров</t>
  </si>
  <si>
    <t>+7 (8362) 41-26-28</t>
  </si>
  <si>
    <t xml:space="preserve">salon.rmii@yandex.ru  </t>
  </si>
  <si>
    <t>https://fine-art12.ru/</t>
  </si>
  <si>
    <t>Изделия из камня, Магазин подарков и сувениров, Художественный салон</t>
  </si>
  <si>
    <t>https://vk.com/fineart12ru</t>
  </si>
  <si>
    <t>https://www.instagram.com/kartiny_suveniry_podarki_12</t>
  </si>
  <si>
    <t>Фотобудка Фотобокс12</t>
  </si>
  <si>
    <t>+7 (927) 684-00-48</t>
  </si>
  <si>
    <t xml:space="preserve">fotobox12@mail.ru  </t>
  </si>
  <si>
    <t>Игорное и развлекательное оборудование, Товары для праздника, Фотоуслуги</t>
  </si>
  <si>
    <t>https://vk.com/fotobox12</t>
  </si>
  <si>
    <t>http://www.instagram.com/fotobox12_yo</t>
  </si>
  <si>
    <t>ул. Йывана Кырли, 48А, Йошкар-Ола</t>
  </si>
  <si>
    <t>47.824137 56.638368</t>
  </si>
  <si>
    <t>Лаки Shop</t>
  </si>
  <si>
    <t>47.832829 56.636686</t>
  </si>
  <si>
    <t>47.838512 56.641567</t>
  </si>
  <si>
    <t>Металлкомплект</t>
  </si>
  <si>
    <t>ул. Строителей, 95В/1, Йошкар-Ола</t>
  </si>
  <si>
    <t>+7 (917) 071-30-91</t>
  </si>
  <si>
    <t>Конструкторское бюро, Лазерная резка и гравировка, Металлообработка</t>
  </si>
  <si>
    <t>47.869411 56.618239</t>
  </si>
  <si>
    <t>Сдобново</t>
  </si>
  <si>
    <t>City</t>
  </si>
  <si>
    <t>http://mebelicity.ru/</t>
  </si>
  <si>
    <t>47.919497 56.626619</t>
  </si>
  <si>
    <t>+7 (8362) 55-02-22</t>
  </si>
  <si>
    <t>ул. Соловьёва, 22Г, Йошкар-Ола, Россия</t>
  </si>
  <si>
    <t>+7 (8362) 55-25-10</t>
  </si>
  <si>
    <t>+7 (961) 336-42-22</t>
  </si>
  <si>
    <t>http://www.mobi-el.ru/</t>
  </si>
  <si>
    <t>Автопокраска</t>
  </si>
  <si>
    <t>+7 (8362) 98-89-89</t>
  </si>
  <si>
    <t>47.859472 56.64451</t>
  </si>
  <si>
    <t>Атм Альянс</t>
  </si>
  <si>
    <t>8 (800) 200-62-32, +7 (8362) 34-79-58</t>
  </si>
  <si>
    <t xml:space="preserve">dv@atm72.ru, primorye@atm72.ru, ekat@atm72.ru, mariyel@atm72.ru, kazan@atm72.ru  </t>
  </si>
  <si>
    <t>http://atm72.ru/</t>
  </si>
  <si>
    <t>Банковское оборудование, Вендинговое оборудование, Кассовые аппараты и расходные материалы</t>
  </si>
  <si>
    <t>https://vk.com/atm_alliance</t>
  </si>
  <si>
    <t>https://www.facebook.com/atmalliance72</t>
  </si>
  <si>
    <t>https://www.youtube.com/channel/UCUuK66Arm9dHzef61pw51Iw?view_as=subscriber</t>
  </si>
  <si>
    <t>https://www.instagram.com/atm_alliance72</t>
  </si>
  <si>
    <t>47.83166 56.644812</t>
  </si>
  <si>
    <t>Ммкат</t>
  </si>
  <si>
    <t>+7 (952) 020-90-94</t>
  </si>
  <si>
    <t>Most</t>
  </si>
  <si>
    <t>+7 (8362) 99-40-44</t>
  </si>
  <si>
    <t>Дополнительное образование, Начальная школа, Услуги репетиторов</t>
  </si>
  <si>
    <t>https://vk.com/mostola</t>
  </si>
  <si>
    <t>47.887705 56.634463</t>
  </si>
  <si>
    <t>ПФК Статус</t>
  </si>
  <si>
    <t>47.826774 56.618059</t>
  </si>
  <si>
    <t>Красноармейская ул., 103А, Йошкар-Ола</t>
  </si>
  <si>
    <t>47.863033 56.645275</t>
  </si>
  <si>
    <t>Шляпник</t>
  </si>
  <si>
    <t>Волгафлекс офис</t>
  </si>
  <si>
    <t>+7 (495) 204-20-49, +7 (8362) 38-03-80, +7 (495) 560-49-17</t>
  </si>
  <si>
    <t>47.885519 56.633851</t>
  </si>
  <si>
    <t>Ленинский просп., 13А, Йошкар-Ола</t>
  </si>
  <si>
    <t>47.908532 56.625788</t>
  </si>
  <si>
    <t>47.862037 56.645718</t>
  </si>
  <si>
    <t>Экпресс</t>
  </si>
  <si>
    <t>47.908735 56.61553</t>
  </si>
  <si>
    <t>НБД-банк</t>
  </si>
  <si>
    <t>http://www.nbdbank.ru/</t>
  </si>
  <si>
    <t>https://vk.com/nbd_bank</t>
  </si>
  <si>
    <t>https://www.facebook.com/nbdbank.ru</t>
  </si>
  <si>
    <t>ул. Карла Маркса, 127/1, Йошкар-Ола</t>
  </si>
  <si>
    <t>47.884813 56.616962</t>
  </si>
  <si>
    <t>Банникофф</t>
  </si>
  <si>
    <t>+7 (8362) 64-54-67</t>
  </si>
  <si>
    <t>+7 (937) 113-36-96</t>
  </si>
  <si>
    <t>http://bannikof12.ru/</t>
  </si>
  <si>
    <t>Маки Лаки</t>
  </si>
  <si>
    <t>+7 (8362) 20-01-36, +7 (8362) 66-01-65</t>
  </si>
  <si>
    <t>47.922767 56.64008</t>
  </si>
  <si>
    <t>47.85249 56.630781</t>
  </si>
  <si>
    <t>Легенда Мари</t>
  </si>
  <si>
    <t>47.929671 56.639194</t>
  </si>
  <si>
    <t>Кабинет бухгалтерских услуг</t>
  </si>
  <si>
    <t>Медвежий Сон</t>
  </si>
  <si>
    <t>+7 (905) 110-77-33</t>
  </si>
  <si>
    <t xml:space="preserve">sales@sleepbear.ru  </t>
  </si>
  <si>
    <t>https://joshkar-ola.sleepbear.ru/</t>
  </si>
  <si>
    <t>ул. Степана Разина, 14, Йошкар-Ола</t>
  </si>
  <si>
    <t>47.905807 56.619869</t>
  </si>
  <si>
    <t>Апартаменты люкс на П. курсантов, д. 2</t>
  </si>
  <si>
    <t>ул. Подольских Курсантов, 2, Йошкар-Ола</t>
  </si>
  <si>
    <t>47.873806 56.650963</t>
  </si>
  <si>
    <t>Магазин джинсовой одежды, Магазин обуви</t>
  </si>
  <si>
    <t>47.873608 56.645253</t>
  </si>
  <si>
    <t>Адвокат Сумина Н. А.</t>
  </si>
  <si>
    <t>+7 (8362) 36-05-00, +7 (8362) 45-03-24</t>
  </si>
  <si>
    <t>+7 (967) 756-05-00</t>
  </si>
  <si>
    <t>ежедневно, 08:30–18:00</t>
  </si>
  <si>
    <t>Отделение Перинатальной Диагностики УЗИ</t>
  </si>
  <si>
    <t>Диагностический центр</t>
  </si>
  <si>
    <t>47.877258 56.638342</t>
  </si>
  <si>
    <t>КроссФитМаг</t>
  </si>
  <si>
    <t>+7 (927) 681-91-67</t>
  </si>
  <si>
    <t xml:space="preserve">crossfitmag@yandex.ru, support@tiu.ru  </t>
  </si>
  <si>
    <t>https://crossfitmag.ru/</t>
  </si>
  <si>
    <t>Западная ул., 23А, Йошкар-Ола</t>
  </si>
  <si>
    <t>47.832494 56.646507</t>
  </si>
  <si>
    <t>Сухофрукты</t>
  </si>
  <si>
    <t>47.883201 56.621061</t>
  </si>
  <si>
    <t>+7 (967) 757-70-76</t>
  </si>
  <si>
    <t>https://www.instagram.com/p/Bwm7PZyFBuX/</t>
  </si>
  <si>
    <t>Нежность Flowers</t>
  </si>
  <si>
    <t>Ленинский просп., 37, Йошкар-Ола</t>
  </si>
  <si>
    <t>+7 (8362) 39-38-37</t>
  </si>
  <si>
    <t>+7 (937) 939-38-37</t>
  </si>
  <si>
    <t>http://www.instagram.com/n.flowers_yola</t>
  </si>
  <si>
    <t>47.882163 56.631892</t>
  </si>
  <si>
    <t>+7 (8362) 32-00-08</t>
  </si>
  <si>
    <t>+7 (927) 882-00-08</t>
  </si>
  <si>
    <t>47.859525 56.644955</t>
  </si>
  <si>
    <t>Центр стопы и осанки</t>
  </si>
  <si>
    <t>+7 (927) 681-76-66</t>
  </si>
  <si>
    <t xml:space="preserve">394608@mail.ru  </t>
  </si>
  <si>
    <t>Медцентр, клиника, Ортопедический салон, Товары для инвалидов, средства реабилитации</t>
  </si>
  <si>
    <t>https://vk.com/dvz12</t>
  </si>
  <si>
    <t>47.889856 56.646404</t>
  </si>
  <si>
    <t>Йошкины сувениры</t>
  </si>
  <si>
    <t>Вознесенская ул., 43А, Йошкар-Ола</t>
  </si>
  <si>
    <t>47.902616 56.637419</t>
  </si>
  <si>
    <t>ул. Крылова, 27В, Йошкар-Ола</t>
  </si>
  <si>
    <t>47.858144 56.62289</t>
  </si>
  <si>
    <t>+7 (987) 722-38-87</t>
  </si>
  <si>
    <t>https://instagram.com/show_room_kate_shop</t>
  </si>
  <si>
    <t>ИП Домрачев Е. Н</t>
  </si>
  <si>
    <t>+7 (987) 706-94-58</t>
  </si>
  <si>
    <t>47.8829 56.638595</t>
  </si>
  <si>
    <t>ИП В. Г.</t>
  </si>
  <si>
    <t>Наружная реклама, Полиграфические услуги, Рекламное агентство, Широкоформатная печать</t>
  </si>
  <si>
    <t>https://vk.com/inofart_ru</t>
  </si>
  <si>
    <t>+7 (8362) 33-44-15, +7 (8362) 33-44-32</t>
  </si>
  <si>
    <t>http://эксперт24.рф/</t>
  </si>
  <si>
    <t>47.917689 56.631442</t>
  </si>
  <si>
    <t>ул. Пушкина, 7А, Йошкар-Ола</t>
  </si>
  <si>
    <t>47.896945 56.631679</t>
  </si>
  <si>
    <t>Йошкар-Олинская и Марийская епархия Русской православной церкви Московского патриархата</t>
  </si>
  <si>
    <t>Вознесенская ул., 27, Йошкар-Ола</t>
  </si>
  <si>
    <t>+7 (8362) 42-89-27</t>
  </si>
  <si>
    <t xml:space="preserve">socsluzhenie@mail.ru, kokshaisk_pokrova@mail.ru  </t>
  </si>
  <si>
    <t>http://www.mari-eparhia.ru/</t>
  </si>
  <si>
    <t>https://vk.com/mari_eparhia</t>
  </si>
  <si>
    <t>47.904209 56.640164</t>
  </si>
  <si>
    <t>Provolkova.ru</t>
  </si>
  <si>
    <t>+7 (961) 379-23-71</t>
  </si>
  <si>
    <t xml:space="preserve">provolkova@mail.com </t>
  </si>
  <si>
    <t>http://provolkova.ru/</t>
  </si>
  <si>
    <t>47.871698 56.638615</t>
  </si>
  <si>
    <t>47.853799 56.656984</t>
  </si>
  <si>
    <t>Центр Финансовых Решений</t>
  </si>
  <si>
    <t>+7 (960) 094-54-43</t>
  </si>
  <si>
    <t>Ипотечное агентство, Микрофинансирование</t>
  </si>
  <si>
    <t>+7 (962) 588-78-00</t>
  </si>
  <si>
    <t>47.8331 56.6418</t>
  </si>
  <si>
    <t>47.897296 56.633993</t>
  </si>
  <si>
    <t>Серебряный клинок</t>
  </si>
  <si>
    <t>47.869466 56.631444</t>
  </si>
  <si>
    <t>Россия, Республика Марий Эл, Йошкар-Ола, улица Гастелло</t>
  </si>
  <si>
    <t>47.906217 56.65077</t>
  </si>
  <si>
    <t>ул. Карла Маркса, 127А, Йошкар-Ола</t>
  </si>
  <si>
    <t>47.885051 56.6168</t>
  </si>
  <si>
    <t>47.923835 56.634762</t>
  </si>
  <si>
    <t>Прием цветного черного лома</t>
  </si>
  <si>
    <t>ул. Карла Либкнехта, 104, Йошкар-Ола</t>
  </si>
  <si>
    <t>47.935155 56.628208</t>
  </si>
  <si>
    <t>Терапевтический корпус</t>
  </si>
  <si>
    <t>+7 (8362) 64-24-90, +7 (8362) 64-71-19</t>
  </si>
  <si>
    <t>http://kli55k4.polickliniki.ru/</t>
  </si>
  <si>
    <t>Видео 888</t>
  </si>
  <si>
    <t>Сернурский тракт, 20А, Йошкар-Ола</t>
  </si>
  <si>
    <t>+7 (8362) 48-88-88</t>
  </si>
  <si>
    <t>+7 (967) 758-88-88</t>
  </si>
  <si>
    <t xml:space="preserve">video488888@yandex.ru  </t>
  </si>
  <si>
    <t>http://video888.ru/</t>
  </si>
  <si>
    <t>Домофоны, Системы безопасности и охраны, Электротехническая продукция</t>
  </si>
  <si>
    <t>47.933645 56.643832</t>
  </si>
  <si>
    <t>47.855897 56.650854</t>
  </si>
  <si>
    <t>Шиномонтаж24</t>
  </si>
  <si>
    <t>47.852164 56.624755</t>
  </si>
  <si>
    <t>47.832576 56.638977</t>
  </si>
  <si>
    <t>Штрафстоянка</t>
  </si>
  <si>
    <t>Россия, Республика Марий Эл, Йошкар-Ола, Красноармейская слобода</t>
  </si>
  <si>
    <t>47.913578 56.642284</t>
  </si>
  <si>
    <t>+7 (8362) 32-03-70, +7 (8362) 32-03-11</t>
  </si>
  <si>
    <t>+7 (927) 882-03-70, +7 (927) 882-03-11</t>
  </si>
  <si>
    <t xml:space="preserve">14370afcdc17429f9e418d5ffbd0334a@sentry.wixpress.com, info@cti-uspex.ru, wixofday@wix.com, ctiuspex@mail.ru  </t>
  </si>
  <si>
    <t>http://cti-uspex.ru/</t>
  </si>
  <si>
    <t>Дополнительное образование, Клуб для детей и подростков, Курсы иностранных языков, Логопеды, Услуги репетиторов, Центр развития ребенка</t>
  </si>
  <si>
    <t>https://vk.com/cti_uspex</t>
  </si>
  <si>
    <t>https://twitter.com/Cti_Uspex</t>
  </si>
  <si>
    <t>https://www.facebook.com/groups/ctiuspex/</t>
  </si>
  <si>
    <t>https://www.instagram.com/cti_uspex/</t>
  </si>
  <si>
    <t>47.907687 56.63122</t>
  </si>
  <si>
    <t>47.891981 56.637906</t>
  </si>
  <si>
    <t>Россия, Республика Марий Эл, Йошкар-Ола, микрорайон Черновка</t>
  </si>
  <si>
    <t>47.94936 56.639575</t>
  </si>
  <si>
    <t>Отдел ЗАГС Министерство юстиции Республики Марий Эл</t>
  </si>
  <si>
    <t>+7 (8362) 43-00-71, +7 (8362) 64-20-63, +7 (8362) 64-15-53</t>
  </si>
  <si>
    <t>+7 (8362) 64-20-63</t>
  </si>
  <si>
    <t>47.910918 56.635283</t>
  </si>
  <si>
    <t>пн-пт 09:00–21:00; сб,вс 10:00–21:00</t>
  </si>
  <si>
    <t>47.894378 56.629394</t>
  </si>
  <si>
    <t>SMKeys12</t>
  </si>
  <si>
    <t>+7 (902) 744-45-56</t>
  </si>
  <si>
    <t>Kolesa12</t>
  </si>
  <si>
    <t xml:space="preserve">kolesayola12@mail.ru  </t>
  </si>
  <si>
    <t>http://kolesa12.ru/</t>
  </si>
  <si>
    <t>Все просто</t>
  </si>
  <si>
    <t>+7 (919) 415-98-88</t>
  </si>
  <si>
    <t xml:space="preserve">slozhnogonet12@yandex.ru  </t>
  </si>
  <si>
    <t>https://vseprosto12.ru/</t>
  </si>
  <si>
    <t>https://vk.com/vseprostoyola</t>
  </si>
  <si>
    <t>https://www.facebook.com/Студия-аппаратной-косметологии-Все-просто-111319850618446/?eid=ARAtwqix6QURS9LRBr69shA1rW08bpbDYwSmGphfJQW8Bg5okFocYdlxBaVqb_78w0BXImXQNI_y1Qf8</t>
  </si>
  <si>
    <t>https://www.instagram.com/vseprostoyola/</t>
  </si>
  <si>
    <t>47.900165 56.636595</t>
  </si>
  <si>
    <t>Глобус</t>
  </si>
  <si>
    <t>47.88437 56.632892</t>
  </si>
  <si>
    <t>47.947053 56.637468</t>
  </si>
  <si>
    <t>Flip Post - служба экспресс-доставки</t>
  </si>
  <si>
    <t>+7 (495) 788-55-08, +7 (8362) 50-50-40</t>
  </si>
  <si>
    <t xml:space="preserve">info@flippost.com  </t>
  </si>
  <si>
    <t>https://flippost.com/</t>
  </si>
  <si>
    <t>47.887786 56.627936</t>
  </si>
  <si>
    <t>47.889039 56.631527</t>
  </si>
  <si>
    <t>Базарная площадь</t>
  </si>
  <si>
    <t>ул. Воинов-Интернационалистов, 36А, Йошкар-Ола</t>
  </si>
  <si>
    <t>Магазин подарков и сувениров, Музей</t>
  </si>
  <si>
    <t>https://vk.com/bazarnaya_yola</t>
  </si>
  <si>
    <t>47.911007 56.637971</t>
  </si>
  <si>
    <t>https://vk.com/id606412888</t>
  </si>
  <si>
    <t>47.928339 56.627045</t>
  </si>
  <si>
    <t>Косметология, Массажный салон, Ногтевая студия, Салон красоты</t>
  </si>
  <si>
    <t>Oriflame Йошкар-Ола</t>
  </si>
  <si>
    <t>+7 (927) 877-70-35</t>
  </si>
  <si>
    <t xml:space="preserve">stiepanov91@inbox.ru  </t>
  </si>
  <si>
    <t>https://www.oriflame.ru/business-opportunity?store=11375835</t>
  </si>
  <si>
    <t>вт-пт 12:00–18:00</t>
  </si>
  <si>
    <t>47.897426 56.641104</t>
  </si>
  <si>
    <t>+7 (902) 744-36-67</t>
  </si>
  <si>
    <t>Дом Творчества Кулинаров</t>
  </si>
  <si>
    <t>Банкетный зал, Булочная, пекарня, Столовая</t>
  </si>
  <si>
    <t>47.880727 56.622923</t>
  </si>
  <si>
    <t>Ремонт изделий из кожи и меха</t>
  </si>
  <si>
    <t>47.855924 56.650851</t>
  </si>
  <si>
    <t>Россия, Республика Марий Эл, Йошкар-Ола, улица Чернышевского</t>
  </si>
  <si>
    <t>47.900871 56.633236</t>
  </si>
  <si>
    <t>8 (800) 600-95-25</t>
  </si>
  <si>
    <t>Семейное кафе Фиестапарк</t>
  </si>
  <si>
    <t>ул. Воинов-Интернационалистов, 13, Йошкар-Ола</t>
  </si>
  <si>
    <t>47.935329 56.632486</t>
  </si>
  <si>
    <t>ул. Воинов-Интернационалистов, 32Б, Йошкар-Ола</t>
  </si>
  <si>
    <t>47.919027 56.637749</t>
  </si>
  <si>
    <t>Apartment in the centre Yoshkar-Ola</t>
  </si>
  <si>
    <t>47.871699 56.638633</t>
  </si>
  <si>
    <t>47.926299 56.641028</t>
  </si>
  <si>
    <t>ул. Петрова, 8/3, Йошкар-Ола</t>
  </si>
  <si>
    <t>47.919174 56.631451</t>
  </si>
  <si>
    <t>47.920423 56.637563</t>
  </si>
  <si>
    <t>Комплектующие для окон, Кровля и кровельные материалы, Стройматериалы оптом</t>
  </si>
  <si>
    <t>Изготовление корпусной мебели</t>
  </si>
  <si>
    <t>1-й пр. Артема, 4, Йошкар-Ола</t>
  </si>
  <si>
    <t>+7 (902) 104-00-50</t>
  </si>
  <si>
    <t>47.849958 56.65787</t>
  </si>
  <si>
    <t>47.826934 56.638228</t>
  </si>
  <si>
    <t>Yuna style</t>
  </si>
  <si>
    <t>+7 (8362) 27-79-59</t>
  </si>
  <si>
    <t>47.930566 56.634089</t>
  </si>
  <si>
    <t>Веснушка</t>
  </si>
  <si>
    <t>+7 (8362) 96-53-83</t>
  </si>
  <si>
    <t>Мир иллюзий</t>
  </si>
  <si>
    <t>+7 (902) 101-90-80</t>
  </si>
  <si>
    <t>Магазин автокрасок</t>
  </si>
  <si>
    <t>+7 (8362) 36-26-19</t>
  </si>
  <si>
    <t>47.935555 56.636981</t>
  </si>
  <si>
    <t>47.836802 56.640128</t>
  </si>
  <si>
    <t>47.927445 56.633671</t>
  </si>
  <si>
    <t>остановочный пункт 108 километр</t>
  </si>
  <si>
    <t>47.852137 56.625297</t>
  </si>
  <si>
    <t>Мастер бровист Бас Ю.</t>
  </si>
  <si>
    <t>+7 (902) 744-44-60</t>
  </si>
  <si>
    <t>Плюшки ватрушки</t>
  </si>
  <si>
    <t>Магазин тормозных систем</t>
  </si>
  <si>
    <t>+7 (927) 877-77-73</t>
  </si>
  <si>
    <t>пн-пт 09:00–18:00, перерыв 13:00–14:00; сб 09:00–15:00</t>
  </si>
  <si>
    <t>Джи ли</t>
  </si>
  <si>
    <t>47.891521 56.638961</t>
  </si>
  <si>
    <t>Россия, Республика Марий Эл, Йошкар-Ола, 9-й микрорайон</t>
  </si>
  <si>
    <t>47.839474 56.635721</t>
  </si>
  <si>
    <t>Dariano</t>
  </si>
  <si>
    <t>8 (800) 444-08-00, +7 (8362) 38-30-12</t>
  </si>
  <si>
    <t xml:space="preserve">info@dariano.ru  </t>
  </si>
  <si>
    <t>http://www.dariano.ru/</t>
  </si>
  <si>
    <t>пн-пт 08:30–20:00; сб 08:30–19:00; вс 09:00–18:00</t>
  </si>
  <si>
    <t>https://vk.com/dariano.company</t>
  </si>
  <si>
    <t>https://ok.ru/dariano.company</t>
  </si>
  <si>
    <t>https://www.facebook.com/dariano.company</t>
  </si>
  <si>
    <t>https://www.instagram.com/dariano.company/</t>
  </si>
  <si>
    <t>47.924878 56.626099</t>
  </si>
  <si>
    <t>47.858759 56.644741</t>
  </si>
  <si>
    <t>47.964529 56.641593</t>
  </si>
  <si>
    <t>Интернет-магазин ДомМатрасов, Йошкар-Ола</t>
  </si>
  <si>
    <t>8 (800) 500-12-20</t>
  </si>
  <si>
    <t xml:space="preserve">zakaz@dommatrasov.com  </t>
  </si>
  <si>
    <t>https://yoshkar-ola.dommatrasov.com/</t>
  </si>
  <si>
    <t>Интернет-магазин, Магазин постельных принадлежностей, Матрасы</t>
  </si>
  <si>
    <t>Туалет мужской</t>
  </si>
  <si>
    <t>47.883627 56.620192</t>
  </si>
  <si>
    <t>Крым Эко Косметика</t>
  </si>
  <si>
    <t>ул. Клары Цеткин, 12/22, Йошкар-Ола</t>
  </si>
  <si>
    <t>+7 (978) 724-09-94, +7 (978) 724-09-49</t>
  </si>
  <si>
    <t>47.907531 56.617928</t>
  </si>
  <si>
    <t>Производство стальных дверей в Йошкар-Оле</t>
  </si>
  <si>
    <t>Россия, Республика Марий Эл, Йошкар-Ола, Архангельская слобода</t>
  </si>
  <si>
    <t>47.90136 56.632935</t>
  </si>
  <si>
    <t>Деловой центр МарГУ</t>
  </si>
  <si>
    <t>47.874913 56.644335</t>
  </si>
  <si>
    <t>47.888332 56.62933</t>
  </si>
  <si>
    <t>Россия, Республика Марий Эл, Йошкар-Ола, 3-й микрорайон</t>
  </si>
  <si>
    <t>47.869584 56.65309</t>
  </si>
  <si>
    <t>Единый паспортный стол</t>
  </si>
  <si>
    <t>+7 (8362) 45-26-04, +7 (8362) 42-38-08, +7 (8362) 45-26-73</t>
  </si>
  <si>
    <t xml:space="preserve">du11@oaosouth.ru, jeuk@oaosouth.ru </t>
  </si>
  <si>
    <t>Снабсервис+</t>
  </si>
  <si>
    <t>+7 (8362) 41-01-69</t>
  </si>
  <si>
    <t>+7 (917) 712-34-60</t>
  </si>
  <si>
    <t>47.883514 56.615368</t>
  </si>
  <si>
    <t>Дрова</t>
  </si>
  <si>
    <t>47.864097 56.646627</t>
  </si>
  <si>
    <t>Амвей</t>
  </si>
  <si>
    <t>+7 (902) 434-22-16</t>
  </si>
  <si>
    <t xml:space="preserve">inforu@amway.com  </t>
  </si>
  <si>
    <t>http://m.amway.ru/user/7163286_olga/invitergc=yes</t>
  </si>
  <si>
    <t>47.901917 56.64053</t>
  </si>
  <si>
    <t>47.923917 56.634707</t>
  </si>
  <si>
    <t>47.89354 56.632716</t>
  </si>
  <si>
    <t>Тиара</t>
  </si>
  <si>
    <t>+7 (8362) 45-31-38, +7 (8362) 45-12-99</t>
  </si>
  <si>
    <t>http://гардиан.рф/</t>
  </si>
  <si>
    <t>Замки и запорные устройства, Производственное предприятие</t>
  </si>
  <si>
    <t>Светлячок-2</t>
  </si>
  <si>
    <t>47.88353 56.643227</t>
  </si>
  <si>
    <t>47.836088 56.642105</t>
  </si>
  <si>
    <t>47.916452 56.643743</t>
  </si>
  <si>
    <t>47.891801 56.637094</t>
  </si>
  <si>
    <t>Агрозайм</t>
  </si>
  <si>
    <t>47.83548 56.635863</t>
  </si>
  <si>
    <t>47.922242 56.638325</t>
  </si>
  <si>
    <t>Вывески</t>
  </si>
  <si>
    <t>Изготовление вывесок, Наружная реклама</t>
  </si>
  <si>
    <t>47.903308 56.6479</t>
  </si>
  <si>
    <t>Полюс</t>
  </si>
  <si>
    <t>ул. Строителей, 100, корп. 1, Йошкар-Ола</t>
  </si>
  <si>
    <t>+7 (8362) 42-91-31, +7 (8362) 42-88-08</t>
  </si>
  <si>
    <t>Monroe</t>
  </si>
  <si>
    <t>47.832268 56.638244</t>
  </si>
  <si>
    <t>Unicorn</t>
  </si>
  <si>
    <t>+7 (917) 700-63-31</t>
  </si>
  <si>
    <t>https://vk.com/unicorn_nails_yola</t>
  </si>
  <si>
    <t>+7 (964) 860-15-95</t>
  </si>
  <si>
    <t>47.869459 56.646222</t>
  </si>
  <si>
    <t>Магазин семян, Селекция и семеноводство</t>
  </si>
  <si>
    <t>Спецстрой</t>
  </si>
  <si>
    <t>47.975484 56.638429</t>
  </si>
  <si>
    <t>Нектар</t>
  </si>
  <si>
    <t>+7 (962) 588-24-18, +7 (917) 701-23-88</t>
  </si>
  <si>
    <t>47.907642 56.627251</t>
  </si>
  <si>
    <t>Комсомольская ул., 36/37, Йошкар-Ола</t>
  </si>
  <si>
    <t>47.901031 56.648879</t>
  </si>
  <si>
    <t>47.837259 56.640055</t>
  </si>
  <si>
    <t>47.856247 56.650597</t>
  </si>
  <si>
    <t>+7 (8362) 64-81-64</t>
  </si>
  <si>
    <t>Barboss</t>
  </si>
  <si>
    <t>+7 (8362) 51-14-14</t>
  </si>
  <si>
    <t>https://instagram.com/_hookah_barboss_</t>
  </si>
  <si>
    <t>47.883447 56.655106</t>
  </si>
  <si>
    <t>+7 (8362) 20-02-55</t>
  </si>
  <si>
    <t>47.841101 56.642156</t>
  </si>
  <si>
    <t>МРСК Центра и Приволжья, филиал Мариэнерго</t>
  </si>
  <si>
    <t>8 (800) 505-01-15, +7 (8362) 42-52-92, +7 (8362) 42-13-00</t>
  </si>
  <si>
    <t>+7 (8362) 41-28-80</t>
  </si>
  <si>
    <t xml:space="preserve">doverie@mrsk-1.ru </t>
  </si>
  <si>
    <t>http://mrsk-cp.ru/</t>
  </si>
  <si>
    <t>https://vk.com/public67879763</t>
  </si>
  <si>
    <t>https://www.instagram.com/mrsk_centra</t>
  </si>
  <si>
    <t>47.877029 56.628173</t>
  </si>
  <si>
    <t>Артезиана</t>
  </si>
  <si>
    <t>Геология, геофизика, Изыскательские работы</t>
  </si>
  <si>
    <t>Сауны Эврика</t>
  </si>
  <si>
    <t>+7 (8362) 46-90-74, +7 (8362) 46-90-83</t>
  </si>
  <si>
    <t>http://evrikahotel.ru/ru/sauna/, http://evrikahotel.ru/ru/sauna/chocolate.html</t>
  </si>
  <si>
    <t>47.88186 56.645266</t>
  </si>
  <si>
    <t>+7 (8362) 30-99-62</t>
  </si>
  <si>
    <t>47.886698 56.629238</t>
  </si>
  <si>
    <t>Лавка Счастья</t>
  </si>
  <si>
    <t>+7 (937) 939-72-38</t>
  </si>
  <si>
    <t>https://vk.com/lavka_schastia</t>
  </si>
  <si>
    <t>https://www.instagram.com/lavka_schastia/</t>
  </si>
  <si>
    <t>Pokupka12.ru</t>
  </si>
  <si>
    <t>+7 (8362) 90-33-09</t>
  </si>
  <si>
    <t xml:space="preserve">gavanee-t@mail.ru, rc-buyer@ya.ru, daymon911@mail.ru  </t>
  </si>
  <si>
    <t>https://pokupka12.ru/</t>
  </si>
  <si>
    <t>Интернет-магазин, Светотехника</t>
  </si>
  <si>
    <t>ежедневно, 09:00–20:00, перерыв 12:00–13:00</t>
  </si>
  <si>
    <t>https://vk.com/pokupka12ru</t>
  </si>
  <si>
    <t>47.901737 56.645752</t>
  </si>
  <si>
    <t>ИП Сомов А. В.</t>
  </si>
  <si>
    <t>ул. Воинов-Интернационалистов, 22А, Йошкар-Ола</t>
  </si>
  <si>
    <t>8 (800) 700-00-82</t>
  </si>
  <si>
    <t>+7 (964) 860-56-05</t>
  </si>
  <si>
    <t>https://переезды-по.рф/</t>
  </si>
  <si>
    <t>Автомобильные грузоперевозки, Переезды, Экспедирование грузов</t>
  </si>
  <si>
    <t>https://vk.com/somov_a_v</t>
  </si>
  <si>
    <t>47.927452 56.635451</t>
  </si>
  <si>
    <t>Глазов</t>
  </si>
  <si>
    <t>https://mebel-matras-divan.business.site/?m=true</t>
  </si>
  <si>
    <t>Корпусная мебель, Матрасы, Мягкая мебель</t>
  </si>
  <si>
    <t>47.925882 56.634215</t>
  </si>
  <si>
    <t>ул. 8 Марта, 49, Йошкар-Ола</t>
  </si>
  <si>
    <t>47.961191 56.641812</t>
  </si>
  <si>
    <t>47.882049 56.638551</t>
  </si>
  <si>
    <t>Мясная ярмарка</t>
  </si>
  <si>
    <t>47.889599 56.615289</t>
  </si>
  <si>
    <t>Салон-ателье</t>
  </si>
  <si>
    <t>+7 (902) 465-12-86</t>
  </si>
  <si>
    <t>Зенит</t>
  </si>
  <si>
    <t>+7 (812) 949-43-88</t>
  </si>
  <si>
    <t>http://zenitdverispb.ru/</t>
  </si>
  <si>
    <t>47.839923 56.625858</t>
  </si>
  <si>
    <t>Технострой</t>
  </si>
  <si>
    <t>+7 (964) 861-97-34</t>
  </si>
  <si>
    <t>Монтаж и обслуживание систем водоснабжения и канализации, Строительная компания, Строительство и обслуживание инженерных сетей</t>
  </si>
  <si>
    <t>47.869831 56.62732</t>
  </si>
  <si>
    <t>47.923431 56.634888</t>
  </si>
  <si>
    <t>+7 (8362) 25-20-46</t>
  </si>
  <si>
    <t>сб,вс 09:00–21:00</t>
  </si>
  <si>
    <t>47.8283 56.635284</t>
  </si>
  <si>
    <t>Иртыш</t>
  </si>
  <si>
    <t>47.849694 56.631738</t>
  </si>
  <si>
    <t>Садовая ул., 52, Йошкар-Ола</t>
  </si>
  <si>
    <t>47.850283 56.63156</t>
  </si>
  <si>
    <t>Гольфстрим</t>
  </si>
  <si>
    <t>47.86636 56.620876</t>
  </si>
  <si>
    <t>Комсомольская 38</t>
  </si>
  <si>
    <t>47.89952 56.64826</t>
  </si>
  <si>
    <t>+7 (8362) 54-19-41</t>
  </si>
  <si>
    <t>47.9291 56.627956</t>
  </si>
  <si>
    <t>МамаЙошка</t>
  </si>
  <si>
    <t>47.897102 56.634166</t>
  </si>
  <si>
    <t>47.870299 56.620299</t>
  </si>
  <si>
    <t>Охотничья</t>
  </si>
  <si>
    <t>47.8472 56.660449</t>
  </si>
  <si>
    <t>Элем</t>
  </si>
  <si>
    <t>+7 (962) 588-62-31</t>
  </si>
  <si>
    <t>Здание педучилища</t>
  </si>
  <si>
    <t>Советская ул., 88, Йошкар-Ола</t>
  </si>
  <si>
    <t>Училище</t>
  </si>
  <si>
    <t>47.901168 56.640435</t>
  </si>
  <si>
    <t>Теплоф</t>
  </si>
  <si>
    <t>+7 (8362) 49-72-10, +7 (8362) 49-73-20</t>
  </si>
  <si>
    <t>+7 (987) 710-57-56</t>
  </si>
  <si>
    <t xml:space="preserve">info@teplof.company  </t>
  </si>
  <si>
    <t>http://teplof.company/</t>
  </si>
  <si>
    <t>Запчасти и аксессуары для бытовой техники, Оборудование для ресторанов, Промышленное оборудование</t>
  </si>
  <si>
    <t>https://vk.com/teplofcompany</t>
  </si>
  <si>
    <t>https://twitter.com/TeplofCompany/</t>
  </si>
  <si>
    <t>https://www.facebook.com/teplof.company</t>
  </si>
  <si>
    <t>47.947887 56.634793</t>
  </si>
  <si>
    <t>Агентство краткосрочной аренды ЭленХаус</t>
  </si>
  <si>
    <t>Ленинский просп., 25, лит.2, Йошкар-Ола</t>
  </si>
  <si>
    <t>+7 (902) 101-33-77</t>
  </si>
  <si>
    <t>47.887729 56.630158</t>
  </si>
  <si>
    <t>47.841189 56.632692</t>
  </si>
  <si>
    <t>Металл-дизайн</t>
  </si>
  <si>
    <t>+7 (902) 738-82-48</t>
  </si>
  <si>
    <t>Центр по ценообразованию в строительстве и жилищно-коммунальном комплексе</t>
  </si>
  <si>
    <t>+7 (8362) 42-30-60</t>
  </si>
  <si>
    <t>Suprotec</t>
  </si>
  <si>
    <t>8 (800) 200-06-61</t>
  </si>
  <si>
    <t>+7 (906) 335-36-30</t>
  </si>
  <si>
    <t>https://suprotec.ru/</t>
  </si>
  <si>
    <t>пн-сб 08:00–19:00; вс 08:00–17:00</t>
  </si>
  <si>
    <t>https://vk.com/suprotec_official</t>
  </si>
  <si>
    <t>https://www.facebook.com/%D0%A1%D1%83%D0%BF%D1%80%D0%BE%D1%82%D0%B5%D0%BA-SUPROTEC-Official-1577519739163035/</t>
  </si>
  <si>
    <t>https://www.youtube.com/user/SuprotecNPTK</t>
  </si>
  <si>
    <t>https://instagram.com/suprotec_yoshkar_ola_12</t>
  </si>
  <si>
    <t>Coffee Moose</t>
  </si>
  <si>
    <t xml:space="preserve">team@coffee-moose.com, franchise@coffee-moose.ru, marketing@coffee-moose.ru  </t>
  </si>
  <si>
    <t>https://coffee-moose.com/</t>
  </si>
  <si>
    <t>https://vk.com/coffee__moose</t>
  </si>
  <si>
    <t>https://www.instagram.com/coffee_moose/</t>
  </si>
  <si>
    <t>ГОСТ Окна</t>
  </si>
  <si>
    <t>+7 (987) 731-31-54</t>
  </si>
  <si>
    <t>пн-пт 09:30–19:00; сб 09:30–17:00</t>
  </si>
  <si>
    <t>НПФ Геникс</t>
  </si>
  <si>
    <t>ул. Крылова, 45Г, Йошкар-Ола</t>
  </si>
  <si>
    <t>47.844901 56.618497</t>
  </si>
  <si>
    <t>Гастроэнтерологическое отделение</t>
  </si>
  <si>
    <t>47.963539 56.63925</t>
  </si>
  <si>
    <t>47.870037 56.635771</t>
  </si>
  <si>
    <t>Строительная компания ЗлатоДрево</t>
  </si>
  <si>
    <t>+7 (8362) 20-16-00</t>
  </si>
  <si>
    <t>Sander's boot</t>
  </si>
  <si>
    <t>Синьора</t>
  </si>
  <si>
    <t>Лайм Праздник</t>
  </si>
  <si>
    <t>+7 (8362) 52-05-50</t>
  </si>
  <si>
    <t>+7 (906) 137-05-50</t>
  </si>
  <si>
    <t>https://vk.com/limeprazdnik4</t>
  </si>
  <si>
    <t>Ноутбук Сервис</t>
  </si>
  <si>
    <t>+7 (902) 432-32-45, +7 (987) 711-72-22</t>
  </si>
  <si>
    <t>Комиссионный магазин, Компьютерный ремонт и услуги, Ремонт телефонов</t>
  </si>
  <si>
    <t>Эковата Йошкар-Ола</t>
  </si>
  <si>
    <t>http://www.holodavdome.net/</t>
  </si>
  <si>
    <t>http://www.vk.com/ecovata12</t>
  </si>
  <si>
    <t>http://www.instagram.com/ecovata12</t>
  </si>
  <si>
    <t>Медвежонок</t>
  </si>
  <si>
    <t>47.827824 56.636616</t>
  </si>
  <si>
    <t>Apartment on Chavajna 42</t>
  </si>
  <si>
    <t>47.89486 56.63582</t>
  </si>
  <si>
    <t>Профессиональный ремонт обуви</t>
  </si>
  <si>
    <t>47.923049 56.628982</t>
  </si>
  <si>
    <t>47.885594 56.635401</t>
  </si>
  <si>
    <t>Магазин Растительная жизнь</t>
  </si>
  <si>
    <t>Магазин для садоводов, Магазин семян, Средства защиты растений, Удобрения</t>
  </si>
  <si>
    <t>Россия, Республика Марий Эл, Йошкар-Ола, Советская улица</t>
  </si>
  <si>
    <t>47.882393 56.622566</t>
  </si>
  <si>
    <t>Дизайн Комплект</t>
  </si>
  <si>
    <t>+7 (8362) 33-14-03</t>
  </si>
  <si>
    <t>+7 (902) 102-07-00</t>
  </si>
  <si>
    <t>http://design-komplekt.ru/</t>
  </si>
  <si>
    <t>Декоративные покрытия, Изоляционные материалы, Облицовочные материалы</t>
  </si>
  <si>
    <t>47.838247 56.641613</t>
  </si>
  <si>
    <t>Медицинские технологии</t>
  </si>
  <si>
    <t>47.88528 56.642263</t>
  </si>
  <si>
    <t>Симений</t>
  </si>
  <si>
    <t>+7 (919) 418-57-12</t>
  </si>
  <si>
    <t>47.851988 56.648381</t>
  </si>
  <si>
    <t>Дели</t>
  </si>
  <si>
    <t>47.893221 56.648172</t>
  </si>
  <si>
    <t>Стиль жизни</t>
  </si>
  <si>
    <t>+7 (917) 700-66-69</t>
  </si>
  <si>
    <t>http://kl6235.polzdr.ru/</t>
  </si>
  <si>
    <t>пн-сб 06:00–13:00</t>
  </si>
  <si>
    <t>Пролетарский</t>
  </si>
  <si>
    <t>47.892335 56.645743</t>
  </si>
  <si>
    <t>Магазин головных уборов, Магазин одежды</t>
  </si>
  <si>
    <t>47.943282 56.634492</t>
  </si>
  <si>
    <t>ReFresh-SmartShop</t>
  </si>
  <si>
    <t>+7 (8362) 92-05-00</t>
  </si>
  <si>
    <t>+7 (902) 100-11-05</t>
  </si>
  <si>
    <t xml:space="preserve">lite.apple@yandex.ru  </t>
  </si>
  <si>
    <t>http://refresh-smartshop.ru/</t>
  </si>
  <si>
    <t>https://vk.com/refresh_smart_shop</t>
  </si>
  <si>
    <t>https://www.instagram.com/refresh_smart_shop</t>
  </si>
  <si>
    <t>Наш дом</t>
  </si>
  <si>
    <t>47.863397 56.640184</t>
  </si>
  <si>
    <t>47.92126 56.638705</t>
  </si>
  <si>
    <t>Интерстеллар</t>
  </si>
  <si>
    <t>+7 (499) 213-30-07</t>
  </si>
  <si>
    <t xml:space="preserve">example@site.ru, info@inter-stellar.ru  </t>
  </si>
  <si>
    <t>https://www.inter-stellar.ru/</t>
  </si>
  <si>
    <t>https://vk.com/interstellar12</t>
  </si>
  <si>
    <t>https://twitter.com/interstellar_cc</t>
  </si>
  <si>
    <t>https://www.facebook.com/InterstellarCC12</t>
  </si>
  <si>
    <t>https://www.youtube.com/channel/UCLTQqqfrpt9X2vY6MXsxiFA</t>
  </si>
  <si>
    <t>https://www.instagram.com/interstellar_cc</t>
  </si>
  <si>
    <t>Салон Столы и стулья</t>
  </si>
  <si>
    <t>+7 (8362) 32-10-80, +7 (8362) 30-40-06</t>
  </si>
  <si>
    <t>+7 (962) 588-76-00, +7 (927) 882-10-80, +7 (927) 882-17-70</t>
  </si>
  <si>
    <t>Магазин мебели, Торговый центр</t>
  </si>
  <si>
    <t>Nl international, офис</t>
  </si>
  <si>
    <t>+7 (987) 731-74-15</t>
  </si>
  <si>
    <t>Распространители косметики и бытовой химии, Спортивное питание</t>
  </si>
  <si>
    <t>ГБПОУ Республика Марий Эл Йост</t>
  </si>
  <si>
    <t>+7 (8362) 41-16-83, +7 (8362) 45-43-88</t>
  </si>
  <si>
    <t>http://y-ost.ru/</t>
  </si>
  <si>
    <t>пн-чт 10:00–16:00; пт 10:00–15:00</t>
  </si>
  <si>
    <t>47.88714 56.641159</t>
  </si>
  <si>
    <t>Трезвый водитель</t>
  </si>
  <si>
    <t>+7 (902) 104-07-78</t>
  </si>
  <si>
    <t>ул. Машиностроителей, 36А, Йошкар-Ола</t>
  </si>
  <si>
    <t>47.855294 56.633312</t>
  </si>
  <si>
    <t>Пку 10 кВ</t>
  </si>
  <si>
    <t>+7 (843) 247-24-70</t>
  </si>
  <si>
    <t>http://pku-10-kv.ru/</t>
  </si>
  <si>
    <t>http://vk.com/pku10kv</t>
  </si>
  <si>
    <t>ул. Йывана Кырли, 41, Йошкар-Ола</t>
  </si>
  <si>
    <t>47.81344 56.640124</t>
  </si>
  <si>
    <t>47.897902 56.635211</t>
  </si>
  <si>
    <t>Точка Красоты</t>
  </si>
  <si>
    <t>Косметология, Ногтевая студия, Салон красоты, Тату-салон</t>
  </si>
  <si>
    <t>47.825113 56.638408</t>
  </si>
  <si>
    <t>Магазин бижутерии, Магазин часов</t>
  </si>
  <si>
    <t>47.943276 56.634677</t>
  </si>
  <si>
    <t>+7 (8362) 42-33-42, +7 (8362) 42-35-65</t>
  </si>
  <si>
    <t>Новые Займы</t>
  </si>
  <si>
    <t>8 (800) 505-64-30</t>
  </si>
  <si>
    <t>https://новые-займы.рф/</t>
  </si>
  <si>
    <t>Банкетный зал Эврика</t>
  </si>
  <si>
    <t>http://evrikahotel.ru/ru/banket.html</t>
  </si>
  <si>
    <t>Банкетный зал, Кафе</t>
  </si>
  <si>
    <t>47.881849 56.645381</t>
  </si>
  <si>
    <t>2-Rooms Apartment on Panfilova 22</t>
  </si>
  <si>
    <t>ул. Панфилова, 22, Йошкар-Ола</t>
  </si>
  <si>
    <t>47.882092 56.62566</t>
  </si>
  <si>
    <t>Цэс</t>
  </si>
  <si>
    <t>+7 (8362) 29-30-30</t>
  </si>
  <si>
    <t>Текстильная ярмарка</t>
  </si>
  <si>
    <t>47.889508 56.642718</t>
  </si>
  <si>
    <t>Вестник государственной регистрации</t>
  </si>
  <si>
    <t>Агентство по подписке, Редакция СМИ</t>
  </si>
  <si>
    <t>47.896544 56.627275</t>
  </si>
  <si>
    <t>47.883586 56.644242</t>
  </si>
  <si>
    <t>Магазин постельных принадлежностей, Матрасы, Трикотаж, трикотажные изделия</t>
  </si>
  <si>
    <t>Мебелиссимо</t>
  </si>
  <si>
    <t>+7 (902) 743-44-47</t>
  </si>
  <si>
    <t>47.832984 56.636691</t>
  </si>
  <si>
    <t>Мастерская по изготовлению ключей</t>
  </si>
  <si>
    <t>пн-пт 08:30–18:00; сб,вс 08:30–17:00</t>
  </si>
  <si>
    <t>47.882423 56.632397</t>
  </si>
  <si>
    <t>Ла флер</t>
  </si>
  <si>
    <t>+7 (8362) 94-06-40</t>
  </si>
  <si>
    <t>Детская республиканская клиническая больница, отделение функциональной диагностики</t>
  </si>
  <si>
    <t>http://me10.polickliniki.ru/</t>
  </si>
  <si>
    <t>47.93521 56.627391</t>
  </si>
  <si>
    <t>47.833206 56.641647</t>
  </si>
  <si>
    <t>Zeon-City</t>
  </si>
  <si>
    <t>+7 (937) 117-17-66</t>
  </si>
  <si>
    <t xml:space="preserve">zeoncity12@gmail.com  </t>
  </si>
  <si>
    <t>https://zeon-city.ru/</t>
  </si>
  <si>
    <t>Производственное предприятие, Строительное оборудование и техника</t>
  </si>
  <si>
    <t>Time and Style</t>
  </si>
  <si>
    <t>47.896515 56.628616</t>
  </si>
  <si>
    <t>Аренда 12</t>
  </si>
  <si>
    <t>+7 (8362) 35-52-00</t>
  </si>
  <si>
    <t>https://vk.com/arenda355200</t>
  </si>
  <si>
    <t>Любовь-Морковь</t>
  </si>
  <si>
    <t>+7 (8362) 24-60-70</t>
  </si>
  <si>
    <t>+7 (902) 434-60-70</t>
  </si>
  <si>
    <t>http://prazdnik12.ru/</t>
  </si>
  <si>
    <t>Заказ автомобилей, Праздничное агентство, Фотоуслуги</t>
  </si>
  <si>
    <t>http://vk.com/morkovka12</t>
  </si>
  <si>
    <t>http://www.instagram.com/prazdnik12.ru</t>
  </si>
  <si>
    <t>47.929328 56.627678</t>
  </si>
  <si>
    <t>Красноармейская ул., 82А, Йошкар-Ола</t>
  </si>
  <si>
    <t>47.872483 56.646667</t>
  </si>
  <si>
    <t>Студия музыки Инны Плешаковой</t>
  </si>
  <si>
    <t>площадь Республики Пресвятой Девы Марии, 1, Йошкар-Ола</t>
  </si>
  <si>
    <t>47.903597 56.633442</t>
  </si>
  <si>
    <t>Строй град</t>
  </si>
  <si>
    <t>47.835969 56.641452</t>
  </si>
  <si>
    <t>Интрига</t>
  </si>
  <si>
    <t>47.892576 56.63869</t>
  </si>
  <si>
    <t>Магазин Модные детки</t>
  </si>
  <si>
    <t>+7 (8362) 32-09-19</t>
  </si>
  <si>
    <t>47.867973 56.637845</t>
  </si>
  <si>
    <t>Ох Овертайм</t>
  </si>
  <si>
    <t>+7 (8362) 23-28-29</t>
  </si>
  <si>
    <t>+7 (987) 700-07-11</t>
  </si>
  <si>
    <t>LaoWai</t>
  </si>
  <si>
    <t>https://vk.com/yola_laowai</t>
  </si>
  <si>
    <t>Бьюти Студия</t>
  </si>
  <si>
    <t>47.87835 56.639225</t>
  </si>
  <si>
    <t>пн-пт 08:30–17:00; сб 08:00–12:00</t>
  </si>
  <si>
    <t>47.86557 56.653581</t>
  </si>
  <si>
    <t>Грузовой сервис</t>
  </si>
  <si>
    <t>+7 (961) 377-35-64</t>
  </si>
  <si>
    <t>Автосервис, автотехцентр, Спецтехника и спецавтомобили</t>
  </si>
  <si>
    <t>47.976182 56.636445</t>
  </si>
  <si>
    <t>Мастер-клининг</t>
  </si>
  <si>
    <t>+7 (902) 325-23-14</t>
  </si>
  <si>
    <t>Магазин Пенных Напитков</t>
  </si>
  <si>
    <t>47.950747 56.628783</t>
  </si>
  <si>
    <t>Институт Растительной Косметики, салон Красоты</t>
  </si>
  <si>
    <t>+7 (8362) 41-23-23</t>
  </si>
  <si>
    <t>http://www.instagram.com/yvesrocheryoshkarola</t>
  </si>
  <si>
    <t>47.884785 56.635498</t>
  </si>
  <si>
    <t>Окна от Андрея</t>
  </si>
  <si>
    <t>47.888495 56.641759</t>
  </si>
  <si>
    <t>Официальный дилер Chery в Марий Эл</t>
  </si>
  <si>
    <t>Кокшайский пр., 49, Йошкар-Ола</t>
  </si>
  <si>
    <t>+7 (8362) 64-20-40</t>
  </si>
  <si>
    <t>47.881147 56.607221</t>
  </si>
  <si>
    <t>8 (800) 500-35-60</t>
  </si>
  <si>
    <t>Склад</t>
  </si>
  <si>
    <t>Кровля и кровельные материалы, Металлические заборы и ограждения, Теплоизоляционные материалы, Фасады и фасадные системы</t>
  </si>
  <si>
    <t>47.869982 56.631001</t>
  </si>
  <si>
    <t>Бюро кредитных историй Партнер</t>
  </si>
  <si>
    <t>+7 (8362) 23-29-49</t>
  </si>
  <si>
    <t xml:space="preserve">info@bkipartner.ru </t>
  </si>
  <si>
    <t>http://bkipartner.ru/</t>
  </si>
  <si>
    <t>47.894443 56.641664</t>
  </si>
  <si>
    <t>ул. Пирогова, 42, Йошкар-Ола</t>
  </si>
  <si>
    <t>47.851346 56.633384</t>
  </si>
  <si>
    <t>Пятнашка</t>
  </si>
  <si>
    <t>47.930965 56.634516</t>
  </si>
  <si>
    <t>Теплодар</t>
  </si>
  <si>
    <t>8 (800) 775-03-07, +7 (8362) 45-12-22, +7 (8362) 45-54-54</t>
  </si>
  <si>
    <t xml:space="preserve">mikhailvegan@gmail.com  </t>
  </si>
  <si>
    <t>https://yoshkar-ola.teplodar.ru/</t>
  </si>
  <si>
    <t>Камины, печи, Котлы и котельное оборудование, Отопительное оборудование и системы</t>
  </si>
  <si>
    <t>https://vk.com/club_teplodar</t>
  </si>
  <si>
    <t>https://ok.ru/group/53563663712392</t>
  </si>
  <si>
    <t>http://www.facebook.com/pages/Теплодар/158685244155159</t>
  </si>
  <si>
    <t>https://www.youtube.com/user/TeplodarPKF</t>
  </si>
  <si>
    <t>https://www.instagram.com/teplodar_ru/</t>
  </si>
  <si>
    <t>Сладости</t>
  </si>
  <si>
    <t>47.85228 56.631299</t>
  </si>
  <si>
    <t>Ткани и швейная фурнитура</t>
  </si>
  <si>
    <t>Магазин ткани, Швейная фурнитура</t>
  </si>
  <si>
    <t>47.946998 56.62636</t>
  </si>
  <si>
    <t>47.879337 56.635099</t>
  </si>
  <si>
    <t>ОСАГО Всем</t>
  </si>
  <si>
    <t>+7 (8362) 32-51-25</t>
  </si>
  <si>
    <t>Медицинская ул., 13А, Йошкар-Ола</t>
  </si>
  <si>
    <t>47.967084 56.641115</t>
  </si>
  <si>
    <t>Республиканский театр кукол</t>
  </si>
  <si>
    <t>+7 (8362) 41-56-91, +7 (8362) 45-19-87, +7 (8362) 45-25-31, +7 (8362) 45-25-22</t>
  </si>
  <si>
    <t>+7 (8362) 45-25-22</t>
  </si>
  <si>
    <t xml:space="preserve">teatr_timonina@mail.ru </t>
  </si>
  <si>
    <t>http://www.teatrkukolmariel.ru/</t>
  </si>
  <si>
    <t>Творческий коллектив, Театр, Экскурсии</t>
  </si>
  <si>
    <t>ср-пт 11:30–18:00; сб,вс 09:00–15:00</t>
  </si>
  <si>
    <t>https://vk.com/tkukolmariel</t>
  </si>
  <si>
    <t>https://ok.ru/teatrkukolmariel</t>
  </si>
  <si>
    <t>https://twitter.com/teatrkukol12</t>
  </si>
  <si>
    <t>https://www.facebook.com/teatrkukolmariel</t>
  </si>
  <si>
    <t>https://www.youtube.com/c/ТеатрКуколМарийЭл</t>
  </si>
  <si>
    <t>http://www.instagram.com/teatr_kukol_yoshkar_ola</t>
  </si>
  <si>
    <t>47.908425 56.636839</t>
  </si>
  <si>
    <t xml:space="preserve">retail@lapotoknn.ru, marketing@lapotoknn.ru  </t>
  </si>
  <si>
    <t>https://lapotoknn.ru/</t>
  </si>
  <si>
    <t>47.842836 56.640972</t>
  </si>
  <si>
    <t>Комиссионный магазин Эксперт</t>
  </si>
  <si>
    <t>47.946743 56.625351</t>
  </si>
  <si>
    <t>+7 (8362) 90-09-97, +7 (8362) 90-07-76</t>
  </si>
  <si>
    <t>http://technoklass.org/</t>
  </si>
  <si>
    <t>https://vk.com/robot_yola</t>
  </si>
  <si>
    <t>https://instagram.com/techno_klass</t>
  </si>
  <si>
    <t>47.828165 56.635315</t>
  </si>
  <si>
    <t>МоторКпп12</t>
  </si>
  <si>
    <t>ул. Кирова, 16, Йошкар-Ола</t>
  </si>
  <si>
    <t>Авторазбор, Магазин автозапчастей и автотоваров</t>
  </si>
  <si>
    <t>47.933798 56.636536</t>
  </si>
  <si>
    <t>Бош Авто Сервис</t>
  </si>
  <si>
    <t>8 (800) 707-87-08</t>
  </si>
  <si>
    <t xml:space="preserve">boschcarservice.be@bosch.com, autooprema@hr.bosch.com, info_automotive@gr.bosch.com, bcsinfo@dk.bosch.com, bcs.ee@bosch.com  </t>
  </si>
  <si>
    <t>http://www.boschcarservice.com/</t>
  </si>
  <si>
    <t>ежедневно, 09:00–21:00, перерыв 13:00–14:00</t>
  </si>
  <si>
    <t>47.899616 56.65124</t>
  </si>
  <si>
    <t>47.924074 56.634623</t>
  </si>
  <si>
    <t>Место печати</t>
  </si>
  <si>
    <t>+7 (917) 071-34-99</t>
  </si>
  <si>
    <t xml:space="preserve">boss@pechati5.ru, pros@pechati5.ru, ufa@pechati5.ru, stav@pechati5.ru  </t>
  </si>
  <si>
    <t>http://yola.pechati5.ru/, http://pechati5.ru/, http://штамп12.рф/</t>
  </si>
  <si>
    <t>Изготовление печатей и штампов, Полиграфические услуги</t>
  </si>
  <si>
    <t>СТО Авто</t>
  </si>
  <si>
    <t>+7 (8362) 99-51-00</t>
  </si>
  <si>
    <t>https://vk.com/sto_autoshop</t>
  </si>
  <si>
    <t>47.896819 56.618845</t>
  </si>
  <si>
    <t>Параграф</t>
  </si>
  <si>
    <t>+7 (8362) 66-75-00</t>
  </si>
  <si>
    <t>БалансТехСервис</t>
  </si>
  <si>
    <t>Бизнес-консалтинг, Бухгалтерские услуги, Финансовый консалтинг</t>
  </si>
  <si>
    <t>https://facebook.com/balancetechservice</t>
  </si>
  <si>
    <t>47.88511 56.630591</t>
  </si>
  <si>
    <t>ул. Конакова, 30, Йошкар-Ола</t>
  </si>
  <si>
    <t>47.897158 56.652211</t>
  </si>
  <si>
    <t>Сандал</t>
  </si>
  <si>
    <t>+7 (8362) 44-88-09, +7 (8362) 44-07-27, +7 (8362) 96-84-35</t>
  </si>
  <si>
    <t>+7 (902) 735-08-35</t>
  </si>
  <si>
    <t xml:space="preserve">sandal-cafe@yandex.ru  </t>
  </si>
  <si>
    <t>http://sandal-cafe.ru/</t>
  </si>
  <si>
    <t>47.887062 56.647338</t>
  </si>
  <si>
    <t xml:space="preserve">mr-hotel@mail.ru </t>
  </si>
  <si>
    <t>Марийский дом Оборудования</t>
  </si>
  <si>
    <t>ул. Йывана Кырли, 3, Йошкар-Ола</t>
  </si>
  <si>
    <t>+7 (8362) 46-22-06, +7 (8362) 46-21-77</t>
  </si>
  <si>
    <t>+7 (8362) 46-22-06</t>
  </si>
  <si>
    <t>Пищевое оборудование, Посуда оптом, Промышленное холодильное оборудование</t>
  </si>
  <si>
    <t>47.848063 56.642599</t>
  </si>
  <si>
    <t>Detail Auto</t>
  </si>
  <si>
    <t>+7 (909) 130-32-68, +7 (969) 601-85-83</t>
  </si>
  <si>
    <t>http://detailautorf.ru/</t>
  </si>
  <si>
    <t>Детейлинг</t>
  </si>
  <si>
    <t>47.881306 56.652483</t>
  </si>
  <si>
    <t>Like школа футбола</t>
  </si>
  <si>
    <t>Старый парус</t>
  </si>
  <si>
    <t>47.902149 56.64858</t>
  </si>
  <si>
    <t>ГК Скиф-3</t>
  </si>
  <si>
    <t>47.863196 56.623133</t>
  </si>
  <si>
    <t>Seven Kids</t>
  </si>
  <si>
    <t>+7 (8362) 49-11-99</t>
  </si>
  <si>
    <t xml:space="preserve">info@sevenkids.ru </t>
  </si>
  <si>
    <t>http://www.sevenkids.ru/</t>
  </si>
  <si>
    <t>https://vk.com/sevenkids_yola</t>
  </si>
  <si>
    <t>https://www.facebook.com/sevenkidscheb</t>
  </si>
  <si>
    <t>https://www.youtube.com/channel/UCldBnF9NKJkLoGsB6z5RwbA</t>
  </si>
  <si>
    <t>https://www.instagram.com/sevenkids_yola</t>
  </si>
  <si>
    <t>47.91382 56.634516</t>
  </si>
  <si>
    <t>47.895402 56.629596</t>
  </si>
  <si>
    <t>47.90684 56.63713</t>
  </si>
  <si>
    <t>Очистные сооружения МУП Водоканал</t>
  </si>
  <si>
    <t>Пролетарская ул., 70, Йошкар-Ола</t>
  </si>
  <si>
    <t>47.876411 56.650023</t>
  </si>
  <si>
    <t>Компания Столичный</t>
  </si>
  <si>
    <t>+7 (8362) 45-77-39</t>
  </si>
  <si>
    <t>Voc_zal</t>
  </si>
  <si>
    <t>+7 (927) 877-11-74</t>
  </si>
  <si>
    <t xml:space="preserve">14370afcdc17429f9e418d5ffbd0334a@sentry.wixpress.com, rzya-88@mail.ru, wixofday@wix.com, ritm-premium@mail.ru, konkurs.feniks@yandex.ru  </t>
  </si>
  <si>
    <t>https://rzya-88.wixsite.com/vocalru</t>
  </si>
  <si>
    <t>пн-пт 10:00–20:00; сб 10:00–14:00</t>
  </si>
  <si>
    <t>https://vk.com/voc_zal</t>
  </si>
  <si>
    <t>https://vk.com/divan12rus</t>
  </si>
  <si>
    <t>47.832301 56.630886</t>
  </si>
  <si>
    <t>Галантис</t>
  </si>
  <si>
    <t>Медтехника 12</t>
  </si>
  <si>
    <t>+7 (8362) 42-47-26</t>
  </si>
  <si>
    <t>Магазин медицинских товаров, Медицинское оборудование, медтехника, Ремонт медицинской техники</t>
  </si>
  <si>
    <t>47.890026 56.646306</t>
  </si>
  <si>
    <t>Букмекер</t>
  </si>
  <si>
    <t>Спортбар</t>
  </si>
  <si>
    <t>47.917694 56.629459</t>
  </si>
  <si>
    <t>Столица-Строй</t>
  </si>
  <si>
    <t>+7 (8362) 43-08-00</t>
  </si>
  <si>
    <t>Клуб Картинг</t>
  </si>
  <si>
    <t>+7 (8362) 60-01-30, +7 (8362) 60-01-40</t>
  </si>
  <si>
    <t>Картинг, Мотодром, Спортивно-развлекательный центр</t>
  </si>
  <si>
    <t>вт-пт 15:00–18:50; сб,вс 10:00–17:50, перерыв 12:00–14:00</t>
  </si>
  <si>
    <t>Мука u0026 Рис</t>
  </si>
  <si>
    <t>пн-чт 09:00–21:00; пт,сб 09:00–23:00; вс 09:00–22:00</t>
  </si>
  <si>
    <t>47.878408 56.64159</t>
  </si>
  <si>
    <t>Магазин связи</t>
  </si>
  <si>
    <t>47.883981 56.632859</t>
  </si>
  <si>
    <t>пн-пт 09:00–19:00; вс 09:00–17:00</t>
  </si>
  <si>
    <t>47.863813 56.649528</t>
  </si>
  <si>
    <t>МарГУ, Умд</t>
  </si>
  <si>
    <t>+7 (8362) 68-80-00, +7 (8362) 68-80-42, +7 (8362) 68-80-40</t>
  </si>
  <si>
    <t>http://marsu.ru/</t>
  </si>
  <si>
    <t>47.880431 56.641944</t>
  </si>
  <si>
    <t>+7 (8362) 34-60-99, +7 (8362) 50-65-10</t>
  </si>
  <si>
    <t>+7 (929) 734-60-99, +7 (929) 734-60-88, +7 (929) 733-15-07</t>
  </si>
  <si>
    <t>47.897573 56.640963</t>
  </si>
  <si>
    <t>SPA центр</t>
  </si>
  <si>
    <t>СПА-салон</t>
  </si>
  <si>
    <t>47.879756 56.63684</t>
  </si>
  <si>
    <t>ColoRada studio - Моментальный загар и шугаринг</t>
  </si>
  <si>
    <t>+7 (905) 182-16-50, +7 (927) 875-42-00</t>
  </si>
  <si>
    <t xml:space="preserve">info@colorada-studio.ru  </t>
  </si>
  <si>
    <t>http://colorada-studio.ru/</t>
  </si>
  <si>
    <t>Солярий, Шугаринг</t>
  </si>
  <si>
    <t>https://vk.com/colorado_studio</t>
  </si>
  <si>
    <t>http://www.instagram.com/colorada_studio</t>
  </si>
  <si>
    <t>47.897121 56.63524</t>
  </si>
  <si>
    <t>Спортивная секция дзюдо</t>
  </si>
  <si>
    <t>ул. Суворова, 42АК1, Йошкар-Ола</t>
  </si>
  <si>
    <t>+7 (8362) 73-63-16</t>
  </si>
  <si>
    <t>47.858537 56.641055</t>
  </si>
  <si>
    <t>VeGa Flowers</t>
  </si>
  <si>
    <t>Инновационное Развитие Экономики</t>
  </si>
  <si>
    <t>+7 (8362) 77-02-05</t>
  </si>
  <si>
    <t>+7 (902) 105-55-78</t>
  </si>
  <si>
    <t xml:space="preserve">o_mironova_2010@mail.ru, kbua@inbox.ru, goncharenko@yandex.ru, helenharp1@yandex.ru, ogkorolev@gmail.com  </t>
  </si>
  <si>
    <t>http://ineconomic.ru/</t>
  </si>
  <si>
    <t>Йола</t>
  </si>
  <si>
    <t>+7 (987) 709-11-26</t>
  </si>
  <si>
    <t>ежедневно, 08:00–20:00, перерыв 13:00–13:30</t>
  </si>
  <si>
    <t>Эстет Строй</t>
  </si>
  <si>
    <t>+7 (8362) 33-18-21</t>
  </si>
  <si>
    <t>+7 (927) 883-18-21</t>
  </si>
  <si>
    <t xml:space="preserve">estetstroyy@rambler.ru  </t>
  </si>
  <si>
    <t>http://estet12.ru/</t>
  </si>
  <si>
    <t>Ремонт климатических систем, Строительные и отделочные работы, Установка кондиционеров</t>
  </si>
  <si>
    <t>47.834211 56.63154</t>
  </si>
  <si>
    <t>Балтика</t>
  </si>
  <si>
    <t>47.923532 56.635851</t>
  </si>
  <si>
    <t>Сюрприз</t>
  </si>
  <si>
    <t>47.89264 56.637567</t>
  </si>
  <si>
    <t>Россия, Республика Марий Эл, Йошкар-Ола, улица Степана Разина</t>
  </si>
  <si>
    <t>47.884772 56.619791</t>
  </si>
  <si>
    <t>Алко-Наркоклиник. рус</t>
  </si>
  <si>
    <t>8 (800) 600-82-03</t>
  </si>
  <si>
    <t>+7 (929) 710-29-03</t>
  </si>
  <si>
    <t>http://йошкар-ола.алко-наркоклиник.рус/</t>
  </si>
  <si>
    <t>Центр автостекла</t>
  </si>
  <si>
    <t>47.883332 56.636122</t>
  </si>
  <si>
    <t>Натуральные камни</t>
  </si>
  <si>
    <t>Ювелирная промышленность</t>
  </si>
  <si>
    <t>Ювелирные камни</t>
  </si>
  <si>
    <t>47.89512 56.639632</t>
  </si>
  <si>
    <t>Ремхолдсервис</t>
  </si>
  <si>
    <t>Ремонт промышленных холодильников</t>
  </si>
  <si>
    <t>https://vk.com/remontholod12</t>
  </si>
  <si>
    <t>47.909173 56.627081</t>
  </si>
  <si>
    <t>Вознесенская ул., 82, Йошкар-Ола</t>
  </si>
  <si>
    <t>47.898434 56.633843</t>
  </si>
  <si>
    <t>47.931307 56.632705</t>
  </si>
  <si>
    <t>AutoCraft</t>
  </si>
  <si>
    <t>ул. Гомзово, 69, Йошкар-Ола</t>
  </si>
  <si>
    <t>+7 (8362) 95-95-95, +7 (8362) 91-01-02</t>
  </si>
  <si>
    <t>Автоакустика, Автосервис, автотехцентр</t>
  </si>
  <si>
    <t>47.863325 56.653719</t>
  </si>
  <si>
    <t>Фармаимпекс</t>
  </si>
  <si>
    <t>8 (800) 700-91-19</t>
  </si>
  <si>
    <t>+7 (903) 050-43-84</t>
  </si>
  <si>
    <t xml:space="preserve">info@b-apteka.ru  </t>
  </si>
  <si>
    <t>https://b-apteka.ru/?utm_campaign=pharmau0026utm_source=yandex_maps</t>
  </si>
  <si>
    <t>Спецмашины</t>
  </si>
  <si>
    <t>+7 (917) 712-29-91</t>
  </si>
  <si>
    <t>47.836124 56.645069</t>
  </si>
  <si>
    <t>Евросканер</t>
  </si>
  <si>
    <t>ул. Карла Маркса, 137, корп. 1, Йошкар-Ола</t>
  </si>
  <si>
    <t>+7 (8362) 45-30-30</t>
  </si>
  <si>
    <t xml:space="preserve">evroskaner@mail.ru, mzentr@narod.ru  </t>
  </si>
  <si>
    <t>http://evroskaner.ru/</t>
  </si>
  <si>
    <t>47.882522 56.608833</t>
  </si>
  <si>
    <t>Водопроводная ул., 2А, Йошкар-Ола</t>
  </si>
  <si>
    <t>+7 (996) 115-75-47</t>
  </si>
  <si>
    <t>47.909279 56.64548</t>
  </si>
  <si>
    <t>Компания по организации шоу мыльных пузырей</t>
  </si>
  <si>
    <t>Электрик12.ру</t>
  </si>
  <si>
    <t>+7 (8362) 44-07-02</t>
  </si>
  <si>
    <t>+7 (902) 745-84-74</t>
  </si>
  <si>
    <t xml:space="preserve">hello@electric12.ru  </t>
  </si>
  <si>
    <t>http://www.electric12.ru/</t>
  </si>
  <si>
    <t>Устройство сетей, Электромонтажные работы</t>
  </si>
  <si>
    <t>https://vk.com/electric12ru</t>
  </si>
  <si>
    <t>https://www.instagram.com/electric12.ru/</t>
  </si>
  <si>
    <t>47.850986 56.6343</t>
  </si>
  <si>
    <t>Apartment on bulvar Chavayna 12</t>
  </si>
  <si>
    <t>47.922315 56.630239</t>
  </si>
  <si>
    <t>47.84595 56.650331</t>
  </si>
  <si>
    <t>Итальянский бутик</t>
  </si>
  <si>
    <t>+7 (8362) 45-85-03, +7 (8362) 45-34-09, +7 (8362) 42-60-50</t>
  </si>
  <si>
    <t>47.891471 56.632757</t>
  </si>
  <si>
    <t>Беатриче</t>
  </si>
  <si>
    <t>47.882447 56.632402</t>
  </si>
  <si>
    <t>Сады Эдема</t>
  </si>
  <si>
    <t>+7 (8362) 44-40-08</t>
  </si>
  <si>
    <t>+7 (902) 744-40-08</t>
  </si>
  <si>
    <t xml:space="preserve">katerina-gaidykowa@yandex.ru  </t>
  </si>
  <si>
    <t>http://vk.com/cadedemayolka</t>
  </si>
  <si>
    <t>https://www.instagram.com/Cadedema</t>
  </si>
  <si>
    <t>47.929072 56.627933</t>
  </si>
  <si>
    <t>47.931523 56.632477</t>
  </si>
  <si>
    <t>http://instagram.com/_roza_mimoza_</t>
  </si>
  <si>
    <t>47.884993 56.637278</t>
  </si>
  <si>
    <t>Транспортная ул., 4, Йошкар-Ола</t>
  </si>
  <si>
    <t>+7 (937) 119-71-02</t>
  </si>
  <si>
    <t>47.854883 56.648933</t>
  </si>
  <si>
    <t>Автосервис по ремонту КПП и редукторов грузовых автомобилей</t>
  </si>
  <si>
    <t>ул. Машиностроителей, 120, корп. 5, Йошкар-Ола</t>
  </si>
  <si>
    <t>+7 (987) 710-53-27</t>
  </si>
  <si>
    <t>Автосервис, автотехцентр, Грузовые автомобили, грузовая техника</t>
  </si>
  <si>
    <t>https://vk.com/remont_gruzovikov12</t>
  </si>
  <si>
    <t>47.829692 56.628233</t>
  </si>
  <si>
    <t>47.833544 56.636964</t>
  </si>
  <si>
    <t>ул. Соловьёва, 3, корп. 5, Йошкар-Ола</t>
  </si>
  <si>
    <t>47.87448 56.618773</t>
  </si>
  <si>
    <t>Консалтинг 33</t>
  </si>
  <si>
    <t>+7 (995) 960-10-42</t>
  </si>
  <si>
    <t>https://konsalting33.tb.ru/112</t>
  </si>
  <si>
    <t>Бизнес-консалтинг, Брокерская компания</t>
  </si>
  <si>
    <t>47.890544 56.6331</t>
  </si>
  <si>
    <t>Инокс групп</t>
  </si>
  <si>
    <t>47.88446 56.65533</t>
  </si>
  <si>
    <t>Auto-строй</t>
  </si>
  <si>
    <t>Россия, Республика Марий Эл, Йошкар-Ола, Железнодорожная улица</t>
  </si>
  <si>
    <t>47.887921 56.617566</t>
  </si>
  <si>
    <t>МБОУДО Дворец Спорта Олимп</t>
  </si>
  <si>
    <t>+7 (8362) 56-62-94, +7 (8362) 45-57-07</t>
  </si>
  <si>
    <t xml:space="preserve">dush_olimp@mail.ru, uoa-yoshkar-ola@yandex.ru  </t>
  </si>
  <si>
    <t>http://edu.mari.ru/mouo-yoshkarola/do3</t>
  </si>
  <si>
    <t>Спортивный клуб, секция, Спортивный комплекс, Спортивный, тренажерный зал</t>
  </si>
  <si>
    <t>47.898961 56.640237</t>
  </si>
  <si>
    <t>Станкостроитель</t>
  </si>
  <si>
    <t>Пищевое оборудование, Производственное предприятие</t>
  </si>
  <si>
    <t>пн-пт 08:00–16:00, перерыв 12:00–12:30</t>
  </si>
  <si>
    <t>47.830097 56.613183</t>
  </si>
  <si>
    <t>Марийская теплосетевая компания</t>
  </si>
  <si>
    <t>ул. Строителей, 101, Йошкар-Ола</t>
  </si>
  <si>
    <t xml:space="preserve">mtsc@mtsc12.ru, prm-mtsc12@mail.ru  </t>
  </si>
  <si>
    <t>http://mtsc12.ru/</t>
  </si>
  <si>
    <t>47.871572 56.614025</t>
  </si>
  <si>
    <t>Patrick</t>
  </si>
  <si>
    <t>47.897038 56.640621</t>
  </si>
  <si>
    <t>Марковское кладбище</t>
  </si>
  <si>
    <t>Россия, Республика Марий Эл, Йошкар-Ола, Марковское кладбище</t>
  </si>
  <si>
    <t>47.856967 56.617313</t>
  </si>
  <si>
    <t>Топ ремонт</t>
  </si>
  <si>
    <t>+7 (8362) 50-58-85, +7 (8362) 50-57-75</t>
  </si>
  <si>
    <t>Автоматические двери и ворота, Двери, Натяжные и подвесные потолки, Окна, Остекление балконов и лоджий</t>
  </si>
  <si>
    <t>ул. Яна Крастыня, 4В, Йошкар-Ола</t>
  </si>
  <si>
    <t>47.828097 56.634264</t>
  </si>
  <si>
    <t>47.863895 56.643469</t>
  </si>
  <si>
    <t>Центральный строительный рынок</t>
  </si>
  <si>
    <t>Строительный магазин, Строительный рынок</t>
  </si>
  <si>
    <t>47.949402 56.647418</t>
  </si>
  <si>
    <t>Антик</t>
  </si>
  <si>
    <t>47.913727 56.642646</t>
  </si>
  <si>
    <t>Сауна Stone</t>
  </si>
  <si>
    <t>+7 (8362) 35-01-00, +7 (8362) 42-27-57</t>
  </si>
  <si>
    <t>47.889791 56.638658</t>
  </si>
  <si>
    <t>Все поддоны</t>
  </si>
  <si>
    <t>+7 (906) 157-65-59, +7 (917) 700-17-24</t>
  </si>
  <si>
    <t>Исток</t>
  </si>
  <si>
    <t>47.916172 56.631708</t>
  </si>
  <si>
    <t>Первомайский пер., 5, Йошкар-Ола</t>
  </si>
  <si>
    <t xml:space="preserve">info@pochtabank.ru, fb@pochtabank.ru  </t>
  </si>
  <si>
    <t>47.887935 56.642916</t>
  </si>
  <si>
    <t>47.917971 56.642602</t>
  </si>
  <si>
    <t>+7 (902) 466-88-66</t>
  </si>
  <si>
    <t>Перекресток-Н</t>
  </si>
  <si>
    <t>+7 (8362) 32-04-05</t>
  </si>
  <si>
    <t>+7 (987) 730-32-16</t>
  </si>
  <si>
    <t xml:space="preserve">perekrestok-n@inbox.ru  </t>
  </si>
  <si>
    <t>https://vk.com/perekrestokn</t>
  </si>
  <si>
    <t>47.898521 56.635927</t>
  </si>
  <si>
    <t>Автомойка 5 звёзд</t>
  </si>
  <si>
    <t>+7 (8362) 77-73-77</t>
  </si>
  <si>
    <t>47.915527 56.64362</t>
  </si>
  <si>
    <t>+7 (927) 683-44-07</t>
  </si>
  <si>
    <t>https://эксперт24.рф/</t>
  </si>
  <si>
    <t>47.885704 56.642785</t>
  </si>
  <si>
    <t>Бовис</t>
  </si>
  <si>
    <t>+7 (902) 329-13-89</t>
  </si>
  <si>
    <t>Кирпич, Производственное предприятие, Строительный магазин</t>
  </si>
  <si>
    <t>47.904459 56.640971</t>
  </si>
  <si>
    <t>Bala Kids</t>
  </si>
  <si>
    <t>+7 (987) 712-61-96</t>
  </si>
  <si>
    <t>47.843494 56.640959</t>
  </si>
  <si>
    <t>Sahara Prof</t>
  </si>
  <si>
    <t>+7 (8362) 66-55-81</t>
  </si>
  <si>
    <t>Косметология, Магазин парфюмерии и косметики, Ногтевая студия, Обучение мастеров для салонов красоты, Салон красоты</t>
  </si>
  <si>
    <t>https://vk.com/studia.krasoti.sahara</t>
  </si>
  <si>
    <t>47.855282 56.644152</t>
  </si>
  <si>
    <t>47.879719 56.64673</t>
  </si>
  <si>
    <t>Цех электрических сетей МУП Йошкар № Олинская ТЭЦ № 1</t>
  </si>
  <si>
    <t>ул. Зарубина, 29А, Йошкар-Ола</t>
  </si>
  <si>
    <t>47.87369 56.633006</t>
  </si>
  <si>
    <t>Центр детского развития Алые паруса</t>
  </si>
  <si>
    <t>+7 (8362) 39-40-39</t>
  </si>
  <si>
    <t>+7 (987) 731-38-31</t>
  </si>
  <si>
    <t>Tesla - создание и продвижение сайтов</t>
  </si>
  <si>
    <t>+7 (961) 050-59-95</t>
  </si>
  <si>
    <t xml:space="preserve">op@agtesla.ru  </t>
  </si>
  <si>
    <t>https://io.agtesla.ru/</t>
  </si>
  <si>
    <t>https://www.instagram.com/agtesla/</t>
  </si>
  <si>
    <t>Mobel u0026 zeit</t>
  </si>
  <si>
    <t>+7 (8362) 72-33-99</t>
  </si>
  <si>
    <t xml:space="preserve">greenhaus@mz5.ru, mzlife.kazan@mz5.ru, kp.krdr@mz5.ru, mobelzeit.magnit@gmail.com, krokus@mz5.ru  </t>
  </si>
  <si>
    <t>https://www.mobel-zeit.ru/, http://www.mz5.ru/</t>
  </si>
  <si>
    <t>https://www.facebook.com/mzgallery1</t>
  </si>
  <si>
    <t>https://www.instagram.com/mobelzeit_gallery</t>
  </si>
  <si>
    <t>8 (800) 200-66-96</t>
  </si>
  <si>
    <t>47.890156 56.641469</t>
  </si>
  <si>
    <t>Регион Партнёр</t>
  </si>
  <si>
    <t>Дом кухни</t>
  </si>
  <si>
    <t>47.890864 56.643606</t>
  </si>
  <si>
    <t>Поликарбонат</t>
  </si>
  <si>
    <t>Оргстекло, поликарбонат</t>
  </si>
  <si>
    <t>47.839634 56.626921</t>
  </si>
  <si>
    <t>Левша</t>
  </si>
  <si>
    <t>Замки и запорные устройства, Крепежные изделия, Мебельная фурнитура и комплектующие</t>
  </si>
  <si>
    <t>47.886059 56.620004</t>
  </si>
  <si>
    <t>Чеснок</t>
  </si>
  <si>
    <t>+7 (902) 101-68-01</t>
  </si>
  <si>
    <t>47.854066 56.64303</t>
  </si>
  <si>
    <t>47.833084 56.637223</t>
  </si>
  <si>
    <t>Алабина</t>
  </si>
  <si>
    <t>+7 (8362) 35-30-43</t>
  </si>
  <si>
    <t>пн-пт 15:00–21:00; сб,вс 10:00–18:00</t>
  </si>
  <si>
    <t>47.885172 56.636907</t>
  </si>
  <si>
    <t>47.926288 56.627932</t>
  </si>
  <si>
    <t>Детские игрушки и игры, Магазин белья и купальников, Магазин одежды, Магазин чулок и колготок</t>
  </si>
  <si>
    <t>47.945113 56.622046</t>
  </si>
  <si>
    <t>Визажисты, стилисты, Массажный салон, Ногтевая студия, Парикмахерская, Салон красоты</t>
  </si>
  <si>
    <t>47.844037 56.645067</t>
  </si>
  <si>
    <t>+7 (8362) 51-12-40</t>
  </si>
  <si>
    <t>+7 (964) 861-12-40</t>
  </si>
  <si>
    <t>47.947048 56.626541</t>
  </si>
  <si>
    <t>Россия, Йошкар-Ола, бул. 70-летия Победы в Великой Отечественной войне</t>
  </si>
  <si>
    <t>+7 (8362) 99-44-99</t>
  </si>
  <si>
    <t>http://kazanposad.ru/projects/</t>
  </si>
  <si>
    <t>47.918064 56.641056</t>
  </si>
  <si>
    <t>https://instagram.com/cascade_bim</t>
  </si>
  <si>
    <t>47.923765 56.638144</t>
  </si>
  <si>
    <t>Ок'на</t>
  </si>
  <si>
    <t xml:space="preserve">softwindstat@yandex.ru  </t>
  </si>
  <si>
    <t>http://softwind12.ppu-snab.com/</t>
  </si>
  <si>
    <t>47.890431 56.642751</t>
  </si>
  <si>
    <t>47.844579 56.641247</t>
  </si>
  <si>
    <t>Ярцево</t>
  </si>
  <si>
    <t>+7 (8362) 26-70-39</t>
  </si>
  <si>
    <t>СтройСад</t>
  </si>
  <si>
    <t>+7 (961) 336-17-77</t>
  </si>
  <si>
    <t xml:space="preserve">stroysad@mail.ru  </t>
  </si>
  <si>
    <t>https://stroysad12.ru/</t>
  </si>
  <si>
    <t>Городское благоустройство, Озеленение помещений, Студия ландшафтного дизайна</t>
  </si>
  <si>
    <t>https://vk.com/stroysad12</t>
  </si>
  <si>
    <t>47.958314 56.650786</t>
  </si>
  <si>
    <t>Агровита</t>
  </si>
  <si>
    <t>Комбикорма и кормовые добавки, Сельскохозяйственное предприятие</t>
  </si>
  <si>
    <t>Новые технологии ремонта</t>
  </si>
  <si>
    <t>+7 (8362) 63-62-64, +7 (8362) 63-50-80</t>
  </si>
  <si>
    <t>ул. Орая, 64, Йошкар-Ола</t>
  </si>
  <si>
    <t>47.8949 56.646727</t>
  </si>
  <si>
    <t>Магазин ковров, Светильники, Товары для дома</t>
  </si>
  <si>
    <t>47.885605 56.632972</t>
  </si>
  <si>
    <t>Цех кинопроизводства ГТРК Марий Эл</t>
  </si>
  <si>
    <t>ул. Машиностроителей, 7АК3, Йошкар-Ола</t>
  </si>
  <si>
    <t>47.877588 56.647065</t>
  </si>
  <si>
    <t>ТСЖ Ул. Мира, 70</t>
  </si>
  <si>
    <t>+7 (8362) 24-54-24</t>
  </si>
  <si>
    <t>пн,чт 17:00–19:00</t>
  </si>
  <si>
    <t>47.86681 56.610605</t>
  </si>
  <si>
    <t>Laser Pro</t>
  </si>
  <si>
    <t>+7 (960) 095-00-03</t>
  </si>
  <si>
    <t>https://www.instagram.com/laserpro.yo/</t>
  </si>
  <si>
    <t>Шланги</t>
  </si>
  <si>
    <t>Рукава и шланги</t>
  </si>
  <si>
    <t>47.839589 56.626903</t>
  </si>
  <si>
    <t>47.83553 56.631998</t>
  </si>
  <si>
    <t>Кровельные работы, Кровля и кровельные материалы, Строительные и отделочные работы, Строительство бань и саун, Строительство дачных домов и коттеджей</t>
  </si>
  <si>
    <t>ул. Карла Либкнехта, 64/5, Йошкар-Ола</t>
  </si>
  <si>
    <t>47.954257 56.649104</t>
  </si>
  <si>
    <t>47.870814 56.645942</t>
  </si>
  <si>
    <t>Коттеджный поселок Дубровка, офис продаж</t>
  </si>
  <si>
    <t>+7 (8362) 43-12-12</t>
  </si>
  <si>
    <t>https://yoladom.com/</t>
  </si>
  <si>
    <t>47.859395 56.649181</t>
  </si>
  <si>
    <t>Россия, Республика Марий Эл, Йошкар-Ола, микрорайон Фестивальный</t>
  </si>
  <si>
    <t>47.835241 56.648308</t>
  </si>
  <si>
    <t>47.882902 56.620252</t>
  </si>
  <si>
    <t>47.895978 56.633512</t>
  </si>
  <si>
    <t>Строительная фирма</t>
  </si>
  <si>
    <t>ул. Баумана, 24, Йошкар-Ола</t>
  </si>
  <si>
    <t>+7 (937) 931-96-54</t>
  </si>
  <si>
    <t>47.846132 56.636199</t>
  </si>
  <si>
    <t>Планета Одежда Обувь</t>
  </si>
  <si>
    <t>47.891775 56.638541</t>
  </si>
  <si>
    <t>47.901084 56.642366</t>
  </si>
  <si>
    <t>+7 (987) 714-47-75</t>
  </si>
  <si>
    <t>47.9196 56.6268</t>
  </si>
  <si>
    <t>Зоомир</t>
  </si>
  <si>
    <t>47.947014 56.626416</t>
  </si>
  <si>
    <t>Дядя Сэм</t>
  </si>
  <si>
    <t>47.866391 56.649985</t>
  </si>
  <si>
    <t>Автофишка</t>
  </si>
  <si>
    <t>ул. Прохорова, 15, Йошкар-Ола</t>
  </si>
  <si>
    <t>8 (800) 551-30-96</t>
  </si>
  <si>
    <t xml:space="preserve">info@avtofishka.ru  </t>
  </si>
  <si>
    <t>https://joshkar-ola.avtofishka.ru/</t>
  </si>
  <si>
    <t>Автоаксессуары, Интернет-магазин, Студия автотюнинга</t>
  </si>
  <si>
    <t>47.846455 56.637016</t>
  </si>
  <si>
    <t>Мастершин</t>
  </si>
  <si>
    <t>47.857448 56.643478</t>
  </si>
  <si>
    <t>Amore Fiori</t>
  </si>
  <si>
    <t>8 (800) 200-17-60</t>
  </si>
  <si>
    <t xml:space="preserve">cvetvk44@yandex.ru  </t>
  </si>
  <si>
    <t>http://amorefiori24.ru/</t>
  </si>
  <si>
    <t>Россия, Республика Марий Эл, Йошкар-Ола, 6-й микрорайон</t>
  </si>
  <si>
    <t>47.854402 56.644866</t>
  </si>
  <si>
    <t>Страхование автомобилей</t>
  </si>
  <si>
    <t>+7 (964) 863-10-10</t>
  </si>
  <si>
    <t>47.87292 56.639732</t>
  </si>
  <si>
    <t>21shop</t>
  </si>
  <si>
    <t>+7 (961) 337-21-42</t>
  </si>
  <si>
    <t xml:space="preserve">sale@21-shop.ru  </t>
  </si>
  <si>
    <t>https://21-shop.ru/</t>
  </si>
  <si>
    <t>47.930524 56.627586</t>
  </si>
  <si>
    <t>Магазин канцтоваров, Товары для праздника</t>
  </si>
  <si>
    <t>https://instagram.com/_antoshka_12</t>
  </si>
  <si>
    <t>47.920765 56.640536</t>
  </si>
  <si>
    <t>47.897397 56.636305</t>
  </si>
  <si>
    <t>+7 (902) 329-84-45</t>
  </si>
  <si>
    <t>Love is... child</t>
  </si>
  <si>
    <t>+7 (917) 708-70-95</t>
  </si>
  <si>
    <t>https://vk.com/loveis.child</t>
  </si>
  <si>
    <t>https://www.instagram.com/loveis.child/</t>
  </si>
  <si>
    <t>47.927616 56.629774</t>
  </si>
  <si>
    <t>47.84826 56.646516</t>
  </si>
  <si>
    <t>Молпром</t>
  </si>
  <si>
    <t>+7 (8362) 63-53-00, +7 (8362) 63-46-00, +7 (8362) 63-52-80, +7 (8362) 63-52-90</t>
  </si>
  <si>
    <t>47.821177 56.62168</t>
  </si>
  <si>
    <t>+7 (8362) 25-33-55, +7 (8362) 61-77-14, +7 (8362) 65-61-07</t>
  </si>
  <si>
    <t>пн-чт 09:00–17:00; пт 09:00–19:30; сб 11:00–14:00</t>
  </si>
  <si>
    <t>47.894838 56.630912</t>
  </si>
  <si>
    <t>+7 (8362) 96-84-35</t>
  </si>
  <si>
    <t>47.854397 56.648741</t>
  </si>
  <si>
    <t>Seyda</t>
  </si>
  <si>
    <t>Ола Сальса</t>
  </si>
  <si>
    <t>+7 (927) 682-60-66</t>
  </si>
  <si>
    <t>пн-пт 18:00–22:00</t>
  </si>
  <si>
    <t>https://vk.com/olasalsa12</t>
  </si>
  <si>
    <t>https://www.instagram.com/ola_salsa</t>
  </si>
  <si>
    <t>47.890143 56.640375</t>
  </si>
  <si>
    <t>47.901535 56.629119</t>
  </si>
  <si>
    <t>47.934958 56.642782</t>
  </si>
  <si>
    <t>Марилипа</t>
  </si>
  <si>
    <t>+7 (987) 710-16-33, +7 (987) 731-44-48</t>
  </si>
  <si>
    <t>http://www.marilipa.ru/</t>
  </si>
  <si>
    <t>47.853215 56.614879</t>
  </si>
  <si>
    <t>Россия, Республика Марий Эл, Йошкар-Ола, переулок Некрасова</t>
  </si>
  <si>
    <t>47.910582 56.653143</t>
  </si>
  <si>
    <t>Магазин посуды, Магазин хозтоваров и бытовой химии, Электротехническая продукция</t>
  </si>
  <si>
    <t>47.865625 56.649785</t>
  </si>
  <si>
    <t>47.916254 56.639436</t>
  </si>
  <si>
    <t>Дом.ru Бизнес</t>
  </si>
  <si>
    <t>8 (800) 333-90-00, +7 (8362) 30-40-78</t>
  </si>
  <si>
    <t xml:space="preserve">b2b.domru@domru.ru, support@b2b.domru.ru, cs@domru.ru  </t>
  </si>
  <si>
    <t>https://yola.b2b.domru.ru/</t>
  </si>
  <si>
    <t>https://vk.com/domru_b2b</t>
  </si>
  <si>
    <t>https://www.facebook.com/domru.b2b</t>
  </si>
  <si>
    <t>https://www.youtube.com/channel/UCluwzGUAI4QbLsY7wWr_RWw</t>
  </si>
  <si>
    <t>Детский сад № 53 г. Йошкар-олы Изи Патыр</t>
  </si>
  <si>
    <t>Необычные обои</t>
  </si>
  <si>
    <t xml:space="preserve">beyond_borders@inbox.ru  </t>
  </si>
  <si>
    <t>Декоративные покрытия, Магазин обоев</t>
  </si>
  <si>
    <t>https://vk.com/showroom_oboi</t>
  </si>
  <si>
    <t>https://instagram.com/marina___mikheeva</t>
  </si>
  <si>
    <t>Лайн</t>
  </si>
  <si>
    <t>+7 (8362) 38-00-09</t>
  </si>
  <si>
    <t>+7 (927) 879-94-89</t>
  </si>
  <si>
    <t>Грыжа позвоночника</t>
  </si>
  <si>
    <t>+7 (964) 862-78-88, +7 (937) 117-78-88</t>
  </si>
  <si>
    <t>пн-пт 09:00–21:00, перерыв 12:00–17:00; сб 09:00–12:00</t>
  </si>
  <si>
    <t>Грузчик</t>
  </si>
  <si>
    <t>+7 (902) 664-48-88</t>
  </si>
  <si>
    <t xml:space="preserve">i1ya1991@yandex.ru  </t>
  </si>
  <si>
    <t>Услуги грузчиков</t>
  </si>
  <si>
    <t>https://vk.com/gruzy_12</t>
  </si>
  <si>
    <t>47.952623 56.630768</t>
  </si>
  <si>
    <t>Магазин постельного белья</t>
  </si>
  <si>
    <t>47.946975 56.6263</t>
  </si>
  <si>
    <t>Омар Хайям</t>
  </si>
  <si>
    <t>Ключ доступа</t>
  </si>
  <si>
    <t>+7 (8362) 95-58-85</t>
  </si>
  <si>
    <t>+7 (927) 681-15-14</t>
  </si>
  <si>
    <t>47.887939 56.634298</t>
  </si>
  <si>
    <t>Svetlena</t>
  </si>
  <si>
    <t>+7 (902) 744-79-94</t>
  </si>
  <si>
    <t>Ателье по пошиву одежды, Услуги вышивки</t>
  </si>
  <si>
    <t>Продленка 5х5</t>
  </si>
  <si>
    <t>+7 (902) 434-05-55, +7 (927) 882-02-07</t>
  </si>
  <si>
    <t xml:space="preserve">pchelnikovap@mail.ru  </t>
  </si>
  <si>
    <t>https://vk.com/yo5x5</t>
  </si>
  <si>
    <t>47.923693 56.635976</t>
  </si>
  <si>
    <t>Парфе</t>
  </si>
  <si>
    <t>Косметология, Ногтевая студия, Парикмахерская, Солярий</t>
  </si>
  <si>
    <t>Квартира Посуточно йошкар оле</t>
  </si>
  <si>
    <t>Россия, Республика Марий Эл, Йошкар-Ола, Центральный мост</t>
  </si>
  <si>
    <t>47.9 56.62845</t>
  </si>
  <si>
    <t>+7 (8362) 21-89-02, +7 (8362) 21-98-79, +7 (36222) 1-89-02</t>
  </si>
  <si>
    <t>пн-пт 08:00–20:00, перерыв 13:00–14:00</t>
  </si>
  <si>
    <t>47.911589 56.629288</t>
  </si>
  <si>
    <t>47.914129 56.629668</t>
  </si>
  <si>
    <t>пн-пт 07:30–19:00; сб 09:00–17:00</t>
  </si>
  <si>
    <t>47.84146 56.644455</t>
  </si>
  <si>
    <t>Арт-студия керамики</t>
  </si>
  <si>
    <t>+7 (8362) 32-10-21</t>
  </si>
  <si>
    <t>Магазин подарков и сувениров, Магазин посуды, Товары для интерьера</t>
  </si>
  <si>
    <t>https://vk.com/art_studija_keramiki</t>
  </si>
  <si>
    <t>Лестница-мари</t>
  </si>
  <si>
    <t>+7 (8362) 51-06-06</t>
  </si>
  <si>
    <t xml:space="preserve">pashaginy@rambler.ru, lestnica-mari@yandex.ru </t>
  </si>
  <si>
    <t>http://lestnica-mari.ru/</t>
  </si>
  <si>
    <t>Деревообрабатывающее предприятие, Лестницы и лестничные ограждения, Металлоконструкции</t>
  </si>
  <si>
    <t>47.885545 56.635068</t>
  </si>
  <si>
    <t>47.890616 56.644187</t>
  </si>
  <si>
    <t>ИП Морокова Ю. А.</t>
  </si>
  <si>
    <t>47.907676 56.631216</t>
  </si>
  <si>
    <t>Wow decor</t>
  </si>
  <si>
    <t>+7 (917) 719-61-58</t>
  </si>
  <si>
    <t xml:space="preserve">wow-decor@inbox.ru  </t>
  </si>
  <si>
    <t>https://vk.com/club188078587</t>
  </si>
  <si>
    <t>Одевалочка</t>
  </si>
  <si>
    <t>+7 (927) 872-38-26</t>
  </si>
  <si>
    <t>Негабарит 12</t>
  </si>
  <si>
    <t>+7 (8362) 49-53-20</t>
  </si>
  <si>
    <t xml:space="preserve">buh@negabarit12.com, kuznetsova@negabarit12.com, yashkin@negabarit12.com, tender@negabarit12.com, info@negabarit12.com  </t>
  </si>
  <si>
    <t>https://negabarit12.com/</t>
  </si>
  <si>
    <t>Перевозка негабаритных грузов</t>
  </si>
  <si>
    <t>https://www.instagram.com/negabarit12</t>
  </si>
  <si>
    <t>ИП Чесноков С. В.</t>
  </si>
  <si>
    <t>+7 (937) 111-91-55</t>
  </si>
  <si>
    <t>47.919907 56.629146</t>
  </si>
  <si>
    <t>Дисконт-центр недвижимости</t>
  </si>
  <si>
    <t>47.911657 56.631418</t>
  </si>
  <si>
    <t>ПСК Сервис</t>
  </si>
  <si>
    <t>+7 (8362) 66-55-50, +7 (8362) 99-20-77, +7 (8362) 66-77-70</t>
  </si>
  <si>
    <t>+7 (902) 329-20-77, +7 (902) 329-22-70</t>
  </si>
  <si>
    <t>http://сервис12.рф/</t>
  </si>
  <si>
    <t>https://vk.com/psk_service</t>
  </si>
  <si>
    <t>47.866562 56.628119</t>
  </si>
  <si>
    <t>Мека</t>
  </si>
  <si>
    <t>+7 (937) 937-02-59</t>
  </si>
  <si>
    <t>Интурвест</t>
  </si>
  <si>
    <t>+7 (8362) 56-62-77</t>
  </si>
  <si>
    <t>+7 (902) 104-62-99</t>
  </si>
  <si>
    <t xml:space="preserve">evro_kon.el@mail.ru  </t>
  </si>
  <si>
    <t>http://inturvest12.ru/</t>
  </si>
  <si>
    <t>47.896863 56.640864</t>
  </si>
  <si>
    <t>Техноавтоматика</t>
  </si>
  <si>
    <t>+7 (8362) 38-03-88</t>
  </si>
  <si>
    <t xml:space="preserve">info@tehnonn.ru  </t>
  </si>
  <si>
    <t>http://www.tehnonn.ru/</t>
  </si>
  <si>
    <t>Ателье по пошиву одежды, Магазин ткани, Товары для творчества и рукоделия</t>
  </si>
  <si>
    <t>47.946895 56.626252</t>
  </si>
  <si>
    <t>Санпост</t>
  </si>
  <si>
    <t>+7 (967) 555-01-54</t>
  </si>
  <si>
    <t>http://санпост.рф/</t>
  </si>
  <si>
    <t>47.869191 56.645693</t>
  </si>
  <si>
    <t>47.885186 56.63415</t>
  </si>
  <si>
    <t>+7 (8362) 75-31-31</t>
  </si>
  <si>
    <t>47.933803 56.62475</t>
  </si>
  <si>
    <t>Пульмонологическое отделение</t>
  </si>
  <si>
    <t>47.954372 56.64028</t>
  </si>
  <si>
    <t>47.838198 56.627857</t>
  </si>
  <si>
    <t>Офисный центр</t>
  </si>
  <si>
    <t>47.898446 56.636621</t>
  </si>
  <si>
    <t>Цветы на Бульваре</t>
  </si>
  <si>
    <t>+7 (8362) 50-84-84</t>
  </si>
  <si>
    <t>+7 (987) 719-60-35</t>
  </si>
  <si>
    <t>https://vk.com/tsvetinabulyvare</t>
  </si>
  <si>
    <t>http://instagram.com/tsveti_na_bulyvare</t>
  </si>
  <si>
    <t>47.878542 56.639175</t>
  </si>
  <si>
    <t>47.875996 56.628189</t>
  </si>
  <si>
    <t>Магазин семян, Магазин хозтоваров и бытовой химии</t>
  </si>
  <si>
    <t>47.845756 56.638848</t>
  </si>
  <si>
    <t>ул. Строителей, 11, Йошкар-Ола</t>
  </si>
  <si>
    <t>47.83444 56.637719</t>
  </si>
  <si>
    <t>РемонтАвто12</t>
  </si>
  <si>
    <t>Магазин белья и купальников, Магазин головных уборов, Магазин одежды, Магазин чулок и колготок</t>
  </si>
  <si>
    <t>47.884043 56.616123</t>
  </si>
  <si>
    <t>+7 (8362) 73-15-61, +7 (8362) 73-15-62, +7 (8362) 73-15-63, +7 (8362) 73-26-92</t>
  </si>
  <si>
    <t>Исправительная колония № 4 УФСИН России по Республике Марий Эл</t>
  </si>
  <si>
    <t>Лесная ул., 1, Йошкар-Ола</t>
  </si>
  <si>
    <t>+7 (8362) 68-77-46</t>
  </si>
  <si>
    <t>+7 (961) 335-57-80</t>
  </si>
  <si>
    <t>47.971249 56.617794</t>
  </si>
  <si>
    <t>Антикварная лавка</t>
  </si>
  <si>
    <t>47.888226 56.629211</t>
  </si>
  <si>
    <t>пн-сб 10:00–18:00; вс 10:00–17:00</t>
  </si>
  <si>
    <t>Эко-мебель</t>
  </si>
  <si>
    <t>+7 (8362) 34-10-20</t>
  </si>
  <si>
    <t>https://vk.com/public129799299</t>
  </si>
  <si>
    <t>47.907963 56.627214</t>
  </si>
  <si>
    <t>ПСК Твой Дом. Строительство и реконструкция домов. Арболитовые блоки</t>
  </si>
  <si>
    <t>+7 (8362) 33-20-26, +7 (8362) 33-20-24, +7 (8362) 23-03-98</t>
  </si>
  <si>
    <t>http://твойдом12.рф/</t>
  </si>
  <si>
    <t>Бетон, бетонные изделия, Строительная компания, Строительство дачных домов и коттеджей</t>
  </si>
  <si>
    <t>https://vk.com/tvoydom12</t>
  </si>
  <si>
    <t>https://ok.ru/tvoydom12</t>
  </si>
  <si>
    <t>47.880339 56.625881</t>
  </si>
  <si>
    <t>Klюkva</t>
  </si>
  <si>
    <t>Детская мебель, Магазин мебели</t>
  </si>
  <si>
    <t>47.833208 56.641473</t>
  </si>
  <si>
    <t>Монолит Строй</t>
  </si>
  <si>
    <t>+7 (967) 753-19-99, +7 (967) 753-40-00</t>
  </si>
  <si>
    <t xml:space="preserve">monolit12stroy@mail.ru  </t>
  </si>
  <si>
    <t>http://monolitstroy12.ru/</t>
  </si>
  <si>
    <t>Бетон, бетонные изделия, Кровельные работы, Строительная компания</t>
  </si>
  <si>
    <t>Республиканская клиническая больница Клиническая лаборатория</t>
  </si>
  <si>
    <t>+7 (8362) 68-94-03</t>
  </si>
  <si>
    <t>пн-сб 07:00–15:20</t>
  </si>
  <si>
    <t>ул. Машиностроителей, 55, Йошкар-Ола</t>
  </si>
  <si>
    <t>47.872903 56.641351</t>
  </si>
  <si>
    <t>ул. Строителей, 93Д, Йошкар-Ола</t>
  </si>
  <si>
    <t>http://zapaska12.gorodgid24.ru/</t>
  </si>
  <si>
    <t>http://vk.com/club69729504</t>
  </si>
  <si>
    <t>47.857121 56.621879</t>
  </si>
  <si>
    <t>Национальная президентская школа искусств</t>
  </si>
  <si>
    <t>+7 (8362) 45-21-29, +7 (8362) 45-23-27</t>
  </si>
  <si>
    <t>http://npshi.mari-el.muzkult.ru/, http://npshi12.ru/</t>
  </si>
  <si>
    <t>пн-пт 08:00–19:00; сб 08:00–18:00</t>
  </si>
  <si>
    <t>47.911625 56.63654</t>
  </si>
  <si>
    <t>Сервисный центр в Эксперте</t>
  </si>
  <si>
    <t>+7 (919) 418-29-93</t>
  </si>
  <si>
    <t>пн-пт 10:00–20:00, перерыв 13:00–14:00; сб,вс 10:00–19:00, перерыв 13:00–14:00</t>
  </si>
  <si>
    <t>https://vk.com/public186617260</t>
  </si>
  <si>
    <t>47.917733 56.63141</t>
  </si>
  <si>
    <t>47.81343 56.640176</t>
  </si>
  <si>
    <t>Магнит Аптека</t>
  </si>
  <si>
    <t>http://magnitapteki.ru/</t>
  </si>
  <si>
    <t>https://vk.com/public179351601</t>
  </si>
  <si>
    <t>47.83015 56.639637</t>
  </si>
  <si>
    <t>Стиляги</t>
  </si>
  <si>
    <t>+7 (902) 437-04-79</t>
  </si>
  <si>
    <t>https://vk.com/club168891883</t>
  </si>
  <si>
    <t>Берест 12</t>
  </si>
  <si>
    <t>47.873395 56.619288</t>
  </si>
  <si>
    <t>+7 (499) 350-31-99</t>
  </si>
  <si>
    <t>47.923839 56.63844</t>
  </si>
  <si>
    <t>ХоббиБокс</t>
  </si>
  <si>
    <t>+7 (902) 739-68-60</t>
  </si>
  <si>
    <t>47.933758 56.632183</t>
  </si>
  <si>
    <t>Квартира 17</t>
  </si>
  <si>
    <t xml:space="preserve">14370afcdc17429f9e418d5ffbd0334a@sentry.wixpress.com, kwartira17@gmail.com, wixofday@wix.com  </t>
  </si>
  <si>
    <t>http://otdelka12.com/</t>
  </si>
  <si>
    <t>47.868362 56.644806</t>
  </si>
  <si>
    <t>El-Cigar</t>
  </si>
  <si>
    <t>https://vk.com/el_cigar_yo</t>
  </si>
  <si>
    <t>47.916973 56.631425</t>
  </si>
  <si>
    <t>Строительный двор Полатово</t>
  </si>
  <si>
    <t>Строительный рынок</t>
  </si>
  <si>
    <t>47.950699 56.648102</t>
  </si>
  <si>
    <t>Березка</t>
  </si>
  <si>
    <t>+7 (8362) 45-23-72, +7 (8362) 45-23-46</t>
  </si>
  <si>
    <t>47.882973 56.645636</t>
  </si>
  <si>
    <t>Аварийный комиссар Шериф</t>
  </si>
  <si>
    <t>+7 (8362) 40-10-40, +7 (8362) 20-17-50</t>
  </si>
  <si>
    <t xml:space="preserve">sheriff.yola@gmail.com  </t>
  </si>
  <si>
    <t>http://шериф12.рф/</t>
  </si>
  <si>
    <t>Аварийная служба, Автотехпомощь, эвакуация автомобилей, Автоэкспертиза, оценка автомобилей, Юридические услуги</t>
  </si>
  <si>
    <t>https://vk.com/sheriff_12</t>
  </si>
  <si>
    <t>https://www.instagram.com/sheriff_yo</t>
  </si>
  <si>
    <t>Учебно-консультационный пункт по гражданской обороне и чрезвычайным ситуациям</t>
  </si>
  <si>
    <t>47.8607 56.651813</t>
  </si>
  <si>
    <t>Бензоинструмент сервис</t>
  </si>
  <si>
    <t>47.870319 56.623618</t>
  </si>
  <si>
    <t>Лови Букет</t>
  </si>
  <si>
    <t>47.870898 56.635608</t>
  </si>
  <si>
    <t>СанПаулоПринт</t>
  </si>
  <si>
    <t>ул. Строителей, 97, Йошкар-Ола</t>
  </si>
  <si>
    <t>+7 (8362) 50-50-02</t>
  </si>
  <si>
    <t>47.866299 56.616798</t>
  </si>
  <si>
    <t>Ленинградская ул., 18/31, Йошкар-Ола</t>
  </si>
  <si>
    <t>47.891847 56.645245</t>
  </si>
  <si>
    <t>Матрасы и кровати</t>
  </si>
  <si>
    <t>Матрасы</t>
  </si>
  <si>
    <t>47.952271 56.64809</t>
  </si>
  <si>
    <t>ИП Причинин А. Н.</t>
  </si>
  <si>
    <t>+7 (905) 008-70-31, +7 (917) 702-91-78</t>
  </si>
  <si>
    <t>+7 (902) 670-24-88</t>
  </si>
  <si>
    <t>пн-пт 09:00–17:30, перерыв 12:00–13:00</t>
  </si>
  <si>
    <t>https://vk.com/akvarel_12</t>
  </si>
  <si>
    <t>https://www.instagram.com/akvarel_12</t>
  </si>
  <si>
    <t>47.870461 56.630909</t>
  </si>
  <si>
    <t>Бухгалтерская компания Прок</t>
  </si>
  <si>
    <t>+7 (906) 334-21-93, +7 (902) 101-35-34</t>
  </si>
  <si>
    <t>https://www.buh-12.com/</t>
  </si>
  <si>
    <t>Bella Famiglia</t>
  </si>
  <si>
    <t>+7 (902) 434-50-00</t>
  </si>
  <si>
    <t>https://vk.com/bellafamil</t>
  </si>
  <si>
    <t>47.84076 56.635268</t>
  </si>
  <si>
    <t>+7 (964) 864-85-78</t>
  </si>
  <si>
    <t>Центр по услугам фрезеровки</t>
  </si>
  <si>
    <t>Мебель на заказ, Столярные работы, Фасады и фасадные системы</t>
  </si>
  <si>
    <t>47.84587 56.621179</t>
  </si>
  <si>
    <t>Serebro</t>
  </si>
  <si>
    <t>Визажисты, стилисты, Обучение мастеров для салонов красоты, Парикмахерская, Салон красоты</t>
  </si>
  <si>
    <t>47.898887 56.63601</t>
  </si>
  <si>
    <t>Велосипеды, ролики, самокаты</t>
  </si>
  <si>
    <t>47.831531 56.639559</t>
  </si>
  <si>
    <t>+7 (8362) 46-16-47</t>
  </si>
  <si>
    <t>http://www.asna.ru/, http://interfarm.mari-el.ru/</t>
  </si>
  <si>
    <t>47.842138 56.641712</t>
  </si>
  <si>
    <t>Russ Outdoor</t>
  </si>
  <si>
    <t xml:space="preserve">info@russoutdoor.ru  </t>
  </si>
  <si>
    <t>http://www.russoutdoor.ru/</t>
  </si>
  <si>
    <t>http://www.facebook.com/RussOutdoor</t>
  </si>
  <si>
    <t>http://www.youtube.com/user/RussOutdoor</t>
  </si>
  <si>
    <t>47.860172 56.64596</t>
  </si>
  <si>
    <t>White Lotus</t>
  </si>
  <si>
    <t>47.833647 56.640596</t>
  </si>
  <si>
    <t>Специальное конструкторско-технологическое бюро Сатурн</t>
  </si>
  <si>
    <t>Конструкторское бюро</t>
  </si>
  <si>
    <t>47.921121 56.637071</t>
  </si>
  <si>
    <t>ОРТОПЕДИЧЕСКИЙ ЦЕНТР №1</t>
  </si>
  <si>
    <t>+7 (8362) 38-43-41</t>
  </si>
  <si>
    <t>Товары для здоровья</t>
  </si>
  <si>
    <t>https://vk.com/ortcentr</t>
  </si>
  <si>
    <t>Hostel Yoshkar-Ola</t>
  </si>
  <si>
    <t>47.94109 56.62257</t>
  </si>
  <si>
    <t>Эксквизит</t>
  </si>
  <si>
    <t>+7 (8362) 79-17-62, +7 (8362) 79-07-32</t>
  </si>
  <si>
    <t xml:space="preserve">lakostann@yandex.ru </t>
  </si>
  <si>
    <t>47.880555 56.636512</t>
  </si>
  <si>
    <t>Россия, Республика Марий Эл, Йошкар-Ола, микрорайон Алёнкино</t>
  </si>
  <si>
    <t>47.829807 56.622635</t>
  </si>
  <si>
    <t>Бюро Авто</t>
  </si>
  <si>
    <t>+7 (902) 739-88-77</t>
  </si>
  <si>
    <t>Форестлайн</t>
  </si>
  <si>
    <t>+7 (927) 886-78-73</t>
  </si>
  <si>
    <t>47.8885 56.6553</t>
  </si>
  <si>
    <t>+7 (917) 700-19-21</t>
  </si>
  <si>
    <t>Данила-Мастер</t>
  </si>
  <si>
    <t>8 (800) 100-13-39</t>
  </si>
  <si>
    <t xml:space="preserve">voronezh@danila-master.ru, info@danila-master.ru, ws@danila-master.ru  </t>
  </si>
  <si>
    <t>https://yoshkar-ola.danila-master.ru/</t>
  </si>
  <si>
    <t>Изготовление памятников и надгробий, Ритуальные принадлежности</t>
  </si>
  <si>
    <t>Студия Красоты Руслана Гаджиева</t>
  </si>
  <si>
    <t>+7 (8362) 26-00-15</t>
  </si>
  <si>
    <t>47.925498 56.637882</t>
  </si>
  <si>
    <t>Сервис Дом</t>
  </si>
  <si>
    <t>http://service-dom.com/</t>
  </si>
  <si>
    <t>https://vk.com/servicedom</t>
  </si>
  <si>
    <t>47.858224 56.644583</t>
  </si>
  <si>
    <t>BeautyLook</t>
  </si>
  <si>
    <t>+7 (917) 715-23-47</t>
  </si>
  <si>
    <t>Обучение мастеров для салонов красоты</t>
  </si>
  <si>
    <t>Гранданалит</t>
  </si>
  <si>
    <t>+7 (8362) 35-64-90</t>
  </si>
  <si>
    <t>Орехи и сухофрукты</t>
  </si>
  <si>
    <t>Магазин продуктов, Орехи, снеки, сухофрукты</t>
  </si>
  <si>
    <t>47.844658 56.640952</t>
  </si>
  <si>
    <t>47.892736 56.6384</t>
  </si>
  <si>
    <t>Мобильные решения для строительства</t>
  </si>
  <si>
    <t>8 (800) 500-13-25</t>
  </si>
  <si>
    <t>+7 (996) 958-65-24</t>
  </si>
  <si>
    <t xml:space="preserve">name@example.ru, sales@mrspro.ru, team@mrspro.ru, press@mrspro.ru, support@mrspro.ru  </t>
  </si>
  <si>
    <t>https://mrspro.ru/</t>
  </si>
  <si>
    <t>https://vk.com/m_r_s</t>
  </si>
  <si>
    <t>https://www.facebook.com/mobstroycontrol</t>
  </si>
  <si>
    <t>https://www.youtube.com/channel/UCyph1QMLhRpvvEYGxH69HCg</t>
  </si>
  <si>
    <t>https://www.instagram.com/mrs_software</t>
  </si>
  <si>
    <t>Стройдомсад</t>
  </si>
  <si>
    <t>+7 (8362) 52-40-92</t>
  </si>
  <si>
    <t>http://sds12.ru/, http://www.сдс12.рф/</t>
  </si>
  <si>
    <t>пн-пт 09:00–17:00; сб,вс 10:00–15:00</t>
  </si>
  <si>
    <t>47.887672 56.641957</t>
  </si>
  <si>
    <t>Кадровик</t>
  </si>
  <si>
    <t>+7 (8362) 91-10-20</t>
  </si>
  <si>
    <t>Прокат Платьев</t>
  </si>
  <si>
    <t>https://www.instagram.com/prokat_dresscode/</t>
  </si>
  <si>
    <t>Натяжные потолки Ваш потолок</t>
  </si>
  <si>
    <t>+7 (8362) 90-95-90, +7 (8362) 98-26-17</t>
  </si>
  <si>
    <t>вт-сб 11:00–19:00</t>
  </si>
  <si>
    <t>Домашний финансист</t>
  </si>
  <si>
    <t xml:space="preserve">office@bestwaycoop.com, support@bestwaycoop.com, t.kaliskan@bestwaycoop.com, bw.elet@mail.ru, bw@bestwaycoop.com </t>
  </si>
  <si>
    <t>пн-пт 09:30–16:30</t>
  </si>
  <si>
    <t>https://vk.com/lg7020532</t>
  </si>
  <si>
    <t>Hobby Shop</t>
  </si>
  <si>
    <t>+7 (8362) 20-93-46</t>
  </si>
  <si>
    <t>Магазин подарков и сувениров, Товары для интерьера, Товары для творчества и рукоделия</t>
  </si>
  <si>
    <t>https://vk.com/hobbyshop12</t>
  </si>
  <si>
    <t>http://instagram.com/hobbyshop12</t>
  </si>
  <si>
    <t>47.891631 56.638958</t>
  </si>
  <si>
    <t>Логопед +</t>
  </si>
  <si>
    <t>47.828453 56.635344</t>
  </si>
  <si>
    <t>Имидж</t>
  </si>
  <si>
    <t>Красноармейская ул., 97, Йошкар-Ола</t>
  </si>
  <si>
    <t>+7 (8362) 30-79-49</t>
  </si>
  <si>
    <t>+7 (967) 757-79-49, +7 (937) 119-14-74</t>
  </si>
  <si>
    <t>https://instagram.com/koshkinairishka16</t>
  </si>
  <si>
    <t>47.868507 56.645738</t>
  </si>
  <si>
    <t>Твой день</t>
  </si>
  <si>
    <t>Мебель на заказ, Мягкая мебель</t>
  </si>
  <si>
    <t>Отдых на озерах Марий-Эл</t>
  </si>
  <si>
    <t>+7 (8362) 40-30-40, +7 (8362) 42-64-99, +7 (8362) 56-61-03</t>
  </si>
  <si>
    <t xml:space="preserve">naozero12@mail.ru, naozero@mail.ru  </t>
  </si>
  <si>
    <t>https://ozero12.ru/</t>
  </si>
  <si>
    <t>Гостиница, Дом отдыха, Санаторий</t>
  </si>
  <si>
    <t>https://vk.com/ozero12</t>
  </si>
  <si>
    <t>https://www.instagram.com/ozero12.ru/</t>
  </si>
  <si>
    <t>47.892637 56.632491</t>
  </si>
  <si>
    <t>Маркет Весов</t>
  </si>
  <si>
    <t>+7 (965) 688-21-21</t>
  </si>
  <si>
    <t xml:space="preserve">example@site.ru, marketvesov@yandex.ru  </t>
  </si>
  <si>
    <t>https://market-vesov.ru/</t>
  </si>
  <si>
    <t>47.883546 56.64452</t>
  </si>
  <si>
    <t>Муза</t>
  </si>
  <si>
    <t>+7 (902) 439-67-91</t>
  </si>
  <si>
    <t>https://vk.com/studio_muza_12</t>
  </si>
  <si>
    <t>Батут</t>
  </si>
  <si>
    <t>47.892955 56.63752</t>
  </si>
  <si>
    <t>ТСЖ Тройка</t>
  </si>
  <si>
    <t>+7 (8362) 63-50-51</t>
  </si>
  <si>
    <t>+7 (927) 682-37-90, +7 (909) 368-61-70</t>
  </si>
  <si>
    <t>+7 (902) 101-63-32</t>
  </si>
  <si>
    <t>47.860165 56.641172</t>
  </si>
  <si>
    <t>Печать на ткани Colori37</t>
  </si>
  <si>
    <t>+7 (927) 307-16-86</t>
  </si>
  <si>
    <t xml:space="preserve">kzaytceva@serginnetti.ru, k.zaytceva@serginnetti.ru  </t>
  </si>
  <si>
    <t>http://yoshkar-ola.colori37.ru/</t>
  </si>
  <si>
    <t>Полиграфические услуги, Производство и продажа тканей, Широкоформатная печать</t>
  </si>
  <si>
    <t>47.883359 56.633664</t>
  </si>
  <si>
    <t>Овен</t>
  </si>
  <si>
    <t>Автоматизация производств, Контрольно-измерительные приборы</t>
  </si>
  <si>
    <t>47.853773 56.651509</t>
  </si>
  <si>
    <t>Дым кофф</t>
  </si>
  <si>
    <t>+7 (996) 958-55-80</t>
  </si>
  <si>
    <t>пн 11:00–22:00; вт 12:00–22:00; ср,чт 11:00–22:00; пт 12:00–22:00; сб 11:00–22:00; вс 11:00–21:00</t>
  </si>
  <si>
    <t>Парфюмерия и косметика</t>
  </si>
  <si>
    <t>+7 (917) 711-05-67, +7 (917) 712-41-32, +7 (917) 064-20-31</t>
  </si>
  <si>
    <t>пн-пт 15:00–19:00; сб 11:00–18:00</t>
  </si>
  <si>
    <t>47.833218 56.636744</t>
  </si>
  <si>
    <t>Сернурский Сырзавод, Фирменный отдел</t>
  </si>
  <si>
    <t>47.836791 56.640154</t>
  </si>
  <si>
    <t>47.835981 56.636744</t>
  </si>
  <si>
    <t>Васильево, ТСЖ</t>
  </si>
  <si>
    <t>47.827413 56.63638</t>
  </si>
  <si>
    <t>ул. Петрова, 8/4, Йошкар-Ола</t>
  </si>
  <si>
    <t>Паровозик</t>
  </si>
  <si>
    <t>47.891396 56.637267</t>
  </si>
  <si>
    <t>Интернет кафе</t>
  </si>
  <si>
    <t>+7 (8362) 98-87-50</t>
  </si>
  <si>
    <t>47.884134 56.641407</t>
  </si>
  <si>
    <t>47.942548 56.633644</t>
  </si>
  <si>
    <t>Атм</t>
  </si>
  <si>
    <t>Киберспорт</t>
  </si>
  <si>
    <t>47.926101 56.629294</t>
  </si>
  <si>
    <t>Аллигатор</t>
  </si>
  <si>
    <t>47.83028 56.637264</t>
  </si>
  <si>
    <t>Сантехника</t>
  </si>
  <si>
    <t>47.862892 56.65118</t>
  </si>
  <si>
    <t>Яппи</t>
  </si>
  <si>
    <t>Пищевое сырье, Продукты питания оптом</t>
  </si>
  <si>
    <t>Россия, Республика Марий Эл, Йошкар-Ола, 1-й Фестивальный проезд</t>
  </si>
  <si>
    <t>47.837178 56.647346</t>
  </si>
  <si>
    <t>ProAUTOChip</t>
  </si>
  <si>
    <t>47.830134 56.639563</t>
  </si>
  <si>
    <t xml:space="preserve">support@yablokoyo.ru, example@mail.ru  </t>
  </si>
  <si>
    <t>https://yablokoyo.ru/</t>
  </si>
  <si>
    <t>https://vk.com/yabloko_yo</t>
  </si>
  <si>
    <t>https://www.instagram.com/yabloko_yo/</t>
  </si>
  <si>
    <t>47.897466 56.635317</t>
  </si>
  <si>
    <t>Оргтехника Плюс</t>
  </si>
  <si>
    <t>8 (800) 200-83-65</t>
  </si>
  <si>
    <t xml:space="preserve">info@oplus.ru  </t>
  </si>
  <si>
    <t>https://oplus.ru/, https://it.oplus.ru/, https://mps.oplus.ru/, https://renta.oplus.ru/</t>
  </si>
  <si>
    <t>IT-компания, Аутсорсинг, Оргтехника, Расходные материалы для оргтехники, Ремонт оргтехники</t>
  </si>
  <si>
    <t>Салон Красоты Deluxe Eng</t>
  </si>
  <si>
    <t>+7 (919) 419-11-53</t>
  </si>
  <si>
    <t>Спорт-сервис</t>
  </si>
  <si>
    <t>ТрейлерсВолга</t>
  </si>
  <si>
    <t>+7 (917) 717-33-33</t>
  </si>
  <si>
    <t>Genesis Tuning</t>
  </si>
  <si>
    <t>+7 (8362) 32-48-48</t>
  </si>
  <si>
    <t>Автосервис, автотехцентр, Магазин автозапчастей и автотоваров, Студия автотюнинга</t>
  </si>
  <si>
    <t>https://vk.com/genesistuning</t>
  </si>
  <si>
    <t>47.865881 56.634684</t>
  </si>
  <si>
    <t>Асна - Интерфарм</t>
  </si>
  <si>
    <t>Наномет Офис</t>
  </si>
  <si>
    <t>+7 (8362) 41-42-99</t>
  </si>
  <si>
    <t xml:space="preserve">info@nanomet12.ru  </t>
  </si>
  <si>
    <t>http://nanomet12.ru/</t>
  </si>
  <si>
    <t>47.885659 56.635498</t>
  </si>
  <si>
    <t>47.889039 56.630549</t>
  </si>
  <si>
    <t>ул. Карла Либкнехта, 76, корп. 1, Йошкар-Ола</t>
  </si>
  <si>
    <t>47.947821 56.63857</t>
  </si>
  <si>
    <t>Рыбацкие снасти</t>
  </si>
  <si>
    <t>47.864343 56.645974</t>
  </si>
  <si>
    <t>+7 (8362) 50-22-50</t>
  </si>
  <si>
    <t>http://toint.ru/</t>
  </si>
  <si>
    <t>https://vk.com/tochkarostayo</t>
  </si>
  <si>
    <t>https://www.instagram.com/tochka_rost</t>
  </si>
  <si>
    <t>47.927295 56.63157</t>
  </si>
  <si>
    <t>Туристическое агентство</t>
  </si>
  <si>
    <t>Смешные цены № 1</t>
  </si>
  <si>
    <t>Магазин обуви, Магазин одежды, Товары для дома</t>
  </si>
  <si>
    <t>47.882763 56.62325</t>
  </si>
  <si>
    <t>Fashion</t>
  </si>
  <si>
    <t>Car flow</t>
  </si>
  <si>
    <t>Выкуп автомобилей, Прокат автомобилей</t>
  </si>
  <si>
    <t>47.896442 56.627426</t>
  </si>
  <si>
    <t>LeDi manicure</t>
  </si>
  <si>
    <t>+7 (987) 724-33-80</t>
  </si>
  <si>
    <t>E. V. A</t>
  </si>
  <si>
    <t>Ассоциации и промышленные союзы</t>
  </si>
  <si>
    <t>47.917698 56.627426</t>
  </si>
  <si>
    <t>47.897291 56.628436</t>
  </si>
  <si>
    <t>47.869752 56.631849</t>
  </si>
  <si>
    <t>Доступная среда</t>
  </si>
  <si>
    <t>Love Republic</t>
  </si>
  <si>
    <t>8 (800) 250-32-33, +7 (8362) 37-05-75</t>
  </si>
  <si>
    <t xml:space="preserve">info@loverepublic.ru, hr.lrp@melonfashion.ru, customers@loverepublic-shop.com  </t>
  </si>
  <si>
    <t>https://loverepublic.ru/</t>
  </si>
  <si>
    <t>Магазин белья и купальников, Магазин галантереи и аксессуаров, Магазин одежды</t>
  </si>
  <si>
    <t>https://vk.com/loverepublic_official</t>
  </si>
  <si>
    <t>https://www.facebook.com/LoveRepublicofficial/</t>
  </si>
  <si>
    <t>https://www.instagram.com/loverepublic_official/</t>
  </si>
  <si>
    <t>47.929809 56.627902</t>
  </si>
  <si>
    <t>Бельпостель</t>
  </si>
  <si>
    <t>8 (800) 333-87-46</t>
  </si>
  <si>
    <t xml:space="preserve">info@belpostel.com  </t>
  </si>
  <si>
    <t>http://belpostel.com/, https://belpostel.com/shop/yoshkar_ola/</t>
  </si>
  <si>
    <t>https://vk.com/club66111336</t>
  </si>
  <si>
    <t>http://ok.ru/belpostels</t>
  </si>
  <si>
    <t>https://www.facebook.com/belpostel</t>
  </si>
  <si>
    <t>https://www.instagram.com/belpostel_official/</t>
  </si>
  <si>
    <t>Цех по производству мелкоштучных кондитерских изделий</t>
  </si>
  <si>
    <t>47.820736 56.623486</t>
  </si>
  <si>
    <t>Студия красоты Cat Len</t>
  </si>
  <si>
    <t>47.895135 56.631338</t>
  </si>
  <si>
    <t>ГСЮТ</t>
  </si>
  <si>
    <t>47.889623 56.639872</t>
  </si>
  <si>
    <t>Лепрекон</t>
  </si>
  <si>
    <t>ул. Строителей, 99Г, Йошкар-Ола</t>
  </si>
  <si>
    <t>+7 (929) 733-32-94</t>
  </si>
  <si>
    <t>47.867098 56.615426</t>
  </si>
  <si>
    <t>+7 (8362) 46-56-53</t>
  </si>
  <si>
    <t>Магнит косметик</t>
  </si>
  <si>
    <t>47.906745 56.628914</t>
  </si>
  <si>
    <t>АРС Инструмент+</t>
  </si>
  <si>
    <t>47.868442 56.624252</t>
  </si>
  <si>
    <t>Лапусик</t>
  </si>
  <si>
    <t>+7 (902) 739-33-00</t>
  </si>
  <si>
    <t>https://www.salonlapusik.com/</t>
  </si>
  <si>
    <t>Зоомагазин, Зоосалон, зоопарикмахерская</t>
  </si>
  <si>
    <t>Большой мебельный</t>
  </si>
  <si>
    <t>+7 (902) 105-05-99</t>
  </si>
  <si>
    <t xml:space="preserve">chavaina16@mail.ru, info@mebel-city12.ru  </t>
  </si>
  <si>
    <t>http://mebel-city12.ru/, https://bigmebel.kmarket12.ru/</t>
  </si>
  <si>
    <t>Пенная Гильдия</t>
  </si>
  <si>
    <t>+7 (8362) 96-61-62</t>
  </si>
  <si>
    <t>+7 (977) 867-67-40</t>
  </si>
  <si>
    <t xml:space="preserve">foamyguild@gmail.com, arenda.guild@gmail.com, sales.guild@yandex.ru  </t>
  </si>
  <si>
    <t>https://пеннаягильдия.рус/</t>
  </si>
  <si>
    <t>Бар, паб, Магазин пива, Магазин рыбы и морепродуктов</t>
  </si>
  <si>
    <t>https://vk.com/foamyguild</t>
  </si>
  <si>
    <t>47.858124 56.64453</t>
  </si>
  <si>
    <t>Ниндзя Квест</t>
  </si>
  <si>
    <t>+7 (8362) 55-01-22</t>
  </si>
  <si>
    <t>47.864951 56.649719</t>
  </si>
  <si>
    <t>Сернурский Сырзавод, фирменный отдел</t>
  </si>
  <si>
    <t>ул. Воинов-Интернационалистов, 25А, Йошкар-Ола</t>
  </si>
  <si>
    <t>47.925219 56.634338</t>
  </si>
  <si>
    <t>YoKat</t>
  </si>
  <si>
    <t>+7 (902) 430-15-30</t>
  </si>
  <si>
    <t>пн-пт 10:00–18:00, перерыв 12:30–14:00</t>
  </si>
  <si>
    <t>Диагностика ВАЗ</t>
  </si>
  <si>
    <t>Пункт техосмотра, Шиномонтаж</t>
  </si>
  <si>
    <t>47.832786 56.642794</t>
  </si>
  <si>
    <t>Тортуга</t>
  </si>
  <si>
    <t>пн-чт 11:00–00:00; пт 11:00–03:00; сб 12:00–03:00; вс 12:00–00:00</t>
  </si>
  <si>
    <t>47.896593 56.635305</t>
  </si>
  <si>
    <t>Марийский подводник</t>
  </si>
  <si>
    <t>+7 (8362) 37-27-89</t>
  </si>
  <si>
    <t>пн-пт 09:00–19:00, перерыв 13:00–14:00</t>
  </si>
  <si>
    <t>+7 (8362) 21-01-07, +7 (8362) 32-32-70</t>
  </si>
  <si>
    <t>+7 (937) 118-24-41, +7 (937) 119-20-53</t>
  </si>
  <si>
    <t>Кровельные работы, Кровля и кровельные материалы, Промышленный альпинизм, Фасады и фасадные системы</t>
  </si>
  <si>
    <t>47.917707 56.627436</t>
  </si>
  <si>
    <t>Диваны Ульяновские</t>
  </si>
  <si>
    <t>Rimko-M</t>
  </si>
  <si>
    <t>ул. Шевцовой, 54, Йошкар-Ола</t>
  </si>
  <si>
    <t>+7 (902) 433-99-55</t>
  </si>
  <si>
    <t>+7 (8362) 25-01-01</t>
  </si>
  <si>
    <t xml:space="preserve">nav88art@mail.ru  </t>
  </si>
  <si>
    <t>http://taplink.cc/ts_samovar</t>
  </si>
  <si>
    <t>https://vk.com/ts_samovar</t>
  </si>
  <si>
    <t>O! Derevo</t>
  </si>
  <si>
    <t>+7 (960) 093-40-66</t>
  </si>
  <si>
    <t>Магазин подарков и сувениров, Рекламная продукция</t>
  </si>
  <si>
    <t>https://vk.com/o_derevo</t>
  </si>
  <si>
    <t>https://instagram.com/o_derevo</t>
  </si>
  <si>
    <t>47.857915 56.621261</t>
  </si>
  <si>
    <t>Автостанки</t>
  </si>
  <si>
    <t>ул. Героев Сталинградской Битвы, 12, Йошкар-Ола</t>
  </si>
  <si>
    <t>+7 (987) 727-97-97</t>
  </si>
  <si>
    <t>47.945476 56.629322</t>
  </si>
  <si>
    <t>Слобода</t>
  </si>
  <si>
    <t>47.909315 56.640275</t>
  </si>
  <si>
    <t>Самоварим</t>
  </si>
  <si>
    <t>Рубль бум</t>
  </si>
  <si>
    <t xml:space="preserve">p.kudishin@tdabbat.ru, info@1b.ru  </t>
  </si>
  <si>
    <t>http://twitter.com/1rubb</t>
  </si>
  <si>
    <t>https://www.facebook.com/rublbum</t>
  </si>
  <si>
    <t>47.874235 56.636723</t>
  </si>
  <si>
    <t>47.885016 56.619899</t>
  </si>
  <si>
    <t>Идеальная пара</t>
  </si>
  <si>
    <t xml:space="preserve">support@sdrom.ru  </t>
  </si>
  <si>
    <t>http://i-para.ru/</t>
  </si>
  <si>
    <t>47.89274 56.638756</t>
  </si>
  <si>
    <t>English</t>
  </si>
  <si>
    <t>47.842078 56.632652</t>
  </si>
  <si>
    <t>Камелан</t>
  </si>
  <si>
    <t>+7 (8362) 38-57-37</t>
  </si>
  <si>
    <t>https://www.instagram.com/kamellan_dekor_stone</t>
  </si>
  <si>
    <t>47.948926 56.636357</t>
  </si>
  <si>
    <t>+7 (8362) 50-51-49</t>
  </si>
  <si>
    <t>+7 (962) 588-26-37</t>
  </si>
  <si>
    <t>Металлопрокат, Фасады и фасадные системы</t>
  </si>
  <si>
    <t>47.882931 56.639905</t>
  </si>
  <si>
    <t>47.898458 56.646405</t>
  </si>
  <si>
    <t>Ремпроф</t>
  </si>
  <si>
    <t xml:space="preserve">remprof-wood@yandex.ru </t>
  </si>
  <si>
    <t>Аламания</t>
  </si>
  <si>
    <t>Студия художественной гимнастики</t>
  </si>
  <si>
    <t>47.849526 56.640272</t>
  </si>
  <si>
    <t>Чай, кофе</t>
  </si>
  <si>
    <t>47.839469 56.641256</t>
  </si>
  <si>
    <t>Proletarskaya Street 71 A</t>
  </si>
  <si>
    <t>Пролетарская ул., 71А, Йошкар-Ола</t>
  </si>
  <si>
    <t>47.87603 56.64771</t>
  </si>
  <si>
    <t>Психологический кабинет</t>
  </si>
  <si>
    <t>47.917849 56.629424</t>
  </si>
  <si>
    <t xml:space="preserve">client@poidem.ru  </t>
  </si>
  <si>
    <t>https://www.poidem.ru/</t>
  </si>
  <si>
    <t>https://vk.com/bankpoidem</t>
  </si>
  <si>
    <t>https://www.facebook.com/bankpoidem/</t>
  </si>
  <si>
    <t>https://www.instagram.com/poidem.ru/</t>
  </si>
  <si>
    <t>Козерог</t>
  </si>
  <si>
    <t>Магазин продуктов, Универмаг</t>
  </si>
  <si>
    <t>47.920349 56.635328</t>
  </si>
  <si>
    <t>47.921988 56.640202</t>
  </si>
  <si>
    <t>Рыбный мир</t>
  </si>
  <si>
    <t>Актуаль</t>
  </si>
  <si>
    <t>пн-сб 07:00–19:00; вс 08:00–18:00</t>
  </si>
  <si>
    <t>47.882543 56.621602</t>
  </si>
  <si>
    <t>Rех зоомагазин</t>
  </si>
  <si>
    <t>+7 (927) 878-46-45, +7 (902) 329-31-02</t>
  </si>
  <si>
    <t>47.925137 56.62602</t>
  </si>
  <si>
    <t>Mary Eglit Pilates Studio</t>
  </si>
  <si>
    <t>ул. Чехова, 51/92, Йошкар-Ола</t>
  </si>
  <si>
    <t>47.890388 56.643747</t>
  </si>
  <si>
    <t>Парфюмерия</t>
  </si>
  <si>
    <t>47.870889 56.645923</t>
  </si>
  <si>
    <t>47.833743 56.630673</t>
  </si>
  <si>
    <t>пн-пт 07:00–19:00; сб 08:00–16:00; вс 08:00–14:00</t>
  </si>
  <si>
    <t>47.946488 56.623009</t>
  </si>
  <si>
    <t>Фармацевтический склад</t>
  </si>
  <si>
    <t>+7 (8362) 30-43-03</t>
  </si>
  <si>
    <t>47.854378 56.6431</t>
  </si>
  <si>
    <t>https://vk.com/club30616462</t>
  </si>
  <si>
    <t>Мини ателье</t>
  </si>
  <si>
    <t>+7 (8362) 32-07-90</t>
  </si>
  <si>
    <t>Роял Групп</t>
  </si>
  <si>
    <t>ул. Строителей, 101Б, Йошкар-Ола</t>
  </si>
  <si>
    <t>+7 (968) 645-01-45</t>
  </si>
  <si>
    <t xml:space="preserve">info@powderoyal.ru  </t>
  </si>
  <si>
    <t>https://www.powderoyal.ru/</t>
  </si>
  <si>
    <t>Лакокрасочные материалы, Производственное предприятие</t>
  </si>
  <si>
    <t>https://www.instagram.com/powderoyal.ru</t>
  </si>
  <si>
    <t>47.875138 56.612657</t>
  </si>
  <si>
    <t>Сортсемовощ</t>
  </si>
  <si>
    <t>+7 (902) 431-17-09</t>
  </si>
  <si>
    <t>Магазин семян, Средства защиты растений, Удобрения</t>
  </si>
  <si>
    <t>47.894438 56.647903</t>
  </si>
  <si>
    <t>Тепло 112</t>
  </si>
  <si>
    <t>+7 (8362) 51-21-12</t>
  </si>
  <si>
    <t>+7 (964) 861-21-12</t>
  </si>
  <si>
    <t xml:space="preserve">112teplo@gmail.com  </t>
  </si>
  <si>
    <t>http://www.teplo112.ru/</t>
  </si>
  <si>
    <t>Газовое оборудование, Котлы и котельное оборудование, Отопительное оборудование и системы</t>
  </si>
  <si>
    <t>https://vk.com/teplo112</t>
  </si>
  <si>
    <t>https://www.instagram.com/teplo_112/</t>
  </si>
  <si>
    <t>47.873324 56.652591</t>
  </si>
  <si>
    <t>Вот такие окна!</t>
  </si>
  <si>
    <t>+7 (967) 758-12-48</t>
  </si>
  <si>
    <t xml:space="preserve">yola@vottakieokna.ru  </t>
  </si>
  <si>
    <t>https://yola.vottakieokna.ru/</t>
  </si>
  <si>
    <t>Жалюзи и рулонные шторы, Комплектующие для окон, Натяжные и подвесные потолки, Окна</t>
  </si>
  <si>
    <t>пн-пт 10:00–19:00, перерыв 13:00–14:00; сб 10:00–14:00</t>
  </si>
  <si>
    <t>https://vk.com/club188276852</t>
  </si>
  <si>
    <t>ФитДанс</t>
  </si>
  <si>
    <t>+7 (902) 745-39-07</t>
  </si>
  <si>
    <t>https://vk.com/tancfit</t>
  </si>
  <si>
    <t>47.863759 56.643101</t>
  </si>
  <si>
    <t>ГБУ РМЭ Республиканская клиническая больница, отделение гнойной хирургии</t>
  </si>
  <si>
    <t>+7 (8362) 46-02-24</t>
  </si>
  <si>
    <t>Советская ул., 18, Йошкар-Ола</t>
  </si>
  <si>
    <t>47.911652 56.650145</t>
  </si>
  <si>
    <t>Dembo</t>
  </si>
  <si>
    <t>+7 (8362) 20-64-02</t>
  </si>
  <si>
    <t>47.887626 56.641988</t>
  </si>
  <si>
    <t>47.860382 56.651563</t>
  </si>
  <si>
    <t>ТД АртСталь</t>
  </si>
  <si>
    <t>ул. Крылова, 66А, Йошкар-Ола</t>
  </si>
  <si>
    <t>8 (800) 700-45-99</t>
  </si>
  <si>
    <t xml:space="preserve">barn@td-artstal.ru, ekat@td-artstal.ru  </t>
  </si>
  <si>
    <t>https://td-artstal.ru/</t>
  </si>
  <si>
    <t>Металлообработка, Металлопрокат, Трубы и трубопроводная арматура</t>
  </si>
  <si>
    <t>МедиаСоюз</t>
  </si>
  <si>
    <t>47.895799 56.632204</t>
  </si>
  <si>
    <t>Пролетарская ул., 51, Йошкар-Ола</t>
  </si>
  <si>
    <t>47.8847 56.64684</t>
  </si>
  <si>
    <t>http://missmi.pro/</t>
  </si>
  <si>
    <t>47.877714 56.627823</t>
  </si>
  <si>
    <t>ТЦ Плаза</t>
  </si>
  <si>
    <t>47.891326 56.638651</t>
  </si>
  <si>
    <t>Флай</t>
  </si>
  <si>
    <t>+7 (8362) 30-05-05, +7 (8362) 30-13-01</t>
  </si>
  <si>
    <t>Косметология, Массажный салон, Медцентр, клиника, Ногтевая студия, СПА-салон</t>
  </si>
  <si>
    <t>47.901165 56.63879</t>
  </si>
  <si>
    <t>Электрик 12</t>
  </si>
  <si>
    <t>+7 (937) 111-07-76</t>
  </si>
  <si>
    <t>47.898 56.6177</t>
  </si>
  <si>
    <t>47.899995 56.643876</t>
  </si>
  <si>
    <t>Россия, Республика Марий Эл, Йошкар-Ола, Школьный переулок</t>
  </si>
  <si>
    <t>47.84123 56.658425</t>
  </si>
  <si>
    <t>CooLLooK</t>
  </si>
  <si>
    <t>Косметология, Ногтевая студия, Салон красоты, Солярий</t>
  </si>
  <si>
    <t>+7 (8362) 77-88-77</t>
  </si>
  <si>
    <t>Студия автотюнинга, Тонирование стекол</t>
  </si>
  <si>
    <t>https://www.facebook.com/Buro-производство-рекламы-165418014041739/</t>
  </si>
  <si>
    <t>https://www.instagram.com/buropr12/</t>
  </si>
  <si>
    <t>47.882618 56.637326</t>
  </si>
  <si>
    <t>Нейрохирургическое отделение</t>
  </si>
  <si>
    <t>Больница для взрослых, Медцентр, клиника</t>
  </si>
  <si>
    <t>Магазин канцелярских товаров</t>
  </si>
  <si>
    <t>ГБУ РМЭ поликлиника № 1</t>
  </si>
  <si>
    <t>+7 (8362) 21-02-40</t>
  </si>
  <si>
    <t>пн-пт 08:00–18:00, перерыв 12:00–12:30</t>
  </si>
  <si>
    <t>47.916065 56.632511</t>
  </si>
  <si>
    <t>Волчья слобода</t>
  </si>
  <si>
    <t>Элеваторный пр., 7, Йошкар-Ола</t>
  </si>
  <si>
    <t>+7 (987) 713-85-99</t>
  </si>
  <si>
    <t>47.8959 56.612784</t>
  </si>
  <si>
    <t>47.885557 56.635476</t>
  </si>
  <si>
    <t>Строймаг112</t>
  </si>
  <si>
    <t>Счастливый ребенок</t>
  </si>
  <si>
    <t>47.832632 56.636599</t>
  </si>
  <si>
    <t>Пол Под Ключ</t>
  </si>
  <si>
    <t>+7 (8362) 32-05-00, +7 (8362) 32-05-01</t>
  </si>
  <si>
    <t>Ламинат, Напольные покрытия, Паркет</t>
  </si>
  <si>
    <t>Оценка и экспертиза</t>
  </si>
  <si>
    <t>Россия, Республика Марий Эл, Йошкар-Ола, улица Якова Эшпая</t>
  </si>
  <si>
    <t>пн-пт 07:00–20:00, перерыв 13:30–14:00</t>
  </si>
  <si>
    <t>47.886295 56.644267</t>
  </si>
  <si>
    <t>Che Ry</t>
  </si>
  <si>
    <t>+7 (902) 466-44-66</t>
  </si>
  <si>
    <t>https://vk.com/public104980778</t>
  </si>
  <si>
    <t>47.883503 56.615321</t>
  </si>
  <si>
    <t>Beauty Bar Lionstudio</t>
  </si>
  <si>
    <t>+7 (902) 104-01-97</t>
  </si>
  <si>
    <t>Гуси-лебеди</t>
  </si>
  <si>
    <t>47.89186 56.637346</t>
  </si>
  <si>
    <t>47.855966 56.645733</t>
  </si>
  <si>
    <t>Центр ГАЗ</t>
  </si>
  <si>
    <t>47.938375 56.644471</t>
  </si>
  <si>
    <t>Семена саженцы</t>
  </si>
  <si>
    <t>Вело-мото запчасти</t>
  </si>
  <si>
    <t>Запчасти для мототехники</t>
  </si>
  <si>
    <t>47.831368 56.639173</t>
  </si>
  <si>
    <t>Йорт</t>
  </si>
  <si>
    <t>+7 (8362) 63-54-00, +7 (8362) 50-50-01</t>
  </si>
  <si>
    <t>Зеркальный</t>
  </si>
  <si>
    <t>47.862952 56.628501</t>
  </si>
  <si>
    <t>ВУЗ, Центр повышения квалификации</t>
  </si>
  <si>
    <t>47.889366 56.631324</t>
  </si>
  <si>
    <t>47.87324 56.629398</t>
  </si>
  <si>
    <t>Tupperware</t>
  </si>
  <si>
    <t>+7 (8362) 55-42-52, +7 (8362) 46-99-11, +7 (8362) 94-17-03</t>
  </si>
  <si>
    <t xml:space="preserve">mycareer@tupperware.com, veravlasova@tupperware.com </t>
  </si>
  <si>
    <t>http://tupperware.ru/</t>
  </si>
  <si>
    <t>пн-пт 10:30–20:00</t>
  </si>
  <si>
    <t>47.88442 56.643039</t>
  </si>
  <si>
    <t>Курносики</t>
  </si>
  <si>
    <t>+7 (950) 530-23-71</t>
  </si>
  <si>
    <t>https://vk.com/public197763081</t>
  </si>
  <si>
    <t>Спектр12</t>
  </si>
  <si>
    <t>+7 (8362) 30-59-70</t>
  </si>
  <si>
    <t>http://чистотруб.рф/</t>
  </si>
  <si>
    <t>Камины, печи, Товары для бани и сауны, Химические реактивы</t>
  </si>
  <si>
    <t>Марий Эл-Фармация</t>
  </si>
  <si>
    <t>47.859675 56.625092</t>
  </si>
  <si>
    <t>Авто-Альянс</t>
  </si>
  <si>
    <t>+7 (987) 705-25-55</t>
  </si>
  <si>
    <t>http://mos12.ru/</t>
  </si>
  <si>
    <t>47.832124 56.643888</t>
  </si>
  <si>
    <t>47.918503 56.637849</t>
  </si>
  <si>
    <t>Магазин растительного масла</t>
  </si>
  <si>
    <t>Первомайская ул., 115Ж, корп. 1, Йошкар-Ола</t>
  </si>
  <si>
    <t>Территориальный отдел филиала ЦЛАТИ Чувашской республики ФГБУ ЦЛАТИ Обфо</t>
  </si>
  <si>
    <t>+7 (8362) 73-84-91, +7 (8362) 73-41-77</t>
  </si>
  <si>
    <t>47.852024 56.623509</t>
  </si>
  <si>
    <t>Кондор-Сервис</t>
  </si>
  <si>
    <t>+7 (8362) 42-72-99, +7 (8362) 41-78-78, +7 (8362) 41-97-67</t>
  </si>
  <si>
    <t>47.872299 56.653295</t>
  </si>
  <si>
    <t>Бивер</t>
  </si>
  <si>
    <t>+7 (8362) 40-31-13</t>
  </si>
  <si>
    <t>http://бивер12.рф/</t>
  </si>
  <si>
    <t>пн-пт 10:00–19:00; сб 09:00–18:00</t>
  </si>
  <si>
    <t>http://vk.com/dveriola12</t>
  </si>
  <si>
    <t>47.864468 56.646606</t>
  </si>
  <si>
    <t>Zebra cafe</t>
  </si>
  <si>
    <t>ул. Пушкина, 20, Йошкар-Ола</t>
  </si>
  <si>
    <t xml:space="preserve">zebracafe12@gmail.com  </t>
  </si>
  <si>
    <t>http://sushi12.ru/</t>
  </si>
  <si>
    <t>Быстрое питание, Доставка еды и обедов, Пиццерия, Суши-бар</t>
  </si>
  <si>
    <t>Гранснаб</t>
  </si>
  <si>
    <t>ул. Васильева, 7А, Йошкар-Ола</t>
  </si>
  <si>
    <t>+7 (961) 378-04-63</t>
  </si>
  <si>
    <t xml:space="preserve">vanyasin@mail.ru  </t>
  </si>
  <si>
    <t>http://gransnab.ru/</t>
  </si>
  <si>
    <t>47.833025 56.634788</t>
  </si>
  <si>
    <t>Красноармейская ул., 19, Йошкар-Ола</t>
  </si>
  <si>
    <t>47.899673 56.639374</t>
  </si>
  <si>
    <t>Ассоциация патронажных работников</t>
  </si>
  <si>
    <t>8 (800) 777-77-03</t>
  </si>
  <si>
    <t xml:space="preserve">info@nurseassist.ru  </t>
  </si>
  <si>
    <t>Домашний персонал, Патронажная служба, Социальная служба</t>
  </si>
  <si>
    <t>https://vk.com/nurseassistru</t>
  </si>
  <si>
    <t>https://www.youtube.com/channel/UCgiYA8w2uQLLVZyUQEgfN1w</t>
  </si>
  <si>
    <t>https://www.instagram.com/nurseassist/</t>
  </si>
  <si>
    <t>ул. Данилина, 82, Йошкар-Ола</t>
  </si>
  <si>
    <t>47.89214 56.648807</t>
  </si>
  <si>
    <t>47.916958 56.631343</t>
  </si>
  <si>
    <t>Аэлит плюс</t>
  </si>
  <si>
    <t>Трансформаторная подстанция № 154</t>
  </si>
  <si>
    <t>47.946938 56.623405</t>
  </si>
  <si>
    <t>Мебельный салон Ваш уют</t>
  </si>
  <si>
    <t>8 (800) 505-26-04</t>
  </si>
  <si>
    <t>+7 (919) 419-16-32</t>
  </si>
  <si>
    <t>https://vu21.ru/</t>
  </si>
  <si>
    <t>Магазин мебели, Мебель для кухни, Мебель для офиса</t>
  </si>
  <si>
    <t>https://vk.com/vyut21</t>
  </si>
  <si>
    <t>ПризываНет.ру</t>
  </si>
  <si>
    <t>+7 (8362) 38-02-21</t>
  </si>
  <si>
    <t xml:space="preserve">hr@prizyvanet.ru, pr@prizyvanet.ru  </t>
  </si>
  <si>
    <t>http://www.prizyvanet.ru/</t>
  </si>
  <si>
    <t>https://vk.com/prizyva_net</t>
  </si>
  <si>
    <t>47.897157 56.634248</t>
  </si>
  <si>
    <t>Hotdogger</t>
  </si>
  <si>
    <t>47.92924 56.627839</t>
  </si>
  <si>
    <t>Звёздная ул., 12, Йошкар-Ола</t>
  </si>
  <si>
    <t>47.96835 56.614409</t>
  </si>
  <si>
    <t>Алло-Весло</t>
  </si>
  <si>
    <t>8 (800) 500-76-23</t>
  </si>
  <si>
    <t>Ремонт телефонов, Салон связи</t>
  </si>
  <si>
    <t>https://vk.com/allovesloyo</t>
  </si>
  <si>
    <t>https://www.instagram.com/alloveslo.yo</t>
  </si>
  <si>
    <t>47.89623 56.627911</t>
  </si>
  <si>
    <t>47.832867 56.636638</t>
  </si>
  <si>
    <t>47.914246 56.62669</t>
  </si>
  <si>
    <t>Песок 12</t>
  </si>
  <si>
    <t xml:space="preserve">sanek3366@rambler.ru  </t>
  </si>
  <si>
    <t>http://pesok12.ru/</t>
  </si>
  <si>
    <t>Аренда строительной и спецтехники, ЖБИ</t>
  </si>
  <si>
    <t>Ученый кот</t>
  </si>
  <si>
    <t>47.917912 56.627477</t>
  </si>
  <si>
    <t>YolaSmoke</t>
  </si>
  <si>
    <t>+7 (927) 684-44-40</t>
  </si>
  <si>
    <t>https://vk.com/yolasmoke</t>
  </si>
  <si>
    <t>Галерея мебели</t>
  </si>
  <si>
    <t>+7 (8362) 91-68-80</t>
  </si>
  <si>
    <t>Магазин мебели, Светильники</t>
  </si>
  <si>
    <t>47.870109 56.636316</t>
  </si>
  <si>
    <t>8 (800) 333-22-44, +7 (8362) 63-03-99</t>
  </si>
  <si>
    <t>Первомайская Ярмарка</t>
  </si>
  <si>
    <t>+7 (8362) 42-01-51</t>
  </si>
  <si>
    <t>https://vk.com/yoshkarynok</t>
  </si>
  <si>
    <t xml:space="preserve">imperia12rus@yandex.ru  </t>
  </si>
  <si>
    <t>Небанковская кредитная организация</t>
  </si>
  <si>
    <t>47.880577 56.636592</t>
  </si>
  <si>
    <t>JeLeStudio</t>
  </si>
  <si>
    <t>ул. Баумана, 11А, Йошкар-Ола</t>
  </si>
  <si>
    <t>+7 (917) 700-00-99</t>
  </si>
  <si>
    <t>47.846742 56.642223</t>
  </si>
  <si>
    <t>Dekotv</t>
  </si>
  <si>
    <t>+7 (8362) 94-84-51, +7 (8362) 49-05-05</t>
  </si>
  <si>
    <t>Инфокар</t>
  </si>
  <si>
    <t>+7 (8362) 41-79-99, +7 (8362) 41-80-00</t>
  </si>
  <si>
    <t>+7 (8362) 41-87-77</t>
  </si>
  <si>
    <t xml:space="preserve">info@infokar12.ru, infocar_12@mail.ru  </t>
  </si>
  <si>
    <t>http://infokar12.ru/</t>
  </si>
  <si>
    <t>МегаКОМ</t>
  </si>
  <si>
    <t>+7 (8362) 41-19-61, +7 (8362) 45-33-73</t>
  </si>
  <si>
    <t>http://www.megakom-shop.ru/</t>
  </si>
  <si>
    <t>Компьютерные аксессуары, Компьютерный ремонт и услуги, Расходные материалы для оргтехники</t>
  </si>
  <si>
    <t>https://vk.com/megakom12</t>
  </si>
  <si>
    <t>47.897735 56.639528</t>
  </si>
  <si>
    <t>Магазин вина</t>
  </si>
  <si>
    <t>47.94747 56.629071</t>
  </si>
  <si>
    <t>Прачечная РЖД</t>
  </si>
  <si>
    <t>Прачечная</t>
  </si>
  <si>
    <t>47.887615 56.61827</t>
  </si>
  <si>
    <t>Фотокопировальный центр</t>
  </si>
  <si>
    <t>КДО Авиа Карго</t>
  </si>
  <si>
    <t>Грузовые авиаперевозки, Курьерские услуги, Экспедирование грузов</t>
  </si>
  <si>
    <t>Rex</t>
  </si>
  <si>
    <t>+7 (8362) 30-42-48</t>
  </si>
  <si>
    <t>47.867749 56.618555</t>
  </si>
  <si>
    <t>47.869524 56.618982</t>
  </si>
  <si>
    <t>ТеплоВел</t>
  </si>
  <si>
    <t>+7 (927) 882-51-61</t>
  </si>
  <si>
    <t xml:space="preserve">split76@mail.ru  </t>
  </si>
  <si>
    <t>http://teplovel.ru/</t>
  </si>
  <si>
    <t>Монтаж и обслуживание систем водоснабжения и канализации</t>
  </si>
  <si>
    <t>пн-пт 09:00–20:00; сб 09:00–13:00</t>
  </si>
  <si>
    <t>47.914326 56.635259</t>
  </si>
  <si>
    <t>Хирургический отделение</t>
  </si>
  <si>
    <t>47.952947 56.637954</t>
  </si>
  <si>
    <t>Рыбная лавка</t>
  </si>
  <si>
    <t>47.843797 56.630872</t>
  </si>
  <si>
    <t>47.832392 56.639664</t>
  </si>
  <si>
    <t>47.853823 56.656961</t>
  </si>
  <si>
    <t>РостСайт – Йошкар-Ола</t>
  </si>
  <si>
    <t>8 (800) 707-81-05</t>
  </si>
  <si>
    <t xml:space="preserve">info@rostsayt.ru  </t>
  </si>
  <si>
    <t>https://yoshkar-ola.rostsayt.ru/</t>
  </si>
  <si>
    <t>https://vk.com/rost_sayt</t>
  </si>
  <si>
    <t>https://www.facebook.com/rostsayt/</t>
  </si>
  <si>
    <t>https://www.youtube.com/channel/UCXPFITkc3jTbMOgjP4NnAXQ</t>
  </si>
  <si>
    <t>https://www.instagram.com/rostsayt/</t>
  </si>
  <si>
    <t>Транзит-Авто</t>
  </si>
  <si>
    <t>+7 (8362) 34-74-30</t>
  </si>
  <si>
    <t xml:space="preserve">kl@tranzit-auto.ru, kr@tranzit-auto.ru, mail@tranzit-auto.ru  </t>
  </si>
  <si>
    <t>http://tranzit-auto.ru/</t>
  </si>
  <si>
    <t>https://vk.com/tranzit_auto</t>
  </si>
  <si>
    <t>47.873105 56.605509</t>
  </si>
  <si>
    <t>47.899112 56.644061</t>
  </si>
  <si>
    <t>Laserwood</t>
  </si>
  <si>
    <t>+7 (8362) 76-48-10</t>
  </si>
  <si>
    <t>http://lazerwood.ru/</t>
  </si>
  <si>
    <t>Лазерная резка и гравировка</t>
  </si>
  <si>
    <t>СтройЭксперт12</t>
  </si>
  <si>
    <t>Строительная экспертиза и технадзор</t>
  </si>
  <si>
    <t>Партнеры</t>
  </si>
  <si>
    <t>+7 (8362) 76-16-06</t>
  </si>
  <si>
    <t>47.838357 56.641548</t>
  </si>
  <si>
    <t>Оптима-Фарм</t>
  </si>
  <si>
    <t>Студия-экспресс</t>
  </si>
  <si>
    <t>47.864125 56.648031</t>
  </si>
  <si>
    <t>47.928025 56.627698</t>
  </si>
  <si>
    <t>Serge</t>
  </si>
  <si>
    <t>+7 (917) 703-55-76</t>
  </si>
  <si>
    <t>47.892578 56.638692</t>
  </si>
  <si>
    <t>Festa d' Amore</t>
  </si>
  <si>
    <t>https://www.facebook.com/festaamore17</t>
  </si>
  <si>
    <t>47.914688 56.630885</t>
  </si>
  <si>
    <t>Парус Плюс</t>
  </si>
  <si>
    <t>http://parus-plyus.tiu.ru/</t>
  </si>
  <si>
    <t>47.897951 56.615988</t>
  </si>
  <si>
    <t>Сияние жизни</t>
  </si>
  <si>
    <t>47.889052 56.648956</t>
  </si>
  <si>
    <t>+7 (8362) 34-15-30, +7 (8362) 34-31-14</t>
  </si>
  <si>
    <t xml:space="preserve">uk.komfort12@yandex.ru, info@ukkomfort12.ru  </t>
  </si>
  <si>
    <t>http://ukkomfort12.ru/</t>
  </si>
  <si>
    <t>Коммунальная служба, Управление недвижимостью</t>
  </si>
  <si>
    <t>47.902503 56.641243</t>
  </si>
  <si>
    <t>Посуда</t>
  </si>
  <si>
    <t>47.90233 56.639499</t>
  </si>
  <si>
    <t>47.84067 56.635252</t>
  </si>
  <si>
    <t>Музей выпускников ПГТУ</t>
  </si>
  <si>
    <t>47.894624 56.631645</t>
  </si>
  <si>
    <t>Business line</t>
  </si>
  <si>
    <t>47.929104 56.62795</t>
  </si>
  <si>
    <t>Магазин сувениров</t>
  </si>
  <si>
    <t>Марийский государственный университет, корпус Б</t>
  </si>
  <si>
    <t>+7 (8362) 68-79-00, +7 (8362) 68-79-46</t>
  </si>
  <si>
    <t>47.878511 56.643066</t>
  </si>
  <si>
    <t>ГК Дружба</t>
  </si>
  <si>
    <t>47.846349 56.660839</t>
  </si>
  <si>
    <t>Школа танцев Воображение</t>
  </si>
  <si>
    <t>+7 (927) 880-55-58</t>
  </si>
  <si>
    <t>пн,вт,чт 17:00–21:00</t>
  </si>
  <si>
    <t>Фотостудия Podium</t>
  </si>
  <si>
    <t>+7 (987) 727-67-21</t>
  </si>
  <si>
    <t>http://podiumfoto.ru/</t>
  </si>
  <si>
    <t>Аренда фотостудий, Фотоуслуги, Фотошкола</t>
  </si>
  <si>
    <t>https://vk.com/podiumfoto</t>
  </si>
  <si>
    <t>https://www.instagram.com/podiumfoto/</t>
  </si>
  <si>
    <t>Инфо-Контроль</t>
  </si>
  <si>
    <t>8 (800) 700-02-59, +7 (8362) 48-88-08</t>
  </si>
  <si>
    <t>+7 (964) 864-19-00, +7 (967) 758-88-08, +7 (960) 098-10-48</t>
  </si>
  <si>
    <t xml:space="preserve">info@ic-company.ru, pr@ic-company.ru  </t>
  </si>
  <si>
    <t>https://ic-company.ru/, https://инфо-контроль.рф/</t>
  </si>
  <si>
    <t>Автомобильные тахографы, Контрольно-измерительные приборы, Мониторинг автотранспорта</t>
  </si>
  <si>
    <t>https://vk.com/iccompany</t>
  </si>
  <si>
    <t>https://ok.ru/group/57447759085808</t>
  </si>
  <si>
    <t>https://twitter.com/iccompany_news</t>
  </si>
  <si>
    <t>https://www.facebook.com/infocontrol.tk/</t>
  </si>
  <si>
    <t>https://www.instagram.com/infocontrol.tk/</t>
  </si>
  <si>
    <t>47.908639 56.643883</t>
  </si>
  <si>
    <t>Молодежка</t>
  </si>
  <si>
    <t>ул. Строителей, 25Г, Йошкар-Ола</t>
  </si>
  <si>
    <t>Магазин продуктов, Магазин табака и курительных принадлежностей</t>
  </si>
  <si>
    <t>47.840099 56.632968</t>
  </si>
  <si>
    <t>47.893655 56.632967</t>
  </si>
  <si>
    <t>ИП Инягин О. Ю.</t>
  </si>
  <si>
    <t>Соффитто12</t>
  </si>
  <si>
    <t>+7 (8362) 51-06-00</t>
  </si>
  <si>
    <t>+7 (964) 861-06-00</t>
  </si>
  <si>
    <t>https://vk.com/soffitto12</t>
  </si>
  <si>
    <t>КофеОфис</t>
  </si>
  <si>
    <t>+7 (964) 862-33-33</t>
  </si>
  <si>
    <t>Кондитерская, Кофейня</t>
  </si>
  <si>
    <t>47.886935 56.638804</t>
  </si>
  <si>
    <t>Текстиль Уют</t>
  </si>
  <si>
    <t>47.92439 56.641368</t>
  </si>
  <si>
    <t>47.894231 56.640318</t>
  </si>
  <si>
    <t>47.903583 56.644459</t>
  </si>
  <si>
    <t>Путь преодоления</t>
  </si>
  <si>
    <t>ул. Подольских Курсантов, 1, Йошкар-Ола</t>
  </si>
  <si>
    <t>47.872731 56.650493</t>
  </si>
  <si>
    <t>Лаборатория прозрачных фар</t>
  </si>
  <si>
    <t>+7 (927) 888-01-33</t>
  </si>
  <si>
    <t xml:space="preserve">info@farlab.ru, farlab@bonplan.ru  </t>
  </si>
  <si>
    <t>https://farlab.ru/</t>
  </si>
  <si>
    <t>Автокосметика, автохимия, Автосвет, Детейлинг</t>
  </si>
  <si>
    <t>https://www.instagram.com/farlab.ru/</t>
  </si>
  <si>
    <t>47.876755 56.640006</t>
  </si>
  <si>
    <t>ул. Лермонтова, 35, Йошкар-Ола</t>
  </si>
  <si>
    <t>47.863633 56.625802</t>
  </si>
  <si>
    <t>47.917058 56.630031</t>
  </si>
  <si>
    <t>Мамы и Дети</t>
  </si>
  <si>
    <t>Парадис</t>
  </si>
  <si>
    <t>+7 (8362) 43-66-66</t>
  </si>
  <si>
    <t>+7 (964) 863-66-66</t>
  </si>
  <si>
    <t xml:space="preserve">xjohnx@yandex.ru </t>
  </si>
  <si>
    <t>http://vk.com/id301707060</t>
  </si>
  <si>
    <t>47.893134 56.621355</t>
  </si>
  <si>
    <t>Миледи</t>
  </si>
  <si>
    <t>47.833165 56.63672</t>
  </si>
  <si>
    <t>ул. Соловьёва, 44, корп. 1, Йошкар-Ола</t>
  </si>
  <si>
    <t>+7 (8362) 96-90-00</t>
  </si>
  <si>
    <t>пн-пт 08:00–17:30; сб 08:00–14:00</t>
  </si>
  <si>
    <t>47.866802 56.627753</t>
  </si>
  <si>
    <t>Тайгер</t>
  </si>
  <si>
    <t>47.827099 56.621482</t>
  </si>
  <si>
    <t>Красноармейская ул., 118А/1, Йошкар-Ола</t>
  </si>
  <si>
    <t>Justflip</t>
  </si>
  <si>
    <t>http://justflip.me/</t>
  </si>
  <si>
    <t>47.888027 56.63506</t>
  </si>
  <si>
    <t>Бытовые Услуги</t>
  </si>
  <si>
    <t>ул. Волкова, 69, Йошкар-Ола</t>
  </si>
  <si>
    <t>+7 (967) 758-88-69</t>
  </si>
  <si>
    <t>47.901935 56.644426</t>
  </si>
  <si>
    <t>Йошкар-олинская детская городская больница имени Л. И. Соколовой</t>
  </si>
  <si>
    <t>47.897341 56.641612</t>
  </si>
  <si>
    <t>Estet</t>
  </si>
  <si>
    <t>+7 (8362) 95-90-00</t>
  </si>
  <si>
    <t>+7 (927) 888-08-01</t>
  </si>
  <si>
    <t xml:space="preserve">main@estetdveri.ru  </t>
  </si>
  <si>
    <t>https://estetdveri.ru/, https://estetdoors.com/</t>
  </si>
  <si>
    <t>47.923616 56.640465</t>
  </si>
  <si>
    <t>Автокомплекс 44</t>
  </si>
  <si>
    <t>+7 (8362) 44-06-44</t>
  </si>
  <si>
    <t>+7 (967) 757-35-35, +7 (902) 744-06-44</t>
  </si>
  <si>
    <t>https://avto44.pro/</t>
  </si>
  <si>
    <t>Автосервис, автотехцентр, Магазин автозапчастей и автотоваров, Шиномонтаж</t>
  </si>
  <si>
    <t>https://vk.com/autocomplex44</t>
  </si>
  <si>
    <t>https://instagram.com/avtokompleks44?igshid=1bdfu7va1..</t>
  </si>
  <si>
    <t>47.913535 56.642704</t>
  </si>
  <si>
    <t>Автостройтрейд</t>
  </si>
  <si>
    <t>47.893911 56.6136</t>
  </si>
  <si>
    <t>NewBody</t>
  </si>
  <si>
    <t>Счастье</t>
  </si>
  <si>
    <t>+7 (8362) 23-29-90, +7 (8362) 23-28-80</t>
  </si>
  <si>
    <t>+7 (903) 326-37-66</t>
  </si>
  <si>
    <t xml:space="preserve">mail@happy12.ru, doclukianova@gmail.com  </t>
  </si>
  <si>
    <t>http://happy12.ru/</t>
  </si>
  <si>
    <t>Гинекологическая клиника, Массажный салон, Медцентр, клиника</t>
  </si>
  <si>
    <t>https://vk.com/happy12ru</t>
  </si>
  <si>
    <t>https://www.instagram.com/medcentr_schastie/</t>
  </si>
  <si>
    <t>47.906156 56.630063</t>
  </si>
  <si>
    <t>Компьютерные кресла</t>
  </si>
  <si>
    <t>+7 (908) 304-17-45</t>
  </si>
  <si>
    <t>https://vk.com/kresla12</t>
  </si>
  <si>
    <t>47.90081 56.633873</t>
  </si>
  <si>
    <t>+7 (8362) 99-58-26</t>
  </si>
  <si>
    <t>+7 (987) 730-51-91, +7 (902) 329-58-26</t>
  </si>
  <si>
    <t>МастерПол12</t>
  </si>
  <si>
    <t>https://masterpol12.ru/</t>
  </si>
  <si>
    <t>Напольные покрытия, Строительное оборудование и техника, Строительные и отделочные работы</t>
  </si>
  <si>
    <t>Нужноденьги</t>
  </si>
  <si>
    <t>8 (800) 600-87-88</t>
  </si>
  <si>
    <t xml:space="preserve">support@nyzhnodengi.ru  </t>
  </si>
  <si>
    <t>http://nyzhnodengi.ru/</t>
  </si>
  <si>
    <t>Антиквар12</t>
  </si>
  <si>
    <t>+7 (917) 703-08-98</t>
  </si>
  <si>
    <t>https://vk.com/antikvar_12</t>
  </si>
  <si>
    <t>47.887975 56.632969</t>
  </si>
  <si>
    <t>ТСЖ Труда</t>
  </si>
  <si>
    <t>ул. Труда, 24А, Йошкар-Ола</t>
  </si>
  <si>
    <t>+7 (917) 708-17-24</t>
  </si>
  <si>
    <t>47.858376 56.657297</t>
  </si>
  <si>
    <t>Домоуправление № 20</t>
  </si>
  <si>
    <t>+7 (8362) 74-13-81</t>
  </si>
  <si>
    <t>Буковки</t>
  </si>
  <si>
    <t>+7 (8362) 45-74-11, +7 (8362) 32-85-82</t>
  </si>
  <si>
    <t xml:space="preserve">mail@bukovkino.ru  </t>
  </si>
  <si>
    <t>https://bukovkino.ru/</t>
  </si>
  <si>
    <t>Лазерная резка и гравировка, Наружная реклама, Широкоформатная печать</t>
  </si>
  <si>
    <t>https://vk.com/bukovkino</t>
  </si>
  <si>
    <t>47.84916 56.633981</t>
  </si>
  <si>
    <t>Россия, Республика Марий Эл, Йошкар-Ола, микрорайон Молодёжный</t>
  </si>
  <si>
    <t>47.92245 56.640478</t>
  </si>
  <si>
    <t>Услуги компрессора</t>
  </si>
  <si>
    <t>+7 (8362) 77-90-00</t>
  </si>
  <si>
    <t>Дилерский сервис</t>
  </si>
  <si>
    <t>http://www.ford12.ru/</t>
  </si>
  <si>
    <t>пн-пт 08:00–21:00; сб 08:00–18:00; вс 08:00–17:00</t>
  </si>
  <si>
    <t>47.881227 56.606925</t>
  </si>
  <si>
    <t>Флеболог Михаил Ларионов, Йошкар-Ола</t>
  </si>
  <si>
    <t>+7 (917) 257-02-05</t>
  </si>
  <si>
    <t xml:space="preserve">larionov358@yandex.ru  </t>
  </si>
  <si>
    <t>https://yoshkar-ola.phlebolog-kazan.ru/</t>
  </si>
  <si>
    <t>Медцентр, клиника, Частнопрактикующие врачи</t>
  </si>
  <si>
    <t>пн-пт 07:30–20:00; сб,вс 08:00–16:00</t>
  </si>
  <si>
    <t>https://vk.com/phlebolog_kazan</t>
  </si>
  <si>
    <t>Богатырь</t>
  </si>
  <si>
    <t>47.92147 56.628658</t>
  </si>
  <si>
    <t>47.879365 56.641432</t>
  </si>
  <si>
    <t>Сателлит</t>
  </si>
  <si>
    <t>+7 (8362) 33-11-33, +7 (8362) 33-12-33</t>
  </si>
  <si>
    <t>http://satellit012.ru/</t>
  </si>
  <si>
    <t>Федерация Айкидо Республики Марий эл Фудесинкай</t>
  </si>
  <si>
    <t>+7 (8362) 96-05-37</t>
  </si>
  <si>
    <t xml:space="preserve">zagainov-igor@nm.ru </t>
  </si>
  <si>
    <t>47.8364 56.6338</t>
  </si>
  <si>
    <t>Семол</t>
  </si>
  <si>
    <t>Булочная, пекарня, Молочный магазин</t>
  </si>
  <si>
    <t>47.833824 56.637231</t>
  </si>
  <si>
    <t>47.910479 56.632628</t>
  </si>
  <si>
    <t>Timberland</t>
  </si>
  <si>
    <t>47.887989 56.631752</t>
  </si>
  <si>
    <t>Мерида</t>
  </si>
  <si>
    <t>+7 (8362) 21-43-33, +7 (8362) 32-56-11</t>
  </si>
  <si>
    <t>Стройсантехмонтаж</t>
  </si>
  <si>
    <t>+7 (8362) 23-04-30</t>
  </si>
  <si>
    <t>Кондиционеры, Магазин сантехники</t>
  </si>
  <si>
    <t>Натяжные потолки Репа</t>
  </si>
  <si>
    <t>+7 (995) 496-93-30</t>
  </si>
  <si>
    <t>Детство</t>
  </si>
  <si>
    <t>47.87057 56.643714</t>
  </si>
  <si>
    <t>Первая Ремонтная Компания</t>
  </si>
  <si>
    <t>+7 (927) 880-08-81</t>
  </si>
  <si>
    <t xml:space="preserve">repairrk@mail.ru, komarik.olya92@gmail.com  </t>
  </si>
  <si>
    <t>http://prk12.ru/</t>
  </si>
  <si>
    <t>пн-сб 09:00–19:00; вс 11:00–15:00</t>
  </si>
  <si>
    <t>https://www.instagram.com/repair.rk/</t>
  </si>
  <si>
    <t>Россия, Республика Марий Эл, Йошкар-Ола, улица Галавтеева</t>
  </si>
  <si>
    <t>47.973378 56.61664</t>
  </si>
  <si>
    <t>ИП Гусаков М. Н.</t>
  </si>
  <si>
    <t>47.907679 56.631215</t>
  </si>
  <si>
    <t>Йошкар-Олинское предприятие Элмет</t>
  </si>
  <si>
    <t>+7 (8362) 46-10-81, +7 (8362) 46-13-00, +7 (8362) 46-13-12, +7 (8362) 46-13-10, +7 (8362) 46-08-30, +7 (8362) 72-13-00, +7 (8362) 46-10-61, +7 (8362) 46-14-22</t>
  </si>
  <si>
    <t>+7 (8362) 72-13-00</t>
  </si>
  <si>
    <t>Магазин хозтоваров и бытовой химии, Машиностроительный завод, Металлоизделия, Электротехническая продукция</t>
  </si>
  <si>
    <t>47.88938 56.646048</t>
  </si>
  <si>
    <t>Заречная</t>
  </si>
  <si>
    <t>47.924904 56.63416</t>
  </si>
  <si>
    <t>Ритм</t>
  </si>
  <si>
    <t>+7 (937) 371-27-06</t>
  </si>
  <si>
    <t>7Key</t>
  </si>
  <si>
    <t>+7 (8362) 27-57-57</t>
  </si>
  <si>
    <t>+7 (999) 609-33-19</t>
  </si>
  <si>
    <t>https://vk.com/7key12#wall</t>
  </si>
  <si>
    <t>47.917565 56.639251</t>
  </si>
  <si>
    <t>47.893599 56.632656</t>
  </si>
  <si>
    <t>Вятка</t>
  </si>
  <si>
    <t>47.915686 56.643626</t>
  </si>
  <si>
    <t>Дизайн Мебель</t>
  </si>
  <si>
    <t>+7 (8362) 77-09-09, +7 (8362) 77-30-33</t>
  </si>
  <si>
    <t xml:space="preserve">14370afcdc17429f9e418d5ffbd0334a@sentry.wixpress.com, dm-mebel12@mail.ru, wixofday@wix.com  </t>
  </si>
  <si>
    <t>https://www.mebeldm12.com/</t>
  </si>
  <si>
    <t>http://vk.com/mebeldm12</t>
  </si>
  <si>
    <t>https://www.instagram.com/mebeldm12/</t>
  </si>
  <si>
    <t>47.881301 56.637986</t>
  </si>
  <si>
    <t>Yolka</t>
  </si>
  <si>
    <t xml:space="preserve">asagitov@essen-group.ru, mnoskoff@mail.ru, trcyolka@mail.ru  </t>
  </si>
  <si>
    <t>Магазин одежды, Магазин продуктов, Торговый центр</t>
  </si>
  <si>
    <t>http://vk.com/trc12</t>
  </si>
  <si>
    <t>Интердизайн</t>
  </si>
  <si>
    <t>8 (800) 500-67-56, +7 (8362) 45-34-37, +7 (8362) 42-97-55</t>
  </si>
  <si>
    <t xml:space="preserve">office@id-mebel.ru  </t>
  </si>
  <si>
    <t>https://id-mebel.ru/, https://id-mebel.ru/shops-and-offices/mts-mebelgrad--store-id-5b21288d1fa5e.html</t>
  </si>
  <si>
    <t>пн-пт 09:30–18:30; сб,вс 09:30–16:30</t>
  </si>
  <si>
    <t>https://vk.com/id_mebel</t>
  </si>
  <si>
    <t>https://ok.ru/group/53793517273248</t>
  </si>
  <si>
    <t>https://www.facebook.com/idmebel.ru</t>
  </si>
  <si>
    <t>https://www.youtube.com/channel/UCDTqBHLvB4Mimmsrpvhartw</t>
  </si>
  <si>
    <t>http://instagram.com/interdesign_ru</t>
  </si>
  <si>
    <t>47.947033 56.626478</t>
  </si>
  <si>
    <t>47.963553 56.638685</t>
  </si>
  <si>
    <t>Розовый фламинго</t>
  </si>
  <si>
    <t>+7 (8362) 33-22-40</t>
  </si>
  <si>
    <t>Детский сад, Клуб для детей и подростков, Курсы иностранных языков, Спортивный клуб, секция, Центр развития ребенка</t>
  </si>
  <si>
    <t>47.842162 56.641873</t>
  </si>
  <si>
    <t>Шаурман</t>
  </si>
  <si>
    <t>+7 (987) 729-55-40</t>
  </si>
  <si>
    <t>47.829753 56.639705</t>
  </si>
  <si>
    <t>Гринu0026фреш</t>
  </si>
  <si>
    <t>47.876683 56.645024</t>
  </si>
  <si>
    <t>Астра-Сервис</t>
  </si>
  <si>
    <t>+7 (8362) 47-03-03, +7 (8362) 64-19-00</t>
  </si>
  <si>
    <t>47.899125 56.634241</t>
  </si>
  <si>
    <t>АвтоЭксперт</t>
  </si>
  <si>
    <t>ул. Карла Маркса, 137, корп. 3, Йошкар-Ола</t>
  </si>
  <si>
    <t>+7 (8362) 37-00-38</t>
  </si>
  <si>
    <t>Автосервис, автотехцентр, Кузовной ремонт, Ремонт АКПП, Ремонт двигателей, Студия автотюнинга</t>
  </si>
  <si>
    <t>Мегамакс</t>
  </si>
  <si>
    <t>8 (800) 707-84-54, +7 (8362) 36-30-60</t>
  </si>
  <si>
    <t>+7 (960) 096-06-40, +7 (960) 098-20-44</t>
  </si>
  <si>
    <t>http://megamax12.ru/</t>
  </si>
  <si>
    <t>47.83008 56.6296</t>
  </si>
  <si>
    <t>Галя</t>
  </si>
  <si>
    <t>Поиск</t>
  </si>
  <si>
    <t>+7 (927) 879-30-00</t>
  </si>
  <si>
    <t xml:space="preserve">3anpfpoisk@mail.ru, npfpoisk@mail.ru, skbpoisk.sibagatullin@yandex.ru  </t>
  </si>
  <si>
    <t>http://npfpoisk.ru/</t>
  </si>
  <si>
    <t>Фасовочно-упаковочное оборудование</t>
  </si>
  <si>
    <t>Вертэкс</t>
  </si>
  <si>
    <t>+7 (8362) 36-08-28</t>
  </si>
  <si>
    <t>+7 (967) 756-08-28</t>
  </si>
  <si>
    <t xml:space="preserve">tbv1@yandex.ru, profarenda_com@mail.ru  </t>
  </si>
  <si>
    <t>http://profarenda.com/</t>
  </si>
  <si>
    <t>Россия, Республика Марий Эл, Йошкар-Ола, сквер имени Йывана Кырли</t>
  </si>
  <si>
    <t>47.842165 56.64114</t>
  </si>
  <si>
    <t>МДМ Банк</t>
  </si>
  <si>
    <t>47.880159 56.641988</t>
  </si>
  <si>
    <t>Метма</t>
  </si>
  <si>
    <t>+7 (8362) 49-55-50</t>
  </si>
  <si>
    <t xml:space="preserve">pm@metma12.ru  </t>
  </si>
  <si>
    <t>http://metma12.ru/</t>
  </si>
  <si>
    <t>Металлургическое предприятие, Производственное предприятие, Промышленная химия</t>
  </si>
  <si>
    <t>47.82559 56.620622</t>
  </si>
  <si>
    <t>Формула Уюта</t>
  </si>
  <si>
    <t>+7 (8362) 50-30-60, +7 (8362) 50-30-70, +7 (8362) 41-25-35</t>
  </si>
  <si>
    <t>Автоматические двери и ворота, Комплектующие для окон, Окна, Остекление балконов и лоджий, Фасады и фасадные системы</t>
  </si>
  <si>
    <t>47.898387 56.636852</t>
  </si>
  <si>
    <t>бул. Победы, 36, Йошкар-Ола</t>
  </si>
  <si>
    <t>+7 (927) 870-01-91</t>
  </si>
  <si>
    <t>47.873018 56.639654</t>
  </si>
  <si>
    <t>Жасмин</t>
  </si>
  <si>
    <t>Sander s</t>
  </si>
  <si>
    <t>47.892773 56.638727</t>
  </si>
  <si>
    <t>+7 (8362) 20-10-58, +7 (8362) 25-38-10</t>
  </si>
  <si>
    <t>Made With Love</t>
  </si>
  <si>
    <t>+7 (937) 113-87-65</t>
  </si>
  <si>
    <t>ГБУ РМЭ Республиканский кожно-венерологический диспансер, лечебно-косметологическое отделение</t>
  </si>
  <si>
    <t>Ленинский просп., 23, Йошкар-Ола</t>
  </si>
  <si>
    <t>+7 (8362) 45-39-21, +7 (8362) 41-96-83</t>
  </si>
  <si>
    <t>47.889547 56.630367</t>
  </si>
  <si>
    <t>LoveLand</t>
  </si>
  <si>
    <t>+7 (987) 700-86-46</t>
  </si>
  <si>
    <t>Служба знакомств</t>
  </si>
  <si>
    <t>Ингосстрах, офис урегулирования убытков</t>
  </si>
  <si>
    <t>+7 (8362) 42-94-39</t>
  </si>
  <si>
    <t xml:space="preserve">www@ingos.ru, ingos@ingos.ru, ipoteka@ingos.ru, online-ipoteka@ingos.ru, ipoteka@nsk.ingos.ru  </t>
  </si>
  <si>
    <t>https://www.ingos.ru/, https://www.ingos.ru/auto/kasko/, https://www.ingos.ru/auto/osago/, https://www.ingos.ru/health_life/dms/, https://www.ingos.ru/mortgage/, https://www.ingos.ru/office/detail/?id=5755714803, https://www.ingos.ru/property/flat/, https://www.ingos.ru/property/house/, https://www.ingos.ru/travel/abroad/</t>
  </si>
  <si>
    <t>https://vk.com/ingos9565555</t>
  </si>
  <si>
    <t>Мастерская по ремонту обуви на улице Строителей, 34в к 5</t>
  </si>
  <si>
    <t>Усадьба Чулкова. Дом главный, 1910 г.</t>
  </si>
  <si>
    <t>Достопримечательность, Музей</t>
  </si>
  <si>
    <t>47.902521 56.638124</t>
  </si>
  <si>
    <t>Дворец культуры Российской армии</t>
  </si>
  <si>
    <t>47.947735 56.624391</t>
  </si>
  <si>
    <t>Центр переработки катализаторов</t>
  </si>
  <si>
    <t>+7 (982) 792-47-40, +7 (912) 015-23-32</t>
  </si>
  <si>
    <t>https://vk.com/katalizator12</t>
  </si>
  <si>
    <t>Автостарт</t>
  </si>
  <si>
    <t>+7 (8362) 61-90-90</t>
  </si>
  <si>
    <t>Автоаксессуары, Автокосметика, автохимия, Автосервис, автотехцентр, Магазин автозапчастей и автотоваров, Шины и диски</t>
  </si>
  <si>
    <t>+7 (8362) 38-00-19</t>
  </si>
  <si>
    <t>Кафе, Магазин продуктов</t>
  </si>
  <si>
    <t>https://vk.com/club78202568</t>
  </si>
  <si>
    <t>47.929222 56.627527</t>
  </si>
  <si>
    <t>Диссея</t>
  </si>
  <si>
    <t>+7 (8362) 38-03-00, +7 (8362) 38-48-08</t>
  </si>
  <si>
    <t>47.885486 56.635229</t>
  </si>
  <si>
    <t>Алкор-пак</t>
  </si>
  <si>
    <t>47.864499 56.646786</t>
  </si>
  <si>
    <t>Раскупайка</t>
  </si>
  <si>
    <t>+7 (8362) 41-27-84, +7 (8362) 98-71-90</t>
  </si>
  <si>
    <t>Оптовый магазин, Товары для дома</t>
  </si>
  <si>
    <t>пн-сб 07:30–19:30; вс 07:30–18:00</t>
  </si>
  <si>
    <t>47.831364 56.639929</t>
  </si>
  <si>
    <t>ОхотАктив</t>
  </si>
  <si>
    <t>8 (800) 700-82-56, +7 (8362) 30-40-24</t>
  </si>
  <si>
    <t xml:space="preserve">info@ohotaktiv.ru  </t>
  </si>
  <si>
    <t>http://ohotaktiv.ru/</t>
  </si>
  <si>
    <t>Оружие и средства самозащиты, Товары для охоты</t>
  </si>
  <si>
    <t>https://vk.com/ohotaktiv</t>
  </si>
  <si>
    <t>https://www.facebook.com/ohotaktiv</t>
  </si>
  <si>
    <t>https://www.instagram.com/ohotaktiv/</t>
  </si>
  <si>
    <t>47.859307 56.639719</t>
  </si>
  <si>
    <t>НДТ Экология</t>
  </si>
  <si>
    <t>+7 (8362) 36-14-80</t>
  </si>
  <si>
    <t xml:space="preserve">info@ndteco.ru  </t>
  </si>
  <si>
    <t>http://ndteco.ru/</t>
  </si>
  <si>
    <t>Россия, Республика Марий Эл, Йошкар-Ола, улица Панфилова</t>
  </si>
  <si>
    <t>47.885683 56.622367</t>
  </si>
  <si>
    <t>ЭкономЪ</t>
  </si>
  <si>
    <t>47.884214 56.616128</t>
  </si>
  <si>
    <t>http://slaviabag.ru/</t>
  </si>
  <si>
    <t>Дом по ул. Петрова, 30</t>
  </si>
  <si>
    <t>47.92601 56.641499</t>
  </si>
  <si>
    <t>Катунет</t>
  </si>
  <si>
    <t>+7 (902) 124-77-55</t>
  </si>
  <si>
    <t>http://katunet.ru/</t>
  </si>
  <si>
    <t>47.91785 56.627479</t>
  </si>
  <si>
    <t>Автокосметика, автохимия, Магазин автозапчастей и автотоваров, Шины и диски</t>
  </si>
  <si>
    <t>47.832205 56.642803</t>
  </si>
  <si>
    <t>Евелена</t>
  </si>
  <si>
    <t>47.892456 56.629787</t>
  </si>
  <si>
    <t>Юниармс</t>
  </si>
  <si>
    <t>+7 (987) 731-26-58</t>
  </si>
  <si>
    <t xml:space="preserve">support@uniarms.ru  </t>
  </si>
  <si>
    <t>https://www.uniarms.ru/</t>
  </si>
  <si>
    <t>Производственное предприятие, Трикотаж, трикотажные изделия</t>
  </si>
  <si>
    <t>пн-пт 10:00–18:00; вс 10:00–18:00, перерыв 13:00–14:00</t>
  </si>
  <si>
    <t>UverWood</t>
  </si>
  <si>
    <t>+7 (917) 700-02-03</t>
  </si>
  <si>
    <t xml:space="preserve">uver12@mail.ru  </t>
  </si>
  <si>
    <t>http://uverwood.ru/</t>
  </si>
  <si>
    <t>Металлическая мебель</t>
  </si>
  <si>
    <t>47.860914 56.641193</t>
  </si>
  <si>
    <t>http://slavica.ru/</t>
  </si>
  <si>
    <t>47.827557 56.634625</t>
  </si>
  <si>
    <t>Печати и Штампы</t>
  </si>
  <si>
    <t>47.841424 56.630951</t>
  </si>
  <si>
    <t>ул. Шевцовой, 54В, Йошкар-Ола</t>
  </si>
  <si>
    <t xml:space="preserve">str-dveri@mail.ru </t>
  </si>
  <si>
    <t>47.935309 56.63454</t>
  </si>
  <si>
    <t>47.917281 56.639333</t>
  </si>
  <si>
    <t>Федеральная управляющая компания</t>
  </si>
  <si>
    <t>+7 (8362) 93-50-48</t>
  </si>
  <si>
    <t>47.883269 56.633508</t>
  </si>
  <si>
    <t>+7 (987) 939-54-53</t>
  </si>
  <si>
    <t>47.843636 56.641092</t>
  </si>
  <si>
    <t>47.86392 56.641964</t>
  </si>
  <si>
    <t>50 Оттенков</t>
  </si>
  <si>
    <t>+7 (8362) 32-00-31</t>
  </si>
  <si>
    <t>https://www.instagram.com/salonkrasoty50</t>
  </si>
  <si>
    <t>+7 (8362) 30-45-85</t>
  </si>
  <si>
    <t xml:space="preserve">yola@center-door.ru  </t>
  </si>
  <si>
    <t>Информатика</t>
  </si>
  <si>
    <t>47.893013 56.631097</t>
  </si>
  <si>
    <t>Россия, Республика Марий Эл, Йошкар-Ола, микрорайон Мышино</t>
  </si>
  <si>
    <t>47.831142 56.655826</t>
  </si>
  <si>
    <t>Никитин</t>
  </si>
  <si>
    <t>8 (800) 600-90-37, +7 (8362) 50-37-50</t>
  </si>
  <si>
    <t>+7 (964) 860-37-50</t>
  </si>
  <si>
    <t xml:space="preserve">hotelnikitin@mail.ru  </t>
  </si>
  <si>
    <t>http://nikitinhotel.ru/</t>
  </si>
  <si>
    <t>47.872235 56.639208</t>
  </si>
  <si>
    <t>МегаСад</t>
  </si>
  <si>
    <t>ул. Кирова, 12А, Йошкар-Ола</t>
  </si>
  <si>
    <t>+7 (8362) 38-65-65, +7 (8362) 38-65-67</t>
  </si>
  <si>
    <t>+7 (917) 700-32-53, +7 (917) 070-37-22</t>
  </si>
  <si>
    <t xml:space="preserve">opt1@megastroy-5.ru  </t>
  </si>
  <si>
    <t>http://megastroy.com/</t>
  </si>
  <si>
    <t>Магазин для садоводов, Магазин цветов, Садовый центр</t>
  </si>
  <si>
    <t>47.931744 56.632091</t>
  </si>
  <si>
    <t>ПрофСтройПанель</t>
  </si>
  <si>
    <t>+7 (8362) 29-48-54</t>
  </si>
  <si>
    <t xml:space="preserve">pspanel2008@gmail.com  </t>
  </si>
  <si>
    <t>http://sendvich.denlam.ru/</t>
  </si>
  <si>
    <t>Металлопрокат, Строительный магазин, Стройматериалы оптом, Фасады и фасадные системы</t>
  </si>
  <si>
    <t>Русский танец</t>
  </si>
  <si>
    <t>Магазин автозапчастей Фарос</t>
  </si>
  <si>
    <t>+7 (8362) 64-97-01</t>
  </si>
  <si>
    <t>47.932422 56.64408</t>
  </si>
  <si>
    <t>Cosmos</t>
  </si>
  <si>
    <t>Йошкар-Олинская ул., 76, Зеленодольск</t>
  </si>
  <si>
    <t>+7 (927) 887-88-77</t>
  </si>
  <si>
    <t>Fashion kids</t>
  </si>
  <si>
    <t>Склад Канцелярская компания</t>
  </si>
  <si>
    <t>47.878687 56.606279</t>
  </si>
  <si>
    <t>Студия Бардоновой</t>
  </si>
  <si>
    <t>+7 (927) 884-20-59</t>
  </si>
  <si>
    <t>Салон бровей и ресниц</t>
  </si>
  <si>
    <t>https://vk.com/id154842625</t>
  </si>
  <si>
    <t>47.917742 56.641286</t>
  </si>
  <si>
    <t>Студия Дарьи Гулиной</t>
  </si>
  <si>
    <t>+7 (929) 734-63-78</t>
  </si>
  <si>
    <t>Обучение мастеров для салонов красоты, Салон красоты</t>
  </si>
  <si>
    <t>пн-сб 09:00–21:00; вс 10:00–17:00</t>
  </si>
  <si>
    <t>https://vk.com/darya_gulina_studio</t>
  </si>
  <si>
    <t>https://instagram.com/darya_gulina_studio</t>
  </si>
  <si>
    <t>47.895092 56.646912</t>
  </si>
  <si>
    <t>Фаворитстрой</t>
  </si>
  <si>
    <t>47.880727 56.636816</t>
  </si>
  <si>
    <t>Компания Вита</t>
  </si>
  <si>
    <t>Складская ул., 20А, корп. 1, Йошкар-Ола</t>
  </si>
  <si>
    <t>47.897639 56.616336</t>
  </si>
  <si>
    <t>Вторчермет НЛМК Республика</t>
  </si>
  <si>
    <t>+7 (8362) 31-20-20, +7 (8362) 41-74-54</t>
  </si>
  <si>
    <t>http://uvchm.ru/</t>
  </si>
  <si>
    <t>Стекольный цех</t>
  </si>
  <si>
    <t>47.952239 56.648369</t>
  </si>
  <si>
    <t>Мари-Пицца</t>
  </si>
  <si>
    <t>+7 (8362) 70-88-08, +7 (8362) 26-60-50</t>
  </si>
  <si>
    <t>http://maripizza.ru/</t>
  </si>
  <si>
    <t>ежедневно, 09:30–23:00</t>
  </si>
  <si>
    <t>Аксиом</t>
  </si>
  <si>
    <t>http://axidom.ru/</t>
  </si>
  <si>
    <t>47.917709 56.641189</t>
  </si>
  <si>
    <t>Твой стиль</t>
  </si>
  <si>
    <t>+7 (987) 716-31-13</t>
  </si>
  <si>
    <t>47.84498 56.636283</t>
  </si>
  <si>
    <t>Стиль Нейл</t>
  </si>
  <si>
    <t>+7 (8362) 39-50-10</t>
  </si>
  <si>
    <t>https://vk.com/club76217696</t>
  </si>
  <si>
    <t>47.879819 56.633131</t>
  </si>
  <si>
    <t>Марийское зеркало</t>
  </si>
  <si>
    <t>ул. Соловьёва, 50, Йошкар-Ола</t>
  </si>
  <si>
    <t>Стекло, стекольная продукция</t>
  </si>
  <si>
    <t>47.865459 56.627782</t>
  </si>
  <si>
    <t>Цена красна</t>
  </si>
  <si>
    <t>47.843659 56.630813</t>
  </si>
  <si>
    <t>47.868472 56.64575</t>
  </si>
  <si>
    <t>Пульты</t>
  </si>
  <si>
    <t>47.918872 56.630841</t>
  </si>
  <si>
    <t>Дымъ</t>
  </si>
  <si>
    <t>https://instagram.com/dym_hookah_yo</t>
  </si>
  <si>
    <t>47.89721 56.635169</t>
  </si>
  <si>
    <t>https://vk.com/sapfirgold</t>
  </si>
  <si>
    <t>СТС</t>
  </si>
  <si>
    <t>+7 (8362) 45-66-61, +7 (8362) 45-72-81, +7 (8362) 41-38-78</t>
  </si>
  <si>
    <t>+7 (8362) 45-72-81</t>
  </si>
  <si>
    <t xml:space="preserve">erin12@mail.ru  </t>
  </si>
  <si>
    <t>Рекламное агентство, Телекомпания</t>
  </si>
  <si>
    <t>https://vk.com/ctc_ola_tv</t>
  </si>
  <si>
    <t>47.899664 56.635069</t>
  </si>
  <si>
    <t>47.876826 56.646441</t>
  </si>
  <si>
    <t>Магазин бытовых товаров</t>
  </si>
  <si>
    <t>+7 (906) 139-02-09</t>
  </si>
  <si>
    <t>https://vk.com/club76910922</t>
  </si>
  <si>
    <t>Студия гравировки</t>
  </si>
  <si>
    <t>47.895443 56.640157</t>
  </si>
  <si>
    <t>Ремблагстрой</t>
  </si>
  <si>
    <t>+7 (8362) 36-09-53</t>
  </si>
  <si>
    <t>Bezskoloff</t>
  </si>
  <si>
    <t>+7 (902) 672-38-44</t>
  </si>
  <si>
    <t xml:space="preserve">raspil2@yandex.ru, raspil12@yandex.ru  </t>
  </si>
  <si>
    <t>http://bezskoloff.ru/</t>
  </si>
  <si>
    <t>Мебельная фабрика, Оптовая компания, Производственное предприятие</t>
  </si>
  <si>
    <t>https://vk.com/bezskoloff</t>
  </si>
  <si>
    <t>47.87341 56.654638</t>
  </si>
  <si>
    <t>Спа-Ламинария</t>
  </si>
  <si>
    <t>+7 (987) 724-49-48</t>
  </si>
  <si>
    <t>Массажный салон, СПА-салон</t>
  </si>
  <si>
    <t>https://www.instagram.com/laminaria_shop_yola/</t>
  </si>
  <si>
    <t>47.899156 56.645643</t>
  </si>
  <si>
    <t>47.889187 56.642188</t>
  </si>
  <si>
    <t>ул. Строителей, 25В, Йошкар-Ола</t>
  </si>
  <si>
    <t>47.842276 56.633782</t>
  </si>
  <si>
    <t>Романтичная атмосфера и уют</t>
  </si>
  <si>
    <t>Россия, Республика Марий Эл, Йошкар-Ола, бульвар 70-летия Победы в Великой Отечественной войне</t>
  </si>
  <si>
    <t>47.91979 56.64025</t>
  </si>
  <si>
    <t>Марийская республиканская организация Российского профсоюза работников радиоэлектронной промышленности</t>
  </si>
  <si>
    <t>+7 (8362) 56-65-73, +7 (8362) 45-37-33, +7 (8362) 45-37-44, +7 (8362) 45-38-52, +7 (8362) 55-45-46</t>
  </si>
  <si>
    <t>Haval</t>
  </si>
  <si>
    <t>https://www.facebook.com/haval.condor</t>
  </si>
  <si>
    <t>47.872291 56.653217</t>
  </si>
  <si>
    <t>Мартэл</t>
  </si>
  <si>
    <t>+7 (8362) 56-62-37, +7 (8362) 42-01-29</t>
  </si>
  <si>
    <t>http://martel.tiu.ru/</t>
  </si>
  <si>
    <t>Салон мебели Идея</t>
  </si>
  <si>
    <t>+7 (8362) 55-07-87</t>
  </si>
  <si>
    <t>Златоустовские ножи в Йошкар-Оле</t>
  </si>
  <si>
    <t>+7 (952) 506-18-18</t>
  </si>
  <si>
    <t>https://zlatonozh.ru/</t>
  </si>
  <si>
    <t>Пункт взимания платы, Пункт выдачи</t>
  </si>
  <si>
    <t>Джек 12</t>
  </si>
  <si>
    <t>+7 (8362) 39-04-39</t>
  </si>
  <si>
    <t>+7 (937) 936-04-39</t>
  </si>
  <si>
    <t>http://ajack.ru/</t>
  </si>
  <si>
    <t>пн-пт 09:00–21:00; сб 10:00–15:00</t>
  </si>
  <si>
    <t>ул. Данилина, 90, Йошкар-Ола</t>
  </si>
  <si>
    <t>47.89147 56.647688</t>
  </si>
  <si>
    <t>Пролетарская ул., 71/1, Йошкар-Ола</t>
  </si>
  <si>
    <t>пн-пт 07:00–18:00; вс 08:00–15:00</t>
  </si>
  <si>
    <t>+7 (987) 729-44-01</t>
  </si>
  <si>
    <t>47.924262 56.639028</t>
  </si>
  <si>
    <t>Россия, Республика Марий Эл, Йошкар-Ола, улица Володарского</t>
  </si>
  <si>
    <t>47.847874 56.632315</t>
  </si>
  <si>
    <t>Мистер Пак</t>
  </si>
  <si>
    <t>+7 (902) 329-21-01</t>
  </si>
  <si>
    <t>Магазин хозтоваров и бытовой химии, Одноразовая посуда, Тара и упаковочные материалы, Хозтовары оптом</t>
  </si>
  <si>
    <t>https://vk.com/misterpak12</t>
  </si>
  <si>
    <t>47.875233 56.637456</t>
  </si>
  <si>
    <t>47.977344 56.635765</t>
  </si>
  <si>
    <t>Арт-базар</t>
  </si>
  <si>
    <t>47.891541 56.629994</t>
  </si>
  <si>
    <t>47.89267 56.628121</t>
  </si>
  <si>
    <t>47.833094 56.637297</t>
  </si>
  <si>
    <t>Центральная районная поликлиника УФСИН</t>
  </si>
  <si>
    <t>+7 (8362) 68-69-01, +7 (8362) 68-65-40, +7 (8362) 68-65-79</t>
  </si>
  <si>
    <t>http://st95a.polickliniki.ru/</t>
  </si>
  <si>
    <t>8 (800) 300-60-90, 8 (800) 100-07-01, 8 (800) 100-00-89</t>
  </si>
  <si>
    <t>пн-пт 09:15–18:30</t>
  </si>
  <si>
    <t>https://www.facebook.com/gpbofficial</t>
  </si>
  <si>
    <t>Viola</t>
  </si>
  <si>
    <t>пн-сб 08:00–20:00, перерыв 13:00–14:00; вс 08:00–19:30</t>
  </si>
  <si>
    <t>47.860223 56.641094</t>
  </si>
  <si>
    <t>Маленькая страна</t>
  </si>
  <si>
    <t>Россия, Республика Марий Эл, Йошкар-Ола, парк имени Гагарина</t>
  </si>
  <si>
    <t>47.953336 56.628133</t>
  </si>
  <si>
    <t>Ozon Box</t>
  </si>
  <si>
    <t>ул. Суворова, 19, Йошкар-Ола</t>
  </si>
  <si>
    <t>8 (800) 234-70-00</t>
  </si>
  <si>
    <t>https://www.ozon.ru/, https://www.ozon.ru/geo/yoshkar-ola/</t>
  </si>
  <si>
    <t>https://vk.com/ozon</t>
  </si>
  <si>
    <t>https://www.facebook.com/ozon.ru</t>
  </si>
  <si>
    <t>47.858276 56.640259</t>
  </si>
  <si>
    <t>Хадсон</t>
  </si>
  <si>
    <t>ул. Луначарского, 34, корп. 2, Йошкар-Ола</t>
  </si>
  <si>
    <t>+7 (967) 758-72-52</t>
  </si>
  <si>
    <t>Металлообработка, Сварочные работы</t>
  </si>
  <si>
    <t>47.903148 56.615964</t>
  </si>
  <si>
    <t>Непоседы</t>
  </si>
  <si>
    <t>+7 (987) 720-89-53, +7 (937) 117-30-00, +7 (987) 707-50-00</t>
  </si>
  <si>
    <t>Детские игровые залы и площадки, Клуб для детей и подростков, Организация и проведение детских праздников</t>
  </si>
  <si>
    <t>пн-пт 14:00–20:00; сб,вс 10:00–20:00</t>
  </si>
  <si>
    <t>https://instagram.com/neposeda_yola</t>
  </si>
  <si>
    <t>47.869674 56.645484</t>
  </si>
  <si>
    <t>Ямде лий</t>
  </si>
  <si>
    <t>+7 (8362) 45-22-82</t>
  </si>
  <si>
    <t>https://vk.com/yamde_lii</t>
  </si>
  <si>
    <t>47.898614 56.631212</t>
  </si>
  <si>
    <t>47.823473 56.630155</t>
  </si>
  <si>
    <t>+7 (8362) 71-05-49</t>
  </si>
  <si>
    <t>47.86008 56.641033</t>
  </si>
  <si>
    <t>True Cost Kitchen -</t>
  </si>
  <si>
    <t>Воскресенская наб., 38, Йошкар-Ола</t>
  </si>
  <si>
    <t>+7 (8362) 30-44-30</t>
  </si>
  <si>
    <t>http://kitchen12.ru/</t>
  </si>
  <si>
    <t>https://vk.com/kitchentruecost</t>
  </si>
  <si>
    <t>https://www.instagram.com/truecost_kitchen/?igshid=18xnp6crp82a</t>
  </si>
  <si>
    <t>47.900858 56.633047</t>
  </si>
  <si>
    <t>47.971237 56.618071</t>
  </si>
  <si>
    <t>Арбитражное управление</t>
  </si>
  <si>
    <t>+7 (8362) 46-90-53</t>
  </si>
  <si>
    <t>Домашний</t>
  </si>
  <si>
    <t>ул. Йывана Кырли, 1, Йошкар-Ола</t>
  </si>
  <si>
    <t>47.850039 56.642436</t>
  </si>
  <si>
    <t>Тархановский парк</t>
  </si>
  <si>
    <t>Россия, Республика Марий Эл, Йошкар-Ола, Тархановский парк</t>
  </si>
  <si>
    <t>47.852623 56.653224</t>
  </si>
  <si>
    <t>47.849078 56.642028</t>
  </si>
  <si>
    <t>РСТ Проект</t>
  </si>
  <si>
    <t>+7 (961) 373-35-22</t>
  </si>
  <si>
    <t xml:space="preserve">zakaz@rst-proekt.ru </t>
  </si>
  <si>
    <t>http://rst-proekt.ru/</t>
  </si>
  <si>
    <t>Авторазбор-М</t>
  </si>
  <si>
    <t>+7 (902) 465-28-55</t>
  </si>
  <si>
    <t xml:space="preserve">avtorazbor-m@ya.ru, avtorazborche@mail.ru, avtorazborche@gmail.com, avtorazborche@gmail.comyoutube  </t>
  </si>
  <si>
    <t>http://avtorazbor-m.ru/</t>
  </si>
  <si>
    <t>https://vk.com/avtorazborche</t>
  </si>
  <si>
    <t>47.901153 56.647301</t>
  </si>
  <si>
    <t>СтопПосредник</t>
  </si>
  <si>
    <t>+7 (902) 107-48-01, +7 (967) 758-06-06</t>
  </si>
  <si>
    <t>http://www.стоппосредник12.рф/</t>
  </si>
  <si>
    <t>Кровля и кровельные материалы, Облицовочные материалы, Фасады и фасадные системы</t>
  </si>
  <si>
    <t>https://vk.com/stopposrednik12</t>
  </si>
  <si>
    <t>https://www.instagram.com/stopposrednik12</t>
  </si>
  <si>
    <t>Детский клуб Ровесник</t>
  </si>
  <si>
    <t>+7 (8362) 42-18-61</t>
  </si>
  <si>
    <t>Дом культуры, Клуб для детей и подростков</t>
  </si>
  <si>
    <t>вт-пт 11:00–18:00; сб 12:00–19:00</t>
  </si>
  <si>
    <t>47.879158 56.639538</t>
  </si>
  <si>
    <t>ИП Белоусов И. В.</t>
  </si>
  <si>
    <t>+7 (8362) 41-28-60</t>
  </si>
  <si>
    <t>+7 (987) 727-65-00</t>
  </si>
  <si>
    <t xml:space="preserve">mirt2019@yandex.ru  </t>
  </si>
  <si>
    <t>Герметики, Клеящие вещества и материалы, Крепежные изделия, Мебельная фурнитура и комплектующие, Металлообрабатывающее оборудование, Сварочное оборудование и материалы, Строительный инструмент</t>
  </si>
  <si>
    <t>https://vk.com/krepyola</t>
  </si>
  <si>
    <t>Народная столовая</t>
  </si>
  <si>
    <t>+7 (902) 744-66-77</t>
  </si>
  <si>
    <t xml:space="preserve">autopodbor12@mail.ru, mail@mail.ru  </t>
  </si>
  <si>
    <t>http://autopodbor12.ru/</t>
  </si>
  <si>
    <t>Автоподбор, Автосервис, автотехцентр, Автоэкспертиза, оценка автомобилей</t>
  </si>
  <si>
    <t>https://vk.com/autopodbor12</t>
  </si>
  <si>
    <t>https://www.instagram.com/autopodbor12/</t>
  </si>
  <si>
    <t>47.887676 56.647736</t>
  </si>
  <si>
    <t>На Волосах</t>
  </si>
  <si>
    <t>+7 (937) 113-29-06</t>
  </si>
  <si>
    <t>47.926068 56.635177</t>
  </si>
  <si>
    <t>47.890471 56.625488</t>
  </si>
  <si>
    <t>47.865186 56.650115</t>
  </si>
  <si>
    <t>Загляни</t>
  </si>
  <si>
    <t>ул. Мира, 103А, Йошкар-Ола</t>
  </si>
  <si>
    <t>ежедневно, 07:00–22:00, перерыв 08:30–09:30</t>
  </si>
  <si>
    <t>47.940088 56.635281</t>
  </si>
  <si>
    <t>Apartment on Gomzovo 69</t>
  </si>
  <si>
    <t>47.86323 56.65367</t>
  </si>
  <si>
    <t>Дмитрово конечная станция Троллейбусный транспорт</t>
  </si>
  <si>
    <t>Троллейбусная станция</t>
  </si>
  <si>
    <t>47.858094 56.645192</t>
  </si>
  <si>
    <t>Дарк Сайд Шоп</t>
  </si>
  <si>
    <t>+7 (8362) 77-71-86</t>
  </si>
  <si>
    <t>+7 (902) 431-86-86</t>
  </si>
  <si>
    <t>http://dakrsideshopyo.business.site/</t>
  </si>
  <si>
    <t>Магазин табака и курительных принадлежностей, Табачная продукция оптом</t>
  </si>
  <si>
    <t>пн-чт 12:00–21:00; пт,сб 12:00–21:30; вс 12:00–21:00</t>
  </si>
  <si>
    <t>Райтон</t>
  </si>
  <si>
    <t>Профсоюзная ул., 56, Йошкар-Ола</t>
  </si>
  <si>
    <t>8 (800) 555-38-77</t>
  </si>
  <si>
    <t>+7 (962) 963-80-08</t>
  </si>
  <si>
    <t xml:space="preserve">rayton-251@mail.ru  </t>
  </si>
  <si>
    <t>https://www.raiton.ru/, https://www.raiton.ru/stores/31195/</t>
  </si>
  <si>
    <t>47.947309 56.618363</t>
  </si>
  <si>
    <t>Dark Side</t>
  </si>
  <si>
    <t>+7 (902) 466-65-22</t>
  </si>
  <si>
    <t>пн-чт 12:00–00:00; пт,сб 12:00–02:00; вс 12:00–00:00</t>
  </si>
  <si>
    <t>https://www.instagram.com/darkside_yo/</t>
  </si>
  <si>
    <t>47.895721 56.630446</t>
  </si>
  <si>
    <t>+7 (902) 329-17-99</t>
  </si>
  <si>
    <t xml:space="preserve">bakin.petr@bk.ru  </t>
  </si>
  <si>
    <t>https://vk.com/radma12</t>
  </si>
  <si>
    <t>47.887038 56.611969</t>
  </si>
  <si>
    <t>Компактная уютная квартира рядом с Набережной Брюгге</t>
  </si>
  <si>
    <t>47.9089 56.62953</t>
  </si>
  <si>
    <t>Хоз товары</t>
  </si>
  <si>
    <t>47.869588 56.646111</t>
  </si>
  <si>
    <t>Шкаф</t>
  </si>
  <si>
    <t>+7 (8362) 38-78-28</t>
  </si>
  <si>
    <t>Кофейня, Ресторан</t>
  </si>
  <si>
    <t>https://www.instagram.com/coffee_wine12/</t>
  </si>
  <si>
    <t>47.898721 56.634945</t>
  </si>
  <si>
    <t>Кадет</t>
  </si>
  <si>
    <t>+7 (8362) 45-34-24</t>
  </si>
  <si>
    <t>http://автошкола-кадет.рф/</t>
  </si>
  <si>
    <t>47.901391 56.639698</t>
  </si>
  <si>
    <t>Сеть платежных терминалов</t>
  </si>
  <si>
    <t>+7 (902) 107-36-73</t>
  </si>
  <si>
    <t>Компания по продаже кварцевых обогревателей</t>
  </si>
  <si>
    <t>Электронагреватели</t>
  </si>
  <si>
    <t>Сервисный центр Форт Диалог</t>
  </si>
  <si>
    <t>+7 (8362) 55-13-66</t>
  </si>
  <si>
    <t xml:space="preserve">support@fdyola.ru, service@fort.nid.ru, webkass@gmail.com </t>
  </si>
  <si>
    <t>http://fdyola.ru/</t>
  </si>
  <si>
    <t>47.903496 56.632913</t>
  </si>
  <si>
    <t>Академия Ремонта</t>
  </si>
  <si>
    <t>+7 (8362) 32-28-43</t>
  </si>
  <si>
    <t>+7 (927) 882-28-43</t>
  </si>
  <si>
    <t>Комплектующие для окон, Натяжные и подвесные потолки, Окна, Светильники, Строительные и отделочные работы</t>
  </si>
  <si>
    <t>ЖК Пять этажей</t>
  </si>
  <si>
    <t>ул. Чернякова, 7В, Йошкар-Ола</t>
  </si>
  <si>
    <t>+7 (8362) 33-06-06</t>
  </si>
  <si>
    <t>http://пятьэтажей.рф/</t>
  </si>
  <si>
    <t>47.82341 56.632858</t>
  </si>
  <si>
    <t>47.940324 56.629833</t>
  </si>
  <si>
    <t>Пижама семейная квартира с детской комнатой</t>
  </si>
  <si>
    <t>ул. Димитрова, 59, Йошкар-Ола</t>
  </si>
  <si>
    <t>47.85218 56.64638</t>
  </si>
  <si>
    <t>пн-пт 08:00–17:00, перерыв 11:45–13:45</t>
  </si>
  <si>
    <t>47.897981 56.646905</t>
  </si>
  <si>
    <t>БетонВсем</t>
  </si>
  <si>
    <t>Сернурский тракт, 22, Йошкар-Ола</t>
  </si>
  <si>
    <t>+7 (917) 715-01-86, +7 (917) 708-99-96</t>
  </si>
  <si>
    <t xml:space="preserve">betonola@mail.ru  </t>
  </si>
  <si>
    <t>http://betonvsem.blizko.ru/</t>
  </si>
  <si>
    <t>Бетон, бетонные изделия, ЖБИ, Производственное предприятие, Строительный магазин, Стройматериалы оптом</t>
  </si>
  <si>
    <t>47.933161 56.642288</t>
  </si>
  <si>
    <t>Звукоград</t>
  </si>
  <si>
    <t>+7 (902) 358-15-70</t>
  </si>
  <si>
    <t>пн-пт 17:00–20:00</t>
  </si>
  <si>
    <t>https://vk.com/club78294635</t>
  </si>
  <si>
    <t>Детский сад № 16 Дубок</t>
  </si>
  <si>
    <t>ул. Героев Сталинградской Битвы, 39А, Йошкар-Ола</t>
  </si>
  <si>
    <t>+7 (8362) 64-23-01</t>
  </si>
  <si>
    <t xml:space="preserve">dubochek16@mail.ru, uoa-yoshkar-ola@yandex.ru  </t>
  </si>
  <si>
    <t>http://edu.mari.ru/mouo-yoshkarola/dou16</t>
  </si>
  <si>
    <t>47.948441 56.623093</t>
  </si>
  <si>
    <t>Здоровье в Каждый Дом</t>
  </si>
  <si>
    <t>+7 (8362) 36-56-14</t>
  </si>
  <si>
    <t>+7 (967) 756-56-14</t>
  </si>
  <si>
    <t>Бытовые услуги, Дезинфекция, дезинсекция, дератизация, Санитарно-эпидемиологическая служба</t>
  </si>
  <si>
    <t>47.919593 56.626834</t>
  </si>
  <si>
    <t>Linens-house</t>
  </si>
  <si>
    <t>+7 (967) 757-95-85</t>
  </si>
  <si>
    <t xml:space="preserve">emikhail851@gmail.com, support@tiu.ru  </t>
  </si>
  <si>
    <t>https://linens-house.ru/</t>
  </si>
  <si>
    <t>Интернет-магазин, Магазин постельных принадлежностей, Товары для дома</t>
  </si>
  <si>
    <t>Спортзал Витязь</t>
  </si>
  <si>
    <t>+7 (902) 329-46-23</t>
  </si>
  <si>
    <t>пн-сб 15:00–21:00</t>
  </si>
  <si>
    <t>http://vk.com/vityaz1997</t>
  </si>
  <si>
    <t>47.948802 56.624474</t>
  </si>
  <si>
    <t>47.8659 56.650251</t>
  </si>
  <si>
    <t>47.889198 56.640812</t>
  </si>
  <si>
    <t>Наталья Павлова</t>
  </si>
  <si>
    <t>Добромир</t>
  </si>
  <si>
    <t>+7 (8362) 46-22-22</t>
  </si>
  <si>
    <t>+7 (937) 939-07-71</t>
  </si>
  <si>
    <t>http://www.воротарядом.рф/</t>
  </si>
  <si>
    <t>Автоматические двери и ворота, Кровля и кровельные материалы, Металлические заборы и ограждения</t>
  </si>
  <si>
    <t>http://vk.com/dobromirstroy</t>
  </si>
  <si>
    <t>47.901664 56.643573</t>
  </si>
  <si>
    <t>47.870386 56.646044</t>
  </si>
  <si>
    <t>47.868818 56.650527</t>
  </si>
  <si>
    <t>Лабиринт, пункт самовывоза</t>
  </si>
  <si>
    <t>8 (800) 600-95-25, 8 (800) 500-95-25</t>
  </si>
  <si>
    <t xml:space="preserve">shop@labirintmail.ru  </t>
  </si>
  <si>
    <t>http://www.labirint.ru/, http://www.labirint.ru/help/?cardhelp=595</t>
  </si>
  <si>
    <t>47.933359 56.642335</t>
  </si>
  <si>
    <t>ул. Павленко, 74Б, Йошкар-Ола</t>
  </si>
  <si>
    <t>47.910196 56.630759</t>
  </si>
  <si>
    <t>Магазин полезных продуктов Ключи к здоровью</t>
  </si>
  <si>
    <t>+7 (906) 336-21-12</t>
  </si>
  <si>
    <t>пн,вт,ср,чт,вс 09:30–19:30</t>
  </si>
  <si>
    <t>https://vk.com/food_12</t>
  </si>
  <si>
    <t>47.884371 56.635308</t>
  </si>
  <si>
    <t>47.851166 56.630812</t>
  </si>
  <si>
    <t>Melon House</t>
  </si>
  <si>
    <t>ул. Льва Толстого, 24, Йошкар-Ола</t>
  </si>
  <si>
    <t>+7 (927) 882-81-90</t>
  </si>
  <si>
    <t>Студия звукозаписи, Творческий коллектив</t>
  </si>
  <si>
    <t>47.903946 56.645456</t>
  </si>
  <si>
    <t>5 Звёзд у Набережной</t>
  </si>
  <si>
    <t>47.91714 56.63681</t>
  </si>
  <si>
    <t>Бест Вей, консультационный офис. ИП Юхименко</t>
  </si>
  <si>
    <t>+7 (929) 733-15-09, +7 (902) 329-36-87</t>
  </si>
  <si>
    <t xml:space="preserve">bestwaykoop@ya.ru  </t>
  </si>
  <si>
    <t>https://квартира-без-ипотеки.рф/</t>
  </si>
  <si>
    <t>Ипотечное агентство, Потребительская кооперация, Финансовый консалтинг</t>
  </si>
  <si>
    <t>https://vk.com/ligcompany</t>
  </si>
  <si>
    <t>47.852957 56.644901</t>
  </si>
  <si>
    <t>Пекарня</t>
  </si>
  <si>
    <t>47.899985 56.648094</t>
  </si>
  <si>
    <t>Посуда со вкусом</t>
  </si>
  <si>
    <t>47.918255 56.629362</t>
  </si>
  <si>
    <t>47.854009 56.630406</t>
  </si>
  <si>
    <t>Галамарт</t>
  </si>
  <si>
    <t>8 (800) 250-00-25, +7 (8362) 38-00-91</t>
  </si>
  <si>
    <t xml:space="preserve">fr@galamart.ru  </t>
  </si>
  <si>
    <t>https://galamart.ru/</t>
  </si>
  <si>
    <t>Магазин посуды, Магазин хозтоваров и бытовой химии, Товары для дома</t>
  </si>
  <si>
    <t>https://vk.com/galamart_official</t>
  </si>
  <si>
    <t>https://ok.ru/galamartofficial</t>
  </si>
  <si>
    <t>https://www.facebook.com/galamartofficial</t>
  </si>
  <si>
    <t>https://www.youtube.com/channel/UCUypd9qxKCCh2h7DeJfRXvQ</t>
  </si>
  <si>
    <t>https://www.instagram.com/galamartofficial</t>
  </si>
  <si>
    <t>47.894174 56.640407</t>
  </si>
  <si>
    <t>Pontorezka</t>
  </si>
  <si>
    <t>+7 (937) 111-12-12, +7 (919) 415-51-83</t>
  </si>
  <si>
    <t>Детейлинг, Тонирование стекол</t>
  </si>
  <si>
    <t>https://vk.com/pontorezka112</t>
  </si>
  <si>
    <t>Медико-санитарная часть № 1 г. Йошкар-Олы, Физиотерапевтическое отделение</t>
  </si>
  <si>
    <t>http://mari-el.gov.ru/minzdrav/msco/Pages/main.aspx</t>
  </si>
  <si>
    <t>Бухгалтерский сервис</t>
  </si>
  <si>
    <t>+7 (8362) 50-14-46</t>
  </si>
  <si>
    <t>+7 (917) 710-70-10</t>
  </si>
  <si>
    <t xml:space="preserve">info@buhservis-yo.ru  </t>
  </si>
  <si>
    <t>http://buhservis-yo.ru/</t>
  </si>
  <si>
    <t>47.916899 56.641963</t>
  </si>
  <si>
    <t>47.920384 56.635341</t>
  </si>
  <si>
    <t>Бакалея. рыба</t>
  </si>
  <si>
    <t>Магазин продуктов, Магазин рыбы и морепродуктов</t>
  </si>
  <si>
    <t>47.917718 56.627423</t>
  </si>
  <si>
    <t>47.877721 56.644052</t>
  </si>
  <si>
    <t>47.92158 56.640256</t>
  </si>
  <si>
    <t>О2</t>
  </si>
  <si>
    <t>Царьградский просп., 33, Йошкар-Ола</t>
  </si>
  <si>
    <t>+7 (902) 433-64-95</t>
  </si>
  <si>
    <t>http://instagram.com/o2_yo</t>
  </si>
  <si>
    <t>47.909415 56.636807</t>
  </si>
  <si>
    <t>ул. Машиностроителей, 4В, Йошкар-Ола</t>
  </si>
  <si>
    <t>+7 (8362) 53-40-89</t>
  </si>
  <si>
    <t>47.87378 56.649673</t>
  </si>
  <si>
    <t>+7 (8362) 65-15-71, +7 (8362) 65-01-23</t>
  </si>
  <si>
    <t>47.844499 56.644989</t>
  </si>
  <si>
    <t>Стригут</t>
  </si>
  <si>
    <t>https://vk.com/strigut_yo</t>
  </si>
  <si>
    <t>https://instagram.com/strigut_yo</t>
  </si>
  <si>
    <t>Эмиль</t>
  </si>
  <si>
    <t>47.865184 56.650187</t>
  </si>
  <si>
    <t>47.965627 56.640275</t>
  </si>
  <si>
    <t>Yo Svar 12</t>
  </si>
  <si>
    <t>+7 (8362) 48-08-58</t>
  </si>
  <si>
    <t>Кровля и кровельные материалы, Металлоконструкции, Сварочные работы, Тепличное оборудование</t>
  </si>
  <si>
    <t>47.884673 56.642989</t>
  </si>
  <si>
    <t xml:space="preserve">ponomarev7@alfadirect.ru, agent_ad@alfabank.ru, alfadirect-ul@alfabank.ru, kmitrofanov@alfabank.ru, fedorov2@alfadirect.ru  </t>
  </si>
  <si>
    <t>https://alfabank.ru/, https://alfabank.ru/office/yoshkar-ola/novopokrovskaya/</t>
  </si>
  <si>
    <t>https://www.youtube.com/channel/UCRKc2vCbyuaOYfo86L7g-sA</t>
  </si>
  <si>
    <t>47.88225 56.631557</t>
  </si>
  <si>
    <t>Манхэттен</t>
  </si>
  <si>
    <t>47.892745 56.638758</t>
  </si>
  <si>
    <t>Водопроводная ул., 102, Йошкар-Ола</t>
  </si>
  <si>
    <t>47.884554 56.652366</t>
  </si>
  <si>
    <t>Имперопт</t>
  </si>
  <si>
    <t>+7 (8362) 90-49-04</t>
  </si>
  <si>
    <t>+7 (987) 700-88-99, +7 (917) 071-07-72</t>
  </si>
  <si>
    <t>Натяжные и подвесные потолки, Оптовый магазин, Светильники</t>
  </si>
  <si>
    <t>пн-чт 09:00–18:00, перерыв 12:00–13:00; пт 08:00–18:00, перерыв 12:00–13:00; сб 09:00–15:00</t>
  </si>
  <si>
    <t>https://vk.com/imper_opt</t>
  </si>
  <si>
    <t>47.897767 56.650325</t>
  </si>
  <si>
    <t>47.880982 56.632193</t>
  </si>
  <si>
    <t>Услуги автокрана</t>
  </si>
  <si>
    <t>Сантехфитингкомплект</t>
  </si>
  <si>
    <t>47.914565 56.627425</t>
  </si>
  <si>
    <t>47.828475 56.635431</t>
  </si>
  <si>
    <t>47.892389 56.620045</t>
  </si>
  <si>
    <t>IPhone Market</t>
  </si>
  <si>
    <t>https://instagram.com/phone_market_12</t>
  </si>
  <si>
    <t>47.83042 56.637167</t>
  </si>
  <si>
    <t>Люстрин, пункт выдачи</t>
  </si>
  <si>
    <t>8 (800) 700-29-52</t>
  </si>
  <si>
    <t xml:space="preserve">joshkar-ola@lustrin.ru  </t>
  </si>
  <si>
    <t>http://joshkar-ola.lustrin.ru/</t>
  </si>
  <si>
    <t>Центральный тепловой пункт</t>
  </si>
  <si>
    <t>Инженерная инфраструктура</t>
  </si>
  <si>
    <t>47.906617 56.628135</t>
  </si>
  <si>
    <t>Байкал-Сервис</t>
  </si>
  <si>
    <t>+7 (8362) 22-40-80</t>
  </si>
  <si>
    <t xml:space="preserve">info@osk.baikalsr.ru, director@osk.baikalsr.ru, avia@baikalsr.ru  </t>
  </si>
  <si>
    <t>https://yoshkar-ola.baikalsr.ru/?utm_campaign=yandex_maps_adsu0026utm_medium=referralu0026utm_source=yandex_maps, https://www.baikalsr.ru/, https://www.baikalsr.ru/city/yoshkar-ola/, https://yoshkar-ola.baikalsr.ru/</t>
  </si>
  <si>
    <t>https://vk.com/baikal_service_tc</t>
  </si>
  <si>
    <t>https://www.facebook.com/Baikal.Service.TC</t>
  </si>
  <si>
    <t>https://www.youtube.com/channel/UCTv0-r7LdM5175DQ2gbk93A</t>
  </si>
  <si>
    <t>https://www.instagram.com/baikalservice</t>
  </si>
  <si>
    <t>Марий Й'уд</t>
  </si>
  <si>
    <t>+7 (8362) 77-03-03</t>
  </si>
  <si>
    <t>+7 (987) 705-20-11</t>
  </si>
  <si>
    <t>пн-ср 14:00–00:00; чт-вс 14:00–23:00</t>
  </si>
  <si>
    <t>47.938427 56.629809</t>
  </si>
  <si>
    <t>Магазин женской одежды Мария</t>
  </si>
  <si>
    <t>+7 (999) 609-29-62</t>
  </si>
  <si>
    <t>Гараж на Баумана</t>
  </si>
  <si>
    <t>+7 (937) 118-95-57</t>
  </si>
  <si>
    <t>http://garage12.ru/</t>
  </si>
  <si>
    <t>47.848659 56.634868</t>
  </si>
  <si>
    <t>Архив министерства образования республики Марий Эл</t>
  </si>
  <si>
    <t>+7 (8362) 45-15-37</t>
  </si>
  <si>
    <t>47.902872 56.644832</t>
  </si>
  <si>
    <t>Lego-клуб Легола</t>
  </si>
  <si>
    <t>http://legola.ru/</t>
  </si>
  <si>
    <t>47.898777 56.645112</t>
  </si>
  <si>
    <t>1-комнатная Квартира</t>
  </si>
  <si>
    <t>47.92474 56.64178</t>
  </si>
  <si>
    <t>Лазертаг Фронт Сомбатхей</t>
  </si>
  <si>
    <t>+7 (999) 145-75-47, +7 (927) 681-39-58</t>
  </si>
  <si>
    <t>Детские игровые залы и площадки, Лазертаг, Страйкбол</t>
  </si>
  <si>
    <t>https://vk.com/lazertagyoshkarola</t>
  </si>
  <si>
    <t>47.934459 56.635809</t>
  </si>
  <si>
    <t>Vlasta</t>
  </si>
  <si>
    <t>47.892737 56.638754</t>
  </si>
  <si>
    <t>Объединение перевозчиков Республики Марий Эл</t>
  </si>
  <si>
    <t>+7 (8362) 45-25-72</t>
  </si>
  <si>
    <t>Мегастрой</t>
  </si>
  <si>
    <t>+7 (8362) 38-65-65</t>
  </si>
  <si>
    <t xml:space="preserve">opt1@megastroy-6.ru, commerce@agava-kazan.ru, str1@agava-kazan.ru, str3@agava-kazan.ru, tvk@agava-kazan.ru  </t>
  </si>
  <si>
    <t>https://yoshkarola.megastroy.com/</t>
  </si>
  <si>
    <t>Строительный гипермаркет</t>
  </si>
  <si>
    <t>47.932074 56.632644</t>
  </si>
  <si>
    <t>Советская ул., 50, Йошкар-Ола</t>
  </si>
  <si>
    <t>47.90487 56.645623</t>
  </si>
  <si>
    <t>Завод Искож</t>
  </si>
  <si>
    <t>+7 (8362) 64-03-62, +7 (8362) 68-25-77, +7 (8362) 68-50-74, +7 (8362) 68-50-67, +7 (8362) 68-50-76, +7 (8362) 73-20-22, +7 (8362) 63-75-58</t>
  </si>
  <si>
    <t xml:space="preserve">iskozh@mari-el.ru, otdel-prodazh@mariskozh.ru, marketing@mariskozh.ru, sbyt@mariskozh.ru, sbyt2@mariskozh.ru  </t>
  </si>
  <si>
    <t>http://mariskozh.ru/</t>
  </si>
  <si>
    <t>Кожевенное сырье, Линолеум</t>
  </si>
  <si>
    <t>https://www.facebook.com/groups/wariskozh</t>
  </si>
  <si>
    <t>Общежитие № 3 МарГУ</t>
  </si>
  <si>
    <t>https://vk.com/marsu_dorm_3</t>
  </si>
  <si>
    <t>47.876627 56.639867</t>
  </si>
  <si>
    <t>Транспортная ул., 68А, Йошкар-Ола</t>
  </si>
  <si>
    <t>47.848711 56.663168</t>
  </si>
  <si>
    <t>Герметики, Клеящие вещества и материалы, Комплектующие для окон, Кровля и кровельные материалы, Стройматериалы оптом</t>
  </si>
  <si>
    <t>47.908953 56.644418</t>
  </si>
  <si>
    <t>МандаринкА</t>
  </si>
  <si>
    <t>47.875196 56.637448</t>
  </si>
  <si>
    <t>Авто-плюс</t>
  </si>
  <si>
    <t>+7 (8362) 45-20-19</t>
  </si>
  <si>
    <t>Карусель</t>
  </si>
  <si>
    <t>ул. Яна Крастыня, 6В, Йошкар-Ола</t>
  </si>
  <si>
    <t>+7 (927) 886-15-55</t>
  </si>
  <si>
    <t>47.826557 56.631595</t>
  </si>
  <si>
    <t>ГоризонтСтрой</t>
  </si>
  <si>
    <t>Кремлёвская ул., 29, Йошкар-Ола</t>
  </si>
  <si>
    <t>http://горизонтстрой12.рф/</t>
  </si>
  <si>
    <t>47.884473 56.640475</t>
  </si>
  <si>
    <t>Бухгалтерское агентство Баланс</t>
  </si>
  <si>
    <t>+7 (961) 335-72-06</t>
  </si>
  <si>
    <t xml:space="preserve">buh@balance12.ru  </t>
  </si>
  <si>
    <t>https://balance12.ru/</t>
  </si>
  <si>
    <t>Бухгалтерские услуги, Регистрация и ликвидация предприятий</t>
  </si>
  <si>
    <t>47.900432 56.644699</t>
  </si>
  <si>
    <t>Банкротное Бюро № 1</t>
  </si>
  <si>
    <t>8 (800) 222-22-53</t>
  </si>
  <si>
    <t xml:space="preserve">ag@pokadolgi.ru, mail@bb-1.ru </t>
  </si>
  <si>
    <t>https://bankrotnoebyuro1.ru/?region=465</t>
  </si>
  <si>
    <t>пн-пт 10:00–19:00, перерыв 13:00–14:00</t>
  </si>
  <si>
    <t>https://vk.com/bankrotnoebyuro1</t>
  </si>
  <si>
    <t>https://ok.ru/bankrotnoebyuro1</t>
  </si>
  <si>
    <t>https://www.facebook.com/bankrotnoebyuro1</t>
  </si>
  <si>
    <t>https://www.youtube.com/bankrotnoebyuro1</t>
  </si>
  <si>
    <t>https://www.instagram.com/bankrotnoebyuro1</t>
  </si>
  <si>
    <t>47.894764 56.640386</t>
  </si>
  <si>
    <t>Prostor</t>
  </si>
  <si>
    <t>+7 (996) 918-77-82</t>
  </si>
  <si>
    <t>Магазин бижутерии, Магазин одежды, Магазин сумок и чемоданов</t>
  </si>
  <si>
    <t>https://instagram.com/prostor_12</t>
  </si>
  <si>
    <t>47.896392 56.632436</t>
  </si>
  <si>
    <t>ЖК Парк Победы</t>
  </si>
  <si>
    <t xml:space="preserve">marzilstroy2@yandex.ru, sales@doma-12.ru </t>
  </si>
  <si>
    <t>http://www.doma-12.ru/</t>
  </si>
  <si>
    <t>47.864101 56.640633</t>
  </si>
  <si>
    <t>+7 (962) 588-24-62</t>
  </si>
  <si>
    <t>пн-пт 09:00–21:00; сб,вс 08:00–16:00</t>
  </si>
  <si>
    <t>Строительно-монтажная компания Строймакс12</t>
  </si>
  <si>
    <t>+7 (937) 112-60-60</t>
  </si>
  <si>
    <t>Камины, печи, Металлические заборы и ограждения, Остекление балконов и лоджий, Строительная компания</t>
  </si>
  <si>
    <t>ЧОП Эрго-Плюс</t>
  </si>
  <si>
    <t>+7 (8362) 45-30-09</t>
  </si>
  <si>
    <t>Ваши Ключи К Здоровью</t>
  </si>
  <si>
    <t>http://8doktorov.ru/</t>
  </si>
  <si>
    <t>https://vk.com/8doktorov</t>
  </si>
  <si>
    <t>https://www.facebook.com/8doktorov/</t>
  </si>
  <si>
    <t>47.8461 56.636896</t>
  </si>
  <si>
    <t>Мини-ателье</t>
  </si>
  <si>
    <t>+7 (8362) 78-72-64</t>
  </si>
  <si>
    <t>47.837816 56.635485</t>
  </si>
  <si>
    <t>47.883216 56.63342</t>
  </si>
  <si>
    <t>47.901469 56.645885</t>
  </si>
  <si>
    <t>Ваш персонал</t>
  </si>
  <si>
    <t xml:space="preserve">info@vashpers.ru  </t>
  </si>
  <si>
    <t>http://vashpers.ru/</t>
  </si>
  <si>
    <t>ул. Машиностроителей, 129, Йошкар-Ола</t>
  </si>
  <si>
    <t>47.820131 56.624129</t>
  </si>
  <si>
    <t>Хозмаг</t>
  </si>
  <si>
    <t>Магазин посуды, Магазин хозтоваров и бытовой химии, Светотехника, Электромонтажные и электроустановочные изделия</t>
  </si>
  <si>
    <t>47.832347 56.639827</t>
  </si>
  <si>
    <t>Матрасы Family</t>
  </si>
  <si>
    <t>8 (800) 555-04-55</t>
  </si>
  <si>
    <t>+7 (960) 131-81-62</t>
  </si>
  <si>
    <t xml:space="preserve">m-nsbyt@kedrvrn.ru  </t>
  </si>
  <si>
    <t>https://all.family-mattress.ru/</t>
  </si>
  <si>
    <t>Интернет-магазин, Матрасы</t>
  </si>
  <si>
    <t>https://vk.com/family.mattress</t>
  </si>
  <si>
    <t>https://ok.ru/group/53173107818688</t>
  </si>
  <si>
    <t>https://www.facebook.com/mattressfamily/</t>
  </si>
  <si>
    <t>https://www.instagram.com/family_matras/</t>
  </si>
  <si>
    <t>Комод</t>
  </si>
  <si>
    <t>47.893043 56.638567</t>
  </si>
  <si>
    <t>47.917596 56.632023</t>
  </si>
  <si>
    <t>Почта России, автобаза</t>
  </si>
  <si>
    <t>ул. Соловьёва, 40А, Йошкар-Ола</t>
  </si>
  <si>
    <t>+7 (8362) 48-16-43</t>
  </si>
  <si>
    <t>47.869202 56.626801</t>
  </si>
  <si>
    <t>Мир Инкубаторов - пункт выдачи заказов</t>
  </si>
  <si>
    <t>8 (800) 775-29-23</t>
  </si>
  <si>
    <t xml:space="preserve">3481504@mail.ru  </t>
  </si>
  <si>
    <t>http://mirinkub.ru/</t>
  </si>
  <si>
    <t>Пункт выдачи, Сельскохозяйственная продукция, Сельскохозяйственная техника</t>
  </si>
  <si>
    <t>https://vk.com/inkubators</t>
  </si>
  <si>
    <t>https://ok.ru/group/58178244313131</t>
  </si>
  <si>
    <t>https://www.facebook.com/Мир-инкубаторов-1170147953034423</t>
  </si>
  <si>
    <t>https://www.youtube.com/channel/UCkw1K0wrFztc8MISRS-mdUw</t>
  </si>
  <si>
    <t>https://www.instagram.com/forfermer/?hl=ru</t>
  </si>
  <si>
    <t>47.888081 56.627986</t>
  </si>
  <si>
    <t>47.861126 56.649163</t>
  </si>
  <si>
    <t>IT-Kids</t>
  </si>
  <si>
    <t>47.869155 56.634982</t>
  </si>
  <si>
    <t>Энергогарант</t>
  </si>
  <si>
    <t>+7 (937) 380-41-08</t>
  </si>
  <si>
    <t xml:space="preserve">energy@msk-garant.ru, mail@ins-union.ru  </t>
  </si>
  <si>
    <t>https://www.energogarant.ru/</t>
  </si>
  <si>
    <t>пн-пт 09:00–18:00, перерыв 13:00–13:45</t>
  </si>
  <si>
    <t>https://www.facebook.com/pg/energogarant</t>
  </si>
  <si>
    <t>47.896967 56.635308</t>
  </si>
  <si>
    <t>Дубровка</t>
  </si>
  <si>
    <t>+7 (8362) 33-00-66</t>
  </si>
  <si>
    <t>+7 (927) 883-00-66</t>
  </si>
  <si>
    <t>http://яндекс-такси-йошкар-ола.рф/</t>
  </si>
  <si>
    <t>Автомобильные грузоперевозки, Такси</t>
  </si>
  <si>
    <t>https://vk.com/yandex.taxi.joshkarola</t>
  </si>
  <si>
    <t>47.832105 56.64161</t>
  </si>
  <si>
    <t>Диспетчерская</t>
  </si>
  <si>
    <t>47.88109 56.622681</t>
  </si>
  <si>
    <t>Магазин фастфудной продукции</t>
  </si>
  <si>
    <t>ул. Героев Сталинградской Битвы, 41Б, Йошкар-Ола, Россия</t>
  </si>
  <si>
    <t>+7 (917) 713-54-92</t>
  </si>
  <si>
    <t>Мандариновое лето</t>
  </si>
  <si>
    <t>+7 (8362) 50-99-77</t>
  </si>
  <si>
    <t>пн-пт 09:30–20:00; сб,вс 10:00–17:00</t>
  </si>
  <si>
    <t>https://vk.com/mandarinovoeleto12</t>
  </si>
  <si>
    <t>47.901878 56.640722</t>
  </si>
  <si>
    <t>47.832846 56.636631</t>
  </si>
  <si>
    <t>Лавка Чудес</t>
  </si>
  <si>
    <t>Детские игрушки и игры, елки и елочные игрушки, Спортивный инвентарь и оборудование</t>
  </si>
  <si>
    <t>47.885664 56.635463</t>
  </si>
  <si>
    <t>47.923397 56.639897</t>
  </si>
  <si>
    <t>Точим все</t>
  </si>
  <si>
    <t>+7 (987) 701-92-99, +7 (937) 111-32-04</t>
  </si>
  <si>
    <t>47.850776 56.637778</t>
  </si>
  <si>
    <t>Все колеса</t>
  </si>
  <si>
    <t>ул. Карла Маркса, 150А, Йошкар-Ола</t>
  </si>
  <si>
    <t>+7 (8362) 20-50-60</t>
  </si>
  <si>
    <t>+7 (902) 325-50-60</t>
  </si>
  <si>
    <t xml:space="preserve">vsekolesa12@gmail.com  </t>
  </si>
  <si>
    <t>http://www.vsekolesa12.ru/</t>
  </si>
  <si>
    <t>https://vk.com/vsekolesa12</t>
  </si>
  <si>
    <t>https://www.instagram.com/vsekolesa12</t>
  </si>
  <si>
    <t>47.880632 56.614028</t>
  </si>
  <si>
    <t>Производственная фирма</t>
  </si>
  <si>
    <t>ул. Баумана, 95, Йошкар-Ола</t>
  </si>
  <si>
    <t>47.856866 56.629585</t>
  </si>
  <si>
    <t>Автомат ксерокопии</t>
  </si>
  <si>
    <t>47.830696 56.635756</t>
  </si>
  <si>
    <t>+7 (8362) 41-11-36, +7 (8362) 41-01-86, +7 (8362) 41-38-46, +7 (8362) 38-40-32, +7 (8362) 38-19-40</t>
  </si>
  <si>
    <t>https://grad12.ru/</t>
  </si>
  <si>
    <t>Магазин мебели, Мебель на заказ, Шкафы-купе</t>
  </si>
  <si>
    <t>https://vk.com/mebelgradyo</t>
  </si>
  <si>
    <t>https://ok.ru/profile/578953189356</t>
  </si>
  <si>
    <t>https://www.instagram.com/mebelgrad_yola</t>
  </si>
  <si>
    <t>47.85799 56.62124</t>
  </si>
  <si>
    <t>Автофарм</t>
  </si>
  <si>
    <t>+7 (8362) 49-53-52</t>
  </si>
  <si>
    <t xml:space="preserve">email@domain.com  </t>
  </si>
  <si>
    <t>http://autofarm12.ru/</t>
  </si>
  <si>
    <t>47.881025 56.6071</t>
  </si>
  <si>
    <t>Аутсорсинг</t>
  </si>
  <si>
    <t>+7 (902) 739-09-09, +7 (987) 710-93-20</t>
  </si>
  <si>
    <t>https://vk.com/mebeldm.yola</t>
  </si>
  <si>
    <t>47.914698 56.63599</t>
  </si>
  <si>
    <t xml:space="preserve">market@championika.ru, info@championika.ru </t>
  </si>
  <si>
    <t>Могу!</t>
  </si>
  <si>
    <t>+7 (964) 861-47-67, +7 (964) 863-30-86, +7 (961) 376-45-54</t>
  </si>
  <si>
    <t xml:space="preserve">ano.drcmogu12@yandex.ru, dololga@dobryaki.ru  </t>
  </si>
  <si>
    <t>Логопеды, Психологическая служба, Центр развития ребенка</t>
  </si>
  <si>
    <t>https://vk.com/drcmogu12</t>
  </si>
  <si>
    <t>+7 (939) 725-20-90, +7 (939) 723-51-26</t>
  </si>
  <si>
    <t xml:space="preserve">sserversga@yandex.ru </t>
  </si>
  <si>
    <t>Автоматизация документооборота, Бухгалтерские услуги</t>
  </si>
  <si>
    <t>47.89597 56.633476</t>
  </si>
  <si>
    <t>ХОЗМАГиЯ</t>
  </si>
  <si>
    <t>47.857513 56.65212</t>
  </si>
  <si>
    <t>Экосервис-плюс</t>
  </si>
  <si>
    <t>47.887115 56.627437</t>
  </si>
  <si>
    <t>47.889947 56.646324</t>
  </si>
  <si>
    <t>Наномет, Производственный цех</t>
  </si>
  <si>
    <t>ул. Крылова, 53А, корп. 8, Йошкар-Ола</t>
  </si>
  <si>
    <t>47.829432 56.622488</t>
  </si>
  <si>
    <t>ул. Карла Маркса, 140, Йошкар-Ола</t>
  </si>
  <si>
    <t>47.885669 56.61987</t>
  </si>
  <si>
    <t>47.906615 56.628636</t>
  </si>
  <si>
    <t>Наири</t>
  </si>
  <si>
    <t>+7 (964) 864-07-07</t>
  </si>
  <si>
    <t>47.912377 56.63525</t>
  </si>
  <si>
    <t>Nimb</t>
  </si>
  <si>
    <t>+7 (964) 864-32-37</t>
  </si>
  <si>
    <t>http://потолки-йошка.рф/</t>
  </si>
  <si>
    <t>Натяжные и подвесные потолки, Светотехника, Строительные и отделочные работы</t>
  </si>
  <si>
    <t>https://vk.com/nat_potolki12</t>
  </si>
  <si>
    <t>https://www.ok.ru/nat.potolki12</t>
  </si>
  <si>
    <t>https://www.facebook.com/nat.potolki12</t>
  </si>
  <si>
    <t>https://www.instagram.com/nat_potolki12</t>
  </si>
  <si>
    <t>47.870033 56.645495</t>
  </si>
  <si>
    <t>+7 (8362) 42-10-70</t>
  </si>
  <si>
    <t>http://www.kupiorto.ru/</t>
  </si>
  <si>
    <t>Ортопедический салон</t>
  </si>
  <si>
    <t>+7 (8412) 45-80-85</t>
  </si>
  <si>
    <t>+7 (917) 713-21-25</t>
  </si>
  <si>
    <t>https://mrmag.ru/, https://yoshkar-ola.mrmag.ru/</t>
  </si>
  <si>
    <t>Магазин бытовой техники, Товары для дома</t>
  </si>
  <si>
    <t>https://vk.com/pnzmrmag</t>
  </si>
  <si>
    <t>https://ok.ru/group52076028625112</t>
  </si>
  <si>
    <t>https://www.youtube.com/channel/UCVr3POd-tjXr59t0Atq1RrA</t>
  </si>
  <si>
    <t>https://www.instagram.com/mrmag.ru/</t>
  </si>
  <si>
    <t>47.908704 56.639191</t>
  </si>
  <si>
    <t>Региональное отделение республики Марий Эл Военно-охотничье общество Приволжского военного округа межрегиональная спортивная общественная организация</t>
  </si>
  <si>
    <t>ул. Героев Сталинградской Битвы, 35А, Йошкар-Ола</t>
  </si>
  <si>
    <t>+7 (8362) 64-72-93</t>
  </si>
  <si>
    <t xml:space="preserve">3avooprivo@mail.ru, vooprivo@mail.ru </t>
  </si>
  <si>
    <t>https://vooprivomsoo.ru/</t>
  </si>
  <si>
    <t>Клуб охотников и рыболовов, Общественная организация, Спортивное объединение</t>
  </si>
  <si>
    <t>47.948773 56.624821</t>
  </si>
  <si>
    <t>Шляпс</t>
  </si>
  <si>
    <t>47.853006 56.640709</t>
  </si>
  <si>
    <t>+7 (8362) 52-52-00, +7 (8362) 55-05-41, +7 (8362) 39-12-56</t>
  </si>
  <si>
    <t>+7 (964) 862-52-00, +7 (967) 755-05-41</t>
  </si>
  <si>
    <t>47.83164 56.639305</t>
  </si>
  <si>
    <t>+7 (8362) 77-77-12</t>
  </si>
  <si>
    <t>+7 (987) 714-99-41</t>
  </si>
  <si>
    <t xml:space="preserve">inf@np-expert12.ru, director@azbuka12.ru  </t>
  </si>
  <si>
    <t>http://np-expert12.ru/</t>
  </si>
  <si>
    <t>https://vk.com/ekspertizayoshkarola</t>
  </si>
  <si>
    <t>https://www.facebook.com/ekspertiza.yoshkar.ola</t>
  </si>
  <si>
    <t>https://www.instagram.com/oooekspertiza</t>
  </si>
  <si>
    <t>Tamaris</t>
  </si>
  <si>
    <t>47.894964 56.632185</t>
  </si>
  <si>
    <t>Petek</t>
  </si>
  <si>
    <t>ТРУ-Ля-Ля</t>
  </si>
  <si>
    <t>+7 (937) 119-90-99</t>
  </si>
  <si>
    <t>47.834319 56.637927</t>
  </si>
  <si>
    <t>47.866815 56.625954</t>
  </si>
  <si>
    <t>Юрат-Мари</t>
  </si>
  <si>
    <t>+7 (8362) 31-26-40, +7 (8362) 31-26-50</t>
  </si>
  <si>
    <t xml:space="preserve">office@urat.ru, uratmari_electromarket1@mail.ru  </t>
  </si>
  <si>
    <t>http://urat.ru/</t>
  </si>
  <si>
    <t>Магазин электротоваров, Светильники, Светотехника</t>
  </si>
  <si>
    <t>47.866723 56.614841</t>
  </si>
  <si>
    <t>Церковь святой преподобномученицы Елисаветы</t>
  </si>
  <si>
    <t>47.903642 56.639511</t>
  </si>
  <si>
    <t>Laserlove</t>
  </si>
  <si>
    <t>+7 (927) 680-82-28</t>
  </si>
  <si>
    <t xml:space="preserve">yla@laserlove.ru  </t>
  </si>
  <si>
    <t>http://laserlove.ru/yola</t>
  </si>
  <si>
    <t>Косметология, Лазерная эпиляция, Салон красоты</t>
  </si>
  <si>
    <t>https://vk.com/laserlove_yola</t>
  </si>
  <si>
    <t>http://www.instagram.com/laserlove_yola/</t>
  </si>
  <si>
    <t>47.929308 56.629414</t>
  </si>
  <si>
    <t>+7 (909) 369-92-89</t>
  </si>
  <si>
    <t>Детский магазин, Магазин галантереи и аксессуаров, Магазин детской обуви, Магазин обуви</t>
  </si>
  <si>
    <t>47.884625 56.633455</t>
  </si>
  <si>
    <t>Магазин Катя</t>
  </si>
  <si>
    <t>+7 (902) 434-90-35</t>
  </si>
  <si>
    <t xml:space="preserve">biluch@inbox.ru, restoran@oldgeorge.ru, event@oldgeorge.ru  </t>
  </si>
  <si>
    <t>Корпания РФ</t>
  </si>
  <si>
    <t>+7 (937) 111-08-63</t>
  </si>
  <si>
    <t>http://корпания.рф/</t>
  </si>
  <si>
    <t>IT-компания, Программное обеспечение, Статистическая организация</t>
  </si>
  <si>
    <t>пн-пт 09:00–19:00, перерыв 13:00–14:00; сб 10:00–15:00</t>
  </si>
  <si>
    <t>https://vk.com/korpany</t>
  </si>
  <si>
    <t>https://ok.ru/group/57636577476791</t>
  </si>
  <si>
    <t>Магия Плюс</t>
  </si>
  <si>
    <t>+7 (8362) 45-14-28</t>
  </si>
  <si>
    <t>47.881732 56.631149</t>
  </si>
  <si>
    <t>+7 (987) 700-74-71</t>
  </si>
  <si>
    <t>http://pobeda-mf.ru/</t>
  </si>
  <si>
    <t>47.94412 56.636718</t>
  </si>
  <si>
    <t>Сауна Zebra</t>
  </si>
  <si>
    <t>http://сауна-зебра.рф/page/about/</t>
  </si>
  <si>
    <t>Неглиже</t>
  </si>
  <si>
    <t>+7 (8362) 51-81-31</t>
  </si>
  <si>
    <t>47.892759 56.639121</t>
  </si>
  <si>
    <t>Sea Elks</t>
  </si>
  <si>
    <t>Строй 366</t>
  </si>
  <si>
    <t>8 (800) 100-48-97</t>
  </si>
  <si>
    <t>Леди Шарм</t>
  </si>
  <si>
    <t>47.892772 56.638628</t>
  </si>
  <si>
    <t>Небосвод</t>
  </si>
  <si>
    <t>+7 (964) 862-15-21</t>
  </si>
  <si>
    <t>Натяжные и подвесные потолки, Светотехника</t>
  </si>
  <si>
    <t>Business Line</t>
  </si>
  <si>
    <t>8 (800) 700-76-74</t>
  </si>
  <si>
    <t>+7 (927) 825-58-30</t>
  </si>
  <si>
    <t>http://bisline.ru/</t>
  </si>
  <si>
    <t>47.84336 56.641179</t>
  </si>
  <si>
    <t>47.845627 56.638907</t>
  </si>
  <si>
    <t>Ip</t>
  </si>
  <si>
    <t>ул. Карла Маркса, 130, Йошкар-Ола</t>
  </si>
  <si>
    <t>+7 (893) 560-98-51</t>
  </si>
  <si>
    <t>47.889622 56.623764</t>
  </si>
  <si>
    <t>47.867632 56.647105</t>
  </si>
  <si>
    <t>Пифагорка</t>
  </si>
  <si>
    <t>+7 (8362) 27-09-06</t>
  </si>
  <si>
    <t>+7 (987) 727-09-06</t>
  </si>
  <si>
    <t xml:space="preserve">tula@pifagorka.com, pifagorka-19@yandex.ru, pifagorka_aksai@mail.ru, anapa.pifagorka@mail.ru, pifagorka38@mail.ru  </t>
  </si>
  <si>
    <t>https://pifagorka.com/, http://yoshkar-ola.pifagorka.com/</t>
  </si>
  <si>
    <t>Грузчики и Газели</t>
  </si>
  <si>
    <t>+7 (964) 863-17-55</t>
  </si>
  <si>
    <t>http://gruz12.site/</t>
  </si>
  <si>
    <t>Автомобильные грузоперевозки, Вывоз мусора и отходов, Сборка мебели, Строительные и отделочные работы, Услуги грузчиков</t>
  </si>
  <si>
    <t>47.917107 56.636788</t>
  </si>
  <si>
    <t>47.864439 56.646034</t>
  </si>
  <si>
    <t>47.832725 56.636639</t>
  </si>
  <si>
    <t>+7 (937) 938-92-29, +7 (927) 873-01-82</t>
  </si>
  <si>
    <t>47.946135 56.63405</t>
  </si>
  <si>
    <t>Лу Бань</t>
  </si>
  <si>
    <t>+7 (937) 118-22-33</t>
  </si>
  <si>
    <t xml:space="preserve">lu_ban@bk.ru  </t>
  </si>
  <si>
    <t>http://luban12.ru/</t>
  </si>
  <si>
    <t>47.951854 56.624083</t>
  </si>
  <si>
    <t>Кремлёвская ул., 14, Йошкар-Ола</t>
  </si>
  <si>
    <t>+7 (8362) 75-10-14</t>
  </si>
  <si>
    <t>47.896491 56.638446</t>
  </si>
  <si>
    <t>Птица счастья</t>
  </si>
  <si>
    <t>+7 (963) 126-85-33</t>
  </si>
  <si>
    <t>https://vk.com/club153605010</t>
  </si>
  <si>
    <t>Киоск печатной продукции</t>
  </si>
  <si>
    <t>Ola-la studio</t>
  </si>
  <si>
    <t>+7 (999) 609-55-99</t>
  </si>
  <si>
    <t>47.88604 56.635606</t>
  </si>
  <si>
    <t>Франчайзинг 5</t>
  </si>
  <si>
    <t>+7 (967) 756-30-60</t>
  </si>
  <si>
    <t>Бизнес-консалтинг, Продажа готового бизнеса и франшиз</t>
  </si>
  <si>
    <t>+7 (8362) 39-55-41, +7 (8362) 31-22-38</t>
  </si>
  <si>
    <t>+7 (917) 707-29-24, +7 (904) 724-22-38, +7 (987) 705-16-51</t>
  </si>
  <si>
    <t>http://vk.com/public128342304</t>
  </si>
  <si>
    <t>47.876649 56.656541</t>
  </si>
  <si>
    <t>Магазин нижнего белья и носочно-чулочных изделий</t>
  </si>
  <si>
    <t>Автомойка самообслуживания Акватория</t>
  </si>
  <si>
    <t>http://akvatoriya.business.site/</t>
  </si>
  <si>
    <t>https://vk.com/akvatoriya_avtomoika</t>
  </si>
  <si>
    <t>47.859642 56.639418</t>
  </si>
  <si>
    <t>ООО Теплоф</t>
  </si>
  <si>
    <t>47.948071 56.634807</t>
  </si>
  <si>
    <t>Центр эстрадного искусства Звукоград</t>
  </si>
  <si>
    <t>47.912799 56.635863</t>
  </si>
  <si>
    <t>Ардинский</t>
  </si>
  <si>
    <t>+7 (83643) 2-38-17</t>
  </si>
  <si>
    <t xml:space="preserve">ardinskoespo@list.ru  </t>
  </si>
  <si>
    <t>http://ardaspo.ru/</t>
  </si>
  <si>
    <t>47.842214 56.631961</t>
  </si>
  <si>
    <t>сквер Завода полупроводниковых приборов</t>
  </si>
  <si>
    <t>Россия, Республика Марий Эл, Йошкар-Ола, сквер Завода полупроводниковых приборов</t>
  </si>
  <si>
    <t>47.862859 56.637101</t>
  </si>
  <si>
    <t>Грузинский пури</t>
  </si>
  <si>
    <t>47.902476 56.648491</t>
  </si>
  <si>
    <t>Fudjifilm</t>
  </si>
  <si>
    <t>+7 (8362) 67-80-95</t>
  </si>
  <si>
    <t>47.840701 56.635405</t>
  </si>
  <si>
    <t>13 by Black Star</t>
  </si>
  <si>
    <t>+7 (902) 743-13-13</t>
  </si>
  <si>
    <t>Барбершоп</t>
  </si>
  <si>
    <t>47.871217 56.638921</t>
  </si>
  <si>
    <t>ГК Гудок</t>
  </si>
  <si>
    <t>47.90916 56.610353</t>
  </si>
  <si>
    <t>47.8627 56.641006</t>
  </si>
  <si>
    <t>+7 (8362) 61-11-16, +7 (8362) 31-98-88</t>
  </si>
  <si>
    <t>47.934872 56.643983</t>
  </si>
  <si>
    <t>БелСтиль</t>
  </si>
  <si>
    <t>Tattoo Zamess</t>
  </si>
  <si>
    <t>+7 (8362) 71-47-14</t>
  </si>
  <si>
    <t>+7 (902) 466-47-14</t>
  </si>
  <si>
    <t xml:space="preserve">info@tattoozamess.ru  </t>
  </si>
  <si>
    <t>https://tattoozamess.ru/</t>
  </si>
  <si>
    <t>Магазин бижутерии, Пирсинг-салон, Тату-салон</t>
  </si>
  <si>
    <t>https://vk.com/tattoo_zamess</t>
  </si>
  <si>
    <t>https://www.youtube.com/user/zamessbrand</t>
  </si>
  <si>
    <t>https://www.instagram.com/tattoozamess</t>
  </si>
  <si>
    <t>47.82569 56.639561</t>
  </si>
  <si>
    <t>7 Авеню</t>
  </si>
  <si>
    <t>47.892524 56.638112</t>
  </si>
  <si>
    <t>Морская рыба</t>
  </si>
  <si>
    <t>47.87087 56.645905</t>
  </si>
  <si>
    <t>Галерея цветов Прованс</t>
  </si>
  <si>
    <t>+7 (8362) 51-39-99</t>
  </si>
  <si>
    <t>пн-чт 07:30–23:00; пт 07:30–00:00; сб 08:00–00:00; вс 08:00–23:00</t>
  </si>
  <si>
    <t>47.88923 56.630499</t>
  </si>
  <si>
    <t>47.892736 56.63859</t>
  </si>
  <si>
    <t>ИП Усков Михаил Павлович</t>
  </si>
  <si>
    <t>ул. Мышино, 116Г, Йошкар-Ола</t>
  </si>
  <si>
    <t>https://банялипа.рф/</t>
  </si>
  <si>
    <t>Двери, Деревообрабатывающее предприятие, Товары для бани и сауны</t>
  </si>
  <si>
    <t>пн-пт 06:00–23:00</t>
  </si>
  <si>
    <t>47.827772 56.656585</t>
  </si>
  <si>
    <t>Жалюзи, рольставни, ролл-шторы</t>
  </si>
  <si>
    <t>+7 (8362) 72-32-37, +7 (8362) 96-80-53</t>
  </si>
  <si>
    <t>+7 (902) 326-80-53</t>
  </si>
  <si>
    <t>Окна, Товары для дома</t>
  </si>
  <si>
    <t>Мебель-Трансформер.com</t>
  </si>
  <si>
    <t>+7 (927) 668-62-09</t>
  </si>
  <si>
    <t>Корпусная мебель, Мебель для спальни, Мебель на заказ</t>
  </si>
  <si>
    <t>https://vk.com/mebeltransformer12</t>
  </si>
  <si>
    <t>https://www.instagram.com/mebel.transformer12</t>
  </si>
  <si>
    <t>Гарант-строй</t>
  </si>
  <si>
    <t>+7 (8362) 48-84-00</t>
  </si>
  <si>
    <t xml:space="preserve">gar488400@yandex.ru  </t>
  </si>
  <si>
    <t>http://garantstroy12.ru/</t>
  </si>
  <si>
    <t>Квартиры в новостройках, Строительные и отделочные работы</t>
  </si>
  <si>
    <t>47.883127 56.644461</t>
  </si>
  <si>
    <t>ТСЖ Клён</t>
  </si>
  <si>
    <t>Пролетарская ул., 21А, Йошкар-Ола</t>
  </si>
  <si>
    <t>+7 (902) 329-58-86</t>
  </si>
  <si>
    <t>вт,пт 17:00–19:00</t>
  </si>
  <si>
    <t>47.895548 56.643866</t>
  </si>
  <si>
    <t>Центр марийской вышивки</t>
  </si>
  <si>
    <t>47.890116 56.630353</t>
  </si>
  <si>
    <t>Гросс</t>
  </si>
  <si>
    <t>+7 (8362) 63-51-51</t>
  </si>
  <si>
    <t>+7 (909) 369-49-01</t>
  </si>
  <si>
    <t xml:space="preserve">gross-12@yandex.ru </t>
  </si>
  <si>
    <t>http://www.шпон-массив.рф/</t>
  </si>
  <si>
    <t>Эком+</t>
  </si>
  <si>
    <t>+7 (8362) 30-45-20</t>
  </si>
  <si>
    <t>+7 (964) 864-09-77, +7 (902) 326-09-08</t>
  </si>
  <si>
    <t xml:space="preserve">mebel-eco@mail.ru </t>
  </si>
  <si>
    <t>http://mebel-prod.ru/, http://eco-doors.ru/</t>
  </si>
  <si>
    <t>Двери, Деревообрабатывающее предприятие, Магазин мебели, Мебель на заказ, Мебельная фабрика</t>
  </si>
  <si>
    <t>http://vk.com/ecommebel</t>
  </si>
  <si>
    <t>Доступный мир</t>
  </si>
  <si>
    <t>+7 (8362) 35-55-45</t>
  </si>
  <si>
    <t xml:space="preserve">info@dostupcentr.ru </t>
  </si>
  <si>
    <t>Товары для инвалидов, средства реабилитации</t>
  </si>
  <si>
    <t>47.894602 56.637552</t>
  </si>
  <si>
    <t>Сервис</t>
  </si>
  <si>
    <t>47.863064 56.645948</t>
  </si>
  <si>
    <t>+7 (902) 736-67-67, +7 (937) 111-29-74</t>
  </si>
  <si>
    <t>Кокшайский пр., 53, Йошкар-Ола</t>
  </si>
  <si>
    <t>47.881713 56.605802</t>
  </si>
  <si>
    <t>47.885372 56.634979</t>
  </si>
  <si>
    <t>Вараш</t>
  </si>
  <si>
    <t>+7 (8362) 45-34-30, +7 (8362) 52-09-35, +7 (8362) 31-34-90, +7 (8362) 98-68-70</t>
  </si>
  <si>
    <t>http://ipsc12.ru/</t>
  </si>
  <si>
    <t>Спортивный клуб, секция, Стрелковый клуб, тир</t>
  </si>
  <si>
    <t>47.883249 56.639039</t>
  </si>
  <si>
    <t>FoxArt Holst</t>
  </si>
  <si>
    <t>+7 (902) 431-11-32</t>
  </si>
  <si>
    <t>Магазин подарков и сувениров, Широкоформатная печать</t>
  </si>
  <si>
    <t>https://vk.com/foxartholst</t>
  </si>
  <si>
    <t>Студия Ok</t>
  </si>
  <si>
    <t>+7 (8362) 90-76-56</t>
  </si>
  <si>
    <t xml:space="preserve">okstudio12@mail.ru  </t>
  </si>
  <si>
    <t>https://vk.com/okstudio12</t>
  </si>
  <si>
    <t>47.923808 56.635729</t>
  </si>
  <si>
    <t>Двери М</t>
  </si>
  <si>
    <t>+7 (8362) 61-09-39</t>
  </si>
  <si>
    <t>+7 (902) 101-09-39</t>
  </si>
  <si>
    <t>47.84678 56.634169</t>
  </si>
  <si>
    <t>Newform</t>
  </si>
  <si>
    <t>+7 (902) 739-99-61</t>
  </si>
  <si>
    <t xml:space="preserve">eshop@newformstil.ru  </t>
  </si>
  <si>
    <t>Магазин для будущих мам</t>
  </si>
  <si>
    <t>https://www.instagram.com/newform12</t>
  </si>
  <si>
    <t>47.889861 56.639778</t>
  </si>
  <si>
    <t>+7 (8362) 33-28-88</t>
  </si>
  <si>
    <t>Artprofy</t>
  </si>
  <si>
    <t>+7 (902) 744-50-55</t>
  </si>
  <si>
    <t>Строймари</t>
  </si>
  <si>
    <t>Кровельные работы, Металлические заборы и ограждения, Строительство бань и саун</t>
  </si>
  <si>
    <t>Йошкар-Олинская городская больница, отделение анестезиологии и реаниматологии</t>
  </si>
  <si>
    <t>+7 (8362) 68-54-71, +7 (8362) 68-54-24</t>
  </si>
  <si>
    <t>http://55kar.polickliniki.ru/</t>
  </si>
  <si>
    <t>Спутниковое ТВ МТС</t>
  </si>
  <si>
    <t>+7 (8362) 99-92-24</t>
  </si>
  <si>
    <t>Антенны, Оператор спутниковой связи, Спутниковое телевидение</t>
  </si>
  <si>
    <t>https://vk.com/tv_mts_mariel</t>
  </si>
  <si>
    <t>47.882976 56.639961</t>
  </si>
  <si>
    <t>Apartment on Suvorova 40</t>
  </si>
  <si>
    <t>ул. Суворова, 40, Йошкар-Ола</t>
  </si>
  <si>
    <t>47.860264 56.639857</t>
  </si>
  <si>
    <t>Магазин электрохозтоваров</t>
  </si>
  <si>
    <t>Магазин хозтоваров и бытовой химии, Электромонтажные и электроустановочные изделия</t>
  </si>
  <si>
    <t>https://vk.com/12oduvanchikov</t>
  </si>
  <si>
    <t>Дом культуры Всероссийского общества слепых</t>
  </si>
  <si>
    <t>+7 (8362) 72-71-63</t>
  </si>
  <si>
    <t>47.890309 56.645671</t>
  </si>
  <si>
    <t>47.820827 56.633261</t>
  </si>
  <si>
    <t>Россия, Республика Марий Эл, Йошкар-Ола, улица Седова</t>
  </si>
  <si>
    <t>47.862873 56.643637</t>
  </si>
  <si>
    <t>47.884787 56.609546</t>
  </si>
  <si>
    <t>47.84741 56.641297</t>
  </si>
  <si>
    <t>47.946088 56.637037</t>
  </si>
  <si>
    <t>38 Попугаев</t>
  </si>
  <si>
    <t>+7 (987) 718-94-24</t>
  </si>
  <si>
    <t>Детские игрушки и игры, Книжный магазин</t>
  </si>
  <si>
    <t>https://vk.com/38popugaevv</t>
  </si>
  <si>
    <t>РУ Телефон</t>
  </si>
  <si>
    <t>ул. Баумана, 19, Йошкар-Ола</t>
  </si>
  <si>
    <t>47.845691 56.63956</t>
  </si>
  <si>
    <t>СКПК Развитие</t>
  </si>
  <si>
    <t>+7 (8362) 48-38-98</t>
  </si>
  <si>
    <t>47.898342 56.636838</t>
  </si>
  <si>
    <t>Кафедра физкультуры</t>
  </si>
  <si>
    <t>47.891838 56.629045</t>
  </si>
  <si>
    <t>Tiger</t>
  </si>
  <si>
    <t>Бургерная YoBurger</t>
  </si>
  <si>
    <t>https://vk.com/yoburger12</t>
  </si>
  <si>
    <t>47.880296 56.64332</t>
  </si>
  <si>
    <t>Дом Музыка и Мода</t>
  </si>
  <si>
    <t>ул. Шкетана, 27, Йошкар-Ола</t>
  </si>
  <si>
    <t>47.85967 56.6434</t>
  </si>
  <si>
    <t>Пирожкофф</t>
  </si>
  <si>
    <t>Ювенал</t>
  </si>
  <si>
    <t>+7 (8362) 43-22-55</t>
  </si>
  <si>
    <t>Автоэкспертиза, оценка автомобилей, Юридические услуги</t>
  </si>
  <si>
    <t>Риатэкс</t>
  </si>
  <si>
    <t>8 (800) 100-60-68</t>
  </si>
  <si>
    <t xml:space="preserve">riateks@yandex.ru  </t>
  </si>
  <si>
    <t>https://yoshkar-ola.riateks.ru/</t>
  </si>
  <si>
    <t>https://vk.com/zhaluzii</t>
  </si>
  <si>
    <t>47.880285 56.626148</t>
  </si>
  <si>
    <t>47.848437 56.616144</t>
  </si>
  <si>
    <t>Strike Arena центр киберспорта</t>
  </si>
  <si>
    <t>+7 (987) 711-21-00</t>
  </si>
  <si>
    <t xml:space="preserve">partner@strike-arena.com, ksrtikearena@ya.ru  </t>
  </si>
  <si>
    <t>https://strike-arena.com/</t>
  </si>
  <si>
    <t>Игровой клуб</t>
  </si>
  <si>
    <t>https://vk.com/strike_arena_yo</t>
  </si>
  <si>
    <t>https://www.instagram.com/strike_arena_yo</t>
  </si>
  <si>
    <t>47.897148 56.634124</t>
  </si>
  <si>
    <t>+7 (8362) 37-39-63</t>
  </si>
  <si>
    <t>+7 (902) 433-39-63</t>
  </si>
  <si>
    <t>Магазин сантехники, Магазин хозтоваров и бытовой химии, Системы водоснабжения, отопления, канализации, Сухие строительные смеси, Электро- и бензоинструмент</t>
  </si>
  <si>
    <t>Полек</t>
  </si>
  <si>
    <t>+7 (8362) 75-85-84</t>
  </si>
  <si>
    <t>Магазин бижутерии, Магазин подарков и сувениров</t>
  </si>
  <si>
    <t>47.892803 56.638478</t>
  </si>
  <si>
    <t>Xaomi-Yola</t>
  </si>
  <si>
    <t>+7 (8362) 38-04-04</t>
  </si>
  <si>
    <t>https://xiaomi-yola.ru/</t>
  </si>
  <si>
    <t>Магазин электроники, Товары для мобильных телефонов</t>
  </si>
  <si>
    <t>https://vk.com/xiaomi_yola</t>
  </si>
  <si>
    <t>47.893907 56.64039</t>
  </si>
  <si>
    <t>ул. Панфилова, 17/1, Йошкар-Ола</t>
  </si>
  <si>
    <t>Komfort около набережной</t>
  </si>
  <si>
    <t>47.93055 56.64035</t>
  </si>
  <si>
    <t>Лунтик</t>
  </si>
  <si>
    <t>Elephant games</t>
  </si>
  <si>
    <t>+7 (8362) 23-26-35</t>
  </si>
  <si>
    <t xml:space="preserve">support@elephant-games.com </t>
  </si>
  <si>
    <t>ИСМ-Казань</t>
  </si>
  <si>
    <t>47.913618 56.642625</t>
  </si>
  <si>
    <t>ул. Яна Крастыня, 6, Йошкар-Ола</t>
  </si>
  <si>
    <t>47.829764 56.6325</t>
  </si>
  <si>
    <t>Affinity Estate</t>
  </si>
  <si>
    <t>Воскресенский просп., 13, Йошкар-Ола</t>
  </si>
  <si>
    <t xml:space="preserve">affinity_estate@bk.ru  </t>
  </si>
  <si>
    <t>http://affinity-estate.ru/</t>
  </si>
  <si>
    <t>+7 (960) 096-28-70</t>
  </si>
  <si>
    <t>УФМС</t>
  </si>
  <si>
    <t>ул. Волкова, 103А, Йошкар-Ола</t>
  </si>
  <si>
    <t>47.897413 56.63671</t>
  </si>
  <si>
    <t>Дизель 12</t>
  </si>
  <si>
    <t>ул. Соловьёва, 22, корп. 2, Йошкар-Ола</t>
  </si>
  <si>
    <t>+7 (8362) 39-01-40</t>
  </si>
  <si>
    <t>http://diesel12.ru/</t>
  </si>
  <si>
    <t>пн-пт 09:00–18:00; сб 09:30–15:30</t>
  </si>
  <si>
    <t>47.872997 56.623827</t>
  </si>
  <si>
    <t>47.884994 56.642915</t>
  </si>
  <si>
    <t>47.879941 56.633146</t>
  </si>
  <si>
    <t>+7 (8362) 30-83-87</t>
  </si>
  <si>
    <t>47.92679 56.63929</t>
  </si>
  <si>
    <t>Одежда для всей семьи</t>
  </si>
  <si>
    <t>47.910352 56.630667</t>
  </si>
  <si>
    <t>Кредитный Юрист</t>
  </si>
  <si>
    <t>+7 (8362) 38-10-51, +7 (8362) 38-10-71</t>
  </si>
  <si>
    <t>http://кредитюрист.рф/йошкарола</t>
  </si>
  <si>
    <t>пн-пт 08:30–17:30, перерыв 12:30–13:30; сб 10:00–16:00</t>
  </si>
  <si>
    <t>https://vk.com/antikollectori</t>
  </si>
  <si>
    <t>47.944265 56.622052</t>
  </si>
  <si>
    <t>+7 (8362) 99-76-62</t>
  </si>
  <si>
    <t>Попутный ветер</t>
  </si>
  <si>
    <t>Одежда для будущих Мам</t>
  </si>
  <si>
    <t>47.889898 56.639757</t>
  </si>
  <si>
    <t>47.918801 56.626989</t>
  </si>
  <si>
    <t>Магазин спецодежды</t>
  </si>
  <si>
    <t>47.892758 56.638727</t>
  </si>
  <si>
    <t>Империя Камня</t>
  </si>
  <si>
    <t>+7 (8362) 50-90-90, +7 (8362) 51-29-29</t>
  </si>
  <si>
    <t xml:space="preserve">14370afcdc17429f9e418d5ffbd0334a@sentry.wixpress.com, 12plitka@mail.ru, wixofday@wix.com  </t>
  </si>
  <si>
    <t>http://plitka12.ru/</t>
  </si>
  <si>
    <t>Тротуарная плитка</t>
  </si>
  <si>
    <t>47.933196 56.642238</t>
  </si>
  <si>
    <t>ПСК Руфер</t>
  </si>
  <si>
    <t>ул. Якова Эшпая, 136Б, Йошкар-Ола</t>
  </si>
  <si>
    <t>47.880932 56.638985</t>
  </si>
  <si>
    <t>Eco Mix</t>
  </si>
  <si>
    <t>+7 (937) 936-80-05</t>
  </si>
  <si>
    <t>47.926441 56.635343</t>
  </si>
  <si>
    <t>47.943135 56.622074</t>
  </si>
  <si>
    <t>Аптека низкие цены готовых лекарственных форм</t>
  </si>
  <si>
    <t>47.882305 56.621878</t>
  </si>
  <si>
    <t>Швейная мастерская</t>
  </si>
  <si>
    <t>+7 (987) 731-47-46</t>
  </si>
  <si>
    <t>Страховая компания Документцентр-Авто</t>
  </si>
  <si>
    <t>ул. Строителей, 105, корп. 2, Йошкар-Ола</t>
  </si>
  <si>
    <t>+7 (8362) 50-33-66</t>
  </si>
  <si>
    <t>Жилищный союз</t>
  </si>
  <si>
    <t>47.898263 56.647409</t>
  </si>
  <si>
    <t>Продаём всё для бани и сауны</t>
  </si>
  <si>
    <t>http://kuznetsov12.ru/</t>
  </si>
  <si>
    <t>Интернет-магазин, Магазин подарков и сувениров, Магазин хозтоваров и бытовой химии</t>
  </si>
  <si>
    <t>47.854058 56.628739</t>
  </si>
  <si>
    <t>Одевайся</t>
  </si>
  <si>
    <t>Трансформаторная подстанция № 193</t>
  </si>
  <si>
    <t>47.960689 56.642081</t>
  </si>
  <si>
    <t>Мандаринка</t>
  </si>
  <si>
    <t>+7 (8362) 38-55-52, +7 (8362) 99-09-05</t>
  </si>
  <si>
    <t>пн-пт 07:30–20:00; сб,вс 08:00–19:00</t>
  </si>
  <si>
    <t>47.875205 56.637444</t>
  </si>
  <si>
    <t>47.856051 56.650713</t>
  </si>
  <si>
    <t>47.85763 56.659905</t>
  </si>
  <si>
    <t>Ленинградский Доз</t>
  </si>
  <si>
    <t>+7 (919) 419-03-40</t>
  </si>
  <si>
    <t>47.827823 56.656567</t>
  </si>
  <si>
    <t xml:space="preserve">seversg@bk.ru </t>
  </si>
  <si>
    <t>47.898836 56.650486</t>
  </si>
  <si>
    <t>JuiceMe</t>
  </si>
  <si>
    <t>47.929579 56.627576</t>
  </si>
  <si>
    <t>Деньги cейчас</t>
  </si>
  <si>
    <t>47.833121 56.636794</t>
  </si>
  <si>
    <t>Йошкар-Олинский учебный спортивно-технический центр Регионального отделения ДОСААФ России Республики Марий Эл</t>
  </si>
  <si>
    <t>47.902032 56.639599</t>
  </si>
  <si>
    <t>Apartment on Pavlova 9</t>
  </si>
  <si>
    <t>ул. Тургенева, 17/9, Йошкар-Ола</t>
  </si>
  <si>
    <t>47.868701 56.62334</t>
  </si>
  <si>
    <t>Анфея</t>
  </si>
  <si>
    <t>+7 (8362) 56-44-40, +7 (8362) 56-41-11</t>
  </si>
  <si>
    <t>Продукты глубокой заморозки</t>
  </si>
  <si>
    <t>47.893844 56.614794</t>
  </si>
  <si>
    <t>47.92201 56.640174</t>
  </si>
  <si>
    <t>Time Smoke</t>
  </si>
  <si>
    <t>+7 (964) 861-11-17</t>
  </si>
  <si>
    <t>https://www.instagram.com/time_smoke</t>
  </si>
  <si>
    <t>47.880318 56.63809</t>
  </si>
  <si>
    <t>Аварийно-спасательное оборудование и техника, Пожарное оборудование</t>
  </si>
  <si>
    <t>47.898587 56.636775</t>
  </si>
  <si>
    <t>Соваременные технологии</t>
  </si>
  <si>
    <t>площадь имени В.И. Ленина, 20, Йошкар-Ола</t>
  </si>
  <si>
    <t>+7 (999) 162-40-79</t>
  </si>
  <si>
    <t>Mon Tresor</t>
  </si>
  <si>
    <t>+7 (8362) 77-74-07</t>
  </si>
  <si>
    <t xml:space="preserve">info@mon-tresor.ru  </t>
  </si>
  <si>
    <t>http://www.mon-tresor.ru/</t>
  </si>
  <si>
    <t>пн-чт 12:00–00:00; пт,сб 12:00–01:00; вс 12:00–00:00</t>
  </si>
  <si>
    <t>https://vk.com/montresorrestobar</t>
  </si>
  <si>
    <t>http://facebook.com/pages/mon-tresor/1184127421642787</t>
  </si>
  <si>
    <t>47.928505 56.631121</t>
  </si>
  <si>
    <t>ул. Павленко, 3, Йошкар-Ола</t>
  </si>
  <si>
    <t>47.944987 56.630482</t>
  </si>
  <si>
    <t>Basicdecor</t>
  </si>
  <si>
    <t>+7 (8362) 45-86-52</t>
  </si>
  <si>
    <t>Интернет-магазин, Светильники, Светотехника, Строительный магазин</t>
  </si>
  <si>
    <t>+7 (902) 672-90-83</t>
  </si>
  <si>
    <t>47.924012 56.63807</t>
  </si>
  <si>
    <t>+7 (902) 465-05-10</t>
  </si>
  <si>
    <t xml:space="preserve">zakaz@pspanel.ru  </t>
  </si>
  <si>
    <t>http://pspanel.ru/</t>
  </si>
  <si>
    <t>Производственное предприятие, Строительные конструкции</t>
  </si>
  <si>
    <t>https://vk.com/profstroipanel</t>
  </si>
  <si>
    <t>47.895889 56.610711</t>
  </si>
  <si>
    <t>Корабль Сокровищ</t>
  </si>
  <si>
    <t>+7 (902) 736-01-46</t>
  </si>
  <si>
    <t>47.917438 56.63115</t>
  </si>
  <si>
    <t>Лессервис12</t>
  </si>
  <si>
    <t>+7 (917) 718-04-74</t>
  </si>
  <si>
    <t xml:space="preserve">lesservis12_m1@mail.ru  </t>
  </si>
  <si>
    <t>http://www.lipa-mariel.ru/</t>
  </si>
  <si>
    <t>Деревообрабатывающее предприятие, Пиломатериалы, Строительство бань и саун</t>
  </si>
  <si>
    <t>пн-пт 08:00–18:00; сб 08:00–18:00, перерыв 12:00–13:00</t>
  </si>
  <si>
    <t>47.975678 56.63755</t>
  </si>
  <si>
    <t>ПСК Идель</t>
  </si>
  <si>
    <t>+7 (8362) 38-29-49, +7 (8362) 69-03-69, +7 (36248) 8-08-08</t>
  </si>
  <si>
    <t>+7 (969) 779-03-69</t>
  </si>
  <si>
    <t>Цветков</t>
  </si>
  <si>
    <t>+7 (8362) 92-08-36</t>
  </si>
  <si>
    <t>47.892425 56.64594</t>
  </si>
  <si>
    <t>Арки двери</t>
  </si>
  <si>
    <t>47.937372 56.636778</t>
  </si>
  <si>
    <t>47.841706 56.633776</t>
  </si>
  <si>
    <t>Студия Рины Ершовой</t>
  </si>
  <si>
    <t>+7 (927) 878-92-78</t>
  </si>
  <si>
    <t>пн-сб 09:30–19:00</t>
  </si>
  <si>
    <t>ул. Шумелёва, 12, Йошкар-Ола</t>
  </si>
  <si>
    <t>47.850122 56.627157</t>
  </si>
  <si>
    <t>Буряков</t>
  </si>
  <si>
    <t>8 (800) 550-11-09</t>
  </si>
  <si>
    <t>+7 (930) 011-01-16</t>
  </si>
  <si>
    <t xml:space="preserve">zakaz@buryakof.ru, info@buryakof.ru  </t>
  </si>
  <si>
    <t>https://yoshkar-ola.buryakof.ru/</t>
  </si>
  <si>
    <t>https://vk.com/burykof</t>
  </si>
  <si>
    <t>https://www.instagram.com/buryakov_vrn</t>
  </si>
  <si>
    <t>Управление капитального строительства правительства Республики Марий Эл</t>
  </si>
  <si>
    <t>+7 (8362) 64-15-07</t>
  </si>
  <si>
    <t>пн-пт 08:00–17:30, перерыв 12:30–14:00</t>
  </si>
  <si>
    <t>47.888173 56.630659</t>
  </si>
  <si>
    <t>47.892073 56.653393</t>
  </si>
  <si>
    <t>Россия, Республика Марий Эл, Йошкар-Ола, улица Некрасова</t>
  </si>
  <si>
    <t>47.904922 56.653756</t>
  </si>
  <si>
    <t>Мир орехов и сухофруктов</t>
  </si>
  <si>
    <t>Пищевые ингредиенты и специи</t>
  </si>
  <si>
    <t>47.889627 56.615262</t>
  </si>
  <si>
    <t>ЭнергоПроф</t>
  </si>
  <si>
    <t>8 (800) 100-27-93, +7 (8362) 34-70-66</t>
  </si>
  <si>
    <t xml:space="preserve">yoshkar@sklad-generator.ru, mail@sklad-generator.ru  </t>
  </si>
  <si>
    <t>http://yoshkar.sklad-generator.ru/</t>
  </si>
  <si>
    <t>http://vk.com/club85819460</t>
  </si>
  <si>
    <t>http://ok.ru/group/52372075970753</t>
  </si>
  <si>
    <t>http://twitter.com/energo_prof</t>
  </si>
  <si>
    <t>http://www.facebook.com/energoprof.generator</t>
  </si>
  <si>
    <t>Террадек</t>
  </si>
  <si>
    <t>8 (800) 775-08-91</t>
  </si>
  <si>
    <t xml:space="preserve">info@terradeck.ru  </t>
  </si>
  <si>
    <t>https://yoshkar-ola.terradeck.ru/</t>
  </si>
  <si>
    <t>Зимние сады, веранды, террасы, Пиломатериалы</t>
  </si>
  <si>
    <t>https://www.facebook.com/www.terradeck.ru</t>
  </si>
  <si>
    <t>https://www.youtube.com/channel/UCHqmy5SsShUrTmM1PA1u-ZQ</t>
  </si>
  <si>
    <t>https://www.instagram.com/terradeck.official/</t>
  </si>
  <si>
    <t>47.92504 56.62594</t>
  </si>
  <si>
    <t>Брусчатка 12</t>
  </si>
  <si>
    <t>+7 (8362) 20-46-47</t>
  </si>
  <si>
    <t>47.892375 56.637094</t>
  </si>
  <si>
    <t>Трансформаторная подстанция № 308</t>
  </si>
  <si>
    <t>47.96563 56.641198</t>
  </si>
  <si>
    <t>пн-пт 08:00–17:00; сб 10:00–13:00</t>
  </si>
  <si>
    <t>47.872776 56.628977</t>
  </si>
  <si>
    <t>ИмперАвто</t>
  </si>
  <si>
    <t>+7 (8362) 34-30-84</t>
  </si>
  <si>
    <t>+7 (929) 734-30-84</t>
  </si>
  <si>
    <t xml:space="preserve">info@imperauto.ru  </t>
  </si>
  <si>
    <t>http://imperauto.ru/</t>
  </si>
  <si>
    <t>Магазин автозапчастей и автотоваров, Смазочные материалы</t>
  </si>
  <si>
    <t>47.89267 56.63235</t>
  </si>
  <si>
    <t>Ленинский просп., 59Б, Йошкар-Ола</t>
  </si>
  <si>
    <t>47.874264 56.634205</t>
  </si>
  <si>
    <t>Детский сад № 39 Веснушка</t>
  </si>
  <si>
    <t>+7 (8362) 21-00-07, +7 (8362) 21-09-01, +7 (36222) 1-09-01, +7 (36222) 1-00-07</t>
  </si>
  <si>
    <t>47.914357 56.628828</t>
  </si>
  <si>
    <t>Betcity</t>
  </si>
  <si>
    <t>8 (800) 100-74-75</t>
  </si>
  <si>
    <t xml:space="preserve">support@betcity.ru  </t>
  </si>
  <si>
    <t>https://betcity.ru/, https://m.betcity.ru/</t>
  </si>
  <si>
    <t>https://vk.com/betcity_official</t>
  </si>
  <si>
    <t>Займ</t>
  </si>
  <si>
    <t xml:space="preserve">shop@freshsmoke.su  </t>
  </si>
  <si>
    <t>http://yoshkar-ola.freshsmoke.su/</t>
  </si>
  <si>
    <t>https://vk.com/club114865959</t>
  </si>
  <si>
    <t>47.933376 56.644079</t>
  </si>
  <si>
    <t>+7 (8362) 47-64-77</t>
  </si>
  <si>
    <t>ежедневно, 09:00–00:30</t>
  </si>
  <si>
    <t>47.902567 56.648454</t>
  </si>
  <si>
    <t>Не школа Барабанов</t>
  </si>
  <si>
    <t>+7 (996) 115-75-88</t>
  </si>
  <si>
    <t>https://vk.com/neshkola_yola</t>
  </si>
  <si>
    <t>47.876791 56.614966</t>
  </si>
  <si>
    <t>Магазин цветов Охапка.ру</t>
  </si>
  <si>
    <t>+7 (8362) 24-34-89</t>
  </si>
  <si>
    <t>+7 (902) 434-34-89</t>
  </si>
  <si>
    <t>https://instagram.com/ohapka.ru</t>
  </si>
  <si>
    <t>47.853903 56.642946</t>
  </si>
  <si>
    <t>Мотомастер</t>
  </si>
  <si>
    <t>+7 (902) 743-46-96, +7 (937) 110-62-66</t>
  </si>
  <si>
    <t>Ремонт мототехники, Электро- и бензоинструмент</t>
  </si>
  <si>
    <t>Все для бани</t>
  </si>
  <si>
    <t>+7 (958) 843-31-79</t>
  </si>
  <si>
    <t>https://vk.com/vsedlabani12</t>
  </si>
  <si>
    <t>47.90329 56.616467</t>
  </si>
  <si>
    <t>47.875625 56.637305</t>
  </si>
  <si>
    <t>ул. Волкова, 196, Йошкар-Ола</t>
  </si>
  <si>
    <t>47.890418 56.62954</t>
  </si>
  <si>
    <t>Безопасность</t>
  </si>
  <si>
    <t>ул. Суворова, 26А, Йошкар-Ола</t>
  </si>
  <si>
    <t>+7 (8362) 72-01-49</t>
  </si>
  <si>
    <t>47.863936 56.637526</t>
  </si>
  <si>
    <t>Россия, Республика Марий Эл, Йошкар-Ола, улица Пархоменко</t>
  </si>
  <si>
    <t>47.874156 56.629471</t>
  </si>
  <si>
    <t>47.91252 56.626212</t>
  </si>
  <si>
    <t>Единица плюс</t>
  </si>
  <si>
    <t>+7 (8362) 38-01-11</t>
  </si>
  <si>
    <t>https://medicina-edinica.ru/</t>
  </si>
  <si>
    <t>пн-пт 07:30–17:30</t>
  </si>
  <si>
    <t>https://vk.com/edinicamedcentr</t>
  </si>
  <si>
    <t>https://www.instagram.com/medcentredinica</t>
  </si>
  <si>
    <t>+7 (8362) 29-07-90</t>
  </si>
  <si>
    <t>Прокат автомобилей, Такси</t>
  </si>
  <si>
    <t>Золотая леди</t>
  </si>
  <si>
    <t>+7 (964) 250-67-81</t>
  </si>
  <si>
    <t>Магазин чулок и колготок, Оптовый магазин, Трикотаж, трикотажные изделия</t>
  </si>
  <si>
    <t>Ленинский просп., 15Е, Йошкар-Ола</t>
  </si>
  <si>
    <t>47.89947 56.626672</t>
  </si>
  <si>
    <t>47.902307 56.647901</t>
  </si>
  <si>
    <t>Производственная фирма Таирлес</t>
  </si>
  <si>
    <t>+7 (8362) 33-49-47</t>
  </si>
  <si>
    <t>+7 (927) 883-49-47</t>
  </si>
  <si>
    <t>Пиломатериалы, Строительный магазин, Строительство бань и саун</t>
  </si>
  <si>
    <t>Тархановский</t>
  </si>
  <si>
    <t>Школьная ул., 26, Йошкар-Ола</t>
  </si>
  <si>
    <t>47.848175 56.656636</t>
  </si>
  <si>
    <t>47.830184 56.636439</t>
  </si>
  <si>
    <t xml:space="preserve">info@gamazon.ru  </t>
  </si>
  <si>
    <t>http://www.gamazon.ru/</t>
  </si>
  <si>
    <t>Линолеум ламинат</t>
  </si>
  <si>
    <t>47.873525 56.647308</t>
  </si>
  <si>
    <t>+7 (927) 888-54-44, +7 (927) 883-54-44</t>
  </si>
  <si>
    <t xml:space="preserve">idey12@bk.ru  </t>
  </si>
  <si>
    <t>https://idey12.ru/</t>
  </si>
  <si>
    <t>Магазин сантехники, Мебельная фурнитура и комплектующие, Шкафы-купе</t>
  </si>
  <si>
    <t>https://vk.com/idey12</t>
  </si>
  <si>
    <t>47.834932 56.625255</t>
  </si>
  <si>
    <t>Da Makrofonaz</t>
  </si>
  <si>
    <t>+7 (919) 419-39-92</t>
  </si>
  <si>
    <t>Россия, Республика Марий Эл, Йошкар-Ола, переулок Лёни Голикова</t>
  </si>
  <si>
    <t>47.903587 56.618609</t>
  </si>
  <si>
    <t>Взлет</t>
  </si>
  <si>
    <t>47.886869 56.620113</t>
  </si>
  <si>
    <t>+7 (8362) 32-52-87</t>
  </si>
  <si>
    <t>47.885937 56.625666</t>
  </si>
  <si>
    <t>Мм12</t>
  </si>
  <si>
    <t>+7 (8362) 30-80-55, +7 (8362) 38-44-45</t>
  </si>
  <si>
    <t>http://mm12.ru/</t>
  </si>
  <si>
    <t>47.825715 56.647223</t>
  </si>
  <si>
    <t>Роникс</t>
  </si>
  <si>
    <t>+7 (8362) 73-85-41</t>
  </si>
  <si>
    <t>http://roniks12.ru/</t>
  </si>
  <si>
    <t>Керамическая плитка, Магазин обоев, Напольные покрытия</t>
  </si>
  <si>
    <t>https://vk.com/roniks_12</t>
  </si>
  <si>
    <t>https://www.instagram.com/roniks.12/</t>
  </si>
  <si>
    <t>Diana Erushanova</t>
  </si>
  <si>
    <t>47.880771 56.627733</t>
  </si>
  <si>
    <t>ул. Эшкинина, 22/1, Йошкар-Ола</t>
  </si>
  <si>
    <t>47.915661 56.635615</t>
  </si>
  <si>
    <t>Общежитие № 6 ПГТУ</t>
  </si>
  <si>
    <t>+7 (8362) 68-60-27, +7 (8362) 68-29-25</t>
  </si>
  <si>
    <t>47.885946 56.621277</t>
  </si>
  <si>
    <t>Булочка</t>
  </si>
  <si>
    <t>47.83284 56.638928</t>
  </si>
  <si>
    <t>Офис Права и Недвижимости</t>
  </si>
  <si>
    <t>+7 (987) 725-53-58</t>
  </si>
  <si>
    <t>47.924537 56.625861</t>
  </si>
  <si>
    <t>Домашний детский садик</t>
  </si>
  <si>
    <t>47.87386 56.6381</t>
  </si>
  <si>
    <t>Страна детей</t>
  </si>
  <si>
    <t>+7 (8362) 43-90-30</t>
  </si>
  <si>
    <t>пн-пт 10:00–20:00; сб,вс 10:00–17:00</t>
  </si>
  <si>
    <t>47.934275 56.637167</t>
  </si>
  <si>
    <t>+7 (8362) 43-20-10</t>
  </si>
  <si>
    <t xml:space="preserve">info@info.ru </t>
  </si>
  <si>
    <t>http://dtp-prav12.ru/</t>
  </si>
  <si>
    <t>Производство дорожных знаков Знаки 154</t>
  </si>
  <si>
    <t>8 (800) 550-66-35</t>
  </si>
  <si>
    <t xml:space="preserve">info@znaki154.ru  </t>
  </si>
  <si>
    <t>https://yoshkar-ola.znaki154.ru/</t>
  </si>
  <si>
    <t>Дорожные материалы, Пожарное оборудование, Средства безопасности дорожного движения</t>
  </si>
  <si>
    <t>https://vk.com/znaki154</t>
  </si>
  <si>
    <t>https://ok.ru/group/56860096593934</t>
  </si>
  <si>
    <t>https://twitter.com/znaki154</t>
  </si>
  <si>
    <t>https://www.facebook.com/groups/znaki154/</t>
  </si>
  <si>
    <t>https://www.youtube.com/channel/UCmijpU0cXlzRblJ-5U506Kg</t>
  </si>
  <si>
    <t>https://www.instagram.com/znaki154/</t>
  </si>
  <si>
    <t>Фермер Лямин</t>
  </si>
  <si>
    <t>+7 (917) 701-46-81</t>
  </si>
  <si>
    <t>Управлющий Домом</t>
  </si>
  <si>
    <t>+7 (8362) 26-46-71</t>
  </si>
  <si>
    <t xml:space="preserve">upravdom_12@mail.ru  </t>
  </si>
  <si>
    <t>http://upravdom.do.am/</t>
  </si>
  <si>
    <t>https://vk.com/club144751691</t>
  </si>
  <si>
    <t>Уютный уголок</t>
  </si>
  <si>
    <t>Магазин постельных принадлежностей, Магазин чулок и колготок</t>
  </si>
  <si>
    <t>Ступени роста</t>
  </si>
  <si>
    <t>+7 (987) 721-79-23</t>
  </si>
  <si>
    <t>47.834956 56.632062</t>
  </si>
  <si>
    <t>47.845711 56.641072</t>
  </si>
  <si>
    <t>Chester</t>
  </si>
  <si>
    <t>+7 (8362) 50-51-51</t>
  </si>
  <si>
    <t>Бар, паб, Ресторан, Спортбар</t>
  </si>
  <si>
    <t>пн-чт 17:00–01:00; пт,сб 17:00–03:00; вс 17:00–01:00</t>
  </si>
  <si>
    <t>https://instagram.com/chester_pub</t>
  </si>
  <si>
    <t>47.892262 56.635407</t>
  </si>
  <si>
    <t>Росток</t>
  </si>
  <si>
    <t>+7 (8362) 22-14-38, +7 (8362) 56-01-25, +7 (36222) 1-50-61, +7 (36222) 3-01-25</t>
  </si>
  <si>
    <t>http://edu.mari.ru/mouo-yoshkarola/dourostok</t>
  </si>
  <si>
    <t>Дополнительное образование, Психологическая служба, Социальная реабилитация</t>
  </si>
  <si>
    <t>47.908061 56.62902</t>
  </si>
  <si>
    <t>ФКП ОУ № 110 Федеральной Службы Исполнения Наказаний</t>
  </si>
  <si>
    <t>+7 (8362) 73-34-47</t>
  </si>
  <si>
    <t>47.824483 56.626309</t>
  </si>
  <si>
    <t>Мини-Ателье</t>
  </si>
  <si>
    <t>47.895219 56.631402</t>
  </si>
  <si>
    <t>АртПостель-Текстиль</t>
  </si>
  <si>
    <t>+7 (8362) 74-21-52, +7 (8362) 74-21-92</t>
  </si>
  <si>
    <t>https://artpostel-textil.ru/</t>
  </si>
  <si>
    <t>пн-пт 08:00–17:00; сб 10:00–18:00</t>
  </si>
  <si>
    <t>Ксерокопия</t>
  </si>
  <si>
    <t>47.865916 56.644807</t>
  </si>
  <si>
    <t>Магазин хозтоваров и бытовой химии, Строительный инструмент, Электро- и бензоинструмент</t>
  </si>
  <si>
    <t>47.871862 56.635953</t>
  </si>
  <si>
    <t>Big Wow</t>
  </si>
  <si>
    <t>47.892744 56.63875</t>
  </si>
  <si>
    <t>Шиномонтажная мастерская</t>
  </si>
  <si>
    <t>ул. Шевцовой, 54БК1, Йошкар-Ола</t>
  </si>
  <si>
    <t>+7 (8362) 78-01-00</t>
  </si>
  <si>
    <t>47.932723 56.635156</t>
  </si>
  <si>
    <t>47.921335 56.632486</t>
  </si>
  <si>
    <t>Общежитие № 9 ПГТУ</t>
  </si>
  <si>
    <t>+7 (8362) 68-78-58</t>
  </si>
  <si>
    <t>47.885417 56.621113</t>
  </si>
  <si>
    <t>Автоклуб № 1</t>
  </si>
  <si>
    <t>+7 (8362) 32-09-07, +7 (8362) 32-09-05</t>
  </si>
  <si>
    <t>47.853121 56.643443</t>
  </si>
  <si>
    <t>Laser One - Студия гладкого тела</t>
  </si>
  <si>
    <t>+7 (902) 735-66-00</t>
  </si>
  <si>
    <t>https://laser-one.pro/yola</t>
  </si>
  <si>
    <t>https://vk.com/laser_one_pro</t>
  </si>
  <si>
    <t>https://www.instagram.com/laser_one.yola</t>
  </si>
  <si>
    <t>Roy Club</t>
  </si>
  <si>
    <t>+7 (927) 875-21-44</t>
  </si>
  <si>
    <t>http://roy.cash/</t>
  </si>
  <si>
    <t>47.93599 56.633635</t>
  </si>
  <si>
    <t>Ваш Быт</t>
  </si>
  <si>
    <t>Детская мебель, Корпусная мебель, Мебель для кухни, Мягкая мебель</t>
  </si>
  <si>
    <t>Ruтэг</t>
  </si>
  <si>
    <t>Речная ул., 58, Йошкар-Ола</t>
  </si>
  <si>
    <t xml:space="preserve">info@ruteg.ru  </t>
  </si>
  <si>
    <t>Отопительное оборудование и системы, Системы вентиляции</t>
  </si>
  <si>
    <t>https://vk.com/rutegru</t>
  </si>
  <si>
    <t>Офис мобильного оператора Tele2</t>
  </si>
  <si>
    <t>http://tele2.ru/</t>
  </si>
  <si>
    <t>47.921481 56.637137</t>
  </si>
  <si>
    <t>ул. Панфилова, 33/1, Йошкар-Ола</t>
  </si>
  <si>
    <t xml:space="preserve">ooovektor21@mail.ru  </t>
  </si>
  <si>
    <t>http://vecten.ru/</t>
  </si>
  <si>
    <t>Электроконтакт</t>
  </si>
  <si>
    <t>47.872482 56.61127</t>
  </si>
  <si>
    <t>Радиолюбитель</t>
  </si>
  <si>
    <t>Магазин радиодеталей, Электронные приборы и компоненты</t>
  </si>
  <si>
    <t>47.88798 56.632976</t>
  </si>
  <si>
    <t>47.886617 56.654462</t>
  </si>
  <si>
    <t>Замена масла</t>
  </si>
  <si>
    <t>+7 (902) 737-55-73</t>
  </si>
  <si>
    <t>http://engine-oil.business.site/</t>
  </si>
  <si>
    <t>Автокосметика, автохимия, Автосервис, автотехцентр, Смазочные материалы, Экспресс-пункт замены масла</t>
  </si>
  <si>
    <t>пн-пт 08:00–18:00; сб 09:00–14:00; вс 09:00–12:00</t>
  </si>
  <si>
    <t>47.832968 56.635227</t>
  </si>
  <si>
    <t>Best Мангал</t>
  </si>
  <si>
    <t>+7 (8362) 44-00-01</t>
  </si>
  <si>
    <t xml:space="preserve">mangalbest@bk.ru  </t>
  </si>
  <si>
    <t>http://mangalbest.ru/</t>
  </si>
  <si>
    <t>http://vk.com/club92297394</t>
  </si>
  <si>
    <t>http://instagram.com/bestmangal_yo</t>
  </si>
  <si>
    <t>47.897951 56.636001</t>
  </si>
  <si>
    <t>Открытие</t>
  </si>
  <si>
    <t>47.87765 56.64377</t>
  </si>
  <si>
    <t>Ворота в доме</t>
  </si>
  <si>
    <t>+7 (917) 703-62-15</t>
  </si>
  <si>
    <t xml:space="preserve">8b4e078a51d04e0e9efdf470027f0ec1@sentry.wixpress.com </t>
  </si>
  <si>
    <t>Автоматические двери и ворота, Строительная компания</t>
  </si>
  <si>
    <t>https://vk.com/avtomaticheskie_vorota12</t>
  </si>
  <si>
    <t>ул. Строителей, 34В, корп. 6, Йошкар-Ола</t>
  </si>
  <si>
    <t>Ил</t>
  </si>
  <si>
    <t>47.907662 56.614127</t>
  </si>
  <si>
    <t>пн-пт 09:00–19:00; сб 09:00–18:00; вс 09:00–15:00</t>
  </si>
  <si>
    <t>Вольт</t>
  </si>
  <si>
    <t>+7 (8362) 76-28-79</t>
  </si>
  <si>
    <t>пн-пт 10:00–18:00; сб 10:00–17:00</t>
  </si>
  <si>
    <t>+7 (8362) 77-08-44</t>
  </si>
  <si>
    <t>Табачная лавка</t>
  </si>
  <si>
    <t>47.898297 56.636401</t>
  </si>
  <si>
    <t>https://аптека12плюс.рф/</t>
  </si>
  <si>
    <t>47.839742 56.634043</t>
  </si>
  <si>
    <t>Городской морг</t>
  </si>
  <si>
    <t>47.88881 56.650025</t>
  </si>
  <si>
    <t>Лилиан</t>
  </si>
  <si>
    <t>Храм иконы Божией Матери Троеручица</t>
  </si>
  <si>
    <t>Вознесенская ул., 27Б, Йошкар-Ола</t>
  </si>
  <si>
    <t>+7 (8362) 42-98-58, +7 (8362) 42-89-27</t>
  </si>
  <si>
    <t xml:space="preserve">missdep@mail.ru, socsluzhenie@mail.ru, kokshaisk_pokrova@mail.ru  </t>
  </si>
  <si>
    <t>http://mari-eparhia.ru/</t>
  </si>
  <si>
    <t>http://vk.com/missdep</t>
  </si>
  <si>
    <t>47.904 56.6404</t>
  </si>
  <si>
    <t>+7 (8362) 27-72-07</t>
  </si>
  <si>
    <t>+7 (902) 100-99-91, +7 (902) 103-70-74</t>
  </si>
  <si>
    <t xml:space="preserve">info@like-apple.ru </t>
  </si>
  <si>
    <t>https://www.instagram.com/like__apple/</t>
  </si>
  <si>
    <t>Пластик style</t>
  </si>
  <si>
    <t>+7 (927) 871-31-70, +7 (967) 758-55-90, +7 (987) 714-05-43</t>
  </si>
  <si>
    <t>47.926011 56.634326</t>
  </si>
  <si>
    <t>Добрым паром!</t>
  </si>
  <si>
    <t>Камины, печи, Отопительное оборудование и системы</t>
  </si>
  <si>
    <t>47.867467 56.625128</t>
  </si>
  <si>
    <t>47.917749 56.636997</t>
  </si>
  <si>
    <t>47.870744 56.645896</t>
  </si>
  <si>
    <t>Вкусняшки</t>
  </si>
  <si>
    <t>47.862283 56.625429</t>
  </si>
  <si>
    <t>Пром каталог.ру</t>
  </si>
  <si>
    <t>8 (800) 550-63-93</t>
  </si>
  <si>
    <t xml:space="preserve">info@prom-katalog.ru  </t>
  </si>
  <si>
    <t>https://yoshkar-ola.prom-katalog.ru/</t>
  </si>
  <si>
    <t>https://vk.com/promkatalog</t>
  </si>
  <si>
    <t>https://twitter.com/prom_ru</t>
  </si>
  <si>
    <t>https://www.instagram.com/promkatalog</t>
  </si>
  <si>
    <t>47.83566 56.65089</t>
  </si>
  <si>
    <t>47.843374 56.631047</t>
  </si>
  <si>
    <t>АйТи Консалтинг</t>
  </si>
  <si>
    <t>+7 (8362) 45-10-45</t>
  </si>
  <si>
    <t>http://ithelp12.ru/</t>
  </si>
  <si>
    <t>IT-компания, Компьютерный ремонт и услуги, Компьютеры и комплектующие оптом, Программное обеспечение, Студия веб-дизайна, Хостинг</t>
  </si>
  <si>
    <t>47.901563 56.640225</t>
  </si>
  <si>
    <t>47.914875 56.644156</t>
  </si>
  <si>
    <t>У Воскресенского парка</t>
  </si>
  <si>
    <t>47.91919 56.63738</t>
  </si>
  <si>
    <t>Proxi nail</t>
  </si>
  <si>
    <t>Отдел семян</t>
  </si>
  <si>
    <t>Магазин для садоводов, Магазин семян</t>
  </si>
  <si>
    <t>47.843001 56.64164</t>
  </si>
  <si>
    <t>47.879466 56.626174</t>
  </si>
  <si>
    <t>+7 (964) 862-45-00</t>
  </si>
  <si>
    <t>Sporting</t>
  </si>
  <si>
    <t>+7 (902) 358-76-75</t>
  </si>
  <si>
    <t>47.896134 56.633445</t>
  </si>
  <si>
    <t>Консиб</t>
  </si>
  <si>
    <t>47.867794 56.625288</t>
  </si>
  <si>
    <t>Россия, Республика Марий Эл, Йошкар-Ола, улица Коминтерна</t>
  </si>
  <si>
    <t>47.893186 56.642295</t>
  </si>
  <si>
    <t>Умелые ручки</t>
  </si>
  <si>
    <t>+7 (8362) 90-98-48</t>
  </si>
  <si>
    <t>47.887643 56.632674</t>
  </si>
  <si>
    <t>Велес плюс</t>
  </si>
  <si>
    <t>+7 (960) 095-65-05</t>
  </si>
  <si>
    <t>47.879431 56.628936</t>
  </si>
  <si>
    <t>Компания Воробьёв</t>
  </si>
  <si>
    <t>ул. Крылова, 58, корп. 2, Йошкар-Ола</t>
  </si>
  <si>
    <t>47.823275 56.620362</t>
  </si>
  <si>
    <t>Nl International, офис</t>
  </si>
  <si>
    <t>8 (800) 250-08-00</t>
  </si>
  <si>
    <t>+7 (917) 713-32-19</t>
  </si>
  <si>
    <t xml:space="preserve">info@nlstar.com  </t>
  </si>
  <si>
    <t>http://www.nlstar.com/</t>
  </si>
  <si>
    <t>https://vk.com/e_nergylife</t>
  </si>
  <si>
    <t>https://www.facebook.com/nlinternational</t>
  </si>
  <si>
    <t>http://youtube.com/ProductsNL</t>
  </si>
  <si>
    <t>https://www.instagram.com/e_nergylife</t>
  </si>
  <si>
    <t>47.882971 56.645639</t>
  </si>
  <si>
    <t>Русский фейерверк</t>
  </si>
  <si>
    <t>47.843087 56.641655</t>
  </si>
  <si>
    <t>Сияние Самоцветов</t>
  </si>
  <si>
    <t>+7 (987) 703-69-01</t>
  </si>
  <si>
    <t xml:space="preserve">info@samocvets.ru  </t>
  </si>
  <si>
    <t>https://samocvets.ru/</t>
  </si>
  <si>
    <t>Интернет-магазин, Магазин бижутерии</t>
  </si>
  <si>
    <t>вт-вс 09:00–15:00</t>
  </si>
  <si>
    <t>https://vk.com/samocvetsru</t>
  </si>
  <si>
    <t>https://www.ok.ru/samocvetsru</t>
  </si>
  <si>
    <t>https://twitter.com/samocvets</t>
  </si>
  <si>
    <t>Центральный офис</t>
  </si>
  <si>
    <t>Магазин для садоводов, Магазин семян, Садовый центр</t>
  </si>
  <si>
    <t>47.856081 56.650831</t>
  </si>
  <si>
    <t>47.916242 56.625944</t>
  </si>
  <si>
    <t>Wabepma</t>
  </si>
  <si>
    <t>Лазерная Резка и Гравировка</t>
  </si>
  <si>
    <t>+7 (8362) 55-23-34</t>
  </si>
  <si>
    <t>+7 (967) 755-23-34</t>
  </si>
  <si>
    <t xml:space="preserve">lazer_i_frezer@mail.ru  </t>
  </si>
  <si>
    <t>https://yolalaser.ru/</t>
  </si>
  <si>
    <t>Граверные работы, Лазерная резка и гравировка, Товары для интерьера</t>
  </si>
  <si>
    <t>47.872578 56.627099</t>
  </si>
  <si>
    <t>Жидкие Обои</t>
  </si>
  <si>
    <t>+7 (902) 433-69-22, +7 (961) 377-00-52</t>
  </si>
  <si>
    <t>Декоративные покрытия, Магазин обоев, Строительный магазин</t>
  </si>
  <si>
    <t>пн-пт 10:00–18:40; сб,вс 10:00–17:40</t>
  </si>
  <si>
    <t>https://vk.com/zhidkieoboi12</t>
  </si>
  <si>
    <t>https://www.instagram.com/zhidkieoboi12</t>
  </si>
  <si>
    <t>Vr zone</t>
  </si>
  <si>
    <t>47.843645 56.641035</t>
  </si>
  <si>
    <t>Центр профессиональной подготовки МВД по Республике Марий Эл</t>
  </si>
  <si>
    <t>Медицинская ул., 12, Йошкар-Ола</t>
  </si>
  <si>
    <t>+7 (8362) 46-33-88</t>
  </si>
  <si>
    <t>Селфи кофе</t>
  </si>
  <si>
    <t>ул. Якова Эшпая, 136/1, Йошкар-Ола</t>
  </si>
  <si>
    <t>+7 (927) 878-35-71</t>
  </si>
  <si>
    <t>пн-пт 07:00–23:00; сб,вс 08:00–23:00</t>
  </si>
  <si>
    <t>https://www.instagram.com/selfie_coffee_12/</t>
  </si>
  <si>
    <t>47.881874 56.638265</t>
  </si>
  <si>
    <t>47.88567 56.635513</t>
  </si>
  <si>
    <t>47.866251 56.615046</t>
  </si>
  <si>
    <t>+7 (8362) 55-87-01, +7 (8362) 55-87-02</t>
  </si>
  <si>
    <t xml:space="preserve">pfo.volgaregion@mail.ru  </t>
  </si>
  <si>
    <t>http://pfo-volga.ru/</t>
  </si>
  <si>
    <t>Производственное предприятие, Строительная компания</t>
  </si>
  <si>
    <t>47.87091 56.64755</t>
  </si>
  <si>
    <t>+7 (8362) 56-57-66, +7 (8362) 45-42-36</t>
  </si>
  <si>
    <t>Оптовый магазин, Строительный магазин</t>
  </si>
  <si>
    <t>47.877602 56.614101</t>
  </si>
  <si>
    <t>ИП Ворожцов А. Н.</t>
  </si>
  <si>
    <t>Первомайский пер., 3А, Йошкар-Ола</t>
  </si>
  <si>
    <t>47.889341 56.643844</t>
  </si>
  <si>
    <t>Суперсервис</t>
  </si>
  <si>
    <t>47.866305 56.616761</t>
  </si>
  <si>
    <t>47.833272 56.64137</t>
  </si>
  <si>
    <t>+7 (8362) 42-09-07, +7 (8362) 74-08-60</t>
  </si>
  <si>
    <t>47.901551 56.617017</t>
  </si>
  <si>
    <t>+7 (987) 724-59-04</t>
  </si>
  <si>
    <t>47.863236 56.649605</t>
  </si>
  <si>
    <t>47.921299 56.630848</t>
  </si>
  <si>
    <t>+7 (987) 723-32-82, +7 (960) 180-26-81</t>
  </si>
  <si>
    <t>https://vk.com/club173131481</t>
  </si>
  <si>
    <t>Sugarbaby</t>
  </si>
  <si>
    <t>+7 (927) 888-78-75</t>
  </si>
  <si>
    <t>https://vk.com/depilyasia</t>
  </si>
  <si>
    <t>Центр сухофруктов</t>
  </si>
  <si>
    <t>47.865519 56.645796</t>
  </si>
  <si>
    <t>Фестивальная ул., 66, Йошкар-Ола</t>
  </si>
  <si>
    <t>47.834229 56.645527</t>
  </si>
  <si>
    <t>Цербер-М</t>
  </si>
  <si>
    <t>+7 (8362) 33-35-67, +7 (8362) 38-40-30</t>
  </si>
  <si>
    <t>пн-пт 10:00–18:00; сб 10:00–19:00</t>
  </si>
  <si>
    <t>47.829857 56.636615</t>
  </si>
  <si>
    <t>Йошкар-Олинский передвижной планетарий</t>
  </si>
  <si>
    <t>+7 (8362) 39-75-33, +7 (8362) 70-44-07</t>
  </si>
  <si>
    <t>Планетарий</t>
  </si>
  <si>
    <t>http://vk.com/planetarium_region12</t>
  </si>
  <si>
    <t>Сириус-М1</t>
  </si>
  <si>
    <t>47.932155 56.631965</t>
  </si>
  <si>
    <t>Приемно-диагностическое отделение</t>
  </si>
  <si>
    <t>47.96353 56.63924</t>
  </si>
  <si>
    <t>УправДом</t>
  </si>
  <si>
    <t>47.8849 56.634335</t>
  </si>
  <si>
    <t>47.930242 56.628514</t>
  </si>
  <si>
    <t>ТНС энерго Марий Эл</t>
  </si>
  <si>
    <t>ул. Йывана Кырли, 21, Йошкар-Ола</t>
  </si>
  <si>
    <t>+7 (8362) 68-21-03, +7 (8362) 68-21-42, +7 (8362) 46-51-80</t>
  </si>
  <si>
    <t>+7 (8362) 55-62-90</t>
  </si>
  <si>
    <t>47.836223 56.641773</t>
  </si>
  <si>
    <t>Виктория sport</t>
  </si>
  <si>
    <t>47.892738 56.638746</t>
  </si>
  <si>
    <t>Лохматые лапы</t>
  </si>
  <si>
    <t>+7 (8362) 32-47-32</t>
  </si>
  <si>
    <t xml:space="preserve">vet_klinika_lohmatye_lapy@inbox.ru  </t>
  </si>
  <si>
    <t>Ветеринарная клиника, Ветеринарная лаборатория</t>
  </si>
  <si>
    <t>пн-пт 08:30–17:30; сб,вс 10:00–19:00</t>
  </si>
  <si>
    <t>https://vk.com/lohmatye_lapy</t>
  </si>
  <si>
    <t>47.913451 56.62716</t>
  </si>
  <si>
    <t>Ketchup Cafe</t>
  </si>
  <si>
    <t>+7 (927) 887-77-26</t>
  </si>
  <si>
    <t xml:space="preserve">c766999@gmail.com  </t>
  </si>
  <si>
    <t>http://ketchupcafe.ru/customer/category/index</t>
  </si>
  <si>
    <t>Быстрое питание, Доставка еды и обедов, Пункт выдачи</t>
  </si>
  <si>
    <t>https://vk.com/ketchupcafe</t>
  </si>
  <si>
    <t>https://www.instagram.com/ketchup_yo/</t>
  </si>
  <si>
    <t>47.896296 56.635499</t>
  </si>
  <si>
    <t>Застройщик</t>
  </si>
  <si>
    <t>+7 (927) 878-85-49</t>
  </si>
  <si>
    <t xml:space="preserve">zkpk2007@mail.ru  </t>
  </si>
  <si>
    <t>http://zastroychik.ru/</t>
  </si>
  <si>
    <t>Квест-проект Enigma</t>
  </si>
  <si>
    <t>+7 (8362) 95-52-85</t>
  </si>
  <si>
    <t>Йошкар-Ола Электрик Про</t>
  </si>
  <si>
    <t>8 (800) 100-57-35</t>
  </si>
  <si>
    <t xml:space="preserve">info@elektrikpro.ru  </t>
  </si>
  <si>
    <t>https://yoshkar-ola.elektrikpro.ru/</t>
  </si>
  <si>
    <t>47.840664 56.635321</t>
  </si>
  <si>
    <t>47.87022 56.64534</t>
  </si>
  <si>
    <t>47.883224 56.621094</t>
  </si>
  <si>
    <t>Россия, Республика Марий Эл, Йошкар-Ола, улица Суворова</t>
  </si>
  <si>
    <t>47.859214 56.644421</t>
  </si>
  <si>
    <t>Центр иностранных языков Золотой песок, международного образования и культуры</t>
  </si>
  <si>
    <t>Территория</t>
  </si>
  <si>
    <t>47.880324 56.641214</t>
  </si>
  <si>
    <t>+7 (8362) 42-08-20</t>
  </si>
  <si>
    <t>Vertera</t>
  </si>
  <si>
    <t>+7 (917) 715-21-54</t>
  </si>
  <si>
    <t xml:space="preserve">info@vertera.org  </t>
  </si>
  <si>
    <t>https://vertera.org/</t>
  </si>
  <si>
    <t>Диетические и диабетические продукты, Товары для здоровья, Фитопродукция, БАДы</t>
  </si>
  <si>
    <t>https://vk.com/verteraorganic</t>
  </si>
  <si>
    <t>https://www.facebook.com/verteraorganic</t>
  </si>
  <si>
    <t>47.92389 56.638497</t>
  </si>
  <si>
    <t>+7 (8362) 48-61-62</t>
  </si>
  <si>
    <t>+7 (8362) 37-22-34, +7 (8362) 51-15-11</t>
  </si>
  <si>
    <t>Всё для вас</t>
  </si>
  <si>
    <t>Магазин постельных принадлежностей, Магазин посуды, Товары для дома</t>
  </si>
  <si>
    <t>47.944451 56.622626</t>
  </si>
  <si>
    <t>Балкон +</t>
  </si>
  <si>
    <t>+7 (8362) 32-22-12</t>
  </si>
  <si>
    <t>http://www.kirpich12.ru/</t>
  </si>
  <si>
    <t>47.864884 56.614869</t>
  </si>
  <si>
    <t>47.894341 56.640585</t>
  </si>
  <si>
    <t>47.969561 56.613401</t>
  </si>
  <si>
    <t>+7 (8362) 61-61-30</t>
  </si>
  <si>
    <t>Империя Авто</t>
  </si>
  <si>
    <t>ул. Строителей, 89, корп. 2, Йошкар-Ола</t>
  </si>
  <si>
    <t>47.852676 56.625882</t>
  </si>
  <si>
    <t>Электро-радио-хозтовары</t>
  </si>
  <si>
    <t>Радиотехника, Электронные приборы и компоненты</t>
  </si>
  <si>
    <t>47.889306 56.642266</t>
  </si>
  <si>
    <t>Зелёная Лампа Апартаменты</t>
  </si>
  <si>
    <t>бул. 70-летия Победы в Великой Отечественной войне, 4Б, Йошкар-Ола</t>
  </si>
  <si>
    <t>+7 (902) 670-30-99</t>
  </si>
  <si>
    <t>https://www.instagram.com/green_lamp_apartment/?igshid=dymylbkbrnlp</t>
  </si>
  <si>
    <t>47.92061 56.64146</t>
  </si>
  <si>
    <t>47.866768 56.634123</t>
  </si>
  <si>
    <t>Пеппито</t>
  </si>
  <si>
    <t>47.853685 56.642912</t>
  </si>
  <si>
    <t>СпецТехКомплект</t>
  </si>
  <si>
    <t>ул. Машиностроителей, 120, корп. 4, Йошкар-Ола</t>
  </si>
  <si>
    <t>+7 (902) 437-24-23</t>
  </si>
  <si>
    <t xml:space="preserve">andrei.uskov@bk.ru  </t>
  </si>
  <si>
    <t>http://avtoservis.uskov.tilda.ws/</t>
  </si>
  <si>
    <t>47.919766 56.640228</t>
  </si>
  <si>
    <t>Фазенда12</t>
  </si>
  <si>
    <t>+7 (8362) 51-58-48</t>
  </si>
  <si>
    <t>+7 (964) 861-58-48, +7 (929) 733-09-10</t>
  </si>
  <si>
    <t xml:space="preserve">fazenda12.com@yandex.ru  </t>
  </si>
  <si>
    <t>http://www.fazenda12.ru/</t>
  </si>
  <si>
    <t>Быстровозводимые конструкции</t>
  </si>
  <si>
    <t>Быстровозводимые здания, Отопительное оборудование и системы, Строительство бань и саун</t>
  </si>
  <si>
    <t>https://vk.com/club94512287</t>
  </si>
  <si>
    <t>https://www.facebook.com/groups/1076861789094033</t>
  </si>
  <si>
    <t>https://www.youtube.com/channel/UCYDxTegr_F8zeh8x8CZ_NYQ/videos?view_as=subscriber</t>
  </si>
  <si>
    <t>Мэл-сервис</t>
  </si>
  <si>
    <t>+7 (8362) 33-33-73, +7 (8362) 34-58-88</t>
  </si>
  <si>
    <t>47.931636 56.632726</t>
  </si>
  <si>
    <t>Квалиstore</t>
  </si>
  <si>
    <t>+7 (960) 091-97-69</t>
  </si>
  <si>
    <t>пн-чт 08:00–17:00, перерыв 12:30–13:30; пт 08:00–16:00, перерыв 12:30–13:30</t>
  </si>
  <si>
    <t>Мебельдом</t>
  </si>
  <si>
    <t>+7 (8362) 55-05-33</t>
  </si>
  <si>
    <t xml:space="preserve">info@md-m.ru  </t>
  </si>
  <si>
    <t>http://md-m.ru/</t>
  </si>
  <si>
    <t>Магазин мебели, Мебель для кухни, Мебель на заказ, Мебельная фабрика, Мягкая мебель</t>
  </si>
  <si>
    <t>Auto team Plus</t>
  </si>
  <si>
    <t>+7 (8362) 39-01-40, +7 (8362) 32-10-70, +7 (8362) 93-10-70</t>
  </si>
  <si>
    <t>пн-пт 08:00–18:00; сб 09:30–15:30</t>
  </si>
  <si>
    <t>47.871355 56.623435</t>
  </si>
  <si>
    <t>47.843101 56.641644</t>
  </si>
  <si>
    <t>Ремонт12</t>
  </si>
  <si>
    <t>+7 (8362) 33-64-04</t>
  </si>
  <si>
    <t>+7 (927) 883-64-04</t>
  </si>
  <si>
    <t>http://www.ремонт12.рф/</t>
  </si>
  <si>
    <t>пн-пт 08:00–18:00; сб,вс 09:00–16:00</t>
  </si>
  <si>
    <t>47.934849 56.638031</t>
  </si>
  <si>
    <t>Маникюр</t>
  </si>
  <si>
    <t>Пальмира</t>
  </si>
  <si>
    <t>+7 (967) 758-37-93</t>
  </si>
  <si>
    <t>+7 (8362) 52-52-00, +7 (8362) 55-05-48</t>
  </si>
  <si>
    <t>+7 (964) 862-52-00, +7 (967) 755-05-48</t>
  </si>
  <si>
    <t>Моцарт</t>
  </si>
  <si>
    <t>47.895689 56.632176</t>
  </si>
  <si>
    <t>+7 (8362) 99-97-70</t>
  </si>
  <si>
    <t>47.881553 56.614643</t>
  </si>
  <si>
    <t>47.946522 56.623811</t>
  </si>
  <si>
    <t>47.91227 56.627629</t>
  </si>
  <si>
    <t>Аптека №11</t>
  </si>
  <si>
    <t>+7 (8362) 34-18-48</t>
  </si>
  <si>
    <t>47.918219 56.638775</t>
  </si>
  <si>
    <t>Отдел машинной вышивки</t>
  </si>
  <si>
    <t>+7 (987) 710-66-98</t>
  </si>
  <si>
    <t>Услуги вышивки</t>
  </si>
  <si>
    <t>https://vk.com/vyshivkanr</t>
  </si>
  <si>
    <t>ул. Лебедева, 31, Йошкар-Ола</t>
  </si>
  <si>
    <t>47.951919 56.622277</t>
  </si>
  <si>
    <t>Теплая Керамика</t>
  </si>
  <si>
    <t>+7 (8362) 33-00-49</t>
  </si>
  <si>
    <t>+7 (937) 933-00-49</t>
  </si>
  <si>
    <t>пн-пт 08:00–17:00; сб,вс 10:00–14:00</t>
  </si>
  <si>
    <t>47.877135 56.611048</t>
  </si>
  <si>
    <t>47.865883 56.645085</t>
  </si>
  <si>
    <t>47.940975 56.622909</t>
  </si>
  <si>
    <t>Деревобетон</t>
  </si>
  <si>
    <t>+7 (987) 707-36-51</t>
  </si>
  <si>
    <t xml:space="preserve">derevobeton-yola@yandex.ru, 12derevobeton@gmail.com </t>
  </si>
  <si>
    <t>http://derevo-beton.ru/</t>
  </si>
  <si>
    <t>https://vk.com/derevobeton</t>
  </si>
  <si>
    <t>47.876394 56.614366</t>
  </si>
  <si>
    <t>Йошкар-Олинская городская больница отделение лучевой диагностики</t>
  </si>
  <si>
    <t>http://kl-55.polickliniki.ru/</t>
  </si>
  <si>
    <t>ул. Баумана, 100, корп. 4, Йошкар-Ола</t>
  </si>
  <si>
    <t>+7 (8362) 73-18-31</t>
  </si>
  <si>
    <t>Промышленное строительство, Строительная компания</t>
  </si>
  <si>
    <t>+7 (964) 864-16-95</t>
  </si>
  <si>
    <t>47.865498 56.645913</t>
  </si>
  <si>
    <t>Alva</t>
  </si>
  <si>
    <t>Автосигнализация, Ремонт и дублирование автомобильных ключей и брелоков</t>
  </si>
  <si>
    <t>47.865785 56.638092</t>
  </si>
  <si>
    <t>+7 (919) 415-91-90</t>
  </si>
  <si>
    <t>https://instagram.com/bodyshop_12</t>
  </si>
  <si>
    <t>+7 (8362) 32-03-99</t>
  </si>
  <si>
    <t xml:space="preserve">z9229110548@yandex.ru  </t>
  </si>
  <si>
    <t>47.89386 56.640694</t>
  </si>
  <si>
    <t>Сертификация Плюс</t>
  </si>
  <si>
    <t>8 (800) 700-66-17</t>
  </si>
  <si>
    <t xml:space="preserve">info@sert-plus.ru, km@sert-plus.ru, mk@sert-plus.ru  </t>
  </si>
  <si>
    <t>https://sert-plus.ru/yoshkar_ola</t>
  </si>
  <si>
    <t>Бизнес-консалтинг, Сертификация продукции и услуг, Центр повышения квалификации</t>
  </si>
  <si>
    <t>https://vk.com/sert_plus_ru</t>
  </si>
  <si>
    <t>https://ok.ru/group/56795987116046</t>
  </si>
  <si>
    <t>https://twitter.com/sertifikacaplus</t>
  </si>
  <si>
    <t>https://www.facebook.com/sertplusru</t>
  </si>
  <si>
    <t>https://www.instagram.com/sert_plus/</t>
  </si>
  <si>
    <t>47.865625 56.617467</t>
  </si>
  <si>
    <t>Вижу все</t>
  </si>
  <si>
    <t>47.899146 56.643996</t>
  </si>
  <si>
    <t>Спортивная Обувь</t>
  </si>
  <si>
    <t>47.922055 56.630134</t>
  </si>
  <si>
    <t>Сонечка</t>
  </si>
  <si>
    <t>ул. Дружбы, 99, Йошкар-Ола</t>
  </si>
  <si>
    <t>+7 (8362) 23-42-45</t>
  </si>
  <si>
    <t>+7 (967) 757-42-45</t>
  </si>
  <si>
    <t>https://vk.com/detsadsonia</t>
  </si>
  <si>
    <t>47.866478 56.652962</t>
  </si>
  <si>
    <t>Россия, Республика Марий Эл, Йошкар-Ола, Воскресенский проспект</t>
  </si>
  <si>
    <t>47.909681 56.633043</t>
  </si>
  <si>
    <t>Кu0026б</t>
  </si>
  <si>
    <t>47.91729 56.642406</t>
  </si>
  <si>
    <t>Поддон</t>
  </si>
  <si>
    <t>Фермерский Рынок</t>
  </si>
  <si>
    <t>https://vk.com/kazlk</t>
  </si>
  <si>
    <t>47.888079 56.628943</t>
  </si>
  <si>
    <t>47.833075 56.637387</t>
  </si>
  <si>
    <t>Доставка обедов Тёплый ветер</t>
  </si>
  <si>
    <t>+7 (8362) 39-88-50, +7 (8362) 39-41-01</t>
  </si>
  <si>
    <t xml:space="preserve">teplyiveter@mail.ru  </t>
  </si>
  <si>
    <t>http://dostavka.mya5.ru/</t>
  </si>
  <si>
    <t>47.871272 56.654288</t>
  </si>
  <si>
    <t>Юридический факультет</t>
  </si>
  <si>
    <t>47.889261 56.631152</t>
  </si>
  <si>
    <t>Носкофф</t>
  </si>
  <si>
    <t>47.832225 56.639528</t>
  </si>
  <si>
    <t>Европейский текстиль</t>
  </si>
  <si>
    <t>Магазин одежды, Магазин постельных принадлежностей, Магазин сумок и чемоданов</t>
  </si>
  <si>
    <t>Столото</t>
  </si>
  <si>
    <t>47.891993 56.641106</t>
  </si>
  <si>
    <t>Создание и разработка сайтов Коптельня</t>
  </si>
  <si>
    <t>+7 (927) 880-93-33</t>
  </si>
  <si>
    <t xml:space="preserve">hello@koptelnya.ru, a.popov@koptelnya.ru  </t>
  </si>
  <si>
    <t>https://koptelnya.ru/</t>
  </si>
  <si>
    <t>https://vk.com/koptelnya</t>
  </si>
  <si>
    <t>Ko-koBaby</t>
  </si>
  <si>
    <t>+7 (905) 008-93-93</t>
  </si>
  <si>
    <t>Детская мебель, Детские игрушки и игры, Магазин детской одежды</t>
  </si>
  <si>
    <t>https://vk.com/kokobaby12</t>
  </si>
  <si>
    <t>47.910524 56.63055</t>
  </si>
  <si>
    <t>Союз риэлторов Республики Марий Эл</t>
  </si>
  <si>
    <t>+7 (902) 664-73-89</t>
  </si>
  <si>
    <t xml:space="preserve">oasamarina@yandex.ru </t>
  </si>
  <si>
    <t>https://sr-rme12.ru/</t>
  </si>
  <si>
    <t>Агентство недвижимости, Общественная организация, Юридические услуги</t>
  </si>
  <si>
    <t>https://vk.com/sr_rme</t>
  </si>
  <si>
    <t>https://www.facebook.com/profile.php?id=100009743596628</t>
  </si>
  <si>
    <t>47.888207 56.631318</t>
  </si>
  <si>
    <t>Магазин сумок</t>
  </si>
  <si>
    <t>+7 (987) 706-25-77</t>
  </si>
  <si>
    <t>47.917694 56.627423</t>
  </si>
  <si>
    <t>Nail u0026 brows</t>
  </si>
  <si>
    <t>47.855914 56.645114</t>
  </si>
  <si>
    <t>ТЭС Добрый Путь</t>
  </si>
  <si>
    <t>+7 (961) 377-66-33, +7 (967) 756-16-19</t>
  </si>
  <si>
    <t xml:space="preserve">12kindway@gmail.com </t>
  </si>
  <si>
    <t>https://www.instagram.com/12kindway/</t>
  </si>
  <si>
    <t>47.900562 56.633494</t>
  </si>
  <si>
    <t>+7 (8362) 38-38-68</t>
  </si>
  <si>
    <t xml:space="preserve">fmv-yo@zvezda-reklama.ru </t>
  </si>
  <si>
    <t>47.899915 56.635002</t>
  </si>
  <si>
    <t>47.871338 56.626401</t>
  </si>
  <si>
    <t>Легоша</t>
  </si>
  <si>
    <t>+7 (8362) 34-77-01</t>
  </si>
  <si>
    <t>47.908331 56.627267</t>
  </si>
  <si>
    <t>ДэНК детский экспериментально-научный клуб</t>
  </si>
  <si>
    <t>+7 (902) 434-05-55</t>
  </si>
  <si>
    <t>https://vk.com/denk_club12</t>
  </si>
  <si>
    <t>47.923686 56.635937</t>
  </si>
  <si>
    <t>Прием батареек</t>
  </si>
  <si>
    <t>47.892808 56.638451</t>
  </si>
  <si>
    <t>47.891578 56.632916</t>
  </si>
  <si>
    <t>Спартак Юниор</t>
  </si>
  <si>
    <t>8 (800) 301-02-93</t>
  </si>
  <si>
    <t xml:space="preserve">sale@fsspartak.com, support@education-erp.com  </t>
  </si>
  <si>
    <t>https://fsspartak.com/, https://fsspartak.com/Home/SchoolAddresses</t>
  </si>
  <si>
    <t>47.916117 56.639464</t>
  </si>
  <si>
    <t>Россия, Республика Марий Эл, Йошкар-Ола, улица Ползунова</t>
  </si>
  <si>
    <t>47.856865 56.647837</t>
  </si>
  <si>
    <t>Республиканская клиническая больница Гинекологическое отделение</t>
  </si>
  <si>
    <t>+7 (8362) 46-07-57</t>
  </si>
  <si>
    <t>47.820813 56.633272</t>
  </si>
  <si>
    <t>Тройка</t>
  </si>
  <si>
    <t>ул. Строителей, 36/2, Йошкар-Ола</t>
  </si>
  <si>
    <t>47.924835 56.625774</t>
  </si>
  <si>
    <t>КСК</t>
  </si>
  <si>
    <t>+7 (902) 358-55-50</t>
  </si>
  <si>
    <t xml:space="preserve">info@kck-group.ru </t>
  </si>
  <si>
    <t>47.888343 56.642436</t>
  </si>
  <si>
    <t>+7 (8362) 23-26-32, +7 (8362) 23-22-42, +7 (8362) 54-11-63</t>
  </si>
  <si>
    <t>47.961248 56.613417</t>
  </si>
  <si>
    <t>Пушистый модник</t>
  </si>
  <si>
    <t>+7 (8362) 44-05-40</t>
  </si>
  <si>
    <t>+7 (927) 871-67-54</t>
  </si>
  <si>
    <t xml:space="preserve">fluffydandy@mail.ru  </t>
  </si>
  <si>
    <t>http://fluffydandy.ru/</t>
  </si>
  <si>
    <t>Ветеринарная клиника, Зоосалон, зоопарикмахерская</t>
  </si>
  <si>
    <t>https://vk.com/dogstilist</t>
  </si>
  <si>
    <t>47.865757 56.64569</t>
  </si>
  <si>
    <t>Русский залог</t>
  </si>
  <si>
    <t>+7 (902) 433-39-88, +7 (902) 108-02-01</t>
  </si>
  <si>
    <t>Автоломбард, Кредитный брокер, Ломбард</t>
  </si>
  <si>
    <t>47.886915 56.63862</t>
  </si>
  <si>
    <t>Экспресс-кафе Шашлычок</t>
  </si>
  <si>
    <t>ул. Дружбы, 92А, Йошкар-Ола</t>
  </si>
  <si>
    <t>47.86363 56.653294</t>
  </si>
  <si>
    <t>47.943458 56.634652</t>
  </si>
  <si>
    <t>Yostory</t>
  </si>
  <si>
    <t>https://instagram.com/yostory12</t>
  </si>
  <si>
    <t>Comfortel</t>
  </si>
  <si>
    <t xml:space="preserve">cc@com4tel.ru  </t>
  </si>
  <si>
    <t>http://com4tel.ru/</t>
  </si>
  <si>
    <t>47.87485 56.63546</t>
  </si>
  <si>
    <t>Автомойка Твой Сервис</t>
  </si>
  <si>
    <t>+7 (8362) 70-06-00</t>
  </si>
  <si>
    <t xml:space="preserve">tvoy.servis@bk.ru, admin@website.ru, info@weblitex.ru  </t>
  </si>
  <si>
    <t>http://tvoyservis12.ru/</t>
  </si>
  <si>
    <t>Автомойка, Автосервис, автотехцентр, Быстрое питание</t>
  </si>
  <si>
    <t>https://vk.com/tvoy.servis</t>
  </si>
  <si>
    <t>https://www.instagram.com/tvoy.servis/</t>
  </si>
  <si>
    <t>47.881234 56.610105</t>
  </si>
  <si>
    <t>Салон красоты Miss Profi</t>
  </si>
  <si>
    <t>вт-пт 10:00–18:00; сб,вс 10:00–15:00</t>
  </si>
  <si>
    <t>47.85154 56.646191</t>
  </si>
  <si>
    <t>Старый мастер</t>
  </si>
  <si>
    <t>47.917211 56.630265</t>
  </si>
  <si>
    <t>Grass Йошкар-Ола</t>
  </si>
  <si>
    <t>47.88864 56.648276</t>
  </si>
  <si>
    <t>47.929082 56.62793</t>
  </si>
  <si>
    <t>47.891399 56.623666</t>
  </si>
  <si>
    <t>Россия, Республика Марий Эл, Йошкар-Ола, улица Йывана Кырли</t>
  </si>
  <si>
    <t>47.837783 56.640603</t>
  </si>
  <si>
    <t>Я Модная</t>
  </si>
  <si>
    <t>Капитал Лайф Страхование Жизни</t>
  </si>
  <si>
    <t>8 (800) 200-68-86, +7 (8362) 64-20-45, +7 (8362) 34-72-52</t>
  </si>
  <si>
    <t>+7 (903) 326-87-28</t>
  </si>
  <si>
    <t xml:space="preserve">kuzminov@gmail.com, pr@kaplife.ru  </t>
  </si>
  <si>
    <t>https://kaplife.ru/</t>
  </si>
  <si>
    <t>https://vk.com/kaplife</t>
  </si>
  <si>
    <t>https://ok.ru/kaplife</t>
  </si>
  <si>
    <t>https://twitter.com/Kapital_Life</t>
  </si>
  <si>
    <t>https://www.facebook.com/KapitalLife/</t>
  </si>
  <si>
    <t>47.898543 56.640724</t>
  </si>
  <si>
    <t>Водосток12</t>
  </si>
  <si>
    <t>+7 (8362) 28-88-29</t>
  </si>
  <si>
    <t>+7 (987) 706-63-43</t>
  </si>
  <si>
    <t>+7 (927) 884-99-88</t>
  </si>
  <si>
    <t xml:space="preserve">aktisdv@mail.ru </t>
  </si>
  <si>
    <t>http://авокадо.рф/</t>
  </si>
  <si>
    <t>47.954486 56.64374</t>
  </si>
  <si>
    <t>47.834951 56.632068</t>
  </si>
  <si>
    <t>1хСтавка</t>
  </si>
  <si>
    <t>8 (800) 500-29-11</t>
  </si>
  <si>
    <t>https://1xstavka.ru/</t>
  </si>
  <si>
    <t>https://vk.com/bk1xstavka</t>
  </si>
  <si>
    <t>https://twitter.com/1xstavka</t>
  </si>
  <si>
    <t>https://www.youtube.com/channel/UCvKMAWT0M513fjY0SDmrIpA</t>
  </si>
  <si>
    <t>Ташкент</t>
  </si>
  <si>
    <t>47.884022 56.641328</t>
  </si>
  <si>
    <t>ЖК Крылья</t>
  </si>
  <si>
    <t>https://comwing.ru/</t>
  </si>
  <si>
    <t>47.824669 56.639137</t>
  </si>
  <si>
    <t>ул. Прохорова, 22, Йошкар-Ола</t>
  </si>
  <si>
    <t>47.840057 56.635649</t>
  </si>
  <si>
    <t>Советская ул., 14, Йошкар-Ола</t>
  </si>
  <si>
    <t>47.912463 56.650265</t>
  </si>
  <si>
    <t>Бел-КТП</t>
  </si>
  <si>
    <t>8 (800) 302-69-94</t>
  </si>
  <si>
    <t xml:space="preserve">ktp@bel-ktp.ru  </t>
  </si>
  <si>
    <t>https://joshkar-ola.bel-ktp.ru/</t>
  </si>
  <si>
    <t>Электротехническая продукция, Энергетическое оборудование</t>
  </si>
  <si>
    <t>Компания Поставка</t>
  </si>
  <si>
    <t>+7 (8362) 42-77-98, +7 (8362) 42-78-48</t>
  </si>
  <si>
    <t>http://dubki-rc.ru/</t>
  </si>
  <si>
    <t>https://facebook.com/DubkiRC</t>
  </si>
  <si>
    <t>https://youtube.com/channel/UCC-d1lQICEoSfsC9t-fr10Q</t>
  </si>
  <si>
    <t>Твоя фантазия</t>
  </si>
  <si>
    <t>47.832754 56.636617</t>
  </si>
  <si>
    <t>Открытые Дома Йошкар-Ола</t>
  </si>
  <si>
    <t>+7 (991) 777-05-88</t>
  </si>
  <si>
    <t>Медицинская реабилитация, Наркологическая клиника</t>
  </si>
  <si>
    <t>47.894104 56.64502</t>
  </si>
  <si>
    <t>47.884009 56.632858</t>
  </si>
  <si>
    <t>Автохирургия</t>
  </si>
  <si>
    <t>47.942212 56.62946</t>
  </si>
  <si>
    <t>Транзит12</t>
  </si>
  <si>
    <t>+7 (927) 888-22-22, +7 (927) 888-33-33</t>
  </si>
  <si>
    <t xml:space="preserve">info@tranzit12.ru  </t>
  </si>
  <si>
    <t>http://tranzit12.ru/</t>
  </si>
  <si>
    <t>Автомобильные тахографы, Мониторинг автотранспорта, Системы безопасности и охраны</t>
  </si>
  <si>
    <t>https://vk.com/tranzit_12</t>
  </si>
  <si>
    <t>https://www.facebook.com/tranzit12ru/</t>
  </si>
  <si>
    <t>https://www.instagram.com/tranzit_12/</t>
  </si>
  <si>
    <t>47.832191 56.643853</t>
  </si>
  <si>
    <t>+7 (917) 071-62-20</t>
  </si>
  <si>
    <t>47.895514 56.649719</t>
  </si>
  <si>
    <t>47.92126 56.636879</t>
  </si>
  <si>
    <t>Жилой дом по ул. Чернякова, 29</t>
  </si>
  <si>
    <t>ул. Чернякова, 1, Йошкар-Ола, Россия</t>
  </si>
  <si>
    <t>+7 (8362) 23-33-36</t>
  </si>
  <si>
    <t>http://росагрострой12.рф/objects/zhiloy-dom-v-g-yoshkar-ola-ul-chernyakova/</t>
  </si>
  <si>
    <t>47.81953 56.639202</t>
  </si>
  <si>
    <t>ул. Баумана, 9Б, Йошкар-Ола</t>
  </si>
  <si>
    <t>47.847635 56.643898</t>
  </si>
  <si>
    <t>Издательство Периодика Марий Эл</t>
  </si>
  <si>
    <t>47.891431 56.621378</t>
  </si>
  <si>
    <t>Апартаменты Lux в Йошкар-Оле</t>
  </si>
  <si>
    <t>47.85337 56.64268</t>
  </si>
  <si>
    <t>Без Границ</t>
  </si>
  <si>
    <t>+7 (906) 137-77-78</t>
  </si>
  <si>
    <t xml:space="preserve">noreply@granitsnet.org, bez.granic@inbox.ru  </t>
  </si>
  <si>
    <t>https://granitsnet.org/</t>
  </si>
  <si>
    <t>Железнодорожные и авиабилеты, Турагентство, Экскурсии</t>
  </si>
  <si>
    <t>https://vk.com/club182023225</t>
  </si>
  <si>
    <t>Три молотка</t>
  </si>
  <si>
    <t>+7 (927) 872-74-64</t>
  </si>
  <si>
    <t>http://trimolotka.ru/</t>
  </si>
  <si>
    <t>47.870161 56.611761</t>
  </si>
  <si>
    <t>Ванда</t>
  </si>
  <si>
    <t>47.880808 56.643336</t>
  </si>
  <si>
    <t>Ярмарка мяса</t>
  </si>
  <si>
    <t>+7 (917) 703-91-31</t>
  </si>
  <si>
    <t>47.917995 56.62978</t>
  </si>
  <si>
    <t>47.867276 56.614663</t>
  </si>
  <si>
    <t>47.927669 56.631528</t>
  </si>
  <si>
    <t>+7 (8362) 20-09-01</t>
  </si>
  <si>
    <t>47.843927 56.641145</t>
  </si>
  <si>
    <t>47.92102 56.632238</t>
  </si>
  <si>
    <t>Булочная, пекарня, Доставка еды и обедов, Кондитерская</t>
  </si>
  <si>
    <t>47.924082 56.638783</t>
  </si>
  <si>
    <t>Гармония для Полных, магазин Женской Одежды</t>
  </si>
  <si>
    <t>Сокол</t>
  </si>
  <si>
    <t>+7 (8362) 36-01-11, +7 (8362) 54-23-33</t>
  </si>
  <si>
    <t xml:space="preserve">info@sokol12.ru  </t>
  </si>
  <si>
    <t>https://sokol12.ru/, https://sokol12.ru/shop/plastikovye-konstrukczii/plastikovye-okna/</t>
  </si>
  <si>
    <t>Автоматические двери и ворота, Двери, Окна</t>
  </si>
  <si>
    <t>https://vk.com/club145676564</t>
  </si>
  <si>
    <t>Фифа Чёлкина</t>
  </si>
  <si>
    <t>+7 (8362) 91-12-11</t>
  </si>
  <si>
    <t>Электротовары и нужная мелочь</t>
  </si>
  <si>
    <t>Детские игрушки и игры, Магазин канцтоваров, Магазин электротоваров</t>
  </si>
  <si>
    <t>https://vk.com/club140908711</t>
  </si>
  <si>
    <t>47.922399 56.635671</t>
  </si>
  <si>
    <t>47.891004 56.646354</t>
  </si>
  <si>
    <t>Рембытехника</t>
  </si>
  <si>
    <t>47.873468 56.647064</t>
  </si>
  <si>
    <t>Best</t>
  </si>
  <si>
    <t>47.888837 56.63893</t>
  </si>
  <si>
    <t>Магазин стройхозтоваров</t>
  </si>
  <si>
    <t>Магазин сантехники, Магазин хозтоваров и бытовой химии</t>
  </si>
  <si>
    <t>DoJones</t>
  </si>
  <si>
    <t>Сырная лавка ССЗ</t>
  </si>
  <si>
    <t>8 (800) 100-83-62</t>
  </si>
  <si>
    <t>Кондитерская, Молочная продукция оптом, Молочный магазин</t>
  </si>
  <si>
    <t>47.83978 56.633768</t>
  </si>
  <si>
    <t>Химкор</t>
  </si>
  <si>
    <t>8 (800) 555-98-27</t>
  </si>
  <si>
    <t>Пион</t>
  </si>
  <si>
    <t>47.94487 56.636496</t>
  </si>
  <si>
    <t>Зум</t>
  </si>
  <si>
    <t>+7 (964) 863-07-39</t>
  </si>
  <si>
    <t>пн-пт 14:00–18:30; сб,вс 11:00–15:00</t>
  </si>
  <si>
    <t>47.895036 56.630209</t>
  </si>
  <si>
    <t>+7 (937) 931-01-00</t>
  </si>
  <si>
    <t>https://vk.com/tornadoservice_vtor</t>
  </si>
  <si>
    <t>https://www.instagram.com/tornado_vtorsiro</t>
  </si>
  <si>
    <t>+7 (902) 671-72-75</t>
  </si>
  <si>
    <t>пн-пт 09:30–18:30; сб,вс 09:30–18:00</t>
  </si>
  <si>
    <t>Россия, Республика Марий Эл, Йошкар-Ола, проезд Ушакова</t>
  </si>
  <si>
    <t>47.843248 56.651626</t>
  </si>
  <si>
    <t>Дар речи</t>
  </si>
  <si>
    <t>пн-пт 09:00–20:00; сб 10:00–14:00</t>
  </si>
  <si>
    <t>https://vk.com/darrechiyo</t>
  </si>
  <si>
    <t>47.919848 56.635187</t>
  </si>
  <si>
    <t>47.906873 56.637968</t>
  </si>
  <si>
    <t>47.898169 56.634293</t>
  </si>
  <si>
    <t>Мила</t>
  </si>
  <si>
    <t>47.843719 56.640863</t>
  </si>
  <si>
    <t>Voxel</t>
  </si>
  <si>
    <t>http://voxelpro.ru/</t>
  </si>
  <si>
    <t>+7 (937) 110-75-99</t>
  </si>
  <si>
    <t>Православное общество трезвости</t>
  </si>
  <si>
    <t>47.898515 56.632263</t>
  </si>
  <si>
    <t>ул. Хасанова, 7, Йошкар-Ола</t>
  </si>
  <si>
    <t>47.888581 56.624022</t>
  </si>
  <si>
    <t>+7 (8362) 38-19-38</t>
  </si>
  <si>
    <t>ежедневно, 09:00–18:00, перерыв 12:30–13:30</t>
  </si>
  <si>
    <t>Музей истории госбезопасности Республики Марий Эл</t>
  </si>
  <si>
    <t>47.897247 56.637744</t>
  </si>
  <si>
    <t>Замки, сантехника</t>
  </si>
  <si>
    <t>+7 (8362) 74-22-20</t>
  </si>
  <si>
    <t>Замки и запорные устройства, Магазин сантехники, Магазин хозтоваров и бытовой химии</t>
  </si>
  <si>
    <t>вт-пт 08:00–16:00</t>
  </si>
  <si>
    <t>Институт Инновационных Технологий</t>
  </si>
  <si>
    <t>8 (800) 511-68-31</t>
  </si>
  <si>
    <t xml:space="preserve">info@dpo-holding.ru  </t>
  </si>
  <si>
    <t>https://mariy-el.dpo-holding.ru/</t>
  </si>
  <si>
    <t>https://www.instagram.com/dpo_holding_</t>
  </si>
  <si>
    <t>47.843748 56.640876</t>
  </si>
  <si>
    <t>Пиломатериалы от производителя Парма12</t>
  </si>
  <si>
    <t>+7 (8362) 73-22-03</t>
  </si>
  <si>
    <t>+7 (917) 715-05-95</t>
  </si>
  <si>
    <t>Деревообрабатывающее предприятие, Напольные покрытия, Строительный магазин</t>
  </si>
  <si>
    <t>Изделия из пластика</t>
  </si>
  <si>
    <t>47.839441 56.626832</t>
  </si>
  <si>
    <t>Статус-Риэлти</t>
  </si>
  <si>
    <t>+7 (8362) 45-88-68, +7 (8362) 51-77-80, +7 (8362) 99-64-65, +7 (8362) 48-65-90</t>
  </si>
  <si>
    <t>+7 (902) 436-02-50, +7 (902) 329-64-65</t>
  </si>
  <si>
    <t xml:space="preserve">status-realty@list.ru, dom@mari12.ru </t>
  </si>
  <si>
    <t>47.884668 56.642998</t>
  </si>
  <si>
    <t>Bosch Service</t>
  </si>
  <si>
    <t>47.873649 56.629228</t>
  </si>
  <si>
    <t>Бизнес Аналитика</t>
  </si>
  <si>
    <t>+7 (961) 334-48-60, +7 (906) 336-35-80</t>
  </si>
  <si>
    <t>КБ Фрагма</t>
  </si>
  <si>
    <t>+7 (921) 845-33-52</t>
  </si>
  <si>
    <t xml:space="preserve">kormetms@rambler.ru, k1ife@yandex.ru  </t>
  </si>
  <si>
    <t>http://fragmet.ru/</t>
  </si>
  <si>
    <t>Металлоискатели, Производственное предприятие</t>
  </si>
  <si>
    <t>https://www.youtube.com/user/alexalva31/featured?view_as=subscriber</t>
  </si>
  <si>
    <t>Детская мебель, Корпусная мебель, Мебель для кухни, Мебель на заказ, Мягкая мебель</t>
  </si>
  <si>
    <t>Радио Маяк</t>
  </si>
  <si>
    <t>+7 (8362) 45-17-18, +7 (8362) 45-36-33</t>
  </si>
  <si>
    <t>47.876441 56.646831</t>
  </si>
  <si>
    <t>47.882941 56.621255</t>
  </si>
  <si>
    <t>Авто сервис</t>
  </si>
  <si>
    <t>ул. Волкова, 58/34, Йошкар-Ола</t>
  </si>
  <si>
    <t>47.902456 56.646086</t>
  </si>
  <si>
    <t>Межрегиональный центр Непрерывное профессиональное образование</t>
  </si>
  <si>
    <t>8 (804) 333-41-44</t>
  </si>
  <si>
    <t>+7 (991) 462-72-71</t>
  </si>
  <si>
    <t xml:space="preserve">info@npo12.ru, mcnpo12@mail.ru  </t>
  </si>
  <si>
    <t>http://npo12.ru/</t>
  </si>
  <si>
    <t>Дополнительное образование, Центр повышения квалификации</t>
  </si>
  <si>
    <t>https://vk.com/mcnpo12</t>
  </si>
  <si>
    <t>47.83495 56.632053</t>
  </si>
  <si>
    <t>ГБУ Республики Марий Эл Республиканский кожно-венерологический диспансер, администрация</t>
  </si>
  <si>
    <t>+7 (8362) 45-31-13</t>
  </si>
  <si>
    <t>47.940303 56.641728</t>
  </si>
  <si>
    <t>Repair</t>
  </si>
  <si>
    <t>47.859316 56.644596</t>
  </si>
  <si>
    <t>Ксил Миллениум</t>
  </si>
  <si>
    <t>+7 (8362) 54-37-47</t>
  </si>
  <si>
    <t xml:space="preserve">ksil12@mail.ru  </t>
  </si>
  <si>
    <t>http://ksil12.ru/</t>
  </si>
  <si>
    <t>https://vk.com/club101571194</t>
  </si>
  <si>
    <t>Воскресенский просп., 9Б, Йошкар-Ола</t>
  </si>
  <si>
    <t>+7 (902) 432-90-00</t>
  </si>
  <si>
    <t>47.912913 56.635993</t>
  </si>
  <si>
    <t>47.899015 56.640911</t>
  </si>
  <si>
    <t>47.900551 56.633833</t>
  </si>
  <si>
    <t>Статор</t>
  </si>
  <si>
    <t xml:space="preserve">peremotka_m12@mail.ru  </t>
  </si>
  <si>
    <t>http://peremotka12.ru/</t>
  </si>
  <si>
    <t>Ремонт двигателей, Ремонт электрооборудования</t>
  </si>
  <si>
    <t>ИП Софронов С. Г.</t>
  </si>
  <si>
    <t>+7 (903) 050-53-45, +7 (967) 757-64-68, +7 (927) 681-69-30</t>
  </si>
  <si>
    <t>Хирургическое отделение № 1</t>
  </si>
  <si>
    <t>Больница для взрослых, Детская больница, Медцентр, клиника</t>
  </si>
  <si>
    <t>47.963539 56.639254</t>
  </si>
  <si>
    <t>Parilka12</t>
  </si>
  <si>
    <t>+7 (960) 090-07-90</t>
  </si>
  <si>
    <t>Вейп шоп, Магазин табака и курительных принадлежностей</t>
  </si>
  <si>
    <t>47.92389 56.638189</t>
  </si>
  <si>
    <t>Первомайская ул., 115Л, Йошкар-Ола</t>
  </si>
  <si>
    <t>47.84891 56.646603</t>
  </si>
  <si>
    <t>Колор М</t>
  </si>
  <si>
    <t>+7 (8362) 30-47-77</t>
  </si>
  <si>
    <t xml:space="preserve">info@color-m.ru </t>
  </si>
  <si>
    <t>Лакокрасочные материалы, Нанесение покрытий, Окрасочное оборудование</t>
  </si>
  <si>
    <t>Все для Вмw</t>
  </si>
  <si>
    <t>+7 (8362) 74-08-13, +7 (8362) 55-03-43</t>
  </si>
  <si>
    <t>+7 (961) 335-13-95</t>
  </si>
  <si>
    <t>https://vk.com/bmw_yola</t>
  </si>
  <si>
    <t>47.839507 56.626943</t>
  </si>
  <si>
    <t>47.888396 56.633836</t>
  </si>
  <si>
    <t>Рада</t>
  </si>
  <si>
    <t>47.890006 56.639727</t>
  </si>
  <si>
    <t>Российское энергетическое агентство</t>
  </si>
  <si>
    <t>+7 (8362) 72-60-05</t>
  </si>
  <si>
    <t>47.87152 56.638681</t>
  </si>
  <si>
    <t>MariLand</t>
  </si>
  <si>
    <t>+7 (8362) 40-44-05, +7 (8362) 40-44-04</t>
  </si>
  <si>
    <t xml:space="preserve">ribalka@mariland.org  </t>
  </si>
  <si>
    <t>http://mariland.org/</t>
  </si>
  <si>
    <t>Энергия солнца</t>
  </si>
  <si>
    <t>Кондиционеры, Электротехническая продукция</t>
  </si>
  <si>
    <t>Медента</t>
  </si>
  <si>
    <t>Фестивальная ул., 62А, Йошкар-Ола</t>
  </si>
  <si>
    <t>+7 (8362) 40-50-60, +7 (8362) 40-12-40</t>
  </si>
  <si>
    <t xml:space="preserve">medenta.yo@mail.ru  </t>
  </si>
  <si>
    <t>https://vk.com/medenta_yo</t>
  </si>
  <si>
    <t>https://www.instagram.com/medenta_yo/</t>
  </si>
  <si>
    <t>47.834489 56.646385</t>
  </si>
  <si>
    <t>Aquatica</t>
  </si>
  <si>
    <t>+7 (8362) 43-30-10, +7 (8362) 43-30-20, +7 (8362) 50-05-99</t>
  </si>
  <si>
    <t>+7 (964) 863-30-20</t>
  </si>
  <si>
    <t xml:space="preserve">info@aquatica12.ru, aquaman12@mail.ru, akvatika12@mail.ru  </t>
  </si>
  <si>
    <t>http://aquatica12.ru/</t>
  </si>
  <si>
    <t>Водоочистка, водоочистное оборудование, Очистные сооружения и оборудование, Системы водоснабжения, отопления, канализации</t>
  </si>
  <si>
    <t>https://vk.com/aquatica12</t>
  </si>
  <si>
    <t>https://www.youtube.com/channel/UCMDPyBeXlemWj0WO6gGnD_w</t>
  </si>
  <si>
    <t>https://www.instagram.com/aquatica12.ru</t>
  </si>
  <si>
    <t>47.891585 56.620446</t>
  </si>
  <si>
    <t>47.892316 56.632969</t>
  </si>
  <si>
    <t>Отделение стоматологии</t>
  </si>
  <si>
    <t>http://zdr1890.polickln.ru/</t>
  </si>
  <si>
    <t>47.952314 56.638912</t>
  </si>
  <si>
    <t>Carex</t>
  </si>
  <si>
    <t>8 (800) 550-00-86</t>
  </si>
  <si>
    <t>+7 (937) 935-95-65</t>
  </si>
  <si>
    <t xml:space="preserve">partner@carex.su, msk3@carex.su  </t>
  </si>
  <si>
    <t>https://carex.su/</t>
  </si>
  <si>
    <t>пн-пт 08:30–19:00; сб 09:00–17:00</t>
  </si>
  <si>
    <t>https://vk.com/auto_carex</t>
  </si>
  <si>
    <t>https://www.instagram.com/carexparts</t>
  </si>
  <si>
    <t>47.885411 56.610214</t>
  </si>
  <si>
    <t>пн-пт 09:30–20:00; сб,вс 09:30–19:00</t>
  </si>
  <si>
    <t>47.923967 56.63474</t>
  </si>
  <si>
    <t>На личное, микрофинансирование</t>
  </si>
  <si>
    <t>47.835815 56.636874</t>
  </si>
  <si>
    <t>ГК Союзавто-2</t>
  </si>
  <si>
    <t>47.851117 56.624089</t>
  </si>
  <si>
    <t>пн-пт 09:30–17:30, перерыв 12:00–13:00; сб 09:00–14:00</t>
  </si>
  <si>
    <t>47.947212 56.637537</t>
  </si>
  <si>
    <t>+7 (8362) 96-09-60</t>
  </si>
  <si>
    <t xml:space="preserve">moscow3@hlebnitca.ru, barnaul@hlebnitca.ru, bryansk@hlebnitca.ru, volgograd@hlebnitca.ru, vologda@hlebnitca.ru, voronezh@hlebnitca.ru, dzerzhinsk@hlebnitca.ru, ekaterinburg1@hlebnitca.ru, ivanovo@hlebnitca.ru, office@hlebnitca.ru </t>
  </si>
  <si>
    <t>47.925149 56.634559</t>
  </si>
  <si>
    <t>47.876702 56.648266</t>
  </si>
  <si>
    <t>Диадема</t>
  </si>
  <si>
    <t>47.892738 56.638751</t>
  </si>
  <si>
    <t>Изготовление автомобильных ключей</t>
  </si>
  <si>
    <t>+7 (919) 413-56-70</t>
  </si>
  <si>
    <t>пн-чт 09:00–19:00; пт 10:00–19:00; сб,вс 10:00–18:00</t>
  </si>
  <si>
    <t>ПрофГрупп</t>
  </si>
  <si>
    <t>Пролетарская ул., 14А, Йошкар-Ола</t>
  </si>
  <si>
    <t>+7 (8362) 51-14-77</t>
  </si>
  <si>
    <t>Kartinberry</t>
  </si>
  <si>
    <t>+7 (8362) 37-87-83</t>
  </si>
  <si>
    <t xml:space="preserve">kartinberry@gmail.com  </t>
  </si>
  <si>
    <t>Изготовление и оптовая продажа сувениров, Полиграфические услуги, Широкоформатная печать</t>
  </si>
  <si>
    <t>https://vk.com/kartinberry</t>
  </si>
  <si>
    <t>47.898861 56.650478</t>
  </si>
  <si>
    <t>+7 (902) 744-36-18</t>
  </si>
  <si>
    <t>https://vk.com/spetsodezhda_yoshkar_ola</t>
  </si>
  <si>
    <t>47.887768 56.633006</t>
  </si>
  <si>
    <t>CarMaster</t>
  </si>
  <si>
    <t>+7 (927) 684-23-72</t>
  </si>
  <si>
    <t>Рекламные поверхности</t>
  </si>
  <si>
    <t>47.883205 56.619708</t>
  </si>
  <si>
    <t>СК Хаммер Сити</t>
  </si>
  <si>
    <t>+7 (8362) 29-21-11</t>
  </si>
  <si>
    <t>http://hammer.city/</t>
  </si>
  <si>
    <t>Строительная компания, Строительное оборудование и техника, Строительные и отделочные работы</t>
  </si>
  <si>
    <t>ЖК ул. Панфилова ул. Герцена ПР. Гагарина</t>
  </si>
  <si>
    <t>Россия, Йошкар-Ола, ул. Панфилова / ул. Герцена / пр. Гагарина</t>
  </si>
  <si>
    <t>+7 (8362) 64-12-30</t>
  </si>
  <si>
    <t>http://vecten.ru/panfilovskii/</t>
  </si>
  <si>
    <t>47.876701 56.625748</t>
  </si>
  <si>
    <t>АвтоМастер ГБО</t>
  </si>
  <si>
    <t>+7 (8362) 95-45-30</t>
  </si>
  <si>
    <t>47.968327 56.615182</t>
  </si>
  <si>
    <t>Жилой дом по ул. Чернякова, поз. 30</t>
  </si>
  <si>
    <t>ул. Йывана Кырли, 50, Йошкар-Ола</t>
  </si>
  <si>
    <t>https://soyuz-dom.ru/category/chernyakova30/</t>
  </si>
  <si>
    <t>47.822521 56.639435</t>
  </si>
  <si>
    <t>Форевер продукт</t>
  </si>
  <si>
    <t>+7 (495) 118-01-28</t>
  </si>
  <si>
    <t>+7 (917) 704-33-94</t>
  </si>
  <si>
    <t xml:space="preserve">flp@foreverliving.ru  </t>
  </si>
  <si>
    <t>http://www.foreverliving.ru/ru/about/company</t>
  </si>
  <si>
    <t>пн-пт 12:00–17:00</t>
  </si>
  <si>
    <t>https://vk.com/fit.forever</t>
  </si>
  <si>
    <t>https://ok.ru/fit.forever</t>
  </si>
  <si>
    <t>https://www.facebook.com/ForeverLiving.Russia/</t>
  </si>
  <si>
    <t>https://www.youtube.com/user/ForeverLivingRussia</t>
  </si>
  <si>
    <t>47.871246 56.635544</t>
  </si>
  <si>
    <t>Доска объявлений</t>
  </si>
  <si>
    <t>+7 (8362) 73-00-01</t>
  </si>
  <si>
    <t xml:space="preserve">vffob2007@mail.ru  </t>
  </si>
  <si>
    <t>http://12advert.ru/</t>
  </si>
  <si>
    <t>Информационный интернет-сайт, Редакция СМИ</t>
  </si>
  <si>
    <t>Пивничок</t>
  </si>
  <si>
    <t>47.947007 56.637452</t>
  </si>
  <si>
    <t>Ладья</t>
  </si>
  <si>
    <t>ежедневно, 10:00–20:00, перерыв 13:30–14:30</t>
  </si>
  <si>
    <t>Kriemlievskaia</t>
  </si>
  <si>
    <t>47.886814 56.639841</t>
  </si>
  <si>
    <t>ГК Любитель</t>
  </si>
  <si>
    <t>47.88706 56.656448</t>
  </si>
  <si>
    <t>Доступный текстиль</t>
  </si>
  <si>
    <t>+7 (987) 262-15-20</t>
  </si>
  <si>
    <t>Кафе на Слободе</t>
  </si>
  <si>
    <t>Красноармейская слобода, 56Б, Йошкар-Ола</t>
  </si>
  <si>
    <t>+7 (929) 733-29-94</t>
  </si>
  <si>
    <t>47.91858 56.643157</t>
  </si>
  <si>
    <t>Цвет настроения</t>
  </si>
  <si>
    <t>+7 (8362) 66-08-38</t>
  </si>
  <si>
    <t xml:space="preserve">cvetnastroeniya@mail.ru  </t>
  </si>
  <si>
    <t>http://цветнастроения.рф/</t>
  </si>
  <si>
    <t>https://vk.com/cvetnastroeniya</t>
  </si>
  <si>
    <t>https://www.facebook.com/cvetnastroeniya</t>
  </si>
  <si>
    <t>https://www.instagram.com/cvetnastroeniya</t>
  </si>
  <si>
    <t>47.896764 56.640748</t>
  </si>
  <si>
    <t>Разнорабочие</t>
  </si>
  <si>
    <t>+7 (902) 326-39-00</t>
  </si>
  <si>
    <t>Вывоз мусора и отходов, Городское благоустройство, Земляные работы</t>
  </si>
  <si>
    <t>47.832531 56.63558</t>
  </si>
  <si>
    <t>СМУ 12</t>
  </si>
  <si>
    <t>+7 (8362) 52-45-45, +7 (8362) 74-22-02, +7 (8362) 74-22-06</t>
  </si>
  <si>
    <t>Моя дача</t>
  </si>
  <si>
    <t>+7 (902) 739-12-70</t>
  </si>
  <si>
    <t xml:space="preserve">8b4e078a51d04e0e9efdf470027f0ec1@sentry.wixpress.com, domaks12@mail.ru  </t>
  </si>
  <si>
    <t>http://www.dacha12.com/</t>
  </si>
  <si>
    <t>Металлические заборы и ограждения, Строительная компания, Строительство бань и саун</t>
  </si>
  <si>
    <t>47.882111 56.640788</t>
  </si>
  <si>
    <t>Детская спортивная школа по греко-римской борьбе</t>
  </si>
  <si>
    <t>+7 (8362) 64-16-20, +7 (8362) 64-19-85, +7 (8362) 42-64-47</t>
  </si>
  <si>
    <t>+7 (927) 874-89-69</t>
  </si>
  <si>
    <t xml:space="preserve">gimnast-rme@mail.ru, wrestsport-rme@mail.ru </t>
  </si>
  <si>
    <t>47.887258 56.62362</t>
  </si>
  <si>
    <t>Usb</t>
  </si>
  <si>
    <t>47.932291 56.633995</t>
  </si>
  <si>
    <t>Магазин мяса, колбас, Молочный магазин, Мороженое</t>
  </si>
  <si>
    <t>47.857556 56.652127</t>
  </si>
  <si>
    <t>+7 (8362) 52-52-00, +7 (8362) 55-05-42, +7 (8362) 39-12-57</t>
  </si>
  <si>
    <t>+7 (964) 862-52-00, +7 (967) 755-05-42</t>
  </si>
  <si>
    <t>47.830031 56.639705</t>
  </si>
  <si>
    <t>Многопрофильный центр Феникс</t>
  </si>
  <si>
    <t>+7 (8362) 35-30-57</t>
  </si>
  <si>
    <t xml:space="preserve">info@centrfenix.ru  </t>
  </si>
  <si>
    <t>https://centrfenix.ru/</t>
  </si>
  <si>
    <t>+7 (8362) 54-25-57</t>
  </si>
  <si>
    <t>ГК Автолюбитель</t>
  </si>
  <si>
    <t>+7 (8362) 42-11-86</t>
  </si>
  <si>
    <t>ср 17:00–19:00; вс 09:00–11:00</t>
  </si>
  <si>
    <t>47.874541 56.627462</t>
  </si>
  <si>
    <t>47.904227 56.6428</t>
  </si>
  <si>
    <t>Акушерское отделение патологии беременности № 1</t>
  </si>
  <si>
    <t>47.877725 56.637763</t>
  </si>
  <si>
    <t>Республиканская клиническая больница Неврологическое отделение</t>
  </si>
  <si>
    <t>+7 (8362) 46-79-94, +7 (8362) 46-80-04, +7 (8362) 46-03-74</t>
  </si>
  <si>
    <t>Мастер Плит</t>
  </si>
  <si>
    <t>+7 (917) 715-18-88</t>
  </si>
  <si>
    <t xml:space="preserve">master_plit@mail.ru  </t>
  </si>
  <si>
    <t>http://masterplit12.ru/</t>
  </si>
  <si>
    <t>Торговый центр, Фанера</t>
  </si>
  <si>
    <t>Зеон-Агро</t>
  </si>
  <si>
    <t>+7 (927) 877-88-88, +7 (937) 112-22-36, +7 (927) 870-07-75</t>
  </si>
  <si>
    <t xml:space="preserve">zeon.agro@gmail.com  </t>
  </si>
  <si>
    <t>https://zeon-agro.ru/</t>
  </si>
  <si>
    <t>https://vk.com/id527831029</t>
  </si>
  <si>
    <t>https://ok.ru/profile/578392724459</t>
  </si>
  <si>
    <t>https://www.facebook.com/zeon.agro.9</t>
  </si>
  <si>
    <t>https://www.youtube.com/channel/UCzX79p27llkAbY_vmaug90w</t>
  </si>
  <si>
    <t>https://www.instagram.com/zeonagro</t>
  </si>
  <si>
    <t>47.882505 56.625417</t>
  </si>
  <si>
    <t>Грузовая Автомойка</t>
  </si>
  <si>
    <t>Фитосанитарная клиника</t>
  </si>
  <si>
    <t>+7 (8362) 99-13-12</t>
  </si>
  <si>
    <t>пн-пт 09:00–17:00; сб 10:00–16:00</t>
  </si>
  <si>
    <t>+7 (902) 329-35-40</t>
  </si>
  <si>
    <t>Автомобильные грузоперевозки, Спецтехника и спецавтомобили</t>
  </si>
  <si>
    <t>47.946308 56.622283</t>
  </si>
  <si>
    <t>Корма для животных</t>
  </si>
  <si>
    <t>47.839441 56.626834</t>
  </si>
  <si>
    <t>ул. Суворова, 28Б, Йошкар-Ола</t>
  </si>
  <si>
    <t>47.863392 56.638066</t>
  </si>
  <si>
    <t>Конструкторы из дерева Триго</t>
  </si>
  <si>
    <t>8 (800) 700-40-64</t>
  </si>
  <si>
    <t xml:space="preserve">info@treego.ru  </t>
  </si>
  <si>
    <t>https://treego.ru/</t>
  </si>
  <si>
    <t>Детские игрушки и игры, Детские товары оптом, Производственное предприятие</t>
  </si>
  <si>
    <t>https://vk.com/treego</t>
  </si>
  <si>
    <t>https://www.facebook.com/treegoplanks</t>
  </si>
  <si>
    <t>https://www.instagram.com/treegoplanks/</t>
  </si>
  <si>
    <t>47.862292 56.618165</t>
  </si>
  <si>
    <t>Sait-Skidok.com</t>
  </si>
  <si>
    <t>47.906959 56.636469</t>
  </si>
  <si>
    <t>Совенок</t>
  </si>
  <si>
    <t>+7 (8362) 90-61-60</t>
  </si>
  <si>
    <t>Логопеды, Медцентр, клиника</t>
  </si>
  <si>
    <t>https://vk.com/club56524439</t>
  </si>
  <si>
    <t>47.884795 56.640273</t>
  </si>
  <si>
    <t>+7 (8362) 34-74-16</t>
  </si>
  <si>
    <t>+7 (967) 756-31-44</t>
  </si>
  <si>
    <t>https://шелл-вуд.рф/</t>
  </si>
  <si>
    <t>Мебельная фурнитура и комплектующие, Стройматериалы оптом, Фанера</t>
  </si>
  <si>
    <t>Россия, Республика Марий Эл, Йошкар-Ола, переулок Тарханово</t>
  </si>
  <si>
    <t>47.843515 56.662006</t>
  </si>
  <si>
    <t>Кофе Бутера</t>
  </si>
  <si>
    <t>http://butera-coffee.ru/</t>
  </si>
  <si>
    <t>ДезСлужба ДокаДез</t>
  </si>
  <si>
    <t>+7 (8352) 27-68-07</t>
  </si>
  <si>
    <t>+7 (937) 947-68-07</t>
  </si>
  <si>
    <t xml:space="preserve">info@docadez.ru  </t>
  </si>
  <si>
    <t>http://docadez.ru/joshkar-ola</t>
  </si>
  <si>
    <t>https://vk.com/doca_dez</t>
  </si>
  <si>
    <t>Бьянка</t>
  </si>
  <si>
    <t>Техпром</t>
  </si>
  <si>
    <t>+7 (8362) 27-74-02</t>
  </si>
  <si>
    <t>+7 (927) 874-65-70, +7 (902) 437-74-02</t>
  </si>
  <si>
    <t xml:space="preserve">2tehprom@bk.ru </t>
  </si>
  <si>
    <t>http://tehprom12rf.umi.ru/</t>
  </si>
  <si>
    <t>47.86691 56.64355</t>
  </si>
  <si>
    <t>47.947121 56.64141</t>
  </si>
  <si>
    <t>Школьный музей Гимназии № 14 г. Йошкар-Олы</t>
  </si>
  <si>
    <t>Ленинский просп., 54, Йошкар-Ола</t>
  </si>
  <si>
    <t>47.875702 56.636101</t>
  </si>
  <si>
    <t>47.842161 56.632991</t>
  </si>
  <si>
    <t>Asketizm Po-Muzhski Apartments</t>
  </si>
  <si>
    <t>47.926431 56.639469</t>
  </si>
  <si>
    <t>Студия балета и йоги Реверанс</t>
  </si>
  <si>
    <t>+7 (902) 739-80-80</t>
  </si>
  <si>
    <t xml:space="preserve">reverans_12@mail.ru  </t>
  </si>
  <si>
    <t>http://vk.com/club8974927</t>
  </si>
  <si>
    <t>47.884238 56.629302</t>
  </si>
  <si>
    <t>МиллДом</t>
  </si>
  <si>
    <t>+7 (8362) 50-71-08, +7 (8362) 48-60-30</t>
  </si>
  <si>
    <t>+7 (917) 709-24-88</t>
  </si>
  <si>
    <t>Выставочная компания Экспо-Марий Эл</t>
  </si>
  <si>
    <t>+7 (8362) 42-03-58, +7 (8362) 42-04-56</t>
  </si>
  <si>
    <t>Выставочный центр</t>
  </si>
  <si>
    <t>Boston</t>
  </si>
  <si>
    <t>Игрушки Канцтовары</t>
  </si>
  <si>
    <t>47.83965 56.63385</t>
  </si>
  <si>
    <t>Мокрый фасад</t>
  </si>
  <si>
    <t>ул. Машиностроителей, 123, корп. А, Йошкар-Ола</t>
  </si>
  <si>
    <t>+7 (8362) 54-74-04</t>
  </si>
  <si>
    <t>+7 (964) 864-74-04</t>
  </si>
  <si>
    <t>Строительный магазин, Сухие строительные смеси, Фасады и фасадные системы</t>
  </si>
  <si>
    <t>https://vk.com/fasad_v_yoshkarole</t>
  </si>
  <si>
    <t>https://www.instagram.com/fasad_yo/</t>
  </si>
  <si>
    <t>47.826433 56.625346</t>
  </si>
  <si>
    <t>АЗС-Техкомплект</t>
  </si>
  <si>
    <t>Нефтегазовое оборудование, Строительство и оснащение АЗС</t>
  </si>
  <si>
    <t>47.880238 56.626167</t>
  </si>
  <si>
    <t>47.853385 56.642104</t>
  </si>
  <si>
    <t>На Гагарина 2</t>
  </si>
  <si>
    <t>Автосигнализация</t>
  </si>
  <si>
    <t>47.888127 56.630441</t>
  </si>
  <si>
    <t>Однокомнатная квартира в новом доме на бульваре 70летия Победы</t>
  </si>
  <si>
    <t>47.91976 56.64027</t>
  </si>
  <si>
    <t>ул. Баумана, 11/1, Йошкар-Ола</t>
  </si>
  <si>
    <t>+7 (917) 711-30-01</t>
  </si>
  <si>
    <t>47.845108 56.641998</t>
  </si>
  <si>
    <t>АНО бизнес-инкубатор</t>
  </si>
  <si>
    <t>Бизнес-инкубатор, Бизнес-центр, Продажа и аренда коммерческой недвижимости</t>
  </si>
  <si>
    <t>47.834865 56.631939</t>
  </si>
  <si>
    <t>Полимет</t>
  </si>
  <si>
    <t>+7 (964) 860-50-01, +7 (906) 137-05-37</t>
  </si>
  <si>
    <t>47.828992 56.617275</t>
  </si>
  <si>
    <t>Глонасс-12</t>
  </si>
  <si>
    <t>8 (800) 770-70-73</t>
  </si>
  <si>
    <t>+7 (964) 860-50-03, +7 (967) 757-61-80</t>
  </si>
  <si>
    <t>http://глонасс12.рф/</t>
  </si>
  <si>
    <t>http://vk.com/glonass12</t>
  </si>
  <si>
    <t>http://ok.ru/group/55202049163285</t>
  </si>
  <si>
    <t>http://www.facebook.com/groups/258707704510919</t>
  </si>
  <si>
    <t>47.87883 56.613485</t>
  </si>
  <si>
    <t>47.946993 56.626323</t>
  </si>
  <si>
    <t>47.92477 56.639622</t>
  </si>
  <si>
    <t>Главбух</t>
  </si>
  <si>
    <t>+7 (937) 935-30-75</t>
  </si>
  <si>
    <t>Sweet apt close to Kazan</t>
  </si>
  <si>
    <t>47.922891 56.63208</t>
  </si>
  <si>
    <t>Сибирская баня</t>
  </si>
  <si>
    <t>+7 (8362) 77-61-61, +7 (8362) 48-03-00, +7 (8362) 30-99-28</t>
  </si>
  <si>
    <t>47.935001 56.6436</t>
  </si>
  <si>
    <t>47.888048 56.628065</t>
  </si>
  <si>
    <t>47.946923 56.625999</t>
  </si>
  <si>
    <t>Пурга</t>
  </si>
  <si>
    <t>+7 (8362) 55-23-23</t>
  </si>
  <si>
    <t>Бар, паб, Караоке-клуб, Кафе</t>
  </si>
  <si>
    <t>пт,сб 18:00–04:00</t>
  </si>
  <si>
    <t>47.96164 56.613288</t>
  </si>
  <si>
    <t>Умнёха</t>
  </si>
  <si>
    <t>+7 (902) 105-05-10, +7 (964) 861-70-31</t>
  </si>
  <si>
    <t>пн-пт 10:00–18:00; сб 10:00–16:00; вс 11:00–15:00</t>
  </si>
  <si>
    <t>https://vk.com/umneha_yoshka</t>
  </si>
  <si>
    <t>47.895576 56.617168</t>
  </si>
  <si>
    <t>Россия, Республика Марий Эл, Йошкар-Ола, улица Яблочкова</t>
  </si>
  <si>
    <t>47.854913 56.648484</t>
  </si>
  <si>
    <t>47.894182 56.64048</t>
  </si>
  <si>
    <t>Стиляга</t>
  </si>
  <si>
    <t>47.884721 56.635318</t>
  </si>
  <si>
    <t>Rooms on Timiryazeva 20</t>
  </si>
  <si>
    <t>47.90824 56.65196</t>
  </si>
  <si>
    <t>Премикорм</t>
  </si>
  <si>
    <t>+7 (8362) 45-85-08</t>
  </si>
  <si>
    <t>http://premikorm.ru/</t>
  </si>
  <si>
    <t>Beauty Shop</t>
  </si>
  <si>
    <t>+7 (929) 733-31-23</t>
  </si>
  <si>
    <t>https://vk.com/beautyshop_yola</t>
  </si>
  <si>
    <t>47.877995 56.610669</t>
  </si>
  <si>
    <t>47.893929 56.635387</t>
  </si>
  <si>
    <t>ОСАГО</t>
  </si>
  <si>
    <t>Советская ул., 177А, Йошкар-Ола</t>
  </si>
  <si>
    <t>+7 (8362) 54-71-17</t>
  </si>
  <si>
    <t>+7 (964) 864-71-17</t>
  </si>
  <si>
    <t xml:space="preserve">7117rus@gmail.com  </t>
  </si>
  <si>
    <t>пн-пт 09:00–19:00, перерыв 12:00–13:00; сб 10:00–15:00</t>
  </si>
  <si>
    <t>https://vk.com/osagokbm12</t>
  </si>
  <si>
    <t>47.888215 56.624638</t>
  </si>
  <si>
    <t>ТСН Пролетарская 44</t>
  </si>
  <si>
    <t>+7 (906) 334-00-71</t>
  </si>
  <si>
    <t>пн-ср 17:00–19:00</t>
  </si>
  <si>
    <t>Автосервис и автотехцентр</t>
  </si>
  <si>
    <t>+7 (987) 714-72-01</t>
  </si>
  <si>
    <t>Семёновский</t>
  </si>
  <si>
    <t>Красноармейская ул., 111/3, Йошкар-Ола</t>
  </si>
  <si>
    <t>Реммастер</t>
  </si>
  <si>
    <t>47.850174 56.664934</t>
  </si>
  <si>
    <t>47.873602 56.649573</t>
  </si>
  <si>
    <t>Транспортная организация</t>
  </si>
  <si>
    <t>+7 (929) 734-44-21</t>
  </si>
  <si>
    <t>Автовокзал, автостанция, Автомобильная парковка, Прокат автомобилей</t>
  </si>
  <si>
    <t>47.870602 56.635338</t>
  </si>
  <si>
    <t>АвтоВольт</t>
  </si>
  <si>
    <t>+7 (8362) 41-10-11</t>
  </si>
  <si>
    <t>47.890126 56.625325</t>
  </si>
  <si>
    <t>Трейд Маркетинг</t>
  </si>
  <si>
    <t>Газсервис</t>
  </si>
  <si>
    <t>+7 (8362) 30-70-50</t>
  </si>
  <si>
    <t>http://gasservice12.ru/</t>
  </si>
  <si>
    <t>Газовое оборудование, Служба газового хозяйства</t>
  </si>
  <si>
    <t>Детский сад комбинированного вида № 2 Рябинка</t>
  </si>
  <si>
    <t>Первомайская ул., 5А, Йошкар-Ола</t>
  </si>
  <si>
    <t>+7 (83631) 6-77-41</t>
  </si>
  <si>
    <t>пн-пт 07:00–17:30</t>
  </si>
  <si>
    <t>47.898108 56.654551</t>
  </si>
  <si>
    <t>47.823016 56.633507</t>
  </si>
  <si>
    <t>Пивовар</t>
  </si>
  <si>
    <t>Кирпичная ул., 2, Йошкар-Ола</t>
  </si>
  <si>
    <t>Пивоваренный завод</t>
  </si>
  <si>
    <t>47.940076 56.62837</t>
  </si>
  <si>
    <t>Медицинская ул., 3/5, Йошкар-Ола</t>
  </si>
  <si>
    <t>47.957735 56.641419</t>
  </si>
  <si>
    <t>Apartments Luxe Proletarskaya 25</t>
  </si>
  <si>
    <t>47.894653 56.644672</t>
  </si>
  <si>
    <t>Мисс Флора</t>
  </si>
  <si>
    <t>+7 (8362) 41-55-88</t>
  </si>
  <si>
    <t>+7 (902) 325-84-11</t>
  </si>
  <si>
    <t>пн-сб 08:00–20:00; вс 10:00–16:00</t>
  </si>
  <si>
    <t>Адвокат. Юридическая помощь</t>
  </si>
  <si>
    <t xml:space="preserve">snn71@inbox.ru </t>
  </si>
  <si>
    <t>47.943394 56.634664</t>
  </si>
  <si>
    <t>+7 (8362) 41-97-77</t>
  </si>
  <si>
    <t>Магазин медицинских товаров, Медицинское оборудование, медтехника, Ортопедический салон, Товары для здоровья</t>
  </si>
  <si>
    <t>пн-пт 10:00–17:30; сб 11:00–14:00</t>
  </si>
  <si>
    <t>47.873742 56.652682</t>
  </si>
  <si>
    <t>Веб-студия Сорока</t>
  </si>
  <si>
    <t xml:space="preserve">realsorokadesign@gmail.com  </t>
  </si>
  <si>
    <t>http://sorokadesign.ru/</t>
  </si>
  <si>
    <t>Monero</t>
  </si>
  <si>
    <t>47.892763 56.638716</t>
  </si>
  <si>
    <t>ул. Анникова, 9А, Йошкар-Ола</t>
  </si>
  <si>
    <t>47.83722 56.643639</t>
  </si>
  <si>
    <t>47.893692 56.639928</t>
  </si>
  <si>
    <t>Новая Заря</t>
  </si>
  <si>
    <t>+7 (8362) 37-77-37</t>
  </si>
  <si>
    <t>https://www.novzar.ru/</t>
  </si>
  <si>
    <t>47.892842 56.628383</t>
  </si>
  <si>
    <t>пн-пт 09:00–18:00, перерыв 12:00–12:30; сб,вс 11:00–16:00</t>
  </si>
  <si>
    <t>47.898897 56.631906</t>
  </si>
  <si>
    <t>Астрент</t>
  </si>
  <si>
    <t>+7 (964) 861-75-57, +7 (964) 863-32-23</t>
  </si>
  <si>
    <t xml:space="preserve">astrent12@mail.ru  </t>
  </si>
  <si>
    <t>http://astrent12.mozello.ru/</t>
  </si>
  <si>
    <t>47.850151 56.639813</t>
  </si>
  <si>
    <t>47.884345 56.623028</t>
  </si>
  <si>
    <t>ИнтерСтрой-12</t>
  </si>
  <si>
    <t>Dresscode</t>
  </si>
  <si>
    <t>+7 (8362) 46-03-90</t>
  </si>
  <si>
    <t>47.886079 56.626034</t>
  </si>
  <si>
    <t>Антилопа</t>
  </si>
  <si>
    <t>47.856285 56.64392</t>
  </si>
  <si>
    <t>Альфакидс</t>
  </si>
  <si>
    <t>+7 (8362) 34-19-74</t>
  </si>
  <si>
    <t xml:space="preserve">info@alphakids.ru  </t>
  </si>
  <si>
    <t>http://lp.alphakids.ru/</t>
  </si>
  <si>
    <t>Клуб для детей и подростков, Услуги репетиторов, Центр развития ребенка</t>
  </si>
  <si>
    <t>пн-пт 10:00–19:00; сб,вс 09:00–16:00</t>
  </si>
  <si>
    <t>https://vk.com/alkids</t>
  </si>
  <si>
    <t>https://www.instagram.com/alphakid_s/</t>
  </si>
  <si>
    <t>Растём вместе</t>
  </si>
  <si>
    <t>+7 (8362) 38-00-07</t>
  </si>
  <si>
    <t xml:space="preserve">380007@list.ru  </t>
  </si>
  <si>
    <t>https://vk.com/cdm_rastem_vmeste</t>
  </si>
  <si>
    <t>47.82839 56.635401</t>
  </si>
  <si>
    <t>47.892665 56.637323</t>
  </si>
  <si>
    <t>47.925114 56.634419</t>
  </si>
  <si>
    <t>Casegadget</t>
  </si>
  <si>
    <t>+7 (8362) 30-70-27</t>
  </si>
  <si>
    <t>+7 (967) 757-70-27</t>
  </si>
  <si>
    <t>РосАгроСтрой</t>
  </si>
  <si>
    <t>+7 (8362) 65-55-50, +7 (8362) 46-99-98, +7 (8362) 36-25-25</t>
  </si>
  <si>
    <t>http://росагрострой12.рф/</t>
  </si>
  <si>
    <t>Квартиры в новостройках, Строительная компания, Элитная недвижимость</t>
  </si>
  <si>
    <t>https://vk.com/rosagrostroj</t>
  </si>
  <si>
    <t>+7 (937) 938-03-39</t>
  </si>
  <si>
    <t>http://cafemaniloff.ru/</t>
  </si>
  <si>
    <t>Спорт товары Дом торговли</t>
  </si>
  <si>
    <t>Магазин Алоэ Вера</t>
  </si>
  <si>
    <t>+7 (917) 704-33-94, +7 (937) 115-42-72</t>
  </si>
  <si>
    <t>http://foreverliving.ru/</t>
  </si>
  <si>
    <t>Магазин парфюмерии и косметики, Товары для здоровья, Фитопродукция, БАДы</t>
  </si>
  <si>
    <t>пн-пт 15:00–18:00; сб 10:00–17:00</t>
  </si>
  <si>
    <t>Магазин по продаже чая и кофе</t>
  </si>
  <si>
    <t>Мясо, колбасы</t>
  </si>
  <si>
    <t>47.841538 56.632452</t>
  </si>
  <si>
    <t>Логопед для непосед</t>
  </si>
  <si>
    <t>+7 (939) 724-92-94</t>
  </si>
  <si>
    <t>https://vk.com/logoped_yola</t>
  </si>
  <si>
    <t>https://www.instagram.com/logoped_yola/</t>
  </si>
  <si>
    <t>Мандариновый рай</t>
  </si>
  <si>
    <t>+7 (8362) 54-49-22</t>
  </si>
  <si>
    <t>+7 (987) 714-63-30</t>
  </si>
  <si>
    <t>47.8354 56.6352</t>
  </si>
  <si>
    <t>Шаурма&amp;Гирос</t>
  </si>
  <si>
    <t>+7 (902) 358-98-00</t>
  </si>
  <si>
    <t>http://giros12.ru/</t>
  </si>
  <si>
    <t>Советская ул., 161/1, Йошкар-Ола</t>
  </si>
  <si>
    <t>47.880897 56.632309</t>
  </si>
  <si>
    <t>Ярко5</t>
  </si>
  <si>
    <t>+7 (8362) 54-78-78</t>
  </si>
  <si>
    <t xml:space="preserve">yola@yarko-5.ru  </t>
  </si>
  <si>
    <t>http://йола.ярко5.рф/</t>
  </si>
  <si>
    <t>https://vk.com/club152005026</t>
  </si>
  <si>
    <t>АльпМари</t>
  </si>
  <si>
    <t>+7 (8362) 50-97-97</t>
  </si>
  <si>
    <t>+7 (964) 860-97-97, +7 (987) 732-07-75</t>
  </si>
  <si>
    <t>Магазин трикотажа и нижнего белья</t>
  </si>
  <si>
    <t>47.888608 56.627944</t>
  </si>
  <si>
    <t>47.917707 56.627421</t>
  </si>
  <si>
    <t>Центр робототехники МариБот</t>
  </si>
  <si>
    <t>+7 (987) 710-21-36</t>
  </si>
  <si>
    <t xml:space="preserve">telfir32@mail.ru  </t>
  </si>
  <si>
    <t>http://maribot.ru/</t>
  </si>
  <si>
    <t>сб 09:00–19:45</t>
  </si>
  <si>
    <t>https://vk.com/maribot12</t>
  </si>
  <si>
    <t>47.874258 56.643307</t>
  </si>
  <si>
    <t>47.935661 56.637736</t>
  </si>
  <si>
    <t>Ренессанс Жизнь</t>
  </si>
  <si>
    <t>+7 (8362) 35-25-47</t>
  </si>
  <si>
    <t xml:space="preserve">andrey@test.com  </t>
  </si>
  <si>
    <t>https://www.renlife.ru/</t>
  </si>
  <si>
    <t>https://vk.com/renlifeofficial</t>
  </si>
  <si>
    <t>https://www.facebook.com/Renlife/</t>
  </si>
  <si>
    <t>https://www.instagram.com/renlife_official/</t>
  </si>
  <si>
    <t>47.908977 56.62592</t>
  </si>
  <si>
    <t>Электрическая подстанция ОКБ</t>
  </si>
  <si>
    <t>47.859052 56.610571</t>
  </si>
  <si>
    <t>Магазин полуфабрикатов и молочной продукции</t>
  </si>
  <si>
    <t>Молочный магазин, Яйцо и мясо птицы</t>
  </si>
  <si>
    <t>+7 (8362) 34-11-20</t>
  </si>
  <si>
    <t>47.860306 56.652358</t>
  </si>
  <si>
    <t>Рабочее решение</t>
  </si>
  <si>
    <t>+7 (8362) 77-70-03</t>
  </si>
  <si>
    <t xml:space="preserve">zakaz@yosnow.ru </t>
  </si>
  <si>
    <t>Вывоз мусора и отходов, Клининговые услуги, Промышленный альпинизм</t>
  </si>
  <si>
    <t>https://vk.com/yostaff</t>
  </si>
  <si>
    <t>+7 (8362) 98-96-95</t>
  </si>
  <si>
    <t>MyPhone</t>
  </si>
  <si>
    <t>+7 (937) 936-80-80</t>
  </si>
  <si>
    <t>Пункт выдачи, Салон связи, Товары для мобильных телефонов</t>
  </si>
  <si>
    <t>http://vk.com/iphone_yoshkarola</t>
  </si>
  <si>
    <t>https://www.instagram.com/iphone.yo/</t>
  </si>
  <si>
    <t>47.916785 56.631724</t>
  </si>
  <si>
    <t>Графиком</t>
  </si>
  <si>
    <t>+7 (8362) 69-03-68</t>
  </si>
  <si>
    <t>+7 (969) 779-03-68</t>
  </si>
  <si>
    <t>47.84307 56.637892</t>
  </si>
  <si>
    <t>+7 (8362) 45-52-14</t>
  </si>
  <si>
    <t>47.890442 56.640833</t>
  </si>
  <si>
    <t>Визажист Сафили А.А.</t>
  </si>
  <si>
    <t>47.823136 56.626575</t>
  </si>
  <si>
    <t>Апартаменты люкс на Первомайской 148 А</t>
  </si>
  <si>
    <t>Россия, Республика Марий Эл, Йошкар-Ола, Коряково</t>
  </si>
  <si>
    <t>47.883369 56.634102</t>
  </si>
  <si>
    <t>47.844322 56.641185</t>
  </si>
  <si>
    <t>Сервис Про</t>
  </si>
  <si>
    <t>47.8954 56.6299</t>
  </si>
  <si>
    <t>Системы контроля и мониторинга</t>
  </si>
  <si>
    <t>+7 (927) 872-33-55</t>
  </si>
  <si>
    <t>Титан Производство</t>
  </si>
  <si>
    <t>+7 (8362) 49-60-90</t>
  </si>
  <si>
    <t>+7 (987) 712-33-31</t>
  </si>
  <si>
    <t xml:space="preserve">titan.ds@mail.ru, titan12.ds@mail.ru, ds.titan@mail.ru  </t>
  </si>
  <si>
    <t>http://titan12.ru/</t>
  </si>
  <si>
    <t>https://vk.com/staldveri_titan</t>
  </si>
  <si>
    <t>47.824185 56.638873</t>
  </si>
  <si>
    <t>ул. Мира, 39А, Йошкар-Ола</t>
  </si>
  <si>
    <t>47.949998 56.626209</t>
  </si>
  <si>
    <t>РСТ групп</t>
  </si>
  <si>
    <t>+7 (8352) 57-21-25</t>
  </si>
  <si>
    <t xml:space="preserve">rus-ap52@yandex.ru </t>
  </si>
  <si>
    <t>https://rus-ap.ru/</t>
  </si>
  <si>
    <t>https://vk.com/rusterex</t>
  </si>
  <si>
    <t>https://twitter.com/Rusterex</t>
  </si>
  <si>
    <t>https://www.facebook.com/%D0%A0%D0%A1%D0%A2-%D0%93%D1%80%D1%83%D0%BF%D0%BF-302979840073172</t>
  </si>
  <si>
    <t>Yoga Room</t>
  </si>
  <si>
    <t>+7 (962) 589-25-35</t>
  </si>
  <si>
    <t>https://vk.com/yogaroomyo</t>
  </si>
  <si>
    <t>Советская ул., 174/1, Йошкар-Ола</t>
  </si>
  <si>
    <t>+7 (8362) 93-32-00</t>
  </si>
  <si>
    <t>+7 (927) 682-71-34</t>
  </si>
  <si>
    <t>ежедневно, 06:30–21:00</t>
  </si>
  <si>
    <t>47.88175 56.622885</t>
  </si>
  <si>
    <t>Мастерская Милана</t>
  </si>
  <si>
    <t>+7 (903) 322-36-58</t>
  </si>
  <si>
    <t xml:space="preserve">milanamebels@mail.ru  </t>
  </si>
  <si>
    <t>http://yola.milanamebels.ru/</t>
  </si>
  <si>
    <t>Экспанс, ТСЖ</t>
  </si>
  <si>
    <t>ул. Васильева, 6А, Йошкар-Ола</t>
  </si>
  <si>
    <t>47.82927 56.636362</t>
  </si>
  <si>
    <t>МясникЪ</t>
  </si>
  <si>
    <t>47.919303 56.635611</t>
  </si>
  <si>
    <t>47.870897 56.645902</t>
  </si>
  <si>
    <t>47.885702 56.626843</t>
  </si>
  <si>
    <t>47.916908 56.631141</t>
  </si>
  <si>
    <t>Услада</t>
  </si>
  <si>
    <t>47.830901 56.639793</t>
  </si>
  <si>
    <t>Al-Mazarra</t>
  </si>
  <si>
    <t>47.892628 56.626738</t>
  </si>
  <si>
    <t>+7 (8362) 24-65-05</t>
  </si>
  <si>
    <t xml:space="preserve">pushkino-okna1@mail.ru  </t>
  </si>
  <si>
    <t>https://vk.com/fortuna_12</t>
  </si>
  <si>
    <t>47.864466 56.64665</t>
  </si>
  <si>
    <t>Евроцвет</t>
  </si>
  <si>
    <t>Трансфер ДО аэропорта</t>
  </si>
  <si>
    <t>+7 (8362) 29-96-36</t>
  </si>
  <si>
    <t>+7 (937) 116-36-39</t>
  </si>
  <si>
    <t>47.905918 56.619443</t>
  </si>
  <si>
    <t>47.820797 56.633255</t>
  </si>
  <si>
    <t>ООО Предприятие Кант</t>
  </si>
  <si>
    <t>+7 (499) 999-99-99, +7 (8362) 72-61-66, +7 (8362) 72-60-91, +7 (8362) 72-59-19, +7 (8362) 72-60-65</t>
  </si>
  <si>
    <t>http://kant-ltd.ru/</t>
  </si>
  <si>
    <t>47.898254 56.647372</t>
  </si>
  <si>
    <t>47.874821 56.637262</t>
  </si>
  <si>
    <t>AS Catering Кейтеринг в Йошкар-Оле</t>
  </si>
  <si>
    <t>ул. Строителей, 79Б, Йошкар-Ола</t>
  </si>
  <si>
    <t>47.84906 56.628718</t>
  </si>
  <si>
    <t>Дом на ул. Машиностроителей, 114</t>
  </si>
  <si>
    <t>http://arkos12.ru/category/development/</t>
  </si>
  <si>
    <t>47.831669 56.625984</t>
  </si>
  <si>
    <t>Казан - Мангал 12</t>
  </si>
  <si>
    <t>ул. Соловьёва, 2А, Йошкар-Ола, Россия</t>
  </si>
  <si>
    <t>+7 (927) 888-70-22</t>
  </si>
  <si>
    <t xml:space="preserve">mr.kelshev2014@mail.ru, olgin20@list.ru  </t>
  </si>
  <si>
    <t>https://kazan-mangal12.ru/</t>
  </si>
  <si>
    <t>Грили, мангалы, Магазин посуды</t>
  </si>
  <si>
    <t>47.882172 56.617383</t>
  </si>
  <si>
    <t>Юридическая компания ДС-Эксперт</t>
  </si>
  <si>
    <t>+7 (902) 735-91-11, +7 (909) 368-00-99</t>
  </si>
  <si>
    <t xml:space="preserve">info@ds-expert.com  </t>
  </si>
  <si>
    <t>http://ds-expert.com/</t>
  </si>
  <si>
    <t>https://vk.com/ds_expert</t>
  </si>
  <si>
    <t>47.887972 56.635045</t>
  </si>
  <si>
    <t>47.923885 56.62606</t>
  </si>
  <si>
    <t>Кирпич кровля</t>
  </si>
  <si>
    <t>Кирпич, Кровля и кровельные материалы, Офис продаж</t>
  </si>
  <si>
    <t>47.862026 56.639698</t>
  </si>
  <si>
    <t>+7 (8362) 93-30-01</t>
  </si>
  <si>
    <t>+7 (902) 124-30-01</t>
  </si>
  <si>
    <t>Алло-Детки</t>
  </si>
  <si>
    <t>+7 (909) 369-22-33</t>
  </si>
  <si>
    <t>https://www.instagram.com/allodetki.yo</t>
  </si>
  <si>
    <t>Студия Анны Кочевой</t>
  </si>
  <si>
    <t>+7 (937) 939-95-91</t>
  </si>
  <si>
    <t>https://www.instagram.com/bastrakova_alena/</t>
  </si>
  <si>
    <t>47.895108 56.64689</t>
  </si>
  <si>
    <t>Гарант успех</t>
  </si>
  <si>
    <t>+7 (8362) 38-17-37, +7 (8362) 99-84-84, +7 (8362) 90-50-42</t>
  </si>
  <si>
    <t>47.880601 56.64331</t>
  </si>
  <si>
    <t>Магазин фиксированной цены</t>
  </si>
  <si>
    <t>47.906671 56.62856</t>
  </si>
  <si>
    <t>47.897183 56.618727</t>
  </si>
  <si>
    <t>Элеом</t>
  </si>
  <si>
    <t>просп. Гагарина, 34, Йошкар-Ола</t>
  </si>
  <si>
    <t>+7 (929) 053-61-90</t>
  </si>
  <si>
    <t>пн-пт 07:00–20:00; сб 08:00–18:00</t>
  </si>
  <si>
    <t>Республиканский клинический госпиталь ветеранов войн, ГБУ, отделение анестезиологии и реанимации</t>
  </si>
  <si>
    <t>Госпиталь, Медцентр, клиника</t>
  </si>
  <si>
    <t>Шаурма восточная</t>
  </si>
  <si>
    <t>+7 (964) 863-55-94</t>
  </si>
  <si>
    <t>47.898528 56.634116</t>
  </si>
  <si>
    <t>Моя кроха</t>
  </si>
  <si>
    <t>47.896596 56.628657</t>
  </si>
  <si>
    <t>Электрическая подстанция</t>
  </si>
  <si>
    <t>ул. Лебедева, 50, Йошкар-Ола</t>
  </si>
  <si>
    <t>47.938381 56.622048</t>
  </si>
  <si>
    <t>The Бор</t>
  </si>
  <si>
    <t>+7 (927) 882-42-23</t>
  </si>
  <si>
    <t>пн-чт 11:00–02:00; пт,сб 11:00–03:00; вс 11:00–02:00</t>
  </si>
  <si>
    <t>https://vk.com/theborsmoke_yo</t>
  </si>
  <si>
    <t>https://instagram.com/theborsmoke_yo</t>
  </si>
  <si>
    <t>47.89814 56.636237</t>
  </si>
  <si>
    <t>Магазин Абаз</t>
  </si>
  <si>
    <t xml:space="preserve">zayavki@abaz12.ru  </t>
  </si>
  <si>
    <t>http://abaz12.ru/</t>
  </si>
  <si>
    <t>47.849107 56.627969</t>
  </si>
  <si>
    <t>Йошкар-Олинская Тэц-1, отдел сопровождения транспорта электрической энергии</t>
  </si>
  <si>
    <t>Nina Janine</t>
  </si>
  <si>
    <t>+7 (960) 099-66-00</t>
  </si>
  <si>
    <t>Ателье по пошиву одежды, Трикотаж, трикотажные изделия</t>
  </si>
  <si>
    <t>47.883709 56.633745</t>
  </si>
  <si>
    <t>47.922754 56.634323</t>
  </si>
  <si>
    <t>47.874328 56.637034</t>
  </si>
  <si>
    <t>Сувенирная компания Оазис</t>
  </si>
  <si>
    <t>+7 (8362) 32-91-15</t>
  </si>
  <si>
    <t xml:space="preserve">emran.bd.08@gmail.com, hi@grasias.ru, zakaz@grasias.ru, order@grasias.ru, yola@grasias.ru  </t>
  </si>
  <si>
    <t>http://www.oasis116.ru/</t>
  </si>
  <si>
    <t>Изготовление и оптовая продажа сувениров, Магазин подарков и сувениров, Полиграфические услуги</t>
  </si>
  <si>
    <t>47.877654 56.624717</t>
  </si>
  <si>
    <t>сквер имени Йывана Кырли</t>
  </si>
  <si>
    <t>47.838436 56.64094</t>
  </si>
  <si>
    <t>+7 (902) 439-27-15</t>
  </si>
  <si>
    <t>пн-пт 09:00–18:30; сб,вс 09:00–16:30</t>
  </si>
  <si>
    <t>47.939328 56.633089</t>
  </si>
  <si>
    <t>Тут красим</t>
  </si>
  <si>
    <t>+7 (961) 333-19-00</t>
  </si>
  <si>
    <t>https://vk.com/tyt_krasim_yo</t>
  </si>
  <si>
    <t>47.867615 56.653721</t>
  </si>
  <si>
    <t>Йошкины</t>
  </si>
  <si>
    <t>+7 (8362) 75-77-57</t>
  </si>
  <si>
    <t>Pin-сервис</t>
  </si>
  <si>
    <t>+7 (917) 709-26-31</t>
  </si>
  <si>
    <t>http://vk.com/public131941628</t>
  </si>
  <si>
    <t>https://www.instagram.com/pin_service12?r=nametag</t>
  </si>
  <si>
    <t>47.880388 56.638008</t>
  </si>
  <si>
    <t>Музей Йошкина Кота</t>
  </si>
  <si>
    <t>+7 (987) 709-37-57, +7 (987) 731-80-00</t>
  </si>
  <si>
    <t xml:space="preserve">yoshkin_kat_museum@mail.ru, larafox66@rambler.ru  </t>
  </si>
  <si>
    <t>https://vk.com/yoshkin_kat_museum</t>
  </si>
  <si>
    <t>47.900445 56.636663</t>
  </si>
  <si>
    <t>Комсомольская ул., 92, Йошкар-Ола</t>
  </si>
  <si>
    <t>+7 (8362) 23-42-04</t>
  </si>
  <si>
    <t>+7 (967) 757-42-04</t>
  </si>
  <si>
    <t>47.896734 56.642164</t>
  </si>
  <si>
    <t>Премьер-продукт</t>
  </si>
  <si>
    <t>+7 (8362) 40-13-02</t>
  </si>
  <si>
    <t>+7 (8362) 39-56-57</t>
  </si>
  <si>
    <t>+7 (917) 702-83-33</t>
  </si>
  <si>
    <t>47.913678 56.64271</t>
  </si>
  <si>
    <t>47.962198 56.6147</t>
  </si>
  <si>
    <t>Наш 4</t>
  </si>
  <si>
    <t>47.942163 56.633863</t>
  </si>
  <si>
    <t>Аварийный Комиссар Тел. 517-517</t>
  </si>
  <si>
    <t>Водопроводная ул., 33А, Йошкар-Ола</t>
  </si>
  <si>
    <t xml:space="preserve">970202@bk.ru  </t>
  </si>
  <si>
    <t>https://оформим-дтп-517-517.рф/</t>
  </si>
  <si>
    <t>https://vk.com/avarijnyj_komissar</t>
  </si>
  <si>
    <t>https://www.instagram.com/dtp12.ru</t>
  </si>
  <si>
    <t>47.900219 56.648944</t>
  </si>
  <si>
    <t>Na-hate. yo</t>
  </si>
  <si>
    <t>47.90787 56.61832</t>
  </si>
  <si>
    <t>47.911592 56.636446</t>
  </si>
  <si>
    <t>ЭкоСтандарт</t>
  </si>
  <si>
    <t>+7 (8362) 32-18-56, +7 (8362) 32-18-47</t>
  </si>
  <si>
    <t xml:space="preserve">okna@in12.ru  </t>
  </si>
  <si>
    <t>http://okna.in12.ru/</t>
  </si>
  <si>
    <t>Полезные Сладости</t>
  </si>
  <si>
    <t>https://vk.com/club129485874</t>
  </si>
  <si>
    <t>47.837256 56.640065</t>
  </si>
  <si>
    <t>Вознесенская ул., 32, Йошкар-Ола</t>
  </si>
  <si>
    <t>47.904747 56.642862</t>
  </si>
  <si>
    <t>Золотое руно</t>
  </si>
  <si>
    <t>47.886905 56.639869</t>
  </si>
  <si>
    <t>ТехноРемСтрой-Йошкар-Ола</t>
  </si>
  <si>
    <t>http://vk.com/saunapobeda</t>
  </si>
  <si>
    <t>Ювелирная бижутерия</t>
  </si>
  <si>
    <t>47.892525 56.638114</t>
  </si>
  <si>
    <t>Столград</t>
  </si>
  <si>
    <t>СТО Машин2</t>
  </si>
  <si>
    <t>+7 (8362) 33-52-75</t>
  </si>
  <si>
    <t>ежедневно, 09:00–01:00</t>
  </si>
  <si>
    <t>47.930215 56.634121</t>
  </si>
  <si>
    <t>+7 (8362) 96-33-60, +7 (8362) 96-46-46</t>
  </si>
  <si>
    <t>Жилой дом на ул. Анникова</t>
  </si>
  <si>
    <t>Россия, Йошкар-Ола, ул. Анникова</t>
  </si>
  <si>
    <t>http://www.spectr12.ru/build/51-stroitelstvo-zhilogo-doma-na-ulice-annikova.html</t>
  </si>
  <si>
    <t>47.845642 56.64539</t>
  </si>
  <si>
    <t>София</t>
  </si>
  <si>
    <t>+7 (8362) 95-05-40, +7 (8362) 95-05-45</t>
  </si>
  <si>
    <t xml:space="preserve">sofbiznes@gmail.com, omarkova@yandex.ru, sofiya2005@yandex.ru  </t>
  </si>
  <si>
    <t>https://vk.com/cbp12</t>
  </si>
  <si>
    <t>Магазин хозтоваров</t>
  </si>
  <si>
    <t>Сорока</t>
  </si>
  <si>
    <t>+7 (964) 863-63-53, +7 (967) 758-61-61</t>
  </si>
  <si>
    <t>https://instagram.com/soroka_studio_12</t>
  </si>
  <si>
    <t>47.895231 56.630559</t>
  </si>
  <si>
    <t>47.882148 56.621897</t>
  </si>
  <si>
    <t>Верные двери</t>
  </si>
  <si>
    <t>+7 (996) 116-23-40</t>
  </si>
  <si>
    <t xml:space="preserve">verdveri@yandex.ru  </t>
  </si>
  <si>
    <t>http://vedveri.ru/</t>
  </si>
  <si>
    <t>Двери, Интернет-магазин</t>
  </si>
  <si>
    <t>Народный</t>
  </si>
  <si>
    <t>ежедневно, 06:30–21:30</t>
  </si>
  <si>
    <t>47.845931 56.629306</t>
  </si>
  <si>
    <t>47.914619 56.626921</t>
  </si>
  <si>
    <t>Точка</t>
  </si>
  <si>
    <t>47.865345 56.617416</t>
  </si>
  <si>
    <t>Apartment on Polzunova 48</t>
  </si>
  <si>
    <t>47.85717 56.64325</t>
  </si>
  <si>
    <t>47.883779 56.647134</t>
  </si>
  <si>
    <t>+7 (902) 325-43-57</t>
  </si>
  <si>
    <t>47.927583 56.629655</t>
  </si>
  <si>
    <t>Орехи</t>
  </si>
  <si>
    <t>47.894421 56.641451</t>
  </si>
  <si>
    <t>Фермерское подворье</t>
  </si>
  <si>
    <t>ул. Лебедева, 53В, Йошкар-Ола</t>
  </si>
  <si>
    <t>+7 (917) 717-32-99</t>
  </si>
  <si>
    <t>47.938811 56.623455</t>
  </si>
  <si>
    <t>BrandForMan</t>
  </si>
  <si>
    <t>8 (800) 222-76-80</t>
  </si>
  <si>
    <t xml:space="preserve">info@brandforman.ru  </t>
  </si>
  <si>
    <t>https://brandforman.ru/</t>
  </si>
  <si>
    <t>Сенькино</t>
  </si>
  <si>
    <t>+7 (8362) 51-05-20, +7 (8362) 45-77-88</t>
  </si>
  <si>
    <t>Автомобильные грузоперевозки, Аренда строительной и спецтехники, Экспедирование грузов</t>
  </si>
  <si>
    <t>47.900781 56.646854</t>
  </si>
  <si>
    <t>Дом Сервис</t>
  </si>
  <si>
    <t>47.926827 56.631686</t>
  </si>
  <si>
    <t>ул. Баумана, 14/1, Йошкар-Ола</t>
  </si>
  <si>
    <t>47.844679 56.641735</t>
  </si>
  <si>
    <t>47.901497 56.636513</t>
  </si>
  <si>
    <t>Рыбалкавмарийэл.рф</t>
  </si>
  <si>
    <t>+7 (996) 115-15-84</t>
  </si>
  <si>
    <t>https://vk.com/fishing12</t>
  </si>
  <si>
    <t>Еврошины</t>
  </si>
  <si>
    <t>47.931794 56.644062</t>
  </si>
  <si>
    <t>47.876038 56.620183</t>
  </si>
  <si>
    <t>47.927795 56.629614</t>
  </si>
  <si>
    <t>Бытовкин</t>
  </si>
  <si>
    <t>http://bitovkin21.ru/</t>
  </si>
  <si>
    <t>Быстровозводимые здания</t>
  </si>
  <si>
    <t>47.859283 56.619181</t>
  </si>
  <si>
    <t>Медконтракт</t>
  </si>
  <si>
    <t>+7 (8362) 97-96-34</t>
  </si>
  <si>
    <t>ДомКлик</t>
  </si>
  <si>
    <t>8 (800) 770-99-99</t>
  </si>
  <si>
    <t xml:space="preserve">f97b8984156e43eca81f97fb8d4e7e90@sentry24.domclick.ru, ea37a9817e2749efb5b93b570b918d20@sentry24.domclick.ru, info@domclick.ru  </t>
  </si>
  <si>
    <t>https://joshkar-ola.domclick.ru/</t>
  </si>
  <si>
    <t>Агентство недвижимости, Ипотечное агентство, Продажа и аренда коммерческой недвижимости</t>
  </si>
  <si>
    <t>https://vk.com/domclick</t>
  </si>
  <si>
    <t>https://ok.ru/group/54394080460980</t>
  </si>
  <si>
    <t>https://www.facebook.com/pro.domclick/</t>
  </si>
  <si>
    <t>https://www.instagram.com/domclick/</t>
  </si>
  <si>
    <t>47.895135 56.641476</t>
  </si>
  <si>
    <t>ул. Прохорова, 20, Йошкар-Ола</t>
  </si>
  <si>
    <t>47.84084 56.635654</t>
  </si>
  <si>
    <t>Greenbet</t>
  </si>
  <si>
    <t>47.896523 56.63283</t>
  </si>
  <si>
    <t>Ann Fitness</t>
  </si>
  <si>
    <t>+7 (8362) 32-13-22</t>
  </si>
  <si>
    <t>пн 11:00–20:00, перерыв 13:00–15:00; вт 18:00–21:00; ср,чт 11:00–20:00, перерыв 13:00–15:00; пт 18:00–20:00; сб 11:00–15:00; вс 16:00–18:00</t>
  </si>
  <si>
    <t>https://vk.com/annfitness12</t>
  </si>
  <si>
    <t>47.899563 56.64128</t>
  </si>
  <si>
    <t>МарийскТИСИЗ</t>
  </si>
  <si>
    <t>+7 (8362) 45-03-19</t>
  </si>
  <si>
    <t xml:space="preserve">maritisiz@mail.ru  </t>
  </si>
  <si>
    <t>http://maritisiz.ru/</t>
  </si>
  <si>
    <t>Маскарад</t>
  </si>
  <si>
    <t>+7 (8362) 91-19-40</t>
  </si>
  <si>
    <t>Карнавальные, театральные и танцевальные костюмы, Магазин детской одежды</t>
  </si>
  <si>
    <t>https://vk.com/maskarad12</t>
  </si>
  <si>
    <t>Capitol</t>
  </si>
  <si>
    <t>47.852324 56.630994</t>
  </si>
  <si>
    <t>47.886913 56.61569</t>
  </si>
  <si>
    <t>Для Вас, салон-парикмахерская</t>
  </si>
  <si>
    <t>47.94606 56.624504</t>
  </si>
  <si>
    <t>47.858189 56.640139</t>
  </si>
  <si>
    <t>Айс Групп, строительно-монтажная фирма</t>
  </si>
  <si>
    <t>Торговый центр Талион</t>
  </si>
  <si>
    <t>47.895172 56.63136</t>
  </si>
  <si>
    <t>Фото-видеостудия Михаила Иванова</t>
  </si>
  <si>
    <t>+7 (917) 714-28-72</t>
  </si>
  <si>
    <t xml:space="preserve">info@yolakids.ru, veeeeeselkova25@gmail.com  </t>
  </si>
  <si>
    <t>https://yolakids.ru/</t>
  </si>
  <si>
    <t>Видеосъемка, Копировальный центр, Фотоуслуги</t>
  </si>
  <si>
    <t>https://vk.com/olakids</t>
  </si>
  <si>
    <t>Портал Художественного Образования</t>
  </si>
  <si>
    <t>+7 (8362) 42-32-46</t>
  </si>
  <si>
    <t xml:space="preserve">minkult@mari-el.ru  </t>
  </si>
  <si>
    <t>http://pho12.ru/</t>
  </si>
  <si>
    <t>Мама Йошка</t>
  </si>
  <si>
    <t>+7 (902) 329-00-07</t>
  </si>
  <si>
    <t xml:space="preserve">pyatakova.ip@yandex.ru  </t>
  </si>
  <si>
    <t>пн-пт 11:00–19:00; сб,вс 10:00–18:00</t>
  </si>
  <si>
    <t>https://vk.com/babyprokat12</t>
  </si>
  <si>
    <t>https://www.instagram.com/mama_yoshka12</t>
  </si>
  <si>
    <t>Кэтрин</t>
  </si>
  <si>
    <t>Магазин мяса, колбас, Мясная продукция оптом</t>
  </si>
  <si>
    <t>https://vk.com/marimyaso</t>
  </si>
  <si>
    <t>Подружка</t>
  </si>
  <si>
    <t>+7 (902) 670-68-81</t>
  </si>
  <si>
    <t>https://podruzhka248.business.site/</t>
  </si>
  <si>
    <t>пн-сб 09:00–20:00, перерыв 13:00–14:00</t>
  </si>
  <si>
    <t>https://vk.com/podruzhka248</t>
  </si>
  <si>
    <t>47.828297 56.635254</t>
  </si>
  <si>
    <t>Веб-студия Цифролёт</t>
  </si>
  <si>
    <t>+7 (939) 725-90-56</t>
  </si>
  <si>
    <t xml:space="preserve">web@cifrolet.ru, info@cifrolet.ru  </t>
  </si>
  <si>
    <t>https://cifrolet.ru/</t>
  </si>
  <si>
    <t>пн-пт 09:30–16:30, перерыв 12:00–13:00</t>
  </si>
  <si>
    <t>https://vk.com/cifrolet</t>
  </si>
  <si>
    <t>https://twitter.com/CifroletS</t>
  </si>
  <si>
    <t>https://www.facebook.com/cifrolet</t>
  </si>
  <si>
    <t>47.898279 56.629461</t>
  </si>
  <si>
    <t>Крафт</t>
  </si>
  <si>
    <t>+7 (927) 034-64-89, +7 (937) 113-89-79</t>
  </si>
  <si>
    <t xml:space="preserve">info@kraft-doors.ru  </t>
  </si>
  <si>
    <t>http://kraft-doors.ru/</t>
  </si>
  <si>
    <t>47.864441 56.646038</t>
  </si>
  <si>
    <t>47.931461 56.637748</t>
  </si>
  <si>
    <t>ВНК-групп</t>
  </si>
  <si>
    <t>47.872903 56.61904</t>
  </si>
  <si>
    <t>Чулочно-носочный</t>
  </si>
  <si>
    <t>47.86449 56.646621</t>
  </si>
  <si>
    <t>47.829116 56.636051</t>
  </si>
  <si>
    <t>ТСЖ Эшкинина 25</t>
  </si>
  <si>
    <t>+7 (8362) 91-09-00</t>
  </si>
  <si>
    <t>вт 18:30–20:30; чт 10:00–12:00</t>
  </si>
  <si>
    <t>Orange Baby</t>
  </si>
  <si>
    <t>https://vk.com/clown12</t>
  </si>
  <si>
    <t>Бруствер+</t>
  </si>
  <si>
    <t>47.890744 56.630181</t>
  </si>
  <si>
    <t>Электронный мир</t>
  </si>
  <si>
    <t>+7 (8362) 31-02-52</t>
  </si>
  <si>
    <t>+7 (917) 702-04-15</t>
  </si>
  <si>
    <t>Запчасти и аксессуары для бытовой техники, Контрольно-измерительные приборы, Магазин радиодеталей</t>
  </si>
  <si>
    <t>вт-пт 09:00–17:00; сб,вс 09:00–16:00</t>
  </si>
  <si>
    <t>47.839741 56.642299</t>
  </si>
  <si>
    <t>ВаленОк</t>
  </si>
  <si>
    <t>+7 (8362) 20-30-49</t>
  </si>
  <si>
    <t>Магазин головных уборов, Магазин обуви</t>
  </si>
  <si>
    <t>https://vk.com/salon_valen_ok</t>
  </si>
  <si>
    <t>https://www.instagram.com/salon_valen_ok</t>
  </si>
  <si>
    <t>47.901574 56.637972</t>
  </si>
  <si>
    <t>Apartment On Petrova 20</t>
  </si>
  <si>
    <t>47.92281 56.63652</t>
  </si>
  <si>
    <t>47.838577 56.633549</t>
  </si>
  <si>
    <t>ул. Карла Маркса, 105, Йошкар-Ола</t>
  </si>
  <si>
    <t>вт,чт 17:00–20:00; вс 18:00–19:00</t>
  </si>
  <si>
    <t>https://instagram.com/like_school_yoshkar_ola</t>
  </si>
  <si>
    <t>47.895609 56.625171</t>
  </si>
  <si>
    <t>+7 (917) 716-57-87</t>
  </si>
  <si>
    <t>47.840799 56.635344</t>
  </si>
  <si>
    <t>Аль Соле</t>
  </si>
  <si>
    <t>+7 (8362) 33-01-11</t>
  </si>
  <si>
    <t xml:space="preserve">alsoledostavka@yandex.ru </t>
  </si>
  <si>
    <t>http://alsole.ru/</t>
  </si>
  <si>
    <t>Бар, паб, Кафе, Пиццерия</t>
  </si>
  <si>
    <t>https://vk.com/al_sole</t>
  </si>
  <si>
    <t>https://www.facebook.com/openclubalsole</t>
  </si>
  <si>
    <t>https://www.instagram.com/alsolepizza</t>
  </si>
  <si>
    <t>47.878427 56.641621</t>
  </si>
  <si>
    <t>Ткани Полька</t>
  </si>
  <si>
    <t>47.950902 56.639409</t>
  </si>
  <si>
    <t>Арбитражный управляющий</t>
  </si>
  <si>
    <t>+7 (961) 374-99-88</t>
  </si>
  <si>
    <t xml:space="preserve">bk12denis@gmail.com, ausergeev.dp@yandex.ru  </t>
  </si>
  <si>
    <t>http://centr-op.ru/</t>
  </si>
  <si>
    <t>Бизнес-консалтинг, Регистрация и ликвидация предприятий, Юридические услуги</t>
  </si>
  <si>
    <t>https://ok.ru/bizcons12</t>
  </si>
  <si>
    <t>Дилайн Сервис</t>
  </si>
  <si>
    <t>Restou0026bar</t>
  </si>
  <si>
    <t>47.92866 56.63118</t>
  </si>
  <si>
    <t>Конфетка</t>
  </si>
  <si>
    <t>47.890471 56.642705</t>
  </si>
  <si>
    <t>+7 (8362) 33-28-74</t>
  </si>
  <si>
    <t>пн-пт 09:00–19:00; сб 10:00–13:00</t>
  </si>
  <si>
    <t>ИП Валишин Р. И.</t>
  </si>
  <si>
    <t>+7 (927) 872-63-35</t>
  </si>
  <si>
    <t>47.958858 56.640221</t>
  </si>
  <si>
    <t>47.907696 56.627131</t>
  </si>
  <si>
    <t>Винил-авто</t>
  </si>
  <si>
    <t>47.877922 56.613904</t>
  </si>
  <si>
    <t>47.87482 56.638479</t>
  </si>
  <si>
    <t>Корейская косметика</t>
  </si>
  <si>
    <t>+7 (8362) 34-70-75</t>
  </si>
  <si>
    <t>Алкополис</t>
  </si>
  <si>
    <t>47.887024 56.644521</t>
  </si>
  <si>
    <t>Интим Куан</t>
  </si>
  <si>
    <t>+7 (8362) 37-29-31</t>
  </si>
  <si>
    <t>Интернет-магазин, Магазин белья и купальников, Секс-шоп</t>
  </si>
  <si>
    <t>47.943443 56.634743</t>
  </si>
  <si>
    <t>47.89678 56.633116</t>
  </si>
  <si>
    <t>МарГУ Институт цифровых технологий</t>
  </si>
  <si>
    <t>ул. Машиностроителей, 15Е, Йошкар-Ола</t>
  </si>
  <si>
    <t>+7 (8362) 68-79-55</t>
  </si>
  <si>
    <t>https://facebook.com/MariiskiGosudarstvenyiUniversitet</t>
  </si>
  <si>
    <t>https://youtube.com/user/MariStateUniv</t>
  </si>
  <si>
    <t>47.874473 56.643362</t>
  </si>
  <si>
    <t>47.892571 56.638689</t>
  </si>
  <si>
    <t>Тахограф12</t>
  </si>
  <si>
    <t>+7 (967) 755-05-88</t>
  </si>
  <si>
    <t>http://tahograf12.ru/</t>
  </si>
  <si>
    <t>47.832181 56.643948</t>
  </si>
  <si>
    <t>Автоспецтех</t>
  </si>
  <si>
    <t>ул. Чехова, 16, Йошкар-Ола</t>
  </si>
  <si>
    <t>+7 (8362) 75-98-88</t>
  </si>
  <si>
    <t>+7 (937) 939-35-92</t>
  </si>
  <si>
    <t>Экономка</t>
  </si>
  <si>
    <t>47.863496 56.649548</t>
  </si>
  <si>
    <t>Авеню</t>
  </si>
  <si>
    <t>+7 (8362) 35-22-22</t>
  </si>
  <si>
    <t>47.846787 56.619671</t>
  </si>
  <si>
    <t>Мегахбх</t>
  </si>
  <si>
    <t>+7 (939) 724-46-68</t>
  </si>
  <si>
    <t>47.89889 56.617457</t>
  </si>
  <si>
    <t>Магазин игрушек и канцтоваров</t>
  </si>
  <si>
    <t>Детские игрушки и игры, Детский магазин, Магазин канцтоваров</t>
  </si>
  <si>
    <t>47.8243 56.629925</t>
  </si>
  <si>
    <t>Технологии подъема</t>
  </si>
  <si>
    <t>+7 (836) 296-94-26</t>
  </si>
  <si>
    <t>Частный сад Звездный</t>
  </si>
  <si>
    <t>+7 (903) 050-69-99</t>
  </si>
  <si>
    <t>пн-пт 07:15–18:15</t>
  </si>
  <si>
    <t>https://vk.com/club165229126</t>
  </si>
  <si>
    <t>Ilak NailBar</t>
  </si>
  <si>
    <t>47.893042 56.629501</t>
  </si>
  <si>
    <t>Технологии комфорта</t>
  </si>
  <si>
    <t>Кондиционеры, Окна, Отопительное оборудование и системы, Строительные и отделочные работы, Строительный магазин</t>
  </si>
  <si>
    <t>пн-пт 09:00–18:00, перерыв 13:00–14:00; сб 10:00–16:00</t>
  </si>
  <si>
    <t>47.896386 56.627393</t>
  </si>
  <si>
    <t>Barbershop первый мужской салон</t>
  </si>
  <si>
    <t>+7 (8362) 50-89-50</t>
  </si>
  <si>
    <t>+7 (964) 860-89-50</t>
  </si>
  <si>
    <t>http://first-male.ru/</t>
  </si>
  <si>
    <t>Барбершоп, Парикмахерская, Салон красоты</t>
  </si>
  <si>
    <t>пн-пт 09:00–21:00; сб,вс 10:00–19:00</t>
  </si>
  <si>
    <t>https://instagram.com/first_male12</t>
  </si>
  <si>
    <t>47.912637 56.635618</t>
  </si>
  <si>
    <t>Freedom</t>
  </si>
  <si>
    <t>+7 (8362) 51-48-48</t>
  </si>
  <si>
    <t>пн-чт 15:00–01:00; пт,сб 15:00–03:00; вс 15:00–01:00</t>
  </si>
  <si>
    <t>https://instagram.com/freedom_lounge_bar</t>
  </si>
  <si>
    <t>47.908211 56.62724</t>
  </si>
  <si>
    <t>RED</t>
  </si>
  <si>
    <t>+7 (961) 377-98-98, +7 (937) 934-80-07</t>
  </si>
  <si>
    <t>https://www.instagram.com/ryabchikova_design</t>
  </si>
  <si>
    <t>47.88824 56.63124</t>
  </si>
  <si>
    <t>Складская ул., 18А, корп. 1, Йошкар-Ола</t>
  </si>
  <si>
    <t>8 (800) 707-42-30, +7 (495) 995-66-15</t>
  </si>
  <si>
    <t>47.900282 56.616704</t>
  </si>
  <si>
    <t>47.921638 56.640244</t>
  </si>
  <si>
    <t>Массажный салон, Парикмахерская, Салон красоты</t>
  </si>
  <si>
    <t>Самарканд</t>
  </si>
  <si>
    <t>47.926375 56.627993</t>
  </si>
  <si>
    <t>47.863086 56.646518</t>
  </si>
  <si>
    <t>Mytenderness.ru</t>
  </si>
  <si>
    <t>http://mytenderness.ru/</t>
  </si>
  <si>
    <t>47.918029 56.627449</t>
  </si>
  <si>
    <t>Центр помощи населению</t>
  </si>
  <si>
    <t>8 (800) 250-32-07</t>
  </si>
  <si>
    <t>+7 (902) 744-99-50</t>
  </si>
  <si>
    <t>Общественная организация, Страховая компания, Юридические услуги</t>
  </si>
  <si>
    <t>Севзапмебель</t>
  </si>
  <si>
    <t>+7 (8362) 45-72-71</t>
  </si>
  <si>
    <t xml:space="preserve">info@sevzapmebel.ru  </t>
  </si>
  <si>
    <t>http://www.sevzapmebel.ru/</t>
  </si>
  <si>
    <t>Родная сторона</t>
  </si>
  <si>
    <t>47.869589 56.635066</t>
  </si>
  <si>
    <t>Киоск фастфудной продукции</t>
  </si>
  <si>
    <t>47.839686 56.633861</t>
  </si>
  <si>
    <t>Стрелковый клуб, тир</t>
  </si>
  <si>
    <t>47.892116 56.636945</t>
  </si>
  <si>
    <t>Брусчатка, тротуарная плитка, бордюры в Йошкар-Оле</t>
  </si>
  <si>
    <t>+7 (902) 430-46-47</t>
  </si>
  <si>
    <t xml:space="preserve">plitka204647@yandex.ru  </t>
  </si>
  <si>
    <t>https://204647.ru/</t>
  </si>
  <si>
    <t>Бетон, бетонные изделия, Тротуарная плитка</t>
  </si>
  <si>
    <t>https://vk.com/club165055368</t>
  </si>
  <si>
    <t>https://instagram.com/bruschatkaioshkar</t>
  </si>
  <si>
    <t>47.869733 56.619067</t>
  </si>
  <si>
    <t>RodStation</t>
  </si>
  <si>
    <t xml:space="preserve">rodstation@yandex.ru, kep_um-1@inbox.ru  </t>
  </si>
  <si>
    <t>https://vk.com/rodstation</t>
  </si>
  <si>
    <t>Банный комплекс Усадьба</t>
  </si>
  <si>
    <t>47.842035 56.658123</t>
  </si>
  <si>
    <t>8 (800) 333-22-44, +7 (8362) 41-68-58</t>
  </si>
  <si>
    <t>Франшиза пекарни Мамин хлеб</t>
  </si>
  <si>
    <t>8 (800) 700-87-16</t>
  </si>
  <si>
    <t xml:space="preserve">franchise@mamin-hleb.ru  </t>
  </si>
  <si>
    <t>https://fyla.maminhleb.ru/</t>
  </si>
  <si>
    <t>Деловые Консультации</t>
  </si>
  <si>
    <t>+7 (987) 715-04-16</t>
  </si>
  <si>
    <t>http://деловые-консультации12.рф/, https://t.me/+79877150416</t>
  </si>
  <si>
    <t>Оценочная компания, Регистрация и ликвидация предприятий, Юридические услуги</t>
  </si>
  <si>
    <t>Colizeum Йошкар-Ола</t>
  </si>
  <si>
    <t>+7 (8362) 33-22-44</t>
  </si>
  <si>
    <t xml:space="preserve">colizeummall@gmail.com  </t>
  </si>
  <si>
    <t>https://colizeum.ru/club/colizeum_Йошкар_Ола</t>
  </si>
  <si>
    <t>Интернет-кафе, Киберспорт, Развлекательный центр</t>
  </si>
  <si>
    <t>https://vk.com/colizeum_yoha</t>
  </si>
  <si>
    <t>https://www.instagram.com/colizeum_yoha/</t>
  </si>
  <si>
    <t>47.887173 56.627553</t>
  </si>
  <si>
    <t>+7 (8362) 45-12-50, +7 (8362) 45-14-50, +7 (8362) 45-02-43</t>
  </si>
  <si>
    <t>Дети</t>
  </si>
  <si>
    <t>47.9242 56.63881</t>
  </si>
  <si>
    <t>Поплавок</t>
  </si>
  <si>
    <t>+7 (8362) 36-47-74</t>
  </si>
  <si>
    <t>+7 (967) 756-47-74</t>
  </si>
  <si>
    <t xml:space="preserve">koc2727@yandex.ru  </t>
  </si>
  <si>
    <t>https://vk.com/poplavok12</t>
  </si>
  <si>
    <t>http://www.instagram.com/shop_poplavok12</t>
  </si>
  <si>
    <t>47.922275 56.630255</t>
  </si>
  <si>
    <t>47.833004 56.635265</t>
  </si>
  <si>
    <t>47.873609 56.636661</t>
  </si>
  <si>
    <t>ГБУ Перинатальный центр, родовое отделение № 1</t>
  </si>
  <si>
    <t>бул. Победы, 19, корп. 3, Йошкар-Ола</t>
  </si>
  <si>
    <t>Перинатальный центр</t>
  </si>
  <si>
    <t>47.878534 56.638174</t>
  </si>
  <si>
    <t>47.872395 56.653369</t>
  </si>
  <si>
    <t>47.894337 56.640601</t>
  </si>
  <si>
    <t>ул. Якова Эшпая, 153, Йошкар-Ола</t>
  </si>
  <si>
    <t>47.881316 56.63562</t>
  </si>
  <si>
    <t>Губки</t>
  </si>
  <si>
    <t>+7 (961) 335-68-88</t>
  </si>
  <si>
    <t>http://relax-gubki.ru/</t>
  </si>
  <si>
    <t>Институт национальной культуры и межкультурной коммуникации</t>
  </si>
  <si>
    <t>Garage 1</t>
  </si>
  <si>
    <t>+7 (962) 565-02-62</t>
  </si>
  <si>
    <t>http://garage716.ru/</t>
  </si>
  <si>
    <t>47.946987 56.637788</t>
  </si>
  <si>
    <t>Уютная 2-х комнатная квартира</t>
  </si>
  <si>
    <t>пер. Лёни Голикова, 14, Йошкар-Ола</t>
  </si>
  <si>
    <t>47.90175 56.61797</t>
  </si>
  <si>
    <t>IQOS</t>
  </si>
  <si>
    <t>8 (800) 301-47-67</t>
  </si>
  <si>
    <t>+7 (987) 663-74-61</t>
  </si>
  <si>
    <t xml:space="preserve">btl54@tmasters.ru </t>
  </si>
  <si>
    <t>http://ya.fastdelivery.store/new/?utm_source=yandexmaps</t>
  </si>
  <si>
    <t>https://www.facebook.com/IQOS-%D0%A0%D0%BE%D1%81%D1%81%D0%B8%D1%8F-1118965614870402/</t>
  </si>
  <si>
    <t>https://instagram.com/iqos.sales.partner?igshid=hpawabl2eg1w</t>
  </si>
  <si>
    <t>Версаль</t>
  </si>
  <si>
    <t>47.900609 56.642811</t>
  </si>
  <si>
    <t>Зал для Практики Йогасан</t>
  </si>
  <si>
    <t>+7 (927) 889-19-76</t>
  </si>
  <si>
    <t xml:space="preserve">annakojanova@gmail.com  </t>
  </si>
  <si>
    <t>Спортивный клуб, секция, Спортивный, тренажерный зал, Центр йоги</t>
  </si>
  <si>
    <t>https://vk.com/zalyogasan</t>
  </si>
  <si>
    <t>Буфет Домашние пироги</t>
  </si>
  <si>
    <t>+7 (8362) 72-15-90</t>
  </si>
  <si>
    <t>Булочная, пекарня, Быстрое питание</t>
  </si>
  <si>
    <t>47.842351 56.635869</t>
  </si>
  <si>
    <t>ул. Строителей, 1А/2, Йошкар-Ола</t>
  </si>
  <si>
    <t>Почемучка+</t>
  </si>
  <si>
    <t>47.917936 56.62944</t>
  </si>
  <si>
    <t>АО Металл</t>
  </si>
  <si>
    <t>8 (800) 555-59-82</t>
  </si>
  <si>
    <t xml:space="preserve">metall-ural@bk.ru, ngtbm@list.ru, resurs-met@mail.ru, artem_chernenko@list.ru  </t>
  </si>
  <si>
    <t>https://yoshkar-ola.metall-ural.ru/</t>
  </si>
  <si>
    <t>Металлопрокат, Трубы и трубопроводная арматура, Цветные металлы</t>
  </si>
  <si>
    <t>https://vk.com/truba14x2</t>
  </si>
  <si>
    <t>АвтоДизельСервис</t>
  </si>
  <si>
    <t>+7 (8362) 65-24-63</t>
  </si>
  <si>
    <t>+7 (902) 325-24-63</t>
  </si>
  <si>
    <t>47.948809 56.624841</t>
  </si>
  <si>
    <t>Склад Мегахолл</t>
  </si>
  <si>
    <t>47.866931 56.615404</t>
  </si>
  <si>
    <t>Опт Всем РФ</t>
  </si>
  <si>
    <t>ул. Панфилова, 37А, корп. 1, Йошкар-Ола</t>
  </si>
  <si>
    <t>https://опт-всем.рф/</t>
  </si>
  <si>
    <t>Интернет-магазин, Оптовая компания, Оптовый магазин</t>
  </si>
  <si>
    <t>https://vk.com/optvsemrf</t>
  </si>
  <si>
    <t>47.876611 56.627852</t>
  </si>
  <si>
    <t>ТМ Ремонт под ключ</t>
  </si>
  <si>
    <t>http://tm-otdelka.ru/</t>
  </si>
  <si>
    <t>Строительная компания, Строительные и отделочные работы, Стройматериалы оптом</t>
  </si>
  <si>
    <t>https://www.facebook.com/tm.otdelka</t>
  </si>
  <si>
    <t>47.90743 56.631093</t>
  </si>
  <si>
    <t>Бархатный сезон</t>
  </si>
  <si>
    <t>+7 (8362) 67-07-08</t>
  </si>
  <si>
    <t>47.886548 56.629361</t>
  </si>
  <si>
    <t>Ясна</t>
  </si>
  <si>
    <t>Пекарня-кондитерская Государевы пекарни</t>
  </si>
  <si>
    <t>https://vk.com/pekarni12</t>
  </si>
  <si>
    <t>47.897812 56.635075</t>
  </si>
  <si>
    <t>47.896526 56.628638</t>
  </si>
  <si>
    <t>Мойка 24</t>
  </si>
  <si>
    <t>+7 (8362) 44-71-11</t>
  </si>
  <si>
    <t>47.838372 56.632983</t>
  </si>
  <si>
    <t>ZлатоГостье</t>
  </si>
  <si>
    <t>+7 (927) 883-30-20</t>
  </si>
  <si>
    <t>https://zlatogoste.wixsite.com/mysite</t>
  </si>
  <si>
    <t>Изделия из камня, Мебель для кухни, Мебельная фабрика</t>
  </si>
  <si>
    <t>УК Наш дом</t>
  </si>
  <si>
    <t>+7 (8362) 36-01-01</t>
  </si>
  <si>
    <t>пн 08:00–17:00, перерыв 12:00–13:00; вт 14:00–17:00; ср,чт 08:00–17:00, перерыв 12:00–13:00; пт 14:00–17:00</t>
  </si>
  <si>
    <t>47.905355 56.643565</t>
  </si>
  <si>
    <t>Ваше хозяйство</t>
  </si>
  <si>
    <t>+7 (8362) 24-72-47, +7 (8362) 65-72-18</t>
  </si>
  <si>
    <t>+7 (917) 706-62-50</t>
  </si>
  <si>
    <t>Камины, печи, Строительный магазин</t>
  </si>
  <si>
    <t>пн-пт 08:30–16:30; сб 09:00–14:00</t>
  </si>
  <si>
    <t xml:space="preserve">info@webdzier.com, info@hostel12rus.ru  </t>
  </si>
  <si>
    <t>https://hostel12rus.ru/</t>
  </si>
  <si>
    <t>https://vk.com/hostel_na_chehova_yo</t>
  </si>
  <si>
    <t>https://www.instagram.com/hostel_na_chehova_yo/</t>
  </si>
  <si>
    <t>47.883252 56.64565</t>
  </si>
  <si>
    <t>ГК Юбилейный</t>
  </si>
  <si>
    <t>+7 (8362) 74-19-62</t>
  </si>
  <si>
    <t>вт 10:00–13:00; чт 15:00–18:00; сб 08:00–13:00</t>
  </si>
  <si>
    <t>47.914183 56.615096</t>
  </si>
  <si>
    <t>Комсомольская площадь, 86, Йошкар-Ола</t>
  </si>
  <si>
    <t>+7 (960) 097-07-47</t>
  </si>
  <si>
    <t>Аренда дизельного компрессора</t>
  </si>
  <si>
    <t>+7 (902) 439-11-00, +7 (902) 101-62-63</t>
  </si>
  <si>
    <t>47.93246 56.632585</t>
  </si>
  <si>
    <t>Дистетх</t>
  </si>
  <si>
    <t>8 (800) 700-93-63, +7 (8362) 94-54-48</t>
  </si>
  <si>
    <t>+7 (967) 755-08-36</t>
  </si>
  <si>
    <t>47.89684 56.634475</t>
  </si>
  <si>
    <t>Сумкофф</t>
  </si>
  <si>
    <t>47.891442 56.632149</t>
  </si>
  <si>
    <t>Дом по ул. Комсомольская, 38</t>
  </si>
  <si>
    <t>+7 (8362) 35-72-70</t>
  </si>
  <si>
    <t>http://ukspravit.ru/novostroiki.html</t>
  </si>
  <si>
    <t>47.899433 56.648277</t>
  </si>
  <si>
    <t>47.893916 56.646663</t>
  </si>
  <si>
    <t>Bon Appetit</t>
  </si>
  <si>
    <t>47.87448 56.637118</t>
  </si>
  <si>
    <t>Проектно-строительная компания Мастер</t>
  </si>
  <si>
    <t>+7 (937) 111-10-77</t>
  </si>
  <si>
    <t xml:space="preserve">psk_master@mail.ru  </t>
  </si>
  <si>
    <t>https://pskmaster.ru/</t>
  </si>
  <si>
    <t>https://vk.com/ooopskm</t>
  </si>
  <si>
    <t>https://www.youtube.com/channel/UCXX5QqpYaGyHm6LCZR_c9tg</t>
  </si>
  <si>
    <t>https://www.instagram.com/pskmaster_ru/</t>
  </si>
  <si>
    <t>47.888207 56.631187</t>
  </si>
  <si>
    <t>Рой клуб</t>
  </si>
  <si>
    <t>+7 (987) 701-95-51, +7 (927) 875-21-44</t>
  </si>
  <si>
    <t xml:space="preserve">100inmonth@gmail.com  </t>
  </si>
  <si>
    <t>http://roy.club/</t>
  </si>
  <si>
    <t>https://vk.com/roy.club.cash</t>
  </si>
  <si>
    <t>https://www.facebook.com/ROYCashClub</t>
  </si>
  <si>
    <t>https://www.instagram.com/roy.club.cash</t>
  </si>
  <si>
    <t>47.93555 56.632558</t>
  </si>
  <si>
    <t>Ателье Iskra</t>
  </si>
  <si>
    <t>+7 (987) 717-55-18</t>
  </si>
  <si>
    <t xml:space="preserve">atelieriskra@gmail.com  </t>
  </si>
  <si>
    <t>Ателье по пошиву одежды, Шоу-рум</t>
  </si>
  <si>
    <t>пн-пт 11:00–19:00; сб 12:00–18:00</t>
  </si>
  <si>
    <t>http://vk.com/iskra_atelier</t>
  </si>
  <si>
    <t>https://www.instagram.com/iskra_atelier/</t>
  </si>
  <si>
    <t>47.883382 56.632214</t>
  </si>
  <si>
    <t>Автоломбард - Офис Йошкар-Олинский</t>
  </si>
  <si>
    <t>8 (800) 551-48-80</t>
  </si>
  <si>
    <t xml:space="preserve">info@avtolombards.ru  </t>
  </si>
  <si>
    <t>https://joshkar-ola.avtolombards.ru/</t>
  </si>
  <si>
    <t>https://vk.com/avtolombards</t>
  </si>
  <si>
    <t>https://ok.ru/avtolombards</t>
  </si>
  <si>
    <t>https://www.instagram.com/avtolombards.ru</t>
  </si>
  <si>
    <t>Трансформаторная подстанция № 290</t>
  </si>
  <si>
    <t>47.944612 56.622684</t>
  </si>
  <si>
    <t>47.887543 56.629495</t>
  </si>
  <si>
    <t>Центр развития Классики</t>
  </si>
  <si>
    <t>+7 (8362) 70-13-02</t>
  </si>
  <si>
    <t>http://classiku12.ru/</t>
  </si>
  <si>
    <t>47.917961 56.629378</t>
  </si>
  <si>
    <t>МарГУ Учебный корпус</t>
  </si>
  <si>
    <t>+7 (8362) 68-80-02</t>
  </si>
  <si>
    <t>47.874075 56.643091</t>
  </si>
  <si>
    <t>Мастера Солнца</t>
  </si>
  <si>
    <t>8 (800) 500-41-37, +7 (8362) 34-74-14</t>
  </si>
  <si>
    <t>+7 (969) 627-03-69</t>
  </si>
  <si>
    <t xml:space="preserve">ola@masterasolnca.ru, yo@master-stell.ru  </t>
  </si>
  <si>
    <t>https://masterasolnca.ru/</t>
  </si>
  <si>
    <t>https://vk.com/club34243951</t>
  </si>
  <si>
    <t>https://www.youtube.com/channel/UC1jLNCKqUfp6_8hTJ_hlaXw</t>
  </si>
  <si>
    <t>https://www.instagram.com/stell_masterasolnca/</t>
  </si>
  <si>
    <t>47.870122 56.612791</t>
  </si>
  <si>
    <t>Центр новых профессий</t>
  </si>
  <si>
    <t>+7 (902) 670-08-90</t>
  </si>
  <si>
    <t>https://vk.com/school12k</t>
  </si>
  <si>
    <t>https://instagram.com/schoolkosmetolog</t>
  </si>
  <si>
    <t>47.883266 56.626167</t>
  </si>
  <si>
    <t>Апартаменты 2 на Бульваре Чавайна 18</t>
  </si>
  <si>
    <t>+7 (987) 704-74-07</t>
  </si>
  <si>
    <t>47.914639 56.631737</t>
  </si>
  <si>
    <t>Горячая выпечка</t>
  </si>
  <si>
    <t>47.874917 56.635348</t>
  </si>
  <si>
    <t>+7 (8362) 55-68-00, +7 (8362) 97-96-16</t>
  </si>
  <si>
    <t>47.832711 56.643321</t>
  </si>
  <si>
    <t>Ironpro</t>
  </si>
  <si>
    <t>+7 (927) 882-78-38, +7 (929) 733-13-00</t>
  </si>
  <si>
    <t>http://ironpro.pro/</t>
  </si>
  <si>
    <t>Металлические заборы и ограждения, Металлоконструкции, Тепличное оборудование</t>
  </si>
  <si>
    <t>Эмгудо</t>
  </si>
  <si>
    <t>47.894325 56.641666</t>
  </si>
  <si>
    <t>47.899519 56.64402</t>
  </si>
  <si>
    <t>Такелаж</t>
  </si>
  <si>
    <t>47.839625 56.626916</t>
  </si>
  <si>
    <t>StandarTpark</t>
  </si>
  <si>
    <t>Водостоки и водосточные системы, Инжиниринг, Строительство и обслуживание инженерных сетей</t>
  </si>
  <si>
    <t>47.867499 56.625149</t>
  </si>
  <si>
    <t>Усадьба Тарханово</t>
  </si>
  <si>
    <t>Головные уборы и аксессуары Kalnaus</t>
  </si>
  <si>
    <t>+7 (909) 369-33-93</t>
  </si>
  <si>
    <t xml:space="preserve">mail@kalnaus.ru  </t>
  </si>
  <si>
    <t>http://kalnaus.ru/</t>
  </si>
  <si>
    <t>Магазин галантереи и аксессуаров, Магазин головных уборов, Салон оптики</t>
  </si>
  <si>
    <t>https://vk.com/kalnaushats</t>
  </si>
  <si>
    <t>Pavlotti</t>
  </si>
  <si>
    <t>+7 (987) 700-15-00</t>
  </si>
  <si>
    <t>47.929095 56.627957</t>
  </si>
  <si>
    <t>ФГКУ Отдел вневедомственной охраны войск национальной гвардии Российской Федерации по Республике Марий Эл</t>
  </si>
  <si>
    <t>+7 (8362) 46-42-00, +7 (8362) 45-84-77</t>
  </si>
  <si>
    <t>http://rosgvard.ru/</t>
  </si>
  <si>
    <t>Вневедомственная охрана, Министерства, ведомства, государственные службы, Охранное предприятие</t>
  </si>
  <si>
    <t>47.968311 56.639768</t>
  </si>
  <si>
    <t>Окна ворота</t>
  </si>
  <si>
    <t>47.872203 56.635492</t>
  </si>
  <si>
    <t>Россия, Республика Марий Эл, Йошкар-Ола, проезд Котовского</t>
  </si>
  <si>
    <t>47.875395 56.653297</t>
  </si>
  <si>
    <t>БалконыОкна Йошкар-Ола</t>
  </si>
  <si>
    <t>8 (800) 505-97-55</t>
  </si>
  <si>
    <t xml:space="preserve">moydom2004@yandex.ru, cryptonic@mail.ru, moydomsv@gmail.com, info@balkon-okna12.ru, 79967463626@sms.ru  </t>
  </si>
  <si>
    <t>https://balkon-okna12.ru/</t>
  </si>
  <si>
    <t>Batstore</t>
  </si>
  <si>
    <t>https://vk.com/batstore12</t>
  </si>
  <si>
    <t>https://instagram.com/batstore.yo</t>
  </si>
  <si>
    <t>TS</t>
  </si>
  <si>
    <t>Магазин парфюмерии и косметики, Магазин постельных принадлежностей, Магазин хозтоваров и бытовой химии, Средства гигиены</t>
  </si>
  <si>
    <t>47.893927 56.629464</t>
  </si>
  <si>
    <t>Мастер принт</t>
  </si>
  <si>
    <t>Оргтехника, Полиграфические услуги, Расходные материалы для оргтехники, Ремонт оргтехники</t>
  </si>
  <si>
    <t>47.879819 56.633092</t>
  </si>
  <si>
    <t>Микрозайм</t>
  </si>
  <si>
    <t>+7 (495) 178-01-46</t>
  </si>
  <si>
    <t xml:space="preserve">info@zaim-universal.ru </t>
  </si>
  <si>
    <t>http://zaim-universal.ru/</t>
  </si>
  <si>
    <t>47.871007 56.637074</t>
  </si>
  <si>
    <t>47.946681 56.62531</t>
  </si>
  <si>
    <t>47.894458 56.636504</t>
  </si>
  <si>
    <t>Хома</t>
  </si>
  <si>
    <t>47.868767 56.637407</t>
  </si>
  <si>
    <t>47.831463 56.636814</t>
  </si>
  <si>
    <t>+7 (8362) 23-23-49</t>
  </si>
  <si>
    <t>47.887545 56.65007</t>
  </si>
  <si>
    <t>Pro100сервис</t>
  </si>
  <si>
    <t>+7 (8362) 48-48-87</t>
  </si>
  <si>
    <t>47.83383 56.62668</t>
  </si>
  <si>
    <t>Йотайм</t>
  </si>
  <si>
    <t>47.929342 56.629311</t>
  </si>
  <si>
    <t>Роскедр</t>
  </si>
  <si>
    <t>8 (800) 555-27-07</t>
  </si>
  <si>
    <t xml:space="preserve">mail@roskedr.ru, omutko@mail.ru  </t>
  </si>
  <si>
    <t>https://roskedr.ru/</t>
  </si>
  <si>
    <t>https://vk.com/fitobochkaroskedr</t>
  </si>
  <si>
    <t>47.896024 56.633531</t>
  </si>
  <si>
    <t>47.893046 56.639066</t>
  </si>
  <si>
    <t>Marshall</t>
  </si>
  <si>
    <t>47.879734 56.60647</t>
  </si>
  <si>
    <t>Берёзово</t>
  </si>
  <si>
    <t>47.838169 56.641615</t>
  </si>
  <si>
    <t>Магазин кальянов Йошкар-Ола</t>
  </si>
  <si>
    <t>+7 (987) 724-02-73</t>
  </si>
  <si>
    <t>http://www.easy-smok12.ru/</t>
  </si>
  <si>
    <t>https://vk.com/topic-182763062_40888673</t>
  </si>
  <si>
    <t>https://www.instagram.com/easysmoke_yo/</t>
  </si>
  <si>
    <t>47.898822 56.645111</t>
  </si>
  <si>
    <t>+7 (987) 700-07-29</t>
  </si>
  <si>
    <t>пн-сб 08:00–20:00; вс 08:00–19:30, перерыв 13:00–13:30</t>
  </si>
  <si>
    <t>47.890581 56.644227</t>
  </si>
  <si>
    <t>Komfort 21-Go Veka V Tishine Apartments</t>
  </si>
  <si>
    <t>47.861866 56.64117</t>
  </si>
  <si>
    <t>+7 (961) 336-91-57</t>
  </si>
  <si>
    <t>47.85186 56.648354</t>
  </si>
  <si>
    <t>Комета 2016</t>
  </si>
  <si>
    <t>+7 (917) 710-37-91</t>
  </si>
  <si>
    <t>47.851542 56.645843</t>
  </si>
  <si>
    <t>+7 (8362) 30-75-14, +7 (8362) 45-67-52, +7 (8362) 45-17-04</t>
  </si>
  <si>
    <t>47.870123 56.646034</t>
  </si>
  <si>
    <t xml:space="preserve">info@gk-samolet12.ru  </t>
  </si>
  <si>
    <t>http://gk-samolet12.ru/</t>
  </si>
  <si>
    <t>Агентство недвижимости, Продажа земельных участков, Продажа и аренда коммерческой недвижимости</t>
  </si>
  <si>
    <t>47.870403 56.63851</t>
  </si>
  <si>
    <t>Агентство независимой оценки</t>
  </si>
  <si>
    <t>+7 (927) 870-49-85</t>
  </si>
  <si>
    <t xml:space="preserve">ds.koval@mail.ru  </t>
  </si>
  <si>
    <t>http://ocenka-yola.ru/</t>
  </si>
  <si>
    <t>Автоэкспертиза, оценка автомобилей, Оценочная компания, Судебно-медицинская экспертиза</t>
  </si>
  <si>
    <t>47.885892 56.640124</t>
  </si>
  <si>
    <t>47.899078 56.634184</t>
  </si>
  <si>
    <t>Россия, Республика Марий Эл, Йошкар-Ола, улица Нахимова</t>
  </si>
  <si>
    <t>47.865308 56.642778</t>
  </si>
  <si>
    <t>Сернурский тракт, 2Б, Йошкар-Ола</t>
  </si>
  <si>
    <t>47.954833 56.653259</t>
  </si>
  <si>
    <t>Жива</t>
  </si>
  <si>
    <t>47.89405 56.640432</t>
  </si>
  <si>
    <t>ООО Связьстрой</t>
  </si>
  <si>
    <t>47.895769 56.633116</t>
  </si>
  <si>
    <t>Костоправ</t>
  </si>
  <si>
    <t>+7 (937) 938-62-22</t>
  </si>
  <si>
    <t>Медцентр, клиника, Нетрадиционная медицина</t>
  </si>
  <si>
    <t>https://vk.com/public166474324</t>
  </si>
  <si>
    <t>Детский сад № 25 Жемчужинка</t>
  </si>
  <si>
    <t>ул. Прохорова, 28А, Йошкар-Ола</t>
  </si>
  <si>
    <t>+7 (8362) 63-76-51, +7 (8362) 63-44-22</t>
  </si>
  <si>
    <t xml:space="preserve">jemch25@mail.ru, uoa-yoshkar-ola@yandex.ru  </t>
  </si>
  <si>
    <t>http://edu.mari.ru/mouo-yoshkarola/dou25</t>
  </si>
  <si>
    <t>47.834513 56.633885</t>
  </si>
  <si>
    <t>Промышленные технологии покраски</t>
  </si>
  <si>
    <t>+7 (927) 886-60-65</t>
  </si>
  <si>
    <t>пн-пт 08:00–19:00; сб 10:00–17:00; вс 13:00–16:00</t>
  </si>
  <si>
    <t>+7 (8362) 71-40-40, +7 (8362) 33-49-50</t>
  </si>
  <si>
    <t>Мастерская Окленд</t>
  </si>
  <si>
    <t>+7 (8362) 48-06-96</t>
  </si>
  <si>
    <t>+7 (987) 725-84-25</t>
  </si>
  <si>
    <t>47.855764 56.652578</t>
  </si>
  <si>
    <t>47.894595 56.641394</t>
  </si>
  <si>
    <t>Кабинет косметолога</t>
  </si>
  <si>
    <t>47.899554 56.641278</t>
  </si>
  <si>
    <t>Золотые ножницы</t>
  </si>
  <si>
    <t>+7 (987) 730-39-21</t>
  </si>
  <si>
    <t>47.870239 56.636393</t>
  </si>
  <si>
    <t>Хлебозавод № 1, отдел</t>
  </si>
  <si>
    <t>+7 (8362) 33-53-17</t>
  </si>
  <si>
    <t>Сосудистый хирург, отделение рентгенохирургических методов лечения</t>
  </si>
  <si>
    <t>+7 (8362) 68-54-32</t>
  </si>
  <si>
    <t>http://rentgenhirurg.ru/</t>
  </si>
  <si>
    <t>https://vk.com/id218942358</t>
  </si>
  <si>
    <t>https://twitter.com/Rentgenhirurg</t>
  </si>
  <si>
    <t>https://www.facebook.com/rengenhirurg/?modal=admin_todo_tour</t>
  </si>
  <si>
    <t>https://www.youtube.com/channel/UCF_KlPEGColDikKQIXNUg7g/</t>
  </si>
  <si>
    <t>https://www.instagram.com/rentgenhirurg</t>
  </si>
  <si>
    <t>Ясень-пень</t>
  </si>
  <si>
    <t>+7 (999) 145-44-13, +7 (927) 877-79-37, +7 (987) 702-90-07</t>
  </si>
  <si>
    <t>https://vk.com/yasen_pen12</t>
  </si>
  <si>
    <t>https://www.rgsbank.ru/?utm_campaign=glavnay&amp;utm_medium=cpc&amp;utm_source=yandex_geo</t>
  </si>
  <si>
    <t>Банк, Денежные переводы</t>
  </si>
  <si>
    <t>http://vk.com/rgsbank</t>
  </si>
  <si>
    <t>https://ok.ru/rgsbank</t>
  </si>
  <si>
    <t>https://www.facebook.com/rgsbank</t>
  </si>
  <si>
    <t>Сигнал</t>
  </si>
  <si>
    <t>Дополнительное образование, Учебный комбинат</t>
  </si>
  <si>
    <t>47.864941 56.653478</t>
  </si>
  <si>
    <t>Медицинский диагностический центр Резонанс МРТ</t>
  </si>
  <si>
    <t>47.933825 56.625374</t>
  </si>
  <si>
    <t>47.88848 56.632801</t>
  </si>
  <si>
    <t>Магазин Мистер блеск</t>
  </si>
  <si>
    <t>+7 (8362) 30-95-85</t>
  </si>
  <si>
    <t>пн-пт 08:00–18:00; сб 08:00–17:00; вс 09:00–17:00</t>
  </si>
  <si>
    <t>Постельное белье</t>
  </si>
  <si>
    <t>47.863083 56.646511</t>
  </si>
  <si>
    <t>47.837736 56.635441</t>
  </si>
  <si>
    <t>Компания по изготовлению мебели под заказ</t>
  </si>
  <si>
    <t>Корпусная мебель, Мебель на заказ, Мягкая мебель</t>
  </si>
  <si>
    <t>47.924756 56.639982</t>
  </si>
  <si>
    <t>ул. Ольги Тихомировой, 9, Йошкар-Ола</t>
  </si>
  <si>
    <t>+7 (917) 703-40-21</t>
  </si>
  <si>
    <t>пн-пт 08:30–18:00; сб,вс 08:30–15:00</t>
  </si>
  <si>
    <t>47.884023 56.652034</t>
  </si>
  <si>
    <t>Россия, Республика Марий Эл, Йошкар-Ола, улица Добролюбова</t>
  </si>
  <si>
    <t>47.941547 56.639825</t>
  </si>
  <si>
    <t>47.854366 56.644054</t>
  </si>
  <si>
    <t>47.888215 56.628351</t>
  </si>
  <si>
    <t>Шуба даром</t>
  </si>
  <si>
    <t>+7 (902) 432-98-58</t>
  </si>
  <si>
    <t>Магазин кожи и меха, Меховая компания</t>
  </si>
  <si>
    <t>https://vk.com/shuba.darom.yoshkarola</t>
  </si>
  <si>
    <t>47.885408 56.636358</t>
  </si>
  <si>
    <t>ГБУ РМЭ РКБ Операционное отделение</t>
  </si>
  <si>
    <t>ул. Осипенко, 33, корп. 3, Йошкар-Ола</t>
  </si>
  <si>
    <t>+7 (8362) 46-82-44</t>
  </si>
  <si>
    <t>СтройХозТовары</t>
  </si>
  <si>
    <t>47.83572 56.63693</t>
  </si>
  <si>
    <t>Cifrolet</t>
  </si>
  <si>
    <t>http://cifrolet.ru/</t>
  </si>
  <si>
    <t>https://www.facebook.com/cifrolet/</t>
  </si>
  <si>
    <t>Hot dress</t>
  </si>
  <si>
    <t>С. П. А. С.</t>
  </si>
  <si>
    <t>+7 (927) 870-64-93</t>
  </si>
  <si>
    <t xml:space="preserve">spas-center@mail.ru  </t>
  </si>
  <si>
    <t>чт 19:00–20:30</t>
  </si>
  <si>
    <t>https://vk.com/spas_prim</t>
  </si>
  <si>
    <t>Bezmiatezhnost V Krugy Semiy</t>
  </si>
  <si>
    <t>47.925573 56.640659</t>
  </si>
  <si>
    <t>Шахматная школа Сергея Карякина</t>
  </si>
  <si>
    <t>+7 (927) 872-78-99, +7 (902) 326-11-45</t>
  </si>
  <si>
    <t>Каролина</t>
  </si>
  <si>
    <t>Клуб</t>
  </si>
  <si>
    <t>47.875005 56.632168</t>
  </si>
  <si>
    <t>Дом культуры им. Дзержинского</t>
  </si>
  <si>
    <t>47.89817 56.638115</t>
  </si>
  <si>
    <t>Лювена</t>
  </si>
  <si>
    <t>+7 (8362) 30-78-03</t>
  </si>
  <si>
    <t>+7 (967) 757-78-03</t>
  </si>
  <si>
    <t xml:space="preserve">luvena12@yandex.ru  </t>
  </si>
  <si>
    <t>http://studio-luvena.ru/</t>
  </si>
  <si>
    <t>Косметология, Массажный салон, Ногтевая студия, Парикмахерская</t>
  </si>
  <si>
    <t>https://vk.com/luvena_studio</t>
  </si>
  <si>
    <t>https://www.facebook.com/luvena.studio</t>
  </si>
  <si>
    <t>https://www.instagram.com/luvena.studio/</t>
  </si>
  <si>
    <t>47.81974 56.639316</t>
  </si>
  <si>
    <t>Лератон</t>
  </si>
  <si>
    <t>+7 (8362) 77-70-80</t>
  </si>
  <si>
    <t xml:space="preserve">info@leraton.ru, shop@leraton.ru, office@leraton.ru </t>
  </si>
  <si>
    <t>https://vk.com/leraton12ru</t>
  </si>
  <si>
    <t>https://www.instagram.com/leraton12</t>
  </si>
  <si>
    <t>47.938369 56.629745</t>
  </si>
  <si>
    <t>47.8847 56.633521</t>
  </si>
  <si>
    <t>47.849503 56.647792</t>
  </si>
  <si>
    <t>+7 (8362) 77-50-00</t>
  </si>
  <si>
    <t>+7 (902) 739-50-00</t>
  </si>
  <si>
    <t>47.897376 56.618683</t>
  </si>
  <si>
    <t>Фестивальная ул., 73, Йошкар-Ола</t>
  </si>
  <si>
    <t>+7 (917) 703-87-48</t>
  </si>
  <si>
    <t>47.83572 56.643748</t>
  </si>
  <si>
    <t>Стеллажи, Торговое оборудование</t>
  </si>
  <si>
    <t>47.928262 56.643443</t>
  </si>
  <si>
    <t>Эконом оптика</t>
  </si>
  <si>
    <t>+7 (8362) 70-33-05</t>
  </si>
  <si>
    <t>47.885207 56.636208</t>
  </si>
  <si>
    <t>47.883944 56.632373</t>
  </si>
  <si>
    <t>Марийское книжное издательство</t>
  </si>
  <si>
    <t>+7 (8362) 41-47-85, +7 (8362) 45-34-64</t>
  </si>
  <si>
    <t>+7 (964) 862-30-04</t>
  </si>
  <si>
    <t>http://www.maribook.ru/</t>
  </si>
  <si>
    <t>Издательские услуги, Книжный магазин, Полиграфические услуги</t>
  </si>
  <si>
    <t>пн-пт 07:30–19:00; сб,вс 08:00–18:00</t>
  </si>
  <si>
    <t>47.862836 56.645775</t>
  </si>
  <si>
    <t>Аварийно-диспетчерская служба электросетей</t>
  </si>
  <si>
    <t>+7 (8362) 45-33-22, +7 (8362) 42-24-17</t>
  </si>
  <si>
    <t>47.873692 56.633026</t>
  </si>
  <si>
    <t>ул. Волкова, 131, Йошкар-Ола</t>
  </si>
  <si>
    <t>47.894317 56.633256</t>
  </si>
  <si>
    <t>Окна двери потолки жалюзи</t>
  </si>
  <si>
    <t>47.890352 56.639736</t>
  </si>
  <si>
    <t>ул. Волкова, 11/19, Йошкар-Ола</t>
  </si>
  <si>
    <t>47.911756 56.65135</t>
  </si>
  <si>
    <t>47.888164 56.641076</t>
  </si>
  <si>
    <t>ул. Мира, 12, Йошкар-Ола</t>
  </si>
  <si>
    <t>47.948336 56.63231</t>
  </si>
  <si>
    <t>Перспектива</t>
  </si>
  <si>
    <t>Общеобразовательная школа, Частная школа</t>
  </si>
  <si>
    <t>47.912887 56.63599</t>
  </si>
  <si>
    <t>Русский силуэт</t>
  </si>
  <si>
    <t>+7 (927) 885-06-06, +7 (927) 870-64-45</t>
  </si>
  <si>
    <t>47.844102 56.641048</t>
  </si>
  <si>
    <t>Дятьково</t>
  </si>
  <si>
    <t>8 (800) 302-97-53</t>
  </si>
  <si>
    <t xml:space="preserve">info@dmi-group.ru, support@dyatkovo.ru  </t>
  </si>
  <si>
    <t>https://dyatkovo.ru/?utm_campaign=russia_regionu0026utm_medium=cpcu0026utm_source=yandexmaps</t>
  </si>
  <si>
    <t>Детская мебель, Корпусная мебель, Магазин мебели, Матрасы, Мягкая мебель, Садовая мебель</t>
  </si>
  <si>
    <t>https://vk.com/dmi_dyatkovo</t>
  </si>
  <si>
    <t>https://www.facebook.com/dyatkovo</t>
  </si>
  <si>
    <t>https://www.youtube.com/c/Dyatkovo</t>
  </si>
  <si>
    <t>https://www.instagram.com/dyatkovo_mebel</t>
  </si>
  <si>
    <t>47.833205 56.641472</t>
  </si>
  <si>
    <t>+7 (951) 438-88-84</t>
  </si>
  <si>
    <t>Средства гигиены, Фитопродукция, БАДы</t>
  </si>
  <si>
    <t>https://vk.com/greenway_team</t>
  </si>
  <si>
    <t xml:space="preserve">6a9f1e9318b145f58a8cb79185dbd590@sentry.iddqd.yandex.net </t>
  </si>
  <si>
    <t>http://аптека12плюс.рф/</t>
  </si>
  <si>
    <t>47.890322 56.642557</t>
  </si>
  <si>
    <t>Джинсы и брюки</t>
  </si>
  <si>
    <t>http://dzhinsa12.ru/</t>
  </si>
  <si>
    <t>47.891521 56.638964</t>
  </si>
  <si>
    <t>Йошкин трикотаж</t>
  </si>
  <si>
    <t>47.889374 56.640802</t>
  </si>
  <si>
    <t>Система12</t>
  </si>
  <si>
    <t>ул. Серова, 102, Йошкар-Ола</t>
  </si>
  <si>
    <t>+7 (937) 939-20-60</t>
  </si>
  <si>
    <t>https://sistema12.ru/</t>
  </si>
  <si>
    <t>https://vk.com/sistema12_ru</t>
  </si>
  <si>
    <t>47.885541 56.654956</t>
  </si>
  <si>
    <t>Светлица</t>
  </si>
  <si>
    <t>+7 (8362) 20-03-04</t>
  </si>
  <si>
    <t>Кафе, Кондитерская, Кофейня</t>
  </si>
  <si>
    <t>пн-сб 07:30–22:00; вс 09:00–20:00</t>
  </si>
  <si>
    <t>47.879605 56.641406</t>
  </si>
  <si>
    <t>47.879669 56.652367</t>
  </si>
  <si>
    <t>Мотоклуб</t>
  </si>
  <si>
    <t>47.939686 56.622797</t>
  </si>
  <si>
    <t>ул. Строителей, 19/1, Йошкар-Ола</t>
  </si>
  <si>
    <t>47.837291 56.635407</t>
  </si>
  <si>
    <t>ГБУ Перинатальный центр Родовое отделение № 2</t>
  </si>
  <si>
    <t>ЛеоVita</t>
  </si>
  <si>
    <t>+7 (8362) 77-10-13</t>
  </si>
  <si>
    <t>http://vk.com/vk_leovita</t>
  </si>
  <si>
    <t>47.925679 56.638223</t>
  </si>
  <si>
    <t>47.949366 56.635318</t>
  </si>
  <si>
    <t>Марийское республиканское отделение КПРФ</t>
  </si>
  <si>
    <t>https://кпрф12.рф/, http://голосправды.рф/</t>
  </si>
  <si>
    <t>https://vk.com/kprf_12</t>
  </si>
  <si>
    <t>https://www.youtube.com/channel/UCCf_WZCA1h7WYdo3qvjU7HA</t>
  </si>
  <si>
    <t>47.899684 56.642425</t>
  </si>
  <si>
    <t>47.887179 56.648872</t>
  </si>
  <si>
    <t>Only You</t>
  </si>
  <si>
    <t>+7 (8362) 48-44-40</t>
  </si>
  <si>
    <t>+7 (967) 758-44-40</t>
  </si>
  <si>
    <t>https://www.instagram.com/only.you_in_yo?igshid=1ws5ef8m54h1n</t>
  </si>
  <si>
    <t>47.914543 56.627026</t>
  </si>
  <si>
    <t>Республиканская Ветстанция</t>
  </si>
  <si>
    <t>+7 (8362) 45-20-64</t>
  </si>
  <si>
    <t>Ветеринарная аптека, Ветеринарная клиника</t>
  </si>
  <si>
    <t>47.89704 56.639654</t>
  </si>
  <si>
    <t>ГБУ РМЭ Йошкар-Олинская городская больница Ожоговое отделение</t>
  </si>
  <si>
    <t>+7 (8362) 68-54-54</t>
  </si>
  <si>
    <t>http://55-kli.polickliniki.ru/</t>
  </si>
  <si>
    <t>Грузоперевозки по Йошкар-Оле и РМЭ</t>
  </si>
  <si>
    <t>Ambra Pray</t>
  </si>
  <si>
    <t>+7 (919) 414-40-63</t>
  </si>
  <si>
    <t>https://vk.com/yoshkarolamusk</t>
  </si>
  <si>
    <t>Мастерская по изготовлению ключей и заточке инструмента</t>
  </si>
  <si>
    <t>47.870403 56.639859</t>
  </si>
  <si>
    <t>+7 (960) 096-68-03</t>
  </si>
  <si>
    <t>Композит</t>
  </si>
  <si>
    <t>+7 (8362) 99-10-15</t>
  </si>
  <si>
    <t xml:space="preserve">komposit12@mail.ru, support@pulscen.ru, u003esupport@pulscen.ru  </t>
  </si>
  <si>
    <t>http://armatura12.pulscen.ru/</t>
  </si>
  <si>
    <t>Строительная арматура</t>
  </si>
  <si>
    <t>Гос Хозторг</t>
  </si>
  <si>
    <t>Магазин канцтоваров, Магазин посуды, Магазин хозтоваров и бытовой химии, Светотехника</t>
  </si>
  <si>
    <t>47.86214 56.645717</t>
  </si>
  <si>
    <t>+7 (8362) 41-82-84</t>
  </si>
  <si>
    <t>47.844603 56.641729</t>
  </si>
  <si>
    <t>Yode Pro</t>
  </si>
  <si>
    <t>+7 (499) 113-01-49</t>
  </si>
  <si>
    <t>http://yode.pro/</t>
  </si>
  <si>
    <t>https://vk.com/yode_pro</t>
  </si>
  <si>
    <t>https://www.facebook.com/yodepro_official-101833194848326</t>
  </si>
  <si>
    <t>https://www.youtube.com/channel/UCCeYD84MI0q7hmC08nrPb8Q</t>
  </si>
  <si>
    <t>https://www.instagram.com/yode.pro</t>
  </si>
  <si>
    <t>FotPrint</t>
  </si>
  <si>
    <t>+7 (8362) 30-58-88</t>
  </si>
  <si>
    <t>+7 (906) 336-55-20</t>
  </si>
  <si>
    <t xml:space="preserve">info@fotprint.ru  </t>
  </si>
  <si>
    <t>Магазин подарков и сувениров, Фотомагазин, Фотоуслуги</t>
  </si>
  <si>
    <t>https://vk.com/fotprintru</t>
  </si>
  <si>
    <t>https://www.instagram.com/fotprint.ru/</t>
  </si>
  <si>
    <t>47.889391 56.629168</t>
  </si>
  <si>
    <t>47.863694 56.646826</t>
  </si>
  <si>
    <t>Glime</t>
  </si>
  <si>
    <t>Садовник</t>
  </si>
  <si>
    <t>+7 (8362) 65-72-18, +7 (8362) 24-72-47</t>
  </si>
  <si>
    <t>пн-пт 08:30–16:30; сб 08:30–14:00</t>
  </si>
  <si>
    <t>Газель</t>
  </si>
  <si>
    <t>47.932696 56.644119</t>
  </si>
  <si>
    <t>Прораб</t>
  </si>
  <si>
    <t>+7 (937) 939-65-08</t>
  </si>
  <si>
    <t>Магазин Канцтовары</t>
  </si>
  <si>
    <t>+7 (8362) 45-38-80</t>
  </si>
  <si>
    <t>+7 (927) 684-27-97</t>
  </si>
  <si>
    <t>http://www.instagram.com/kantstovary100</t>
  </si>
  <si>
    <t>47.889493 56.642753</t>
  </si>
  <si>
    <t>Юрист12</t>
  </si>
  <si>
    <t>+7 (8362) 33-36-50</t>
  </si>
  <si>
    <t xml:space="preserve">lawyer_12@mail.ru </t>
  </si>
  <si>
    <t>http://вашюрист12.рф/</t>
  </si>
  <si>
    <t>https://vk.com/club12707664</t>
  </si>
  <si>
    <t>Склад Хотэй</t>
  </si>
  <si>
    <t>47.884229 56.609861</t>
  </si>
  <si>
    <t>47.88657 56.642212</t>
  </si>
  <si>
    <t>Мебельная Фурнитура</t>
  </si>
  <si>
    <t>+7 (987) 730-13-37</t>
  </si>
  <si>
    <t>Мебельная фурнитура и комплектующие, Производственное предприятие</t>
  </si>
  <si>
    <t>47.935102 56.634635</t>
  </si>
  <si>
    <t>Фасадные панели</t>
  </si>
  <si>
    <t>Декоративные покрытия, Облицовочные материалы, Фасады и фасадные системы</t>
  </si>
  <si>
    <t>47.838873 56.63261</t>
  </si>
  <si>
    <t>Афродита.ру</t>
  </si>
  <si>
    <t>+7 (8362) 20-72-97, +7 (8362) 35-40-06</t>
  </si>
  <si>
    <t>Идеально для командировки и отдыха</t>
  </si>
  <si>
    <t>47.91733 56.63807</t>
  </si>
  <si>
    <t>47.928215 56.643369</t>
  </si>
  <si>
    <t>РеалТрансАвто</t>
  </si>
  <si>
    <t>+7 (8362) 34-19-20, +7 (8362) 45-19-00, +7 (8362) 76-73-33</t>
  </si>
  <si>
    <t>+7 (902) 329-48-88, +7 (987) 727-88-88, +7 (987) 719-92-67</t>
  </si>
  <si>
    <t>Автомобильные грузоперевозки, Вывоз мусора и отходов</t>
  </si>
  <si>
    <t>+7 (8362) 52-95-55</t>
  </si>
  <si>
    <t>47.961364 56.613441</t>
  </si>
  <si>
    <t>Крассиан</t>
  </si>
  <si>
    <t>+7 (908) 825-95-61</t>
  </si>
  <si>
    <t>Снос зданий, Строительная компания</t>
  </si>
  <si>
    <t>Государственная комиссия Российской Федерации по испытанию и охране селекционных достижений</t>
  </si>
  <si>
    <t>+7 (8362) 64-18-10</t>
  </si>
  <si>
    <t>+7 (8362) 27-09-00</t>
  </si>
  <si>
    <t>+7 (960) 096-73-44</t>
  </si>
  <si>
    <t>пн-пт 09:30–20:00; сб,вс 10:00–19:00</t>
  </si>
  <si>
    <t>47.826918 56.63469</t>
  </si>
  <si>
    <t>47.945414 56.634292</t>
  </si>
  <si>
    <t>Марийский цемент</t>
  </si>
  <si>
    <t>+7 (8362) 23-00-05</t>
  </si>
  <si>
    <t>Стройматериалы оптом, Цемент</t>
  </si>
  <si>
    <t>47.88526 56.632359</t>
  </si>
  <si>
    <t>ТВ и радио на Патриаршей</t>
  </si>
  <si>
    <t>+7 (8362) 42-10-24, +7 (8362) 42-28-28</t>
  </si>
  <si>
    <t>Apartments on Leninskiy prospekt Yoshkar-Ola</t>
  </si>
  <si>
    <t>47.900252 56.628357</t>
  </si>
  <si>
    <t>Энергогрупп</t>
  </si>
  <si>
    <t>+7 (937) 939-12-53</t>
  </si>
  <si>
    <t>Антенны, Системы безопасности и охраны, Товары для мобильных телефонов, Электротехническая продукция</t>
  </si>
  <si>
    <t>пн-пт 09:30–19:00; сб,вс 09:30–17:00</t>
  </si>
  <si>
    <t>Hookah Time</t>
  </si>
  <si>
    <t>+7 (987) 720-34-44</t>
  </si>
  <si>
    <t>пн-чт 12:00–02:00; пт,сб 12:00–03:00; вс 12:00–02:00</t>
  </si>
  <si>
    <t>https://www.instagram.com/hookahtime_yo/</t>
  </si>
  <si>
    <t>47.912464 56.635378</t>
  </si>
  <si>
    <t>ул. Йывана Кырли, 42, Йошкар-Ола</t>
  </si>
  <si>
    <t>47.832567 56.639763</t>
  </si>
  <si>
    <t>Грузчики-газели.рф</t>
  </si>
  <si>
    <t>На Луначарского</t>
  </si>
  <si>
    <t>47.891633 56.620685</t>
  </si>
  <si>
    <t>Детские игрушки и игры, Магазин обуви, Магазин одежды, Товары для дома</t>
  </si>
  <si>
    <t>47.884901 56.635789</t>
  </si>
  <si>
    <t>Prokat kids</t>
  </si>
  <si>
    <t>+7 (987) 719-52-48</t>
  </si>
  <si>
    <t>Магазин детской одежды, Салон вечерней одежды</t>
  </si>
  <si>
    <t>https://www.instagram.com/prokat.kids/</t>
  </si>
  <si>
    <t>47.917709 56.627505</t>
  </si>
  <si>
    <t>Магазин спорттоваров Гурзуф</t>
  </si>
  <si>
    <t>ул. Соловьёва, 3А, Йошкар-Ола</t>
  </si>
  <si>
    <t>https://www.instagram.com/gurzufsportmagazin/</t>
  </si>
  <si>
    <t>47.878695 56.617789</t>
  </si>
  <si>
    <t>Рыбный рай</t>
  </si>
  <si>
    <t>47.884841 56.632674</t>
  </si>
  <si>
    <t>Кровельные работы, Строительная компания</t>
  </si>
  <si>
    <t>ТСЦ Колёсный ряд</t>
  </si>
  <si>
    <t>+7 (8362) 33-09-00</t>
  </si>
  <si>
    <t xml:space="preserve">poleposition@mail.ru  </t>
  </si>
  <si>
    <t>https://yoshkar-ola.kolobox.ru/</t>
  </si>
  <si>
    <t>47.85724 56.621903</t>
  </si>
  <si>
    <t>Карелия</t>
  </si>
  <si>
    <t>Советская ул., 47/14, Йошкар-Ола</t>
  </si>
  <si>
    <t>+7 (8362) 35-35-35</t>
  </si>
  <si>
    <t>+7 (962) 588-35-35</t>
  </si>
  <si>
    <t>47.907061 56.646573</t>
  </si>
  <si>
    <t>47.901384 56.638447</t>
  </si>
  <si>
    <t>Центральный аппарат Филиала ФГБУ ФКП Росреестра по Республике Марий Эл</t>
  </si>
  <si>
    <t>Красноармейская ул., 6, Йошкар-Ола</t>
  </si>
  <si>
    <t>8 (800) 100-34-34, +7 (8362) 23-02-10</t>
  </si>
  <si>
    <t>+7 (8362) 23-00-60</t>
  </si>
  <si>
    <t xml:space="preserve">rosreestr@rosreestr.ru  </t>
  </si>
  <si>
    <t>https://kadastr.ru/, https://rosreestr.ru/</t>
  </si>
  <si>
    <t>Кадастровые работы, Регистрационная палата</t>
  </si>
  <si>
    <t>https://vk.com/rosreestr_ru</t>
  </si>
  <si>
    <t>https://ok.ru/rosreestr.ru</t>
  </si>
  <si>
    <t>https://twitter.com/fkp_12</t>
  </si>
  <si>
    <t>https://www.facebook.com/rosreestr.ru</t>
  </si>
  <si>
    <t>https://www.instagram.com/rosreestr.ru</t>
  </si>
  <si>
    <t>47.902631 56.639776</t>
  </si>
  <si>
    <t>Апартаменты на Кирова 17</t>
  </si>
  <si>
    <t>47.93224 56.63676</t>
  </si>
  <si>
    <t>47.891895 56.631969</t>
  </si>
  <si>
    <t>Поволжский государственный технологический университет, корпус 2</t>
  </si>
  <si>
    <t>+7 (8362) 68-78-19</t>
  </si>
  <si>
    <t>http://www.volgatech.net/, http://eng.volgatech.net/</t>
  </si>
  <si>
    <t>http://twitter.com/volgatech</t>
  </si>
  <si>
    <t>http://www.facebook.com/volgatech</t>
  </si>
  <si>
    <t>http://www.instagram.com/volgatech</t>
  </si>
  <si>
    <t>47.891407 56.628412</t>
  </si>
  <si>
    <t>Крокус</t>
  </si>
  <si>
    <t>+7 (960) 093-43-60</t>
  </si>
  <si>
    <t>Республиканская клиническая больница на Пролетарской улице, 60</t>
  </si>
  <si>
    <t>47.885892 56.648206</t>
  </si>
  <si>
    <t>Транспортная ул., 4, корп. 2, Йошкар-Ола</t>
  </si>
  <si>
    <t>47.855101 56.650365</t>
  </si>
  <si>
    <t>Летнее кафе</t>
  </si>
  <si>
    <t>47.953667 56.628706</t>
  </si>
  <si>
    <t>47.923968 56.634452</t>
  </si>
  <si>
    <t>Yocitysmoke</t>
  </si>
  <si>
    <t>47.885272 56.643045</t>
  </si>
  <si>
    <t>Chesnok playroom</t>
  </si>
  <si>
    <t>+7 (8362) 30-83-48</t>
  </si>
  <si>
    <t>+7 (967) 757-83-48</t>
  </si>
  <si>
    <t>https://vk.com/chesnokplayroom</t>
  </si>
  <si>
    <t>http://instagram.com/chesnok_official</t>
  </si>
  <si>
    <t>47.899009 56.634252</t>
  </si>
  <si>
    <t>+7 (962) 590-95-35</t>
  </si>
  <si>
    <t>47.819539 56.638338</t>
  </si>
  <si>
    <t>Салют-альфа</t>
  </si>
  <si>
    <t>ул. Анникова, 10А, Йошкар-Ола</t>
  </si>
  <si>
    <t>47.838137 56.645288</t>
  </si>
  <si>
    <t>ИП Тихонов Е. А.</t>
  </si>
  <si>
    <t>пр. Мышино, 13, Йошкар-Ола</t>
  </si>
  <si>
    <t>+7 (8362) 33-40-20</t>
  </si>
  <si>
    <t>+7 (902) 329-32-94</t>
  </si>
  <si>
    <t>47.825102 56.652042</t>
  </si>
  <si>
    <t>Аптека на Кырли</t>
  </si>
  <si>
    <t>+7 (8362) 32-09-14</t>
  </si>
  <si>
    <t>http://aptekanakyrlya.ru/, http://аптеканакырли.рф/</t>
  </si>
  <si>
    <t>47.842436 56.641798</t>
  </si>
  <si>
    <t>ул. Дзержинского, 2/31, Йошкар-Ола</t>
  </si>
  <si>
    <t>+7 (919) 419-45-48</t>
  </si>
  <si>
    <t>47.845001 56.652577</t>
  </si>
  <si>
    <t>47.830183 56.633425</t>
  </si>
  <si>
    <t>47.842662 56.632015</t>
  </si>
  <si>
    <t>Слетать.ру</t>
  </si>
  <si>
    <t>+7 (8362) 23-44-00, +7 (8362) 51-96-55</t>
  </si>
  <si>
    <t xml:space="preserve">info@sletat.ru, tour@sletat.ru, 5896258@schelkovo.sletat.ru  </t>
  </si>
  <si>
    <t>https://sletat.ru/, http://i-ola2.sletat.ru/, http://sletat.ru/?utm_campaign=yandex_kartyu0026utm_medium=cpau0026utm_source=yandex</t>
  </si>
  <si>
    <t>https://vk.com/sletat_ru</t>
  </si>
  <si>
    <t>https://ok.ru/sletatru</t>
  </si>
  <si>
    <t>https://twitter.com/Sletat_ru</t>
  </si>
  <si>
    <t>https://www.facebook.com/Sletat.ru?utm_campaign=yandex_kartyu0026utm_medium=cpau0026utm_source=yandex</t>
  </si>
  <si>
    <t>https://www.instagram.com/sletat_ru_official/?utm_campaign=yandex_kartyu0026utm_medium=cpau0026utm_source=yandex</t>
  </si>
  <si>
    <t>47.888719 56.639901</t>
  </si>
  <si>
    <t>Евродом</t>
  </si>
  <si>
    <t>47.872083 56.621488</t>
  </si>
  <si>
    <t>Штурм</t>
  </si>
  <si>
    <t>47.907818 56.631187</t>
  </si>
  <si>
    <t>Организация детских праздников Мультяшки</t>
  </si>
  <si>
    <t>+7 (902) 108-10-08</t>
  </si>
  <si>
    <t xml:space="preserve">animatordlyadetey@gmail.com  </t>
  </si>
  <si>
    <t>https://vk.com/club140744172</t>
  </si>
  <si>
    <t>Спутниковые телесистемы</t>
  </si>
  <si>
    <t>47.889618 56.642723</t>
  </si>
  <si>
    <t>47.944458 56.636988</t>
  </si>
  <si>
    <t>пер. Циолковского, 57, Йошкар-Ола</t>
  </si>
  <si>
    <t>+7 (917) 710-44-22</t>
  </si>
  <si>
    <t>пн-сб 10:00–20:00; вс 12:00–20:00</t>
  </si>
  <si>
    <t>47.84933 56.651191</t>
  </si>
  <si>
    <t>47.960631 56.641494</t>
  </si>
  <si>
    <t>Мастер сервис</t>
  </si>
  <si>
    <t>+7 (8362) 35-41-98</t>
  </si>
  <si>
    <t>+7 (962) 588-41-98</t>
  </si>
  <si>
    <t>Serginnetti</t>
  </si>
  <si>
    <t>47.896121 56.633597</t>
  </si>
  <si>
    <t>Вагоночка</t>
  </si>
  <si>
    <t>+7 (8362) 25-41-09</t>
  </si>
  <si>
    <t>Зевс</t>
  </si>
  <si>
    <t>ул. Ломоносова, 6В, Йошкар-Ола</t>
  </si>
  <si>
    <t>47.869937 56.61818</t>
  </si>
  <si>
    <t>3-й пр. Зои Космодемьянской, 18, Йошкар-Ола</t>
  </si>
  <si>
    <t>+7 (8362) 32-81-89</t>
  </si>
  <si>
    <t>47.956714 56.633828</t>
  </si>
  <si>
    <t>Белый орел</t>
  </si>
  <si>
    <t>+7 (967) 756-05-06</t>
  </si>
  <si>
    <t>Кальян-бар, Кейтеринг, Клуб досуга</t>
  </si>
  <si>
    <t>ежедневно, 14:00–02:00</t>
  </si>
  <si>
    <t>https://vk.com/orelola</t>
  </si>
  <si>
    <t>https://instagram.com/orel_ola</t>
  </si>
  <si>
    <t>47.892785 56.628253</t>
  </si>
  <si>
    <t>Хроматэк Сервис</t>
  </si>
  <si>
    <t>ул. Чехова, 61А, Йошкар-Ола</t>
  </si>
  <si>
    <t>+7 (8362) 68-59-88, +7 (8362) 68-59-65</t>
  </si>
  <si>
    <t>47.830602 56.639266</t>
  </si>
  <si>
    <t>Колба</t>
  </si>
  <si>
    <t>8 (800) 222-80-11, +7 (8362) 25-52-62</t>
  </si>
  <si>
    <t xml:space="preserve">info@kolba.ru </t>
  </si>
  <si>
    <t>http://kolba.ru/?utm_campaign=Ya_Mapsu0026utm_medium=Ya_Mapsu0026utm_source=Ya_Maps</t>
  </si>
  <si>
    <t>Пивоваренное оборудование, Пищевое оборудование, Самогонное оборудование</t>
  </si>
  <si>
    <t>пн-пт 10:00–19:00; сб 10:00–17:00; вс 10:00–15:00</t>
  </si>
  <si>
    <t>https://vk.com/kolbayoshkarola</t>
  </si>
  <si>
    <t>https://www.instagram.com/kolbayoshkarola</t>
  </si>
  <si>
    <t>47.877959 56.633308</t>
  </si>
  <si>
    <t>Магазин расходных материалов для салонов красоты</t>
  </si>
  <si>
    <t>47.922032 56.630181</t>
  </si>
  <si>
    <t>47.830844 56.632304</t>
  </si>
  <si>
    <t>Веселый шиномонтажник</t>
  </si>
  <si>
    <t>ул. Карла Маркса, 146А, Йошкар-Ола</t>
  </si>
  <si>
    <t>+7 (902) 739-00-11</t>
  </si>
  <si>
    <t>Аккумуляторы и зарядные устройства, Шиномонтаж</t>
  </si>
  <si>
    <t>вт-сб 08:00–18:00; вс 10:00–18:00</t>
  </si>
  <si>
    <t>47.881738 56.614033</t>
  </si>
  <si>
    <t>Рейн Моторс Volkswagen</t>
  </si>
  <si>
    <t>+7 (8362) 38-12-12, +7 (8362) 38-33-83</t>
  </si>
  <si>
    <t>https://vk.com/reynmotors</t>
  </si>
  <si>
    <t>https://www.facebook.com/reynmotors</t>
  </si>
  <si>
    <t>https://www.instagram.com/reynmotors/</t>
  </si>
  <si>
    <t>47.882092 56.604646</t>
  </si>
  <si>
    <t>Квартира</t>
  </si>
  <si>
    <t>47.87154 56.65005</t>
  </si>
  <si>
    <t>Чай Кофе Бакалея</t>
  </si>
  <si>
    <t>Morocco</t>
  </si>
  <si>
    <t>пн-чт 17:00–01:00; пт 17:00–03:00; сб,вс 15:00–03:00</t>
  </si>
  <si>
    <t>https://www.vk.com/morocco_lounge12</t>
  </si>
  <si>
    <t>47.924914 56.626124</t>
  </si>
  <si>
    <t>Аппарат с газированной водой</t>
  </si>
  <si>
    <t>47.892164 56.637595</t>
  </si>
  <si>
    <t>АНО Центр-СЭС Марий Эл</t>
  </si>
  <si>
    <t>ул. Волкова, 37/26, Йошкар-Ола</t>
  </si>
  <si>
    <t>47.825847 56.629926</t>
  </si>
  <si>
    <t>+7 (902) 743-50-52</t>
  </si>
  <si>
    <t xml:space="preserve">sobolewsk@mail.ru  </t>
  </si>
  <si>
    <t>https://remontyoshka.ecwid.com/, https://remontyoshka.nethouse.ru/</t>
  </si>
  <si>
    <t>Граверные работы, Полиграфические услуги, Ремонт телефонов</t>
  </si>
  <si>
    <t>https://vk.com/remontyoshka</t>
  </si>
  <si>
    <t>47.895019 56.640239</t>
  </si>
  <si>
    <t>ПКП Чебоксарыэлектропривод</t>
  </si>
  <si>
    <t>+7 (8352) 28-00-04</t>
  </si>
  <si>
    <t xml:space="preserve">chep2005@yandex.ru  </t>
  </si>
  <si>
    <t>http://chebep.ru/</t>
  </si>
  <si>
    <t>Servis max</t>
  </si>
  <si>
    <t>+7 (8362) 27-21-21</t>
  </si>
  <si>
    <t>+7 (987) 719-99-99</t>
  </si>
  <si>
    <t>https://vk.com/club127460563</t>
  </si>
  <si>
    <t>47.946976 56.64744</t>
  </si>
  <si>
    <t>Todowell</t>
  </si>
  <si>
    <t>Первомайская ул., 23, Йошкар-Ола</t>
  </si>
  <si>
    <t>+7 (917) 715-64-36</t>
  </si>
  <si>
    <t>47.897048 56.652947</t>
  </si>
  <si>
    <t>47.868578 56.653864</t>
  </si>
  <si>
    <t>Столица Муниципального Образования Город Йошкар-Ола</t>
  </si>
  <si>
    <t>+7 (8362) 56-62-11</t>
  </si>
  <si>
    <t>Кузовной ремонт Про_100</t>
  </si>
  <si>
    <t>+7 (961) 376-33-93, +7 (927) 882-93-49</t>
  </si>
  <si>
    <t>https://про100-запчасти.рф/</t>
  </si>
  <si>
    <t>Автосервис, автотехцентр, Изготовление номерных знаков, Кузовной ремонт</t>
  </si>
  <si>
    <t>пн-пт 09:00–20:00; сб,вс 11:00–18:00</t>
  </si>
  <si>
    <t>https://instagram.com/pro100_12rus</t>
  </si>
  <si>
    <t>47.947775 56.636237</t>
  </si>
  <si>
    <t>На улице Якова Эшпая, 39</t>
  </si>
  <si>
    <t>ул. Якова Эшпая, 39, Йошкар-Ола</t>
  </si>
  <si>
    <t>+7 (987) 702-33-05</t>
  </si>
  <si>
    <t>47.89262 56.65392</t>
  </si>
  <si>
    <t>Продукты у Дома</t>
  </si>
  <si>
    <t>47.863436 56.649591</t>
  </si>
  <si>
    <t>КупиПарту — Йошкар-Ола</t>
  </si>
  <si>
    <t>8 (800) 775-77-23</t>
  </si>
  <si>
    <t xml:space="preserve">info@qp-partu.ru, opt@qp-partu.ru, serv@qp-partu.ru, mail@domen.com  </t>
  </si>
  <si>
    <t>https://iola.qp-partu.ru/</t>
  </si>
  <si>
    <t>Квартира посуточно в Йошкар-Оле, на час, ночь, сутки. Аренда квартиры на сутки Йошкар Ола</t>
  </si>
  <si>
    <t>ул. Героев Сталинградской Битвы, 35В, Йошкар-Ола</t>
  </si>
  <si>
    <t>47.94651 56.625015</t>
  </si>
  <si>
    <t>FlowerShop</t>
  </si>
  <si>
    <t xml:space="preserve">flowers.shop12@mail.ru  </t>
  </si>
  <si>
    <t>http://flowershop12.ru/</t>
  </si>
  <si>
    <t>47.899494 56.643706</t>
  </si>
  <si>
    <t>Тюбинг-ЖБИ</t>
  </si>
  <si>
    <t>+7 (8362) 73-16-16</t>
  </si>
  <si>
    <t>47.841198 56.625521</t>
  </si>
  <si>
    <t>РЭП</t>
  </si>
  <si>
    <t>ул. Строителей, 95, корп. 122, Йошкар-Ола</t>
  </si>
  <si>
    <t>+7 (8362) 42-70-21</t>
  </si>
  <si>
    <t>Контейнеры, Металлообработка</t>
  </si>
  <si>
    <t>47.866699 56.616769</t>
  </si>
  <si>
    <t>Apartment in Center Yoshkar-Ola</t>
  </si>
  <si>
    <t>47.882593 56.624174</t>
  </si>
  <si>
    <t>Техно-Пласт</t>
  </si>
  <si>
    <t>+7 (8362) 64-01-13, +7 (8362) 63-64-03</t>
  </si>
  <si>
    <t>+7 (917) 701-42-47</t>
  </si>
  <si>
    <t xml:space="preserve">t-plast12@mail.ru, support@pulscen.ru, u003esupport@pulscen.ru  </t>
  </si>
  <si>
    <t>http://12technoplast.ru/, http://tehnoplast-30.pulscen.ru/</t>
  </si>
  <si>
    <t>Байтэкс</t>
  </si>
  <si>
    <t>Советская ул., 105, Саранск</t>
  </si>
  <si>
    <t>+7 (903) 325-67-02</t>
  </si>
  <si>
    <t>Экскаваторы 12</t>
  </si>
  <si>
    <t>ул. Халтурина, 4, корп. 1, Йошкар-Ола</t>
  </si>
  <si>
    <t>+7 (8362) 33-50-76</t>
  </si>
  <si>
    <t>+7 (927) 880-04-44</t>
  </si>
  <si>
    <t>Валерия</t>
  </si>
  <si>
    <t>47.889199 56.640812</t>
  </si>
  <si>
    <t>ТЦ 21 век Талисман</t>
  </si>
  <si>
    <t>+7 (927) 882-07-10</t>
  </si>
  <si>
    <t>47.892742 56.638751</t>
  </si>
  <si>
    <t>Поволжская Транспортная Компания</t>
  </si>
  <si>
    <t>47.879206 56.606659</t>
  </si>
  <si>
    <t>Йола_Посуточно на Строителей 34</t>
  </si>
  <si>
    <t>ГК Дубки</t>
  </si>
  <si>
    <t>47.942089 56.628668</t>
  </si>
  <si>
    <t>SUN Studio</t>
  </si>
  <si>
    <t>+7 (964) 860-50-02, +7 (905) 008-00-13</t>
  </si>
  <si>
    <t xml:space="preserve">mail@sun-premium.com  </t>
  </si>
  <si>
    <t>Полиграфические услуги, Рекламная продукция, Широкоформатная печать</t>
  </si>
  <si>
    <t>Комплект Айс Поволжье</t>
  </si>
  <si>
    <t xml:space="preserve">info@coldstore.ru  </t>
  </si>
  <si>
    <t>http://coldstore.ru/</t>
  </si>
  <si>
    <t>Запчасти и аксессуары для бытовой техники, Промышленное холодильное оборудование</t>
  </si>
  <si>
    <t>47.861167 56.652176</t>
  </si>
  <si>
    <t>Ладушка</t>
  </si>
  <si>
    <t>пн 12:00–21:00; вт 08:00–21:00; ср 12:00–21:00; чт 08:00–21:00; пт 12:00–21:00; сб,вс 08:00–20:00</t>
  </si>
  <si>
    <t>47.870647 56.640807</t>
  </si>
  <si>
    <t>47.929401 56.627994</t>
  </si>
  <si>
    <t>+7 (8362) 75-20-20</t>
  </si>
  <si>
    <t>Автобот</t>
  </si>
  <si>
    <t>Первомайская ул., 27, Йошкар-Ола</t>
  </si>
  <si>
    <t>+7 (902) 325-26-53, +7 (967) 756-83-83</t>
  </si>
  <si>
    <t xml:space="preserve">yola12los@gmail.com  </t>
  </si>
  <si>
    <t>https://vk.com/yoshkar_ola_chiptuning</t>
  </si>
  <si>
    <t>https://www.instagram.com/avtobot12yola/</t>
  </si>
  <si>
    <t>47.896783 56.652702</t>
  </si>
  <si>
    <t>Часовня Александра Невского</t>
  </si>
  <si>
    <t>Вознесенская ул., 45Б, Йошкар-Ола</t>
  </si>
  <si>
    <t>47.902229 56.636855</t>
  </si>
  <si>
    <t>Stilnaya</t>
  </si>
  <si>
    <t>47.83257 56.636481</t>
  </si>
  <si>
    <t>47.87037 56.640767</t>
  </si>
  <si>
    <t>Весёлая Затея</t>
  </si>
  <si>
    <t>Комсомольская ул., 124Б, Йошкар-Ола</t>
  </si>
  <si>
    <t>+7 (8362) 34-34-12, +7 (8352) 67-24-37</t>
  </si>
  <si>
    <t xml:space="preserve">zateya63@list.ru, zateya16@list.ru  </t>
  </si>
  <si>
    <t>http://zatey.ru/</t>
  </si>
  <si>
    <t>Магазин подарков и сувениров, Товары для праздника</t>
  </si>
  <si>
    <t>https://www.facebook.com/VeselayaZateya/</t>
  </si>
  <si>
    <t>https://www.instagram.com/vzatey/</t>
  </si>
  <si>
    <t>47.892756 56.636013</t>
  </si>
  <si>
    <t>47.869712 56.635055</t>
  </si>
  <si>
    <t>47.871001 56.617913</t>
  </si>
  <si>
    <t>47.89217 56.641579</t>
  </si>
  <si>
    <t>ул. Героев Сталинградской Битвы, 29Б, Йошкар-Ола</t>
  </si>
  <si>
    <t>47.948192 56.626492</t>
  </si>
  <si>
    <t>КПК Благодать</t>
  </si>
  <si>
    <t>+7 (8362) 36-34-29</t>
  </si>
  <si>
    <t>+7 (967) 759-12-21</t>
  </si>
  <si>
    <t>https://vk.com/club144064779</t>
  </si>
  <si>
    <t>МиниМода</t>
  </si>
  <si>
    <t>+7 (937) 119-03-13, +7 (902) 104-00-15</t>
  </si>
  <si>
    <t>Магазин детской одежды, Магазин обуви, Магазин одежды, Оптовый магазин</t>
  </si>
  <si>
    <t>https://vk.com/miinimoda</t>
  </si>
  <si>
    <t>47.917728 56.627466</t>
  </si>
  <si>
    <t>Мягкая мебель Podushe</t>
  </si>
  <si>
    <t>+7 (922) 995-70-95</t>
  </si>
  <si>
    <t xml:space="preserve">info@podushe-shop.ru  </t>
  </si>
  <si>
    <t>https://podushe-shop.ru/</t>
  </si>
  <si>
    <t>Мебель на заказ, Мебельная фабрика, Мягкая мебель</t>
  </si>
  <si>
    <t>https://vk.com/mebelpodushe</t>
  </si>
  <si>
    <t>https://www.youtube.com/channel/UCZyueD_ENhbl52jQWrMcAaQ</t>
  </si>
  <si>
    <t>https://www.instagram.com/mebel_podushe/</t>
  </si>
  <si>
    <t>47.833357 56.641511</t>
  </si>
  <si>
    <t>И. П. Тимшин</t>
  </si>
  <si>
    <t>пн-пт 08:00–18:30, перерыв 12:00–13:00; сб,вс 09:00–14:00, перерыв 12:00–13:00</t>
  </si>
  <si>
    <t>Студия развития Остров детства</t>
  </si>
  <si>
    <t>+7 (8362) 77-13-00</t>
  </si>
  <si>
    <t>https://vk.com/ostrovdetstvastudio</t>
  </si>
  <si>
    <t>47.895048 56.631374</t>
  </si>
  <si>
    <t>47.87845 56.609066</t>
  </si>
  <si>
    <t>Натяжные и подвесные потолки, Окна, Строительные и отделочные работы, Строительство дачных домов и коттеджей</t>
  </si>
  <si>
    <t>Евро-Стиль</t>
  </si>
  <si>
    <t>+7 (8362) 75-27-62</t>
  </si>
  <si>
    <t xml:space="preserve">evro-stil.ko@bk.ru  </t>
  </si>
  <si>
    <t>https://evro-stil12.ru/</t>
  </si>
  <si>
    <t>47.88816 56.630438</t>
  </si>
  <si>
    <t>47.894425 56.640555</t>
  </si>
  <si>
    <t>Магазин рукоделия</t>
  </si>
  <si>
    <t>+7 (8362) 70-22-30, +7 (8362) 51-53-04, +7 (8362) 93-85-04</t>
  </si>
  <si>
    <t>https://vk.com/rukodel12</t>
  </si>
  <si>
    <t>47.877572 56.632877</t>
  </si>
  <si>
    <t>АвтоматикКомСервис 24/7</t>
  </si>
  <si>
    <t>+7 (8362) 32-56-78</t>
  </si>
  <si>
    <t>+7 (987) 715-78-85</t>
  </si>
  <si>
    <t>Автомойка, Металлические заборы и ограждения</t>
  </si>
  <si>
    <t>47.923913 56.638118</t>
  </si>
  <si>
    <t>47.85556 56.646281</t>
  </si>
  <si>
    <t>47.89257 56.616199</t>
  </si>
  <si>
    <t>Общежитие Йошкар-Олинского строительного техникума</t>
  </si>
  <si>
    <t>Кремлёвская ул., 30, Йошкар-Ола</t>
  </si>
  <si>
    <t>+7 (8362) 41-42-42</t>
  </si>
  <si>
    <t>47.887086 56.640699</t>
  </si>
  <si>
    <t>Gazoved</t>
  </si>
  <si>
    <t>+7 (927) 883-53-00</t>
  </si>
  <si>
    <t xml:space="preserve">gazoved52@mail.ru  </t>
  </si>
  <si>
    <t>http://yoshkar-ola.gbo-servise.ru/, https://yoshkar-ola.gazoved.com/</t>
  </si>
  <si>
    <t>https://vk.com/gazoved12</t>
  </si>
  <si>
    <t>https://www.instagram.com/gazoved12</t>
  </si>
  <si>
    <t>TUI</t>
  </si>
  <si>
    <t>8 (800) 775-77-58, +7 (8362) 41-04-10, +7 (8362) 41-02-88</t>
  </si>
  <si>
    <t xml:space="preserve">online@tui.ru  </t>
  </si>
  <si>
    <t>https://www.tui.ru/?utm_medium=mapsu0026utm_source=yandex, https://www.tui.ru/</t>
  </si>
  <si>
    <t>Бронирование гостиниц, Железнодорожные и авиабилеты, Турагентство</t>
  </si>
  <si>
    <t>http://vk.com/tuiru</t>
  </si>
  <si>
    <t>http://ok.ru/tuirussia</t>
  </si>
  <si>
    <t>http://facebook.com/TuiRussia</t>
  </si>
  <si>
    <t>https://www.youtube.com/user/tuitravelrussia</t>
  </si>
  <si>
    <t>http://instagram.com/tuirussia/</t>
  </si>
  <si>
    <t>47.893491 56.631035</t>
  </si>
  <si>
    <t>ул. Тукая, 1А, Йошкар-Ола</t>
  </si>
  <si>
    <t>47.962233 56.612992</t>
  </si>
  <si>
    <t>Йошкар-Олинская вышивальная фабрика</t>
  </si>
  <si>
    <t>ул. Чехова, 60Б, Йошкар-Ола</t>
  </si>
  <si>
    <t>+7 (917) 712-48-35</t>
  </si>
  <si>
    <t xml:space="preserve">info@fabrika-vishivka.ru  </t>
  </si>
  <si>
    <t>http://fabrika-vishivka.ru/</t>
  </si>
  <si>
    <t>https://vk.com/public161309050</t>
  </si>
  <si>
    <t>https://www.facebook.com/fabrikavishivka</t>
  </si>
  <si>
    <t>https://www.youtube.com/channel/UCnpNttkkNnUXovuXWiTdKIg</t>
  </si>
  <si>
    <t>https://www.instagram.com/fabrika_vishivka/</t>
  </si>
  <si>
    <t>47.888172 56.645233</t>
  </si>
  <si>
    <t>Кремлёвская ул., 2А, Йошкар-Ола</t>
  </si>
  <si>
    <t>47.898736 56.638238</t>
  </si>
  <si>
    <t>Прием цветного лома</t>
  </si>
  <si>
    <t>+7 (902) 670-00-09</t>
  </si>
  <si>
    <t>47.865203 56.619129</t>
  </si>
  <si>
    <t>TheTOP Cafe</t>
  </si>
  <si>
    <t>+7 (8362) 38-77-02</t>
  </si>
  <si>
    <t>+7 (967) 755-01-21</t>
  </si>
  <si>
    <t>http://thetopeda.ru/</t>
  </si>
  <si>
    <t>https://vk.com/thetop_yo</t>
  </si>
  <si>
    <t>https://www.instagram.com/thetop_yo</t>
  </si>
  <si>
    <t>47.90596 56.629853</t>
  </si>
  <si>
    <t>Йошки-Матрёшки</t>
  </si>
  <si>
    <t>47.906441 56.637256</t>
  </si>
  <si>
    <t>47.908161 56.640176</t>
  </si>
  <si>
    <t>Голландия</t>
  </si>
  <si>
    <t>https://vk.com/club41962315</t>
  </si>
  <si>
    <t>https://instagram.com/gollandiya12</t>
  </si>
  <si>
    <t>47.893766 56.640201</t>
  </si>
  <si>
    <t>Буровая 12</t>
  </si>
  <si>
    <t>Продлогистика</t>
  </si>
  <si>
    <t>+7 (937) 580-40-13</t>
  </si>
  <si>
    <t>http://продлогистика.рф/</t>
  </si>
  <si>
    <t>Меллани</t>
  </si>
  <si>
    <t>+7 (909) 369-90-18, +7 (964) 862-55-22</t>
  </si>
  <si>
    <t xml:space="preserve">fuzzz@rambler.ru  </t>
  </si>
  <si>
    <t>http://vk.com/mellani12</t>
  </si>
  <si>
    <t>47.89247 56.635715</t>
  </si>
  <si>
    <t>47.8493 56.635465</t>
  </si>
  <si>
    <t>+7 (902) 432-39-46</t>
  </si>
  <si>
    <t>47.947476 56.647131</t>
  </si>
  <si>
    <t>Уютный</t>
  </si>
  <si>
    <t>Автомойка Теа</t>
  </si>
  <si>
    <t>+7 (8362) 27-29-99</t>
  </si>
  <si>
    <t>47.824579 56.626323</t>
  </si>
  <si>
    <t>Хорошенький</t>
  </si>
  <si>
    <t>Знание</t>
  </si>
  <si>
    <t>47.885052 56.640651</t>
  </si>
  <si>
    <t>Офтальмологическая больница им. Г. И. Григорьева Хирургическое отделение № 1</t>
  </si>
  <si>
    <t>+7 (8362) 41-52-41</t>
  </si>
  <si>
    <t>http://68apro.polickliniki.ru/</t>
  </si>
  <si>
    <t>+7 (8362) 23-50-03</t>
  </si>
  <si>
    <t>47.934615 56.637825</t>
  </si>
  <si>
    <t>The Trend Beauty</t>
  </si>
  <si>
    <t>+7 (919) 419-80-00</t>
  </si>
  <si>
    <t>Салон бровей и ресниц, Тату-салон</t>
  </si>
  <si>
    <t>https://www.instagram.com/thetrendbeauty/</t>
  </si>
  <si>
    <t>Сергиус</t>
  </si>
  <si>
    <t>47.884941 56.652303</t>
  </si>
  <si>
    <t>Двери массив</t>
  </si>
  <si>
    <t>+7 (987) 710-56-32</t>
  </si>
  <si>
    <t>http://dveridol.ru/</t>
  </si>
  <si>
    <t>https://vk.com/away.php?cc_key=u0026to=http://b24-5ixsaz.bitrix24.site/</t>
  </si>
  <si>
    <t>Alica</t>
  </si>
  <si>
    <t>+7 (917) 706-64-62</t>
  </si>
  <si>
    <t>Deepdeep</t>
  </si>
  <si>
    <t>+7 (987) 723-63-43</t>
  </si>
  <si>
    <t>https://instagram.com/deep4deep?igshid=ewujdbg1tvzzu0026utm_source=ig_profile_share</t>
  </si>
  <si>
    <t>47.89812 56.634464</t>
  </si>
  <si>
    <t>СвойАвтосервис</t>
  </si>
  <si>
    <t>+7 (987) 705-47-53, +7 (909) 367-18-88</t>
  </si>
  <si>
    <t>1000 Запчастей</t>
  </si>
  <si>
    <t>Автокондиционеры, Автосервис, автотехцентр, Магазин автозапчастей и автотоваров</t>
  </si>
  <si>
    <t>https://vk.com/zap4cars</t>
  </si>
  <si>
    <t>https://www.instagram.com/zap4cars/</t>
  </si>
  <si>
    <t>Восточная шаурма № 1</t>
  </si>
  <si>
    <t>47.886807 56.628546</t>
  </si>
  <si>
    <t>Подсолнух</t>
  </si>
  <si>
    <t>+7 (961) 373-00-13</t>
  </si>
  <si>
    <t>Клуб для детей и подростков, Оздоровительный центр, Центр развития ребенка</t>
  </si>
  <si>
    <t>47.865984 56.645336</t>
  </si>
  <si>
    <t>47.926604 56.643466</t>
  </si>
  <si>
    <t>47.884571 56.620275</t>
  </si>
  <si>
    <t>Apartment on Eshkinina 23</t>
  </si>
  <si>
    <t>47.914381 56.634571</t>
  </si>
  <si>
    <t>Россия, Республика Марий Эл, Йошкар-Ола, микрорайон Дубки</t>
  </si>
  <si>
    <t>47.946825 56.622521</t>
  </si>
  <si>
    <t>Электротехнопарк</t>
  </si>
  <si>
    <t>Кабель и провод, Светотехника, Электромонтажные и электроустановочные изделия, Электротехническая продукция</t>
  </si>
  <si>
    <t>Квартира Первомайская 86</t>
  </si>
  <si>
    <t>47.89113 56.64501</t>
  </si>
  <si>
    <t>Добромир-Строй</t>
  </si>
  <si>
    <t>+7 (8362) 46-22-22, +7 (8362) 39-07-71</t>
  </si>
  <si>
    <t>База отдыха Олимп</t>
  </si>
  <si>
    <t>+7 (8362) 54-74-44</t>
  </si>
  <si>
    <t>пн-пт 07:20–23:00; сб,вс 08:00–23:00</t>
  </si>
  <si>
    <t>https://vk.com/revizor_cafe_gogol2</t>
  </si>
  <si>
    <t>http://instagram.com/revizor_cafe</t>
  </si>
  <si>
    <t>47.897982 56.629969</t>
  </si>
  <si>
    <t>Веста</t>
  </si>
  <si>
    <t>Художественный салон</t>
  </si>
  <si>
    <t>47.830421 56.639228</t>
  </si>
  <si>
    <t xml:space="preserve">info@appletime-24.ru </t>
  </si>
  <si>
    <t>https://www.instagram.com/alloveslo.yo/</t>
  </si>
  <si>
    <t>Аллея</t>
  </si>
  <si>
    <t>47.892728 56.638612</t>
  </si>
  <si>
    <t>Диваны из Казани</t>
  </si>
  <si>
    <t>47.929401 56.629302</t>
  </si>
  <si>
    <t>Диагностика-Сервис</t>
  </si>
  <si>
    <t>+7 (8362) 41-92-05</t>
  </si>
  <si>
    <t>47.872206 56.653275</t>
  </si>
  <si>
    <t>47.907684 56.631215</t>
  </si>
  <si>
    <t>47.868705 56.63824</t>
  </si>
  <si>
    <t>Кальяны</t>
  </si>
  <si>
    <t>47.892731 56.638358</t>
  </si>
  <si>
    <t>Спорттовары24</t>
  </si>
  <si>
    <t>+7 (902) 105-02-01</t>
  </si>
  <si>
    <t>https://sportovary24.ru/</t>
  </si>
  <si>
    <t>Витадент</t>
  </si>
  <si>
    <t>47.904071 56.641508</t>
  </si>
  <si>
    <t>Apartment on Krasnoarmeyskaya 76</t>
  </si>
  <si>
    <t>47.877418 56.644515</t>
  </si>
  <si>
    <t>Lady Collection</t>
  </si>
  <si>
    <t xml:space="preserve">info@ladycollection.com  </t>
  </si>
  <si>
    <t>https://www.ladycollection.com/</t>
  </si>
  <si>
    <t>https://vk.com/ladycollection</t>
  </si>
  <si>
    <t>http://twitter.com/LadyCcom</t>
  </si>
  <si>
    <t>https://www.facebook.com/Lady-Collection-160206617363661/</t>
  </si>
  <si>
    <t>https://www.instagram.com/ladycollection_club</t>
  </si>
  <si>
    <t>Студия современных картин</t>
  </si>
  <si>
    <t>+7 (8362) 65-17-54</t>
  </si>
  <si>
    <t>Apartment on Kremlyovskaya</t>
  </si>
  <si>
    <t>47.87945 56.64136</t>
  </si>
  <si>
    <t>Советская ул., 10А, Йошкар-Ола</t>
  </si>
  <si>
    <t>+7 (8362) 56-97-87</t>
  </si>
  <si>
    <t>47.913838 56.651087</t>
  </si>
  <si>
    <t>+7 (8362) 98-81-82, +7 (8362) 93-67-71, +7 (8362) 97-76-63</t>
  </si>
  <si>
    <t>пн-пт 13:00–17:30; сб 11:00–17:00</t>
  </si>
  <si>
    <t>Yarcevo</t>
  </si>
  <si>
    <t>+7 (902) 735-30-80</t>
  </si>
  <si>
    <t>Детская мебель, Корпусная мебель, Матрасы, Мебель для кухни, Мягкая мебель</t>
  </si>
  <si>
    <t>https://vk.com/magazin_mebeli12</t>
  </si>
  <si>
    <t>47.896519 56.628618</t>
  </si>
  <si>
    <t>Торговая компания Bikton</t>
  </si>
  <si>
    <t>ул. Соловьёва, 22А, корп. 5, Йошкар-Ола</t>
  </si>
  <si>
    <t>+7 (917) 070-05-11</t>
  </si>
  <si>
    <t xml:space="preserve">office@bikton.ru, kadri@bikton.ru  </t>
  </si>
  <si>
    <t>http://bikton.ru/</t>
  </si>
  <si>
    <t>47.870186 56.625203</t>
  </si>
  <si>
    <t>Пилигрим - Tour</t>
  </si>
  <si>
    <t>+7 (8362) 30-42-30</t>
  </si>
  <si>
    <t>+7 (987) 722-57-34, +7 (902) 325-78-40</t>
  </si>
  <si>
    <t>Фермерский</t>
  </si>
  <si>
    <t>47.863541 56.649595</t>
  </si>
  <si>
    <t>Atc-gas</t>
  </si>
  <si>
    <t>8 (800) 222-09-07, +7 (495) 021-35-45</t>
  </si>
  <si>
    <t>http://mari-el.atcgaz.ru/</t>
  </si>
  <si>
    <t>Газовое оборудование, Инжиниринг, Установка ГБО</t>
  </si>
  <si>
    <t>47.937463 56.644708</t>
  </si>
  <si>
    <t>Магазин белья и купальников, Магазин обуви, Магазин одежды, Магазин постельных принадлежностей</t>
  </si>
  <si>
    <t>47.920016 56.632849</t>
  </si>
  <si>
    <t>Рус-Глонасс</t>
  </si>
  <si>
    <t>ЧОУ ДО Перекрёсток</t>
  </si>
  <si>
    <t>+7 (8362) 42-30-20, +7 (8362) 73-65-21</t>
  </si>
  <si>
    <t xml:space="preserve">lycee26@mail.ru </t>
  </si>
  <si>
    <t>http://nouprkt.mari-el.ru/</t>
  </si>
  <si>
    <t>47.878911 56.630869</t>
  </si>
  <si>
    <t>+7 (961) 337-41-81</t>
  </si>
  <si>
    <t xml:space="preserve">real552593@yandex.ru  </t>
  </si>
  <si>
    <t>https://real12.ru/</t>
  </si>
  <si>
    <t>Кирпич, Стройматериалы оптом</t>
  </si>
  <si>
    <t>47.868367 56.618304</t>
  </si>
  <si>
    <t>Землеустройство</t>
  </si>
  <si>
    <t>+7 (8362) 50-02-65</t>
  </si>
  <si>
    <t>+7 (964) 860-02-65</t>
  </si>
  <si>
    <t>47.86629 56.615111</t>
  </si>
  <si>
    <t>Центральный</t>
  </si>
  <si>
    <t>Магазин бытовой техники, Магазин посуды, Магазин хозтоваров и бытовой химии, Товары для праздника</t>
  </si>
  <si>
    <t>Планета окон</t>
  </si>
  <si>
    <t>ул. Панфилова, 38, Йошкар-Ола</t>
  </si>
  <si>
    <t>+7 (8362) 33-10-00, +7 (8362) 44-44-49</t>
  </si>
  <si>
    <t>47.879351 56.627985</t>
  </si>
  <si>
    <t>Жалюзи 12</t>
  </si>
  <si>
    <t>+7 (8362) 45-17-09</t>
  </si>
  <si>
    <t>+7 (939) 725-36-32</t>
  </si>
  <si>
    <t xml:space="preserve">firma_12@inbox.ru  </t>
  </si>
  <si>
    <t>http://jalyzi12.ru/</t>
  </si>
  <si>
    <t>пн-пт 08:00–18:00; сб,вс 10:00–15:00</t>
  </si>
  <si>
    <t>https://vk.com/zhaluzi12</t>
  </si>
  <si>
    <t>Магазин фруктов</t>
  </si>
  <si>
    <t>ул. Васильева, 6, Йошкар-Ола</t>
  </si>
  <si>
    <t>+7 (902) 430-01-05, +7 (991) 463-12-73</t>
  </si>
  <si>
    <t>Бар, паб, Доставка еды и обедов, Магазин пива</t>
  </si>
  <si>
    <t>пн-пт 14:00–02:00; сб,вс 12:00–02:00</t>
  </si>
  <si>
    <t>https://www.instagram.com/pivteka/</t>
  </si>
  <si>
    <t>47.829818 56.635916</t>
  </si>
  <si>
    <t>Отдел обработки, хранения документов и правового обеспечения деятельности отдела ЗАГСа республики Марий Эл</t>
  </si>
  <si>
    <t>+7 (8362) 64-15-53, +7 (8362) 43-00-71</t>
  </si>
  <si>
    <t>Йошкар-Олинская Электросетевая Компания</t>
  </si>
  <si>
    <t>+7 (8362) 23-22-22, +7 (8362) 51-59-19</t>
  </si>
  <si>
    <t xml:space="preserve">yoec@yoec.ru, teh@yoec.ru, buh@yoec.ru, zakup@yoec.ru, ods@yoec.ru  </t>
  </si>
  <si>
    <t>https://www.yoec.ru/</t>
  </si>
  <si>
    <t>Обслуживание электросетей, Электромонтажные работы, Энергосбережение и энергоаудит</t>
  </si>
  <si>
    <t>47.871568 56.61411</t>
  </si>
  <si>
    <t>Вдох в город</t>
  </si>
  <si>
    <t>+7 (902) 107-85-43</t>
  </si>
  <si>
    <t>https://vdohvgorod.ru/</t>
  </si>
  <si>
    <t>47.884256 56.638253</t>
  </si>
  <si>
    <t>ИП Халтурин А. С.</t>
  </si>
  <si>
    <t>ТехПродукт</t>
  </si>
  <si>
    <t>+7 (8362) 41-68-85, +7 (8362) 45-03-33</t>
  </si>
  <si>
    <t>Кондиционеры, Оборудование для ресторанов, Промышленное холодильное оборудование, Ремонт промышленных холодильников, Системы вентиляции</t>
  </si>
  <si>
    <t>47.825851 56.629898</t>
  </si>
  <si>
    <t>Свежий ветер</t>
  </si>
  <si>
    <t>Кондиционеры, Установка кондиционеров</t>
  </si>
  <si>
    <t>+7 (927) 882-08-32</t>
  </si>
  <si>
    <t>47.831809 56.642883</t>
  </si>
  <si>
    <t>47.954027 56.639334</t>
  </si>
  <si>
    <t>ФГБОУ ВО МарГУ Факультет иностранных языков</t>
  </si>
  <si>
    <t>47.93034 56.638709</t>
  </si>
  <si>
    <t>Ночной клуб DJ Cafe</t>
  </si>
  <si>
    <t>47.889639 56.638868</t>
  </si>
  <si>
    <t>Тулин лодки в Йошкар-Оле</t>
  </si>
  <si>
    <t>+7 (964) 251-88-32</t>
  </si>
  <si>
    <t xml:space="preserve">sales@tulin-lodki.ru  </t>
  </si>
  <si>
    <t>https://ioshkarala.tulin-lodki.ru/</t>
  </si>
  <si>
    <t>https://vk.com/tulin_lodki</t>
  </si>
  <si>
    <t>https://ok.ru/tulinlodki</t>
  </si>
  <si>
    <t>https://www.youtube.com/channel/UCPn4e7v8WhYRK9e4v_wuXsg</t>
  </si>
  <si>
    <t>https://www.instagram.com/tulinlodki</t>
  </si>
  <si>
    <t>+7 (902) 745-52-22</t>
  </si>
  <si>
    <t>http://www.usadbalux.ru/</t>
  </si>
  <si>
    <t>https://ok.ru/profile/558385663098</t>
  </si>
  <si>
    <t>https://www.facebook.com/usadbalux/</t>
  </si>
  <si>
    <t>https://www.youtube.com/channel/UCqgeHPb_tOkL1YnFqsVYCmA</t>
  </si>
  <si>
    <t>https://www.instagram.com/usadbalux/</t>
  </si>
  <si>
    <t>47.842015 56.658172</t>
  </si>
  <si>
    <t>Марийский Государственный университет</t>
  </si>
  <si>
    <t>47.875219 56.644282</t>
  </si>
  <si>
    <t>https://vk.com/amelia_salon</t>
  </si>
  <si>
    <t>ИП Митрохин</t>
  </si>
  <si>
    <t>+7 (902) 744-17-17</t>
  </si>
  <si>
    <t>Пауль Хартманн</t>
  </si>
  <si>
    <t>47.888291 56.641176</t>
  </si>
  <si>
    <t>Ситилинк мини, пункт выдачи</t>
  </si>
  <si>
    <t>+7 (917) 222-14-53</t>
  </si>
  <si>
    <t>https://ok.ru/citilink.ru</t>
  </si>
  <si>
    <t>47.929001 56.628464</t>
  </si>
  <si>
    <t>Джинсы</t>
  </si>
  <si>
    <t>47.921476 56.630253</t>
  </si>
  <si>
    <t>Россия, Республика Марий Эл, Йошкар-Ола, улица Шкетана</t>
  </si>
  <si>
    <t>47.860403 56.640192</t>
  </si>
  <si>
    <t>Yo Story</t>
  </si>
  <si>
    <t>+7 (960) 093-52-24</t>
  </si>
  <si>
    <t>https://vk.com/yo.story</t>
  </si>
  <si>
    <t>Вознесенская ул., 85, Йошкар-Ола</t>
  </si>
  <si>
    <t>47.89798 56.631116</t>
  </si>
  <si>
    <t>http://bekar12.ru/</t>
  </si>
  <si>
    <t>47.933539 56.624791</t>
  </si>
  <si>
    <t>Общественная организация Трезвая Марий Эл</t>
  </si>
  <si>
    <t>+7 (8362) 51-99-72</t>
  </si>
  <si>
    <t>+7 (987) 707-68-87</t>
  </si>
  <si>
    <t>Фотошкола Офис</t>
  </si>
  <si>
    <t>+7 (964) 861-41-20</t>
  </si>
  <si>
    <t>Компьютерные курсы, Фотошкола</t>
  </si>
  <si>
    <t>https://vk.com/kvkcom</t>
  </si>
  <si>
    <t>https://www.youtube.com/rus12eng</t>
  </si>
  <si>
    <t>https://www.instagram.com/photoofis</t>
  </si>
  <si>
    <t>47.868317 56.644812</t>
  </si>
  <si>
    <t>Популяционно-онтогенетический музей</t>
  </si>
  <si>
    <t>+7 (8362) 68-79-43</t>
  </si>
  <si>
    <t>47.87848 56.64301</t>
  </si>
  <si>
    <t>ОАО Автотранспортное хозяйство</t>
  </si>
  <si>
    <t>47.83291 56.628047</t>
  </si>
  <si>
    <t>Женские секреты</t>
  </si>
  <si>
    <t>47.917258 56.63671</t>
  </si>
  <si>
    <t>Дарина</t>
  </si>
  <si>
    <t>47.831592 56.645013</t>
  </si>
  <si>
    <t>Familia</t>
  </si>
  <si>
    <t>8 (800) 100-33-90</t>
  </si>
  <si>
    <t xml:space="preserve">info@famil.ru, pr@famil.ru  </t>
  </si>
  <si>
    <t>http://www.famil.ru/</t>
  </si>
  <si>
    <t>https://vk.com/familiaoffprice</t>
  </si>
  <si>
    <t>https://ok.ru/familiaoffprice</t>
  </si>
  <si>
    <t>https://www.facebook.com/familia.offprice</t>
  </si>
  <si>
    <t>https://www.instagram.com/familia_shop</t>
  </si>
  <si>
    <t>47.930869 56.628358</t>
  </si>
  <si>
    <t>ул. Строителей, 75, Йошкар-Ола</t>
  </si>
  <si>
    <t>47.847156 56.628693</t>
  </si>
  <si>
    <t>ул. Карла Маркса, 132, Йошкар-Ола</t>
  </si>
  <si>
    <t>47.888082 56.622605</t>
  </si>
  <si>
    <t>Нано_Стекло12</t>
  </si>
  <si>
    <t>Флорист.ру</t>
  </si>
  <si>
    <t>8 (800) 200-40-70</t>
  </si>
  <si>
    <t xml:space="preserve">customercare@florist.ru, info@florist.ru  </t>
  </si>
  <si>
    <t>https://yoshkar-ola.florist.ru/</t>
  </si>
  <si>
    <t>https://vk.com/floristru</t>
  </si>
  <si>
    <t>https://www.facebook.com/floristru</t>
  </si>
  <si>
    <t>http://instagram.com/florist_ru</t>
  </si>
  <si>
    <t>Горячая Кукуруза</t>
  </si>
  <si>
    <t>+7 (917) 718-37-39</t>
  </si>
  <si>
    <t>47.901585 56.634263</t>
  </si>
  <si>
    <t>+7 (952) 789-32-01</t>
  </si>
  <si>
    <t>Медицинская реабилитация, Наркологическая клиника, Социальная реабилитация</t>
  </si>
  <si>
    <t>47.842147 56.632637</t>
  </si>
  <si>
    <t>47.952882 56.640942</t>
  </si>
  <si>
    <t>https://vk.com/club14939546</t>
  </si>
  <si>
    <t>AksOne</t>
  </si>
  <si>
    <t>+7 (937) 371-44-62</t>
  </si>
  <si>
    <t>47.878138 56.60795</t>
  </si>
  <si>
    <t>Апартаменты</t>
  </si>
  <si>
    <t>47.891125 56.64501</t>
  </si>
  <si>
    <t>Автодрайв</t>
  </si>
  <si>
    <t>ул. Мира, 30, корп. 4, Йошкар-Ола</t>
  </si>
  <si>
    <t>СуперАрбалет</t>
  </si>
  <si>
    <t>8 (800) 505-99-82</t>
  </si>
  <si>
    <t xml:space="preserve">info@superarbalet.ru  </t>
  </si>
  <si>
    <t>https://yoshkar-ola.superarbalet.ru/</t>
  </si>
  <si>
    <t>Интернет-магазин, Магазин подарков и сувениров, Спортивный инвентарь и оборудование</t>
  </si>
  <si>
    <t>https://vk.com/superarbalet</t>
  </si>
  <si>
    <t>https://ok.ru/group/55729235624042</t>
  </si>
  <si>
    <t>https://www.facebook.com/superarbalet.ru</t>
  </si>
  <si>
    <t>https://www.youtube.com/channel/UC6sNzBWFx54Fatgiu6_dw7g</t>
  </si>
  <si>
    <t>https://www.instagram.com/superarbalet</t>
  </si>
  <si>
    <t>Виналайт</t>
  </si>
  <si>
    <t>http://ruswinalite.ru/</t>
  </si>
  <si>
    <t>47.893864 56.635408</t>
  </si>
  <si>
    <t>+7 (927) 870-66-76</t>
  </si>
  <si>
    <t>Прокат сноубордов и горных лыж</t>
  </si>
  <si>
    <t>+7 (8362) 33-03-21</t>
  </si>
  <si>
    <t>+7 (902) 739-80-21</t>
  </si>
  <si>
    <t>Пункт проката, Ремонт велосипедов</t>
  </si>
  <si>
    <t>пн-пт 09:00–21:00; сб,вс 08:00–21:00</t>
  </si>
  <si>
    <t>47.856003 56.650494</t>
  </si>
  <si>
    <t>Пакс-мебель</t>
  </si>
  <si>
    <t>8 (800) 201-69-23</t>
  </si>
  <si>
    <t>+7 (910) 899-69-23</t>
  </si>
  <si>
    <t xml:space="preserve">standart-52@mail.ru, support@tiu.ru </t>
  </si>
  <si>
    <t>http://паксмебель.рф/</t>
  </si>
  <si>
    <t>Металлическая мебель, Сейфы, Стеллажи</t>
  </si>
  <si>
    <t>47.850318 56.625106</t>
  </si>
  <si>
    <t>47.86846 56.645716</t>
  </si>
  <si>
    <t>+7 (982) 910-98-60</t>
  </si>
  <si>
    <t>Apartments on Proletarskaya st Yoshkar-Ola</t>
  </si>
  <si>
    <t>47.888681 56.646903</t>
  </si>
  <si>
    <t>ежедневно, 10:00–20:00, перерыв 14:00–14:30</t>
  </si>
  <si>
    <t>47.896713 56.628516</t>
  </si>
  <si>
    <t>+7 (8362) 26-50-71</t>
  </si>
  <si>
    <t xml:space="preserve">maestrola@mail.ru </t>
  </si>
  <si>
    <t>http://maestrola.ru/</t>
  </si>
  <si>
    <t>https://vk.com/maestrola</t>
  </si>
  <si>
    <t>47.885669 56.635112</t>
  </si>
  <si>
    <t>47.896131 56.628772</t>
  </si>
  <si>
    <t>Любимая игрушка</t>
  </si>
  <si>
    <t>47.837753 56.635492</t>
  </si>
  <si>
    <t>Ирина</t>
  </si>
  <si>
    <t>47.899475 56.644052</t>
  </si>
  <si>
    <t>Капитал Оценка</t>
  </si>
  <si>
    <t>+7 (8362) 31-26-46</t>
  </si>
  <si>
    <t>http://capital-region.ru/</t>
  </si>
  <si>
    <t>https://www.instagram.com/aknkapital/</t>
  </si>
  <si>
    <t>ежедневно, 07:00–16:00</t>
  </si>
  <si>
    <t>47.89542 56.628098</t>
  </si>
  <si>
    <t>47.848843 56.64353</t>
  </si>
  <si>
    <t>Маркетинговое агенство PROзвон</t>
  </si>
  <si>
    <t>+7 (958) 709-03-21</t>
  </si>
  <si>
    <t xml:space="preserve">2589478@gmail.com </t>
  </si>
  <si>
    <t>https://joshkar-ola.prozvon.info/</t>
  </si>
  <si>
    <t>Аутсорсинг, Колл-центр, Маркетинговые услуги</t>
  </si>
  <si>
    <t>https://vk.com/club130082211</t>
  </si>
  <si>
    <t>СтройЮрист</t>
  </si>
  <si>
    <t>8 (800) 700-15-25</t>
  </si>
  <si>
    <t xml:space="preserve">info@ufa.stroyurist.ru, sert@ufa.stroyurist.ru, licenzii@ufa.stroyurist.ru, reg@ufa.stroyurist.ru, sro@ufa.stroyurist.ru  </t>
  </si>
  <si>
    <t>https://yoshkar-ola.stroyurist.ru/, https://yoshkar-ola.stroyurist.ru/services/license/litsenzii-mchs/, https://yoshkar-ola.stroyurist.ru/services/registration/etl/, https://yoshkar-ola.stroyurist.ru/services/sro/vstupit-v-sro/</t>
  </si>
  <si>
    <t>Лицензирование, Саморегулируемая организация, Сертификация продукции и услуг</t>
  </si>
  <si>
    <t>https://vk.com/stroyurist</t>
  </si>
  <si>
    <t>https://www.facebook.com/stroyurist.ru</t>
  </si>
  <si>
    <t>https://www.instagram.com/stroyurist</t>
  </si>
  <si>
    <t>Молодёжная ул., 37, Йошкар-Ола</t>
  </si>
  <si>
    <t>47.850917 56.658998</t>
  </si>
  <si>
    <t>+7 (999) 145-03-05</t>
  </si>
  <si>
    <t xml:space="preserve">strizh-taxi@mail.ru </t>
  </si>
  <si>
    <t>http://rabota-taxi.online/</t>
  </si>
  <si>
    <t>http://vk.com/rabota.yandex.taxi</t>
  </si>
  <si>
    <t>47.873722 56.6462</t>
  </si>
  <si>
    <t>Путевка Маркет</t>
  </si>
  <si>
    <t>+7 (8362) 65-67-10</t>
  </si>
  <si>
    <t>+7 (917) 707-91-70</t>
  </si>
  <si>
    <t>https://putevkamarket.ru/, http://12.putevkamarket.ru/</t>
  </si>
  <si>
    <t>пн-пт 10:00–19:00; сб,вс 10:00–15:00</t>
  </si>
  <si>
    <t>Храм Иверской иконы Божией Матери</t>
  </si>
  <si>
    <t>ул. Зои Космодемьянской, 124, Йошкар-Ола</t>
  </si>
  <si>
    <t>+7 (8362) 36-32-14</t>
  </si>
  <si>
    <t>http://yola-iverskiy.prihod.ru/</t>
  </si>
  <si>
    <t>сб,вс 08:00–18:00</t>
  </si>
  <si>
    <t>https://vk.com/hram_iverskiy</t>
  </si>
  <si>
    <t>47.953357 56.636709</t>
  </si>
  <si>
    <t>Кузов Маркет</t>
  </si>
  <si>
    <t>8 (800) 775-19-64, +7 (8362) 21-25-30</t>
  </si>
  <si>
    <t xml:space="preserve">info@kuzovmarket.com  </t>
  </si>
  <si>
    <t>https://www.kuzov-auto.ru/</t>
  </si>
  <si>
    <t>Автоэмали, автомобильные краски, Кузовной ремонт</t>
  </si>
  <si>
    <t>https://vk.com/kuzovmarketru</t>
  </si>
  <si>
    <t>Сварка12</t>
  </si>
  <si>
    <t>+7 (961) 333-05-08</t>
  </si>
  <si>
    <t>Сварочные работы</t>
  </si>
  <si>
    <t>https://vk.com/svark12</t>
  </si>
  <si>
    <t>47.925552 56.63964</t>
  </si>
  <si>
    <t>Центр Отопления Тепло-концепт</t>
  </si>
  <si>
    <t>+7 (8362) 60-02-26</t>
  </si>
  <si>
    <t>+7 (927) 886-55-00</t>
  </si>
  <si>
    <t>Водоочистка, водоочистное оборудование, Котлы и котельное оборудование, Отопительное оборудование и системы</t>
  </si>
  <si>
    <t>47.853067 56.63225</t>
  </si>
  <si>
    <t>Moneta.ru</t>
  </si>
  <si>
    <t>+7 (495) 646-58-48</t>
  </si>
  <si>
    <t>47.864407 56.646583</t>
  </si>
  <si>
    <t>Citronium</t>
  </si>
  <si>
    <t>+7 (499) 350-55-75</t>
  </si>
  <si>
    <t>47.890553 56.623098</t>
  </si>
  <si>
    <t>Автомастерская Автокузов</t>
  </si>
  <si>
    <t>Комсомольская ул., 3, Йошкар-Ола</t>
  </si>
  <si>
    <t>+7 (902) 107-42-07</t>
  </si>
  <si>
    <t>47.90578 56.654506</t>
  </si>
  <si>
    <t>Теплохолод12</t>
  </si>
  <si>
    <t>+7 (919) 418-13-11</t>
  </si>
  <si>
    <t>Маленький Принц</t>
  </si>
  <si>
    <t>+7 (8362) 24-37-38</t>
  </si>
  <si>
    <t>+7 (902) 104-66-51</t>
  </si>
  <si>
    <t xml:space="preserve">malenkiy_prince12@mail.ru, mua.mindgames@mail.ru  </t>
  </si>
  <si>
    <t>Детский лагерь отдыха, Организация и проведение детских праздников, Праздничное агентство</t>
  </si>
  <si>
    <t>https://vk.com/animator12mg</t>
  </si>
  <si>
    <t>https://www.instagram.com/the_little_prince_12/?hl=ru</t>
  </si>
  <si>
    <t>47.939636 56.622697</t>
  </si>
  <si>
    <t>Альянс</t>
  </si>
  <si>
    <t>+7 (8362) 72-04-00</t>
  </si>
  <si>
    <t>Пригородный, магазин № 3</t>
  </si>
  <si>
    <t>47.84154 56.644492</t>
  </si>
  <si>
    <t>47.90607 56.650653</t>
  </si>
  <si>
    <t>47.82619 56.638798</t>
  </si>
  <si>
    <t>+7 (8362) 43-39-94, +7 (8362) 33-30-30</t>
  </si>
  <si>
    <t>+7 (964) 863-39-94</t>
  </si>
  <si>
    <t xml:space="preserve">flatluxe@yandex.ru  </t>
  </si>
  <si>
    <t>https://vk.com/flatluxe</t>
  </si>
  <si>
    <t>Мир Полимеров</t>
  </si>
  <si>
    <t>+7 (915) 930-93-02, +7 (915) 954-59-29</t>
  </si>
  <si>
    <t>http://йошкар-ола.мирполимеров.рф/</t>
  </si>
  <si>
    <t>Сварочное оборудование и материалы, Системы водоснабжения, отопления, канализации, Трубы и трубопроводная арматура</t>
  </si>
  <si>
    <t>47.869858 56.635859</t>
  </si>
  <si>
    <t>Талисман</t>
  </si>
  <si>
    <t>Магазин галантереи и аксессуаров, Магазин подарков и сувениров</t>
  </si>
  <si>
    <t>47.929369 56.629302</t>
  </si>
  <si>
    <t>Марийские печи и котлы</t>
  </si>
  <si>
    <t>+7 (8362) 44-81-00</t>
  </si>
  <si>
    <t>Камины, печи, Котлы и котельное оборудование, Отопительное оборудование и системы, Товары для бани и сауны</t>
  </si>
  <si>
    <t>https://vk.com/krit_kotel</t>
  </si>
  <si>
    <t>https://instagram.com/pechikotel</t>
  </si>
  <si>
    <t>Государственное автономное учреждение культуры Марий Эл Телерадио</t>
  </si>
  <si>
    <t>+7 (8362) 42-10-24, +7 (8362) 63-00-24</t>
  </si>
  <si>
    <t>47.906685 56.637195</t>
  </si>
  <si>
    <t>Truth правда</t>
  </si>
  <si>
    <t>https://vk.com/tkanihlopokcheboksary</t>
  </si>
  <si>
    <t>Ever After High</t>
  </si>
  <si>
    <t>СкайСервис</t>
  </si>
  <si>
    <t>+7 (8362) 94-09-94</t>
  </si>
  <si>
    <t>Мониторинг автотранспорта</t>
  </si>
  <si>
    <t>Сплав</t>
  </si>
  <si>
    <t>+7 (8362) 33-74-03</t>
  </si>
  <si>
    <t>+7 (927) 882-90-08</t>
  </si>
  <si>
    <t xml:space="preserve">info@splav.ru  </t>
  </si>
  <si>
    <t>http://www.splav.ru/</t>
  </si>
  <si>
    <t>Военная форма, Товары для отдыха и туризма, Товары для охоты</t>
  </si>
  <si>
    <t>https://vk.com/splavclub</t>
  </si>
  <si>
    <t>https://www.facebook.com/splav.ru</t>
  </si>
  <si>
    <t>https://www.instagram.com/splav.ru</t>
  </si>
  <si>
    <t>47.893771 56.639047</t>
  </si>
  <si>
    <t>https://mussonvent.ru/</t>
  </si>
  <si>
    <t>https://www.instagram.com/musson.vent/</t>
  </si>
  <si>
    <t>Полярис</t>
  </si>
  <si>
    <t xml:space="preserve">info@reg.ru, domenda@bk.ru </t>
  </si>
  <si>
    <t>47.862263 56.639634</t>
  </si>
  <si>
    <t>Сова</t>
  </si>
  <si>
    <t>Россия, Республика Марий Эл, Йошкар-Ола, улица Алёнкино</t>
  </si>
  <si>
    <t>47.824456 56.624768</t>
  </si>
  <si>
    <t>Строительные и отделочные работы, Установка кондиционеров</t>
  </si>
  <si>
    <t>Жэук Центральная</t>
  </si>
  <si>
    <t>+7 (8362) 41-17-04, +7 (8362) 45-73-97</t>
  </si>
  <si>
    <t>47.887986 56.630678</t>
  </si>
  <si>
    <t>Многофункциональный центр прикладных квалификаций</t>
  </si>
  <si>
    <t>47.844974 56.628294</t>
  </si>
  <si>
    <t>Оптовик</t>
  </si>
  <si>
    <t>+7 (927) 877-80-94</t>
  </si>
  <si>
    <t>Магазин хозтоваров и бытовой химии, Садовый инвентарь и техника, Хозтовары оптом</t>
  </si>
  <si>
    <t>пн-пт 08:00–16:00; сб 08:00–14:00</t>
  </si>
  <si>
    <t>47.891199 56.614791</t>
  </si>
  <si>
    <t>ул. Строителей, 99БК1, Йошкар-Ола</t>
  </si>
  <si>
    <t>+7 (8362) 41-19-35</t>
  </si>
  <si>
    <t xml:space="preserve">mail@sovinter.ru, subbotina_s@gkm.ru, reception_go@gkm.ru  </t>
  </si>
  <si>
    <t>http://www.gkm.ru/</t>
  </si>
  <si>
    <t>Табачная продукция оптом</t>
  </si>
  <si>
    <t>Успешный малыш</t>
  </si>
  <si>
    <t>+7 (8362) 52-35-25</t>
  </si>
  <si>
    <t>+7 (961) 378-95-70</t>
  </si>
  <si>
    <t>пн-пт 09:00–20:00; сб 08:45–15:00</t>
  </si>
  <si>
    <t>Столовая Меридиан</t>
  </si>
  <si>
    <t>http://www.marsu.ru/</t>
  </si>
  <si>
    <t>Zt Studio</t>
  </si>
  <si>
    <t>КоДиП</t>
  </si>
  <si>
    <t>Ассоциация Молодых Предпринимателей</t>
  </si>
  <si>
    <t xml:space="preserve">mashkin_andrey@mail.ru </t>
  </si>
  <si>
    <t>Виталий</t>
  </si>
  <si>
    <t>47.890523 56.642895</t>
  </si>
  <si>
    <t>Краснофлотская ул., 19, Йошкар-Ола</t>
  </si>
  <si>
    <t>47.844522 56.634731</t>
  </si>
  <si>
    <t>Муравей</t>
  </si>
  <si>
    <t>+7 (917) 704-15-41</t>
  </si>
  <si>
    <t xml:space="preserve">voron1@bk.ru  </t>
  </si>
  <si>
    <t>Инструментальная промышленность, Металлоремонт</t>
  </si>
  <si>
    <t>https://vk.com/knifemyravey</t>
  </si>
  <si>
    <t>https://www.youtube.com/channel/UCKZ28KKvAMWNmo2a9auUfYw?view_as=subscriber</t>
  </si>
  <si>
    <t>https://www.instagram.com/ermakov.valerii</t>
  </si>
  <si>
    <t>Вывески 12</t>
  </si>
  <si>
    <t>+7 (8362) 45-55-66, +7 (8362) 26-66-62</t>
  </si>
  <si>
    <t>47.896865 56.634616</t>
  </si>
  <si>
    <t>Flat-luxe</t>
  </si>
  <si>
    <t>бул. Победы, 12, Йошкар-Ола</t>
  </si>
  <si>
    <t>+7 (964) 861-55-55</t>
  </si>
  <si>
    <t>http://flat-luxe.ru/</t>
  </si>
  <si>
    <t>47.879531 56.638986</t>
  </si>
  <si>
    <t>СТО-машин</t>
  </si>
  <si>
    <t>+7 (8362) 27-52-75</t>
  </si>
  <si>
    <t xml:space="preserve">imatra@stomashin12.ru </t>
  </si>
  <si>
    <t>http://vk.com/stomashin12</t>
  </si>
  <si>
    <t>47.872948 56.629</t>
  </si>
  <si>
    <t>Магазин белья</t>
  </si>
  <si>
    <t>47.895096 56.631422</t>
  </si>
  <si>
    <t>+7 (927) 882-74-39</t>
  </si>
  <si>
    <t>47.882282 56.631556</t>
  </si>
  <si>
    <t>Комбикорм. Зерно. Отруби</t>
  </si>
  <si>
    <t>Комбикорма и кормовые добавки</t>
  </si>
  <si>
    <t>Время технологий</t>
  </si>
  <si>
    <t>ул. Волкова, 136, Йошкар-Ола</t>
  </si>
  <si>
    <t>+7 (964) 864-60-84, +7 (987) 700-72-65, +7 (995) 108-45-85</t>
  </si>
  <si>
    <t>47.895629 56.636555</t>
  </si>
  <si>
    <t>47.919418 56.639254</t>
  </si>
  <si>
    <t>Завод стальных дверей Феррони</t>
  </si>
  <si>
    <t>+7 (8362) 38-00-38</t>
  </si>
  <si>
    <t xml:space="preserve">pushkareva.na@ferroni-doors.ru, info@ferroni-doors.ru  </t>
  </si>
  <si>
    <t>http://www.ferroni-doors.ru/</t>
  </si>
  <si>
    <t>47.838732 56.631621</t>
  </si>
  <si>
    <t>Одинаковые</t>
  </si>
  <si>
    <t>ул. Тельмана, 52/28, Йошкар-Ола</t>
  </si>
  <si>
    <t>+7 (927) 888-77-72</t>
  </si>
  <si>
    <t>47.95862 56.644269</t>
  </si>
  <si>
    <t>Гости</t>
  </si>
  <si>
    <t>+7 (8362) 39-05-39</t>
  </si>
  <si>
    <t>http://www.gosti12.ru/</t>
  </si>
  <si>
    <t>47.893262 56.632447</t>
  </si>
  <si>
    <t>Золотой локон</t>
  </si>
  <si>
    <t>47.880245 56.643291</t>
  </si>
  <si>
    <t>Юридическая компания Лебедев 12</t>
  </si>
  <si>
    <t>+7 (8362) 98-29-96, +7 (8362) 90-34-35</t>
  </si>
  <si>
    <t>+7 (960) 098-46-57</t>
  </si>
  <si>
    <t>Рыболовные снасти</t>
  </si>
  <si>
    <t>+7 (8362) 38-44-88</t>
  </si>
  <si>
    <t>+7 (937) 112-89-87</t>
  </si>
  <si>
    <t>47.880774 56.6368</t>
  </si>
  <si>
    <t>47.836385 56.643479</t>
  </si>
  <si>
    <t>RoseMedved.ru</t>
  </si>
  <si>
    <t>+7 (831) 235-00-82</t>
  </si>
  <si>
    <t>Ветерок</t>
  </si>
  <si>
    <t>47.850199 56.642592</t>
  </si>
  <si>
    <t>Магазин детской одежды, Трикотаж, трикотажные изделия</t>
  </si>
  <si>
    <t>Gild Мебель</t>
  </si>
  <si>
    <t>+7 (999) 609-86-74</t>
  </si>
  <si>
    <t xml:space="preserve">kristallplus@yandex.ru  </t>
  </si>
  <si>
    <t>http://bigmebel-yoshkarola.ru/</t>
  </si>
  <si>
    <t>https://vk.com/gildmebel</t>
  </si>
  <si>
    <t>https://ok.ru/group/55553021050945</t>
  </si>
  <si>
    <t>https://www.facebook.com/groups/gildmebel</t>
  </si>
  <si>
    <t>https://instagram.com/gildmebel</t>
  </si>
  <si>
    <t>Мир музыки</t>
  </si>
  <si>
    <t>Ювентик</t>
  </si>
  <si>
    <t>+7 (8362) 27-79-68</t>
  </si>
  <si>
    <t>+7 (917) 703-92-98, +7 (902) 437-79-68</t>
  </si>
  <si>
    <t>Детский лагерь отдыха, Центр развития ребенка</t>
  </si>
  <si>
    <t>47.855263 56.645161</t>
  </si>
  <si>
    <t>Канцелярский городок</t>
  </si>
  <si>
    <t>47.922296 56.630182</t>
  </si>
  <si>
    <t>47.948369 56.624435</t>
  </si>
  <si>
    <t>Geely Mag Motors</t>
  </si>
  <si>
    <t>+7 (8362) 63-03-03</t>
  </si>
  <si>
    <t>http://geely-magmotors.ru/</t>
  </si>
  <si>
    <t>47.934678 56.626332</t>
  </si>
  <si>
    <t>Luxury Apartment on Krasnoarmeyskaya 118a</t>
  </si>
  <si>
    <t>47.855469 56.64436</t>
  </si>
  <si>
    <t>Хирургический корпус № 3</t>
  </si>
  <si>
    <t>47.884278 56.649892</t>
  </si>
  <si>
    <t>Металлотек-Волга</t>
  </si>
  <si>
    <t>+7 (927) 880-00-40</t>
  </si>
  <si>
    <t xml:space="preserve">zakaz@metallotek.ru  </t>
  </si>
  <si>
    <t>http://metallotek.ru/</t>
  </si>
  <si>
    <t>У дома</t>
  </si>
  <si>
    <t>47.924458 56.641391</t>
  </si>
  <si>
    <t>Холодмастер12</t>
  </si>
  <si>
    <t>+7 (927) 887-77-22</t>
  </si>
  <si>
    <t>Запчасти и аксессуары для бытовой техники, Ремонт бытовой техники, Ремонт промышленных холодильников</t>
  </si>
  <si>
    <t>Kids</t>
  </si>
  <si>
    <t>Магазин детской одежды, Секонд-хенд</t>
  </si>
  <si>
    <t>Белье для всей семьи</t>
  </si>
  <si>
    <t>47.893017 56.63865</t>
  </si>
  <si>
    <t>47.882668 56.625416</t>
  </si>
  <si>
    <t>ТатКардан</t>
  </si>
  <si>
    <t>8 (800) 707-01-73</t>
  </si>
  <si>
    <t xml:space="preserve">tatkardan.val@mail.ru, smm@tatkardan.ru  </t>
  </si>
  <si>
    <t>http://yoshkarola.kardanniy-val.ru/</t>
  </si>
  <si>
    <t>Автосервис, автотехцентр, Магазин автозапчастей и автотоваров, Ремонт сельскохозяйственной техники</t>
  </si>
  <si>
    <t>https://vk.com/tatkardanrf</t>
  </si>
  <si>
    <t>https://www.facebook.com/tatkardanrf/</t>
  </si>
  <si>
    <t>https://www.youtube.com/channel/UCZNI072QrAebrd66D6NZKZg</t>
  </si>
  <si>
    <t>https://www.instagram.com/tatkardan/</t>
  </si>
  <si>
    <t>Квартира у набережной Брюгге - 2</t>
  </si>
  <si>
    <t>47.91377 56.63195</t>
  </si>
  <si>
    <t>Визажист Наталья Пушкина</t>
  </si>
  <si>
    <t>+7 (927) 871-10-00</t>
  </si>
  <si>
    <t>https://vk.com/push_ki_na</t>
  </si>
  <si>
    <t>47.891874 56.633016</t>
  </si>
  <si>
    <t>Домашние окна</t>
  </si>
  <si>
    <t>+7 (8362) 70-01-99</t>
  </si>
  <si>
    <t>+7 (8362) 74-18-86</t>
  </si>
  <si>
    <t>Полиграфическая фирма</t>
  </si>
  <si>
    <t>47.896707 56.627911</t>
  </si>
  <si>
    <t>Первое Заточное Ателье</t>
  </si>
  <si>
    <t>+7 (917) 710-90-90</t>
  </si>
  <si>
    <t>https://vk.com/pervoye_zatochnoye</t>
  </si>
  <si>
    <t>Агентство бухгалтерского учета</t>
  </si>
  <si>
    <t>Советская ул., 167А, Йошкар-Ола</t>
  </si>
  <si>
    <t>47.893203 56.627307</t>
  </si>
  <si>
    <t>47.831075 56.639543</t>
  </si>
  <si>
    <t>ТехноХолодМаш+</t>
  </si>
  <si>
    <t>+7 (8362) 64-37-84</t>
  </si>
  <si>
    <t>+7 (927) 681-99-18, +7 (917) 713-67-35</t>
  </si>
  <si>
    <t>http://tehnoholodmash.ru/</t>
  </si>
  <si>
    <t>Оборудование для ресторанов, Ремонт промышленных холодильников, Торговое оборудование</t>
  </si>
  <si>
    <t>Монета</t>
  </si>
  <si>
    <t>47.898868 56.629943</t>
  </si>
  <si>
    <t>Экспресс авто</t>
  </si>
  <si>
    <t>+7 (8362) 30-44-03</t>
  </si>
  <si>
    <t xml:space="preserve">master@express-auto12.ru  </t>
  </si>
  <si>
    <t>http://express-auto12.ru/</t>
  </si>
  <si>
    <t>https://vk.com/expressauto12</t>
  </si>
  <si>
    <t>47.9485 56.635671</t>
  </si>
  <si>
    <t>Кардиологическое отделение</t>
  </si>
  <si>
    <t>47.95592 56.640063</t>
  </si>
  <si>
    <t>Мариинвест</t>
  </si>
  <si>
    <t>+7 (8362) 32-32-20</t>
  </si>
  <si>
    <t>+7 (927) 872-43-31</t>
  </si>
  <si>
    <t>http://капитал12.рф/</t>
  </si>
  <si>
    <t>47.923714 56.638281</t>
  </si>
  <si>
    <t>Kingo</t>
  </si>
  <si>
    <t>+7 (919) 417-96-41</t>
  </si>
  <si>
    <t>Россия, Республика Марий Эл, Йошкар-Ола, улица Маршала Жукова</t>
  </si>
  <si>
    <t>47.846617 56.649487</t>
  </si>
  <si>
    <t>Voulez-vous</t>
  </si>
  <si>
    <t>CityМАСТЕР 12</t>
  </si>
  <si>
    <t>+7 (8362) 43-39-93</t>
  </si>
  <si>
    <t>+7 (927) 872-18-50, +7 (964) 863-39-93</t>
  </si>
  <si>
    <t xml:space="preserve">citymaster12@mail.ru </t>
  </si>
  <si>
    <t>http://мастер12.рф/</t>
  </si>
  <si>
    <t>https://www.ok.ru/group/53632027197611</t>
  </si>
  <si>
    <t>47.926396 56.639693</t>
  </si>
  <si>
    <t>+7 (987) 700-44-72</t>
  </si>
  <si>
    <t>Магазин парфюмерии и косметики, Магазин сумок и чемоданов</t>
  </si>
  <si>
    <t>47.894952 56.639807</t>
  </si>
  <si>
    <t>Клуб ТЭЦ-1</t>
  </si>
  <si>
    <t>47.875435 56.631713</t>
  </si>
  <si>
    <t>Учебно-методический центр Объединения организаций профсоюзов РМЭ</t>
  </si>
  <si>
    <t xml:space="preserve">umc.12@yandex.ru  </t>
  </si>
  <si>
    <t>http://edu.umc12.ru/</t>
  </si>
  <si>
    <t>Учебный комбинат, Учебный центр, Центр повышения квалификации</t>
  </si>
  <si>
    <t>https://vk.com/uchebnometodcentr</t>
  </si>
  <si>
    <t>М. О. С. Т.</t>
  </si>
  <si>
    <t>+7 (904) 763-84-70</t>
  </si>
  <si>
    <t>Магазин мебели, Мебель для ванных комнат, Мебель для кухни</t>
  </si>
  <si>
    <t>Республиканский центр Физической Культуры и Спорта</t>
  </si>
  <si>
    <t>+7 (8362) 42-59-43</t>
  </si>
  <si>
    <t>Saleqr</t>
  </si>
  <si>
    <t>бул. Чавайна, 15А, Йошкар-Ола</t>
  </si>
  <si>
    <t>+7 (902) 670-07-92</t>
  </si>
  <si>
    <t xml:space="preserve">info@saleqr.ru </t>
  </si>
  <si>
    <t>47.920518 56.628926</t>
  </si>
  <si>
    <t>Рассвет</t>
  </si>
  <si>
    <t>47.907676 56.631215</t>
  </si>
  <si>
    <t>Традиция Йошкар-Ола 1</t>
  </si>
  <si>
    <t>47.876719 56.648197</t>
  </si>
  <si>
    <t>ГБУ Республики Марий Эл Йошкар-Олинская городская больница Физиотерапевтическое отделение</t>
  </si>
  <si>
    <t>+7 (8362) 64-61-33</t>
  </si>
  <si>
    <t>http://kl55.polickliniki.ru/</t>
  </si>
  <si>
    <t>Жилой дом в МКР. Фестивальный</t>
  </si>
  <si>
    <t>https://oaokontinent.ru/festivalnaya-poz-33/</t>
  </si>
  <si>
    <t>47.831512 56.646957</t>
  </si>
  <si>
    <t>Пойдем гулять!</t>
  </si>
  <si>
    <t>ул. Лермонтова, 66, Йошкар-Ола</t>
  </si>
  <si>
    <t xml:space="preserve">info@toruda.ru, info@detskaya-ploshadka-dacha.ru  </t>
  </si>
  <si>
    <t>https://yoshkarola.detskaya-ploshadka-dacha.ru/</t>
  </si>
  <si>
    <t>47.860334 56.627797</t>
  </si>
  <si>
    <t>ГК Седан</t>
  </si>
  <si>
    <t>ул. Прохорова, 45А, Йошкар-Ола</t>
  </si>
  <si>
    <t>47.829497 56.629301</t>
  </si>
  <si>
    <t>Квартира12</t>
  </si>
  <si>
    <t>+7 (902) 433-37-32</t>
  </si>
  <si>
    <t>пн-пт 09:00–19:30; сб,вс 10:00–15:00</t>
  </si>
  <si>
    <t>Zoo мир</t>
  </si>
  <si>
    <t>Ветеринарная аптека, Зоомагазин, Комбикорма и кормовые добавки</t>
  </si>
  <si>
    <t>47.918737 56.630948</t>
  </si>
  <si>
    <t>Marina mama</t>
  </si>
  <si>
    <t>47.917718 56.627419</t>
  </si>
  <si>
    <t>Грузовые перевозки Грузовичок 12</t>
  </si>
  <si>
    <t>ул. Строителей, 79, Йошкар-Ола</t>
  </si>
  <si>
    <t>+7 (8362) 54-57-57</t>
  </si>
  <si>
    <t>Автомобильные грузоперевозки, Логистическая компания, Перевозка негабаритных грузов</t>
  </si>
  <si>
    <t>47.849069 56.627352</t>
  </si>
  <si>
    <t>Товары 1 спроса</t>
  </si>
  <si>
    <t>+7 (8362) 34-55-00</t>
  </si>
  <si>
    <t xml:space="preserve">info@tovari1sprosa.ru </t>
  </si>
  <si>
    <t>Интернет-магазин, Магазин хозтоваров и бытовой химии</t>
  </si>
  <si>
    <t>Электрические плиты</t>
  </si>
  <si>
    <t>+7 (917) 709-32-93</t>
  </si>
  <si>
    <t>47.945216 56.633367</t>
  </si>
  <si>
    <t>47.9462 56.623938</t>
  </si>
  <si>
    <t>ВТБ Капитал Форекс</t>
  </si>
  <si>
    <t>8 (800) 333-24-24, +7 (495) 797-93-48</t>
  </si>
  <si>
    <t xml:space="preserve">info@vtbforex.ru  </t>
  </si>
  <si>
    <t>https://vtbforex.ru/</t>
  </si>
  <si>
    <t>Дилинговый центр, Инвестиционная компания</t>
  </si>
  <si>
    <t>https://vk.com/vtb_analytics</t>
  </si>
  <si>
    <t>Очистка Вентиляции РФ</t>
  </si>
  <si>
    <t>47.950457 56.624026</t>
  </si>
  <si>
    <t>Психолог Завиткевич И. М.</t>
  </si>
  <si>
    <t xml:space="preserve">zavitkevich@yandex.ru  </t>
  </si>
  <si>
    <t>http://zavitkevich.ru/</t>
  </si>
  <si>
    <t>Психологическая служба, Психотерапевтическая помощь, Семейное консультирование</t>
  </si>
  <si>
    <t>https://www.facebook.com/psychologzim/</t>
  </si>
  <si>
    <t>+7 (937) 111-08-63, +7 (964) 863-50-25</t>
  </si>
  <si>
    <t>47.876362 56.627776</t>
  </si>
  <si>
    <t>Радиотерапевтический корпус</t>
  </si>
  <si>
    <t>Пролетарская ул., 60Д, Йошкар-Ола</t>
  </si>
  <si>
    <t>47.885541 56.650406</t>
  </si>
  <si>
    <t>47.873843 56.650011</t>
  </si>
  <si>
    <t>Сократ</t>
  </si>
  <si>
    <t>ул. Строителей, 9А, Йошкар-Ола</t>
  </si>
  <si>
    <t>+7 (917) 701-67-87</t>
  </si>
  <si>
    <t>47.836771 56.638278</t>
  </si>
  <si>
    <t>Суворовский</t>
  </si>
  <si>
    <t>47.858575 56.640874</t>
  </si>
  <si>
    <t>47.865899 56.650233</t>
  </si>
  <si>
    <t>47.892741 56.63841</t>
  </si>
  <si>
    <t>Теплообменники Ридан - Heatinvest</t>
  </si>
  <si>
    <t>https://йошкар-ола.теплообменники-ридан.рф/</t>
  </si>
  <si>
    <t>47.951199 56.621855</t>
  </si>
  <si>
    <t>Всеинструменты.ру</t>
  </si>
  <si>
    <t>Советская ул., 154, Йошкар-Ола, Россия</t>
  </si>
  <si>
    <t>8 (800) 550-37-71, 8 (800) 550-38-05</t>
  </si>
  <si>
    <t xml:space="preserve">info@vseinstrumenti.ru  </t>
  </si>
  <si>
    <t>https://www.vseinstrumenti.ru/, https://bosch.vseinstrumenti.ru/, https://bosch.vseinstrumenti.ru/?utm_campaign=test&amp;utm_medium=fix&amp;utm_source=yandex_maps, https://dewalt.vseinstrumenti.ru/, https://dewalt.vseinstrumenti.ru/?utm_campaign=test&amp;utm_medium=fix&amp;utm_source=yandex_maps, https://hitachi.vseinstrumenti.ru/, https://husqvarna.vseinstrumenti.ru/, https://husqvarna.vseinstrumenti.ru/?utm_campaign=test&amp;utm_medium=fix&amp;utm_source=yandex_maps, https://kaminy.vseinstrumenti.ru/, https://kompressory.vseinstrumenti.ru/, https://kompressory.vseinstrumenti.ru/?utm_campaign=test&amp;utm_medium=fix&amp;utm_source=yandex_maps, https://kondicionery.vseinstrumenti.ru/, https://kondicionery.vseinstrumenti.ru/?utm_campaign=test&amp;utm_medium=fix&amp;utm_source=yandex_maps, https://kotly.vseinstrumenti.ru/, https://kotly.vseinstrumenti.ru/?utm_campaign=test&amp;utm_medium=fix&amp;utm_source=yandex_maps, https://lestnicy.vseinstrumenti.ru/, https://lestnicy.vseinstrumenti.ru/?utm_campaign=test&amp;utm_medium=fix&amp;utm_source=</t>
  </si>
  <si>
    <t>https://vk.com/vseinstrumenti</t>
  </si>
  <si>
    <t>https://ok.ru/vseinstrumenti</t>
  </si>
  <si>
    <t>https://www.facebook.com/vseinstrumenti.ru</t>
  </si>
  <si>
    <t>https://www.youtube.com/user/VseInstrumentiRu</t>
  </si>
  <si>
    <t>https://www.instagram.com/vseinstrumenti.ru/</t>
  </si>
  <si>
    <t>47.893207 56.629614</t>
  </si>
  <si>
    <t>47.854832 56.650497</t>
  </si>
  <si>
    <t>Российская партия пенсионеров за социальную справедливость в Республике Марий Эл</t>
  </si>
  <si>
    <t xml:space="preserve">larisa.samodaeva@yandex.ru, karelikov@mail.ru, 161104-1@mail.ru, ivantsov.igor.b@gmail.com, expromtdance@gmail.com  </t>
  </si>
  <si>
    <t>http://pensioner.party/</t>
  </si>
  <si>
    <t>Сай пoлек</t>
  </si>
  <si>
    <t>47.899463 56.634525</t>
  </si>
  <si>
    <t>Бытовая химия и сопутствующие товары</t>
  </si>
  <si>
    <t>47.870847 56.64589</t>
  </si>
  <si>
    <t>Все для уюта</t>
  </si>
  <si>
    <t>+7 (8362) 94-15-09</t>
  </si>
  <si>
    <t>Мебельная фурнитура и комплектующие, Ремонт мебели</t>
  </si>
  <si>
    <t>https://vk.com/club141226267</t>
  </si>
  <si>
    <t>47.929556 56.62929</t>
  </si>
  <si>
    <t>47.897249 56.618703</t>
  </si>
  <si>
    <t>Фельдшерский здравпункт Марийского государственного университета</t>
  </si>
  <si>
    <t>+7 (8362) 68-79-93</t>
  </si>
  <si>
    <t>Амбулатория, здравпункт, медпункт, Детская поликлиника</t>
  </si>
  <si>
    <t>пн-пт 08:00–15:40</t>
  </si>
  <si>
    <t>47.88418 56.641864</t>
  </si>
  <si>
    <t>Фактура</t>
  </si>
  <si>
    <t>+7 (987) 715-54-82</t>
  </si>
  <si>
    <t>Банктехсервис</t>
  </si>
  <si>
    <t>Банковское оборудование, Пломбираторы и пломбы безопасности, Сейфы</t>
  </si>
  <si>
    <t>47.879925 56.625611</t>
  </si>
  <si>
    <t>ТермоПро</t>
  </si>
  <si>
    <t xml:space="preserve">info@thermo-pro12.ru </t>
  </si>
  <si>
    <t>47.862202 56.61556</t>
  </si>
  <si>
    <t>ул. Мира, 15А, Йошкар-Ола</t>
  </si>
  <si>
    <t>47.953533 56.622119</t>
  </si>
  <si>
    <t>Нагорный</t>
  </si>
  <si>
    <t>47.935699 56.623463</t>
  </si>
  <si>
    <t>47.832941 56.636668</t>
  </si>
  <si>
    <t>47.918579 56.63015</t>
  </si>
  <si>
    <t>47.929876 56.627113</t>
  </si>
  <si>
    <t>47.832913 56.641584</t>
  </si>
  <si>
    <t>Good style</t>
  </si>
  <si>
    <t>+7 (8362) 42-01-19, +7 (8362) 42-01-21</t>
  </si>
  <si>
    <t>47.882594 56.643495</t>
  </si>
  <si>
    <t>Любимый кроха</t>
  </si>
  <si>
    <t>47.92203 56.630179</t>
  </si>
  <si>
    <t>Автосервис Сервис 12</t>
  </si>
  <si>
    <t>+7 (987) 728-55-55, +7 (939) 724-61-55</t>
  </si>
  <si>
    <t>Авторазбор, Автосервис, автотехцентр, Магазин автозапчастей и автотоваров</t>
  </si>
  <si>
    <t>Россия, Республика Марий Эл, Йошкар-Ола, улица Володи Дубинина</t>
  </si>
  <si>
    <t>47.938146 56.637343</t>
  </si>
  <si>
    <t>Сактон</t>
  </si>
  <si>
    <t>Карьера</t>
  </si>
  <si>
    <t>Бухгалтерские услуги, Кадровое агентство</t>
  </si>
  <si>
    <t>Нянька</t>
  </si>
  <si>
    <t>47.833161 56.636795</t>
  </si>
  <si>
    <t>Транспортная компания</t>
  </si>
  <si>
    <t>+7 (917) 064-33-27</t>
  </si>
  <si>
    <t>Уличные светильники</t>
  </si>
  <si>
    <t>+7 (987) 709-70-64</t>
  </si>
  <si>
    <t xml:space="preserve">info@ulich-svetilnik.ru  </t>
  </si>
  <si>
    <t>https://yoshkarola.ulich-svetilnik.ru/</t>
  </si>
  <si>
    <t>пн-пт 06:00–18:00</t>
  </si>
  <si>
    <t>Александр</t>
  </si>
  <si>
    <t>Магазин одежды, Магазин парфюмерии и косметики</t>
  </si>
  <si>
    <t>https://vk.com/public177682336</t>
  </si>
  <si>
    <t>47.858323 56.643577</t>
  </si>
  <si>
    <t>47.887703 56.638015</t>
  </si>
  <si>
    <t>47.908699 56.627194</t>
  </si>
  <si>
    <t>47.868715 56.635013</t>
  </si>
  <si>
    <t>Телемир</t>
  </si>
  <si>
    <t>Кордав</t>
  </si>
  <si>
    <t>+7 (927) 510-61-99, +7 (988) 394-79-84</t>
  </si>
  <si>
    <t xml:space="preserve">info@kordav.ru  </t>
  </si>
  <si>
    <t>http://yoshkarola.kordav.ru/</t>
  </si>
  <si>
    <t>Городское благоустройство, Детское игровое оборудование, Покрытия для площадок</t>
  </si>
  <si>
    <t>Шиномонтаж Vianor</t>
  </si>
  <si>
    <t>47.911075 56.638066</t>
  </si>
  <si>
    <t>Мари Групп</t>
  </si>
  <si>
    <t>+7 (917) 703-54-41</t>
  </si>
  <si>
    <t xml:space="preserve">olmur83@mail.ru  </t>
  </si>
  <si>
    <t>http://travel-ola.ru/, http://yoshkarola.tilda.ws/</t>
  </si>
  <si>
    <t>пн-сб 08:30–19:30</t>
  </si>
  <si>
    <t>Тая</t>
  </si>
  <si>
    <t>47.896529 56.628621</t>
  </si>
  <si>
    <t>Музей керамики и гончарного искусства</t>
  </si>
  <si>
    <t>+7 (987) 708-35-18</t>
  </si>
  <si>
    <t>47.89905 56.637479</t>
  </si>
  <si>
    <t>Часы</t>
  </si>
  <si>
    <t>47.885482 56.635228</t>
  </si>
  <si>
    <t>Нитки, пряжа, Швейная фурнитура</t>
  </si>
  <si>
    <t>47.843045 56.641648</t>
  </si>
  <si>
    <t>Таксопарк Заводской</t>
  </si>
  <si>
    <t>+7 (8362) 30-50-90</t>
  </si>
  <si>
    <t>+7 (967) 757-50-90</t>
  </si>
  <si>
    <t>ежедневно, 10:00–18:00, перерыв 12:00–13:00</t>
  </si>
  <si>
    <t>https://instagram.com/taxiyo_12</t>
  </si>
  <si>
    <t>47.903094 56.646658</t>
  </si>
  <si>
    <t>VozzMi - Xiaomi в Йошкар-Оле</t>
  </si>
  <si>
    <t>+7 (902) 102-04-44</t>
  </si>
  <si>
    <t xml:space="preserve">mi@chebstore.ru </t>
  </si>
  <si>
    <t>https://yola.vozzmi.ru/</t>
  </si>
  <si>
    <t>Аккумуляторы и зарядные устройства, Магазин электроники, Товары для мобильных телефонов</t>
  </si>
  <si>
    <t>https://vk.com/vozzmiru</t>
  </si>
  <si>
    <t>https://www.instagram.com/vozzmiru</t>
  </si>
  <si>
    <t>47.929702 56.627797</t>
  </si>
  <si>
    <t>Салон цветов</t>
  </si>
  <si>
    <t>47.884307 56.623049</t>
  </si>
  <si>
    <t>Дом по ул. Льва Толстого</t>
  </si>
  <si>
    <t>ул. Льва Толстого, 66, Йошкар-Ола</t>
  </si>
  <si>
    <t>http://magistr-house.ru/strojaschiesja_obekty/mnogokvartirnyj_zhiloj_dom_v_m-ne_orshanskij_i__ii_etap/</t>
  </si>
  <si>
    <t>47.8974 56.647388</t>
  </si>
  <si>
    <t>+7 (987) 727-94-24, +7 (917) 712-81-83</t>
  </si>
  <si>
    <t>Поликлиники № 5</t>
  </si>
  <si>
    <t>Травмпункт</t>
  </si>
  <si>
    <t>47.889989 56.628166</t>
  </si>
  <si>
    <t>Промтовары</t>
  </si>
  <si>
    <t>47.856089 56.650819</t>
  </si>
  <si>
    <t>47.870803 56.647953</t>
  </si>
  <si>
    <t>Адамант</t>
  </si>
  <si>
    <t>+7 (964) 861-33-66</t>
  </si>
  <si>
    <t>Сауна Аква</t>
  </si>
  <si>
    <t>+7 (8362) 45-55-90</t>
  </si>
  <si>
    <t>47.83327 56.636818</t>
  </si>
  <si>
    <t>Салон связи Иной</t>
  </si>
  <si>
    <t>47.884126 56.633233</t>
  </si>
  <si>
    <t>8 (800) 777-22-33, +7 (8362) 56-20-13</t>
  </si>
  <si>
    <t>https://www.facebook.com/www.ASNA.ru/</t>
  </si>
  <si>
    <t>https://www.instagram.com/asna.ru/</t>
  </si>
  <si>
    <t>47.94033 56.622642</t>
  </si>
  <si>
    <t>47.885523 56.62227</t>
  </si>
  <si>
    <t>ул. Серова, 99/27, Йошкар-Ола</t>
  </si>
  <si>
    <t>47.889326 56.653806</t>
  </si>
  <si>
    <t>Альпатекс</t>
  </si>
  <si>
    <t>+7 (927) 873-07-88</t>
  </si>
  <si>
    <t xml:space="preserve">yoshkarola@alpateks.ru, info@alpateks.ru  </t>
  </si>
  <si>
    <t>http://yoshkarola.alpateks.ru/</t>
  </si>
  <si>
    <t>Кровельные работы, Промышленный альпинизм, Фасады и фасадные системы</t>
  </si>
  <si>
    <t>https://vk.com/alpateks_industrial_alpinism</t>
  </si>
  <si>
    <t>47.839267 56.617954</t>
  </si>
  <si>
    <t>Служба доставки домофонных ключей</t>
  </si>
  <si>
    <t>+7 (8362) 39-05-07</t>
  </si>
  <si>
    <t>+7 (927) 881-05-07</t>
  </si>
  <si>
    <t>47.926231 56.635059</t>
  </si>
  <si>
    <t>Дом в МКР. Фестивальный</t>
  </si>
  <si>
    <t xml:space="preserve">oao_kontinent@mail.ru </t>
  </si>
  <si>
    <t>https://oaokontinent.ru/poz39/</t>
  </si>
  <si>
    <t>47.831596 56.645481</t>
  </si>
  <si>
    <t>КофеЙОк</t>
  </si>
  <si>
    <t>ежедневно, 10:30–19:30</t>
  </si>
  <si>
    <t>47.929388 56.62931</t>
  </si>
  <si>
    <t>Экспресс-точка продажи подгузников</t>
  </si>
  <si>
    <t>Quality_nails</t>
  </si>
  <si>
    <t>47.847869 56.645865</t>
  </si>
  <si>
    <t>Все Виды Фотоуслуг</t>
  </si>
  <si>
    <t>пн-пт 08:00–19:00; сб 09:00–15:00</t>
  </si>
  <si>
    <t>Трубы</t>
  </si>
  <si>
    <t>47.839637 56.626927</t>
  </si>
  <si>
    <t>Центр инноваций социальной сферы Республики Марий Эл</t>
  </si>
  <si>
    <t xml:space="preserve">ciss12@mail.ru  </t>
  </si>
  <si>
    <t>http://ciss12.ru/</t>
  </si>
  <si>
    <t>47.907572 56.631233</t>
  </si>
  <si>
    <t>Звёздная ул., 4/3, Йошкар-Ола</t>
  </si>
  <si>
    <t>47.962253 56.614672</t>
  </si>
  <si>
    <t>Барс</t>
  </si>
  <si>
    <t>47.896528 56.646034</t>
  </si>
  <si>
    <t>Вип Скай</t>
  </si>
  <si>
    <t>+7 (8362) 33-20-60</t>
  </si>
  <si>
    <t>Полиграфическая компания</t>
  </si>
  <si>
    <t>+7 (927) 877-77-69</t>
  </si>
  <si>
    <t>Копировальный центр, Полиграфические услуги, Рекламное агентство, Фотоуслуги</t>
  </si>
  <si>
    <t>47.895338 56.630524</t>
  </si>
  <si>
    <t>47.846799 56.628714</t>
  </si>
  <si>
    <t>Пирс</t>
  </si>
  <si>
    <t>+7 (8362) 73-03-21</t>
  </si>
  <si>
    <t>+7 (902) 325-82-38</t>
  </si>
  <si>
    <t>Аренда строительной и спецтехники, Спецтехника и спецавтомобили, Строительство и ремонт дорог</t>
  </si>
  <si>
    <t>КВТ Маркет</t>
  </si>
  <si>
    <t>8 (800) 777-12-36</t>
  </si>
  <si>
    <t>https://ola.kwt.market/</t>
  </si>
  <si>
    <t>Компрессоры и компрессорное оборудование, Сварочное оборудование и материалы, Энергетическое оборудование</t>
  </si>
  <si>
    <t>https://www.instagram.com/_kwt.market_/</t>
  </si>
  <si>
    <t>47.946992 56.625914</t>
  </si>
  <si>
    <t>Ной</t>
  </si>
  <si>
    <t>+7 (8362) 51-20-70</t>
  </si>
  <si>
    <t>47.907821 56.631404</t>
  </si>
  <si>
    <t>ГБОУ ДО Республики Марий Эл центр детского и юношеского технического творчества</t>
  </si>
  <si>
    <t>https://tehnik12.ru/</t>
  </si>
  <si>
    <t>пн-сб 08:30–20:00</t>
  </si>
  <si>
    <t>47.864516 56.650232</t>
  </si>
  <si>
    <t>+7 (8362) 90-17-98, +7 (8362) 98-35-30</t>
  </si>
  <si>
    <t>47.947795 56.62453</t>
  </si>
  <si>
    <t>http://mebel-salika.ru/</t>
  </si>
  <si>
    <t>https://www.facebook.com/MebelSalika/</t>
  </si>
  <si>
    <t>47.939731 56.62266</t>
  </si>
  <si>
    <t>МетаЛофт</t>
  </si>
  <si>
    <t>+7 (962) 589-49-85</t>
  </si>
  <si>
    <t xml:space="preserve">metaloft@yandex.ru  </t>
  </si>
  <si>
    <t>https://vk.com/metaloft</t>
  </si>
  <si>
    <t>+7 (8362) 25-55-37</t>
  </si>
  <si>
    <t>http://apteka12plus.ru/, http://аптека12плюс.рф/</t>
  </si>
  <si>
    <t>47.883276 56.633037</t>
  </si>
  <si>
    <t>Bogacho</t>
  </si>
  <si>
    <t>8 (800) 550-25-25, +7 (8362) 23-26-27</t>
  </si>
  <si>
    <t xml:space="preserve">info@bogacho.ru  </t>
  </si>
  <si>
    <t>https://www.bogacho.ru/, https://bogacho.ru/shop/yoshkar-ola/</t>
  </si>
  <si>
    <t>Магазин мебели, Светильники, Товары для интерьера</t>
  </si>
  <si>
    <t>https://vk.com/bogacho</t>
  </si>
  <si>
    <t>https://www.facebook.com/BOGACHO</t>
  </si>
  <si>
    <t>https://www.instagram.com/bogacho</t>
  </si>
  <si>
    <t>Commobileservice</t>
  </si>
  <si>
    <t>Красноармейская ул., 100, Йошкар-Ола</t>
  </si>
  <si>
    <t>+7 (4832) 30-32-37</t>
  </si>
  <si>
    <t>+7 (930) 820-32-37</t>
  </si>
  <si>
    <t xml:space="preserve">abuse@ru-hoster.com </t>
  </si>
  <si>
    <t>47.861241 56.646296</t>
  </si>
  <si>
    <t>Промышленный альпинист</t>
  </si>
  <si>
    <t>Арм12</t>
  </si>
  <si>
    <t>+7 (987) 720-68-12, +7 (927) 872-29-04</t>
  </si>
  <si>
    <t>пн-пт 07:30–16:30, перерыв 12:00–13:00</t>
  </si>
  <si>
    <t>Парк Активного Отдыха “Like”</t>
  </si>
  <si>
    <t>+7 (902) 743-64-62</t>
  </si>
  <si>
    <t>Батутный центр, Организация и проведение детских праздников, Развлекательный центр</t>
  </si>
  <si>
    <t>пн-пт 12:00–20:00; сб,вс 09:00–20:00</t>
  </si>
  <si>
    <t>https://vk.com/like_yola</t>
  </si>
  <si>
    <t>https://instagram.com/like_yola?igshid=14bmc8yvsqfi</t>
  </si>
  <si>
    <t>Z-Club</t>
  </si>
  <si>
    <t>http://vk.com/zclubyola</t>
  </si>
  <si>
    <t>http://instagram.com/z_yola</t>
  </si>
  <si>
    <t>47.920624 56.633643</t>
  </si>
  <si>
    <t>47.898715 56.637267</t>
  </si>
  <si>
    <t>Метеор</t>
  </si>
  <si>
    <t>47.882936 56.637144</t>
  </si>
  <si>
    <t>А1</t>
  </si>
  <si>
    <t>47.892128 56.627102</t>
  </si>
  <si>
    <t>Такая разная сумка</t>
  </si>
  <si>
    <t>Республика</t>
  </si>
  <si>
    <t>47.869332 56.640086</t>
  </si>
  <si>
    <t>+7 (8362) 56-40-77</t>
  </si>
  <si>
    <t>47.901377 56.617488</t>
  </si>
  <si>
    <t>Техно-групп</t>
  </si>
  <si>
    <t>ул. Прохорова, 39, корп. 1, Йошкар-Ола</t>
  </si>
  <si>
    <t>http://tg12.ru/</t>
  </si>
  <si>
    <t>Автосервис, автотехцентр, Кузовной ремонт, Магазин автозапчастей и автотоваров</t>
  </si>
  <si>
    <t>47.835729 56.629926</t>
  </si>
  <si>
    <t>Магазин детской обуви, Магазин детской одежды, Магазин сумок и чемоданов</t>
  </si>
  <si>
    <t>Мануфактурз</t>
  </si>
  <si>
    <t>+7 (8362) 52-85-28</t>
  </si>
  <si>
    <t>+7 (964) 862-85-28</t>
  </si>
  <si>
    <t xml:space="preserve">zakaz@manufacturez.ru  </t>
  </si>
  <si>
    <t>https://manufacturez.ru/</t>
  </si>
  <si>
    <t>https://vk.com/manufacturez</t>
  </si>
  <si>
    <t>47.825438 56.639377</t>
  </si>
  <si>
    <t>+7 (8362) 58-18-00</t>
  </si>
  <si>
    <t>47.83053 56.628717</t>
  </si>
  <si>
    <t>Трансформаторная подстанция № 401</t>
  </si>
  <si>
    <t>47.93109 56.637121</t>
  </si>
  <si>
    <t>Бизнес</t>
  </si>
  <si>
    <t>47.898961 56.636376</t>
  </si>
  <si>
    <t>+7 (8362) 96-10-35</t>
  </si>
  <si>
    <t>вт-сб 13:00–18:00</t>
  </si>
  <si>
    <t>Школа студия красоты Крокус12</t>
  </si>
  <si>
    <t>+7 (8362) 36-96-69</t>
  </si>
  <si>
    <t>+7 (902) 664-87-88, +7 (967) 756-96-69</t>
  </si>
  <si>
    <t>http://крокус12.рф/</t>
  </si>
  <si>
    <t>Косметология, Оборудование и материалы для салонов красоты, Обучение мастеров для салонов красоты</t>
  </si>
  <si>
    <t>Прогис</t>
  </si>
  <si>
    <t>47.877628 56.632736</t>
  </si>
  <si>
    <t>Детский клуб Дар</t>
  </si>
  <si>
    <t>+7 (917) 719-19-32</t>
  </si>
  <si>
    <t>пн-пт 09:00–19:30; сб 09:00–17:00</t>
  </si>
  <si>
    <t>https://vk.com/darkids</t>
  </si>
  <si>
    <t>Кюшнур</t>
  </si>
  <si>
    <t>+7 (927) 877-46-33</t>
  </si>
  <si>
    <t>пн,ср 12:00–18:00</t>
  </si>
  <si>
    <t>47.877491 56.628646</t>
  </si>
  <si>
    <t>47.870277 56.629913</t>
  </si>
  <si>
    <t>Кубань-Мебель</t>
  </si>
  <si>
    <t>Icar</t>
  </si>
  <si>
    <t>+7 (8362) 75-80-80</t>
  </si>
  <si>
    <t xml:space="preserve">info@icar.ru, icar30@mail.ru </t>
  </si>
  <si>
    <t>Столярная мастерская МарГТУ</t>
  </si>
  <si>
    <t>ул. Гоголя, 7, Йошкар-Ола</t>
  </si>
  <si>
    <t>47.897804 56.629442</t>
  </si>
  <si>
    <t>Светодиодные системы</t>
  </si>
  <si>
    <t xml:space="preserve">info@varton.ru  </t>
  </si>
  <si>
    <t>https://www.varton.ru/</t>
  </si>
  <si>
    <t>Диантус</t>
  </si>
  <si>
    <t>+7 (902) 739-01-88</t>
  </si>
  <si>
    <t>47.843418 56.631019</t>
  </si>
  <si>
    <t>ОстровОК</t>
  </si>
  <si>
    <t>+7 (8362) 99-03-91, +7 (8362) 24-22-42</t>
  </si>
  <si>
    <t>47.888659 56.639333</t>
  </si>
  <si>
    <t>Радиокомпоненты</t>
  </si>
  <si>
    <t>Красноармейская слобода, 44, Йошкар-Ола</t>
  </si>
  <si>
    <t>+7 (8362) 30-42-44</t>
  </si>
  <si>
    <t>http://radiokomplekt-s.tiu.ru/</t>
  </si>
  <si>
    <t>Электронные приборы и компоненты</t>
  </si>
  <si>
    <t>47.913685 56.641896</t>
  </si>
  <si>
    <t>FamilyArt</t>
  </si>
  <si>
    <t>Аренда фотостудий</t>
  </si>
  <si>
    <t>Лучший вид на город, реку и рощу</t>
  </si>
  <si>
    <t>47.90529 56.62002</t>
  </si>
  <si>
    <t>ИП Алексеева Н. М.</t>
  </si>
  <si>
    <t>47.907682 56.631209</t>
  </si>
  <si>
    <t>Effect</t>
  </si>
  <si>
    <t>+7 (8362) 31-61-00</t>
  </si>
  <si>
    <t xml:space="preserve">info@effect12.ru  </t>
  </si>
  <si>
    <t>https://effect12.ru/</t>
  </si>
  <si>
    <t>Бизнес-консалтинг, Интернет-маркетинг, Студия веб-дизайна</t>
  </si>
  <si>
    <t>https://vk.com/vseproinet</t>
  </si>
  <si>
    <t>Ландшафтный дизайн</t>
  </si>
  <si>
    <t>Кирпичная ул., 8, Йошкар-Ола</t>
  </si>
  <si>
    <t>+7 (917) 717-86-51</t>
  </si>
  <si>
    <t>47.943293 56.624118</t>
  </si>
  <si>
    <t>Тимуровцы</t>
  </si>
  <si>
    <t>1-й пер. Чайкиной, 2, Йошкар-Ола</t>
  </si>
  <si>
    <t>+7 (960) 095-65-17</t>
  </si>
  <si>
    <t xml:space="preserve">timurovskie@yandex.ru  </t>
  </si>
  <si>
    <t>http://vk.com/timurovskie</t>
  </si>
  <si>
    <t>47.890526 56.621092</t>
  </si>
  <si>
    <t>47.887025 56.611894</t>
  </si>
  <si>
    <t>YourTime кофе u0026 вафли</t>
  </si>
  <si>
    <t>бул. Чавайна, 41А, Йошкар-Ола</t>
  </si>
  <si>
    <t>8 (800) 700-30-42</t>
  </si>
  <si>
    <t>+7 (923) 442-39-82</t>
  </si>
  <si>
    <t xml:space="preserve">partner@yourtimecafe.com, name@email.com  </t>
  </si>
  <si>
    <t>http://yourtimecafe.com/</t>
  </si>
  <si>
    <t>пн-чт 08:00–21:00; пт-вс 09:00–21:00</t>
  </si>
  <si>
    <t>https://www.instagram.com/yourtimecafe_yo</t>
  </si>
  <si>
    <t>47.895207 56.635055</t>
  </si>
  <si>
    <t>Экономико-правовой лицей на базе юридического факультета МарГУ</t>
  </si>
  <si>
    <t>+7 (8362) 46-01-72</t>
  </si>
  <si>
    <t>47.916856 56.631644</t>
  </si>
  <si>
    <t>парк культуры и отдыха имени 400-летия Йошкар-Олы</t>
  </si>
  <si>
    <t>47.908672 56.625332</t>
  </si>
  <si>
    <t>ГК Луч-2</t>
  </si>
  <si>
    <t>47.834034 56.643288</t>
  </si>
  <si>
    <t>Россия, Республика Марий Эл, Йошкар-Ола, Моторная улица</t>
  </si>
  <si>
    <t>47.950617 56.632512</t>
  </si>
  <si>
    <t>+7 (902) 743-82-35</t>
  </si>
  <si>
    <t>ул. Волкова, 106, Йошкар-Ола</t>
  </si>
  <si>
    <t>Организация аукционов и тендеров</t>
  </si>
  <si>
    <t>КПК</t>
  </si>
  <si>
    <t>47.88989 56.632435</t>
  </si>
  <si>
    <t>Сантехмаркет</t>
  </si>
  <si>
    <t>+7 (8362) 41-74-17</t>
  </si>
  <si>
    <t>47.881886 56.630971</t>
  </si>
  <si>
    <t>Много цветов</t>
  </si>
  <si>
    <t>+7 (8362) 40-03-02</t>
  </si>
  <si>
    <t>47.890816 56.643375</t>
  </si>
  <si>
    <t>Covani</t>
  </si>
  <si>
    <t>47.89274 56.638753</t>
  </si>
  <si>
    <t>Эколог</t>
  </si>
  <si>
    <t>Аристотель</t>
  </si>
  <si>
    <t>ул. Ломоносова, 66, Йошкар-Ола</t>
  </si>
  <si>
    <t>8 (800) 707-96-04</t>
  </si>
  <si>
    <t>47.859319 56.627371</t>
  </si>
  <si>
    <t>47.855762 56.640475</t>
  </si>
  <si>
    <t>Дверъ</t>
  </si>
  <si>
    <t>47.944433 56.634928</t>
  </si>
  <si>
    <t>+7 (8362) 46-99-98</t>
  </si>
  <si>
    <t xml:space="preserve">zaomzsk12@gmail.com </t>
  </si>
  <si>
    <t>http://мзскзао.рф/</t>
  </si>
  <si>
    <t>Кирпич, Строительная компания, Сухие строительные смеси</t>
  </si>
  <si>
    <t>47.898595 56.647257</t>
  </si>
  <si>
    <t>8 (800) 200-83-62, 8 (800) 100-83-62, +7 (8362) 73-17-97, +7 (8362) 00-83-62, +7 (8362) 64-08-55</t>
  </si>
  <si>
    <t xml:space="preserve">shop@lukoz.ru, sernur@lukoz.ru  </t>
  </si>
  <si>
    <t>https://sernur.club/</t>
  </si>
  <si>
    <t>Молочная продукция оптом, Продукты питания оптом, Производство продуктов питания</t>
  </si>
  <si>
    <t>http://vk.com/kozi12</t>
  </si>
  <si>
    <t>http://instagram.com/sernur.club</t>
  </si>
  <si>
    <t>47.853585 56.63029</t>
  </si>
  <si>
    <t>Домашний текстиль</t>
  </si>
  <si>
    <t>1к Квартира Недалеко От Центра</t>
  </si>
  <si>
    <t>47.86798 56.64873</t>
  </si>
  <si>
    <t>Козлова Екатерина Александровна</t>
  </si>
  <si>
    <t>+7 (8362) 63-77-78</t>
  </si>
  <si>
    <t>47.837703 56.634173</t>
  </si>
  <si>
    <t>ИП Хчатрян</t>
  </si>
  <si>
    <t>3-й пр. Зои Космодемьянской, 17, Йошкар-Ола</t>
  </si>
  <si>
    <t>+7 (8362) 64-38-74, +7 (8362) 52-05-85, +7 (8362) 26-76-36, +7 (8362) 32-07-08, +7 (8362) 32-10-60</t>
  </si>
  <si>
    <t>Магазин мебели, Ремонт мебели</t>
  </si>
  <si>
    <t>47.956364 56.633857</t>
  </si>
  <si>
    <t>47.822946 56.626613</t>
  </si>
  <si>
    <t>Мирхенд</t>
  </si>
  <si>
    <t>+7 (8362) 61-23-61</t>
  </si>
  <si>
    <t>+7 (902) 103-05-95</t>
  </si>
  <si>
    <t xml:space="preserve">mirhend@mail.ru  </t>
  </si>
  <si>
    <t>http://mirhend.ru/</t>
  </si>
  <si>
    <t>Магазин одежды, Секонд-хенд</t>
  </si>
  <si>
    <t>https://vk.com/mirhend112</t>
  </si>
  <si>
    <t>https://www.instagram.com/mirhend12/</t>
  </si>
  <si>
    <t>47.929413 56.62928</t>
  </si>
  <si>
    <t>Территориальный центр Медицины Катастроф</t>
  </si>
  <si>
    <t>+7 (8362) 45-14-19, +7 (8362) 63-81-04</t>
  </si>
  <si>
    <t>Nev plus</t>
  </si>
  <si>
    <t>+7 (927) 877-45-37</t>
  </si>
  <si>
    <t>http://newplus12.ru/</t>
  </si>
  <si>
    <t>Автосалон, Автосервис, автотехцентр, Автоэкспертиза, оценка автомобилей, Выкуп автомобилей</t>
  </si>
  <si>
    <t>https://vk.com/yolaautokup</t>
  </si>
  <si>
    <t>Гараж № 3 Атх</t>
  </si>
  <si>
    <t>ул. Серова, 82, Йошкар-Ола</t>
  </si>
  <si>
    <t>47.89086 56.65394</t>
  </si>
  <si>
    <t>47.921712 56.640254</t>
  </si>
  <si>
    <t>47.910334 56.632589</t>
  </si>
  <si>
    <t>Джинсовый мир</t>
  </si>
  <si>
    <t>47.846334 56.628907</t>
  </si>
  <si>
    <t>Бильярд</t>
  </si>
  <si>
    <t>47.889375 56.638913</t>
  </si>
  <si>
    <t>Речная ул., 86/2, Йошкар-Ола</t>
  </si>
  <si>
    <t>47.862678 56.655839</t>
  </si>
  <si>
    <t>Теремъ 12</t>
  </si>
  <si>
    <t>+7 (8362) 75-59-00, +7 (8362) 91-71-43</t>
  </si>
  <si>
    <t xml:space="preserve">fibrolit12@inbox.ru  </t>
  </si>
  <si>
    <t>http://terem12.ru/</t>
  </si>
  <si>
    <t>пн-пт 08:30–17:30; сб 08:30–13:30</t>
  </si>
  <si>
    <t>+7 (8362) 23-18-88, +7 (8362) 23-21-11</t>
  </si>
  <si>
    <t>47.948774 56.627498</t>
  </si>
  <si>
    <t>Жаравина Е. А.</t>
  </si>
  <si>
    <t>+7 (902) 671-72-85, +7 (902) 671-32-49</t>
  </si>
  <si>
    <t>ул. Рябинина, 34, Йошкар-Ола</t>
  </si>
  <si>
    <t>47.868848 56.635944</t>
  </si>
  <si>
    <t>47.87311 56.636535</t>
  </si>
  <si>
    <t>ИП Протасов М. П.</t>
  </si>
  <si>
    <t>+7 (937) 939-10-71</t>
  </si>
  <si>
    <t xml:space="preserve">gaavd@yandex.ru </t>
  </si>
  <si>
    <t>47.877415 56.641482</t>
  </si>
  <si>
    <t>Магазин молочной продукции</t>
  </si>
  <si>
    <t>Автопт-12</t>
  </si>
  <si>
    <t>Красноармейская слобода, 59, Йошкар-Ола</t>
  </si>
  <si>
    <t>+7 (8362) 40-10-09</t>
  </si>
  <si>
    <t>47.915598 56.643788</t>
  </si>
  <si>
    <t>47.879606 56.640903</t>
  </si>
  <si>
    <t>СК Гранта</t>
  </si>
  <si>
    <t>+7 (8362) 30-47-11</t>
  </si>
  <si>
    <t xml:space="preserve">d.sharafutdinova@grantains.ru, info@grantains.ru, izhevsk@grantains.ru, cheb@grantains.ru, y-ola@grantains.ru  </t>
  </si>
  <si>
    <t>http://grantains.ru/</t>
  </si>
  <si>
    <t>https://vk.com/grantains</t>
  </si>
  <si>
    <t>https://www.facebook.com/grantains</t>
  </si>
  <si>
    <t>https://www.instagram.com/grantains/</t>
  </si>
  <si>
    <t>47.884881 56.638128</t>
  </si>
  <si>
    <t>Зелёный ключ</t>
  </si>
  <si>
    <t>47.939331 56.633086</t>
  </si>
  <si>
    <t>МУП Лифт Муниципального образования город Йошкар-Ола</t>
  </si>
  <si>
    <t>+7 (8362) 42-04-88</t>
  </si>
  <si>
    <t>Продажа и обслуживание лифтов</t>
  </si>
  <si>
    <t>+7 (863) 272-55-68, +7 (8362) 63-07-83, +7 (863) 263-08-58</t>
  </si>
  <si>
    <t>http://www.uncib.ru/</t>
  </si>
  <si>
    <t>Информационная безопасность, Программное обеспечение, Удостоверяющий центр, Учебный центр</t>
  </si>
  <si>
    <t>пн-пт 08:30–16:30, перерыв 12:00–13:00</t>
  </si>
  <si>
    <t>47.86161 56.639397</t>
  </si>
  <si>
    <t>+7 (8362) 64-79-13</t>
  </si>
  <si>
    <t xml:space="preserve">mariipk@mail.ru  </t>
  </si>
  <si>
    <t>Металлообрабатывающее оборудование, Подшипники, Сварочное оборудование и материалы, Строительный инструмент</t>
  </si>
  <si>
    <t>https://vk.com/podshipnikiyoshkarola</t>
  </si>
  <si>
    <t>Бизнес и право</t>
  </si>
  <si>
    <t>+7 (8362) 99-96-60</t>
  </si>
  <si>
    <t>8 (800) 505-93-35</t>
  </si>
  <si>
    <t xml:space="preserve">info@taiga12.ru  </t>
  </si>
  <si>
    <t>https://taiga12.ru/</t>
  </si>
  <si>
    <t>https://vk.com/taigaloghomes</t>
  </si>
  <si>
    <t>https://ok.ru/profile/561757905908</t>
  </si>
  <si>
    <t>https://www.facebook.com/Taigaloghome/</t>
  </si>
  <si>
    <t>https://www.youtube.com/channel/UCWn06WCFvwgEsEBlh0F3oMA/videos</t>
  </si>
  <si>
    <t>https://www.instagram.com/taigaloghomes/</t>
  </si>
  <si>
    <t>47.870015 56.630994</t>
  </si>
  <si>
    <t>47.893877 56.639263</t>
  </si>
  <si>
    <t>Автошкола Автопрофи</t>
  </si>
  <si>
    <t>+7 (929) 734-38-54, +7 (917) 717-54-55</t>
  </si>
  <si>
    <t xml:space="preserve">info@avtoprofi12.ru  </t>
  </si>
  <si>
    <t>http://avtoprofi12.ru/</t>
  </si>
  <si>
    <t>47.878221 56.627465</t>
  </si>
  <si>
    <t>Авто Диалог</t>
  </si>
  <si>
    <t>Азбука Шин - продажа грузовых шин и дисков</t>
  </si>
  <si>
    <t>+7 (967) 375-37-18</t>
  </si>
  <si>
    <t xml:space="preserve">info@azbshin.ru, support@tiu.ru  </t>
  </si>
  <si>
    <t>http://azb-shin.ru/</t>
  </si>
  <si>
    <t>https://www.instagram.com/azbukashin</t>
  </si>
  <si>
    <t>+7 (8362) 55-01-11</t>
  </si>
  <si>
    <t>47.929458 56.627683</t>
  </si>
  <si>
    <t>+7 (8362) 38-12-20</t>
  </si>
  <si>
    <t>47.924339 56.639065</t>
  </si>
  <si>
    <t>47.841328 56.646089</t>
  </si>
  <si>
    <t>Технодача</t>
  </si>
  <si>
    <t>Ремонт электрооборудования, Садовый инвентарь и техника, Электро- и бензоинструмент</t>
  </si>
  <si>
    <t>Пан Зюзя</t>
  </si>
  <si>
    <t>Экспертный состав Главного бюро медико-социальной экспертизы № 1 смешанного профиля</t>
  </si>
  <si>
    <t>+7 (8362) 45-75-59</t>
  </si>
  <si>
    <t>+7 (8362) 41-26-28, +7 (8362) 41-07-01</t>
  </si>
  <si>
    <t>http://www.rmii.ru/</t>
  </si>
  <si>
    <t>вт 12:00–20:00; ср-вс 10:00–18:00</t>
  </si>
  <si>
    <t>47.924363 56.639118</t>
  </si>
  <si>
    <t>47.940004 56.631981</t>
  </si>
  <si>
    <t>47.894169 56.645048</t>
  </si>
  <si>
    <t>Натяжные потолки Альтера</t>
  </si>
  <si>
    <t>+7 (8362) 20-23-66</t>
  </si>
  <si>
    <t>+7 (999) 609-26-66</t>
  </si>
  <si>
    <t>Натяжные и подвесные потолки, Светильники, Строительная компания</t>
  </si>
  <si>
    <t>https://vk.com/altera12</t>
  </si>
  <si>
    <t>https://instagram.com/altera_potolki_yoshkar_ola</t>
  </si>
  <si>
    <t>47.929675 56.639253</t>
  </si>
  <si>
    <t>Ронгинское торфобрикетное предприятие, офис</t>
  </si>
  <si>
    <t>+7 (909) 595-61-69</t>
  </si>
  <si>
    <t>Окна Двери</t>
  </si>
  <si>
    <t>47.885296 56.640607</t>
  </si>
  <si>
    <t>Мет</t>
  </si>
  <si>
    <t>8 (800) 301-75-95</t>
  </si>
  <si>
    <t>+7 (963) 722-80-00</t>
  </si>
  <si>
    <t xml:space="preserve">met@met.ru  </t>
  </si>
  <si>
    <t>https://joshkar-ola.met.ru/</t>
  </si>
  <si>
    <t>47.917812 56.631223</t>
  </si>
  <si>
    <t>Апартаменты Лофт</t>
  </si>
  <si>
    <t>Воскресенский просп., 13А, Йошкар-Ола</t>
  </si>
  <si>
    <t>47.91228 56.63377</t>
  </si>
  <si>
    <t>+7 (8362) 33-74-61, +7 (8362) 34-77-14</t>
  </si>
  <si>
    <t>47.889224 56.642073</t>
  </si>
  <si>
    <t>Белоснежка12</t>
  </si>
  <si>
    <t>https://vk.com/club111005747</t>
  </si>
  <si>
    <t>47.898139 56.634493</t>
  </si>
  <si>
    <t>Окна двери</t>
  </si>
  <si>
    <t>47.890127 56.642046</t>
  </si>
  <si>
    <t>47.883696 56.621115</t>
  </si>
  <si>
    <t>47.855922 56.650744</t>
  </si>
  <si>
    <t>Зебра</t>
  </si>
  <si>
    <t>+7 (8362) 50-99-21</t>
  </si>
  <si>
    <t xml:space="preserve">14370afcdc17429f9e418d5ffbd0334a@sentry.wixpress.com, wixofday@wix.com, 51-24-24@mail.ru  </t>
  </si>
  <si>
    <t>https://www.ooolaif.ru/otoplenie</t>
  </si>
  <si>
    <t>Отопительное оборудование и системы, Системы водоснабжения, отопления, канализации, Электронагреватели</t>
  </si>
  <si>
    <t>https://vk.com/zebralaif</t>
  </si>
  <si>
    <t>https://ok.ru/layfpsoevo</t>
  </si>
  <si>
    <t>47.893386 56.625992</t>
  </si>
  <si>
    <t>РемБытТех12</t>
  </si>
  <si>
    <t>+7 (8362) 43-20-49</t>
  </si>
  <si>
    <t>+7 (964) 863-20-49</t>
  </si>
  <si>
    <t>https://vk.com/rembuttex12</t>
  </si>
  <si>
    <t>+7 (906) 335-49-55</t>
  </si>
  <si>
    <t>47.82691 56.62913</t>
  </si>
  <si>
    <t>Сообщество Анонимные Наркоманы</t>
  </si>
  <si>
    <t>+7 (8362) 26-00-96</t>
  </si>
  <si>
    <t xml:space="preserve">pr@na-russia.org  </t>
  </si>
  <si>
    <t>http://www.na-russia.org/</t>
  </si>
  <si>
    <t>пн-чт 13:00–21:15, перерыв 14:00–20:00; пт 18:00–23:15, перерыв 19:00–22:00; сб 12:00–20:15, перерыв 13:00–19:00; вс 19:00–20:15</t>
  </si>
  <si>
    <t>АнКоМ</t>
  </si>
  <si>
    <t>+7 (919) 418-76-35</t>
  </si>
  <si>
    <t>вт-пт 09:00–18:00; сб 10:00–18:00</t>
  </si>
  <si>
    <t>Радуга Вкуса</t>
  </si>
  <si>
    <t>+7 (8362) 38-00-28</t>
  </si>
  <si>
    <t xml:space="preserve">zakuprv@mail.ru, pradugavkusa@mail.ru, feedback@rvkusa.com  </t>
  </si>
  <si>
    <t>https://yola.rvkusa.com/</t>
  </si>
  <si>
    <t>Доставка еды и обедов, Пиццерия, Суши-бар</t>
  </si>
  <si>
    <t>пн-чт 10:00–22:00; пт,сб 10:00–23:00; вс 10:00–22:00</t>
  </si>
  <si>
    <t>https://vk.com/rvkusa12</t>
  </si>
  <si>
    <t>https://www.instagram.com/radugavkusa_io</t>
  </si>
  <si>
    <t>47.847407 56.641169</t>
  </si>
  <si>
    <t>Марийская Информационно-справочная служба 056</t>
  </si>
  <si>
    <t>+7 (8362) 39-60-56</t>
  </si>
  <si>
    <t>+7 (964) 860-30-62</t>
  </si>
  <si>
    <t>пн-пт 08:00–20:00; сб,вс 08:00–16:00</t>
  </si>
  <si>
    <t>+7 (8362) 38-05-11</t>
  </si>
  <si>
    <t>http://komexpo.ru/</t>
  </si>
  <si>
    <t>47.883829 56.63731</t>
  </si>
  <si>
    <t>Бочки</t>
  </si>
  <si>
    <t>47.839597 56.626905</t>
  </si>
  <si>
    <t>БлагоДар</t>
  </si>
  <si>
    <t>+7 (902) 737-55-55</t>
  </si>
  <si>
    <t>Психологическая служба, Психотерапевтическая помощь</t>
  </si>
  <si>
    <t>http://vk.com/moy_drug_psiholog</t>
  </si>
  <si>
    <t>Посуточная квартира в новостройке</t>
  </si>
  <si>
    <t>ул. Анникова, 8А, Йошкар-Ола</t>
  </si>
  <si>
    <t>47.840248 56.645424</t>
  </si>
  <si>
    <t>Пижамка</t>
  </si>
  <si>
    <t>+7 (961) 335-95-63</t>
  </si>
  <si>
    <t>БухСтатус</t>
  </si>
  <si>
    <t>+7 (906) 137-12-54</t>
  </si>
  <si>
    <t xml:space="preserve">info@buhstatus12.ru  </t>
  </si>
  <si>
    <t>https://buhstatus12.ru/</t>
  </si>
  <si>
    <t>47.850075 56.642451</t>
  </si>
  <si>
    <t>СанЭпидемЦентр</t>
  </si>
  <si>
    <t>ул. Машиностроителей, 121, корп. 4, Йошкар-Ола</t>
  </si>
  <si>
    <t>+7 (919) 653-13-81</t>
  </si>
  <si>
    <t xml:space="preserve">dezcityklop@mail.ru </t>
  </si>
  <si>
    <t>http://санэпидемцентр21.рф/</t>
  </si>
  <si>
    <t>47.832648 56.624425</t>
  </si>
  <si>
    <t>ДЕЗ Ликвидация Йошкар-Ола</t>
  </si>
  <si>
    <t>8 (800) 600-56-22</t>
  </si>
  <si>
    <t>https://yoshkar-ola.disinsection-1.ru/</t>
  </si>
  <si>
    <t>Мари-Групп</t>
  </si>
  <si>
    <t>Анникова-12</t>
  </si>
  <si>
    <t>47.835788 56.645107</t>
  </si>
  <si>
    <t>Медцентр-Единица</t>
  </si>
  <si>
    <t>http://medicina-edinica.ru/, http://medcentr-edinica.com/</t>
  </si>
  <si>
    <t>47.868076 56.637745</t>
  </si>
  <si>
    <t>47.827946 56.634237</t>
  </si>
  <si>
    <t>47.891871 56.637221</t>
  </si>
  <si>
    <t>47.885373 56.639347</t>
  </si>
  <si>
    <t>47.944804 56.628661</t>
  </si>
  <si>
    <t>47.890883 56.640062</t>
  </si>
  <si>
    <t>Торговое кассовое оборудование, весы</t>
  </si>
  <si>
    <t>Весы и весоизмерительное оборудование, Кассовые аппараты и расходные материалы</t>
  </si>
  <si>
    <t>47.903329 56.647918</t>
  </si>
  <si>
    <t>47.886148 56.637614</t>
  </si>
  <si>
    <t>Магазин детских игрушек</t>
  </si>
  <si>
    <t>Евро чистка</t>
  </si>
  <si>
    <t>47.864429 56.645998</t>
  </si>
  <si>
    <t>Аурум</t>
  </si>
  <si>
    <t>+7 (8362) 52-33-41</t>
  </si>
  <si>
    <t>47.841664 56.632428</t>
  </si>
  <si>
    <t>Самоварин</t>
  </si>
  <si>
    <t>+7 (905) 008-51-51</t>
  </si>
  <si>
    <t>Пивоваренное оборудование, Самогонное оборудование, Товары для бани и сауны, Товары для дома</t>
  </si>
  <si>
    <t>Фестивальная ул., 56, Йошкар-Ола</t>
  </si>
  <si>
    <t>47.836149 56.648963</t>
  </si>
  <si>
    <t>IGel</t>
  </si>
  <si>
    <t>Бизнес-консалтинг, Курсы и мастер-классы</t>
  </si>
  <si>
    <t>Все для ремонта</t>
  </si>
  <si>
    <t>Альфабот Йошкар-Ола</t>
  </si>
  <si>
    <t>ВекторМ</t>
  </si>
  <si>
    <t>ул. Карла Маркса, 120, Йошкар-Ола</t>
  </si>
  <si>
    <t>47.893562 56.626471</t>
  </si>
  <si>
    <t>Йошкар-Ола квартира в центре ул Кремлевская</t>
  </si>
  <si>
    <t>47.88033 56.64121</t>
  </si>
  <si>
    <t>Дело и Деньги</t>
  </si>
  <si>
    <t>8 (800) 600-77-96, +7 (8362) 49-08-09</t>
  </si>
  <si>
    <t>+7 (967) 759-08-09</t>
  </si>
  <si>
    <t xml:space="preserve">dd777769@gmail.com, 778333@bk.ru  </t>
  </si>
  <si>
    <t>http://delo-i-dengi.ru/</t>
  </si>
  <si>
    <t>https://vk.com/gcdeloidengi</t>
  </si>
  <si>
    <t>https://ok.ru/gcdeloidengi</t>
  </si>
  <si>
    <t>https://www.facebook.com/gcdeloidengi.ru/?modal=admin_todo_tour</t>
  </si>
  <si>
    <t>https://www.youtube.com/channel/UCsvB62ApI3H8rFGo7PQCIPQ?view_as=subscriber</t>
  </si>
  <si>
    <t>https://www.instagram.com/gcdeloidengi</t>
  </si>
  <si>
    <t>47.899096 56.634169</t>
  </si>
  <si>
    <t>Комьюнити</t>
  </si>
  <si>
    <t>47.849527 56.628253</t>
  </si>
  <si>
    <t>+7 (8362) 65-01-23</t>
  </si>
  <si>
    <t>http://www.yola-auto.ru/</t>
  </si>
  <si>
    <t>47.881088 56.615055</t>
  </si>
  <si>
    <t>Россия, Республика Марий Эл, Йошкар-Ола, Профсоюзная улица</t>
  </si>
  <si>
    <t>47.947677 56.619141</t>
  </si>
  <si>
    <t>47.873329 56.636683</t>
  </si>
  <si>
    <t>47.883516 56.637572</t>
  </si>
  <si>
    <t>47.94186 56.633765</t>
  </si>
  <si>
    <t>Настрижке</t>
  </si>
  <si>
    <t>+7 (995) 961-30-22</t>
  </si>
  <si>
    <t xml:space="preserve">mashaivanovaaa90@mail.ru </t>
  </si>
  <si>
    <t>Парикмахерская, Салон бровей и ресниц, Салон красоты</t>
  </si>
  <si>
    <t>https://www.instagram.com/nastrizhke_hair</t>
  </si>
  <si>
    <t>47.881453 56.632603</t>
  </si>
  <si>
    <t>47.917135 56.641082</t>
  </si>
  <si>
    <t>47.832776 56.63656</t>
  </si>
  <si>
    <t>+7 (8362) 38-13-71, +7 (8362) 38-13-82, +7 (8362) 38-02-22</t>
  </si>
  <si>
    <t xml:space="preserve">platonov.a@sensum.ru, andreeva@action-media.ru, nsv@sensum.ru, kuzmin.v@sensum.ru, atrashkina.ee@sensum.ru  </t>
  </si>
  <si>
    <t>http://sensum.ru/</t>
  </si>
  <si>
    <t>Информационный интернет-сайт, Программное обеспечение</t>
  </si>
  <si>
    <t>https://vk.com/sensumsensum</t>
  </si>
  <si>
    <t>47.8977 56.6428</t>
  </si>
  <si>
    <t>Shop-Logistics</t>
  </si>
  <si>
    <t>+7 (937) 115-81-02</t>
  </si>
  <si>
    <t xml:space="preserve">ckk@shop-logistics.ru, sales@shop-logistics.ru  </t>
  </si>
  <si>
    <t>http://shop-logistics.ru/</t>
  </si>
  <si>
    <t>https://vk.com/logistics_official</t>
  </si>
  <si>
    <t>https://www.facebook.com/Shop.logistics</t>
  </si>
  <si>
    <t>Экопродукты Кафе-магазин Чечевица</t>
  </si>
  <si>
    <t>Доставка еды и обедов, Кафе, Магазин продуктов</t>
  </si>
  <si>
    <t>пн,вт,ср,чт,пт,вс 10:00–18:00</t>
  </si>
  <si>
    <t>https://www.instagram.com/chechevica_12</t>
  </si>
  <si>
    <t>47.884446 56.635302</t>
  </si>
  <si>
    <t>Легола</t>
  </si>
  <si>
    <t>+7 (8362) 70-20-40</t>
  </si>
  <si>
    <t>47.917535 56.638453</t>
  </si>
  <si>
    <t>Мир удивительных товаров</t>
  </si>
  <si>
    <t>+7 (902) 100-21-12</t>
  </si>
  <si>
    <t xml:space="preserve">vasil.a@mail.ru  </t>
  </si>
  <si>
    <t>https://vk.com/udivitelnye.tovary</t>
  </si>
  <si>
    <t>47.894151 56.636508</t>
  </si>
  <si>
    <t>Favorit мебель</t>
  </si>
  <si>
    <t>+7 (8362) 31-87-75</t>
  </si>
  <si>
    <t>Корпусная мебель, Магазин мебели, Мебель для кухни, Мебель для офиса</t>
  </si>
  <si>
    <t>Красноармейская ул., 78В, Йошкар-Ола</t>
  </si>
  <si>
    <t>47.876267 56.644739</t>
  </si>
  <si>
    <t>ГК Кристалл</t>
  </si>
  <si>
    <t>47.853504 56.625214</t>
  </si>
  <si>
    <t>+7 (8362) 42-69-20</t>
  </si>
  <si>
    <t>+7 (8362) 45-15-86</t>
  </si>
  <si>
    <t>47.885089 56.642892</t>
  </si>
  <si>
    <t>Региональная Строительная Компания</t>
  </si>
  <si>
    <t>+7 (8362) 33-27-77</t>
  </si>
  <si>
    <t>+7 (937) 119-09-77</t>
  </si>
  <si>
    <t xml:space="preserve">rsk12ru@mail.ru  </t>
  </si>
  <si>
    <t>https://rsk12.ru/</t>
  </si>
  <si>
    <t>https://vk.com/stroikavmariel</t>
  </si>
  <si>
    <t>47.892952 56.649592</t>
  </si>
  <si>
    <t>Зиг-Заг</t>
  </si>
  <si>
    <t>+7 (906) 336-52-17</t>
  </si>
  <si>
    <t>ул. Чехова, 56, Йошкар-Ола</t>
  </si>
  <si>
    <t>+7 (906) 137-72-79</t>
  </si>
  <si>
    <t>пн,ср,пт 19:00–20:30</t>
  </si>
  <si>
    <t>https://vk.com/event128233875</t>
  </si>
  <si>
    <t>47.891646 56.643945</t>
  </si>
  <si>
    <t>Автовыкуп12.рф</t>
  </si>
  <si>
    <t>+7 (964) 861-07-00</t>
  </si>
  <si>
    <t>http://автовыкуп12.рф/</t>
  </si>
  <si>
    <t>https://vk.com/avt12</t>
  </si>
  <si>
    <t>Полимер-Сервис</t>
  </si>
  <si>
    <t>8 (800) 200-57-47</t>
  </si>
  <si>
    <t xml:space="preserve">8b4e078a51d04e0e9efdf470027f0ec1@sentry.wixpress.com, info@kraska54.ru  </t>
  </si>
  <si>
    <t>http://kraska54.ru/</t>
  </si>
  <si>
    <t>47.872443 56.613004</t>
  </si>
  <si>
    <t>47.941934 56.633829</t>
  </si>
  <si>
    <t>Стекло Авто</t>
  </si>
  <si>
    <t>+7 (8362) 32-25-00</t>
  </si>
  <si>
    <t>Жажда вкуса</t>
  </si>
  <si>
    <t>Быстрое питание, Кафе, Пиццерия</t>
  </si>
  <si>
    <t>https://vk.com/zhazda_vkusa</t>
  </si>
  <si>
    <t>47.897151 56.634176</t>
  </si>
  <si>
    <t>Акробатический рок-н-ролл</t>
  </si>
  <si>
    <t>+7 (902) 430-08-00</t>
  </si>
  <si>
    <t xml:space="preserve">mstudi@mail.ru  </t>
  </si>
  <si>
    <t>ежедневно, 16:00–21:00</t>
  </si>
  <si>
    <t>https://vk.com/acror_n_r</t>
  </si>
  <si>
    <t>47.886386 56.623065</t>
  </si>
  <si>
    <t>Шыл кеват</t>
  </si>
  <si>
    <t>47.86214 56.64572</t>
  </si>
  <si>
    <t>Россия, Республика Марий Эл, Йошкар-Ола, улица Льва Толстого</t>
  </si>
  <si>
    <t>47.890721 56.648425</t>
  </si>
  <si>
    <t>47.892441 56.63841</t>
  </si>
  <si>
    <t>Мебель city</t>
  </si>
  <si>
    <t>47.832225 56.639627</t>
  </si>
  <si>
    <t>Кинг-Смок</t>
  </si>
  <si>
    <t>+7 (987) 712-99-69</t>
  </si>
  <si>
    <t>https://vk.com/kingsmoke_yo</t>
  </si>
  <si>
    <t>47.838432 56.641626</t>
  </si>
  <si>
    <t>Детская мебель, Детский магазин, Магазин детской одежды</t>
  </si>
  <si>
    <t>Советская ул., 136, Йошкар-Ола</t>
  </si>
  <si>
    <t>47.895398 56.633691</t>
  </si>
  <si>
    <t>ул. Эшкинина, 10, Йошкар-Ола</t>
  </si>
  <si>
    <t>47.908466 56.63204</t>
  </si>
  <si>
    <t>Ин-Авто</t>
  </si>
  <si>
    <t>+7 (8362) 52-02-07</t>
  </si>
  <si>
    <t>+7 (909) 367-88-65, +7 (906) 137-02-07</t>
  </si>
  <si>
    <t>21 Век</t>
  </si>
  <si>
    <t>+7 (8362) 45-08-00, +7 (8362) 45-07-09, +7 (8362) 42-87-50</t>
  </si>
  <si>
    <t>http://21vek12.ru/</t>
  </si>
  <si>
    <t>https://vk.com/tk21vek12</t>
  </si>
  <si>
    <t>47.892873 56.63853</t>
  </si>
  <si>
    <t>White Tiger Soft</t>
  </si>
  <si>
    <t>+7 (8362) 23-29-32</t>
  </si>
  <si>
    <t xml:space="preserve">hello@whitetigersoft.ru  </t>
  </si>
  <si>
    <t>http://whitetigersoft.ru/</t>
  </si>
  <si>
    <t>47.892197 56.625911</t>
  </si>
  <si>
    <t>Арт инструмент</t>
  </si>
  <si>
    <t>+7 (8362) 77-79-90</t>
  </si>
  <si>
    <t>Строительный магазин, Электро- и бензоинструмент</t>
  </si>
  <si>
    <t>+7 (8362) 42-29-48</t>
  </si>
  <si>
    <t>47.881747 56.640916</t>
  </si>
  <si>
    <t>47.969299 56.643454</t>
  </si>
  <si>
    <t>Начинаем рисовать</t>
  </si>
  <si>
    <t>+7 (8362) 90-95-09</t>
  </si>
  <si>
    <t>Applehelp.ru</t>
  </si>
  <si>
    <t>8 (800) 775-62-13</t>
  </si>
  <si>
    <t>+7 (988) 388-63-08, +7 (989) 262-88-88</t>
  </si>
  <si>
    <t>47.883912 56.638715</t>
  </si>
  <si>
    <t>Магазин мясной продукции</t>
  </si>
  <si>
    <t>ул. Дружбы, 81, Йошкар-Ола</t>
  </si>
  <si>
    <t>47.857132 56.651504</t>
  </si>
  <si>
    <t>Будьте красивы</t>
  </si>
  <si>
    <t>+7 (8362) 24-54-05</t>
  </si>
  <si>
    <t>47.833572 56.632215</t>
  </si>
  <si>
    <t>47.846475 56.642727</t>
  </si>
  <si>
    <t>47.831435 56.631669</t>
  </si>
  <si>
    <t>+7 (8362) 48-87-77</t>
  </si>
  <si>
    <t>47.916877 56.631285</t>
  </si>
  <si>
    <t>Yошка песошка</t>
  </si>
  <si>
    <t>+7 (960) 094-92-22</t>
  </si>
  <si>
    <t>Продажа, установка фаркопов для легковых автомобилей</t>
  </si>
  <si>
    <t>+7 (8362) 33-03-07, +7 (8362) 54-06-03</t>
  </si>
  <si>
    <t>http://vk.com/region12avto</t>
  </si>
  <si>
    <t>47.873495 56.622142</t>
  </si>
  <si>
    <t>Янус 12, склад</t>
  </si>
  <si>
    <t>Россия, Республика Марий Эл, Йошкар-Ола, 2-я Деповская улица</t>
  </si>
  <si>
    <t>47.874593 56.619285</t>
  </si>
  <si>
    <t>Фасад112</t>
  </si>
  <si>
    <t>+7 (8362) 45-75-70</t>
  </si>
  <si>
    <t>+7 (917) 709-47-53</t>
  </si>
  <si>
    <t xml:space="preserve">plastik325@gmail.com </t>
  </si>
  <si>
    <t>Алюминий, алюминиевые конструкции, Зимние сады, веранды, террасы, Фасады и фасадные системы</t>
  </si>
  <si>
    <t>Простор</t>
  </si>
  <si>
    <t>+7 (902) 745-75-66</t>
  </si>
  <si>
    <t>https://простордом.рф/</t>
  </si>
  <si>
    <t>пн-пт 09:00–18:00, перерыв 12:00–13:30</t>
  </si>
  <si>
    <t>Пищеблок</t>
  </si>
  <si>
    <t>47.877453 56.638575</t>
  </si>
  <si>
    <t>Центральный рынок</t>
  </si>
  <si>
    <t>47.886097 56.6329</t>
  </si>
  <si>
    <t>Индастро Билд</t>
  </si>
  <si>
    <t>+7 (920) 007-77-96</t>
  </si>
  <si>
    <t>http://indastrobuild.ru/</t>
  </si>
  <si>
    <t>Полимерные материалы, Строительные и отделочные работы, Сухие строительные смеси</t>
  </si>
  <si>
    <t>https://www.youtube.com/channel/UC52cCnDnGMDE7feqUG6NlXw/featured?view_as=subscriber</t>
  </si>
  <si>
    <t>http://instagram.com/indastro_build</t>
  </si>
  <si>
    <t>Курсы английского языка Start!</t>
  </si>
  <si>
    <t>Косметика</t>
  </si>
  <si>
    <t>47.8364 56.643481</t>
  </si>
  <si>
    <t>https://местопамяти.история.рф/objects/map?object_id=1189911</t>
  </si>
  <si>
    <t>47.8799 56.6357</t>
  </si>
  <si>
    <t>Печи для бани</t>
  </si>
  <si>
    <t>8 (800) 550-30-09</t>
  </si>
  <si>
    <t xml:space="preserve">kirov-pechi@yandex.ru </t>
  </si>
  <si>
    <t>47.867233 56.615075</t>
  </si>
  <si>
    <t>МегаИнструмент</t>
  </si>
  <si>
    <t>47.885491 56.635231</t>
  </si>
  <si>
    <t>Бум</t>
  </si>
  <si>
    <t>Бытовые услуги, Ремонт одежды</t>
  </si>
  <si>
    <t>47.87379 56.649608</t>
  </si>
  <si>
    <t>Автодоктор</t>
  </si>
  <si>
    <t>+7 (8362) 33-30-40</t>
  </si>
  <si>
    <t>https://автодоктор12.рф/</t>
  </si>
  <si>
    <t>ФотоYoshka</t>
  </si>
  <si>
    <t>+7 (963) 239-87-53</t>
  </si>
  <si>
    <t>Копировальный центр, Печать на футболках, Фотоуслуги</t>
  </si>
  <si>
    <t>пн-пт 09:00–18:00, перерыв 12:30–13:00</t>
  </si>
  <si>
    <t>https://vk.com/foto_yoshka</t>
  </si>
  <si>
    <t>https://www.instagram.com/foto_yoshka/</t>
  </si>
  <si>
    <t>47.887004 56.640285</t>
  </si>
  <si>
    <t>Дашенька</t>
  </si>
  <si>
    <t>47.895259 56.617179</t>
  </si>
  <si>
    <t>Интерьерные Поставки</t>
  </si>
  <si>
    <t>8 (800) 200-72-32</t>
  </si>
  <si>
    <t xml:space="preserve">sale@vrz24.ru, sale@intpos.ru </t>
  </si>
  <si>
    <t>https://joshkar-ola.intpos.ru/</t>
  </si>
  <si>
    <t>Изготовление и монтаж зеркал, Рекламная продукция, Товары для интерьера</t>
  </si>
  <si>
    <t>Керхер</t>
  </si>
  <si>
    <t>8 (800) 100-06-54, +7 (8362) 45-55-55, +7 (8362) 45-70-60</t>
  </si>
  <si>
    <t xml:space="preserve">karcher@kristofer.ru, info@ru.kaercher.com, almet2@karex.ru, arhangelsk@karex.ru, shop-balashiha@karex.ru  </t>
  </si>
  <si>
    <t>https://www.karcher.ru/ru, http://karcher.ru/, https://www.karcher.ru/ru/gde_kupit_karcher/kerkher-centry.html?filter%5B%5D=211</t>
  </si>
  <si>
    <t>Автомоечное оборудование, Клининговое оборудование и инвентарь</t>
  </si>
  <si>
    <t>вс 10:00–17:00</t>
  </si>
  <si>
    <t>https://vk.com/karcher.russia</t>
  </si>
  <si>
    <t>https://www.facebook.com/karcher.russia</t>
  </si>
  <si>
    <t>https://www.youtube.com/user/KarcherRussia</t>
  </si>
  <si>
    <t>https://www.instagram.com/karcher_russia</t>
  </si>
  <si>
    <t>Пряничный домик</t>
  </si>
  <si>
    <t>47.953522 56.628119</t>
  </si>
  <si>
    <t>+7 (8362) 36-20-45</t>
  </si>
  <si>
    <t>+7 (906) 139-17-17</t>
  </si>
  <si>
    <t>47.883409 56.638834</t>
  </si>
  <si>
    <t>Кафе восточной кухни</t>
  </si>
  <si>
    <t>Добрый Фруктовый</t>
  </si>
  <si>
    <t>Фото на документы</t>
  </si>
  <si>
    <t>47.833167 56.63681</t>
  </si>
  <si>
    <t>СГС Йошкар-Ола</t>
  </si>
  <si>
    <t>+7 (917) 713-79-59</t>
  </si>
  <si>
    <t>Окна ГОСТ</t>
  </si>
  <si>
    <t>+7 (987) 714-06-10</t>
  </si>
  <si>
    <t>Свежая выпечка</t>
  </si>
  <si>
    <t>+7 (8362) 45-72-10</t>
  </si>
  <si>
    <t>+7 (8362) 41-18-15</t>
  </si>
  <si>
    <t>47.938137 56.632773</t>
  </si>
  <si>
    <t>+7 (964) 861-62-11</t>
  </si>
  <si>
    <t>Детский магазин, Магазин для будущих мам</t>
  </si>
  <si>
    <t>МирБезДТП</t>
  </si>
  <si>
    <t>+7 (8362) 33-76-33</t>
  </si>
  <si>
    <t>47.829643 56.636733</t>
  </si>
  <si>
    <t>+7 (8362) 63-64-78</t>
  </si>
  <si>
    <t>47.833125 56.637346</t>
  </si>
  <si>
    <t>Тинькофф, платежный терминал</t>
  </si>
  <si>
    <t>ул. Яналова, 4Б, Йошкар-Ола</t>
  </si>
  <si>
    <t>47.883029 56.620895</t>
  </si>
  <si>
    <t>47.86869 56.639904</t>
  </si>
  <si>
    <t>47.891765 56.644942</t>
  </si>
  <si>
    <t>Homesteel</t>
  </si>
  <si>
    <t>+7 (999) 609-24-24</t>
  </si>
  <si>
    <t>Кровля и кровельные материалы, Металлические заборы и ограждения</t>
  </si>
  <si>
    <t>D I Style</t>
  </si>
  <si>
    <t>+7 (927) 884-19-16</t>
  </si>
  <si>
    <t>47.89457 56.640418</t>
  </si>
  <si>
    <t>ул. Маяковского, 26, Йошкар-Ола</t>
  </si>
  <si>
    <t>+7 (977) 800-55-19</t>
  </si>
  <si>
    <t>Автомобильные грузоперевозки, Логистическая компания</t>
  </si>
  <si>
    <t>47.899581 56.650221</t>
  </si>
  <si>
    <t>Эконом</t>
  </si>
  <si>
    <t>47.923983 56.634725</t>
  </si>
  <si>
    <t>Торговая компания Кухни Лорес</t>
  </si>
  <si>
    <t>+7 (902) 108-88-88</t>
  </si>
  <si>
    <t>Дизайн интерьеров, Мебель для кухни, Мебельная фурнитура и комплектующие</t>
  </si>
  <si>
    <t>Центр помощи при ДТП 517-517 Аварийный комиссар</t>
  </si>
  <si>
    <t xml:space="preserve">12@ava-avarkom.ru, 12@dtp12.ru, 970202@bk.ru  </t>
  </si>
  <si>
    <t>http://dtp12.ru/</t>
  </si>
  <si>
    <t>http://vk.com/avarijnyj_komissar</t>
  </si>
  <si>
    <t>47.900162 56.648962</t>
  </si>
  <si>
    <t>47.84049 56.631533</t>
  </si>
  <si>
    <t>Сбербанк России. Банкомат</t>
  </si>
  <si>
    <t>Химико-токсикологическая лаборатория</t>
  </si>
  <si>
    <t>ул. Дружбы, 91, Йошкар-Ола</t>
  </si>
  <si>
    <t>47.861151 56.652051</t>
  </si>
  <si>
    <t>Обувная мастерская Хрустальный башмачок</t>
  </si>
  <si>
    <t>ул. Гоголя, 14, Йошкар-Ола</t>
  </si>
  <si>
    <t>47.894198 56.630935</t>
  </si>
  <si>
    <t>47.934152 56.635453</t>
  </si>
  <si>
    <t>Мега Сервис</t>
  </si>
  <si>
    <t>47.849691 56.631733</t>
  </si>
  <si>
    <t>47.925824 56.634444</t>
  </si>
  <si>
    <t>47.87452 56.636624</t>
  </si>
  <si>
    <t>Национальная Наркология</t>
  </si>
  <si>
    <t>8 (800) 600-31-39</t>
  </si>
  <si>
    <t xml:space="preserve">narkology@bk.ru  </t>
  </si>
  <si>
    <t>https://joshkarola.narkology.info/</t>
  </si>
  <si>
    <t>https://vk.com/narkology_info</t>
  </si>
  <si>
    <t>Чисто12</t>
  </si>
  <si>
    <t>+7 (8362) 33-13-40</t>
  </si>
  <si>
    <t xml:space="preserve">chisto12@yandex.ru  </t>
  </si>
  <si>
    <t>http://chisto12.ru/</t>
  </si>
  <si>
    <t>Бытовые услуги, Клининговые услуги, Химчистка, Чистка ковров</t>
  </si>
  <si>
    <t>https://vk.com/chisto12</t>
  </si>
  <si>
    <t>https://www.instagram.com/chisto12.ru</t>
  </si>
  <si>
    <t>47.937697 56.638357</t>
  </si>
  <si>
    <t>Берлога</t>
  </si>
  <si>
    <t>ул. Прохорова, 14, Йошкар-Ола</t>
  </si>
  <si>
    <t>47.84281 56.636898</t>
  </si>
  <si>
    <t>Трансформаторная подстанция № 252</t>
  </si>
  <si>
    <t>Ленинский просп., 22, Йошкар-Ола</t>
  </si>
  <si>
    <t>47.907223 56.628009</t>
  </si>
  <si>
    <t>47.870902 56.645906</t>
  </si>
  <si>
    <t>Финансовый сервис</t>
  </si>
  <si>
    <t>+7 (8362) 39-10-03</t>
  </si>
  <si>
    <t xml:space="preserve">finsave@list.ru, finservice012@yandex.ru </t>
  </si>
  <si>
    <t>Кредитный брокер, Финансовый консалтинг</t>
  </si>
  <si>
    <t>47.923352 56.617361</t>
  </si>
  <si>
    <t>47.863239 56.649605</t>
  </si>
  <si>
    <t>Козырь'Ок</t>
  </si>
  <si>
    <t>Японика</t>
  </si>
  <si>
    <t>8 (800) 700-18-50</t>
  </si>
  <si>
    <t xml:space="preserve">zakaz@jap-market.ru  </t>
  </si>
  <si>
    <t>https://jap-market.ru/contacts/contacts_joshkar_ola.php</t>
  </si>
  <si>
    <t>https://vk.com/jap_market</t>
  </si>
  <si>
    <t>https://www.instagram.com/jap_market/?hl=ru</t>
  </si>
  <si>
    <t>Массажные кресла Sensa</t>
  </si>
  <si>
    <t>8 (800) 555-06-69, +7 (8362) 45-87-66</t>
  </si>
  <si>
    <t xml:space="preserve">info@sensa-massage.ru  </t>
  </si>
  <si>
    <t>https://www.sensa-massage.ru/</t>
  </si>
  <si>
    <t>Массажное оборудование, Пункт выдачи, Шоу-рум</t>
  </si>
  <si>
    <t>Хлебозавод № 1Киоск</t>
  </si>
  <si>
    <t>+7 (8362) 33-74-26</t>
  </si>
  <si>
    <t>Трогательный зоопарк Томас</t>
  </si>
  <si>
    <t>11, Архангельская слобода, Йошкар-Ола</t>
  </si>
  <si>
    <t>+7 (8362) 33-63-21</t>
  </si>
  <si>
    <t>Зоопарк</t>
  </si>
  <si>
    <t>https://vk.com/zootomas_cafe</t>
  </si>
  <si>
    <t>https://www.instagram.com/zoo_tomas</t>
  </si>
  <si>
    <t>47.902794 56.633058</t>
  </si>
  <si>
    <t>Запчасти</t>
  </si>
  <si>
    <t>+7 (8362) 45-68-21</t>
  </si>
  <si>
    <t>+7 (960) 090-17-30</t>
  </si>
  <si>
    <t>Производство и оптовая продажа автозапчастей, Ремонт сельскохозяйственной техники, Сельскохозяйственная техника, Смазочные материалы</t>
  </si>
  <si>
    <t>Зоотовары</t>
  </si>
  <si>
    <t>47.924706 56.639836</t>
  </si>
  <si>
    <t>Profi car service</t>
  </si>
  <si>
    <t>+7 (8362) 25-56-66, +7 (8362) 97-33-33</t>
  </si>
  <si>
    <t>Автосервис, автотехцентр, Магазин автозапчастей и автотоваров, Ремонт двигателей, Шиномонтаж</t>
  </si>
  <si>
    <t>47.90327 56.615913</t>
  </si>
  <si>
    <t>ул. Гончарова, 16, Йошкар-Ола</t>
  </si>
  <si>
    <t>47.88634 56.616159</t>
  </si>
  <si>
    <t>ЗаАзяково</t>
  </si>
  <si>
    <t>ул. Анциферова, 37, Йошкар-Ола</t>
  </si>
  <si>
    <t>+7 (917) 715-57-64</t>
  </si>
  <si>
    <t>47.866829 56.642307</t>
  </si>
  <si>
    <t>Сашенька и Машенька</t>
  </si>
  <si>
    <t>Формула рекламы</t>
  </si>
  <si>
    <t>+7 (927) 681-50-14</t>
  </si>
  <si>
    <t>47.856565 56.643034</t>
  </si>
  <si>
    <t>Оздоровительный центр, Спортивный, тренажерный зал, Фитнес-клуб</t>
  </si>
  <si>
    <t>47.873432 56.633823</t>
  </si>
  <si>
    <t>+7 (8362) 45-26-44</t>
  </si>
  <si>
    <t>San-ola.ru</t>
  </si>
  <si>
    <t>+7 (8362) 34-70-40</t>
  </si>
  <si>
    <t xml:space="preserve">info@kupisant.ru  </t>
  </si>
  <si>
    <t>https://san-ola.ru/</t>
  </si>
  <si>
    <t>Интернет-магазин, Магазин сантехники, Пункт выдачи</t>
  </si>
  <si>
    <t xml:space="preserve">14370afcdc17429f9e418d5ffbd0334a@sentry.wixpress.com, wixofday@wix.com, tekendo@mail.ru  </t>
  </si>
  <si>
    <t>https://vk.com/tekendo</t>
  </si>
  <si>
    <t>Nailstudio</t>
  </si>
  <si>
    <t>+7 (999) 609-83-90</t>
  </si>
  <si>
    <t>ежедневно, 11:00–19:30</t>
  </si>
  <si>
    <t>http://vk.com/club43625333</t>
  </si>
  <si>
    <t>Улица Якова Эшпая, 168а</t>
  </si>
  <si>
    <t>ул. Якова Эшпая, 168А, Йошкар-Ола</t>
  </si>
  <si>
    <t>47.879279 56.634857</t>
  </si>
  <si>
    <t>Сай п?лек</t>
  </si>
  <si>
    <t>47.91794 56.629427</t>
  </si>
  <si>
    <t>47.883986 56.632867</t>
  </si>
  <si>
    <t>Ice</t>
  </si>
  <si>
    <t>Советская ул., 133, Йошкар-Ола, Россия</t>
  </si>
  <si>
    <t>+7 (962) 588-24-55, +7 (909) 369-85-83</t>
  </si>
  <si>
    <t xml:space="preserve">info@ice-cleans.ru  </t>
  </si>
  <si>
    <t>http://ice-cleans.ru/</t>
  </si>
  <si>
    <t>https://vk.com/iceclean12</t>
  </si>
  <si>
    <t>https://www.instagram.com/ice_clean_12</t>
  </si>
  <si>
    <t>47.897277 56.634187</t>
  </si>
  <si>
    <t>Kredo</t>
  </si>
  <si>
    <t>Аскона</t>
  </si>
  <si>
    <t>+7 (8362) 41-76-75</t>
  </si>
  <si>
    <t>Матрасы, Мебель для спальни, Товары для дома</t>
  </si>
  <si>
    <t>https://www.instagram.com/askona_yoshkar_ola</t>
  </si>
  <si>
    <t>47.893895 56.637887</t>
  </si>
  <si>
    <t>Марийская государственная филармония имени Якова Эшпая</t>
  </si>
  <si>
    <t>+7 (8362) 42-29-39, +7 (8362) 42-19-10, +7 (8362) 45-38-97, +7 (8362) 42-51-83, +7 (8362) 42-17-90, +7 (8362) 78-13-78</t>
  </si>
  <si>
    <t>+7 (8362) 45-38-97</t>
  </si>
  <si>
    <t xml:space="preserve">filmariel@mail.ru, asrechkin@gmail.com  </t>
  </si>
  <si>
    <t>http://filmariel.ru/</t>
  </si>
  <si>
    <t>Филармония</t>
  </si>
  <si>
    <t>пн-пт 08:30–17:30, перерыв 12:30–13:30; сб 08:30–16:30, перерыв 12:30–13:30</t>
  </si>
  <si>
    <t>http://vk.com/filmariel</t>
  </si>
  <si>
    <t>47.889095 56.638285</t>
  </si>
  <si>
    <t>+7 (8362) 48-40-40, +7 (8362) 45-52-62</t>
  </si>
  <si>
    <t xml:space="preserve">info@stolica-12.ru  </t>
  </si>
  <si>
    <t>http://stolica-12.ru/</t>
  </si>
  <si>
    <t>Ресо</t>
  </si>
  <si>
    <t>47.917759 56.641236</t>
  </si>
  <si>
    <t>Садовод</t>
  </si>
  <si>
    <t>Управляющая компания наш лик на улице Лебедева</t>
  </si>
  <si>
    <t>Центр упаковки и оформления подарков</t>
  </si>
  <si>
    <t>47.906476 56.626863</t>
  </si>
  <si>
    <t>Golden Kids</t>
  </si>
  <si>
    <t>+7 (8362) 34-77-80</t>
  </si>
  <si>
    <t xml:space="preserve">gk120@ya.ru, gk120s@ya.ru, gk120@yandex.ru  </t>
  </si>
  <si>
    <t>http://www.gk12.ru/</t>
  </si>
  <si>
    <t>https://vk.com/golden.kids</t>
  </si>
  <si>
    <t>47.908683 56.625862</t>
  </si>
  <si>
    <t>Мастерская тела и духа</t>
  </si>
  <si>
    <t>+7 (987) 729-02-12</t>
  </si>
  <si>
    <t>47.873561 56.647024</t>
  </si>
  <si>
    <t>Эксклюзивные трикотажные ткани</t>
  </si>
  <si>
    <t>ул. Дмитрия Средина, 7, п. г. т. Медведево</t>
  </si>
  <si>
    <t>+7 (902) 736-87-67</t>
  </si>
  <si>
    <t>Ателье по пошиву одежды, Магазин ткани, Производство и продажа тканей</t>
  </si>
  <si>
    <t>https://vk.com/yola_tkani</t>
  </si>
  <si>
    <t>https://www.instagram.com/t.beshkareva</t>
  </si>
  <si>
    <t>Орматек</t>
  </si>
  <si>
    <t>8 (800) 333-37-37</t>
  </si>
  <si>
    <t>+7 (917) 704-73-74, +7 (917) 704-73-95</t>
  </si>
  <si>
    <t xml:space="preserve">info@ormatek.com </t>
  </si>
  <si>
    <t>https://ormatek.com/, https://www.pinterest.ru/ormatek/</t>
  </si>
  <si>
    <t>https://vk.com/ormatek_russia</t>
  </si>
  <si>
    <t>https://ok.ru/group/53381059510444</t>
  </si>
  <si>
    <t>https://www.facebook.com/ormatek/</t>
  </si>
  <si>
    <t>https://www.youtube.com/user/Ormatras</t>
  </si>
  <si>
    <t>https://www.instagram.com/ormatek_russia/</t>
  </si>
  <si>
    <t>47.833315 56.641872</t>
  </si>
  <si>
    <t>Спанди</t>
  </si>
  <si>
    <t>+7 (8362) 51-42-02</t>
  </si>
  <si>
    <t>+7 (964) 861-42-02</t>
  </si>
  <si>
    <t xml:space="preserve">info@spandy.ru  </t>
  </si>
  <si>
    <t>http://spandy.ru/</t>
  </si>
  <si>
    <t>пн 15:00–18:00; вт-чт 10:00–18:00; пт 10:00–15:00; сб 12:00–14:00</t>
  </si>
  <si>
    <t>https://vk.com/spandyru</t>
  </si>
  <si>
    <t>+7 (8362) 55-33-50, +7 (8362) 55-33-40, +7 (8362) 52-42-13</t>
  </si>
  <si>
    <t>Автоматическая телефонная станция</t>
  </si>
  <si>
    <t>Телефонная связь</t>
  </si>
  <si>
    <t>Городская телефонная сеть</t>
  </si>
  <si>
    <t>47.919854 56.631991</t>
  </si>
  <si>
    <t>Оптово-розничная база Гидропласт</t>
  </si>
  <si>
    <t>+7 (8362) 73-02-02, +7 (8362) 73-02-05</t>
  </si>
  <si>
    <t>+7 (8362) 73-02-05</t>
  </si>
  <si>
    <t xml:space="preserve">gidroplast@list.ru  </t>
  </si>
  <si>
    <t>https://gidroplast12.ru/</t>
  </si>
  <si>
    <t>Водопроводное оборудование, Водосчетчики, газосчетчики, теплосчетчики, Оптовый магазин, Отопительное оборудование и системы, Строительный магазин</t>
  </si>
  <si>
    <t>47.837827 56.632789</t>
  </si>
  <si>
    <t>Шлифовка ГБЦ</t>
  </si>
  <si>
    <t>+7 (937) 111-32-04</t>
  </si>
  <si>
    <t>Бытовые услуги, Ремонт двигателей</t>
  </si>
  <si>
    <t>47.84965 56.637844</t>
  </si>
  <si>
    <t>47.864446 56.64664</t>
  </si>
  <si>
    <t>Детский сад № 18 Изюминка</t>
  </si>
  <si>
    <t>ул. Лазо, 18, Йошкар-Ола</t>
  </si>
  <si>
    <t>+7 (8362) 72-45-63, +7 (8362) 56-64-36, +7 (8362) 55-64-36</t>
  </si>
  <si>
    <t>+7 (8362) 72-24-60</t>
  </si>
  <si>
    <t xml:space="preserve">izuminka18_yola@mail.ru, uoa-yoshkar-ola@yandex.ru  </t>
  </si>
  <si>
    <t>http://edu.mari.ru/mouo-yoshkarola/dou18</t>
  </si>
  <si>
    <t>47.876807 56.629829</t>
  </si>
  <si>
    <t>Земля сварщика</t>
  </si>
  <si>
    <t>+7 (8362) 48-33-34, +7 (8352) 49-09-09</t>
  </si>
  <si>
    <t xml:space="preserve">svarka-21@yandex.ru  </t>
  </si>
  <si>
    <t>http://svarnoy-21.ru/</t>
  </si>
  <si>
    <t>Инструментальная промышленность, Сварочное оборудование и материалы, Строительный инструмент</t>
  </si>
  <si>
    <t>Димавто</t>
  </si>
  <si>
    <t>47.840411 56.631508</t>
  </si>
  <si>
    <t>Этажи</t>
  </si>
  <si>
    <t>8 (800) 510-25-10, +7 (8362) 33-55-88</t>
  </si>
  <si>
    <t xml:space="preserve">89129400999@mail.ru, info@ukhta.etagi.com  </t>
  </si>
  <si>
    <t>https://yoshkar-ola.etagi.com/</t>
  </si>
  <si>
    <t>https://vk.com/etagi.realty</t>
  </si>
  <si>
    <t>https://ok.ru/etagi.realty</t>
  </si>
  <si>
    <t>https://www.facebook.com/etagi.realty/</t>
  </si>
  <si>
    <t>https://www.youtube.com/channel/UCSU8YEYiorIWOHodjwQ-LTg</t>
  </si>
  <si>
    <t>https://www.instagram.com/etagi_com/</t>
  </si>
  <si>
    <t>Zolla</t>
  </si>
  <si>
    <t>+7 (8362) 30-44-05</t>
  </si>
  <si>
    <t xml:space="preserve">job@zolla.ru </t>
  </si>
  <si>
    <t>http://www.zolla.com/</t>
  </si>
  <si>
    <t>https://vk.com/zolla</t>
  </si>
  <si>
    <t>https://ok.ru/zollafashion</t>
  </si>
  <si>
    <t>https://www.facebook.com/zollafashion</t>
  </si>
  <si>
    <t>https://www.youtube.com/user/ZollaFashion</t>
  </si>
  <si>
    <t>https://www.instagram.com/zollaofficial/</t>
  </si>
  <si>
    <t>47.929675 56.628147</t>
  </si>
  <si>
    <t>Кот рядом</t>
  </si>
  <si>
    <t>+7 (927) 872-36-74</t>
  </si>
  <si>
    <t>47.888381 56.631304</t>
  </si>
  <si>
    <t>+7 (8362) 99-89-00, +7 (8362) 46-99-14</t>
  </si>
  <si>
    <t>Трансформаторная подстанция № 416</t>
  </si>
  <si>
    <t>47.903499 56.641924</t>
  </si>
  <si>
    <t>Kvadromax</t>
  </si>
  <si>
    <t>https://yoshkar-ola.kvadromax.ru/</t>
  </si>
  <si>
    <t>https://vk.com/kvadromaxx</t>
  </si>
  <si>
    <t>https://ok.ru/group/58396255453245</t>
  </si>
  <si>
    <t>https://www.youtube.com/channel/UCOVlHjvwAazQjJLxhVs0Epw</t>
  </si>
  <si>
    <t>https://www.instagram.com/kvadromax_ru/</t>
  </si>
  <si>
    <t>Комиссариат 112</t>
  </si>
  <si>
    <t>+7 (8362) 90-29-02</t>
  </si>
  <si>
    <t xml:space="preserve">komissariat112@mail.ru  </t>
  </si>
  <si>
    <t>http://komissariat112.ru/</t>
  </si>
  <si>
    <t>Аварийная служба, Автоэкспертиза, оценка автомобилей, Юридические услуги</t>
  </si>
  <si>
    <t>пн-пт круглосуточно; сб,вс 09:00–18:00</t>
  </si>
  <si>
    <t>47.897677 56.650046</t>
  </si>
  <si>
    <t>Mary Kay</t>
  </si>
  <si>
    <t>47.880264 56.626271</t>
  </si>
  <si>
    <t>Власть над бизнесом</t>
  </si>
  <si>
    <t>+7 (909) 367-81-11</t>
  </si>
  <si>
    <t>http://oksanalikhacheva.ru/</t>
  </si>
  <si>
    <t>ГК Восточный</t>
  </si>
  <si>
    <t>47.961718 56.635331</t>
  </si>
  <si>
    <t>Волшебная кузница</t>
  </si>
  <si>
    <t>+7 (927) 885-40-20</t>
  </si>
  <si>
    <t>Школа</t>
  </si>
  <si>
    <t>Лесная сказка</t>
  </si>
  <si>
    <t>+7 (8362) 56-60-02</t>
  </si>
  <si>
    <t>вт 09:30–17:30; пт 09:30–13:30</t>
  </si>
  <si>
    <t>47.935083 56.635078</t>
  </si>
  <si>
    <t>+7 (987) 720-59-95</t>
  </si>
  <si>
    <t>Госзаказ в РФ</t>
  </si>
  <si>
    <t>+7 (904) 000-98-30</t>
  </si>
  <si>
    <t xml:space="preserve">89040009830@ya.ru, 89040009830@goszakazvrf.ru  </t>
  </si>
  <si>
    <t>https://goszakazvrf.ru/obuchenie-44-fz-i-223-fz-v-joshkar-ole/</t>
  </si>
  <si>
    <t>Дана</t>
  </si>
  <si>
    <t>8 (800) 775-48-08</t>
  </si>
  <si>
    <t xml:space="preserve">info@dana.com.ru, ooo.dana@mail.ru  </t>
  </si>
  <si>
    <t>http://dana.com.ru/</t>
  </si>
  <si>
    <t>Мебель для кухни, Мебель на заказ, Мебельная фурнитура и комплектующие</t>
  </si>
  <si>
    <t>47.894757 56.632842</t>
  </si>
  <si>
    <t>Магазин пряжи</t>
  </si>
  <si>
    <t>+7 (987) 718-86-91</t>
  </si>
  <si>
    <t>47.83826 56.641617</t>
  </si>
  <si>
    <t>+7 (927) 878-22-23, +7 (906) 137-76-79</t>
  </si>
  <si>
    <t>Янус 12</t>
  </si>
  <si>
    <t>Магазин мяса, колбас, Магазин продуктов, Продукты глубокой заморозки</t>
  </si>
  <si>
    <t>Dohome</t>
  </si>
  <si>
    <t>+7 (8362) 34-70-45</t>
  </si>
  <si>
    <t>https://yoshkar-ola.dohome.ru/</t>
  </si>
  <si>
    <t>Чайбери</t>
  </si>
  <si>
    <t>+7 (902) 106-10-10</t>
  </si>
  <si>
    <t>Кондитерская, Магазин посуды, Магазин чая и кофе</t>
  </si>
  <si>
    <t>https://vk.com/chayberi.yoshkarola</t>
  </si>
  <si>
    <t>https://instagram.com/chayberi.yoshkarola</t>
  </si>
  <si>
    <t>47.90648 56.627531</t>
  </si>
  <si>
    <t>47.837089 56.640352</t>
  </si>
  <si>
    <t>КапиталЪ</t>
  </si>
  <si>
    <t xml:space="preserve">lesya940344@yandex.ru  </t>
  </si>
  <si>
    <t>http://kapital-nedvigimost.ru/</t>
  </si>
  <si>
    <t>https://vk.com/kapital12</t>
  </si>
  <si>
    <t>https://www.instagram.com/an_kapital12/</t>
  </si>
  <si>
    <t>47.897387 56.634393</t>
  </si>
  <si>
    <t>47.835319 56.644961</t>
  </si>
  <si>
    <t>пн-пт 10:00–21:00; сб,вс 10:00–20:00</t>
  </si>
  <si>
    <t>47.865516 56.645839</t>
  </si>
  <si>
    <t>Общежитие № 7 ПГТУ</t>
  </si>
  <si>
    <t>+7 (8362) 68-60-81</t>
  </si>
  <si>
    <t>47.892835 56.626381</t>
  </si>
  <si>
    <t>Евроокна Спас</t>
  </si>
  <si>
    <t>+7 (961) 334-58-51</t>
  </si>
  <si>
    <t xml:space="preserve">info@evrookna-spas.ru  </t>
  </si>
  <si>
    <t>https://evrookna-spas.ru/</t>
  </si>
  <si>
    <t>Двери, Окна, Производственное предприятие</t>
  </si>
  <si>
    <t>47.828884 56.620453</t>
  </si>
  <si>
    <t>Сиеста</t>
  </si>
  <si>
    <t>+7 (902) 102-19-65</t>
  </si>
  <si>
    <t>Kraiv</t>
  </si>
  <si>
    <t>+7 (8362) 30-61-81</t>
  </si>
  <si>
    <t xml:space="preserve">yola@lodki-volga.ru  </t>
  </si>
  <si>
    <t>https://kraiv.ru/</t>
  </si>
  <si>
    <t>Вездеходы, гидроциклы, снегоходы, Веломагазин, Магазин электротранспорта</t>
  </si>
  <si>
    <t>https://vk.com/kraiv</t>
  </si>
  <si>
    <t>+7 (909) 369-78-04</t>
  </si>
  <si>
    <t xml:space="preserve">elektrik12region@mail.ru  </t>
  </si>
  <si>
    <t>https://elektro12.ru/</t>
  </si>
  <si>
    <t>Ремонт электрооборудования, Электромонтажные работы</t>
  </si>
  <si>
    <t>47.828602 56.633549</t>
  </si>
  <si>
    <t>Сталь-Стиль</t>
  </si>
  <si>
    <t>Церковь Святого Креста Евангелическо-лютеранской церкви Ингрии</t>
  </si>
  <si>
    <t>+7 (8362) 73-42-00</t>
  </si>
  <si>
    <t>пн-чт 09:00–19:00; пт 17:00–19:00</t>
  </si>
  <si>
    <t>47.853658 56.633786</t>
  </si>
  <si>
    <t>47.824906 56.633276</t>
  </si>
  <si>
    <t>Евро Стенд</t>
  </si>
  <si>
    <t>8 (800) 250-45-65</t>
  </si>
  <si>
    <t xml:space="preserve">zakaz@euro-stand.net, info@advantshop.ru  </t>
  </si>
  <si>
    <t>https://euro-stand.net/</t>
  </si>
  <si>
    <t>Автосервисное и гаражное оборудование, Гидравлическое и пневматическое оборудование, Компрессоры и компрессорное оборудование</t>
  </si>
  <si>
    <t>https://vk.com/eurostand</t>
  </si>
  <si>
    <t>https://www.youtube.com/channel/UCyRK-8s9Nr2jYS8qdH5h9MQ?view_as=subscriber</t>
  </si>
  <si>
    <t>https://www.instagram.com/eurostand/</t>
  </si>
  <si>
    <t>Бьютиков</t>
  </si>
  <si>
    <t>https://vk.com/beautycov</t>
  </si>
  <si>
    <t>https://facebook.com/beautycov</t>
  </si>
  <si>
    <t>https://instagram.com/beautycov</t>
  </si>
  <si>
    <t>47.835739 56.643721</t>
  </si>
  <si>
    <t>Арабика</t>
  </si>
  <si>
    <t>ул. Льва Толстого, 60, Йошкар-Ола</t>
  </si>
  <si>
    <t>+7 (8362) 33-02-10</t>
  </si>
  <si>
    <t>+7 (927) 883-02-10</t>
  </si>
  <si>
    <t xml:space="preserve">arabica12@bk.ru  </t>
  </si>
  <si>
    <t>http://arabica.business.site/</t>
  </si>
  <si>
    <t>https://vk.com/arabica12</t>
  </si>
  <si>
    <t>47.898911 56.647066</t>
  </si>
  <si>
    <t>47.935945 56.637635</t>
  </si>
  <si>
    <t>47.902162 56.640312</t>
  </si>
  <si>
    <t>Smart Service</t>
  </si>
  <si>
    <t>+7 (8362) 35-65-95</t>
  </si>
  <si>
    <t>+7 (962) 588-65-95</t>
  </si>
  <si>
    <t>https://smartservice12.ru/</t>
  </si>
  <si>
    <t>https://vk.com/s_service12</t>
  </si>
  <si>
    <t>2ГИС</t>
  </si>
  <si>
    <t>8 (800) 200-36-00, +7 (8362) 34-74-75</t>
  </si>
  <si>
    <t xml:space="preserve">dev@2gis.com, support@2gis.ru, inf@barnaul.2gis.ru, al.kolpakov@2gis.ru, d.donov@2gis.ru  </t>
  </si>
  <si>
    <t>https://2gis.ru/</t>
  </si>
  <si>
    <t>https://vk.com/2gis</t>
  </si>
  <si>
    <t>http://twitter.com/2gis</t>
  </si>
  <si>
    <t>https://www.facebook.com/2GISRussia</t>
  </si>
  <si>
    <t>https://www.youtube.com/user/2GISvideo</t>
  </si>
  <si>
    <t>https://www.instagram.com/2gis</t>
  </si>
  <si>
    <t>47.888484 56.632826</t>
  </si>
  <si>
    <t>Покраска автомобилей</t>
  </si>
  <si>
    <t>ул. Карла Маркса, 131АК1, Йошкар-Ола</t>
  </si>
  <si>
    <t>+7 (8362) 99-17-99</t>
  </si>
  <si>
    <t>47.887041 56.612023</t>
  </si>
  <si>
    <t>АСЦ Мидас</t>
  </si>
  <si>
    <t>+7 (8362) 45-73-68</t>
  </si>
  <si>
    <t xml:space="preserve">midas5@yandex.ru </t>
  </si>
  <si>
    <t>http://asc-midas.ru/</t>
  </si>
  <si>
    <t>Бытовые услуги, Магазин бытовой техники, Ремонт бытовой техники</t>
  </si>
  <si>
    <t>http://vk.com/club146500649</t>
  </si>
  <si>
    <t>Марийский государственный университет Электроэнергетический факультет</t>
  </si>
  <si>
    <t>Магазин выпечки</t>
  </si>
  <si>
    <t>47.896033 56.645232</t>
  </si>
  <si>
    <t>Воротный центр</t>
  </si>
  <si>
    <t>47.914835 56.635965</t>
  </si>
  <si>
    <t>Быстрое питание, Доставка еды и обедов, Кафе, Магазин кулинарии, Столовая</t>
  </si>
  <si>
    <t>47.895167 56.649773</t>
  </si>
  <si>
    <t>MirVR Service</t>
  </si>
  <si>
    <t>+7 (964) 864-23-45</t>
  </si>
  <si>
    <t>https://mirvrservice.ru/</t>
  </si>
  <si>
    <t>Игровые приставки, Ремонт бытовой техники</t>
  </si>
  <si>
    <t>47.897252 56.633856</t>
  </si>
  <si>
    <t>47.935858 56.636935</t>
  </si>
  <si>
    <t>Thepoisonpiercing</t>
  </si>
  <si>
    <t>+7 (917) 705-14-88</t>
  </si>
  <si>
    <t>Пирсинг-салон, Тату-салон</t>
  </si>
  <si>
    <t>https://www.instagram.com/thepoisonpiercing</t>
  </si>
  <si>
    <t>ЭкоДом</t>
  </si>
  <si>
    <t>47.849533 56.62508</t>
  </si>
  <si>
    <t>+7 (8362) 31-93-49</t>
  </si>
  <si>
    <t>пн-пт 09:00–17:00; сб 08:00–12:00</t>
  </si>
  <si>
    <t>47.90198 56.616774</t>
  </si>
  <si>
    <t>Связьстрой-4</t>
  </si>
  <si>
    <t>47.84732 56.663939</t>
  </si>
  <si>
    <t>8 (800) 333-07-96, +7 (8362) 45-05-35, +7 (8362) 42-37-55</t>
  </si>
  <si>
    <t xml:space="preserve">kirov1@techprom.ru  </t>
  </si>
  <si>
    <t>https://www.techprom.ru/</t>
  </si>
  <si>
    <t>https://vk.com/techprom</t>
  </si>
  <si>
    <t>http://facebook.com/techprom</t>
  </si>
  <si>
    <t>http://instagram.com/techprom_ru</t>
  </si>
  <si>
    <t>47.885647 56.637628</t>
  </si>
  <si>
    <t>Южный пляж</t>
  </si>
  <si>
    <t>47.908276 56.61934</t>
  </si>
  <si>
    <t>Геогрунт</t>
  </si>
  <si>
    <t>+7 (977) 714-42-00</t>
  </si>
  <si>
    <t xml:space="preserve">info@geogrunt.ru </t>
  </si>
  <si>
    <t>Апартаменты-2 на Воинов Интернационалистов 34</t>
  </si>
  <si>
    <t>47.91711 56.63663</t>
  </si>
  <si>
    <t>Детский сад № 54 г. Йошкар-олы Тёплые Ладошки</t>
  </si>
  <si>
    <t>+7 (8362) 64-19-71</t>
  </si>
  <si>
    <t>47.904411 56.617327</t>
  </si>
  <si>
    <t>ФГБОУ ВО МарГУ Корпус Д</t>
  </si>
  <si>
    <t>+7 (8362) 68-79-23, +7 (8362) 68-79-42</t>
  </si>
  <si>
    <t>пн-пт 08:00–20:00, перерыв 12:00–13:00</t>
  </si>
  <si>
    <t>47.876879 56.642595</t>
  </si>
  <si>
    <t>СвитАртХаус Всё для кондитеров</t>
  </si>
  <si>
    <t>+7 (960) 091-47-34, +7 (967) 757-45-23</t>
  </si>
  <si>
    <t xml:space="preserve">shop@sweetarthouse.ru, sweethouse12@mail.ru  </t>
  </si>
  <si>
    <t>https://sweetarthouse.ru/</t>
  </si>
  <si>
    <t>Магазин кулинарии, Магазин продуктов, Товары для кондитеров</t>
  </si>
  <si>
    <t>https://vk.com/sweetarthouse12</t>
  </si>
  <si>
    <t>https://www.instagram.com/sweetarthouse</t>
  </si>
  <si>
    <t>47.914905 56.63611</t>
  </si>
  <si>
    <t>Рекламный центр Витрина</t>
  </si>
  <si>
    <t>+7 (8362) 42-31-31</t>
  </si>
  <si>
    <t>Империал</t>
  </si>
  <si>
    <t>47.958023 56.650694</t>
  </si>
  <si>
    <t>Свой стиль</t>
  </si>
  <si>
    <t>Рыболов Поволжья</t>
  </si>
  <si>
    <t>пн-пт 08:00–19:00; сб 09:00–17:00; вс 09:00–15:00</t>
  </si>
  <si>
    <t>47.923999 56.634402</t>
  </si>
  <si>
    <t>Деко</t>
  </si>
  <si>
    <t>47.895167 56.631415</t>
  </si>
  <si>
    <t>Глонасс-Ойл</t>
  </si>
  <si>
    <t>пн-сб 06:00–23:00; вс 06:00–20:30</t>
  </si>
  <si>
    <t>47.8386 56.6318</t>
  </si>
  <si>
    <t>47.873814 56.636404</t>
  </si>
  <si>
    <t>Калейдоскоп подарков</t>
  </si>
  <si>
    <t>ул. Машиностроителей, 6А, Йошкар-Ола</t>
  </si>
  <si>
    <t>https://vk.com/kaledoskopola</t>
  </si>
  <si>
    <t>47.873431 56.647944</t>
  </si>
  <si>
    <t>ул. Карла Маркса, 109В, Йошкар-Ола</t>
  </si>
  <si>
    <t>сб 14:00–15:00; вс 11:00–12:00</t>
  </si>
  <si>
    <t>47.891398 56.622221</t>
  </si>
  <si>
    <t>47.889777 56.646359</t>
  </si>
  <si>
    <t>Россия, Республика Марий Эл, Йошкар-Ола, микрорайон Интеграл</t>
  </si>
  <si>
    <t>47.847597 56.628852</t>
  </si>
  <si>
    <t>Калипсо</t>
  </si>
  <si>
    <t>47.907674 56.63121</t>
  </si>
  <si>
    <t>47.92904 56.627846</t>
  </si>
  <si>
    <t>Ластик</t>
  </si>
  <si>
    <t>47.924023 56.634634</t>
  </si>
  <si>
    <t>+7 (8362) 68-79-33, +7 (8362) 68-79-00</t>
  </si>
  <si>
    <t>47.877487 56.643735</t>
  </si>
  <si>
    <t>Деповская ул., 2, Йошкар-Ола</t>
  </si>
  <si>
    <t>+7 (8362) 28-49-00</t>
  </si>
  <si>
    <t>Автосервис, автотехцентр, Продажа и ремонт автобусов</t>
  </si>
  <si>
    <t>47.879917 56.618547</t>
  </si>
  <si>
    <t>ООО Упаковка для бизнеса</t>
  </si>
  <si>
    <t>47.895751 56.616751</t>
  </si>
  <si>
    <t>47.92886 56.631145</t>
  </si>
  <si>
    <t>+7 (8362) 65-55-68</t>
  </si>
  <si>
    <t>47.917702 56.627421</t>
  </si>
  <si>
    <t>Оптима-М</t>
  </si>
  <si>
    <t>+7 (964) 862-63-37</t>
  </si>
  <si>
    <t>Краски Армис+</t>
  </si>
  <si>
    <t>47.858476 56.62098</t>
  </si>
  <si>
    <t>Эталон-Мед</t>
  </si>
  <si>
    <t>Театр-студия в старом доме</t>
  </si>
  <si>
    <t xml:space="preserve">balyaeva87@mail.ru, vozvrat.biletov@yandex.ru  </t>
  </si>
  <si>
    <t>https://vk.com/vstaromdome</t>
  </si>
  <si>
    <t>Главное экспертное бюро</t>
  </si>
  <si>
    <t>+7 (8362) 33-22-03</t>
  </si>
  <si>
    <t>+7 (927) 883-22-03</t>
  </si>
  <si>
    <t>http://гэб12.рф/</t>
  </si>
  <si>
    <t>Автоэкспертиза, оценка автомобилей, Оценочная компания, Строительная экспертиза и технадзор, Экспертиза</t>
  </si>
  <si>
    <t>К-Концерт</t>
  </si>
  <si>
    <t>+7 (8362) 97-08-07, +7 (8362) 38-55-95</t>
  </si>
  <si>
    <t>+7 (937) 116-99-55</t>
  </si>
  <si>
    <t xml:space="preserve">smm@kkoncert.ru  </t>
  </si>
  <si>
    <t>http://www.kkoncert.ru/</t>
  </si>
  <si>
    <t>https://vk.com/kkoncert</t>
  </si>
  <si>
    <t>http://facebook.com/kkoncert.ru</t>
  </si>
  <si>
    <t>https://www.instagram.com/kkoncert</t>
  </si>
  <si>
    <t>47.861672 56.652358</t>
  </si>
  <si>
    <t>Антарес</t>
  </si>
  <si>
    <t>+7 (8362) 36-08-36</t>
  </si>
  <si>
    <t>вт,ср 12:00–16:00</t>
  </si>
  <si>
    <t>VW12</t>
  </si>
  <si>
    <t>+7 (8362) 34-74-20</t>
  </si>
  <si>
    <t xml:space="preserve">vw12club@increbro.com  </t>
  </si>
  <si>
    <t>https://vk.com/vw12club</t>
  </si>
  <si>
    <t>https://twitter.com/vw12club</t>
  </si>
  <si>
    <t>https://www.youtube.com/channel/UC4Pk27FjmZCsfNpnycXwELg</t>
  </si>
  <si>
    <t>https://www.instagram.com/vw12club</t>
  </si>
  <si>
    <t>47.832514 56.641681</t>
  </si>
  <si>
    <t>Жилищно-эксплуатационная управляющая компания-3</t>
  </si>
  <si>
    <t>47.895569 56.630488</t>
  </si>
  <si>
    <t>Guess</t>
  </si>
  <si>
    <t>47.887945 56.631785</t>
  </si>
  <si>
    <t>47.913799 56.626845</t>
  </si>
  <si>
    <t>Развлекательный центр Фиеста парк</t>
  </si>
  <si>
    <t>https://vk.com/parkfiesta</t>
  </si>
  <si>
    <t>47.856247 56.641698</t>
  </si>
  <si>
    <t>47.858692 56.644717</t>
  </si>
  <si>
    <t>Электрическая подстанция Кожино</t>
  </si>
  <si>
    <t>47.855531 56.621493</t>
  </si>
  <si>
    <t>47.898224 56.639305</t>
  </si>
  <si>
    <t>ул. Карла Либкнехта, 58А, Йошкар-Ола</t>
  </si>
  <si>
    <t>47.952792 56.640537</t>
  </si>
  <si>
    <t>47.887651 56.635659</t>
  </si>
  <si>
    <t>47.839449 56.626841</t>
  </si>
  <si>
    <t>47.943513 56.634349</t>
  </si>
  <si>
    <t>Банный мастер</t>
  </si>
  <si>
    <t>+7 (917) 716-97-90</t>
  </si>
  <si>
    <t>Детская республиканская клиническая больница, пищеблок</t>
  </si>
  <si>
    <t>47.965221 56.640149</t>
  </si>
  <si>
    <t>Любава</t>
  </si>
  <si>
    <t>Магазин верхней одежды, Магазин обуви</t>
  </si>
  <si>
    <t>47.830785 56.636705</t>
  </si>
  <si>
    <t>Мари</t>
  </si>
  <si>
    <t>+7 (8362) 30-45-04</t>
  </si>
  <si>
    <t>http://mari12.com/</t>
  </si>
  <si>
    <t>пн-чт 11:00–21:00; пт 11:00–01:00; сб 11:00–00:00; вс 11:00–21:00</t>
  </si>
  <si>
    <t>https://vk.com/mari_restoran</t>
  </si>
  <si>
    <t>47.868432 56.650408</t>
  </si>
  <si>
    <t>47.883156 56.637015</t>
  </si>
  <si>
    <t>Деревянные технологии</t>
  </si>
  <si>
    <t>+7 (917) 710-88-99</t>
  </si>
  <si>
    <t>Любимое серебро</t>
  </si>
  <si>
    <t>+7 (965) 617-83-87, +7 (960) 038-79-39</t>
  </si>
  <si>
    <t>http://silver-kazan.ru/, http://silver-kazan.ru/about/contacts/, http://www.l-serebro.ru/</t>
  </si>
  <si>
    <t>https://vk.com/l_serebro</t>
  </si>
  <si>
    <t>47.929391 56.629359</t>
  </si>
  <si>
    <t>Apartment in city center Yoshkar-Ola</t>
  </si>
  <si>
    <t>47.871116 56.636896</t>
  </si>
  <si>
    <t>Балконы и лоджии под ключ</t>
  </si>
  <si>
    <t>+7 (8362) 27-21-27</t>
  </si>
  <si>
    <t>Остекление балконов и лоджий, Строительные и отделочные работы</t>
  </si>
  <si>
    <t>Все для дома</t>
  </si>
  <si>
    <t>47.843967 56.631141</t>
  </si>
  <si>
    <t>47.879916 56.636292</t>
  </si>
  <si>
    <t>Наномойка</t>
  </si>
  <si>
    <t>ул. Суворова, 19А, Йошкар-Ола</t>
  </si>
  <si>
    <t>47.858671 56.639951</t>
  </si>
  <si>
    <t>47.952628 56.636815</t>
  </si>
  <si>
    <t>Деревообработка</t>
  </si>
  <si>
    <t>Пиломатериалы, Строительство бань и саун</t>
  </si>
  <si>
    <t>https://instagram.com/vagonka_lipa?igshid=nbpa2addhiwt</t>
  </si>
  <si>
    <t>Интеграл Плюс</t>
  </si>
  <si>
    <t>8 (800) 500-67-63</t>
  </si>
  <si>
    <t xml:space="preserve">ifokeev@integralplus.ru, diana@integralplus.ru, mironov@integralplus.ru, market@integralplus.ru, ralif@integralplus.ru  </t>
  </si>
  <si>
    <t>https://йошкар-ола.упаковка.рф/</t>
  </si>
  <si>
    <t>Тара и упаковочные материалы, Фасовка товаров, Фасовочно-упаковочное оборудование</t>
  </si>
  <si>
    <t>https://vk.com/upakovka_rf</t>
  </si>
  <si>
    <t>https://www.facebook.com/upakovka.rf/</t>
  </si>
  <si>
    <t>https://www.youtube.com/channel/UC1NNzudy8pZgZc9gcg7bPKw</t>
  </si>
  <si>
    <t>https://www.instagram.com/upakovka_integral/</t>
  </si>
  <si>
    <t>+7 (8362) 38-15-00</t>
  </si>
  <si>
    <t xml:space="preserve">pr@lemurrr.com, info@lemurrr.com, username@domain.com  </t>
  </si>
  <si>
    <t>https://lemurrr.ru/, https://ola.lemurrr.ru/store/point13051</t>
  </si>
  <si>
    <t>https://vk.com/lemurrr_ru</t>
  </si>
  <si>
    <t>http://www.facebook.com/lemurrr.ru</t>
  </si>
  <si>
    <t>http://instagram.com/lemurrr_ru</t>
  </si>
  <si>
    <t>47.843564 56.641186</t>
  </si>
  <si>
    <t>ФСКБ</t>
  </si>
  <si>
    <t>8 (804) 333-20-99</t>
  </si>
  <si>
    <t>+7 (929) 819-88-78</t>
  </si>
  <si>
    <t xml:space="preserve">fskb@1-poligraf.ru, fskb1@mail.ru  </t>
  </si>
  <si>
    <t>https://1-poligraf.ru/</t>
  </si>
  <si>
    <t>Проверка на полиграфе, Экспертиза</t>
  </si>
  <si>
    <t>Виста принт</t>
  </si>
  <si>
    <t>+7 (917) 700-02-03, +7 (917) 700-02-06</t>
  </si>
  <si>
    <t>https://vk.com/uverwood</t>
  </si>
  <si>
    <t>47.906642 56.630481</t>
  </si>
  <si>
    <t>Ivimart</t>
  </si>
  <si>
    <t>Умный доктор</t>
  </si>
  <si>
    <t>+7 (8362) 23-26-00, +7 (8362) 23-27-23, +7 (8362) 34-19-02</t>
  </si>
  <si>
    <t xml:space="preserve">info@mcdoctor12.ru  </t>
  </si>
  <si>
    <t>https://mcdoctor12.ru/</t>
  </si>
  <si>
    <t>Гинекологическая клиника, Медцентр, клиника, Травмпункт</t>
  </si>
  <si>
    <t>пн-пт 07:30–19:00; сб 08:30–17:30; вс 08:30–17:00</t>
  </si>
  <si>
    <t>https://www.youtube.com/channel/UCCqqeAWR9tIg8U4mNaH9Oug</t>
  </si>
  <si>
    <t>https://www.instagram.com/travmpunkt12</t>
  </si>
  <si>
    <t>47.911509 56.633974</t>
  </si>
  <si>
    <t>Тюльпан</t>
  </si>
  <si>
    <t>+7 (919) 417-83-08, +7 (961) 379-96-64</t>
  </si>
  <si>
    <t>+7 (958) 843-20-12</t>
  </si>
  <si>
    <t>47.843677 56.641032</t>
  </si>
  <si>
    <t>47.942834 56.634554</t>
  </si>
  <si>
    <t>47.827862 56.638966</t>
  </si>
  <si>
    <t>Марий Эл</t>
  </si>
  <si>
    <t>Первомайская ул., 177, Йошкар-Ола</t>
  </si>
  <si>
    <t>+7 (987) 724-54-58</t>
  </si>
  <si>
    <t>47.880705 56.629472</t>
  </si>
  <si>
    <t>Скоростные кубики Рубика</t>
  </si>
  <si>
    <t>+7 (917) 710-49-99, +7 (902) 325-71-53</t>
  </si>
  <si>
    <t xml:space="preserve">info@kanashop.ru  </t>
  </si>
  <si>
    <t>https://kanashop.ru/</t>
  </si>
  <si>
    <t>https://vk.com/kanashop_ru</t>
  </si>
  <si>
    <t>https://www.facebook.com/kanashop.ru/</t>
  </si>
  <si>
    <t>https://www.instagram.com/kanashop.ru</t>
  </si>
  <si>
    <t>Acero.su</t>
  </si>
  <si>
    <t>Двери, Кованые изделия, Металлические заборы и ограждения, Металлоизделия, Тепличное оборудование</t>
  </si>
  <si>
    <t>Картонажно-полиграфическая фирма Дека</t>
  </si>
  <si>
    <t>+7 (8362) 30-40-32, +7 (8362) 30-40-34, +7 (8362) 72-53-75</t>
  </si>
  <si>
    <t>http://kpf-deka.ru/</t>
  </si>
  <si>
    <t>Полиграфические услуги, Тара и упаковочные материалы</t>
  </si>
  <si>
    <t>ЧайКоффский, Офис</t>
  </si>
  <si>
    <t>Кофемашины, кофейные автоматы, Магазин чая и кофе</t>
  </si>
  <si>
    <t>47.86562 56.637493</t>
  </si>
  <si>
    <t>Марийская база Авиационной Охраны Лесов Авиалесоохрана</t>
  </si>
  <si>
    <t>+7 (8362) 45-37-48</t>
  </si>
  <si>
    <t>47.885433 56.631907</t>
  </si>
  <si>
    <t>+7 (937) 113-54-42</t>
  </si>
  <si>
    <t>Старая ферма</t>
  </si>
  <si>
    <t>8 (800) 100-29-08</t>
  </si>
  <si>
    <t xml:space="preserve">v.natalya@dogeat.ru  </t>
  </si>
  <si>
    <t>https://yoshkar-ola.dogeat.ru/</t>
  </si>
  <si>
    <t>https://vk.com/old_farm</t>
  </si>
  <si>
    <t>https://ok.ru/group/53984748437580</t>
  </si>
  <si>
    <t>https://www.instagram.com/staraya.ferma</t>
  </si>
  <si>
    <t>47.965744 56.640957</t>
  </si>
  <si>
    <t>Йошкар-Олинская городская больница Урологическое отделение</t>
  </si>
  <si>
    <t>+7 (8362) 68-54-11, +7 (8362) 64-71-13</t>
  </si>
  <si>
    <t>http://ka55.polickliniki.ru/</t>
  </si>
  <si>
    <t>47.979837 56.632406</t>
  </si>
  <si>
    <t>пн-сб 09:00–18:00, перерыв 12:00–13:00</t>
  </si>
  <si>
    <t>AI Labs</t>
  </si>
  <si>
    <t>Такси 12 Регион</t>
  </si>
  <si>
    <t>+7 (8362) 90-02-25</t>
  </si>
  <si>
    <t>+7 (902) 670-02-25</t>
  </si>
  <si>
    <t>Техническая подготовка строительства</t>
  </si>
  <si>
    <t>ул. Крылова, 53В, Йошкар-Ола</t>
  </si>
  <si>
    <t>8 (800) 505-92-52</t>
  </si>
  <si>
    <t xml:space="preserve">post@tps52.ru  </t>
  </si>
  <si>
    <t>http://tps52.ru/</t>
  </si>
  <si>
    <t>Изыскательские работы, Сертификация продукции и услуг, Строительная экспертиза и технадзор, Экспертиза промышленной безопасности</t>
  </si>
  <si>
    <t>47.823685 56.619853</t>
  </si>
  <si>
    <t>МУП Йошкар-Олинская ТЭЦ-1 Отдел сопровождения транспорта электрической энергии</t>
  </si>
  <si>
    <t>47.86418 56.641199</t>
  </si>
  <si>
    <t>Мясной магазин</t>
  </si>
  <si>
    <t>+7 (902) 736-89-19</t>
  </si>
  <si>
    <t>Трикотажные изделия</t>
  </si>
  <si>
    <t>47.86445 56.646638</t>
  </si>
  <si>
    <t>Lavender</t>
  </si>
  <si>
    <t>+7 (961) 374-58-78</t>
  </si>
  <si>
    <t>Музей марийской сказки и народного творчества Сереброзубая Пампалче</t>
  </si>
  <si>
    <t>+7 (8362) 42-14-72, +7 (8362) 45-09-01</t>
  </si>
  <si>
    <t>+7 (917) 701-18-92</t>
  </si>
  <si>
    <t>47.898777 56.637476</t>
  </si>
  <si>
    <t>Классики</t>
  </si>
  <si>
    <t>+7 (917) 712-40-76</t>
  </si>
  <si>
    <t>пн-пт 09:00–19:00; сб 09:00–16:00; вс 10:00–12:00</t>
  </si>
  <si>
    <t>47.886259 56.621042</t>
  </si>
  <si>
    <t>Гефест Йошкар-Ола</t>
  </si>
  <si>
    <t>8 (800) 500-56-64</t>
  </si>
  <si>
    <t xml:space="preserve">ooo.gefest@bk.ru  </t>
  </si>
  <si>
    <t>https://ola.gefest-trade.ru/</t>
  </si>
  <si>
    <t>Алюминий, алюминиевые конструкции, Светопрозрачные конструкции, Системы перегородок</t>
  </si>
  <si>
    <t>Соффитто 12</t>
  </si>
  <si>
    <t>+7 (8362) 90-63-77</t>
  </si>
  <si>
    <t>Натяжные и подвесные потолки, Офис продаж</t>
  </si>
  <si>
    <t>Полезные мелочи</t>
  </si>
  <si>
    <t>Антенны, Детские игрушки и игры, Магазин электроники</t>
  </si>
  <si>
    <t>+7 (8362) 42-39-42</t>
  </si>
  <si>
    <t>АвтоСпасатели</t>
  </si>
  <si>
    <t>+7 (960) 190-11-11</t>
  </si>
  <si>
    <t xml:space="preserve">info@avtospasateli.ru  </t>
  </si>
  <si>
    <t>http://www.avtospasateli.ru/</t>
  </si>
  <si>
    <t>http://vk.com/public61794722</t>
  </si>
  <si>
    <t>http://www.facebook.com/AvtoSpasateli</t>
  </si>
  <si>
    <t>47.890149 56.641481</t>
  </si>
  <si>
    <t>+7 (8362) 56-07-11, +7 (8362) 56-06-37</t>
  </si>
  <si>
    <t>Love Radio</t>
  </si>
  <si>
    <t>https://vk.com/loveradio12</t>
  </si>
  <si>
    <t>47.870953 56.636043</t>
  </si>
  <si>
    <t>47.837881 56.634032</t>
  </si>
  <si>
    <t>Ana</t>
  </si>
  <si>
    <t>+7 (964) 863-20-00</t>
  </si>
  <si>
    <t>https://www.instagram.com/Studio_ana_yo</t>
  </si>
  <si>
    <t>Sorry mom</t>
  </si>
  <si>
    <t>+7 (987) 713-66-93, +7 (987) 708-27-39, +7 (987) 710-54-91</t>
  </si>
  <si>
    <t>Ногтевая студия, Салон бровей и ресниц, Тату-салон</t>
  </si>
  <si>
    <t>https://vk.com/smtattoo12</t>
  </si>
  <si>
    <t>https://www.instagram.com/sorry.mom.studio/?igshid=1mif441xzlwgpu0026utm_source=ig_profile_share</t>
  </si>
  <si>
    <t>47.898766 56.635412</t>
  </si>
  <si>
    <t>Морозовъ</t>
  </si>
  <si>
    <t>+7 (902) 100-40-44</t>
  </si>
  <si>
    <t>https://www.instagram.com/ikra.dom.yoshkarola/</t>
  </si>
  <si>
    <t>47.892845 56.636048</t>
  </si>
  <si>
    <t>Max way</t>
  </si>
  <si>
    <t>Professional cosmetics</t>
  </si>
  <si>
    <t>47.907668 56.637469</t>
  </si>
  <si>
    <t>Soyuzniki</t>
  </si>
  <si>
    <t>Laminaria shop</t>
  </si>
  <si>
    <t>+7 (987) 723-11-11</t>
  </si>
  <si>
    <t>пн-пт 10:00–20:00; сб,вс 10:00–14:00</t>
  </si>
  <si>
    <t>47.884843 56.622647</t>
  </si>
  <si>
    <t>+7 (8362) 36-00-22</t>
  </si>
  <si>
    <t>https://elf-mebel.ru/</t>
  </si>
  <si>
    <t>Ремонт телерадиовидео</t>
  </si>
  <si>
    <t>47.8953 56.640183</t>
  </si>
  <si>
    <t>Магазин нумизматики, Музыкальный магазин, Филателия</t>
  </si>
  <si>
    <t>47.883588 56.620919</t>
  </si>
  <si>
    <t>Лестницы12.рф</t>
  </si>
  <si>
    <t>47.829924 56.617093</t>
  </si>
  <si>
    <t>Овощторг</t>
  </si>
  <si>
    <t>Сернурский тракт, 22А, Йошкар-Ола</t>
  </si>
  <si>
    <t>https://vk.com/ovoshi_ot_fermera</t>
  </si>
  <si>
    <t>СтройТехСервис</t>
  </si>
  <si>
    <t>Промышленный альпинизм, Строительная компания, Строительные и отделочные работы, Фасады и фасадные системы</t>
  </si>
  <si>
    <t>КостИнСтрой</t>
  </si>
  <si>
    <t>+7 (8362) 41-07-31</t>
  </si>
  <si>
    <t>+7 (927) 883-36-24</t>
  </si>
  <si>
    <t xml:space="preserve">mironova@kst21.ru  </t>
  </si>
  <si>
    <t>http://kst21.ru/</t>
  </si>
  <si>
    <t>Герметики, Крепежные изделия, Строительный инструмент</t>
  </si>
  <si>
    <t>Моя баня</t>
  </si>
  <si>
    <t>47.947112 56.637492</t>
  </si>
  <si>
    <t>Ice Cream Show</t>
  </si>
  <si>
    <t>+7 (927) 888-16-70</t>
  </si>
  <si>
    <t>https://vk.com/icecream.show</t>
  </si>
  <si>
    <t>Пошив штор</t>
  </si>
  <si>
    <t>+7 (902) 664-04-29</t>
  </si>
  <si>
    <t>Ателье по пошиву одежды, Ремонт одежды, Шторы, карнизы</t>
  </si>
  <si>
    <t>+7 (917) 714-22-22</t>
  </si>
  <si>
    <t xml:space="preserve">info@samogon12.ru  </t>
  </si>
  <si>
    <t>http://samogon12.ru/</t>
  </si>
  <si>
    <t>Магазин бытовой техники, Самогонное оборудование</t>
  </si>
  <si>
    <t>47.866449 56.650023</t>
  </si>
  <si>
    <t>Профсоюзная организация МарГУ</t>
  </si>
  <si>
    <t>+7 (8362) 68-79-82</t>
  </si>
  <si>
    <t>Добрый Папа</t>
  </si>
  <si>
    <t>+7 (902) 100-03-06</t>
  </si>
  <si>
    <t xml:space="preserve">info@goodpapa12.ru  </t>
  </si>
  <si>
    <t>https://goodpapa12.ru/</t>
  </si>
  <si>
    <t>https://vk.com/goodpapa12</t>
  </si>
  <si>
    <t>ул. Чапаева, 61, Йошкар-Ола</t>
  </si>
  <si>
    <t>47.910244 56.645466</t>
  </si>
  <si>
    <t>47.926422 56.635315</t>
  </si>
  <si>
    <t>http://aura-cleaning.ru/</t>
  </si>
  <si>
    <t>https://vk.com/himchistka_yoshka</t>
  </si>
  <si>
    <t>https://www.facebook.com/auracleaning12/</t>
  </si>
  <si>
    <t>https://www.instagram.com/auracleaning12</t>
  </si>
  <si>
    <t>+7 (991) 146-21-51, +7 (987) 713-06-54</t>
  </si>
  <si>
    <t>47.854792 56.645687</t>
  </si>
  <si>
    <t>Сплит12</t>
  </si>
  <si>
    <t>+7 (960) 092-09-30</t>
  </si>
  <si>
    <t xml:space="preserve">info@split12.ru  </t>
  </si>
  <si>
    <t>http://split12.ru/</t>
  </si>
  <si>
    <t>Автовазбанк</t>
  </si>
  <si>
    <t>47.885052 56.609534</t>
  </si>
  <si>
    <t>47.887999 56.622586</t>
  </si>
  <si>
    <t>Ajika</t>
  </si>
  <si>
    <t>47.929085 56.627556</t>
  </si>
  <si>
    <t>47.900347 56.617396</t>
  </si>
  <si>
    <t>Ду-9</t>
  </si>
  <si>
    <t>47.861725 56.651627</t>
  </si>
  <si>
    <t>Абаз</t>
  </si>
  <si>
    <t>+7 (987) 711-12-00</t>
  </si>
  <si>
    <t>Эксперт Сертификация</t>
  </si>
  <si>
    <t>8 (800) 200-81-33</t>
  </si>
  <si>
    <t xml:space="preserve">khanty-m@cert-russia.ru  </t>
  </si>
  <si>
    <t>https://cert-russia.ru/yoshkar-ola</t>
  </si>
  <si>
    <t>Первый Внедорожный</t>
  </si>
  <si>
    <t>+7 (8362) 32-44-12</t>
  </si>
  <si>
    <t>+7 (927) 882-44-12</t>
  </si>
  <si>
    <t xml:space="preserve">info@sfera12.ru  </t>
  </si>
  <si>
    <t>http://sfera12.ru/</t>
  </si>
  <si>
    <t>Дополнительное образование, Учебный центр</t>
  </si>
  <si>
    <t>47.866134 56.638638</t>
  </si>
  <si>
    <t>Руссо Турисto</t>
  </si>
  <si>
    <t>+7 (8362) 65-53-48, +7 (8362) 54-95-15</t>
  </si>
  <si>
    <t>Деньги в долг всем</t>
  </si>
  <si>
    <t>+7 (962) 559-59-77</t>
  </si>
  <si>
    <t xml:space="preserve">dengi116@list.ru, mailer@rbix.ru  </t>
  </si>
  <si>
    <t>http://www.dengivdolgkazan.ru/</t>
  </si>
  <si>
    <t>UNOde50</t>
  </si>
  <si>
    <t>8 (800) 770-04-50</t>
  </si>
  <si>
    <t xml:space="preserve">b2b@unode50.ru, feedback@unode50.ru  </t>
  </si>
  <si>
    <t>https://unode50.ru/</t>
  </si>
  <si>
    <t>http://vk.com/unode50_ru</t>
  </si>
  <si>
    <t>https://www.facebook.com/unode50.ru</t>
  </si>
  <si>
    <t>https://instagram.com/unode50_ru/</t>
  </si>
  <si>
    <t>ПрофПодряд</t>
  </si>
  <si>
    <t>+7 (8362) 26-66-05</t>
  </si>
  <si>
    <t xml:space="preserve">info@prof-podrayd.ru </t>
  </si>
  <si>
    <t>Огнезащита, Строительные и отделочные работы, Теплоизоляционные материалы</t>
  </si>
  <si>
    <t>https://vk.com/public141308372</t>
  </si>
  <si>
    <t>47.832027 56.630768</t>
  </si>
  <si>
    <t>Россия, Республика Марий Эл, Медведевский район, аэропорт Йошкар-Ола</t>
  </si>
  <si>
    <t>+7 (8362) 72-40-20</t>
  </si>
  <si>
    <t>47.89108 56.631312</t>
  </si>
  <si>
    <t>Парикмахерская Вертуаль</t>
  </si>
  <si>
    <t>47.864288 56.645964</t>
  </si>
  <si>
    <t>Кофе с собой</t>
  </si>
  <si>
    <t>47.880533 56.637978</t>
  </si>
  <si>
    <t>Авторазбор 7ключей</t>
  </si>
  <si>
    <t>+7 (999) 145-32-39</t>
  </si>
  <si>
    <t>47.851711 56.644595</t>
  </si>
  <si>
    <t>Вытрезвление алкоголиков, наркоманов и зависимых</t>
  </si>
  <si>
    <t>+7 (913) 985-10-03</t>
  </si>
  <si>
    <t>http://yoshkar-ola.вытрезвление.рф/</t>
  </si>
  <si>
    <t>https://vk.com/club180154528</t>
  </si>
  <si>
    <t>https://www.facebook.com/groups/tsentr.reabilitatsii.avesta/</t>
  </si>
  <si>
    <t xml:space="preserve">znhaechka@znaechka.ru, znaechka@znaechka.ru </t>
  </si>
  <si>
    <t>Дополнительное образование, Клуб для детей и подростков, Курсы иностранных языков, Центр развития ребенка</t>
  </si>
  <si>
    <t>https://www.instagram.com/znaechka_yola/</t>
  </si>
  <si>
    <t>47.83782 56.641509</t>
  </si>
  <si>
    <t>ИП Ложкин А. Н.</t>
  </si>
  <si>
    <t>Цветофф</t>
  </si>
  <si>
    <t>+7 (927) 883-00-48</t>
  </si>
  <si>
    <t>47.919841 56.635565</t>
  </si>
  <si>
    <t>Кассиопея</t>
  </si>
  <si>
    <t>47.917726 56.627439</t>
  </si>
  <si>
    <t>Пластиковые окна</t>
  </si>
  <si>
    <t>47.922808 56.6292</t>
  </si>
  <si>
    <t>Domrenner</t>
  </si>
  <si>
    <t>+7 (8362) 49-68-70</t>
  </si>
  <si>
    <t xml:space="preserve">domrenner@renner.ru  </t>
  </si>
  <si>
    <t>http://domrenner.ru/</t>
  </si>
  <si>
    <t>КрасиваЯ</t>
  </si>
  <si>
    <t>47.946718 56.625419</t>
  </si>
  <si>
    <t>5 Минут</t>
  </si>
  <si>
    <t>+7 (987) 702-80-70</t>
  </si>
  <si>
    <t>Копировальный центр, Магазин канцтоваров, Фотоуслуги, Широкоформатная печать</t>
  </si>
  <si>
    <t>пн-пт 09:00–17:30; сб 09:00–13:00</t>
  </si>
  <si>
    <t>Restyle</t>
  </si>
  <si>
    <t>+7 (8362) 43-42-14</t>
  </si>
  <si>
    <t>SportPlace</t>
  </si>
  <si>
    <t>+7 (922) 993-70-07</t>
  </si>
  <si>
    <t>http://instagram.com/sportplaceofic</t>
  </si>
  <si>
    <t>Монро</t>
  </si>
  <si>
    <t>+7 (8362) 37-97-00</t>
  </si>
  <si>
    <t>47.843856 56.630974</t>
  </si>
  <si>
    <t>Гусеница</t>
  </si>
  <si>
    <t>47.891109 56.636964</t>
  </si>
  <si>
    <t>Халяль</t>
  </si>
  <si>
    <t>47.849045 56.629925</t>
  </si>
  <si>
    <t>Центр упаковки</t>
  </si>
  <si>
    <t>ул. Подольских Курсантов, 14А, Йошкар-Ола</t>
  </si>
  <si>
    <t>+7 (8362) 64-58-99</t>
  </si>
  <si>
    <t>Одноразовая посуда, Тара и упаковочные материалы</t>
  </si>
  <si>
    <t>47.865827 56.650644</t>
  </si>
  <si>
    <t>+7 (902) 100-09-55, +7 (967) 755-08-85, +7 (927) 886-12-57</t>
  </si>
  <si>
    <t>47.934057 56.637069</t>
  </si>
  <si>
    <t>Приволжское управление Недвижимости</t>
  </si>
  <si>
    <t>47.896066 56.647552</t>
  </si>
  <si>
    <t>Школа танцев Кристалл</t>
  </si>
  <si>
    <t>+7 (8362) 40-23-03</t>
  </si>
  <si>
    <t>+7 (961) 337-25-79</t>
  </si>
  <si>
    <t>вт,чт,пт,сб 17:00–21:30</t>
  </si>
  <si>
    <t>47.920593 56.633593</t>
  </si>
  <si>
    <t>Atlas</t>
  </si>
  <si>
    <t>47.885648 56.635493</t>
  </si>
  <si>
    <t>Студия красоты Prizma</t>
  </si>
  <si>
    <t>+7 (8362) 30-80-48</t>
  </si>
  <si>
    <t>47.900932 56.638095</t>
  </si>
  <si>
    <t>Подводный охотник</t>
  </si>
  <si>
    <t>+7 (8362) 90-98-98</t>
  </si>
  <si>
    <t>47.936811 56.623629</t>
  </si>
  <si>
    <t>Дом Диванов</t>
  </si>
  <si>
    <t>8 (800) 333-58-61</t>
  </si>
  <si>
    <t xml:space="preserve">yoshkar-ola@domdivanov.com  </t>
  </si>
  <si>
    <t>http://domdivanov12.ru/</t>
  </si>
  <si>
    <t>Детская мебель, Мебель для спальни, Мягкая мебель</t>
  </si>
  <si>
    <t>пн-сб 08:00–18:00; вс 09:00–16:00</t>
  </si>
  <si>
    <t>47.909086 56.63758</t>
  </si>
  <si>
    <t>47.847885 56.645862</t>
  </si>
  <si>
    <t>+7 (8362) 32-80-00, +7 (8362) 46-00-93</t>
  </si>
  <si>
    <t>47.887294 56.647659</t>
  </si>
  <si>
    <t>ИП Власова Е. Н.</t>
  </si>
  <si>
    <t>ул. Пушкина, 34, корп. 2, Йошкар-Ола</t>
  </si>
  <si>
    <t>+7 (964) 864-12-80</t>
  </si>
  <si>
    <t>47.885828 56.634808</t>
  </si>
  <si>
    <t>Казанский Посад</t>
  </si>
  <si>
    <t>ул. Машиностроителей, 74В, Йошкар-Ола</t>
  </si>
  <si>
    <t>+7 (8362) 23-00-14, +7 (8362) 23-02-44, +7 (8362) 24-00-14, +7 (8362) 23-02-32, +7 (8362) 23-00-36, +7 (8362) 23-03-05, +7 (8362) 23-16-00</t>
  </si>
  <si>
    <t>+7 (902) 329-44-99</t>
  </si>
  <si>
    <t>http://www.kazanposad.ru/</t>
  </si>
  <si>
    <t>47.838153 56.626729</t>
  </si>
  <si>
    <t>+7 (987) 705-99-55</t>
  </si>
  <si>
    <t>Kapous</t>
  </si>
  <si>
    <t>+7 (8362) 39-63-91</t>
  </si>
  <si>
    <t>+7 (927) 883-28-34</t>
  </si>
  <si>
    <t>47.851689 56.631037</t>
  </si>
  <si>
    <t>Maxiplus</t>
  </si>
  <si>
    <t>47.892679 56.638238</t>
  </si>
  <si>
    <t>Mantra</t>
  </si>
  <si>
    <t>+7 (961) 375-16-05</t>
  </si>
  <si>
    <t>https://www.instagram.com/mantra.yo/</t>
  </si>
  <si>
    <t>47.912499 56.635432</t>
  </si>
  <si>
    <t>Молодильные яблоки</t>
  </si>
  <si>
    <t>https://vk.com/yabloki12</t>
  </si>
  <si>
    <t>47.893277 56.641351</t>
  </si>
  <si>
    <t>Янтарное диво</t>
  </si>
  <si>
    <t>+7 (8362) 77-38-68</t>
  </si>
  <si>
    <t>Магазин подарков и сувениров, Товары для интерьера</t>
  </si>
  <si>
    <t>https://vk.com/club54267002</t>
  </si>
  <si>
    <t>Изготовление мебели</t>
  </si>
  <si>
    <t>Мебельная фабрика, Столярные работы</t>
  </si>
  <si>
    <t>Экзаменационный отдел</t>
  </si>
  <si>
    <t>+7 (8362) 74-17-24</t>
  </si>
  <si>
    <t>вт 09:00–20:00, перерыв 13:00–14:00; ср-пт 09:00–18:00, перерыв 13:00–14:00; сб 09:00–16:00, перерыв 13:00–14:00</t>
  </si>
  <si>
    <t>47.884962 56.609748</t>
  </si>
  <si>
    <t>Сделай мебель</t>
  </si>
  <si>
    <t>+7 (902) 104-00-50, +7 (902) 325-54-00</t>
  </si>
  <si>
    <t xml:space="preserve">8b4e078a51d04e0e9efdf470027f0ec1@sentry.wixpress.com, pavloff.meb@yandex.ru </t>
  </si>
  <si>
    <t>Первомайская77</t>
  </si>
  <si>
    <t>47.89434 56.64795</t>
  </si>
  <si>
    <t>Лаборатория</t>
  </si>
  <si>
    <t>ул. Машиностроителей, 121, корп. 2, Йошкар-Ола</t>
  </si>
  <si>
    <t>47.831626 56.625187</t>
  </si>
  <si>
    <t>Банк Йошкар-Ола Центральный д/о</t>
  </si>
  <si>
    <t>47.8373 56.642404</t>
  </si>
  <si>
    <t>Сепермаркет Пятерочка</t>
  </si>
  <si>
    <t>+7 (8362) 38-50-58</t>
  </si>
  <si>
    <t>+7 (964) 860-07-01</t>
  </si>
  <si>
    <t>ООО "Содействие"</t>
  </si>
  <si>
    <t>+7 (927) 680-17-56</t>
  </si>
  <si>
    <t>https://vk.com/sodeystvie12</t>
  </si>
  <si>
    <t>Золотые ручки</t>
  </si>
  <si>
    <t>+7 (987) 731-42-13</t>
  </si>
  <si>
    <t>47.917699 56.627441</t>
  </si>
  <si>
    <t>47.925545 56.634359</t>
  </si>
  <si>
    <t>Марийский государственный университет, Кафедра терапии</t>
  </si>
  <si>
    <t>New Vision 12</t>
  </si>
  <si>
    <t>+7 (8362) 36-49-94</t>
  </si>
  <si>
    <t>PR-агентство, Наружная реклама, Рекламное агентство</t>
  </si>
  <si>
    <t>https://vk.com/newvision12</t>
  </si>
  <si>
    <t>47.886879 56.620101</t>
  </si>
  <si>
    <t>ул. Степана Разина, 84/2, Йошкар-Ола</t>
  </si>
  <si>
    <t>Пина Колада</t>
  </si>
  <si>
    <t>Добрая Банька</t>
  </si>
  <si>
    <t>+7 (927) 882-90-92</t>
  </si>
  <si>
    <t>Двери, Товары для бани и сауны</t>
  </si>
  <si>
    <t>https://vk.com/dobrayabanya89</t>
  </si>
  <si>
    <t>http://www.instagram.com/dobrayabanya</t>
  </si>
  <si>
    <t>Магазин профессиональной косметики Профиstyle</t>
  </si>
  <si>
    <t>+7 (902) 744-99-63, +7 (987) 709-07-63</t>
  </si>
  <si>
    <t>Ellis</t>
  </si>
  <si>
    <t>+7 (8362) 30-95-84</t>
  </si>
  <si>
    <t>47.848371 56.627688</t>
  </si>
  <si>
    <t>Формула дивана</t>
  </si>
  <si>
    <t>+7 (8362) 42-50-08, +7 (8362) 38-02-08</t>
  </si>
  <si>
    <t xml:space="preserve">pr@mz5.ru, rabota@mz5.ru  </t>
  </si>
  <si>
    <t>https://vk.com/formula_divana_ru</t>
  </si>
  <si>
    <t>Автоблеск12</t>
  </si>
  <si>
    <t>Автоаксессуары, Автокосметика, автохимия, Автомоечное оборудование</t>
  </si>
  <si>
    <t>+7 (927) 888-88-19</t>
  </si>
  <si>
    <t>пн-пт 12:00–19:00; сб,вс 12:00–17:00</t>
  </si>
  <si>
    <t>https://vk.com/selfie_yola_12</t>
  </si>
  <si>
    <t>https://instagram.com/selfie_yola_12</t>
  </si>
  <si>
    <t>47.875603 56.633996</t>
  </si>
  <si>
    <t>47.951113 56.640454</t>
  </si>
  <si>
    <t>Цех художественного плетения</t>
  </si>
  <si>
    <t>Россия, Республика Марий Эл, Йошкар-Ола, Ботанический сад Поволжского Государственного Технологического Университета</t>
  </si>
  <si>
    <t>47.963605 56.62117</t>
  </si>
  <si>
    <t>Таксопарк</t>
  </si>
  <si>
    <t>+7 (902) 326-61-57</t>
  </si>
  <si>
    <t>47.902765 56.646292</t>
  </si>
  <si>
    <t>47.962331 56.6129</t>
  </si>
  <si>
    <t>47.841934 56.632039</t>
  </si>
  <si>
    <t>47.834582 56.646348</t>
  </si>
  <si>
    <t>+7 (917) 708-87-75</t>
  </si>
  <si>
    <t>http://atelie-alevtina.ru/</t>
  </si>
  <si>
    <t>https://www.instagram.com/remont_shub/</t>
  </si>
  <si>
    <t>WoodLand</t>
  </si>
  <si>
    <t>+7 (937) 933-68-97</t>
  </si>
  <si>
    <t xml:space="preserve">zimmer.mebel@yandex.ru  </t>
  </si>
  <si>
    <t>http://zimmer-mebel.ru/</t>
  </si>
  <si>
    <t>Детская мебель, Товары для интерьера</t>
  </si>
  <si>
    <t>47.832557 56.636602</t>
  </si>
  <si>
    <t>47.929477 56.626723</t>
  </si>
  <si>
    <t>Транспортная касса Союз-ТК</t>
  </si>
  <si>
    <t>47.879351 56.633064</t>
  </si>
  <si>
    <t>АН Риелт-Известия</t>
  </si>
  <si>
    <t>+7 (904) 724-01-81</t>
  </si>
  <si>
    <t>+7 (917) 701-38-64</t>
  </si>
  <si>
    <t>Детское питание оптом, Магазин детского питания</t>
  </si>
  <si>
    <t>Россия, Республика Марий Эл, Йошкар-Ола, Молодёжная улица</t>
  </si>
  <si>
    <t>47.84617 56.657417</t>
  </si>
  <si>
    <t>Электра</t>
  </si>
  <si>
    <t>+7 (8362) 32-82-92</t>
  </si>
  <si>
    <t>47.830321 56.632466</t>
  </si>
  <si>
    <t>Lofty Mebel</t>
  </si>
  <si>
    <t xml:space="preserve">loftymebel@mail.ru </t>
  </si>
  <si>
    <t>http://loftymebel.ru/</t>
  </si>
  <si>
    <t>https://vk.com/loftymebel</t>
  </si>
  <si>
    <t>47.844012 56.643811</t>
  </si>
  <si>
    <t>Альвада: Упаковочные материалы Упаковка Йошкар-Ола</t>
  </si>
  <si>
    <t>+7 (8362) 31-60-50</t>
  </si>
  <si>
    <t xml:space="preserve">info@alvada.ru  </t>
  </si>
  <si>
    <t>http://www.alvada.ru/</t>
  </si>
  <si>
    <t>Тара и упаковочные материалы, Фасовочно-упаковочное оборудование</t>
  </si>
  <si>
    <t>47.8757 56.644868</t>
  </si>
  <si>
    <t>Центр красоты Комильфо</t>
  </si>
  <si>
    <t>+7 (8362) 71-97-37</t>
  </si>
  <si>
    <t>47.88874 56.633308</t>
  </si>
  <si>
    <t>Массив</t>
  </si>
  <si>
    <t>+7 (8362) 95-13-23</t>
  </si>
  <si>
    <t>+7 (937) 115-51-22</t>
  </si>
  <si>
    <t>MebelSistem</t>
  </si>
  <si>
    <t>+7 (995) 108-37-25</t>
  </si>
  <si>
    <t>http://mebelsistem.ru/</t>
  </si>
  <si>
    <t>https://vk.com/mebel321025</t>
  </si>
  <si>
    <t>Электростроймонтаж</t>
  </si>
  <si>
    <t>+7 (8362) 42-78-20</t>
  </si>
  <si>
    <t xml:space="preserve">zamena-pu-esm@yandex.ru  </t>
  </si>
  <si>
    <t>http://esm-service.ru/</t>
  </si>
  <si>
    <t>47.872685 56.649878</t>
  </si>
  <si>
    <t>Aravia Hookah</t>
  </si>
  <si>
    <t>+7 (982) 259-03-53</t>
  </si>
  <si>
    <t>ежедневно, 11:00–21:00</t>
  </si>
  <si>
    <t>Механика-Йошкар-Ола</t>
  </si>
  <si>
    <t>Магазин бытовой техники, Оптовый магазин</t>
  </si>
  <si>
    <t>47.94829 56.636921</t>
  </si>
  <si>
    <t>Nua</t>
  </si>
  <si>
    <t>+7 (937) 118-58-85</t>
  </si>
  <si>
    <t xml:space="preserve">perfomancemk@ya.ru  </t>
  </si>
  <si>
    <t>https://vk.com/club173152782</t>
  </si>
  <si>
    <t>https://instagram.com/nuahule_store_yo</t>
  </si>
  <si>
    <t>47.870701 56.640754</t>
  </si>
  <si>
    <t>Матур</t>
  </si>
  <si>
    <t>+7 (8362) 63-02-47, +7 (8362) 41-63-82</t>
  </si>
  <si>
    <t xml:space="preserve">matour@yandex.ru, koni@matour.ru  </t>
  </si>
  <si>
    <t>http://www.matour.ru/</t>
  </si>
  <si>
    <t>https://vk.com/public80953317</t>
  </si>
  <si>
    <t>47.898522 56.635061</t>
  </si>
  <si>
    <t>ул. Кирова, 17А, Йошкар-Ола</t>
  </si>
  <si>
    <t>47.931313 56.63702</t>
  </si>
  <si>
    <t>+7 (8362) 23-29-00, +7 (8362) 30-44-66</t>
  </si>
  <si>
    <t>47.89213 56.624899</t>
  </si>
  <si>
    <t>Depeche Mode</t>
  </si>
  <si>
    <t>47.892643 56.638272</t>
  </si>
  <si>
    <t>47.883154 56.638165</t>
  </si>
  <si>
    <t>Выход есть</t>
  </si>
  <si>
    <t>47.893508 56.632662</t>
  </si>
  <si>
    <t>Геометрика</t>
  </si>
  <si>
    <t>+7 (909) 366-03-10, +7 (929) 732-21-55</t>
  </si>
  <si>
    <t>47.868092 56.637893</t>
  </si>
  <si>
    <t>APP- SALE</t>
  </si>
  <si>
    <t>+7 (902) 107-53-53</t>
  </si>
  <si>
    <t>https://vk.com/appsale_yo</t>
  </si>
  <si>
    <t>http://instagram.com/yo.appsale</t>
  </si>
  <si>
    <t>Хобо</t>
  </si>
  <si>
    <t>47.887069 56.627354</t>
  </si>
  <si>
    <t>47.93617 56.636459</t>
  </si>
  <si>
    <t>Стройдом</t>
  </si>
  <si>
    <t>+7 (967) 757-02-38</t>
  </si>
  <si>
    <t>Крепежные изделия, Лакокрасочные материалы, Мебельная фурнитура и комплектующие, Металлоизделия, Пиломатериалы, Строительный магазин, Стройматериалы оптом, Фанера</t>
  </si>
  <si>
    <t>Торгово-монтажная компания</t>
  </si>
  <si>
    <t>Атон</t>
  </si>
  <si>
    <t>Подъемное оборудование, Продажа и обслуживание лифтов</t>
  </si>
  <si>
    <t>Карапуз</t>
  </si>
  <si>
    <t>47.896887 56.634536</t>
  </si>
  <si>
    <t>+7 (967) 757-04-47</t>
  </si>
  <si>
    <t xml:space="preserve">hotel_vernissage@mail.ru  </t>
  </si>
  <si>
    <t>http://hotelvernissage12.ru/</t>
  </si>
  <si>
    <t>47.869725 56.632014</t>
  </si>
  <si>
    <t>Инженерные Системы</t>
  </si>
  <si>
    <t>http://ис12.рф/</t>
  </si>
  <si>
    <t>Медцентр на Советской</t>
  </si>
  <si>
    <t>+7 (927) 879-50-40</t>
  </si>
  <si>
    <t>https://vk.com/stomls</t>
  </si>
  <si>
    <t>https://ok.ru/group/58424978636848</t>
  </si>
  <si>
    <t>https://www.instagram.com/stomls</t>
  </si>
  <si>
    <t>47.891379 56.626139</t>
  </si>
  <si>
    <t>Рыбный магазин</t>
  </si>
  <si>
    <t>47.851989 56.63106</t>
  </si>
  <si>
    <t>47.832155 56.64388</t>
  </si>
  <si>
    <t>47.873485 56.636531</t>
  </si>
  <si>
    <t>Kaypro косметика для волос</t>
  </si>
  <si>
    <t xml:space="preserve">info@kaypro.ru  </t>
  </si>
  <si>
    <t>http://kaypro.ru/</t>
  </si>
  <si>
    <t>Адвокат Вершинина Наталья Игоревна</t>
  </si>
  <si>
    <t>+7 (8362) 39-07-47</t>
  </si>
  <si>
    <t>+7 (937) 939-07-47</t>
  </si>
  <si>
    <t>47.886367 56.646279</t>
  </si>
  <si>
    <t>Магазин канцтоваров, Фотомагазин</t>
  </si>
  <si>
    <t>Домовёнок</t>
  </si>
  <si>
    <t>47.830309 56.637222</t>
  </si>
  <si>
    <t>47.90124 56.635225</t>
  </si>
  <si>
    <t>Архитектурная мастерская Мельниковой Елены Викторовны</t>
  </si>
  <si>
    <t>+7 (8362) 65-02-22</t>
  </si>
  <si>
    <t>+7 (927) 680-04-46, +7 (902) 325-02-22</t>
  </si>
  <si>
    <t xml:space="preserve">arx.mast@mail.ru  </t>
  </si>
  <si>
    <t>http://elena-melnikova.ru/</t>
  </si>
  <si>
    <t>https://vk.com/proektmelnikova</t>
  </si>
  <si>
    <t>Чу ДПО ЦИТ Бис</t>
  </si>
  <si>
    <t>8 (800) 505-47-30</t>
  </si>
  <si>
    <t xml:space="preserve">info@reatea.ru, sdo@ucrf.ru, test@example.com  </t>
  </si>
  <si>
    <t>https://fsb-fstec.ru/</t>
  </si>
  <si>
    <t>Дополнительное образование, Информационная безопасность, Центр повышения квалификации</t>
  </si>
  <si>
    <t>Россия, Республика Марий Эл, Йошкар-Ола, Московская улица</t>
  </si>
  <si>
    <t>47.948966 56.632235</t>
  </si>
  <si>
    <t>Радио Дача Марий Эл 94,7 FM</t>
  </si>
  <si>
    <t>47.891797 56.621478</t>
  </si>
  <si>
    <t>Сам себе ювелир</t>
  </si>
  <si>
    <t>+7 (960) 090-04-00</t>
  </si>
  <si>
    <t>https://sam-sebe-uvelir.ru/</t>
  </si>
  <si>
    <t>https://vk.com/sam_sebe_uvelir</t>
  </si>
  <si>
    <t>https://ok.ru/group/54088950415455/market</t>
  </si>
  <si>
    <t>Интернет-магазин, Электротехническая продукция</t>
  </si>
  <si>
    <t>Качество жизни</t>
  </si>
  <si>
    <t>+7 (8362) 67-29-29</t>
  </si>
  <si>
    <t>+7 (927) 683-83-33, +7 (917) 707-49-54</t>
  </si>
  <si>
    <t>сквер Воинов-Интернационалистов</t>
  </si>
  <si>
    <t>Россия, Республика Марий Эл, Йошкар-Ола, сквер Воинов-Интернационалистов</t>
  </si>
  <si>
    <t>47.847243 56.648234</t>
  </si>
  <si>
    <t>Двухкомнатные апартаменты в центре города</t>
  </si>
  <si>
    <t>47.86454 56.63946</t>
  </si>
  <si>
    <t>МДОУ</t>
  </si>
  <si>
    <t>Фестивальная ул., 50, Йошкар-Ола</t>
  </si>
  <si>
    <t>47.837517 56.650928</t>
  </si>
  <si>
    <t>Элеваторный пр., 11, корп. 1, Йошкар-Ола</t>
  </si>
  <si>
    <t>+7 (902) 358-59-91</t>
  </si>
  <si>
    <t>Мебель на заказ, Фанера</t>
  </si>
  <si>
    <t>47.902672 56.609309</t>
  </si>
  <si>
    <t>бул. Данилова, 3А, Йошкар-Ола</t>
  </si>
  <si>
    <t>+7 (917) 711-27-04</t>
  </si>
  <si>
    <t>47.947391 56.628632</t>
  </si>
  <si>
    <t>Barbershop and nailbar</t>
  </si>
  <si>
    <t>+7 (964) 860-84-04</t>
  </si>
  <si>
    <t>https://www.instagram.com/Barbershop_and_nailbar/</t>
  </si>
  <si>
    <t>47.917679 56.641125</t>
  </si>
  <si>
    <t>Халяльные продукты</t>
  </si>
  <si>
    <t>+7 (960) 097-37-60</t>
  </si>
  <si>
    <t>47.883966 56.63276</t>
  </si>
  <si>
    <t>Молочный магазин, Продукты питания оптом, Производство продуктов питания</t>
  </si>
  <si>
    <t>Ленинский просп., 64, Йошкар-Ола</t>
  </si>
  <si>
    <t>47.872578 56.637911</t>
  </si>
  <si>
    <t>47.868284 56.637932</t>
  </si>
  <si>
    <t>ГК Зелёный дом</t>
  </si>
  <si>
    <t>47.855983 56.644746</t>
  </si>
  <si>
    <t>Apartment Comfort on Kuibyshev Street</t>
  </si>
  <si>
    <t>ул. Куйбышева, 35А, Йошкар-Ола</t>
  </si>
  <si>
    <t>47.848873 56.647547</t>
  </si>
  <si>
    <t>47.880217 56.636709</t>
  </si>
  <si>
    <t>Сервисстрой</t>
  </si>
  <si>
    <t>47.874842 56.630453</t>
  </si>
  <si>
    <t>МарЛен</t>
  </si>
  <si>
    <t>+7 (987) 715-50-36</t>
  </si>
  <si>
    <t>47.880218 56.638044</t>
  </si>
  <si>
    <t>47.858174 56.640176</t>
  </si>
  <si>
    <t>Комфортный Дом</t>
  </si>
  <si>
    <t>+7 (8362) 44-00-34</t>
  </si>
  <si>
    <t>https://instagram.com/komfortdom12</t>
  </si>
  <si>
    <t>47.866113 56.639984</t>
  </si>
  <si>
    <t>47.910621 56.627315</t>
  </si>
  <si>
    <t>Йоларенда</t>
  </si>
  <si>
    <t>Красноармейская ул., 88, Йошкар-Ола</t>
  </si>
  <si>
    <t>47.870384 56.64653</t>
  </si>
  <si>
    <t>Кузовной центр Бокс 12</t>
  </si>
  <si>
    <t>Красноармейская слобода, 59А, Йошкар-Ола</t>
  </si>
  <si>
    <t>47.916406 56.644138</t>
  </si>
  <si>
    <t>47.953419 56.629107</t>
  </si>
  <si>
    <t>Кружева</t>
  </si>
  <si>
    <t>+7 (8362) 38-76-90</t>
  </si>
  <si>
    <t>+7 (8362) 64-20-91, +7 (8362) 64-20-99, +7 (8362) 64-20-93, +7 (8362) 64-20-92, +7 (8362) 64-21-47</t>
  </si>
  <si>
    <t xml:space="preserve">maukdkra@mail.ru  </t>
  </si>
  <si>
    <t>http://www.dkra12.ru/, http://kultura12.ru/</t>
  </si>
  <si>
    <t>47.94816 56.624471</t>
  </si>
  <si>
    <t>Кирпич, Кровля и кровельные материалы, Строительный магазин, Стройматериалы оптом, Фасады и фасадные системы</t>
  </si>
  <si>
    <t>Маришка</t>
  </si>
  <si>
    <t>47.884626 56.620344</t>
  </si>
  <si>
    <t>Модная линия</t>
  </si>
  <si>
    <t>+7 (987) 717-99-88</t>
  </si>
  <si>
    <t>47.888128 56.630283</t>
  </si>
  <si>
    <t>Редакция журнала Пачемыш Оса</t>
  </si>
  <si>
    <t>ул. Чехова, 47А, Йошкар-Ола</t>
  </si>
  <si>
    <t>+7 (902) 739-27-77</t>
  </si>
  <si>
    <t xml:space="preserve">osa@mari-el.ru  </t>
  </si>
  <si>
    <t>https://pachemish.1c-umi.ru/</t>
  </si>
  <si>
    <t>ежедневно, 08:00–00:00</t>
  </si>
  <si>
    <t>https://ok.ru/group/54702030127344</t>
  </si>
  <si>
    <t>47.893051 56.643144</t>
  </si>
  <si>
    <t>ГрадСтройПроект</t>
  </si>
  <si>
    <t>пн-пт 09:00–16:00, перерыв 13:00–14:00</t>
  </si>
  <si>
    <t>Киоск по продаже цветов</t>
  </si>
  <si>
    <t>ул. Мира, 34/6, Йошкар-Ола</t>
  </si>
  <si>
    <t>Бижутерия</t>
  </si>
  <si>
    <t>47.840748 56.635322</t>
  </si>
  <si>
    <t>Рост</t>
  </si>
  <si>
    <t>+7 (8362) 49-47-01</t>
  </si>
  <si>
    <t xml:space="preserve">info@garant-lock.ru  </t>
  </si>
  <si>
    <t>https://garant-lock.ru/</t>
  </si>
  <si>
    <t>Металлическая мебель, Металлоизделия, Металлообработка</t>
  </si>
  <si>
    <t>47.94898 56.635075</t>
  </si>
  <si>
    <t>Наш Лик</t>
  </si>
  <si>
    <t>+7 (8362) 23-03-31</t>
  </si>
  <si>
    <t>Пивной мастер</t>
  </si>
  <si>
    <t>+7 (8362) 38-21-90, +7 (8362) 38-21-92</t>
  </si>
  <si>
    <t xml:space="preserve">info@pmaster12.ru  </t>
  </si>
  <si>
    <t>http://pmaster12.ru/</t>
  </si>
  <si>
    <t>Титан-Авто</t>
  </si>
  <si>
    <t>47.892793 56.638335</t>
  </si>
  <si>
    <t>Игрушки ТойсЙО</t>
  </si>
  <si>
    <t>+7 (917) 709-00-07</t>
  </si>
  <si>
    <t>https://vk.com/toys_yo</t>
  </si>
  <si>
    <t>http://instagram.com/toys_yo</t>
  </si>
  <si>
    <t>47.85454 56.645703</t>
  </si>
  <si>
    <t>47.8889 56.640117</t>
  </si>
  <si>
    <t>Жилой дом по ул. Фестивальная, 46</t>
  </si>
  <si>
    <t>https://oaokontinent.ru/festivalnaya-poz-46/</t>
  </si>
  <si>
    <t>47.837521 56.65107</t>
  </si>
  <si>
    <t>Салон Ваша косметика</t>
  </si>
  <si>
    <t>+7 (909) 369-99-84</t>
  </si>
  <si>
    <t>Белка</t>
  </si>
  <si>
    <t>47.892989 56.638442</t>
  </si>
  <si>
    <t>ул. Анциферова, 4Б, Йошкар-Ола</t>
  </si>
  <si>
    <t>+7 (929) 734-38-37</t>
  </si>
  <si>
    <t>8 (800) 350-38-31, +7 (8362) 23-25-43</t>
  </si>
  <si>
    <t xml:space="preserve">info@ooostolitsa.ru, stolitsa12@mail.ru, cc.kostya@mail.ru  </t>
  </si>
  <si>
    <t>http://ooostolitsa.ru/</t>
  </si>
  <si>
    <t>http://vk.com/stolitsarf</t>
  </si>
  <si>
    <t>https://www.youtube.com/channel/UCWkP6RI_5EQOOKNC7ZyGx2w?view_as=subscriber</t>
  </si>
  <si>
    <t>https://www.instagram.com/stolitsa12/</t>
  </si>
  <si>
    <t>Автотема</t>
  </si>
  <si>
    <t>Торговый дом Союз</t>
  </si>
  <si>
    <t>+7 (8362) 31-60-60</t>
  </si>
  <si>
    <t xml:space="preserve">souz.office@inbox.ru, info@souz.msk.ru, mariel@souz.msk.ru, samara@souz.msk.ru, arhangelsk@souz.msk.ru, ufa@souz.msk.ru, kirov@souz.msk.ru, kazan@souz.msk.ru, krasnodar@souz.msk.ru, tula@souz.msk.ru </t>
  </si>
  <si>
    <t>https://soyuztrade.com/, https://souz.msk.ru/</t>
  </si>
  <si>
    <t>Оптические приборы и оборудование, Сетевое оборудование, Телекоммуникационное оборудование</t>
  </si>
  <si>
    <t>http://vk.com/soyuztrade</t>
  </si>
  <si>
    <t>http://instagram.com/soyuztrade/</t>
  </si>
  <si>
    <t>Чайкоффский</t>
  </si>
  <si>
    <t>Магазин посуды, Магазин чая и кофе</t>
  </si>
  <si>
    <t>Азко</t>
  </si>
  <si>
    <t>Детский сад № 30 Березка</t>
  </si>
  <si>
    <t>ул. Петрова, 4Б, Йошкар-Ола</t>
  </si>
  <si>
    <t>+7 (8362) 21-79-40, +7 (8362) 21-51-04, +7 (36222) 1-79-40, +7 (36222) 1-51-04</t>
  </si>
  <si>
    <t>47.918463 56.628177</t>
  </si>
  <si>
    <t>47.906062 56.625976</t>
  </si>
  <si>
    <t>Палисадник</t>
  </si>
  <si>
    <t>Магазин семян, Магазин цветов</t>
  </si>
  <si>
    <t>47.854703 56.644076</t>
  </si>
  <si>
    <t>Строительство и ремонт под ключ</t>
  </si>
  <si>
    <t>+7 (987) 704-75-24</t>
  </si>
  <si>
    <t>Mobil1</t>
  </si>
  <si>
    <t>47.904064 56.640526</t>
  </si>
  <si>
    <t>47.882951 56.644348</t>
  </si>
  <si>
    <t>Баклер</t>
  </si>
  <si>
    <t>+7 (905) 379-37-84, +7 (960) 095-46-55</t>
  </si>
  <si>
    <t xml:space="preserve">username@gmail.com </t>
  </si>
  <si>
    <t>Комбикорма и кормовые добавки, Ремонт сельскохозяйственной техники, Сельскохозяйственная техника</t>
  </si>
  <si>
    <t>+7 (964) 860-97-97, +7 (969) 778-33-22</t>
  </si>
  <si>
    <t xml:space="preserve">alpmari@mail.ru  </t>
  </si>
  <si>
    <t>Промышленный альпинизм, Строительная компания</t>
  </si>
  <si>
    <t>https://vk.com/alpmari</t>
  </si>
  <si>
    <t>47.839228 56.654727</t>
  </si>
  <si>
    <t>Республиканская клиническая больница Гастроэнтерологическое отделение</t>
  </si>
  <si>
    <t>Пролетарская ул., 60, корп. 1, Йошкар-Ола</t>
  </si>
  <si>
    <t>+7 (8362) 46-14-34</t>
  </si>
  <si>
    <t>+7 (8362) 51-54-31</t>
  </si>
  <si>
    <t>+7 (917) 712-42-13</t>
  </si>
  <si>
    <t>https://vk.com/club143593574</t>
  </si>
  <si>
    <t>Медицинская ул., 10В, Йошкар-Ола</t>
  </si>
  <si>
    <t>47.965392 56.640214</t>
  </si>
  <si>
    <t>ЖК ул. Зарубина</t>
  </si>
  <si>
    <t>ул. Зарубина, 36, Йошкар-Ола</t>
  </si>
  <si>
    <t>47.87484 56.633114</t>
  </si>
  <si>
    <t>Техноком</t>
  </si>
  <si>
    <t>+7 (8362) 46-06-66, +7 (8362) 31-38-13</t>
  </si>
  <si>
    <t>Лэнри</t>
  </si>
  <si>
    <t>47.892522 56.638113</t>
  </si>
  <si>
    <t>Бизнес-Партнёр</t>
  </si>
  <si>
    <t>+7 (8362) 91-70-70</t>
  </si>
  <si>
    <t>Новое радио 101. 8 FM</t>
  </si>
  <si>
    <t xml:space="preserve">hello@newradio.ru, zolovaeo@media-trast.ru  </t>
  </si>
  <si>
    <t>http://радиовйошкароле.рф/, http://newradio.ru/</t>
  </si>
  <si>
    <t>https://vk.com/newradio_yoshkarola</t>
  </si>
  <si>
    <t>Пчёлка</t>
  </si>
  <si>
    <t>47.891984 56.637593</t>
  </si>
  <si>
    <t>Ломбард Золотой Магнат</t>
  </si>
  <si>
    <t>47.91452 56.627132</t>
  </si>
  <si>
    <t>47.94744 56.629062</t>
  </si>
  <si>
    <t>Юридическая компания</t>
  </si>
  <si>
    <t>+7 (8362) 36-88-01</t>
  </si>
  <si>
    <t>http://юрист12.рф/</t>
  </si>
  <si>
    <t>+7 (8362) 20-00-54</t>
  </si>
  <si>
    <t>+7 (917) 704-69-01</t>
  </si>
  <si>
    <t>https://vk.com/ocenka012</t>
  </si>
  <si>
    <t>47.887948 56.634991</t>
  </si>
  <si>
    <t>47.924024 56.634441</t>
  </si>
  <si>
    <t>Жилой дом по ул. Красноармейская</t>
  </si>
  <si>
    <t>47.852818 56.642414</t>
  </si>
  <si>
    <t>Солнечный Город</t>
  </si>
  <si>
    <t>47.912751 56.635798</t>
  </si>
  <si>
    <t>Новые Люди</t>
  </si>
  <si>
    <t>+7 (8362) 43-34-33</t>
  </si>
  <si>
    <t xml:space="preserve">novieludi@bk.ru  </t>
  </si>
  <si>
    <t>Клуб для детей и подростков, Творческий коллектив, Театр, Школа танцев</t>
  </si>
  <si>
    <t>https://vk.com/novie.ludi</t>
  </si>
  <si>
    <t>47.921277 56.628677</t>
  </si>
  <si>
    <t>Государевы пекарни</t>
  </si>
  <si>
    <t>47.888392 56.628573</t>
  </si>
  <si>
    <t>Вихрь</t>
  </si>
  <si>
    <t>47.890962 56.637595</t>
  </si>
  <si>
    <t>Апартаменты Матросова 38</t>
  </si>
  <si>
    <t>ул. Матросова, 38, Йошкар-Ола</t>
  </si>
  <si>
    <t>47.84378 56.63328</t>
  </si>
  <si>
    <t>Россия, Республика Марий Эл, Йошкар-Ола, микрорайон Никиткино</t>
  </si>
  <si>
    <t>47.958532 56.615872</t>
  </si>
  <si>
    <t>ИП Бурлаков В. В.</t>
  </si>
  <si>
    <t>+7 (927) 889-51-52</t>
  </si>
  <si>
    <t>Столовая № 9</t>
  </si>
  <si>
    <t>ул. Луначарского, 121, Йошкар-Ола</t>
  </si>
  <si>
    <t>+7 (8362) 41-69-81</t>
  </si>
  <si>
    <t>+7 (917) 714-85-60</t>
  </si>
  <si>
    <t xml:space="preserve">dmitry@shvalyov.ru </t>
  </si>
  <si>
    <t>Банкетный зал, Столовая</t>
  </si>
  <si>
    <t>пн-пт 08:30–15:30</t>
  </si>
  <si>
    <t>47.889599 56.620393</t>
  </si>
  <si>
    <t>47.883388 56.616919</t>
  </si>
  <si>
    <t>пн-пт 08:00–17:30; сб,вс 08:00–14:00</t>
  </si>
  <si>
    <t>47.850293 56.626383</t>
  </si>
  <si>
    <t>Недвижимость Плюс</t>
  </si>
  <si>
    <t>+7 (8362) 74-14-47</t>
  </si>
  <si>
    <t xml:space="preserve">nedviplus@gmail.com  </t>
  </si>
  <si>
    <t>http://nedviplus.ru/</t>
  </si>
  <si>
    <t>Garderob</t>
  </si>
  <si>
    <t>47.862913 56.651346</t>
  </si>
  <si>
    <t>Студия современной хореографии Станция</t>
  </si>
  <si>
    <t>+7 (8362) 90-09-77, +7 (8362) 35-15-33</t>
  </si>
  <si>
    <t>+7 (962) 588-15-33</t>
  </si>
  <si>
    <t xml:space="preserve">stationyola12@gmail.com </t>
  </si>
  <si>
    <t>Центр йоги, Школа танцев</t>
  </si>
  <si>
    <t>ежедневно, 15:00–20:00</t>
  </si>
  <si>
    <t>http://vk.com/danceola</t>
  </si>
  <si>
    <t>47.883589 56.639426</t>
  </si>
  <si>
    <t>47.892575 56.638635</t>
  </si>
  <si>
    <t>47.860189 56.642155</t>
  </si>
  <si>
    <t>ЭкономМойка</t>
  </si>
  <si>
    <t>47.837208 56.626059</t>
  </si>
  <si>
    <t>+7 (8362) 36-67-76, +7 (8362) 52-33-41</t>
  </si>
  <si>
    <t>47.841517 56.632465</t>
  </si>
  <si>
    <t>Торговый центр Надежда</t>
  </si>
  <si>
    <t>+7 (8362) 63-85-56</t>
  </si>
  <si>
    <t>47.830789 56.632279</t>
  </si>
  <si>
    <t>Ленинский просп., 60/2, Йошкар-Ола</t>
  </si>
  <si>
    <t>Закусочная Ривьера</t>
  </si>
  <si>
    <t>47.867048 56.637566</t>
  </si>
  <si>
    <t>47.874374 56.635888</t>
  </si>
  <si>
    <t>Металлобаза Йошкар-Ола</t>
  </si>
  <si>
    <t>Металлопрокат, Строительная арматура, Трубы и трубопроводная арматура</t>
  </si>
  <si>
    <t>ул. Петрова, 19/2, Йошкар-Ола</t>
  </si>
  <si>
    <t>47.832309 56.638211</t>
  </si>
  <si>
    <t>Кухни и не только</t>
  </si>
  <si>
    <t>+7 (8362) 45-15-18, +7 (8362) 46-39-44</t>
  </si>
  <si>
    <t>пн-пт 09:30–19:00; сб 09:30–18:00; вс 10:00–17:00</t>
  </si>
  <si>
    <t>47.901503 56.639647</t>
  </si>
  <si>
    <t>Медико-санитарная часть Министерства внутренних дел Российской Федерации по Республике Марий Эл</t>
  </si>
  <si>
    <t>+7 (8362) 68-02-45, +7 (8362) 64-16-37</t>
  </si>
  <si>
    <t>+7 (8362) 68-04-20</t>
  </si>
  <si>
    <t>https://мсч.12.мвд.рф/, http://12.mvd.ru/</t>
  </si>
  <si>
    <t>47.898152 56.63928</t>
  </si>
  <si>
    <t>47.882386 56.620215</t>
  </si>
  <si>
    <t>Весёлый уголок</t>
  </si>
  <si>
    <t>+7 (8362) 50-15-55</t>
  </si>
  <si>
    <t>+7 (964) 860-15-55</t>
  </si>
  <si>
    <t>https://vk.com/public133139029</t>
  </si>
  <si>
    <t>Школа-студия Марины Мамаевой</t>
  </si>
  <si>
    <t>+7 (927) 882-75-95</t>
  </si>
  <si>
    <t>https://vk.com/mamaeva.marina</t>
  </si>
  <si>
    <t>47.849797 56.643436</t>
  </si>
  <si>
    <t>пн-пт 09:00–19:00; сб 10:00–19:00; вс 10:00–17:00</t>
  </si>
  <si>
    <t>47.889494 56.642685</t>
  </si>
  <si>
    <t>Региональная общественная организация содействия гражданам в избавлении от зависимостей Республики Марий Эл</t>
  </si>
  <si>
    <t>+7 (8362) 56-57-11, +7 (8362) 40-12-90</t>
  </si>
  <si>
    <t>47.898683 56.639757</t>
  </si>
  <si>
    <t>+7 (8362) 60-01-11</t>
  </si>
  <si>
    <t>47.876566 56.632169</t>
  </si>
  <si>
    <t>ул. Мира, 61, Йошкар-Ола</t>
  </si>
  <si>
    <t>47.949734 56.630616</t>
  </si>
  <si>
    <t>47.872519 56.628808</t>
  </si>
  <si>
    <t>47.869719 56.645538</t>
  </si>
  <si>
    <t>47.832793 56.636664</t>
  </si>
  <si>
    <t>https://vk.com/club68139461</t>
  </si>
  <si>
    <t>Quattro</t>
  </si>
  <si>
    <t>47.915724 56.64382</t>
  </si>
  <si>
    <t>47.880122 56.632396</t>
  </si>
  <si>
    <t>47.921629 56.640271</t>
  </si>
  <si>
    <t>47.937798 56.636742</t>
  </si>
  <si>
    <t>Арт-студия Песочница</t>
  </si>
  <si>
    <t>Курсы и мастер-классы, Организация и проведение детских праздников</t>
  </si>
  <si>
    <t>Стрижка Экспресс</t>
  </si>
  <si>
    <t>+7 (902) 738-07-00</t>
  </si>
  <si>
    <t>https://vk.com/strizhkaexpress_yoshkarola</t>
  </si>
  <si>
    <t>https://www.instagram.com/strizhkaexpress_yo</t>
  </si>
  <si>
    <t>47.838568 56.633476</t>
  </si>
  <si>
    <t>Интернет-магазин домашнего текстиля Твой Текстиль</t>
  </si>
  <si>
    <t>+7 (996) 958-90-36</t>
  </si>
  <si>
    <t xml:space="preserve">info@tvoytekstil.ru  </t>
  </si>
  <si>
    <t>https://tvoytekstil.ru/</t>
  </si>
  <si>
    <t>Магазин постельных принадлежностей, Товары для бани и сауны, Товары для дома</t>
  </si>
  <si>
    <t>https://vk.com/tvoytekstil_ru</t>
  </si>
  <si>
    <t>https://www.facebook.com/tvoytekstil.ru</t>
  </si>
  <si>
    <t>https://www.instagram.com/tvoytekstil.ru/</t>
  </si>
  <si>
    <t>http://schoolmatour.ru/</t>
  </si>
  <si>
    <t>47.915008 56.636098</t>
  </si>
  <si>
    <t>Стоп угроза</t>
  </si>
  <si>
    <t>ИП Хрипченко В. А.</t>
  </si>
  <si>
    <t>+7 (8362) 41-17-51</t>
  </si>
  <si>
    <t>+7 (8362) 45-74-78</t>
  </si>
  <si>
    <t>Марийская графиня</t>
  </si>
  <si>
    <t>+7 (8362) 64-48-88</t>
  </si>
  <si>
    <t>+7 (961) 337-77-91</t>
  </si>
  <si>
    <t>47.90445 56.61403</t>
  </si>
  <si>
    <t>47.893262 56.640607</t>
  </si>
  <si>
    <t>47.832878 56.641913</t>
  </si>
  <si>
    <t>47.876108 56.645415</t>
  </si>
  <si>
    <t>RemCar</t>
  </si>
  <si>
    <t>ул. Строителей, 97, корп. 1, Йошкар-Ола</t>
  </si>
  <si>
    <t>+7 (8362) 24-94-34</t>
  </si>
  <si>
    <t xml:space="preserve">remcar12.autoservice@gmail.com, icering12@yandex.ru  </t>
  </si>
  <si>
    <t>Автосервис, автотехцентр, Автосигнализация, Ремонт двигателей, Шиномонтаж</t>
  </si>
  <si>
    <t>https://vk.com/remcar12</t>
  </si>
  <si>
    <t>https://instagram.com/rem_car_autoservice</t>
  </si>
  <si>
    <t>47.866038 56.616534</t>
  </si>
  <si>
    <t>2-к Квартира, 75 М?, 2эт</t>
  </si>
  <si>
    <t>+7 (902) 736-97-96</t>
  </si>
  <si>
    <t>47.8899 56.632542</t>
  </si>
  <si>
    <t>Пистер</t>
  </si>
  <si>
    <t>+7 (902) 358-90-74</t>
  </si>
  <si>
    <t>47.934916 56.637814</t>
  </si>
  <si>
    <t>47.884522 56.633043</t>
  </si>
  <si>
    <t>Цветы 24</t>
  </si>
  <si>
    <t>+7 (8362) 52-52-00, +7 (8362) 50-05-65, +7 (8362) 32-75-45</t>
  </si>
  <si>
    <t>+7 (964) 860-05-65, +7 (964) 862-52-00</t>
  </si>
  <si>
    <t>47.931566 56.634204</t>
  </si>
  <si>
    <t>cквер Воинов-пограничников</t>
  </si>
  <si>
    <t>Россия, Республика Марий Эл, Йошкар-Ола, cквер Воинов-пограничников</t>
  </si>
  <si>
    <t>47.874295 56.648171</t>
  </si>
  <si>
    <t>47.920265 56.63316</t>
  </si>
  <si>
    <t>Европейские окна</t>
  </si>
  <si>
    <t xml:space="preserve">europa_okna@bk.ru  </t>
  </si>
  <si>
    <t>http://master-okon12.ru/</t>
  </si>
  <si>
    <t>Жалюзи и рулонные шторы, Окна, Тепличное оборудование</t>
  </si>
  <si>
    <t>3k Apartments On Petrova</t>
  </si>
  <si>
    <t>ул. Петрова, 17, Йошкар-Ола</t>
  </si>
  <si>
    <t>47.919518 56.634247</t>
  </si>
  <si>
    <t>К-Сервис</t>
  </si>
  <si>
    <t>+7 (8362) 48-88-80</t>
  </si>
  <si>
    <t>+7 (960) 099-93-94</t>
  </si>
  <si>
    <t>Автосервис, автотехцентр, Кузовной ремонт, Магазин автозапчастей и автотоваров, Ремонт АКПП, Ремонт двигателей</t>
  </si>
  <si>
    <t>Центр ногтевой эстетики</t>
  </si>
  <si>
    <t>+7 (967) 757-11-68</t>
  </si>
  <si>
    <t>47.880627 56.636443</t>
  </si>
  <si>
    <t>Додзё Киокушинкай каратэ ДОСААФ</t>
  </si>
  <si>
    <t>+7 (8362) 35-35-77</t>
  </si>
  <si>
    <t>+7 (962) 588-35-77</t>
  </si>
  <si>
    <t>пн-пт 16:00–20:00; сб,вс 10:00–12:00</t>
  </si>
  <si>
    <t>47.871442 56.654391</t>
  </si>
  <si>
    <t>+7 (8362) 55-25-48</t>
  </si>
  <si>
    <t xml:space="preserve">info@igk-invest.ru, igk@igk-invest.ru </t>
  </si>
  <si>
    <t>http://igk-invest.ru/</t>
  </si>
  <si>
    <t>Динамо</t>
  </si>
  <si>
    <t>Россия, Республика Марий Эл, Йошкар-Ола, улица Красноармейская Слобода</t>
  </si>
  <si>
    <t>Стадион</t>
  </si>
  <si>
    <t>47.907731 56.639391</t>
  </si>
  <si>
    <t>Студия Kapous</t>
  </si>
  <si>
    <t>47.846493 56.627625</t>
  </si>
  <si>
    <t>47.874854 56.634639</t>
  </si>
  <si>
    <t>47.897156 56.634015</t>
  </si>
  <si>
    <t>Forli</t>
  </si>
  <si>
    <t>Магазин цветов, Праздничное агентство</t>
  </si>
  <si>
    <t>47.905546 56.640773</t>
  </si>
  <si>
    <t>https://twitter.com/lubipek12</t>
  </si>
  <si>
    <t>https://www.facebook.com/lubipek12/</t>
  </si>
  <si>
    <t>https://www.instagram.com/lubipek12/</t>
  </si>
  <si>
    <t>47.914416 56.626836</t>
  </si>
  <si>
    <t>Детская школа искусств</t>
  </si>
  <si>
    <t>пн-пт 08:00–17:30, перерыв 12:00–13:00; сб 08:00–13:00</t>
  </si>
  <si>
    <t>47.87597 56.645392</t>
  </si>
  <si>
    <t>Оланга плюс</t>
  </si>
  <si>
    <t>47.871446 56.618562</t>
  </si>
  <si>
    <t>47.863957 56.649159</t>
  </si>
  <si>
    <t>Погрузчик Центр</t>
  </si>
  <si>
    <t xml:space="preserve">info@pogruzi12.ru </t>
  </si>
  <si>
    <t>47.878441 56.612856</t>
  </si>
  <si>
    <t>47.889198 56.64081</t>
  </si>
  <si>
    <t>Городские лифты</t>
  </si>
  <si>
    <t>+7 (8362) 41-14-51</t>
  </si>
  <si>
    <t>+7 (927) 680-47-50</t>
  </si>
  <si>
    <t>Арабеск, танцевальная школа</t>
  </si>
  <si>
    <t>47.891237 56.646502</t>
  </si>
  <si>
    <t>47.829107 56.638203</t>
  </si>
  <si>
    <t>+7 (8362) 93-37-25</t>
  </si>
  <si>
    <t>Магазин семян, Магазин цветов, Садовый центр, Удобрения</t>
  </si>
  <si>
    <t>Красный город</t>
  </si>
  <si>
    <t>ул. Лебедева, 51Г, Йошкар-Ола</t>
  </si>
  <si>
    <t>47.9415 56.622877</t>
  </si>
  <si>
    <t>47.896239 56.628604</t>
  </si>
  <si>
    <t>47.94701 56.626397</t>
  </si>
  <si>
    <t>Kazandigital</t>
  </si>
  <si>
    <t>+7 (987) 285-95-53</t>
  </si>
  <si>
    <t xml:space="preserve">info@kazandigital.ru  </t>
  </si>
  <si>
    <t>https://kazandigital.ru/</t>
  </si>
  <si>
    <t>https://vk.com/kazandigital</t>
  </si>
  <si>
    <t>https://www.instagram.com/kazandigital/</t>
  </si>
  <si>
    <t>47.891348 56.63895</t>
  </si>
  <si>
    <t>47.87078 56.645338</t>
  </si>
  <si>
    <t>ТараПласт12</t>
  </si>
  <si>
    <t>+7 (8362) 33-61-91</t>
  </si>
  <si>
    <t>+7 (961) 333-61-91</t>
  </si>
  <si>
    <t>https://vk.com/club192430784</t>
  </si>
  <si>
    <t>47.86761 56.62794</t>
  </si>
  <si>
    <t>Мишель</t>
  </si>
  <si>
    <t>Товары для рукоделия</t>
  </si>
  <si>
    <t>47.948301 56.621809</t>
  </si>
  <si>
    <t>47.924193 56.638944</t>
  </si>
  <si>
    <t>Котельная НОУ Йошкар-Олинский ТЦ ДОСААФ России</t>
  </si>
  <si>
    <t>ул. Дружбы, 98Г, Йошкар-Ола</t>
  </si>
  <si>
    <t>47.870999 56.654639</t>
  </si>
  <si>
    <t>Геннадий Перевозов</t>
  </si>
  <si>
    <t>+7 (902) 436-06-00</t>
  </si>
  <si>
    <t>http://gennadiy-perevozov.pulscen.ru/</t>
  </si>
  <si>
    <t>47.892022 56.62155</t>
  </si>
  <si>
    <t>Жилой дом по ул. Чернякова, 27</t>
  </si>
  <si>
    <t>ул. Чернякова, 27, Йошкар-Ола</t>
  </si>
  <si>
    <t>https://росагрострой12.рф/objects/zhiloy-dom-v-g-yoshkar-ola-po-ul-chernyakova-poz-27/</t>
  </si>
  <si>
    <t>47.822243 56.636852</t>
  </si>
  <si>
    <t>Радиотовары в магазине Радиоремонт</t>
  </si>
  <si>
    <t>+7 (8362) 95-60-07</t>
  </si>
  <si>
    <t>+7 (902) 735-60-07</t>
  </si>
  <si>
    <t xml:space="preserve">6din@radioremont.com, admin@radioremont.com  </t>
  </si>
  <si>
    <t>http://radioremont.com/</t>
  </si>
  <si>
    <t>47.904055 56.641568</t>
  </si>
  <si>
    <t>Все для праздника</t>
  </si>
  <si>
    <t>+7 (902) 671-19-40</t>
  </si>
  <si>
    <t>47.863086 56.646511</t>
  </si>
  <si>
    <t>Межрегиональная энергосбытовая комания, Приволжский филиал</t>
  </si>
  <si>
    <t>+7 (8362) 38-01-07</t>
  </si>
  <si>
    <t xml:space="preserve">info@mari-sbyt.ru  </t>
  </si>
  <si>
    <t>http://mari-sbyt.ru/, http://mresc.pro/</t>
  </si>
  <si>
    <t>47.888486 56.632827</t>
  </si>
  <si>
    <t>ежедневно, 08:30–19:30</t>
  </si>
  <si>
    <t>21 Corner</t>
  </si>
  <si>
    <t>https://instagram.com/kids.loft_yola_21corner</t>
  </si>
  <si>
    <t>47.892653 56.638697</t>
  </si>
  <si>
    <t>+7 (8362) 46-30-77</t>
  </si>
  <si>
    <t>47.952106 56.640164</t>
  </si>
  <si>
    <t>Наш дворик</t>
  </si>
  <si>
    <t>Бар, паб, Быстрое питание, Кафе</t>
  </si>
  <si>
    <t>47.907679 56.615613</t>
  </si>
  <si>
    <t>Потягульки</t>
  </si>
  <si>
    <t>+7 (937) 113-30-33, +7 (987) 728-89-09</t>
  </si>
  <si>
    <t>47.880646 56.638135</t>
  </si>
  <si>
    <t>47.966839 56.638681</t>
  </si>
  <si>
    <t>Детский клуб Сатурн</t>
  </si>
  <si>
    <t>+7 (8362) 56-41-10</t>
  </si>
  <si>
    <t>вт-сб 13:00–19:00</t>
  </si>
  <si>
    <t>47.882233 56.616642</t>
  </si>
  <si>
    <t>Nail Bar</t>
  </si>
  <si>
    <t>+7 (8362) 76-26-26</t>
  </si>
  <si>
    <t>47.8901 56.632682</t>
  </si>
  <si>
    <t>Со. единение</t>
  </si>
  <si>
    <t>Психотерапевтическая помощь</t>
  </si>
  <si>
    <t>47.896598 56.627266</t>
  </si>
  <si>
    <t>Контора ЗАО Связьстрой-4, филиал</t>
  </si>
  <si>
    <t>ул. Артёма, 58, Йошкар-Ола</t>
  </si>
  <si>
    <t>47.848553 56.663662</t>
  </si>
  <si>
    <t>47.894385 56.64046</t>
  </si>
  <si>
    <t>47.935372 56.632284</t>
  </si>
  <si>
    <t>Perspective</t>
  </si>
  <si>
    <t>Косметология, Массажный салон, Ногтевая студия, Парикмахерская, Салон красоты</t>
  </si>
  <si>
    <t>47.821519 56.633117</t>
  </si>
  <si>
    <t>Автоэкспертиза, оценка автомобилей, Страховая компания, Юридические услуги</t>
  </si>
  <si>
    <t>47.925851 56.634449</t>
  </si>
  <si>
    <t>Кабинет профессионального массажа</t>
  </si>
  <si>
    <t>https://taplink.cc/dmitriilaptev1983</t>
  </si>
  <si>
    <t>Дом по ул. Матросова</t>
  </si>
  <si>
    <t>ул. Матросова, 36, Йошкар-Ола</t>
  </si>
  <si>
    <t>47.845078 56.634056</t>
  </si>
  <si>
    <t>47.892037 56.628744</t>
  </si>
  <si>
    <t>47.923803 56.638365</t>
  </si>
  <si>
    <t>Zena</t>
  </si>
  <si>
    <t>47.893742 56.640177</t>
  </si>
  <si>
    <t>47.887444 56.619812</t>
  </si>
  <si>
    <t>Apartment in Centre on Zarubina</t>
  </si>
  <si>
    <t>47.87711 56.63127</t>
  </si>
  <si>
    <t>Альфа 7</t>
  </si>
  <si>
    <t>+7 (8362) 97-68-68</t>
  </si>
  <si>
    <t>+7 (987) 711-33-15</t>
  </si>
  <si>
    <t>Мгновение</t>
  </si>
  <si>
    <t>+7 (8362) 55-36-45, +7 (8362) 55-36-58</t>
  </si>
  <si>
    <t>пн 19:00–20:30; ср 18:00–21:00; чт 19:00–20:30; вс 10:00–13:00</t>
  </si>
  <si>
    <t>47.849247 56.640291</t>
  </si>
  <si>
    <t>Мясные продукты</t>
  </si>
  <si>
    <t>47.913751 56.634417</t>
  </si>
  <si>
    <t>47.899076 56.644001</t>
  </si>
  <si>
    <t>ПартКом</t>
  </si>
  <si>
    <t>+7 (8362) 49-71-70</t>
  </si>
  <si>
    <t xml:space="preserve">info@groupautorus.ru  </t>
  </si>
  <si>
    <t>http://www.part-kom.ru/, http://groupautorus.ru/</t>
  </si>
  <si>
    <t>пн-пт 08:00–19:00; сб 08:00–17:00; вс 09:00–13:00</t>
  </si>
  <si>
    <t>47.867266 56.614716</t>
  </si>
  <si>
    <t>+7 (8362) 42-44-73</t>
  </si>
  <si>
    <t>Репетитор английского, немецкого языка</t>
  </si>
  <si>
    <t>Курсы иностранных языков, Услуги репетиторов</t>
  </si>
  <si>
    <t>47.835307 56.635157</t>
  </si>
  <si>
    <t>Компания бухгалтерских услуг</t>
  </si>
  <si>
    <t>47.84329 56.641172</t>
  </si>
  <si>
    <t>Арина</t>
  </si>
  <si>
    <t>+7 (8362) 38-44-38</t>
  </si>
  <si>
    <t>+7 (964) 863-27-77, +7 (964) 860-73-73</t>
  </si>
  <si>
    <t xml:space="preserve">an.imperial37@mail.ru, author@example.com  </t>
  </si>
  <si>
    <t>https://imperial-37.turbo.site/page1308896</t>
  </si>
  <si>
    <t>https://vk.com/an.imperial</t>
  </si>
  <si>
    <t>47.880208 56.626144</t>
  </si>
  <si>
    <t>+7 (8362) 38-33-35</t>
  </si>
  <si>
    <t>Российское Авторское Общество</t>
  </si>
  <si>
    <t>+7 (8362) 63-27-76</t>
  </si>
  <si>
    <t>вт,пт 14:00–16:00</t>
  </si>
  <si>
    <t>Фибролит дом</t>
  </si>
  <si>
    <t>47.870841 56.645989</t>
  </si>
  <si>
    <t>+7 (8362) 55-08-46</t>
  </si>
  <si>
    <t>https://vk.com/region_part</t>
  </si>
  <si>
    <t>Триколор ТВ</t>
  </si>
  <si>
    <t>+7 (927) 680-08-08</t>
  </si>
  <si>
    <t>http://tricolor-yoshkar-ola.ru/</t>
  </si>
  <si>
    <t>Магазин электроники, Спутниковое телевидение</t>
  </si>
  <si>
    <t>+7 (8362) 96-56-89</t>
  </si>
  <si>
    <t>Вкусная помощь</t>
  </si>
  <si>
    <t>+7 (927) 875-21-44, +7 (902) 737-05-81</t>
  </si>
  <si>
    <t>Lamoda</t>
  </si>
  <si>
    <t>8 (800) 700-64-46, +7 (499) 500-49-59</t>
  </si>
  <si>
    <t xml:space="preserve">help@lamoda.ru, 28a8c969a76240e98edcfde8803c9e25@sentry-js.lamoda.ru  </t>
  </si>
  <si>
    <t>https://www.lamoda.ru/, https://m.lamoda.ru/</t>
  </si>
  <si>
    <t>http://vk.com/lamodaru</t>
  </si>
  <si>
    <t>http://twitter.com/lamoda_rus</t>
  </si>
  <si>
    <t>http://www.facebook.com/Lamoda.ru</t>
  </si>
  <si>
    <t>https://www.youtube.com/channel/UCTWIqhYGbEhPvIfpdqeOLSw</t>
  </si>
  <si>
    <t>http://instagram.com/lamodaru</t>
  </si>
  <si>
    <t>Закусочная Экспресс</t>
  </si>
  <si>
    <t>+7 (8362) 56-29-29</t>
  </si>
  <si>
    <t>47.868515 56.638119</t>
  </si>
  <si>
    <t>47.956417 56.640173</t>
  </si>
  <si>
    <t>47.899527 56.642487</t>
  </si>
  <si>
    <t>Эхолоты Simrad</t>
  </si>
  <si>
    <t>+7 (495) 108-13-82, +7 (499) 215-69-82</t>
  </si>
  <si>
    <t xml:space="preserve">manager@online-lowrance.ru  </t>
  </si>
  <si>
    <t>https://yoshkarola.simrad-online.ru/</t>
  </si>
  <si>
    <t>Интернет-магазин, Товары для рыбалки, Электронные приборы и компоненты</t>
  </si>
  <si>
    <t>Мирабель</t>
  </si>
  <si>
    <t>Багетные изделия, Художественная мастерская, Художественный салон</t>
  </si>
  <si>
    <t>+7 (961) 335-63-33</t>
  </si>
  <si>
    <t>https://vk.com/pionyo</t>
  </si>
  <si>
    <t>Первая коллегия адвокатов РМЭ</t>
  </si>
  <si>
    <t>47.886895 56.630413</t>
  </si>
  <si>
    <t>На колёсах</t>
  </si>
  <si>
    <t>47.865275 56.61749</t>
  </si>
  <si>
    <t>Компания по изготовлению лестниц</t>
  </si>
  <si>
    <t>Хачапур</t>
  </si>
  <si>
    <t>Булочная, пекарня, Кафе</t>
  </si>
  <si>
    <t>47.8985 56.634971</t>
  </si>
  <si>
    <t>+7 (987) 711-67-87, +7 (987) 700-71-25</t>
  </si>
  <si>
    <t>+7 (987) 700-83-87</t>
  </si>
  <si>
    <t>Сварка полимеров</t>
  </si>
  <si>
    <t>8 (800) 301-31-57</t>
  </si>
  <si>
    <t>+7 (906) 112-28-85</t>
  </si>
  <si>
    <t xml:space="preserve">joshkar-ola@svarkapndtrub.ru  </t>
  </si>
  <si>
    <t>https://joshkar-ola.svarkapndtrub.ru/</t>
  </si>
  <si>
    <t>ул. Тимирязева, 21/17, Йошкар-Ола</t>
  </si>
  <si>
    <t>47.907741 56.65141</t>
  </si>
  <si>
    <t>Мари мясо</t>
  </si>
  <si>
    <t>Miss divva</t>
  </si>
  <si>
    <t>Мир колготок</t>
  </si>
  <si>
    <t>Трансформаторная подстанция № 328</t>
  </si>
  <si>
    <t>47.967897 56.641102</t>
  </si>
  <si>
    <t>Анютины глазки</t>
  </si>
  <si>
    <t>Скупка радиодеталей</t>
  </si>
  <si>
    <t>+7 (987) 663-68-04</t>
  </si>
  <si>
    <t>Steilmann</t>
  </si>
  <si>
    <t>47.887672 56.631802</t>
  </si>
  <si>
    <t>Автополка</t>
  </si>
  <si>
    <t>+7 (919) 416-04-27</t>
  </si>
  <si>
    <t xml:space="preserve">4pistons@mail.ru  </t>
  </si>
  <si>
    <t>http://autopolka.ru/</t>
  </si>
  <si>
    <t>https://vk.com/avtopolka</t>
  </si>
  <si>
    <t>Логопед</t>
  </si>
  <si>
    <t>47.917723 56.627426</t>
  </si>
  <si>
    <t>Продуктовый дворик</t>
  </si>
  <si>
    <t>Воздушные шары</t>
  </si>
  <si>
    <t>ул. Добролюбова, 76, Йошкар-Ола</t>
  </si>
  <si>
    <t>+7 (927) 871-84-14</t>
  </si>
  <si>
    <t>47.950525 56.63505</t>
  </si>
  <si>
    <t>Клиника Жизнь Без Боли</t>
  </si>
  <si>
    <t>+7 (8362) 38-16-38</t>
  </si>
  <si>
    <t xml:space="preserve">info@medpain.ru  </t>
  </si>
  <si>
    <t>http://bezboli.pro/</t>
  </si>
  <si>
    <t>Диагностический центр, Медицинская реабилитация, Медцентр, клиника</t>
  </si>
  <si>
    <t>47.84526 56.647063</t>
  </si>
  <si>
    <t>Сандра</t>
  </si>
  <si>
    <t>47.844506 56.634094</t>
  </si>
  <si>
    <t>Промкомплект</t>
  </si>
  <si>
    <t>+7 (8362) 73-05-22</t>
  </si>
  <si>
    <t>+7 (967) 757-06-79</t>
  </si>
  <si>
    <t>ЖБИ, Металлоизделия</t>
  </si>
  <si>
    <t>47.891826 56.640236</t>
  </si>
  <si>
    <t>Viva Деньги</t>
  </si>
  <si>
    <t>8 (800) 555-52-03</t>
  </si>
  <si>
    <t xml:space="preserve">info@npmir.ru  </t>
  </si>
  <si>
    <t>https://www.vivadengi.ru/?utm_source=yandex_maps</t>
  </si>
  <si>
    <t>Kristi</t>
  </si>
  <si>
    <t>47.924615 56.639745</t>
  </si>
  <si>
    <t>47.921926 56.64019</t>
  </si>
  <si>
    <t>М2лаб</t>
  </si>
  <si>
    <t>IT-компания, Информационный интернет-сайт, Программное обеспечение</t>
  </si>
  <si>
    <t>сквер имени Андрея Эшпая</t>
  </si>
  <si>
    <t>Россия, Республика Марий Эл, Йошкар-Ола, сквер имени Андрея Эшпая</t>
  </si>
  <si>
    <t>47.872782 56.643082</t>
  </si>
  <si>
    <t>142 Ulitsa Sovetskaya</t>
  </si>
  <si>
    <t>47.894817 56.631951</t>
  </si>
  <si>
    <t>+7 (8362) 53-23-55</t>
  </si>
  <si>
    <t>47.882255 56.631589</t>
  </si>
  <si>
    <t>Вагон</t>
  </si>
  <si>
    <t>47.921487 56.630251</t>
  </si>
  <si>
    <t>Ванюша</t>
  </si>
  <si>
    <t>Ваша оптика</t>
  </si>
  <si>
    <t>47.904275 56.647553</t>
  </si>
  <si>
    <t>47.840777 56.635296</t>
  </si>
  <si>
    <t>47.870262 56.636648</t>
  </si>
  <si>
    <t>Россия, Республика Марий Эл, Йошкар-Ола, улица Щорса</t>
  </si>
  <si>
    <t>47.861965 56.642117</t>
  </si>
  <si>
    <t>ЭкоБьюти</t>
  </si>
  <si>
    <t>Визажисты, стилисты, Ногтевая студия, Парикмахерская, Салон красоты</t>
  </si>
  <si>
    <t>АвтоДеталь</t>
  </si>
  <si>
    <t>47.885255 56.639422</t>
  </si>
  <si>
    <t>+7 (987) 706-11-29, +7 (960) 090-92-78</t>
  </si>
  <si>
    <t xml:space="preserve">neglizhe2013@yandex.com  </t>
  </si>
  <si>
    <t>Магазин белья и купальников, Секс-шоп</t>
  </si>
  <si>
    <t>https://vk.com/butikneglizhe</t>
  </si>
  <si>
    <t>47.883313 56.62394</t>
  </si>
  <si>
    <t>47.843436 56.640864</t>
  </si>
  <si>
    <t>+7 (8362) 31-62-00</t>
  </si>
  <si>
    <t>47.863526 56.646626</t>
  </si>
  <si>
    <t>Профи стайл</t>
  </si>
  <si>
    <t>+7 (8362) 32-47-00</t>
  </si>
  <si>
    <t>+7 (902) 743-00-00</t>
  </si>
  <si>
    <t>Курсы и мастер-классы, Оборудование и материалы для салонов красоты, Обучение мастеров для салонов красоты</t>
  </si>
  <si>
    <t>47.880577 56.636541</t>
  </si>
  <si>
    <t>Магазин рыбы</t>
  </si>
  <si>
    <t>Кофеварка</t>
  </si>
  <si>
    <t>47.892769 56.638453</t>
  </si>
  <si>
    <t>Белорусский трикотаж</t>
  </si>
  <si>
    <t>47.893607 56.632953</t>
  </si>
  <si>
    <t>ПартнерАВТО</t>
  </si>
  <si>
    <t>+7 (8362) 38-25-35, +7 (8362) 48-42-22</t>
  </si>
  <si>
    <t>http://партавто.рф/</t>
  </si>
  <si>
    <t>пн-пт 08:00–20:00; сб 08:00–18:00; вс 09:00–18:00</t>
  </si>
  <si>
    <t>https://vk.com/partner12</t>
  </si>
  <si>
    <t>47.857388 56.62279</t>
  </si>
  <si>
    <t>Салон красоты Селебрити</t>
  </si>
  <si>
    <t>47.853763 56.64292</t>
  </si>
  <si>
    <t>47.890962 56.64569</t>
  </si>
  <si>
    <t>Агробиостанция МарГУ</t>
  </si>
  <si>
    <t>47.880841 56.644515</t>
  </si>
  <si>
    <t>ул. Энгельса, 33, Йошкар-Ола</t>
  </si>
  <si>
    <t>47.950139 56.618967</t>
  </si>
  <si>
    <t xml:space="preserve">bi@marsu.ru  </t>
  </si>
  <si>
    <t>https://leader-id.ru/event/point/view/683/</t>
  </si>
  <si>
    <t>https://vk.com/tboil40</t>
  </si>
  <si>
    <t>LiftOnGroup</t>
  </si>
  <si>
    <t>+7 (950) 324-15-34</t>
  </si>
  <si>
    <t>http://www.liftongroup.ru/yoshkar-ola/</t>
  </si>
  <si>
    <t>47.940011 56.625066</t>
  </si>
  <si>
    <t>Адвокатский кабинет Рыбаковой М. А.</t>
  </si>
  <si>
    <t>+7 (8362) 99-61-06</t>
  </si>
  <si>
    <t>47.897025 56.646149</t>
  </si>
  <si>
    <t>Три восьмерки</t>
  </si>
  <si>
    <t>+7 (8362) 43-48-88</t>
  </si>
  <si>
    <t>ТрейдИнвест</t>
  </si>
  <si>
    <t>+7 (8362) 23-20-04</t>
  </si>
  <si>
    <t>Смена</t>
  </si>
  <si>
    <t>Поволжский государственный технологический университет, Факультет управления и права</t>
  </si>
  <si>
    <t>47.923179 56.633448</t>
  </si>
  <si>
    <t>Zamess®</t>
  </si>
  <si>
    <t xml:space="preserve">info@zamess.com  </t>
  </si>
  <si>
    <t>https://zamess.com/</t>
  </si>
  <si>
    <t>Магазин обуви, Магазин одежды, Спортивная одежда и обувь</t>
  </si>
  <si>
    <t>http://vk.com/zamess</t>
  </si>
  <si>
    <t>http://twitter.com/zamessbrand</t>
  </si>
  <si>
    <t>http://facebook.com/zamessbrand</t>
  </si>
  <si>
    <t>http://www.instagram.com/zamessbrand/</t>
  </si>
  <si>
    <t>47.825686 56.639542</t>
  </si>
  <si>
    <t>Пуговица</t>
  </si>
  <si>
    <t>+7 (937) 115-01-50</t>
  </si>
  <si>
    <t>+7 (964) 861-41-14</t>
  </si>
  <si>
    <t>Анестезиолого-реанимационное отделение</t>
  </si>
  <si>
    <t>47.963546 56.639236</t>
  </si>
  <si>
    <t>ЖилСервис</t>
  </si>
  <si>
    <t>+7 (8362) 45-74-06</t>
  </si>
  <si>
    <t>47.884462 56.643136</t>
  </si>
  <si>
    <t>Спецстроймонтаж</t>
  </si>
  <si>
    <t>Противопожарные системы, Электромонтажные работы</t>
  </si>
  <si>
    <t>Строй бизнес</t>
  </si>
  <si>
    <t>47.907674 56.631212</t>
  </si>
  <si>
    <t>47.843478 56.641187</t>
  </si>
  <si>
    <t>Экосфера</t>
  </si>
  <si>
    <t>+7 (8362) 77-77-72</t>
  </si>
  <si>
    <t>+7 (902) 739-77-72</t>
  </si>
  <si>
    <t>Средства гигиены, Хозтовары оптом</t>
  </si>
  <si>
    <t>https://www.instagram.com/nailkleopatra_/</t>
  </si>
  <si>
    <t>ул. Строителей, 34В, корп. 5, Йошкар-Ола</t>
  </si>
  <si>
    <t>Gett такси</t>
  </si>
  <si>
    <t>+7 (8362) 79-12-12</t>
  </si>
  <si>
    <t>https://vk.com/gett16</t>
  </si>
  <si>
    <t>47.901666 56.645794</t>
  </si>
  <si>
    <t>Лайм</t>
  </si>
  <si>
    <t>47.892731 56.628294</t>
  </si>
  <si>
    <t>47.967971 56.613799</t>
  </si>
  <si>
    <t>Аверс - Медикал</t>
  </si>
  <si>
    <t>47.925435 56.632174</t>
  </si>
  <si>
    <t>Цифровое эфирное телевидение</t>
  </si>
  <si>
    <t>8 (800) 220-20-02</t>
  </si>
  <si>
    <t>https://mari-el.rtrs.ru/</t>
  </si>
  <si>
    <t>Антенны, Спутниковое телевидение</t>
  </si>
  <si>
    <t>47.880134 56.644823</t>
  </si>
  <si>
    <t>Йола_Посуточно на Пролетарской 68б</t>
  </si>
  <si>
    <t>Пролетарская ул., 68Б, Йошкар-Ола</t>
  </si>
  <si>
    <t>47.87998 56.649038</t>
  </si>
  <si>
    <t>47.932604 56.644087</t>
  </si>
  <si>
    <t>Парикмахерская Успех</t>
  </si>
  <si>
    <t>ул. Йывана Кырли, 26, Йошкар-Ола</t>
  </si>
  <si>
    <t>+7 (8362) 94-36-84</t>
  </si>
  <si>
    <t>Визажисты, стилисты, Косметология, Массажный салон, Ногтевая студия, Парикмахерская</t>
  </si>
  <si>
    <t>пн-пт 08:30–19:00; сб,вс 09:00–17:00</t>
  </si>
  <si>
    <t>47.838184 56.640155</t>
  </si>
  <si>
    <t>Автостанки.рф</t>
  </si>
  <si>
    <t xml:space="preserve">info@avtostanki.ru  </t>
  </si>
  <si>
    <t>http://avtostanki.ru/</t>
  </si>
  <si>
    <t>ГК Звёздный</t>
  </si>
  <si>
    <t>+7 (937) 938-15-41</t>
  </si>
  <si>
    <t>ср 18:00–20:00; сб 09:00–12:00</t>
  </si>
  <si>
    <t>47.971468 56.614808</t>
  </si>
  <si>
    <t>47.913727 56.627104</t>
  </si>
  <si>
    <t>Shavi</t>
  </si>
  <si>
    <t>+7 (927) 680-69-99</t>
  </si>
  <si>
    <t>https://www.facebook.com/shavi.bistro/</t>
  </si>
  <si>
    <t>https://www.instagram.com/shavi.bistro</t>
  </si>
  <si>
    <t>47.899916 56.634058</t>
  </si>
  <si>
    <t>47.865848 56.649895</t>
  </si>
  <si>
    <t>Марийская Топливная Компания</t>
  </si>
  <si>
    <t>+7 (8362) 42-61-00</t>
  </si>
  <si>
    <t>+7 (8362) 42-17-55</t>
  </si>
  <si>
    <t>ГК Март</t>
  </si>
  <si>
    <t>47.881281 56.61448</t>
  </si>
  <si>
    <t>47.894798 56.652731</t>
  </si>
  <si>
    <t>+7 (8362) 65-85-36</t>
  </si>
  <si>
    <t>47.88812 56.631322</t>
  </si>
  <si>
    <t>Йошкар-Олинская детская городская больница отделение воздушно-капельных инфекций</t>
  </si>
  <si>
    <t>+7 (8362) 42-65-16, +7 (8362) 42-65-47</t>
  </si>
  <si>
    <t>пн-пт 08:00–14:50</t>
  </si>
  <si>
    <t>+7 (8362) 22-31-05</t>
  </si>
  <si>
    <t>Домофоны, Пожарное оборудование, Противопожарные системы, Системы безопасности и охраны, Устройство сетей</t>
  </si>
  <si>
    <t>47.949914 56.639011</t>
  </si>
  <si>
    <t>Сауна Садко</t>
  </si>
  <si>
    <t>+7 (8362) 66-67-79</t>
  </si>
  <si>
    <t>ТехноГрад</t>
  </si>
  <si>
    <t>8 (800) 250-92-56, +7 (8362) 73-34-30</t>
  </si>
  <si>
    <t>+7 (917) 671-17-77</t>
  </si>
  <si>
    <t xml:space="preserve">info@tg21.ru, opt@tg21.ru </t>
  </si>
  <si>
    <t>http://техноград21.рф/</t>
  </si>
  <si>
    <t>Строительный инструмент, Строительный магазин, Электро- и бензоинструмент</t>
  </si>
  <si>
    <t>http://vk.com/tehnograd21</t>
  </si>
  <si>
    <t>47.883111 56.633562</t>
  </si>
  <si>
    <t>47.891085 56.62913</t>
  </si>
  <si>
    <t>Водоканал Строй</t>
  </si>
  <si>
    <t>+7 (8362) 22-28-30</t>
  </si>
  <si>
    <t>47.925354 56.638917</t>
  </si>
  <si>
    <t>+7 (8362) 94-51-22</t>
  </si>
  <si>
    <t>47.933452 56.644112</t>
  </si>
  <si>
    <t>Спэко</t>
  </si>
  <si>
    <t>+7 (831) 214-08-01</t>
  </si>
  <si>
    <t xml:space="preserve">info@speco.ru  </t>
  </si>
  <si>
    <t>https://speco.ru/</t>
  </si>
  <si>
    <t>Лакокрасочные материалы, Окрасочное оборудование, Промышленное оборудование</t>
  </si>
  <si>
    <t>https://www.instagram.com/speco_powder_coating</t>
  </si>
  <si>
    <t>Молочный магазин, Продукты питания оптом</t>
  </si>
  <si>
    <t>47.886126 56.619898</t>
  </si>
  <si>
    <t>47.849183 56.642029</t>
  </si>
  <si>
    <t>Ретро FM 106. 5 FM</t>
  </si>
  <si>
    <t>+7 (8362) 41-38-78, +7 (8362) 76-10-65</t>
  </si>
  <si>
    <t>http://радиовйошкароле.рф/, http://yo.retrofm.ru/</t>
  </si>
  <si>
    <t>пн 09:00–18:00; вт-пт круглосуточно</t>
  </si>
  <si>
    <t>https://vk.com/retrofm_yola</t>
  </si>
  <si>
    <t>Coffee cup</t>
  </si>
  <si>
    <t>+7 (8362) 41-10-81</t>
  </si>
  <si>
    <t>Ногтевой сервис</t>
  </si>
  <si>
    <t>47.892563 56.63837</t>
  </si>
  <si>
    <t>Кекс, производственный цех</t>
  </si>
  <si>
    <t>Товары для животных оптом</t>
  </si>
  <si>
    <t>Кмп-газ</t>
  </si>
  <si>
    <t>8 (800) 551-07-57</t>
  </si>
  <si>
    <t>http://yoshkar-ola.kmp-gaz.ru/</t>
  </si>
  <si>
    <t>Котлы и котельное оборудование, Отопительное оборудование и системы, Теплоснабжение</t>
  </si>
  <si>
    <t>47.880534 56.636497</t>
  </si>
  <si>
    <t>ДуксАвто</t>
  </si>
  <si>
    <t>+7 (8362) 91-59-44</t>
  </si>
  <si>
    <t>+7 (987) 726-98-51, +7 (987) 714-65-10, +7 (902) 101-16-50</t>
  </si>
  <si>
    <t xml:space="preserve">duxavto@inbox.ru  </t>
  </si>
  <si>
    <t>http://duxavto.ru/</t>
  </si>
  <si>
    <t>Запчасти для автобусов, Магазин автозапчастей и автотоваров, Производство и оптовая продажа автозапчастей</t>
  </si>
  <si>
    <t>47.833349 56.628783</t>
  </si>
  <si>
    <t>Церковь иконы Божией Матери Всех скорбящих Радость</t>
  </si>
  <si>
    <t>47.855636 56.65366</t>
  </si>
  <si>
    <t>47.835302 56.635891</t>
  </si>
  <si>
    <t>http://vk.com/butikneglizhe</t>
  </si>
  <si>
    <t>http://twitter.com/butikneglizhe</t>
  </si>
  <si>
    <t>http://facebook.com/pages/%D0%91%D1%83%D1%82%D0%B8%D0%BA-%D0%BD%D0%B8%D0%B6%D0%BD%D0%B5%D0%B3%D0%BE-%D0%B1%D0%B5%D0%BB%D1%8C%D1%8F-%D0%9D%D0%B5%D0%B3%D0%BB%D0%B8%D0%B6%D0%B5/1540779139468711</t>
  </si>
  <si>
    <t>http://instagram.com/butikneglizhe</t>
  </si>
  <si>
    <t>47.895649 56.63552</t>
  </si>
  <si>
    <t>+7 (960) 095-95-44, +7 (927) 877-73-00</t>
  </si>
  <si>
    <t>Информационная безопасность, Системы безопасности и охраны</t>
  </si>
  <si>
    <t>47.906749 56.630299</t>
  </si>
  <si>
    <t>FreedMan</t>
  </si>
  <si>
    <t>пт,сб 23:00–06:00</t>
  </si>
  <si>
    <t>Торговый центр Оранж</t>
  </si>
  <si>
    <t>+7 (967) 757-68-26</t>
  </si>
  <si>
    <t>https://vk.com/yolaorange</t>
  </si>
  <si>
    <t>47.865338 56.645716</t>
  </si>
  <si>
    <t>Виста-М</t>
  </si>
  <si>
    <t>+7 (8362) 33-05-65, +7 (8362) 33-18-65</t>
  </si>
  <si>
    <t>ГБУ Перинатальный центр Акушерское ОПБ № 2</t>
  </si>
  <si>
    <t>Обнит Йошкар-Ола</t>
  </si>
  <si>
    <t>8 (800) 555-02-84</t>
  </si>
  <si>
    <t>+7 (965) 509-09-06</t>
  </si>
  <si>
    <t xml:space="preserve">yoshkar-ola@obnit.ru  </t>
  </si>
  <si>
    <t>https://yoshkar-ola.obnit.ru/</t>
  </si>
  <si>
    <t>Оптимал</t>
  </si>
  <si>
    <t>47.92267 56.630209</t>
  </si>
  <si>
    <t>M-Bus</t>
  </si>
  <si>
    <t>+7 (8362) 40-20-28</t>
  </si>
  <si>
    <t>+7 (927) 880-66-54, +7 (902) 329-03-33, +7 (919) 415-36-37</t>
  </si>
  <si>
    <t>Автоаксессуары, Автосервис, автотехцентр, Магазин автозапчастей и автотоваров</t>
  </si>
  <si>
    <t>Ермак</t>
  </si>
  <si>
    <t>+7 (8362) 38-01-40</t>
  </si>
  <si>
    <t>47.897344 56.634432</t>
  </si>
  <si>
    <t>Развал-схождение</t>
  </si>
  <si>
    <t>Севлан</t>
  </si>
  <si>
    <t>+7 (937) 939-43-53</t>
  </si>
  <si>
    <t>Городское благоустройство, Строительная компания</t>
  </si>
  <si>
    <t>Ценопад</t>
  </si>
  <si>
    <t>Советская ул., 173А, Йошкар-Ола</t>
  </si>
  <si>
    <t>пн-пт 08:45–19:30; сб,вс 09:00–19:00</t>
  </si>
  <si>
    <t>47.889898 56.62522</t>
  </si>
  <si>
    <t>ИП Лучинин Д. Ф.</t>
  </si>
  <si>
    <t>47.880309 56.621855</t>
  </si>
  <si>
    <t>Белый эскиз</t>
  </si>
  <si>
    <t>+7 (967) 758-50-68, +7 (987) 711-40-26</t>
  </si>
  <si>
    <t xml:space="preserve">8b4e078a51d04e0e9efdf470027f0ec1@sentry.wixpress.com, whitescetch@gmail.com </t>
  </si>
  <si>
    <t>47.917151 56.637876</t>
  </si>
  <si>
    <t>+7 (8362) 35-72-22</t>
  </si>
  <si>
    <t>47.901279 56.636605</t>
  </si>
  <si>
    <t>Изоляционные работы, Окна, Остекление балконов и лоджий</t>
  </si>
  <si>
    <t>Мир Квартир</t>
  </si>
  <si>
    <t>+7 (902) 436-55-00</t>
  </si>
  <si>
    <t>Восторг</t>
  </si>
  <si>
    <t>47.923587 56.629863</t>
  </si>
  <si>
    <t>Фабрика</t>
  </si>
  <si>
    <t>Пиломатериалы, Специализированные строительные работы, Строительство бань и саун, Строительство дачных домов и коттеджей</t>
  </si>
  <si>
    <t>ПивоварЪ</t>
  </si>
  <si>
    <t>+7 (967) 758-50-60</t>
  </si>
  <si>
    <t>47.895278 56.635593</t>
  </si>
  <si>
    <t>Хмель и солод</t>
  </si>
  <si>
    <t>+7 (937) 930-93-10</t>
  </si>
  <si>
    <t>ежедневно, 11:00–00:00</t>
  </si>
  <si>
    <t>https://vk.com/club_rozlivnoe_pivo</t>
  </si>
  <si>
    <t>https://instagram.com/khmel_i_solod</t>
  </si>
  <si>
    <t>47.831341 56.646831</t>
  </si>
  <si>
    <t>Замки. Люстры</t>
  </si>
  <si>
    <t>+7 (8362) 45-12-17</t>
  </si>
  <si>
    <t>Магазин электротоваров, Мебельная фурнитура и комплектующие, Светильники</t>
  </si>
  <si>
    <t>Fashion republic</t>
  </si>
  <si>
    <t>Магазин детской одежды, Магазин одежды, Ремонт одежды</t>
  </si>
  <si>
    <t>47.880668 56.637957</t>
  </si>
  <si>
    <t>пн-пт 09:00–19:00, перерыв 13:00–14:00; сб 10:00–18:00, перерыв 13:00–14:00; вс 10:00–17:00, перерыв 13:00–14:00</t>
  </si>
  <si>
    <t>47.889518 56.642672</t>
  </si>
  <si>
    <t>Вятка-банк. Операционный Офис Ленинский 12</t>
  </si>
  <si>
    <t>+7 (8362) 21-22-22, +7 (8362) 21-04-04</t>
  </si>
  <si>
    <t>Автотент12</t>
  </si>
  <si>
    <t>+7 (8362) 25-63-50</t>
  </si>
  <si>
    <t>+7 (902) 672-20-92</t>
  </si>
  <si>
    <t xml:space="preserve">avtotent12@mail.ru  </t>
  </si>
  <si>
    <t>Автосервис, автотехцентр, Автотенты и пологи, Металлоконструкции</t>
  </si>
  <si>
    <t>https://vk.com/avtotent12</t>
  </si>
  <si>
    <t>47.833052 56.626743</t>
  </si>
  <si>
    <t>Отопительная котельная №37 Заречная МУП Йошкар-Олинская ТЭЦ-1</t>
  </si>
  <si>
    <t>ул. Мира, 70А, Йошкар-Ола</t>
  </si>
  <si>
    <t>47.936018 56.639155</t>
  </si>
  <si>
    <t>47.85594 56.650671</t>
  </si>
  <si>
    <t>Строй Групп</t>
  </si>
  <si>
    <t>47.915117 56.64437</t>
  </si>
  <si>
    <t>Республиканская клиническая больница, корпус № 2</t>
  </si>
  <si>
    <t>47.884145 56.648559</t>
  </si>
  <si>
    <t>+7 (8362) 23-42-12, +7 (8362) 24-08-28</t>
  </si>
  <si>
    <t>+7 (902) 433-28-22, +7 (967) 757-42-12</t>
  </si>
  <si>
    <t>Ветеринарная аптека, Гостиница для животных, Зоомагазин</t>
  </si>
  <si>
    <t>47.904793 56.642961</t>
  </si>
  <si>
    <t>47.870514 56.645511</t>
  </si>
  <si>
    <t>47.864445 56.646635</t>
  </si>
  <si>
    <t>Комиссар профи</t>
  </si>
  <si>
    <t>Solara</t>
  </si>
  <si>
    <t>NEOкухни</t>
  </si>
  <si>
    <t>+7 (8362) 36-19-15</t>
  </si>
  <si>
    <t>http://неокухни.рф/</t>
  </si>
  <si>
    <t>https://vk.com/neokuhni21</t>
  </si>
  <si>
    <t>https://www.instagram.com/neokuhni21</t>
  </si>
  <si>
    <t>47.832905 56.641649</t>
  </si>
  <si>
    <t>Магазин Горящих Путевок</t>
  </si>
  <si>
    <t>+7 (495) 232-99-77, +7 (8362) 38-03-00, +7 (495) 956-31-51</t>
  </si>
  <si>
    <t xml:space="preserve">tver11@mgp.ru, go@mgptver.ru  </t>
  </si>
  <si>
    <t>https://mgp.ru/</t>
  </si>
  <si>
    <t>https://vk.com/public_mgp</t>
  </si>
  <si>
    <t>https://www.facebook.com/mgp.ru</t>
  </si>
  <si>
    <t>https://www.instagram.com/mgp_russia</t>
  </si>
  <si>
    <t>47.885896 56.626968</t>
  </si>
  <si>
    <t>2-й Кирпичный пр., 14, Йошкар-Ола</t>
  </si>
  <si>
    <t>47.945458 56.616937</t>
  </si>
  <si>
    <t>Феличита</t>
  </si>
  <si>
    <t>Сернурский опытно-производственный завод</t>
  </si>
  <si>
    <t>+7 (8362) 42-98-01, +7 (8362) 41-32-18, +7 (8362) 41-67-77, +7 (8362) 30-50-03, +7 (8362) 41-76-56</t>
  </si>
  <si>
    <t>+7 (8362) 42-98-01</t>
  </si>
  <si>
    <t xml:space="preserve">agrosector12@mail.ru, o.kad@mail.ru  </t>
  </si>
  <si>
    <t>http://www.sopz.ru/</t>
  </si>
  <si>
    <t>http://vk.com/ooo_sopz</t>
  </si>
  <si>
    <t>Apis</t>
  </si>
  <si>
    <t>+7 (929) 887-83-37</t>
  </si>
  <si>
    <t>пн-чт 10:00–00:00; пт,сб 10:00–02:00; вс 10:00–00:00</t>
  </si>
  <si>
    <t>https://vk.com/apis_sushi_yo</t>
  </si>
  <si>
    <t>47.919174 56.635627</t>
  </si>
  <si>
    <t>8 (800) 333-33-03</t>
  </si>
  <si>
    <t>+7 (964) 860-10-52</t>
  </si>
  <si>
    <t>https://corporate.baltika.ru/, http://baltika.ru/, http://corporate.baltika.ru/</t>
  </si>
  <si>
    <t>https://vk.com/baltika_company</t>
  </si>
  <si>
    <t>РОО Марий ушем Союз Мари</t>
  </si>
  <si>
    <t>+7 (8362) 91-99-65</t>
  </si>
  <si>
    <t>+7 (964) 861-87-61</t>
  </si>
  <si>
    <t>ул. Суворова, 9Б/2, Йошкар-Ола</t>
  </si>
  <si>
    <t>47.869138 56.632369</t>
  </si>
  <si>
    <t>+7 (917) 708-86-03, +7 (929) 734-61-36</t>
  </si>
  <si>
    <t xml:space="preserve">an_professional@bk.ru  </t>
  </si>
  <si>
    <t>http://www.anprofi12.ru/</t>
  </si>
  <si>
    <t>Магазин от Звениговского мясокомбината</t>
  </si>
  <si>
    <t>47.878056 56.639224</t>
  </si>
  <si>
    <t>Центр Tomatis®</t>
  </si>
  <si>
    <t>+7 (8362) 32-03-05</t>
  </si>
  <si>
    <t>+7 (927) 882-03-05</t>
  </si>
  <si>
    <t xml:space="preserve">tomatismariel@gmail.com  </t>
  </si>
  <si>
    <t>http://www.tomatis.com/ru</t>
  </si>
  <si>
    <t>https://vk.com/tomatisyoshkarola</t>
  </si>
  <si>
    <t>47.911236 56.628167</t>
  </si>
  <si>
    <t>+7 (927) 682-37-26</t>
  </si>
  <si>
    <t>Ателье по пошиву одежды, Ремонт сумок и чемоданов</t>
  </si>
  <si>
    <t>ежедневно, 09:00–17:00, перерыв 13:30–14:00</t>
  </si>
  <si>
    <t>47.887964 56.632975</t>
  </si>
  <si>
    <t>Товары для дома, Товары для праздника</t>
  </si>
  <si>
    <t>пн-пт 08:00–19:30; сб,вс 08:00–19:00</t>
  </si>
  <si>
    <t>47.946753 56.637299</t>
  </si>
  <si>
    <t>Photo-Hunter</t>
  </si>
  <si>
    <t>8 (800) 775-61-97</t>
  </si>
  <si>
    <t xml:space="preserve">info@photo-hunter.org  </t>
  </si>
  <si>
    <t>https://yoshkarola.photo-hunter.org/</t>
  </si>
  <si>
    <t>Интернет-магазин, Товары для отдыха и туризма, Товары для охоты</t>
  </si>
  <si>
    <t>47.895098 56.632277</t>
  </si>
  <si>
    <t>Психолог</t>
  </si>
  <si>
    <t>47.83854 56.64159</t>
  </si>
  <si>
    <t>47.887673 56.615379</t>
  </si>
  <si>
    <t>ТНТ 8-канал</t>
  </si>
  <si>
    <t>Телекомпания</t>
  </si>
  <si>
    <t>47.896958 56.640561</t>
  </si>
  <si>
    <t>Опора</t>
  </si>
  <si>
    <t>+7 (8362) 31-44-10, +7 (8362) 31-33-73</t>
  </si>
  <si>
    <t>+7 (904) 724-44-10</t>
  </si>
  <si>
    <t>http://www.opora-russia.ru/</t>
  </si>
  <si>
    <t>Общественная организация, Социальная служба</t>
  </si>
  <si>
    <t>СЗ Митра-Плюс</t>
  </si>
  <si>
    <t>+7 (8362) 61-55-55, +7 (8362) 34-11-22</t>
  </si>
  <si>
    <t xml:space="preserve">mitraplus@bk.ru, sale@mitraplus.ru, admin@mitraplus.ru  </t>
  </si>
  <si>
    <t>https://www.mitraplus.ru/</t>
  </si>
  <si>
    <t>https://www.instagram.com/yola_kvartira/</t>
  </si>
  <si>
    <t>47.894834 56.64646</t>
  </si>
  <si>
    <t>47.832348 56.639975</t>
  </si>
  <si>
    <t>47.820131 56.627126</t>
  </si>
  <si>
    <t>Доверие</t>
  </si>
  <si>
    <t>47.892214 56.627666</t>
  </si>
  <si>
    <t>47.901452 56.633395</t>
  </si>
  <si>
    <t>Акватория</t>
  </si>
  <si>
    <t xml:space="preserve">info@kronospan.spb.ru </t>
  </si>
  <si>
    <t>47.880584 56.613856</t>
  </si>
  <si>
    <t>47.863766 56.648613</t>
  </si>
  <si>
    <t>+7 (8362) 90-20-80</t>
  </si>
  <si>
    <t>ЖБИ, Металлопрокат</t>
  </si>
  <si>
    <t>+7 (8362) 52-90-56</t>
  </si>
  <si>
    <t>47.916516 56.631513</t>
  </si>
  <si>
    <t>Наши люди</t>
  </si>
  <si>
    <t>+7 (8362) 77-01-17</t>
  </si>
  <si>
    <t>+7 (902) 326-78-44</t>
  </si>
  <si>
    <t xml:space="preserve">av@antrip.ru, eu@antrip.ru, travel@antrip.ru  </t>
  </si>
  <si>
    <t>https://antrip.ru/</t>
  </si>
  <si>
    <t>пн-пт 10:00–19:00; сб 11:00–17:00</t>
  </si>
  <si>
    <t>Срочный ремонт оуви</t>
  </si>
  <si>
    <t>Весёлая Затея Русский Фейерверк Русская Пиротехника Праздниксити</t>
  </si>
  <si>
    <t>+7 (937) 112-34-29</t>
  </si>
  <si>
    <t xml:space="preserve">info@orf.ru  </t>
  </si>
  <si>
    <t>http://www.prazdnikcity.ru/</t>
  </si>
  <si>
    <t>Интернет-магазин, Товары для праздника, Фейерверки и пиротехника</t>
  </si>
  <si>
    <t>https://vk.com/veselya.zateya</t>
  </si>
  <si>
    <t>https://www.instagram.com/veselaya.zateya12</t>
  </si>
  <si>
    <t>47.892933 56.636053</t>
  </si>
  <si>
    <t>Приличное место</t>
  </si>
  <si>
    <t>47.932641 56.637582</t>
  </si>
  <si>
    <t>47.842278 56.638387</t>
  </si>
  <si>
    <t>+7 (8362) 75-85-15</t>
  </si>
  <si>
    <t xml:space="preserve">versal-mebel@mail.ru  </t>
  </si>
  <si>
    <t>http://versalzakazmebel.ru/</t>
  </si>
  <si>
    <t>47.855842 56.643633</t>
  </si>
  <si>
    <t>Латитудо</t>
  </si>
  <si>
    <t>8 (800) 505-45-40</t>
  </si>
  <si>
    <t xml:space="preserve">market@latitudo.ru, zakaz@latitudo.ru  </t>
  </si>
  <si>
    <t>https://yoshkarola.latitudo.ru/</t>
  </si>
  <si>
    <t>Зимние сады, веранды, террасы, Напольные покрытия, Фасады и фасадные системы</t>
  </si>
  <si>
    <t>https://vk.com/latitudo</t>
  </si>
  <si>
    <t>https://www.facebook.com/latitudo.ru/</t>
  </si>
  <si>
    <t>https://www.instagram.com/latitudo_ru</t>
  </si>
  <si>
    <t>Тахосервис</t>
  </si>
  <si>
    <t>+7 (8362) 29-20-00</t>
  </si>
  <si>
    <t>+7 (917) 702-75-55</t>
  </si>
  <si>
    <t xml:space="preserve">darkcow@mail.ru, taxoservice@mail.ru  </t>
  </si>
  <si>
    <t>Автомобильные тахографы, Изготовление номерных знаков</t>
  </si>
  <si>
    <t>вт-пт 08:30–18:00; сб 08:30–16:00</t>
  </si>
  <si>
    <t>https://vk.com/taxo12</t>
  </si>
  <si>
    <t>47.883802 56.609868</t>
  </si>
  <si>
    <t>Я-артист</t>
  </si>
  <si>
    <t>+7 (8362) 40-17-13</t>
  </si>
  <si>
    <t>+7 (964) 862-84-06</t>
  </si>
  <si>
    <t xml:space="preserve">sapierova2013@mail.ru  </t>
  </si>
  <si>
    <t>Курсы и мастер-классы, Творческий коллектив</t>
  </si>
  <si>
    <t>https://vk.com/ya_artist_12</t>
  </si>
  <si>
    <t>ул. Шевцовой, 13, Йошкар-Ола</t>
  </si>
  <si>
    <t>47.944367 56.638927</t>
  </si>
  <si>
    <t>Прогресс, ТСЖ</t>
  </si>
  <si>
    <t>ул. Васильева, 8Б, Йошкар-Ола</t>
  </si>
  <si>
    <t>47.825093 56.636328</t>
  </si>
  <si>
    <t>Кругосветка</t>
  </si>
  <si>
    <t>+7 (8362) 98-08-28</t>
  </si>
  <si>
    <t xml:space="preserve">krugosvetka12@yandex.ru  </t>
  </si>
  <si>
    <t>https://vk.com/krugosvetka12</t>
  </si>
  <si>
    <t>47.884835 56.609578</t>
  </si>
  <si>
    <t>Идеальная Кровля, Склад</t>
  </si>
  <si>
    <t>+7 (917) 719-22-22, +7 (917) 719-88-88</t>
  </si>
  <si>
    <t>47.876708 56.624206</t>
  </si>
  <si>
    <t>47.922445 56.635717</t>
  </si>
  <si>
    <t>ул. Карла Либкнехта, 106Д, Йошкар-Ола</t>
  </si>
  <si>
    <t>47.934538 56.625756</t>
  </si>
  <si>
    <t>Макслен</t>
  </si>
  <si>
    <t>Маленькое Чикаго</t>
  </si>
  <si>
    <t>+7 (8362) 20-55-55</t>
  </si>
  <si>
    <t>+7 (967) 757-80-00</t>
  </si>
  <si>
    <t>пн-чт 09:00–00:00; пт,сб 09:00–01:00; вс 12:00–00:00</t>
  </si>
  <si>
    <t>http://vk.com/malenkoe_chicago</t>
  </si>
  <si>
    <t>http://www.facebook.com/groups/cafe12/</t>
  </si>
  <si>
    <t>https://www.instagram.com/malenkoe_chicago/</t>
  </si>
  <si>
    <t>47.894664 56.630795</t>
  </si>
  <si>
    <t>Энергетическая организация</t>
  </si>
  <si>
    <t>47.866076 56.63864</t>
  </si>
  <si>
    <t>Оценочная деятельность</t>
  </si>
  <si>
    <t>ул. Калинина, 25, Йошкар-Ола</t>
  </si>
  <si>
    <t>+7 (902) 124-81-40</t>
  </si>
  <si>
    <t>47.840975 56.650231</t>
  </si>
  <si>
    <t>47.917197 56.641646</t>
  </si>
  <si>
    <t>47.964024 56.641705</t>
  </si>
  <si>
    <t>Студия Красоты Diamond</t>
  </si>
  <si>
    <t>+7 (937) 117-77-00</t>
  </si>
  <si>
    <t>сквер имени Наты Бабушкиной</t>
  </si>
  <si>
    <t>Россия, Республика Марий Эл, Йошкар-Ола, сквер имени Наты Бабушкиной</t>
  </si>
  <si>
    <t>47.890528 56.626991</t>
  </si>
  <si>
    <t>47.853844 56.650419</t>
  </si>
  <si>
    <t>47.881625 56.634961</t>
  </si>
  <si>
    <t>ул. Кирова, 18, Йошкар-Ола</t>
  </si>
  <si>
    <t>47.932902 56.635555</t>
  </si>
  <si>
    <t>Пив залив</t>
  </si>
  <si>
    <t>47.830526 56.632272</t>
  </si>
  <si>
    <t>СТ</t>
  </si>
  <si>
    <t>47.913512 56.642753</t>
  </si>
  <si>
    <t>ГК Восход</t>
  </si>
  <si>
    <t>пер. Тельмана, 54, Йошкар-Ола</t>
  </si>
  <si>
    <t>+7 (8362) 46-39-23</t>
  </si>
  <si>
    <t>47.959596 56.644324</t>
  </si>
  <si>
    <t>English Studio</t>
  </si>
  <si>
    <t>+7 (902) 737-05-17</t>
  </si>
  <si>
    <t>Китайская косметика</t>
  </si>
  <si>
    <t>+7 (8362) 49-65-83</t>
  </si>
  <si>
    <t xml:space="preserve">info@chinacosmetic.ru  </t>
  </si>
  <si>
    <t>https://chinacosmetic.ru/</t>
  </si>
  <si>
    <t>Интернет-магазин, Магазин парфюмерии и косметики</t>
  </si>
  <si>
    <t>https://vk.com/chinacosmetics</t>
  </si>
  <si>
    <t>https://www.instagram.com/cosmetic_china/</t>
  </si>
  <si>
    <t>Проектная организация Дорпроект</t>
  </si>
  <si>
    <t>+7 (8362) 38-31-80</t>
  </si>
  <si>
    <t>Экскурсионное агентство Царевококшайск</t>
  </si>
  <si>
    <t>+7 (902) 430-29-99, +7 (902) 738-77-88</t>
  </si>
  <si>
    <t xml:space="preserve">mdubovsky1964@mail.ru, example@domain.ru  </t>
  </si>
  <si>
    <t>http://tur12.ru/</t>
  </si>
  <si>
    <t>+7 (987) 727-54-86, +7 (977) 867-67-40</t>
  </si>
  <si>
    <t>47.924534 56.641507</t>
  </si>
  <si>
    <t>Октябрь</t>
  </si>
  <si>
    <t>+7 (8362) 30-43-83, +7 (8362) 30-45-50, +7 (8362) 66-30-99</t>
  </si>
  <si>
    <t xml:space="preserve">opc@opc.by, info@opc.by </t>
  </si>
  <si>
    <t>http://grandkino.ru/, http://rcrossia.ru/cinema/october/, http://www.rcrossia.ru/</t>
  </si>
  <si>
    <t>пн-ср 08:30–00:00; чт-вс 08:30–23:00</t>
  </si>
  <si>
    <t>http://vk.com/club28539801</t>
  </si>
  <si>
    <t>http://twitter.com/rcrossia</t>
  </si>
  <si>
    <t>http://instagram.com/kinoteatr_october</t>
  </si>
  <si>
    <t>47.891616 56.638477</t>
  </si>
  <si>
    <t>Магазин бытовой техники и посуды</t>
  </si>
  <si>
    <t>Детский сад № 54 Тёплые ладошки</t>
  </si>
  <si>
    <t>бул. 70-летия Победы в Великой Отечественной войне, 4А, Йошкар-Ола</t>
  </si>
  <si>
    <t>47.921466 56.641312</t>
  </si>
  <si>
    <t>Ваш Сервис</t>
  </si>
  <si>
    <t>+7 (991) 372-72-15</t>
  </si>
  <si>
    <t>https://market7p.wixsite.com/i-ola</t>
  </si>
  <si>
    <t>47.925511 56.641275</t>
  </si>
  <si>
    <t>Nice ceiling</t>
  </si>
  <si>
    <t>47.842099 56.632619</t>
  </si>
  <si>
    <t>ТТС</t>
  </si>
  <si>
    <t>http://www.tts.ru/</t>
  </si>
  <si>
    <t>47.928077 56.626075</t>
  </si>
  <si>
    <t>47.938225 56.635834</t>
  </si>
  <si>
    <t>47.839748 56.634769</t>
  </si>
  <si>
    <t>Оршанское ш., 34, Йошкар-Ола</t>
  </si>
  <si>
    <t>+7 (987) 707-70-13</t>
  </si>
  <si>
    <t>47.897943 56.650533</t>
  </si>
  <si>
    <t>+7 (8362) 54-09-92</t>
  </si>
  <si>
    <t>+7 (960) 094-80-80</t>
  </si>
  <si>
    <t>47.847775 56.651579</t>
  </si>
  <si>
    <t>Сидоровское кладбище</t>
  </si>
  <si>
    <t>Россия, Республика Марий Эл, Йошкар-Ола, Сидоровское кладбище</t>
  </si>
  <si>
    <t>47.884456 56.597831</t>
  </si>
  <si>
    <t>Пивзавод Старый Георг</t>
  </si>
  <si>
    <t>Кирпичная ул., 3А, Йошкар-Ола</t>
  </si>
  <si>
    <t>47.944838 56.627188</t>
  </si>
  <si>
    <t>Часики12</t>
  </si>
  <si>
    <t xml:space="preserve">chasiki12@bk.ru  </t>
  </si>
  <si>
    <t>пн-пт 11:00–19:30; сб 10:00–19:30; вс 10:00–18:00</t>
  </si>
  <si>
    <t>https://vk.com/shopchasiki12</t>
  </si>
  <si>
    <t>Бебишкола</t>
  </si>
  <si>
    <t>+7 (8362) 90-75-72, +7 (8362) 25-02-22</t>
  </si>
  <si>
    <t>Детский лагерь отдыха, Детский сад, Клуб для детей и подростков, Логопеды, Центр развития ребенка</t>
  </si>
  <si>
    <t>https://vk.com/detsadbaby</t>
  </si>
  <si>
    <t>47.882606 56.633315</t>
  </si>
  <si>
    <t>СпортИнвентарь</t>
  </si>
  <si>
    <t>+7 (937) 930-85-22</t>
  </si>
  <si>
    <t xml:space="preserve">mail@sportinv.ru  </t>
  </si>
  <si>
    <t>https://vk.com/sportinv12</t>
  </si>
  <si>
    <t>https://www.instagram.com/sportinv12/</t>
  </si>
  <si>
    <t>47.962451 56.632954</t>
  </si>
  <si>
    <t>Школа мебельного проектирования Тимура Бутакова</t>
  </si>
  <si>
    <t>+7 (917) 718-33-58</t>
  </si>
  <si>
    <t xml:space="preserve">info@bcad-design.ru, timbutakov@ngs.ru </t>
  </si>
  <si>
    <t>http://bcad-design.ru/</t>
  </si>
  <si>
    <t>Дополнительное образование, Компьютерные курсы, Курсы и мастер-классы</t>
  </si>
  <si>
    <t>ARTline</t>
  </si>
  <si>
    <t>https://vk.com/art_line_12</t>
  </si>
  <si>
    <t>ул. Баумана, 6, Йошкар-Ола</t>
  </si>
  <si>
    <t>+7 (964) 861-73-81</t>
  </si>
  <si>
    <t>47.842323 56.643762</t>
  </si>
  <si>
    <t>Бирюза</t>
  </si>
  <si>
    <t>47.885755 56.635611</t>
  </si>
  <si>
    <t>Малая сауна</t>
  </si>
  <si>
    <t>47.881761 56.645261</t>
  </si>
  <si>
    <t>Зорб</t>
  </si>
  <si>
    <t>47.892322 56.637663</t>
  </si>
  <si>
    <t>Спартанец</t>
  </si>
  <si>
    <t xml:space="preserve">14370afcdc17429f9e418d5ffbd0334a@sentry.wixpress.com, tekendo@mail.ru, wixofday@wix.com  </t>
  </si>
  <si>
    <t>http://bkspartan.com/</t>
  </si>
  <si>
    <t>47.928498 56.637234</t>
  </si>
  <si>
    <t>MozgeN</t>
  </si>
  <si>
    <t>+7 (969) 778-72-60</t>
  </si>
  <si>
    <t xml:space="preserve">14370afcdc17429f9e418d5ffbd0334a@sentry.wixpress.com, almanax080@gmail.com, wixofday@wix.com  </t>
  </si>
  <si>
    <t>https://www.yoshkacomp.net/</t>
  </si>
  <si>
    <t>Универсам Магнит у дома</t>
  </si>
  <si>
    <t>47.870188 56.6453</t>
  </si>
  <si>
    <t>https://vk.com/idledysharm1243</t>
  </si>
  <si>
    <t>47.892678 56.638494</t>
  </si>
  <si>
    <t>Пушистый Модник</t>
  </si>
  <si>
    <t>Зоосалон, зоопарикмахерская</t>
  </si>
  <si>
    <t>Здраvaki</t>
  </si>
  <si>
    <t>+7 (8362) 25-03-03</t>
  </si>
  <si>
    <t xml:space="preserve">250303@zdravaki.ru  </t>
  </si>
  <si>
    <t>https://zdravaki.ru/</t>
  </si>
  <si>
    <t>пн-пт 07:30–20:30; сб,вс 08:00–15:00</t>
  </si>
  <si>
    <t>https://vk.com/zdravaki</t>
  </si>
  <si>
    <t>https://www.instagram.com/zdravaki/</t>
  </si>
  <si>
    <t>47.836093 56.642131</t>
  </si>
  <si>
    <t>Марфа рукоделкина</t>
  </si>
  <si>
    <t>+7 (917) 715-43-15</t>
  </si>
  <si>
    <t>https://vk.com/marfarukodelkina</t>
  </si>
  <si>
    <t>47.884278 56.633365</t>
  </si>
  <si>
    <t>ул. Чернякова, 9, Йошкар-Ола</t>
  </si>
  <si>
    <t>47.820751 56.632303</t>
  </si>
  <si>
    <t>47.892669 56.638292</t>
  </si>
  <si>
    <t>+7 (960) 091-98-77</t>
  </si>
  <si>
    <t>47.901396 56.617536</t>
  </si>
  <si>
    <t>47.883756 56.642487</t>
  </si>
  <si>
    <t>Компания Radison</t>
  </si>
  <si>
    <t>+7 (8362) 52-52-40, +7 (8362) 55-07-55</t>
  </si>
  <si>
    <t>+7 (967) 755-07-55</t>
  </si>
  <si>
    <t xml:space="preserve">info@radison12.ru </t>
  </si>
  <si>
    <t>Ателье по пошиву одежды, Магазин постельных принадлежностей, Текстильная компания, Трикотаж, трикотажные изделия, Швейная фабрика</t>
  </si>
  <si>
    <t>MirVR</t>
  </si>
  <si>
    <t xml:space="preserve">mirvr.yola@gmail.com  </t>
  </si>
  <si>
    <t>https://mirvryola.ru/</t>
  </si>
  <si>
    <t>Клуб виртуальной реальности, Развлекательный центр</t>
  </si>
  <si>
    <t>http://facebook.com/mirvr.yola</t>
  </si>
  <si>
    <t>http://instagram.com/mirvr.yola</t>
  </si>
  <si>
    <t>47.896858 56.633685</t>
  </si>
  <si>
    <t>Русь-Телеком</t>
  </si>
  <si>
    <t>+7 (8362) 56-35-23, +7 (8362) 56-27-10, +7 (8362) 23-29-59, +7 (8362) 30-55-77, +7 (8362) 73-00-50</t>
  </si>
  <si>
    <t xml:space="preserve">info@alfanets.ru </t>
  </si>
  <si>
    <t>http://www.alfanets.ru/</t>
  </si>
  <si>
    <t>47.9409 56.6232</t>
  </si>
  <si>
    <t>47.952769 56.640501</t>
  </si>
  <si>
    <t>Aurora Home</t>
  </si>
  <si>
    <t>8 (800) 550-50-48</t>
  </si>
  <si>
    <t xml:space="preserve">dmfavrora@mail.ru, sale@dmfavrora.ru, sbitn@dmfavrora.ru, vladimir-sbit@dmfavrora.ru, sveta-sbit@dmfavrora.ru, nina-sbit@dmfavrora.ru, sbit3@dmfavrora.ru, sbit2@dmfavrora.ru </t>
  </si>
  <si>
    <t>http://www.dmfavrora.ru/</t>
  </si>
  <si>
    <t>ул. Яна Крастыня, 4Г, Йошкар-Ола</t>
  </si>
  <si>
    <t>47.826057 56.632013</t>
  </si>
  <si>
    <t>Водопроводная ул., 2, Йошкар-Ола</t>
  </si>
  <si>
    <t>Кафе, Магазин кулинарии, Магазин продуктов</t>
  </si>
  <si>
    <t>47.909185 56.645502</t>
  </si>
  <si>
    <t>Советская ул., 174/3, Йошкар-Ола</t>
  </si>
  <si>
    <t>Деталька</t>
  </si>
  <si>
    <t>Двери, Установка, ремонт и вскрытие замков</t>
  </si>
  <si>
    <t>47.871037 56.642382</t>
  </si>
  <si>
    <t>Окна Престиж 1</t>
  </si>
  <si>
    <t>+7 (8362) 50-44-05</t>
  </si>
  <si>
    <t>+7 (964) 862-38-28</t>
  </si>
  <si>
    <t xml:space="preserve">504-405okna-prestig@mail.ru  </t>
  </si>
  <si>
    <t>https://okna-yola.ru/</t>
  </si>
  <si>
    <t>пн-пт 09:00–18:00, перерыв 12:00–13:00; сб 09:00–15:00, перерыв 12:00–13:00</t>
  </si>
  <si>
    <t>https://vk.com/okna_yola</t>
  </si>
  <si>
    <t>https://www.facebook.com/prestige1corp</t>
  </si>
  <si>
    <t>https://www.youtube.com/channel/UC6cxQQjZU-bxiX-uGYYDP9A?view_as=subscriber</t>
  </si>
  <si>
    <t>https://instagram.com/prestige1_corp</t>
  </si>
  <si>
    <t>47.917699 56.629449</t>
  </si>
  <si>
    <t>ЧайКоффский</t>
  </si>
  <si>
    <t>47.929931 56.627835</t>
  </si>
  <si>
    <t>Магазин морепродуктов</t>
  </si>
  <si>
    <t>Домашние пироги</t>
  </si>
  <si>
    <t>47.89633 56.632791</t>
  </si>
  <si>
    <t>Финансовый консультант</t>
  </si>
  <si>
    <t>8 (800) 201-42-53</t>
  </si>
  <si>
    <t>+7 (996) 115-42-53</t>
  </si>
  <si>
    <t xml:space="preserve">info-vasilkov.sv@yandex.ru  </t>
  </si>
  <si>
    <t>https://йошкар-ола.живибездолгов.рф/</t>
  </si>
  <si>
    <t>Бизнес-консалтинг, Финансовый консалтинг, Юридические услуги</t>
  </si>
  <si>
    <t>https://vk.com/finans_consult12</t>
  </si>
  <si>
    <t>https://www.facebook.com/groups/802406886572633</t>
  </si>
  <si>
    <t>https://www.instagram.com/</t>
  </si>
  <si>
    <t>Мебель Max</t>
  </si>
  <si>
    <t>Корпусная мебель, Магазин мебели, Мебель для кухни, Мебель на заказ, Мягкая мебель, Студия дизайна</t>
  </si>
  <si>
    <t>47.895502 56.630453</t>
  </si>
  <si>
    <t>Beer house</t>
  </si>
  <si>
    <t>+7 (8362) 54-09-02</t>
  </si>
  <si>
    <t>БестВей</t>
  </si>
  <si>
    <t>47.888143 56.635064</t>
  </si>
  <si>
    <t>47.94772 56.624534</t>
  </si>
  <si>
    <t>Профи Style</t>
  </si>
  <si>
    <t>+7 (902) 744-99-63</t>
  </si>
  <si>
    <t>пн-пт 10:00–20:00; сб 10:00–16:00</t>
  </si>
  <si>
    <t>ЗооСад</t>
  </si>
  <si>
    <t>+7 (8362) 39-23-95</t>
  </si>
  <si>
    <t>Вятич-спорт</t>
  </si>
  <si>
    <t>+7 (8362) 38-11-38</t>
  </si>
  <si>
    <t>+7 (964) 864-89-89</t>
  </si>
  <si>
    <t xml:space="preserve">ooo_shneyder@mail.ru  </t>
  </si>
  <si>
    <t>http://vyatichbar.ru/</t>
  </si>
  <si>
    <t>пт,сб 21:00–06:00</t>
  </si>
  <si>
    <t>https://vk.com/vyatichbar</t>
  </si>
  <si>
    <t>https://www.instagram.com/vyatichbar/</t>
  </si>
  <si>
    <t>47.834669 56.642465</t>
  </si>
  <si>
    <t>Orw</t>
  </si>
  <si>
    <t>8 (800) 222-65-43</t>
  </si>
  <si>
    <t xml:space="preserve">info@orw-wheels.com  </t>
  </si>
  <si>
    <t>https://orw-wheels.com/</t>
  </si>
  <si>
    <t>МарГУ Педагогический институт, психолого-педагогический факультет</t>
  </si>
  <si>
    <t>+7 (8362) 68-79-99</t>
  </si>
  <si>
    <t>47.870682 56.623895</t>
  </si>
  <si>
    <t>МариАнна</t>
  </si>
  <si>
    <t>47.892574 56.638693</t>
  </si>
  <si>
    <t>Mobile Service</t>
  </si>
  <si>
    <t>+7 (8362) 66-97-97</t>
  </si>
  <si>
    <t>пн-пт 10:00–19:00, перерыв 14:00–15:00; сб 10:00–18:00, перерыв 14:00–15:00</t>
  </si>
  <si>
    <t>https://vk.com/id189818232</t>
  </si>
  <si>
    <t>Funny Live</t>
  </si>
  <si>
    <t>47.92956 56.629324</t>
  </si>
  <si>
    <t>Гриль-мастер</t>
  </si>
  <si>
    <t>+7 (967) 755-05-97</t>
  </si>
  <si>
    <t>Грили, мангалы, Товары для отдыха и туризма</t>
  </si>
  <si>
    <t>https://vk.com/grill12</t>
  </si>
  <si>
    <t>https://instagram.com/grilmaster12</t>
  </si>
  <si>
    <t>47.924997 56.626083</t>
  </si>
  <si>
    <t>Хроматэк Торговый Дом</t>
  </si>
  <si>
    <t>Yves Rocher</t>
  </si>
  <si>
    <t>47.863079 56.646497</t>
  </si>
  <si>
    <t>47.901274 56.643755</t>
  </si>
  <si>
    <t>Хайп</t>
  </si>
  <si>
    <t>Магазин верхней одежды, Магазин головных уборов, Магазин одежды</t>
  </si>
  <si>
    <t>Удачный выбор</t>
  </si>
  <si>
    <t>Магазин для садоводов, Магазин хозтоваров и бытовой химии, Садовый инвентарь и техника, Селекция и семеноводство, Строительный магазин</t>
  </si>
  <si>
    <t>пн 09:00–16:00; вт-вс 08:30–17:30</t>
  </si>
  <si>
    <t>47.887499 56.632669</t>
  </si>
  <si>
    <t>Магазин хозяйственных товаров</t>
  </si>
  <si>
    <t>Центральная жилищно-эксплуатационная компания № 7</t>
  </si>
  <si>
    <t>47.888287 56.641786</t>
  </si>
  <si>
    <t>47.958 56.650565</t>
  </si>
  <si>
    <t>Хром-сервис</t>
  </si>
  <si>
    <t>ул. Строителей, 95, ЛИТЕРА, Йошкар-Ола</t>
  </si>
  <si>
    <t>+7 (8362) 38-30-09</t>
  </si>
  <si>
    <t>+7 (903) 326-91-79, +7 (960) 094-38-74</t>
  </si>
  <si>
    <t>Лавка сибирских травознаев</t>
  </si>
  <si>
    <t>+7 (909) 366-35-29</t>
  </si>
  <si>
    <t>пн-пт 09:00–20:00, перерыв 12:00–17:00; сб 09:00–12:00</t>
  </si>
  <si>
    <t>Мармелад12</t>
  </si>
  <si>
    <t>+7 (8362) 33-50-95</t>
  </si>
  <si>
    <t>https://vk.com/hobbymarmelad</t>
  </si>
  <si>
    <t>Женская консультация поликлиники № 1</t>
  </si>
  <si>
    <t>+7 (8362) 21-58-05, +7 (8362) 21-58-23</t>
  </si>
  <si>
    <t xml:space="preserve">office@polik1yola.ru, mail@polik1yola.ru, informsreda@yandex.ru  </t>
  </si>
  <si>
    <t>http://portal.mari.ru/minzdrav/gp1/Pages/contacts.aspx</t>
  </si>
  <si>
    <t>47.907151 56.628273</t>
  </si>
  <si>
    <t>РИК Кама</t>
  </si>
  <si>
    <t>47.900099 56.626399</t>
  </si>
  <si>
    <t>Shoes</t>
  </si>
  <si>
    <t>47.885245 56.632606</t>
  </si>
  <si>
    <t>47.863451 56.64962</t>
  </si>
  <si>
    <t>Красный Город</t>
  </si>
  <si>
    <t>+7 (8362) 44-44-37</t>
  </si>
  <si>
    <t>Лазерная резка и гравировка, Полиграфические услуги, Рекламная продукция, Рекламное агентство, Студия дизайна, Широкоформатная печать</t>
  </si>
  <si>
    <t>https://www.instagram.com/red12town/</t>
  </si>
  <si>
    <t>47.935153 56.624097</t>
  </si>
  <si>
    <t>47.939987 56.622964</t>
  </si>
  <si>
    <t>http://либкнехта.алко-наркоклиник.рус/</t>
  </si>
  <si>
    <t>+7 (902) 107-47-00</t>
  </si>
  <si>
    <t>пн-пт 07:45–18:00</t>
  </si>
  <si>
    <t>https://vk.com/ooo_siesta</t>
  </si>
  <si>
    <t>47.842204 56.621812</t>
  </si>
  <si>
    <t>Ваш потолок</t>
  </si>
  <si>
    <t>+7 (8362) 98-26-17</t>
  </si>
  <si>
    <t>47.8688 56.609992</t>
  </si>
  <si>
    <t>Магазин одежды и обуви</t>
  </si>
  <si>
    <t>+7 (927) 680-50-04</t>
  </si>
  <si>
    <t>47.889305 56.64072</t>
  </si>
  <si>
    <t>Студия событий Жар-Птица</t>
  </si>
  <si>
    <t>47.899309 56.640805</t>
  </si>
  <si>
    <t>Текстильный склад на Пролетарской</t>
  </si>
  <si>
    <t>+7 (8362) 38-23-83</t>
  </si>
  <si>
    <t xml:space="preserve">lama2205@mail.ru  </t>
  </si>
  <si>
    <t>https://textil-mari.ru/</t>
  </si>
  <si>
    <t>Магазин одежды, Магазин постельных принадлежностей, Магазин ткани, Оптовый магазин, Текстильная компания, Товары для дома</t>
  </si>
  <si>
    <t>https://www.instagram.com/texctilchik_12</t>
  </si>
  <si>
    <t>47.889956 56.645856</t>
  </si>
  <si>
    <t>+7 (962) 590-98-19, +7 (927) 884-86-96</t>
  </si>
  <si>
    <t xml:space="preserve">opttorgovlya@yandex.ru  </t>
  </si>
  <si>
    <t>http://zoomir12.ru/</t>
  </si>
  <si>
    <t>https://www.instagram.com/zoomir12.ru</t>
  </si>
  <si>
    <t>47.907588 56.637355</t>
  </si>
  <si>
    <t>47.878409 56.630688</t>
  </si>
  <si>
    <t>Аслес</t>
  </si>
  <si>
    <t>Стильно.ру</t>
  </si>
  <si>
    <t>47.885151 56.640275</t>
  </si>
  <si>
    <t>Прием вторсырья, Цветные металлы</t>
  </si>
  <si>
    <t>ДВС</t>
  </si>
  <si>
    <t>+7 (8362) 74-14-13, +7 (8362) 44-44-11</t>
  </si>
  <si>
    <t>+7 (902) 100-44-11</t>
  </si>
  <si>
    <t>47.934334 56.635685</t>
  </si>
  <si>
    <t>+7 (902) 435-24-40</t>
  </si>
  <si>
    <t>ОкнаМастер - ремонт пластиковых окон и дверей</t>
  </si>
  <si>
    <t>+7 (937) 932-57-07</t>
  </si>
  <si>
    <t xml:space="preserve">oknamaster24@yandex.ru </t>
  </si>
  <si>
    <t>https://окнамастер24.рф/</t>
  </si>
  <si>
    <t>Москитные сетки, Окна, Стекло, стекольная продукция</t>
  </si>
  <si>
    <t>https://vk.com/remont_plastikovich_okon</t>
  </si>
  <si>
    <t>https://www.facebook.com/remontplastikovichokon/</t>
  </si>
  <si>
    <t>https://www.instagram.com/remont_plastikovich_okon</t>
  </si>
  <si>
    <t>АЗС № 2 Партнер 2</t>
  </si>
  <si>
    <t>Россия, Республика Марий Эл, Йошкар-Ола, улица Крылова</t>
  </si>
  <si>
    <t>+7 (8362) 73-50-17</t>
  </si>
  <si>
    <t>47.841874 56.618106</t>
  </si>
  <si>
    <t>47.85104 56.630287</t>
  </si>
  <si>
    <t>47.883971 56.638375</t>
  </si>
  <si>
    <t>Мобильные Решения для Строительства</t>
  </si>
  <si>
    <t xml:space="preserve">name@example.ru  </t>
  </si>
  <si>
    <t>http://mrspro.ru/</t>
  </si>
  <si>
    <t>47.897203 56.634246</t>
  </si>
  <si>
    <t>+7 (8362) 92-00-20, +7 (8362) 31-40-61</t>
  </si>
  <si>
    <t>Детская мебель, Корпусная мебель, Мебель для кухни, Мебель для офиса, Мебель на заказ, Мягкая мебель</t>
  </si>
  <si>
    <t>47.870993 56.625628</t>
  </si>
  <si>
    <t>Сколовнет12.ru</t>
  </si>
  <si>
    <t>47.869821 56.654509</t>
  </si>
  <si>
    <t>Комсомольская ул., 149/2, Йошкар-Ола</t>
  </si>
  <si>
    <t>47.893405 56.635627</t>
  </si>
  <si>
    <t>+7 (8362) 38-21-50</t>
  </si>
  <si>
    <t>47.884505 56.633852</t>
  </si>
  <si>
    <t>Домашний мастер Шаптаров Сергей</t>
  </si>
  <si>
    <t>+7 (927) 882-63-85</t>
  </si>
  <si>
    <t>Потолки Малина</t>
  </si>
  <si>
    <t>+7 (930) 063-24-84</t>
  </si>
  <si>
    <t>http://йошкар-ола.потолки-малина.рф/</t>
  </si>
  <si>
    <t>47.895395 56.632758</t>
  </si>
  <si>
    <t>1С-радиус</t>
  </si>
  <si>
    <t>47.890904 56.640101</t>
  </si>
  <si>
    <t>47.924831 56.63821</t>
  </si>
  <si>
    <t>47.884546 56.647547</t>
  </si>
  <si>
    <t>47.935341 56.634541</t>
  </si>
  <si>
    <t>Форт Боярд</t>
  </si>
  <si>
    <t>ул. Героев Сталинградской Битвы, 100, Йошкар-Ола</t>
  </si>
  <si>
    <t>+7 (8362) 29-65-09</t>
  </si>
  <si>
    <t xml:space="preserve">order.mybookshelf@gmail.com </t>
  </si>
  <si>
    <t>https://vk.com/fortboyard12</t>
  </si>
  <si>
    <t>47.944003 56.616853</t>
  </si>
  <si>
    <t>ГБУ Республиканский клинический госпиталь ветеранов войн Терапевтическое отделение № 5</t>
  </si>
  <si>
    <t>+7 (8362) 42-20-56, +7 (8362) 45-74-88, +7 (8362) 42-19-56</t>
  </si>
  <si>
    <t>47.880261 56.641003</t>
  </si>
  <si>
    <t>Эльба</t>
  </si>
  <si>
    <t>47.832862 56.641983</t>
  </si>
  <si>
    <t>ул. Строителей, 54Б, Йошкар-Ола</t>
  </si>
  <si>
    <t>47.840067 56.632954</t>
  </si>
  <si>
    <t>47.924343 56.642719</t>
  </si>
  <si>
    <t>Авто Уют</t>
  </si>
  <si>
    <t xml:space="preserve">8b4e078a51d04e0e9efdf470027f0ec1@sentry.wixpress.com, avto12u@mail.ru </t>
  </si>
  <si>
    <t>Автокресла</t>
  </si>
  <si>
    <t>пн-пт 09:00–18:00; сб 11:00–14:00</t>
  </si>
  <si>
    <t>https://vk.com/komfortkids</t>
  </si>
  <si>
    <t>Виртуальные 3d туры</t>
  </si>
  <si>
    <t xml:space="preserve">sales@360.com.ru  </t>
  </si>
  <si>
    <t>http://360.com.ru/</t>
  </si>
  <si>
    <t>https://vk.com/vir_tur</t>
  </si>
  <si>
    <t>Гринu0026Фреш</t>
  </si>
  <si>
    <t>47.935073 56.624167</t>
  </si>
  <si>
    <t>Энергостройгарант</t>
  </si>
  <si>
    <t>+7 (8362) 66-10-09</t>
  </si>
  <si>
    <t>ИПФ Стезя</t>
  </si>
  <si>
    <t>47.8688 56.620739</t>
  </si>
  <si>
    <t>Alfa Bot</t>
  </si>
  <si>
    <t>+7 (991) 797-77-07</t>
  </si>
  <si>
    <t xml:space="preserve">oleg@myalfabot.ru  </t>
  </si>
  <si>
    <t>https://myalfabot.ru/</t>
  </si>
  <si>
    <t>ул. Подольских Курсантов, 19, Йошкар-Ола</t>
  </si>
  <si>
    <t>47.861545 56.64907</t>
  </si>
  <si>
    <t>Monami</t>
  </si>
  <si>
    <t>https://vk.com/monami_yo</t>
  </si>
  <si>
    <t>https://instagram.com/monami_yo</t>
  </si>
  <si>
    <t>47.85689 56.650473</t>
  </si>
  <si>
    <t>Медицинская ул., 9Б/1, Йошкар-Ола</t>
  </si>
  <si>
    <t>47.964514 56.640599</t>
  </si>
  <si>
    <t>+7 (8362) 52-52-00, +7 (8362) 55-05-44</t>
  </si>
  <si>
    <t>+7 (967) 755-05-44, +7 (964) 862-52-00</t>
  </si>
  <si>
    <t>47.871096 56.64073</t>
  </si>
  <si>
    <t>47.919154 56.641053</t>
  </si>
  <si>
    <t>47.89056 56.64636</t>
  </si>
  <si>
    <t>+7 (8362) 44-77-24</t>
  </si>
  <si>
    <t>+7 (987) 706-38-89</t>
  </si>
  <si>
    <t>Магазин хозтоваров и бытовой химии, Садовый инвентарь и техника</t>
  </si>
  <si>
    <t>Квартиры посуточно. Йошкар-Ола</t>
  </si>
  <si>
    <t>Кофе и чай</t>
  </si>
  <si>
    <t>47.867002 56.650192</t>
  </si>
  <si>
    <t>47.9189 56.643168</t>
  </si>
  <si>
    <t>Pronto moda</t>
  </si>
  <si>
    <t>47.892815 56.638473</t>
  </si>
  <si>
    <t>+7 (961) 376-17-87</t>
  </si>
  <si>
    <t>Строй12.рф</t>
  </si>
  <si>
    <t>47.908978 56.64558</t>
  </si>
  <si>
    <t>47.895706 56.623593</t>
  </si>
  <si>
    <t>Инлифт</t>
  </si>
  <si>
    <t>47.925401 56.627643</t>
  </si>
  <si>
    <t>В. А. М.</t>
  </si>
  <si>
    <t>47.90183 56.645856</t>
  </si>
  <si>
    <t>+7 (8362) 77-08-40</t>
  </si>
  <si>
    <t>пн,вт,чт,пт 10:00–19:00; сб 10:00–18:00</t>
  </si>
  <si>
    <t>47.899067 56.644</t>
  </si>
  <si>
    <t>парк Сосновая Роща</t>
  </si>
  <si>
    <t>47.94629 56.610158</t>
  </si>
  <si>
    <t>Островок сладостей</t>
  </si>
  <si>
    <t>Ивашка, Пункт выдачи товара</t>
  </si>
  <si>
    <t>Ортопедический центр № 1</t>
  </si>
  <si>
    <t>Массажное оборудование, Ортопедический салон</t>
  </si>
  <si>
    <t>https://vk.com/ORTCENTR</t>
  </si>
  <si>
    <t>Ld Ткани</t>
  </si>
  <si>
    <t>+7 (8362) 30-74-94</t>
  </si>
  <si>
    <t>+7 (917) 714-45-61</t>
  </si>
  <si>
    <t>https://vk.com/tkaniyoshkarola</t>
  </si>
  <si>
    <t>Bodybuilding shop</t>
  </si>
  <si>
    <t>+7 (902) 106-10-56</t>
  </si>
  <si>
    <t xml:space="preserve">catalog@b-bs.ru  </t>
  </si>
  <si>
    <t>http://yo.bb-shop.ru/</t>
  </si>
  <si>
    <t>Спортивное питание, Спортивный инвентарь и оборудование</t>
  </si>
  <si>
    <t>47.856819 56.642569</t>
  </si>
  <si>
    <t>Лакокрасочные материалы, Магазин хозтоваров и бытовой химии, Сухие строительные смеси</t>
  </si>
  <si>
    <t>47.917833 56.640956</t>
  </si>
  <si>
    <t>Биосфера ветклиника</t>
  </si>
  <si>
    <t>+7 (8362) 31-00-31</t>
  </si>
  <si>
    <t>https://vk.com/biosfera12</t>
  </si>
  <si>
    <t>https://instagram.com/vetclinikajoshcarola</t>
  </si>
  <si>
    <t>Наша территория</t>
  </si>
  <si>
    <t>47.870852 56.645996</t>
  </si>
  <si>
    <t>ГеноТехнология</t>
  </si>
  <si>
    <t>+7 (499) 530-01-95</t>
  </si>
  <si>
    <t xml:space="preserve">maria@genetechnology.ru, info@genetechnology.ru  </t>
  </si>
  <si>
    <t>http://genetechnology.ru/</t>
  </si>
  <si>
    <t>47.913354 56.63423</t>
  </si>
  <si>
    <t>New Doors 12</t>
  </si>
  <si>
    <t xml:space="preserve">newdoors12@mail.ru  </t>
  </si>
  <si>
    <t>http://newdoors12.ru/</t>
  </si>
  <si>
    <t>https://vk.com/newdoors12</t>
  </si>
  <si>
    <t>Zifa</t>
  </si>
  <si>
    <t>+7 (987) 290-50-09</t>
  </si>
  <si>
    <t>ул. Якова Эшпая, 165, Йошкар-Ола</t>
  </si>
  <si>
    <t>47.880674 56.634822</t>
  </si>
  <si>
    <t>47.88491 56.621173</t>
  </si>
  <si>
    <t>Деметра-1</t>
  </si>
  <si>
    <t>47.854934 56.645626</t>
  </si>
  <si>
    <t>https://motorkpp12.ru/</t>
  </si>
  <si>
    <t>Сабрина</t>
  </si>
  <si>
    <t>47.884296 56.632787</t>
  </si>
  <si>
    <t>+7 (8362) 51-22-20</t>
  </si>
  <si>
    <t>Магазин бижутерии, Магазин парфюмерии и косметики</t>
  </si>
  <si>
    <t>https://vk.com/club96319098</t>
  </si>
  <si>
    <t>47.893078 56.639159</t>
  </si>
  <si>
    <t>Белсталь</t>
  </si>
  <si>
    <t>https://joshkar-ola.gkprom-arenda.ru/</t>
  </si>
  <si>
    <t>Быстровозводимые здания, Компрессоры и компрессорное оборудование, Строительное оборудование и техника</t>
  </si>
  <si>
    <t>Colibri</t>
  </si>
  <si>
    <t>+7 (937) 937-22-12</t>
  </si>
  <si>
    <t>47.843699 56.641106</t>
  </si>
  <si>
    <t>Scoder</t>
  </si>
  <si>
    <t>+7 (987) 700-54-78</t>
  </si>
  <si>
    <t xml:space="preserve">scoder.ru@yandex.ru  </t>
  </si>
  <si>
    <t>http://scoder.ru/</t>
  </si>
  <si>
    <t>Интернет-маркетинг, Студия веб-дизайна, Хостинг</t>
  </si>
  <si>
    <t>https://vk.com/scoderru</t>
  </si>
  <si>
    <t>СамаЯ</t>
  </si>
  <si>
    <t>47.885752 56.635611</t>
  </si>
  <si>
    <t>Хот-дог u0026 пицца</t>
  </si>
  <si>
    <t>Быстрое питание, Пиццерия</t>
  </si>
  <si>
    <t>47.906137 56.62744</t>
  </si>
  <si>
    <t>47.926092 56.629323</t>
  </si>
  <si>
    <t>47.897684 56.647337</t>
  </si>
  <si>
    <t>ГБУ РМЭ Перинатальный центр, отделение анестезиологии и реанимации</t>
  </si>
  <si>
    <t>Супер-пупер</t>
  </si>
  <si>
    <t>47.89185 56.637464</t>
  </si>
  <si>
    <t>Авторынок</t>
  </si>
  <si>
    <t>47.931381 56.631701</t>
  </si>
  <si>
    <t>Стекло интерьер</t>
  </si>
  <si>
    <t>Изготовление и монтаж зеркал, Стекло, стекольная продукция</t>
  </si>
  <si>
    <t>47.887227 56.639843</t>
  </si>
  <si>
    <t>Грузовые перевозки</t>
  </si>
  <si>
    <t>Красноармейская ул., 11, Йошкар-Ола</t>
  </si>
  <si>
    <t>+7 (987) 702-47-60, +7 (917) 718-30-19</t>
  </si>
  <si>
    <t>Детский сад № 45 г. Йошкар-олы Алые Паруса</t>
  </si>
  <si>
    <t>+7 (8362) 23-04-25, +7 (8362) 41-70-36</t>
  </si>
  <si>
    <t>47.930534 56.638551</t>
  </si>
  <si>
    <t>47.86556 56.613326</t>
  </si>
  <si>
    <t>47.882564 56.622394</t>
  </si>
  <si>
    <t>47.832563 56.637031</t>
  </si>
  <si>
    <t>Пластинки</t>
  </si>
  <si>
    <t>47.880614 56.636571</t>
  </si>
  <si>
    <t>Вентана</t>
  </si>
  <si>
    <t>+7 (8362) 55-82-60, +7 (8362) 63-41-34</t>
  </si>
  <si>
    <t>+7 (964) 864-22-00, +7 (927) 681-46-86</t>
  </si>
  <si>
    <t>Комплектующие для окон, Натяжные и подвесные потолки, Окна</t>
  </si>
  <si>
    <t>пн-пт 09:00–18:00, перерыв 12:00–13:00; сб 09:00–12:00</t>
  </si>
  <si>
    <t>Транзит</t>
  </si>
  <si>
    <t>+7 (8362) 90-30-40</t>
  </si>
  <si>
    <t>https://vk.com/avtotranzit12</t>
  </si>
  <si>
    <t>47.958767 56.640143</t>
  </si>
  <si>
    <t>Летняя концертная сцена</t>
  </si>
  <si>
    <t>47.890126 56.638144</t>
  </si>
  <si>
    <t>Визимьяры</t>
  </si>
  <si>
    <t>47.961179 56.641783</t>
  </si>
  <si>
    <t>+7 (8362) 23-25-27</t>
  </si>
  <si>
    <t xml:space="preserve">test@domain.com, info.partauto@gmail.com </t>
  </si>
  <si>
    <t>http://vk.com/partner12</t>
  </si>
  <si>
    <t>47.914647 56.63569</t>
  </si>
  <si>
    <t>Такси Йошкар ола Казань</t>
  </si>
  <si>
    <t>+7 (927) 667-34-64</t>
  </si>
  <si>
    <t xml:space="preserve">info@transfer12.ru  </t>
  </si>
  <si>
    <t>http://www.transfer12.ru/</t>
  </si>
  <si>
    <t>Сангрита</t>
  </si>
  <si>
    <t>+7 (8362) 48-43-16</t>
  </si>
  <si>
    <t>+7 (967) 758-43-16</t>
  </si>
  <si>
    <t>https://www.instagram.com/sangrita.taqueria</t>
  </si>
  <si>
    <t>47.897124 56.635211</t>
  </si>
  <si>
    <t>Absenta</t>
  </si>
  <si>
    <t>Доставка грузов</t>
  </si>
  <si>
    <t>бул. Ураева, 8, Йошкар-Ола</t>
  </si>
  <si>
    <t>+7 (902) 432-90-90</t>
  </si>
  <si>
    <t>47.927959 56.639115</t>
  </si>
  <si>
    <t>47.859887 56.642701</t>
  </si>
  <si>
    <t>47.928184 56.643384</t>
  </si>
  <si>
    <t>Auto start</t>
  </si>
  <si>
    <t>47.85598 56.644675</t>
  </si>
  <si>
    <t>ГК Водитель</t>
  </si>
  <si>
    <t>ИП Максимова Е. Ф.</t>
  </si>
  <si>
    <t>Ленинградская ул., 7, Йошкар-Ола</t>
  </si>
  <si>
    <t>+7 (961) 333-19-11</t>
  </si>
  <si>
    <t>http://lipa12.pulscen.ru/</t>
  </si>
  <si>
    <t>47.966793 56.633234</t>
  </si>
  <si>
    <t>47.917718 56.627432</t>
  </si>
  <si>
    <t>Esport</t>
  </si>
  <si>
    <t>Гаруда - другая еда</t>
  </si>
  <si>
    <t>+7 (987) 731-24-18</t>
  </si>
  <si>
    <t>Диетические и диабетические продукты, Магазин продуктов</t>
  </si>
  <si>
    <t>47.889037 56.640325</t>
  </si>
  <si>
    <t>Mira Apartment</t>
  </si>
  <si>
    <t>47.94861 56.63226</t>
  </si>
  <si>
    <t>Ганза</t>
  </si>
  <si>
    <t>+7 (927) 887-95-73</t>
  </si>
  <si>
    <t>Дом ремёсел</t>
  </si>
  <si>
    <t>47.898908 56.637464</t>
  </si>
  <si>
    <t>ул. Грибоедова, 37/5, Йошкар-Ола</t>
  </si>
  <si>
    <t>47.911392 56.648053</t>
  </si>
  <si>
    <t>Garderob12</t>
  </si>
  <si>
    <t>Магазин обуви, Магазин одежды, Магазин сумок и чемоданов</t>
  </si>
  <si>
    <t>47.89635 56.627364</t>
  </si>
  <si>
    <t>Садоводческое некоммерческое товарищество Лесное</t>
  </si>
  <si>
    <t>+7 (917) 713-25-99, +7 (987) 710-12-23</t>
  </si>
  <si>
    <t>пт 13:00–18:00</t>
  </si>
  <si>
    <t>47.890486 56.639609</t>
  </si>
  <si>
    <t>+7 (8362) 45-04-30, +7 (8362) 76-00-60</t>
  </si>
  <si>
    <t>Россия, Республика Марий Эл, Йошкар-Ола, улица Гомзово</t>
  </si>
  <si>
    <t>47.865478 56.644828</t>
  </si>
  <si>
    <t>Capella</t>
  </si>
  <si>
    <t>+7 (843) 249-10-77</t>
  </si>
  <si>
    <t>+7 (927) 249-10-77</t>
  </si>
  <si>
    <t xml:space="preserve">capella.83@mail.ru  </t>
  </si>
  <si>
    <t>http://potolki-capella.ru/</t>
  </si>
  <si>
    <t>Натяжные и подвесные потолки, Строительная компания</t>
  </si>
  <si>
    <t>+7 (917) 710-47-37</t>
  </si>
  <si>
    <t>https://solo12.ru/</t>
  </si>
  <si>
    <t>https://www.instagram.com/larisa_podoplelova/?igshid=1ku9vmwcq5z4y</t>
  </si>
  <si>
    <t>47.887085 56.639035</t>
  </si>
  <si>
    <t>Центр творческой инициативы</t>
  </si>
  <si>
    <t>47.901908 56.640501</t>
  </si>
  <si>
    <t>Центр развития Колибри</t>
  </si>
  <si>
    <t>+7 (8362) 90-74-07</t>
  </si>
  <si>
    <t>+7 (927) 870-96-07</t>
  </si>
  <si>
    <t>пн-пт 09:00–19:30; сб 10:00–16:00</t>
  </si>
  <si>
    <t>47.842152 56.641753</t>
  </si>
  <si>
    <t>Прокат</t>
  </si>
  <si>
    <t>+7 (8362) 91-76-91</t>
  </si>
  <si>
    <t>Пункт проката, Товары для отдыха и туризма</t>
  </si>
  <si>
    <t>пн-пт 09:00–18:00; вс 14:00–18:00</t>
  </si>
  <si>
    <t>https://vk.com/club28263073</t>
  </si>
  <si>
    <t>47.944016 56.62204</t>
  </si>
  <si>
    <t>ГУП РМЭ Республиканский автовокзал</t>
  </si>
  <si>
    <t xml:space="preserve">info@yovokzal.ru  </t>
  </si>
  <si>
    <t>http://yovokzal.ru/</t>
  </si>
  <si>
    <t>ежедневно, 05:00–19:30</t>
  </si>
  <si>
    <t>47.880242 56.621743</t>
  </si>
  <si>
    <t>Кинопленка</t>
  </si>
  <si>
    <t>47.926418 56.627991</t>
  </si>
  <si>
    <t>47.888337 56.641074</t>
  </si>
  <si>
    <t>47.903034 56.636944</t>
  </si>
  <si>
    <t>47.897488 56.6282</t>
  </si>
  <si>
    <t>Тохо</t>
  </si>
  <si>
    <t>+7 (902) 325-74-10</t>
  </si>
  <si>
    <t>Машиностроительный завод, Оптовый магазин, Торговое оборудование</t>
  </si>
  <si>
    <t>Аптечный пункт № 9</t>
  </si>
  <si>
    <t>ул. Зои Космодемьянской, 132, Йошкар-Ола</t>
  </si>
  <si>
    <t>47.945566 56.641298</t>
  </si>
  <si>
    <t>47.862904 56.641043</t>
  </si>
  <si>
    <t>ГостСтрой</t>
  </si>
  <si>
    <t>+7 (927) 883-08-78</t>
  </si>
  <si>
    <t>Id сервис</t>
  </si>
  <si>
    <t>47.843631 56.630955</t>
  </si>
  <si>
    <t>47.920493 56.635959</t>
  </si>
  <si>
    <t>Caparol сenter</t>
  </si>
  <si>
    <t>+7 (8362) 49-46-16</t>
  </si>
  <si>
    <t xml:space="preserve">190602@mail.ru  </t>
  </si>
  <si>
    <t>https://caparol.ru/</t>
  </si>
  <si>
    <t>Декоративные покрытия, Лакокрасочные материалы, Строительный магазин</t>
  </si>
  <si>
    <t>https://vk.com/caparol_yola</t>
  </si>
  <si>
    <t>https://instagram.com/caparol_yola</t>
  </si>
  <si>
    <t>47.848791 56.642021</t>
  </si>
  <si>
    <t>+7 (8362) 65-25-81, +7 (8362) 38-25-81</t>
  </si>
  <si>
    <t xml:space="preserve">viktoriya-stom@yandex.ru  </t>
  </si>
  <si>
    <t>https://viktoriya-stomatologiya.ru/</t>
  </si>
  <si>
    <t>47.935731 56.63319</t>
  </si>
  <si>
    <t>ул. Никиткино, 17, Йошкар-Ола</t>
  </si>
  <si>
    <t>47.958461 56.616209</t>
  </si>
  <si>
    <t>Квесты, Организация и проведение детских праздников, Праздничное агентство</t>
  </si>
  <si>
    <t>47.89088 56.643572</t>
  </si>
  <si>
    <t>+7 (8362) 67-37-07</t>
  </si>
  <si>
    <t>+7 (937) 932-66-11, +7 (906) 090-66-11, +7 (987) 703-01-89</t>
  </si>
  <si>
    <t>Апартаменты Virginia</t>
  </si>
  <si>
    <t>47.921097 56.640442</t>
  </si>
  <si>
    <t>47.873438 56.651809</t>
  </si>
  <si>
    <t>Био-Эксперт Йошкар-Ола</t>
  </si>
  <si>
    <t>+7 (8362) 30-40-69</t>
  </si>
  <si>
    <t xml:space="preserve">joshkar_ola@bio-e.ru, info@bio-e.ru  </t>
  </si>
  <si>
    <t>http://septik-yoshkar-ola.ru/</t>
  </si>
  <si>
    <t>Водоочистка, водоочистное оборудование, Емкостное оборудование, резервуары, Очистные сооружения и оборудование</t>
  </si>
  <si>
    <t>Сладки мир</t>
  </si>
  <si>
    <t>Компания Тим Форс</t>
  </si>
  <si>
    <t xml:space="preserve">info@team-force.org </t>
  </si>
  <si>
    <t>47.911135 56.628154</t>
  </si>
  <si>
    <t>+7 (8362) 90-13-13</t>
  </si>
  <si>
    <t>47.884396 56.633257</t>
  </si>
  <si>
    <t>Эко Рынок</t>
  </si>
  <si>
    <t>+7 (8362) 42-09-10, +7 (8362) 45-19-67</t>
  </si>
  <si>
    <t xml:space="preserve">sale@odis.ru, ooo-reservis@yandex.ru, odis-media@yandex.ru, arenda@odis.ru, tatyana-svincova@mail.ru  </t>
  </si>
  <si>
    <t>http://arendator12.ru/</t>
  </si>
  <si>
    <t>Магазин одежды, Рынок, Торговый центр</t>
  </si>
  <si>
    <t>https://www.instagram.com/ecorynok.yola/</t>
  </si>
  <si>
    <t>47.884682 56.633175</t>
  </si>
  <si>
    <t>Прайм</t>
  </si>
  <si>
    <t>Компьютерный магазин, Компьютерный ремонт и услуги, Ремонт телефонов, Салон связи, Товары для мобильных телефонов</t>
  </si>
  <si>
    <t>ЗемлеТорг</t>
  </si>
  <si>
    <t>8 (800) 350-42-68</t>
  </si>
  <si>
    <t>+7 (991) 462-54-04</t>
  </si>
  <si>
    <t>http://землеторг.рф/</t>
  </si>
  <si>
    <t>Организация аукционов и тендеров, Продажа земельных участков</t>
  </si>
  <si>
    <t>https://vk.com/zemletorg</t>
  </si>
  <si>
    <t>https://www.instagram.com/zemletorg/</t>
  </si>
  <si>
    <t>47.83005 56.637121</t>
  </si>
  <si>
    <t>Магазин хозтоваров и бытовой химии, Трикотаж, трикотажные изделия</t>
  </si>
  <si>
    <t>47.864571 56.64972</t>
  </si>
  <si>
    <t>47.883068 56.623231</t>
  </si>
  <si>
    <t>Крестильня Успенской церкви</t>
  </si>
  <si>
    <t>47.882462 56.630122</t>
  </si>
  <si>
    <t>Кухни академия Кухни на заказ</t>
  </si>
  <si>
    <t>+7 (987) 716-68-69, +7 (987) 700-28-83</t>
  </si>
  <si>
    <t>http://kuhniakademia.ru/</t>
  </si>
  <si>
    <t>https://vk.com/akademia_kuhni</t>
  </si>
  <si>
    <t>https://www.instagram.com/ilya.akademia</t>
  </si>
  <si>
    <t>ЛандшафтПрофи</t>
  </si>
  <si>
    <t>+7 (927) 680-05-83</t>
  </si>
  <si>
    <t xml:space="preserve">info@landshaftprofi.ru  </t>
  </si>
  <si>
    <t>https://landshaftprofi.ru/</t>
  </si>
  <si>
    <t>https://vk.com/ozelenenie_yoshkarola</t>
  </si>
  <si>
    <t>https://www.instagram.com/landshaftprofi.ru/</t>
  </si>
  <si>
    <t>Авторадио - Йошкар-Ола</t>
  </si>
  <si>
    <t>+7 (8362) 42-28-28</t>
  </si>
  <si>
    <t>https://vk.com/avtoradio12</t>
  </si>
  <si>
    <t>47.880826 56.63802</t>
  </si>
  <si>
    <t>47.967513 56.640991</t>
  </si>
  <si>
    <t>47.897744 56.63659</t>
  </si>
  <si>
    <t>Огого Обстановочка!</t>
  </si>
  <si>
    <t>+7 (8362) 31-46-11</t>
  </si>
  <si>
    <t xml:space="preserve">i-shop@ogogo.ru  </t>
  </si>
  <si>
    <t>https://ogogo.ru/</t>
  </si>
  <si>
    <t>https://vk.com/ogogohome</t>
  </si>
  <si>
    <t>https://www.facebook.com/OGOGOhome</t>
  </si>
  <si>
    <t>https://www.instagram.com/ogogohome</t>
  </si>
  <si>
    <t>47.833205 56.641469</t>
  </si>
  <si>
    <t>47.898596 56.651951</t>
  </si>
  <si>
    <t>Ткани Ассорти 12</t>
  </si>
  <si>
    <t>https://vk.com/tkaniassorti12</t>
  </si>
  <si>
    <t>Гринавто</t>
  </si>
  <si>
    <t>+7 (917) 677-00-77</t>
  </si>
  <si>
    <t xml:space="preserve">greenavto21@mail.ru  </t>
  </si>
  <si>
    <t>http://greenavto21.ru/</t>
  </si>
  <si>
    <t>Автосалон, Банк, Выкуп автомобилей</t>
  </si>
  <si>
    <t>https://vk.com/greenavto12</t>
  </si>
  <si>
    <t>47.871963 56.612128</t>
  </si>
  <si>
    <t>Марийский республиканский колледж культуры и искусств имени И.С. Палантая, корпус № 2</t>
  </si>
  <si>
    <t>47.891193 56.633711</t>
  </si>
  <si>
    <t>47.886417 56.629294</t>
  </si>
  <si>
    <t>Экскурсии по родникам Марий Эл с Ираидой</t>
  </si>
  <si>
    <t>Технологии питания</t>
  </si>
  <si>
    <t>47.834419 56.640632</t>
  </si>
  <si>
    <t>Акватэк</t>
  </si>
  <si>
    <t>Yoda Digital Agency</t>
  </si>
  <si>
    <t>+7 (8362) 49-50-40</t>
  </si>
  <si>
    <t>+7 (961) 333-00-44</t>
  </si>
  <si>
    <t>Шоу-рум Perfumersha</t>
  </si>
  <si>
    <t>+7 (987) 703-01-56</t>
  </si>
  <si>
    <t>Молочный магазин, Продукты питания оптом, Яйцо и мясо птицы</t>
  </si>
  <si>
    <t>Moto club</t>
  </si>
  <si>
    <t>47.9048 56.650941</t>
  </si>
  <si>
    <t>Мастер Камня</t>
  </si>
  <si>
    <t>+7 (8362) 54-88-72</t>
  </si>
  <si>
    <t xml:space="preserve">info@masterkamnya.su  </t>
  </si>
  <si>
    <t>http://www.masterkamnya.su/</t>
  </si>
  <si>
    <t>Стоматология на Медицинской улице</t>
  </si>
  <si>
    <t>+7 (8362) 91-01-00</t>
  </si>
  <si>
    <t>http://zyb12.ru/</t>
  </si>
  <si>
    <t>https://vk.com/biostom12</t>
  </si>
  <si>
    <t>https://instagram.com/biostom12</t>
  </si>
  <si>
    <t>47.965154 56.640169</t>
  </si>
  <si>
    <t>+7 (952) 310-04-70</t>
  </si>
  <si>
    <t>47.880911 56.632206</t>
  </si>
  <si>
    <t>Домостроительница</t>
  </si>
  <si>
    <t>+7 (8362) 49-70-30</t>
  </si>
  <si>
    <t>+7 (927) 879-86-86</t>
  </si>
  <si>
    <t xml:space="preserve">d497030@yandex.ru  </t>
  </si>
  <si>
    <t>https://www.домостроительница.рф/</t>
  </si>
  <si>
    <t>https://vk.com/domostroitelnica</t>
  </si>
  <si>
    <t>47.896694 56.617761</t>
  </si>
  <si>
    <t>47.923993 56.635317</t>
  </si>
  <si>
    <t>Fabricsale</t>
  </si>
  <si>
    <t>Аккредитация в образовании</t>
  </si>
  <si>
    <t>47.869524 56.636703</t>
  </si>
  <si>
    <t>Йомайка</t>
  </si>
  <si>
    <t>Магеллан</t>
  </si>
  <si>
    <t>ул. Чехова, 72, Йошкар-Ола</t>
  </si>
  <si>
    <t>+7 (8362) 65-11-65, +7 (8362) 64-00-07</t>
  </si>
  <si>
    <t>+7 (937) 119-32-64</t>
  </si>
  <si>
    <t xml:space="preserve">magellan12@bk.ru  </t>
  </si>
  <si>
    <t>http://magellan12.com/</t>
  </si>
  <si>
    <t>Телекоммуникационное оборудование, Устройство сетей</t>
  </si>
  <si>
    <t>47.883373 56.633248</t>
  </si>
  <si>
    <t>Капучино</t>
  </si>
  <si>
    <t>47.936985 56.645544</t>
  </si>
  <si>
    <t>+7 (8362) 99-09-05</t>
  </si>
  <si>
    <t>47.88321 56.637629</t>
  </si>
  <si>
    <t>Вита-Бар</t>
  </si>
  <si>
    <t>+7 (995) 961-00-22</t>
  </si>
  <si>
    <t>Интернет-магазин, Спортивное питание</t>
  </si>
  <si>
    <t>https://vk.com/vitabarshop</t>
  </si>
  <si>
    <t>https://twitter.com/vitabarshop1</t>
  </si>
  <si>
    <t>https://www.facebook.com/vitabar.shop</t>
  </si>
  <si>
    <t>https://www.youtube.com/channel/UCfvY_YJAtulm6DxShlnXyzQ</t>
  </si>
  <si>
    <t>https://www.instagram.com/_vitabar_</t>
  </si>
  <si>
    <t>47.884764 56.632703</t>
  </si>
  <si>
    <t>Газета Марий Эл</t>
  </si>
  <si>
    <t>+7 (8362) 45-26-44, +7 (8362) 41-23-71, +7 (8362) 49-55-11</t>
  </si>
  <si>
    <t xml:space="preserve">gazeta.mariel@yandex.ru, abdulov@inbox.ru, smolencev57@mail.ru, pektan@mail.ru, rechkin677denis@yandex.ru, otvetsekmariel2013@mail.ru, nikolaj.lyubimov@bk.ru, isakov_juri@mail.ru, gazetamariel12@gmail.com, alevtina-bajkova@mail.ru </t>
  </si>
  <si>
    <t>http://газетамарийэл.рф/</t>
  </si>
  <si>
    <t>47.891667 56.621464</t>
  </si>
  <si>
    <t>Представитель AVON Горинова М.В.</t>
  </si>
  <si>
    <t>пн-пт 10:00–17:30; сб 10:00–14:00</t>
  </si>
  <si>
    <t>47.88488 56.622668</t>
  </si>
  <si>
    <t>ул. Подольских Курсантов, 18, Йошкар-Ола</t>
  </si>
  <si>
    <t>47.86366 56.649934</t>
  </si>
  <si>
    <t>Schwarzkopf</t>
  </si>
  <si>
    <t>+7 (917) 706-32-99</t>
  </si>
  <si>
    <t>УК Приоритет</t>
  </si>
  <si>
    <t>8 (800) 700-89-89, +7 (8362) 28-05-77</t>
  </si>
  <si>
    <t xml:space="preserve">uk_prioritet_12@mail.ru </t>
  </si>
  <si>
    <t>47.841608 56.632532</t>
  </si>
  <si>
    <t>47.847175 56.660542</t>
  </si>
  <si>
    <t>Творческое объединение Новые люди</t>
  </si>
  <si>
    <t>Музыкальное образование, Хореографическое училище, Школа танцев</t>
  </si>
  <si>
    <t>Оттиск</t>
  </si>
  <si>
    <t>+7 (8362) 67-55-55</t>
  </si>
  <si>
    <t>пн-пт 09:00–17:30, перерыв 12:00–13:00; сб 10:00–16:00</t>
  </si>
  <si>
    <t>+7 (8362) 76-75-57</t>
  </si>
  <si>
    <t>Шаурмания</t>
  </si>
  <si>
    <t>Красноармейская ул., 51, Йошкар-Ола, Россия</t>
  </si>
  <si>
    <t>https://www.instagram.com/shaurmania_krasnodar/</t>
  </si>
  <si>
    <t>47.891002 56.641298</t>
  </si>
  <si>
    <t>47.889107 56.631197</t>
  </si>
  <si>
    <t>47.929376 56.624837</t>
  </si>
  <si>
    <t>47.921213 56.630409</t>
  </si>
  <si>
    <t>Gudsoft</t>
  </si>
  <si>
    <t>Магмагео</t>
  </si>
  <si>
    <t>ул. Чехова, 59, Йошкар-Ола</t>
  </si>
  <si>
    <t>+7 (964) 647-66-66</t>
  </si>
  <si>
    <t xml:space="preserve">info@magmageo.ru, 20info@magmageo.ru </t>
  </si>
  <si>
    <t>http://yola.magmageo.ru/</t>
  </si>
  <si>
    <t>47.887679 56.644327</t>
  </si>
  <si>
    <t>Йошкар-Олинская городская больница, Травматологическое отделение</t>
  </si>
  <si>
    <t>+7 (8362) 68-54-49</t>
  </si>
  <si>
    <t>http://kli55.polickliniki.ru/</t>
  </si>
  <si>
    <t>Республиканская клиническая больница, диагностический корпус</t>
  </si>
  <si>
    <t>47.884856 56.649706</t>
  </si>
  <si>
    <t>Апшерон</t>
  </si>
  <si>
    <t>пн-чт 10:00–01:00; пт,сб 10:00–03:00; вс 10:00–01:00</t>
  </si>
  <si>
    <t>47.830948 56.639968</t>
  </si>
  <si>
    <t>Апартаменты на Лебедева 59</t>
  </si>
  <si>
    <t>47.93513 56.62433</t>
  </si>
  <si>
    <t>ПроГаз12</t>
  </si>
  <si>
    <t>+7 (917) 717-02-02</t>
  </si>
  <si>
    <t xml:space="preserve">info@progas12.ru, progaz12@mail.ru  </t>
  </si>
  <si>
    <t>http://progas12.ru/</t>
  </si>
  <si>
    <t>Автосервис, автотехцентр, Газовое оборудование, Установка ГБО</t>
  </si>
  <si>
    <t>https://vk.com/public165876209</t>
  </si>
  <si>
    <t>Лидинг</t>
  </si>
  <si>
    <t>8 (800) 200-36-62</t>
  </si>
  <si>
    <t xml:space="preserve">info@liding12.ru  </t>
  </si>
  <si>
    <t>http://liding12.ru/</t>
  </si>
  <si>
    <t>Строительная компания, Строительство и обслуживание инженерных сетей, Строительство и ремонт дорог</t>
  </si>
  <si>
    <t>Беговел-клуб</t>
  </si>
  <si>
    <t>+7 (902) 329-21-01, +7 (987) 723-05-30</t>
  </si>
  <si>
    <t>Деньга</t>
  </si>
  <si>
    <t>8 (800) 700-86-49</t>
  </si>
  <si>
    <t xml:space="preserve">tp1@dengabank.ru, oplata@dengabank.ru </t>
  </si>
  <si>
    <t>https://lk.denga.ru/lp/?utm_campaign=maps-x&amp;utm_medium=maps&amp;utm_source=yandex</t>
  </si>
  <si>
    <t>https://vk.com/dengazaim</t>
  </si>
  <si>
    <t>https://ok.ru/group/57271637377170</t>
  </si>
  <si>
    <t>https://www.facebook.com/dengazaim</t>
  </si>
  <si>
    <t>https://www.instagram.com/denga.zaim</t>
  </si>
  <si>
    <t>47.880547 56.632366</t>
  </si>
  <si>
    <t>Apartment on ul Druzhby</t>
  </si>
  <si>
    <t>47.85392 56.65137</t>
  </si>
  <si>
    <t>Очки</t>
  </si>
  <si>
    <t>47.867808 56.637306</t>
  </si>
  <si>
    <t>Amway, Центральный офис-магазин</t>
  </si>
  <si>
    <t>+7 (927) 883-99-21, +7 (927) 683-99-21</t>
  </si>
  <si>
    <t xml:space="preserve">andrey.tomas921@yandex.ru  </t>
  </si>
  <si>
    <t>https://amwaypersonalpage.ru/user/2125621</t>
  </si>
  <si>
    <t>Бытовая химия оптом, Магазин парфюмерии и косметики, Распространители косметики и бытовой химии</t>
  </si>
  <si>
    <t>47.880047 56.63637</t>
  </si>
  <si>
    <t>Мебельный цех</t>
  </si>
  <si>
    <t>47.951231 56.648845</t>
  </si>
  <si>
    <t>12Строй</t>
  </si>
  <si>
    <t>+7 (964) 862-90-77</t>
  </si>
  <si>
    <t>http://12stroi.com/</t>
  </si>
  <si>
    <t>47.917941 56.639105</t>
  </si>
  <si>
    <t>Артем Островок</t>
  </si>
  <si>
    <t>Сундучок ремесел</t>
  </si>
  <si>
    <t>Канцтовары Интегра</t>
  </si>
  <si>
    <t>+7 (8362) 38-22-77, +7 (8362) 34-77-22</t>
  </si>
  <si>
    <t xml:space="preserve">integramarket@gmail.com  </t>
  </si>
  <si>
    <t>http://integramarket.ru/</t>
  </si>
  <si>
    <t>Канцтовары оптом, Магазин канцтоваров, Мебель для офиса</t>
  </si>
  <si>
    <t>47.839914 56.625805</t>
  </si>
  <si>
    <t>ArtWed</t>
  </si>
  <si>
    <t>http://www.artwed.info/</t>
  </si>
  <si>
    <t>Магазин кальянов Zr Premium</t>
  </si>
  <si>
    <t>47.86364 56.640164</t>
  </si>
  <si>
    <t>Конференц-зал</t>
  </si>
  <si>
    <t>Экспресс маникюр</t>
  </si>
  <si>
    <t>+7 (8362) 51-41-51</t>
  </si>
  <si>
    <t>Студия дизайна интерьера</t>
  </si>
  <si>
    <t>Архитектурное бюро, Дизайн интерьеров</t>
  </si>
  <si>
    <t>47.913056 56.636204</t>
  </si>
  <si>
    <t>Республиканская клиническая больница отделение гравитационной хирургии крови</t>
  </si>
  <si>
    <t>+7 (8362) 75-60-11</t>
  </si>
  <si>
    <t>Проект-Плюс</t>
  </si>
  <si>
    <t>+7 (8362) 43-46-43, +7 (8362) 94-96-48, +7 (8362) 95-01-95</t>
  </si>
  <si>
    <t>Проектная организация, Управляющая компания</t>
  </si>
  <si>
    <t>47.84866 56.663684</t>
  </si>
  <si>
    <t>47.898312 56.641554</t>
  </si>
  <si>
    <t>47.82745 56.63151</t>
  </si>
  <si>
    <t>Ветеран</t>
  </si>
  <si>
    <t>47.871539 56.647805</t>
  </si>
  <si>
    <t>Шторы 21 века</t>
  </si>
  <si>
    <t>Молодёжный</t>
  </si>
  <si>
    <t>47.895072 56.622479</t>
  </si>
  <si>
    <t>47.952378 56.648095</t>
  </si>
  <si>
    <t>Стройка-12</t>
  </si>
  <si>
    <t xml:space="preserve">admin@website.ru, chebotaeiv@mail.ru  </t>
  </si>
  <si>
    <t>http://stroyka-12.ru/</t>
  </si>
  <si>
    <t>Водостоки и водосточные системы, Изоляционные материалы, Кровля и кровельные материалы, Окна, Тепличное оборудование</t>
  </si>
  <si>
    <t>47.919531 56.635583</t>
  </si>
  <si>
    <t>Первый часовой</t>
  </si>
  <si>
    <t>+7 (8362) 23-29-29</t>
  </si>
  <si>
    <t xml:space="preserve">sale@plinker.ru </t>
  </si>
  <si>
    <t>http://www.первыйчасовой.рф/</t>
  </si>
  <si>
    <t>https://www.instagram.com/fistwatch12/</t>
  </si>
  <si>
    <t>47.930389 56.627823</t>
  </si>
  <si>
    <t>Mini hotel Shale 2</t>
  </si>
  <si>
    <t>Россия, Республика Марий Эл, Йошкар-Ола, микрорайон Больничный</t>
  </si>
  <si>
    <t>+7 (902) 358-22-79</t>
  </si>
  <si>
    <t>47.89363 56.64968</t>
  </si>
  <si>
    <t>Мир Кровли и Фасада</t>
  </si>
  <si>
    <t>+7 (8362) 66-10-30</t>
  </si>
  <si>
    <t>Кровля и кровельные материалы, Строительный магазин, Фасады и фасадные системы</t>
  </si>
  <si>
    <t>G-plast - Пластиковая Тара</t>
  </si>
  <si>
    <t>+7 (962) 574-57-77</t>
  </si>
  <si>
    <t xml:space="preserve">gplast2020@mail.ru  </t>
  </si>
  <si>
    <t>https://yoshkar-ola.gplast-group.ru/</t>
  </si>
  <si>
    <t>Контейнеры, Пластмассовые и пластиковые изделия, Тара и упаковочные материалы</t>
  </si>
  <si>
    <t>3Dpechatoff</t>
  </si>
  <si>
    <t xml:space="preserve">order@3dpechatoff.ru  </t>
  </si>
  <si>
    <t>http://3dpechatoff.ru/</t>
  </si>
  <si>
    <t>Lovely flats Petrova</t>
  </si>
  <si>
    <t>ул. Петрова, 31А, Йошкар-Ола</t>
  </si>
  <si>
    <t>47.9231 56.6422</t>
  </si>
  <si>
    <t>Автозапчасти Car Go!</t>
  </si>
  <si>
    <t>+7 (927) 874-07-07</t>
  </si>
  <si>
    <t>47.845409 56.631747</t>
  </si>
  <si>
    <t>Служба доставки товаров из Iкеа</t>
  </si>
  <si>
    <t>47.917718 56.627438</t>
  </si>
  <si>
    <t>47.833188 56.636767</t>
  </si>
  <si>
    <t>Россия, Республика Марий Эл, Йошкар-Ола, улица Энгельса</t>
  </si>
  <si>
    <t>47.944894 56.619416</t>
  </si>
  <si>
    <t>Doorhan Йошкар-Ола</t>
  </si>
  <si>
    <t>Все виды страхования</t>
  </si>
  <si>
    <t>47.901836 56.643601</t>
  </si>
  <si>
    <t>МеталлЭнергоХолдинг Йошкар-Ола</t>
  </si>
  <si>
    <t>+7 (8362) 49-69-28</t>
  </si>
  <si>
    <t xml:space="preserve">joshkar-ola@metatorg.ru  </t>
  </si>
  <si>
    <t>http://joshkar-ola.metatorg.ru/</t>
  </si>
  <si>
    <t>https://www.youtube.com/channel/UC0QUodVjWcEOC6exUDUF7Kg</t>
  </si>
  <si>
    <t>https://www.instagram.com/metatorg</t>
  </si>
  <si>
    <t>47.882379 56.631741</t>
  </si>
  <si>
    <t>ул. Рябинина, 28А, Йошкар-Ола</t>
  </si>
  <si>
    <t>47.87132 56.636209</t>
  </si>
  <si>
    <t>Газинтерм</t>
  </si>
  <si>
    <t>+7 (8362) 60-01-00, +7 (8362) 60-01-00, +7 (8362) 60-01-00, +7 (8362) 38-03-98, +7 (8362) 30-50-56</t>
  </si>
  <si>
    <t xml:space="preserve">gazinterm@inbox.ru  </t>
  </si>
  <si>
    <t>http://gazinterm.ru/</t>
  </si>
  <si>
    <t>Котлы и котельное оборудование, Магазин сантехники, Проектная организация</t>
  </si>
  <si>
    <t>https://www.instagram.com/gazinterm/</t>
  </si>
  <si>
    <t>47.8582 56.621366</t>
  </si>
  <si>
    <t>Торговый центр Ураевский</t>
  </si>
  <si>
    <t>47.92214 56.640208</t>
  </si>
  <si>
    <t>Cyber Logovo 3.0</t>
  </si>
  <si>
    <t>Интернет-кафе, Кафе, Клуб виртуальной реальности</t>
  </si>
  <si>
    <t>47.862961 56.646502</t>
  </si>
  <si>
    <t>https://vk.com/binbank</t>
  </si>
  <si>
    <t>http://ok.ru/binbank</t>
  </si>
  <si>
    <t>https://twitter.com/binbank_ru</t>
  </si>
  <si>
    <t>https://www.facebook.com/binbank.ru</t>
  </si>
  <si>
    <t>https://www.youtube.com/channel/UCuakOtiue-26NXYKONKsbYw</t>
  </si>
  <si>
    <t>47.884983 56.634453</t>
  </si>
  <si>
    <t>Трак-Сервис</t>
  </si>
  <si>
    <t>+7 (967) 758-06-06</t>
  </si>
  <si>
    <t>http://btkmuts.pulscen.ru/</t>
  </si>
  <si>
    <t>Экспресс Гарант</t>
  </si>
  <si>
    <t xml:space="preserve">dveri@ekspress-garant.ru  </t>
  </si>
  <si>
    <t>https://ekspress-garant.ru/</t>
  </si>
  <si>
    <t>http://vk.com/cleaning_12</t>
  </si>
  <si>
    <t>Царевококшайская гимназия</t>
  </si>
  <si>
    <t xml:space="preserve">alleeva08@yandex.ru  </t>
  </si>
  <si>
    <t>http://vk.com/club147846070</t>
  </si>
  <si>
    <t>47.836094 56.633667</t>
  </si>
  <si>
    <t>Зоолавка</t>
  </si>
  <si>
    <t>47.88568 56.635537</t>
  </si>
  <si>
    <t>ул. Машиностроителей, 2В, Йошкар-Ола</t>
  </si>
  <si>
    <t>47.871991 56.652711</t>
  </si>
  <si>
    <t>47.923827 56.638272</t>
  </si>
  <si>
    <t>Теплый дом</t>
  </si>
  <si>
    <t>+7 (8362) 98-00-88</t>
  </si>
  <si>
    <t>+7 (927) 881-00-01</t>
  </si>
  <si>
    <t>+7 (8362) 44-40-23</t>
  </si>
  <si>
    <t>Единственная</t>
  </si>
  <si>
    <t>47.897929 56.635266</t>
  </si>
  <si>
    <t>47.941012 56.632273</t>
  </si>
  <si>
    <t>Ныжыл сем</t>
  </si>
  <si>
    <t>+7 (8362) 40-17-02</t>
  </si>
  <si>
    <t>http://isportmarket.ru/</t>
  </si>
  <si>
    <t>Веломагазин, Прокат велосипедов, Ремонт велосипедов</t>
  </si>
  <si>
    <t>https://vk.com/velo12veloru</t>
  </si>
  <si>
    <t>47.881735 56.637794</t>
  </si>
  <si>
    <t>Автокомплекс Русский мастер 12</t>
  </si>
  <si>
    <t>+7 (902) 430-17-75</t>
  </si>
  <si>
    <t>Автосервис, автотехцентр, Кузовной ремонт, Студия автотюнинга</t>
  </si>
  <si>
    <t>https://vk.com/russtail12</t>
  </si>
  <si>
    <t>https://instagram.com/russtail12</t>
  </si>
  <si>
    <t>47.955367 56.651671</t>
  </si>
  <si>
    <t>Pulse express</t>
  </si>
  <si>
    <t>47.833215 56.637268</t>
  </si>
  <si>
    <t>47.932742 56.644093</t>
  </si>
  <si>
    <t>47.83145 56.637017</t>
  </si>
  <si>
    <t>Мебель классик 12</t>
  </si>
  <si>
    <t>+7 (937) 114-73-71, +7 (902) 103-10-17, +7 (917) 718-46-26</t>
  </si>
  <si>
    <t>http://mebel-classic12.ru/</t>
  </si>
  <si>
    <t>Лестницы и лестничные ограждения, Мебель для кухни, Мебель на заказ</t>
  </si>
  <si>
    <t>пн-пт 10:00–17:00; сб 10:00–15:00</t>
  </si>
  <si>
    <t>https://instagram.com/mebel_classic12?igshid=1dauf7am..</t>
  </si>
  <si>
    <t>Благодать</t>
  </si>
  <si>
    <t>47.897319 56.634273</t>
  </si>
  <si>
    <t>ПетроМастер</t>
  </si>
  <si>
    <t>8 (800) 333-77-70</t>
  </si>
  <si>
    <t>+7 (902) 430-91-94, +7 (902) 358-85-90</t>
  </si>
  <si>
    <t xml:space="preserve">gruzshina@tyres.spb.ru, 1001shina@mail.ru, shina.vluki@mail.ru, dorozhnaja@autoshinavrn.ru, master.shina@mail.ru  </t>
  </si>
  <si>
    <t>https://petromaster.ru/centers/detail.php?ID=48429</t>
  </si>
  <si>
    <t>http://vk.com/pmshina</t>
  </si>
  <si>
    <t>47.90452 56.64737</t>
  </si>
  <si>
    <t>+7 (8362) 42-20-55, +7 (8362) 42-40-56</t>
  </si>
  <si>
    <t>47.887338 56.642946</t>
  </si>
  <si>
    <t>Figure</t>
  </si>
  <si>
    <t>Профессиональные дисплеи Displite</t>
  </si>
  <si>
    <t>+7 (8362) 46-05-43</t>
  </si>
  <si>
    <t xml:space="preserve">info@displite.ru  </t>
  </si>
  <si>
    <t>http://displite.ru/</t>
  </si>
  <si>
    <t>IT-компания, Проекторы и мультимедийное оборудование, Системы безопасности и охраны</t>
  </si>
  <si>
    <t>пн-пт 10:00–17:00, перерыв 12:00–13:00</t>
  </si>
  <si>
    <t>https://vk.com/public149537614</t>
  </si>
  <si>
    <t>https://twitter.com/LCD_DISPLITE/followers</t>
  </si>
  <si>
    <t>https://www.facebook.com/Displite-148950232332548/</t>
  </si>
  <si>
    <t>Папа тут</t>
  </si>
  <si>
    <t>+7 (960) 096-18-19</t>
  </si>
  <si>
    <t>47.846883 56.629077</t>
  </si>
  <si>
    <t>+7 (902) 745-68-38</t>
  </si>
  <si>
    <t>https://vk.com/figaro12</t>
  </si>
  <si>
    <t>Акушерский обсервационный корпус № 1</t>
  </si>
  <si>
    <t>47.878601 56.63829</t>
  </si>
  <si>
    <t>+7 (8362) 26-70-57</t>
  </si>
  <si>
    <t>Ночной клуб, Ресторан</t>
  </si>
  <si>
    <t>пн-сб 14:00–23:00; вс 12:00–23:00</t>
  </si>
  <si>
    <t>47.944059 56.616905</t>
  </si>
  <si>
    <t>Строительные смеси</t>
  </si>
  <si>
    <t>Сухие строительные смеси</t>
  </si>
  <si>
    <t>Karaoke lounge ZaPoi</t>
  </si>
  <si>
    <t>+7 (8362) 67-11-55</t>
  </si>
  <si>
    <t>ежедневно, 18:00–02:00</t>
  </si>
  <si>
    <t>https://instagram.com/zapoi_karaoke_lounge</t>
  </si>
  <si>
    <t>47.883385 56.640456</t>
  </si>
  <si>
    <t>Снеки в розницу по оптовым ценам</t>
  </si>
  <si>
    <t>https://vk.com/public185874883</t>
  </si>
  <si>
    <t>Техторгснаб</t>
  </si>
  <si>
    <t>Оборудование для ресторанов, Промышленное холодильное оборудование, Стеллажи, Торговое оборудование</t>
  </si>
  <si>
    <t>Белорусский гостинец</t>
  </si>
  <si>
    <t>+7 (967) 755-25-85</t>
  </si>
  <si>
    <t>+7 (8362) 22-05-46</t>
  </si>
  <si>
    <t>Ювелирная</t>
  </si>
  <si>
    <t>47.880063 56.632395</t>
  </si>
  <si>
    <t>ул. Мышино, 116, Йошкар-Ола</t>
  </si>
  <si>
    <t>Негосударственный пенсионный фонд</t>
  </si>
  <si>
    <t>47.826808 56.657476</t>
  </si>
  <si>
    <t>MaestrA</t>
  </si>
  <si>
    <t>+7 (927) 887-08-27</t>
  </si>
  <si>
    <t>Дело Вкуса</t>
  </si>
  <si>
    <t>+7 (8362) 39-87-39</t>
  </si>
  <si>
    <t>+7 (987) 710-11-16</t>
  </si>
  <si>
    <t xml:space="preserve">info@delovkusa12.ru  </t>
  </si>
  <si>
    <t>http://delovkusa12.ru/</t>
  </si>
  <si>
    <t>https://vk.com/club135153059</t>
  </si>
  <si>
    <t>https://www.instagram.com/delovkusa12/</t>
  </si>
  <si>
    <t>47.921586 56.628844</t>
  </si>
  <si>
    <t>Альфаплан</t>
  </si>
  <si>
    <t>8 (800) 250-05-97</t>
  </si>
  <si>
    <t xml:space="preserve">info@alfaplan.ru, proekt@alfaplan.ru  </t>
  </si>
  <si>
    <t>https://www.alfaplan.ru/</t>
  </si>
  <si>
    <t>Архитектурное бюро, Проектная организация, Строительство дачных домов и коттеджей</t>
  </si>
  <si>
    <t>https://vk.com/alfaplan_vk</t>
  </si>
  <si>
    <t>https://ok.ru/alfaplango</t>
  </si>
  <si>
    <t>https://www.facebook.com/alfaplan.ru</t>
  </si>
  <si>
    <t>https://www.youtube.com/channel/UCJ4KyL1wEYn5ud62YvLUacQ</t>
  </si>
  <si>
    <t>https://www.instagram.com/alfaplan.ru</t>
  </si>
  <si>
    <t>Колесо обозрения</t>
  </si>
  <si>
    <t xml:space="preserve">ural-lesovoz@mail.ru </t>
  </si>
  <si>
    <t>сб,вс 10:00–19:00</t>
  </si>
  <si>
    <t>47.89057 56.63571</t>
  </si>
  <si>
    <t>Музей лицея № 11</t>
  </si>
  <si>
    <t>https://11liceyamusey.wordpress.com/</t>
  </si>
  <si>
    <t>47.893505 56.633642</t>
  </si>
  <si>
    <t>ПК А П Р</t>
  </si>
  <si>
    <t>бул. Чавайна, 44, Йошкар-Ола</t>
  </si>
  <si>
    <t>+7 (8362) 41-29-49, +7 (8362) 32-13-80</t>
  </si>
  <si>
    <t>47.894093 56.635907</t>
  </si>
  <si>
    <t>Кваdрат</t>
  </si>
  <si>
    <t>ул. Соловьёва, 22А, корп. 3, Йошкар-Ола</t>
  </si>
  <si>
    <t>+7 (967) 756-95-00</t>
  </si>
  <si>
    <t>http://kvadrat12.com/</t>
  </si>
  <si>
    <t>47.871114 56.625074</t>
  </si>
  <si>
    <t>МБОУ Гимназия № 14 г. Йошкар-Олы</t>
  </si>
  <si>
    <t>+7 (8362) 42-47-41, +7 (8362) 42-48-10</t>
  </si>
  <si>
    <t xml:space="preserve">gimnschool14@yandex.ru, olimpiada@sozvezdiye-talantov.com, info@sozvezdiye-talantov.com  </t>
  </si>
  <si>
    <t>http://14gimnazia.com/</t>
  </si>
  <si>
    <t>пн-сб 08:00–20:00; вс 09:00–14:00</t>
  </si>
  <si>
    <t>http://vk.com/club2407665</t>
  </si>
  <si>
    <t>47.875519 56.636162</t>
  </si>
  <si>
    <t>ТСН Олимп</t>
  </si>
  <si>
    <t>+7 (8362) 33-32-28</t>
  </si>
  <si>
    <t>ул. Карла Маркса, 118, Йошкар-Ола</t>
  </si>
  <si>
    <t>47.893759 56.626579</t>
  </si>
  <si>
    <t>Олгранум</t>
  </si>
  <si>
    <t>8 (800) 505-60-13, +7 (495) 137-51-07</t>
  </si>
  <si>
    <t xml:space="preserve">14370afcdc17429f9e418d5ffbd0334a@sentry.wixpress.com, info@olgranum.ru, wixofday@wix.com  </t>
  </si>
  <si>
    <t>http://www.olgranum.ru/</t>
  </si>
  <si>
    <t>47.86795 56.637913</t>
  </si>
  <si>
    <t>ООО Дом печати</t>
  </si>
  <si>
    <t>47.891605 56.62135</t>
  </si>
  <si>
    <t>ГБУ Республиканский противотуберкулезный диспансер бактериологическая лаборатория</t>
  </si>
  <si>
    <t>http://pr60b.polickliniki.ru/</t>
  </si>
  <si>
    <t>47.886773 56.650309</t>
  </si>
  <si>
    <t>47.885774 56.642961</t>
  </si>
  <si>
    <t>Мастерская по ремонту и доработке автомобиля</t>
  </si>
  <si>
    <t>ежедневно, 08:00–03:00</t>
  </si>
  <si>
    <t>https://vk.com/club166825919</t>
  </si>
  <si>
    <t>47.948429 56.632343</t>
  </si>
  <si>
    <t>Смокинг</t>
  </si>
  <si>
    <t>+7 (937) 938-90-33</t>
  </si>
  <si>
    <t>пн-чт 14:00–02:00; пт,сб 14:00–03:00; вс 14:00–02:00</t>
  </si>
  <si>
    <t>http://vk.com/smoking_yo</t>
  </si>
  <si>
    <t>http://instagram.com/smoking_yo</t>
  </si>
  <si>
    <t>47.935767 56.632518</t>
  </si>
  <si>
    <t>Профмаркет</t>
  </si>
  <si>
    <t>+7 (8362) 95-16-00</t>
  </si>
  <si>
    <t>+7 (937) 939-77-37</t>
  </si>
  <si>
    <t xml:space="preserve">prof-market.net@mail.ru  </t>
  </si>
  <si>
    <t>http://prof-market.net/</t>
  </si>
  <si>
    <t>Интернет-магазин, Оборудование для ресторанов, Пищевое оборудование</t>
  </si>
  <si>
    <t>https://vk.com/fastfudoff</t>
  </si>
  <si>
    <t>https://ok.ru/group/55443116720285</t>
  </si>
  <si>
    <t>https://www.youtube.com/channel/UCuUP4AfgJ0Ny4ayI8xG-hoQ?view_as=subscriber</t>
  </si>
  <si>
    <t>47.895433 56.61646</t>
  </si>
  <si>
    <t>47.931458 56.632496</t>
  </si>
  <si>
    <t>ул. Йывана Кырли, 40, Йошкар-Ола</t>
  </si>
  <si>
    <t>47.833474 56.63881</t>
  </si>
  <si>
    <t>47.940986 56.631584</t>
  </si>
  <si>
    <t>+7 (8362) 33-08-50</t>
  </si>
  <si>
    <t>+7 (927) 883-10-39</t>
  </si>
  <si>
    <t>47.834519 56.637644</t>
  </si>
  <si>
    <t>РУ Потолки Йошкар-Ола</t>
  </si>
  <si>
    <t>8 (800) 301-23-50</t>
  </si>
  <si>
    <t xml:space="preserve">yoshkar-ola@rupotolki.ru  </t>
  </si>
  <si>
    <t>https://yoshkar-ola.rupotolki.ru/</t>
  </si>
  <si>
    <t>https://vk.com/rupotolki</t>
  </si>
  <si>
    <t>https://twitter.com/rupotolki</t>
  </si>
  <si>
    <t>https://www.facebook.com/rupotolki</t>
  </si>
  <si>
    <t>https://www.instagram.com/rupotolki</t>
  </si>
  <si>
    <t>Ремстройдормаш</t>
  </si>
  <si>
    <t>+7 (8362) 56-67-40, +7 (8362) 45-19-50, +7 (8362) 45-24-01, +7 (8362) 45-67-23</t>
  </si>
  <si>
    <t xml:space="preserve">remstroy12@gmail.com, 451950@mail.ru, 2451950@gmail.com, 452309@bk.ru  </t>
  </si>
  <si>
    <t>http://www.remstroy.info/</t>
  </si>
  <si>
    <t>47.878452 56.61299</t>
  </si>
  <si>
    <t>Spletni</t>
  </si>
  <si>
    <t>+7 (8362) 32-77-23</t>
  </si>
  <si>
    <t>Бар, паб, Караоке-клуб, Кафе, Ночной клуб</t>
  </si>
  <si>
    <t>пт,сб 18:00–23:00</t>
  </si>
  <si>
    <t>http://vk.com/lounge_bar_spletni</t>
  </si>
  <si>
    <t>https://www.facebook.com/pages/spletni-lounge-bar/834716759949528</t>
  </si>
  <si>
    <t>47.892224 56.635648</t>
  </si>
  <si>
    <t>+7 (917) 711-08-32</t>
  </si>
  <si>
    <t>47.863987 56.646593</t>
  </si>
  <si>
    <t>Hotel-home</t>
  </si>
  <si>
    <t>+7 (8362) 91-93-02</t>
  </si>
  <si>
    <t>47.9519 56.6218</t>
  </si>
  <si>
    <t>Lime праздник</t>
  </si>
  <si>
    <t>https://instagram.com/limeprazdnik</t>
  </si>
  <si>
    <t>ЕвроТранс</t>
  </si>
  <si>
    <t>+7 (962) 588-64-77, +7 (961) 374-33-33, +7 (987) 729-16-57</t>
  </si>
  <si>
    <t>47.848446 56.627768</t>
  </si>
  <si>
    <t>Амира</t>
  </si>
  <si>
    <t>7d формат</t>
  </si>
  <si>
    <t>+7 (963) 239-27-77</t>
  </si>
  <si>
    <t xml:space="preserve">zakaz@proekt7d.ru, web@proekt7d.ru  </t>
  </si>
  <si>
    <t>https://proekt7d.ru/</t>
  </si>
  <si>
    <t>https://vk.com/new7d</t>
  </si>
  <si>
    <t>https://ok.ru/new7d</t>
  </si>
  <si>
    <t>https://www.facebook.com/new7d/</t>
  </si>
  <si>
    <t>https://www.instagram.com/new7d/</t>
  </si>
  <si>
    <t>47.846134 56.636912</t>
  </si>
  <si>
    <t>ЕвроХенд</t>
  </si>
  <si>
    <t xml:space="preserve">evrohand@yandex.ru, evrohand-kzn2@yandex.ru  </t>
  </si>
  <si>
    <t>http://evro-hand.ru/</t>
  </si>
  <si>
    <t>https://vk.com/evrohand_yoshkarola</t>
  </si>
  <si>
    <t>https://www.instagram.com/evrohandyoshkarola</t>
  </si>
  <si>
    <t>Велики коляски 12</t>
  </si>
  <si>
    <t>+7 (902) 737-60-70, +7 (927) 871-22-08</t>
  </si>
  <si>
    <t>https://vk.com/veliki</t>
  </si>
  <si>
    <t>Vr Zone</t>
  </si>
  <si>
    <t>+7 (987) 734-12-34, +7 (917) 710-49-99</t>
  </si>
  <si>
    <t xml:space="preserve">vrzone12rus@gmail.com, vrzone@mail.ru  </t>
  </si>
  <si>
    <t>https://vrzone12.ru/</t>
  </si>
  <si>
    <t>Клуб виртуальной реальности</t>
  </si>
  <si>
    <t>https://vk.com/vrzone12</t>
  </si>
  <si>
    <t>https://www.instagram.com/vrzone.yo</t>
  </si>
  <si>
    <t>Фабрика Мирлачёва</t>
  </si>
  <si>
    <t>47.832889 56.641777</t>
  </si>
  <si>
    <t>47.943374 56.634808</t>
  </si>
  <si>
    <t>47.913001 56.647284</t>
  </si>
  <si>
    <t>47.884104 56.632824</t>
  </si>
  <si>
    <t>Windigo</t>
  </si>
  <si>
    <t>ул. Строителей, 56Б, Йошкар-Ола</t>
  </si>
  <si>
    <t>8 (800) 700-46-34</t>
  </si>
  <si>
    <t>+7 (917) 705-91-11</t>
  </si>
  <si>
    <t xml:space="preserve">info@windigo.ru, info@windigof.ru, gitelman.gmn@gmail.com  </t>
  </si>
  <si>
    <t>https://windigo.ru/</t>
  </si>
  <si>
    <t>http://vk.com/indigoauto</t>
  </si>
  <si>
    <t>http://facebook.com/windigoOil/</t>
  </si>
  <si>
    <t>https://www.instagram.com/windigo_official</t>
  </si>
  <si>
    <t>47.840292 56.631085</t>
  </si>
  <si>
    <t>Кафетерия</t>
  </si>
  <si>
    <t>47.82119 56.633324</t>
  </si>
  <si>
    <t>Студия Ok, школа Иностранных Языков</t>
  </si>
  <si>
    <t>+7 (902) 670-76-56</t>
  </si>
  <si>
    <t>47.893247 56.638571</t>
  </si>
  <si>
    <t>Грузовой двор РЖД СТ. Йошкар-Ола</t>
  </si>
  <si>
    <t>+7 (831) 248-26-72</t>
  </si>
  <si>
    <t xml:space="preserve">infocmm@center.rzd.ru, cm@center.rzd.ru, ofras_dm@orw.ru, dm_tsurkanen@klgd.rzd.ru, mch1_savchenkoms@msk.rzd.ru  </t>
  </si>
  <si>
    <t>http://cm.rzd.ru/</t>
  </si>
  <si>
    <t>47.87847 56.622813</t>
  </si>
  <si>
    <t>47.88592 56.633314</t>
  </si>
  <si>
    <t>Мабрус</t>
  </si>
  <si>
    <t>ЦИТОКО Центр информационных технологий оценки качества образования</t>
  </si>
  <si>
    <t>наб. Амстердам, 3, Йошкар-Ола</t>
  </si>
  <si>
    <t>+7 (8362) 45-16-05</t>
  </si>
  <si>
    <t>47.898811 56.630945</t>
  </si>
  <si>
    <t>Аксессуары для телефонов Tirax</t>
  </si>
  <si>
    <t xml:space="preserve">zakaz@tirax.ru  </t>
  </si>
  <si>
    <t>http://www.tirax.ru/</t>
  </si>
  <si>
    <t>Магазин электротранспорта, Оптовый магазин, Товары для мобильных телефонов</t>
  </si>
  <si>
    <t>https://vk.com/tirax12</t>
  </si>
  <si>
    <t>https://twitter.com/@tirax121</t>
  </si>
  <si>
    <t>https://www.instagram.com/tirax121</t>
  </si>
  <si>
    <t>Кубки, медали, сувениры 12</t>
  </si>
  <si>
    <t>+7 (8362) 34-90-66, +7 (8362) 46-90-66</t>
  </si>
  <si>
    <t>+7 (917) 702-05-00</t>
  </si>
  <si>
    <t xml:space="preserve">info@dialcon.ru  </t>
  </si>
  <si>
    <t>http://hameleon.dialcon.ru/</t>
  </si>
  <si>
    <t>парк имени Гагарина</t>
  </si>
  <si>
    <t>47.958093 56.62947</t>
  </si>
  <si>
    <t>Россия, Республика Марий Эл, Йошкар-Ола, улица Луначарского</t>
  </si>
  <si>
    <t>47.891074 56.620308</t>
  </si>
  <si>
    <t>+7 (8362) 55-25-93</t>
  </si>
  <si>
    <t>+7 (967) 755-25-93</t>
  </si>
  <si>
    <t xml:space="preserve">real552593@yandex.ru, realcheb@yandex.ru  </t>
  </si>
  <si>
    <t>http://real12.ru/</t>
  </si>
  <si>
    <t>https://vk.com/realcheb</t>
  </si>
  <si>
    <t>https://www.instagram.com/realcheboksary/</t>
  </si>
  <si>
    <t>47.856952 56.642344</t>
  </si>
  <si>
    <t>Студия цветов Подари</t>
  </si>
  <si>
    <t>+7 (964) 862-25-72</t>
  </si>
  <si>
    <t>пн-сб 08:30–19:00; вс 10:00–18:00</t>
  </si>
  <si>
    <t>https://vk.com/podari_flowersstudio</t>
  </si>
  <si>
    <t>https://instagram.com/podari_flowersstudio</t>
  </si>
  <si>
    <t>47.88539 56.640584</t>
  </si>
  <si>
    <t>Марийский государственный университет, Историко-филологический факультет</t>
  </si>
  <si>
    <t>+7 (8362) 68-80-40</t>
  </si>
  <si>
    <t>47.887906 56.634327</t>
  </si>
  <si>
    <t>Тишь-строй</t>
  </si>
  <si>
    <t>+7 (8362) 44-14-40</t>
  </si>
  <si>
    <t>https://vk.com/stroymag112</t>
  </si>
  <si>
    <t>Fashion Avenue</t>
  </si>
  <si>
    <t>Принт-Ф</t>
  </si>
  <si>
    <t>+7 (8362) 42-64-19</t>
  </si>
  <si>
    <t xml:space="preserve">print-f@mail.ru  </t>
  </si>
  <si>
    <t>Изготовление печатей и штампов, Полиграфические услуги, Студия дизайна</t>
  </si>
  <si>
    <t>http://vk.com/printf12</t>
  </si>
  <si>
    <t>Мастерок</t>
  </si>
  <si>
    <t>47.94524 56.622588</t>
  </si>
  <si>
    <t>47.96436 56.640709</t>
  </si>
  <si>
    <t>АртСтудия12</t>
  </si>
  <si>
    <t>ул. Машиностроителей, 84В, Йошкар-Ола</t>
  </si>
  <si>
    <t>https://ac12.ru/</t>
  </si>
  <si>
    <t>Мебель на заказ, Фасады и фасадные системы</t>
  </si>
  <si>
    <t>Доставка напитков</t>
  </si>
  <si>
    <t>+7 (8362) 45-41-53, +7 (8362) 45-23-64, +7 (8362) 45-69-45</t>
  </si>
  <si>
    <t>47.954446 56.644174</t>
  </si>
  <si>
    <t>47.846999 56.619458</t>
  </si>
  <si>
    <t>Chicano</t>
  </si>
  <si>
    <t>+7 (8362) 36-34-54</t>
  </si>
  <si>
    <t>https://vk.com/chicano_tattoostudio</t>
  </si>
  <si>
    <t>47.871236 56.635579</t>
  </si>
  <si>
    <t>+7 (909) 130-37-44, +7 (902) 438-52-64</t>
  </si>
  <si>
    <t xml:space="preserve">depresova@mail.ru  </t>
  </si>
  <si>
    <t>https://ritm.kmarket12.ru/</t>
  </si>
  <si>
    <t>https://vk.com/club151371003</t>
  </si>
  <si>
    <t>https://ok.ru/group/54639094595703</t>
  </si>
  <si>
    <t>47.889206 56.639935</t>
  </si>
  <si>
    <t>Миф</t>
  </si>
  <si>
    <t>Детские игрушки и игры, Магазин парфюмерии и косметики, Магазин подарков и сувениров, Магазин хозтоваров и бытовой химии</t>
  </si>
  <si>
    <t>47.899095 56.644</t>
  </si>
  <si>
    <t>Сумки и очки</t>
  </si>
  <si>
    <t>47.946429 56.623044</t>
  </si>
  <si>
    <t>ГК Алат</t>
  </si>
  <si>
    <t>+7 (8362) 45-40-97</t>
  </si>
  <si>
    <t>47.854622 56.629475</t>
  </si>
  <si>
    <t>ул. Мира, 37А, Йошкар-Ола</t>
  </si>
  <si>
    <t>47.949955 56.62576</t>
  </si>
  <si>
    <t>Белая Ворона</t>
  </si>
  <si>
    <t>Ленинский просп., 75, Йошкар-Ола</t>
  </si>
  <si>
    <t>+7 (964) 863-20-01</t>
  </si>
  <si>
    <t xml:space="preserve">komelina.oksana@gmail.com  </t>
  </si>
  <si>
    <t>http://школабелаяворона.рф/</t>
  </si>
  <si>
    <t>Начальная школа</t>
  </si>
  <si>
    <t>https://vk.com/belaya_vorona_yola</t>
  </si>
  <si>
    <t>47.870799 56.638376</t>
  </si>
  <si>
    <t>https://vk.com/kosmetika12ru</t>
  </si>
  <si>
    <t>https://instagram.com/kosmetika.12</t>
  </si>
  <si>
    <t>Euromade Йошкар-Ола</t>
  </si>
  <si>
    <t>8 (800) 555-52-31</t>
  </si>
  <si>
    <t xml:space="preserve">euromade@mail.ru, info@euromade.ru, order@euromade.ru  </t>
  </si>
  <si>
    <t>https://euromade.ru/</t>
  </si>
  <si>
    <t>https://vk.com/euromade_shop</t>
  </si>
  <si>
    <t>Rich Rikki</t>
  </si>
  <si>
    <t>Кофейный ряд</t>
  </si>
  <si>
    <t>ELIT</t>
  </si>
  <si>
    <t>8 (800) 234-16-69</t>
  </si>
  <si>
    <t>+7 (917) 700-39-92, +7 (917) 301-83-75</t>
  </si>
  <si>
    <t xml:space="preserve">web@medclothes64.ru, rim@medclothes64.ru, balabanova.k@medclothes64.ru, pozdeev.d@medclothes64.ru  </t>
  </si>
  <si>
    <t>https://elitmedplace.ru/</t>
  </si>
  <si>
    <t>Магазин медицинских товаров, Медицинские изделия и расходные материалы, Спецодежда</t>
  </si>
  <si>
    <t>https://vk.com/td.elit</t>
  </si>
  <si>
    <t>https://ok.ru/group/59215063548156</t>
  </si>
  <si>
    <t>https://www.facebook.com/tdelit</t>
  </si>
  <si>
    <t>https://www.youtube.com/channel/UCwOYsCTByt8bNg-NwHOGRog/</t>
  </si>
  <si>
    <t>https://www.instagram.com/medodezhda_elit/</t>
  </si>
  <si>
    <t>Кредитный потребительский кооператив Столица</t>
  </si>
  <si>
    <t>+7 (8362) 23-25-25</t>
  </si>
  <si>
    <t xml:space="preserve">stolitsa.kpk@mail.ru  </t>
  </si>
  <si>
    <t>http://kpk-stolitsa.ru/</t>
  </si>
  <si>
    <t>47.887027 56.630329</t>
  </si>
  <si>
    <t>Густика</t>
  </si>
  <si>
    <t>https://vk.com/gustika</t>
  </si>
  <si>
    <t>Франшиза интернет-магазина</t>
  </si>
  <si>
    <t>8 (800) 511-22-53, 8 (800) 201-33-07</t>
  </si>
  <si>
    <t>+7 (988) 055-18-18</t>
  </si>
  <si>
    <t>http://yoshkarola.iter.su/</t>
  </si>
  <si>
    <t>https://vk.com/public140228713</t>
  </si>
  <si>
    <t>https://twitter.com/iter_su</t>
  </si>
  <si>
    <t>https://www.facebook.com/itersu</t>
  </si>
  <si>
    <t>PadАйфон</t>
  </si>
  <si>
    <t>47.929082 56.627954</t>
  </si>
  <si>
    <t>Автоматические ворота</t>
  </si>
  <si>
    <t>ул. Героев Сталинградской Битвы, 11, Йошкар-Ола</t>
  </si>
  <si>
    <t>+7 (8362) 33-70-40</t>
  </si>
  <si>
    <t xml:space="preserve">vorota.povolzhe@bk.ru </t>
  </si>
  <si>
    <t>https://ворота12.рф/</t>
  </si>
  <si>
    <t>Автоматические двери и ворота, Металлические заборы и ограждения, Рольставни</t>
  </si>
  <si>
    <t>47.948468 56.63004</t>
  </si>
  <si>
    <t>47.832671 56.636556</t>
  </si>
  <si>
    <t>47.885621 56.632996</t>
  </si>
  <si>
    <t>47.889516 56.635326</t>
  </si>
  <si>
    <t>ИП Маганов Д. И.</t>
  </si>
  <si>
    <t>+7 (8362) 33-99-09</t>
  </si>
  <si>
    <t xml:space="preserve">nika-yoshkarola@yandex.ru  </t>
  </si>
  <si>
    <t>http://mari-nika.ru/</t>
  </si>
  <si>
    <t>https://vk.com/moment_zagar_neglizhe_yola</t>
  </si>
  <si>
    <t>Anex Tour</t>
  </si>
  <si>
    <t>8 (800) 775-50-00, +7 (8362) 38-40-03</t>
  </si>
  <si>
    <t xml:space="preserve">example@mail.ru, pr@anextour.com, im@anextour.com, personal@anextour.com, web@anextour.com  </t>
  </si>
  <si>
    <t>https://yla.anex.agency/ultra-vse-vklyucheno-yoshkar-ola?utm_campaign=summer_2019u0026utm_medium=mapsu0026utm_source=yandex, https://www.anextour.com/</t>
  </si>
  <si>
    <t>Бронирование гостиниц, Железнодорожные и авиабилеты, Турагентство, Туроператор</t>
  </si>
  <si>
    <t>https://vk.com/anex.agency</t>
  </si>
  <si>
    <t>https://www.ok.ru/group/54897962254443</t>
  </si>
  <si>
    <t>https://www.facebook.com/anextourb2b</t>
  </si>
  <si>
    <t>https://www.instagram.com/anex.agency/</t>
  </si>
  <si>
    <t>МПТ</t>
  </si>
  <si>
    <t>47.84123 56.632818</t>
  </si>
  <si>
    <t>Маленькая Япония</t>
  </si>
  <si>
    <t>ул. Менделеева, 14/30, Йошкар-Ола</t>
  </si>
  <si>
    <t>47.908439 56.647925</t>
  </si>
  <si>
    <t>47.86604 56.649887</t>
  </si>
  <si>
    <t>Виталий Классик</t>
  </si>
  <si>
    <t>+7 (927) 879-40-50</t>
  </si>
  <si>
    <t>http://www.vitaliyclassic.ru/</t>
  </si>
  <si>
    <t>47.885857 56.635325</t>
  </si>
  <si>
    <t>Частнопрактикующий юрист</t>
  </si>
  <si>
    <t>+7 (902) 745-32-29</t>
  </si>
  <si>
    <t>Воскресение</t>
  </si>
  <si>
    <t>https://vk.com/spovoskresenie</t>
  </si>
  <si>
    <t>8 (800) 333-22-44, +7 (8362) 41-17-10</t>
  </si>
  <si>
    <t>https://www.facebook.com/UnistreamMT/</t>
  </si>
  <si>
    <t>47.902097 56.633179</t>
  </si>
  <si>
    <t>Bon Charm</t>
  </si>
  <si>
    <t>Компания безопасность</t>
  </si>
  <si>
    <t>+7 (967) 753-79-50, +7 (967) 753-79-51</t>
  </si>
  <si>
    <t>+7 (8362) 41-72-61</t>
  </si>
  <si>
    <t>http://12.суперкухни.рф/</t>
  </si>
  <si>
    <t>https://vk.com/kuhni_joshkar_ola</t>
  </si>
  <si>
    <t>Альянс-3</t>
  </si>
  <si>
    <t>47.903597 56.643173</t>
  </si>
  <si>
    <t>Мастер маникюра Мария</t>
  </si>
  <si>
    <t>+7 (902) 743-35-13</t>
  </si>
  <si>
    <t>https://vk.com/mashnail12</t>
  </si>
  <si>
    <t>47.854513 56.64403</t>
  </si>
  <si>
    <t>47.906329 56.630102</t>
  </si>
  <si>
    <t>+7 (902) 737-71-43</t>
  </si>
  <si>
    <t xml:space="preserve">johndoe@domain.com, ivanivanov@domain.com  </t>
  </si>
  <si>
    <t>https://megakom.info/</t>
  </si>
  <si>
    <t>Компьютерный магазин, Компьютерный ремонт и услуги, Расходные материалы для оргтехники</t>
  </si>
  <si>
    <t>https://vk.com/megakom_info</t>
  </si>
  <si>
    <t>47.894901 56.640265</t>
  </si>
  <si>
    <t>Zoki</t>
  </si>
  <si>
    <t>+7 (8362) 35-26-18</t>
  </si>
  <si>
    <t>+7 (962) 588-26-18</t>
  </si>
  <si>
    <t xml:space="preserve">zoki-9@mail.ru, zoki-mur@mail.ru, zoki-vet@mail.ru, zoki-10@mail.ru, zoki-5@mail.ru  </t>
  </si>
  <si>
    <t>http://zoki-zoo.ru/</t>
  </si>
  <si>
    <t>https://vk.com/zokizoo</t>
  </si>
  <si>
    <t>https://ok.ru/zoki1</t>
  </si>
  <si>
    <t>https://www.facebook.com/groups/zokizoo/</t>
  </si>
  <si>
    <t>https://www.youtube.com/channel/UCeKR8_1aPG2_d-iEiks7PTA</t>
  </si>
  <si>
    <t>47.896913 56.634575</t>
  </si>
  <si>
    <t>Три Кота</t>
  </si>
  <si>
    <t>+7 (902) 432-55-32</t>
  </si>
  <si>
    <t>https://vk.com/club174501956</t>
  </si>
  <si>
    <t>47.921467 56.637534</t>
  </si>
  <si>
    <t>47.913547 56.642609</t>
  </si>
  <si>
    <t>РЕСО</t>
  </si>
  <si>
    <t>пн-пт 10:00–16:00; сб 12:00–15:00</t>
  </si>
  <si>
    <t>47.874466 56.636653</t>
  </si>
  <si>
    <t>47.901916 56.645858</t>
  </si>
  <si>
    <t>Жилой дом по ул. Чернякова, 28</t>
  </si>
  <si>
    <t>ул. Йывана Кырли, 50А, Йошкар-Ола</t>
  </si>
  <si>
    <t>http://росагрострой12.рф/objects/zhiloy-dom-v-g-yoshkar-ola-po-ul-chernyakova-poz-28/</t>
  </si>
  <si>
    <t>47.821697 56.638504</t>
  </si>
  <si>
    <t>Магазин овощей и фруктов, Орехи, снеки, сухофрукты, Пищевые ингредиенты и специи</t>
  </si>
  <si>
    <t>47.865913 56.650409</t>
  </si>
  <si>
    <t>http://www.siv-stroy.ru/</t>
  </si>
  <si>
    <t>Двери, Оптовый магазин</t>
  </si>
  <si>
    <t>47.904587 56.647339</t>
  </si>
  <si>
    <t>47.832482 56.636487</t>
  </si>
  <si>
    <t>Азалия</t>
  </si>
  <si>
    <t>47.88417 56.634528</t>
  </si>
  <si>
    <t>+7 (964) 864-85-78, +7 (902) 432-20-16, +7 (902) 436-06-45</t>
  </si>
  <si>
    <t>47.895483 56.640039</t>
  </si>
  <si>
    <t>Pro-Expert</t>
  </si>
  <si>
    <t xml:space="preserve">mar_podvodnik@mail.ru  </t>
  </si>
  <si>
    <t>http://pro-expert.ucoz.com/</t>
  </si>
  <si>
    <t>Цветов.ру</t>
  </si>
  <si>
    <t>+7 (987) 709-37-11</t>
  </si>
  <si>
    <t xml:space="preserve">volgograd@cvetov.ru, admin@cvetov.ru  </t>
  </si>
  <si>
    <t>https://yola.cvetov.ru/</t>
  </si>
  <si>
    <t>ежедневно, 07:45–21:00</t>
  </si>
  <si>
    <t>https://vk.com/yola.cvetov</t>
  </si>
  <si>
    <t>47.89308 56.639074</t>
  </si>
  <si>
    <t>47.893584 56.645871</t>
  </si>
  <si>
    <t>47.892859 56.647733</t>
  </si>
  <si>
    <t>Дары востока</t>
  </si>
  <si>
    <t>Мамзель</t>
  </si>
  <si>
    <t>Волгаснаб</t>
  </si>
  <si>
    <t>+7 (8362) 35-33-19</t>
  </si>
  <si>
    <t>+7 (987) 707-85-62</t>
  </si>
  <si>
    <t>https://volgasnab.su/</t>
  </si>
  <si>
    <t>Оборудование для ресторанов, Пищевое оборудование, Товары для кондитеров</t>
  </si>
  <si>
    <t>47.869707 56.654598</t>
  </si>
  <si>
    <t>ТСЖ Центральный</t>
  </si>
  <si>
    <t>+7 (8362) 72-59-59</t>
  </si>
  <si>
    <t>Организационно-культурный центр</t>
  </si>
  <si>
    <t>47.897582 56.640968</t>
  </si>
  <si>
    <t>Миа</t>
  </si>
  <si>
    <t>+7 (8362) 54-55-66</t>
  </si>
  <si>
    <t>+7 (917) 703-30-16</t>
  </si>
  <si>
    <t>пн-пт 09:00–20:00; сб 10:00–15:00</t>
  </si>
  <si>
    <t>47.891238 56.63169</t>
  </si>
  <si>
    <t>+7 (902) 326-33-23</t>
  </si>
  <si>
    <t>47.898018 56.634466</t>
  </si>
  <si>
    <t>+7 (8362) 71-10-35</t>
  </si>
  <si>
    <t>+7 (902) 466-10-35, +7 (902) 432-75-92</t>
  </si>
  <si>
    <t>Служба специальных курьерских перевозок</t>
  </si>
  <si>
    <t>ул. Машиностроителей, 122, Йошкар-Ола</t>
  </si>
  <si>
    <t>47.829865 56.625935</t>
  </si>
  <si>
    <t>ул. Машиностроителей, 11, Йошкар-Ола</t>
  </si>
  <si>
    <t>47.875156 56.645168</t>
  </si>
  <si>
    <t>Продукты хозтовары</t>
  </si>
  <si>
    <t>47.820296 56.6271</t>
  </si>
  <si>
    <t>47.854578 56.644018</t>
  </si>
  <si>
    <t>ТоргСоюз</t>
  </si>
  <si>
    <t>Автопрофиль</t>
  </si>
  <si>
    <t>+7 (8362) 38-44-44, +7 (8362) 26-44-44</t>
  </si>
  <si>
    <t>+7 (8362) 38-44-44</t>
  </si>
  <si>
    <t>РосБанк. Банкомат</t>
  </si>
  <si>
    <t>СпецТехЦентр</t>
  </si>
  <si>
    <t>+7 (8552) 25-02-92</t>
  </si>
  <si>
    <t xml:space="preserve">stc16@inbox.ru  </t>
  </si>
  <si>
    <t>http://excavatorzap.ru/</t>
  </si>
  <si>
    <t>Грузовые автомобили, грузовая техника, Магазин автозапчастей и автотоваров</t>
  </si>
  <si>
    <t>+7 (937) 111-88-22</t>
  </si>
  <si>
    <t>Доставка цветов и букетов, Магазин цветов, Праздничное агентство, Студия дизайна</t>
  </si>
  <si>
    <t>+7 (902) 745-81-83</t>
  </si>
  <si>
    <t>Магазин постельных принадлежностей, Матрасы, Мебель для спальни</t>
  </si>
  <si>
    <t>https://vk.com/salon_buduar</t>
  </si>
  <si>
    <t>https://ok.ru/group/53429142487240</t>
  </si>
  <si>
    <t>47.925804 56.634246</t>
  </si>
  <si>
    <t>Грузчик-сервис</t>
  </si>
  <si>
    <t>+7 (927) 881-23-45</t>
  </si>
  <si>
    <t>S.Lavia</t>
  </si>
  <si>
    <t>47.892961 56.634887</t>
  </si>
  <si>
    <t>Transfuria</t>
  </si>
  <si>
    <t>47.856723 56.643164</t>
  </si>
  <si>
    <t>47.891045 56.637731</t>
  </si>
  <si>
    <t>Отдел по ремонту сотовых телефонов</t>
  </si>
  <si>
    <t>47.884136 56.622957</t>
  </si>
  <si>
    <t>Аренда спецтехники и грузоперевозки</t>
  </si>
  <si>
    <t>+7 (8362) 33-10-07, +7 (8362) 33-20-57</t>
  </si>
  <si>
    <t>Автомобильные грузоперевозки, Аренда строительной и спецтехники, Прокат автомобилей</t>
  </si>
  <si>
    <t>47.907468 56.637162</t>
  </si>
  <si>
    <t>Мебель для вас на заказ</t>
  </si>
  <si>
    <t>47.875335 56.638577</t>
  </si>
  <si>
    <t>Danko</t>
  </si>
  <si>
    <t>Офтальмологическая поликлиника</t>
  </si>
  <si>
    <t>ежедневно, 08:00–18:00, перерыв 12:00–12:30</t>
  </si>
  <si>
    <t>47.879752 56.649805</t>
  </si>
  <si>
    <t>47.88873 56.634677</t>
  </si>
  <si>
    <t>АЗС Волга-ресурс</t>
  </si>
  <si>
    <t>47.838182 56.654817</t>
  </si>
  <si>
    <t>Бухгалтерская компания</t>
  </si>
  <si>
    <t>+7 (8362) 41-97-57</t>
  </si>
  <si>
    <t>Магазин парфюмерии и косметики, Оптовый магазин</t>
  </si>
  <si>
    <t>http://instagram.com/cosmeticsyola</t>
  </si>
  <si>
    <t>Apartment near Kremlin Yoshkar-Ola</t>
  </si>
  <si>
    <t>47.896043 56.634893</t>
  </si>
  <si>
    <t>Музыка онлайн</t>
  </si>
  <si>
    <t>Россия, Республика Марий Эл, Йошкар-Ола, улица Зарубина</t>
  </si>
  <si>
    <t>47.863609 56.640572</t>
  </si>
  <si>
    <t>Мандаринки</t>
  </si>
  <si>
    <t>https://vk.com/mandarinki_deti</t>
  </si>
  <si>
    <t>Автотехнология</t>
  </si>
  <si>
    <t>Садовая ул., 47А, Йошкар-Ола</t>
  </si>
  <si>
    <t>+7 (8362) 71-10-07</t>
  </si>
  <si>
    <t>47.852788 56.630288</t>
  </si>
  <si>
    <t>47.88926 56.628725</t>
  </si>
  <si>
    <t>47.883239 56.633577</t>
  </si>
  <si>
    <t>Odnokomnatnaia kvartira V tsientrie ghoroda</t>
  </si>
  <si>
    <t>47.888877 56.624634</t>
  </si>
  <si>
    <t>47.91986 56.632711</t>
  </si>
  <si>
    <t>Premiera</t>
  </si>
  <si>
    <t>+7 (8362) 78-07-20</t>
  </si>
  <si>
    <t>+7 (917) 718-05-55</t>
  </si>
  <si>
    <t>Клуб для детей и подростков, Фитнес-клуб, Школа танцев</t>
  </si>
  <si>
    <t>пн-пт 15:00–21:00; сб 10:00–17:00</t>
  </si>
  <si>
    <t>https://vk.com/premiera.dance</t>
  </si>
  <si>
    <t>Tsentr Yoshkar-Oly</t>
  </si>
  <si>
    <t>ул. Пархоменко, 16, Йошкар-Ола</t>
  </si>
  <si>
    <t>47.87525 56.63005</t>
  </si>
  <si>
    <t>47.886996 56.625016</t>
  </si>
  <si>
    <t>Мебель М</t>
  </si>
  <si>
    <t>+7 (8362) 52-36-36</t>
  </si>
  <si>
    <t>+7 (964) 862-36-36</t>
  </si>
  <si>
    <t>Магазин мебели, Мебель для кухни, Мебель на заказ, Студия дизайна</t>
  </si>
  <si>
    <t>https://vk.com/mebel_12</t>
  </si>
  <si>
    <t>Служба заказа автобусов</t>
  </si>
  <si>
    <t>+7 (8362) 42-27-51</t>
  </si>
  <si>
    <t>Копировальный центр, Оргтехника, Полиграфические услуги, Ремонт оргтехники</t>
  </si>
  <si>
    <t>Черный Георгин</t>
  </si>
  <si>
    <t>47.949835 56.626795</t>
  </si>
  <si>
    <t>ежедневно, 09:00–17:45, перерыв 13:00–13:30</t>
  </si>
  <si>
    <t>47.875203 56.651741</t>
  </si>
  <si>
    <t>47.917165 56.63019</t>
  </si>
  <si>
    <t>Веселые праздники</t>
  </si>
  <si>
    <t>пн-пт 08:00–19:00, перерыв 12:00–13:00</t>
  </si>
  <si>
    <t>https://vk.com/dedmorozdoma12</t>
  </si>
  <si>
    <t>Периодика</t>
  </si>
  <si>
    <t>47.871183 56.64586</t>
  </si>
  <si>
    <t>Дверной Эксперт</t>
  </si>
  <si>
    <t xml:space="preserve">m1@intecron-trade.ru  </t>
  </si>
  <si>
    <t>http://dverexp.ru/</t>
  </si>
  <si>
    <t>Замки и запорные устройства, Металлические заборы и ограждения, Строительный магазин</t>
  </si>
  <si>
    <t>47.841331 56.62741</t>
  </si>
  <si>
    <t>Имлс</t>
  </si>
  <si>
    <t>8 (800) 707-33-23</t>
  </si>
  <si>
    <t>https://12.imls.ru/</t>
  </si>
  <si>
    <t>ЖЭУ</t>
  </si>
  <si>
    <t>47.866474 56.635494</t>
  </si>
  <si>
    <t>Альфа-банк</t>
  </si>
  <si>
    <t>+7 (8362) 38-06-86</t>
  </si>
  <si>
    <t>47.882158 56.631373</t>
  </si>
  <si>
    <t>Сделано С Душой</t>
  </si>
  <si>
    <t>+7 (987) 709-82-99, +7 (917) 714-80-07</t>
  </si>
  <si>
    <t xml:space="preserve">sdyshoi@gmail.com, fairy.sdyshoi@gmail.com  </t>
  </si>
  <si>
    <t>Клуб для детей и подростков, Курсы и мастер-классы, Творческий коллектив</t>
  </si>
  <si>
    <t>пн-пт 08:00–20:30; сб,вс 10:00–21:00</t>
  </si>
  <si>
    <t>https://vk.com/sdelanosdyshoi</t>
  </si>
  <si>
    <t>https://www.instagram.com/sdelanosdyshoi/</t>
  </si>
  <si>
    <t>47.928507 56.626992</t>
  </si>
  <si>
    <t>Мебельный замок</t>
  </si>
  <si>
    <t>47.856722 56.643162</t>
  </si>
  <si>
    <t>Прием Лома</t>
  </si>
  <si>
    <t>+7 (927) 874-99-57</t>
  </si>
  <si>
    <t>Металлоизделия, Металлоконструкции, Прием металлолома</t>
  </si>
  <si>
    <t>47.840608 56.618386</t>
  </si>
  <si>
    <t>http://заречный.алко-наркоклиник.рус/</t>
  </si>
  <si>
    <t>47.954477 56.620439</t>
  </si>
  <si>
    <t>ул. Петрова, 2/1, Йошкар-Ола</t>
  </si>
  <si>
    <t>Артемида+</t>
  </si>
  <si>
    <t>Ветеринарная клиника, Зоомагазин, Зоосалон, зоопарикмахерская</t>
  </si>
  <si>
    <t>http://facebook.com/pages/ветеринарная-клиника-артемида-плюс/131934980295900</t>
  </si>
  <si>
    <t>47.920773 56.633564</t>
  </si>
  <si>
    <t>Автостиль12</t>
  </si>
  <si>
    <t>+7 (8362) 44-44-90</t>
  </si>
  <si>
    <t>+7 (927) 882-80-24</t>
  </si>
  <si>
    <t xml:space="preserve">info@avtostyle12.ru  </t>
  </si>
  <si>
    <t>http://avtostyle12.ru/</t>
  </si>
  <si>
    <t>Автостекла, Кузовной ремонт, Тонирование стекол</t>
  </si>
  <si>
    <t>http://vk.com/club117669718</t>
  </si>
  <si>
    <t>47.881031 56.616838</t>
  </si>
  <si>
    <t>+7 (987) 701-03-07</t>
  </si>
  <si>
    <t>47.877353 56.62863</t>
  </si>
  <si>
    <t>Микрофинансовая организация Экспресс-займы</t>
  </si>
  <si>
    <t>+7 (987) 700-04-63</t>
  </si>
  <si>
    <t xml:space="preserve">zaim@expresszaim24.ru, hell-gate-devil@mail.ru </t>
  </si>
  <si>
    <t>http://expresszaim24.ru/</t>
  </si>
  <si>
    <t>https://vk.com/expresszaim24</t>
  </si>
  <si>
    <t>Транспортная ул., 4, корп. 1, Йошкар-Ола</t>
  </si>
  <si>
    <t>47.85454 56.649592</t>
  </si>
  <si>
    <t>АвтоПартнер</t>
  </si>
  <si>
    <t>+7 (902) 329-99-70</t>
  </si>
  <si>
    <t>http://автопартнер12.рф/</t>
  </si>
  <si>
    <t>47.853579 56.651557</t>
  </si>
  <si>
    <t>Детский островок</t>
  </si>
  <si>
    <t>47.843613 56.641197</t>
  </si>
  <si>
    <t>Мебель Маркет</t>
  </si>
  <si>
    <t>пн-пт 09:00–19:00; сб 09:00–18:30; вс 09:00–18:00</t>
  </si>
  <si>
    <t>47.894528 56.640259</t>
  </si>
  <si>
    <t>+7 (8362) 54-55-56, +7 (8362) 45-35-20</t>
  </si>
  <si>
    <t>+7 (964) 864-24-06</t>
  </si>
  <si>
    <t xml:space="preserve">79648645556@mail.ru, nagovicina.2013@mail.ru  </t>
  </si>
  <si>
    <t>https://vk.com/avtogum12</t>
  </si>
  <si>
    <t>+7 (961) 379-67-50</t>
  </si>
  <si>
    <t>47.84371 56.631244</t>
  </si>
  <si>
    <t>Апартаменты Хай-тек</t>
  </si>
  <si>
    <t>47.89653 56.6475</t>
  </si>
  <si>
    <t>+7 (8362) 21-24-67</t>
  </si>
  <si>
    <t>47.853791 56.650307</t>
  </si>
  <si>
    <t>Гастропаб ФрендЫ</t>
  </si>
  <si>
    <t>+7 (8362) 41-65-75</t>
  </si>
  <si>
    <t>https://vk.com/gastropub12</t>
  </si>
  <si>
    <t>47.897528 56.635414</t>
  </si>
  <si>
    <t>Шинный центр Yokohama</t>
  </si>
  <si>
    <t>47.879608 56.606574</t>
  </si>
  <si>
    <t>47.895237 56.641571</t>
  </si>
  <si>
    <t>47.93407 56.633415</t>
  </si>
  <si>
    <t>Современные строительные технологии</t>
  </si>
  <si>
    <t>+7 (927) 877-66-57, +7 (939) 725-02-07</t>
  </si>
  <si>
    <t>Проектная организация, Строительная компания, Строительный магазин</t>
  </si>
  <si>
    <t>Амвэй</t>
  </si>
  <si>
    <t>ул. Павленко, 11, Йошкар-Ола</t>
  </si>
  <si>
    <t>+7 (902) 103-72-10</t>
  </si>
  <si>
    <t>http://amway.ru/</t>
  </si>
  <si>
    <t>Магазин парфюмерии и косметики, Магазин хозтоваров и бытовой химии, Фитопродукция, БАДы</t>
  </si>
  <si>
    <t>https://vk.com/public.amwaytoday</t>
  </si>
  <si>
    <t>47.939305 56.622816</t>
  </si>
  <si>
    <t>Трансформаторная подстанция № 357</t>
  </si>
  <si>
    <t>47.923375 56.626387</t>
  </si>
  <si>
    <t>Республиканский онкологический диспансер, Радиологическое отделение</t>
  </si>
  <si>
    <t>47.885559 56.650498</t>
  </si>
  <si>
    <t>Pitstop</t>
  </si>
  <si>
    <t>+7 (8362) 23-43-73</t>
  </si>
  <si>
    <t>+7 (967) 757-43-73</t>
  </si>
  <si>
    <t>Бурый мишка</t>
  </si>
  <si>
    <t>+7 (927) 872-07-32</t>
  </si>
  <si>
    <t>47.889938 56.632308</t>
  </si>
  <si>
    <t>Customechanic</t>
  </si>
  <si>
    <t>+7 (902) 466-09-99</t>
  </si>
  <si>
    <t>47.881764 56.609108</t>
  </si>
  <si>
    <t>Ассенизаторские услуги</t>
  </si>
  <si>
    <t>+7 (8362) 51-18-24</t>
  </si>
  <si>
    <t>47.851306 56.642548</t>
  </si>
  <si>
    <t>Imperical</t>
  </si>
  <si>
    <t>TOP-TVshop12</t>
  </si>
  <si>
    <t>+7 (937) 117-77-07</t>
  </si>
  <si>
    <t>Детские игрушки и игры, Магазин парфюмерии и косметики, Магазин подарков и сувениров, Магазин посуды, Товары для дома</t>
  </si>
  <si>
    <t>Россия, Республика Марий Эл, Йошкар-Ола, улица Ладыгина</t>
  </si>
  <si>
    <t>47.859495 56.646629</t>
  </si>
  <si>
    <t>Интеллект-Центр</t>
  </si>
  <si>
    <t>+7 (8362) 33-35-80</t>
  </si>
  <si>
    <t>+7 (8362) 26-23-23</t>
  </si>
  <si>
    <t>47.896866 56.634503</t>
  </si>
  <si>
    <t>https://garantavto12.ru/</t>
  </si>
  <si>
    <t>https://facebook.com/garantavto12</t>
  </si>
  <si>
    <t>https://instagram.com/garant_avto12</t>
  </si>
  <si>
    <t>Garibaldi</t>
  </si>
  <si>
    <t xml:space="preserve">info@smko.ru, manager@smko.ru  </t>
  </si>
  <si>
    <t>http://garibaldi.store/</t>
  </si>
  <si>
    <t>Домик продуктов</t>
  </si>
  <si>
    <t>47.855649 56.644293</t>
  </si>
  <si>
    <t>47.946894 56.625556</t>
  </si>
  <si>
    <t>47.848226 56.629407</t>
  </si>
  <si>
    <t>+7 (987) 716-53-52, +7 (987) 706-33-74</t>
  </si>
  <si>
    <t>Автокомплес</t>
  </si>
  <si>
    <t>+7 (987) 708-76-88</t>
  </si>
  <si>
    <t xml:space="preserve">autosvet12@bk.ru  </t>
  </si>
  <si>
    <t>https://vk.com/autosvet_wash</t>
  </si>
  <si>
    <t>https://www.instagram.com/avtosvet12</t>
  </si>
  <si>
    <t>47.881284 56.652348</t>
  </si>
  <si>
    <t>Равиал</t>
  </si>
  <si>
    <t>+7 (8362) 45-58-09, +7 (8362) 25-56-66</t>
  </si>
  <si>
    <t>Apartment na Mayakovskogo Yoshkar-Ola</t>
  </si>
  <si>
    <t>ул. Маяковского, 75, Йошкар-Ола</t>
  </si>
  <si>
    <t>47.895216 56.642311</t>
  </si>
  <si>
    <t>Zoom</t>
  </si>
  <si>
    <t>+7 (999) 145-71-37, +7 (961) 335-45-25</t>
  </si>
  <si>
    <t>Копировальный центр, Магазин подарков и сувениров, Фотоуслуги</t>
  </si>
  <si>
    <t>пн-пт 09:30–19:00; сб 10:00–17:00</t>
  </si>
  <si>
    <t>https://vk.com/zoomphoto78</t>
  </si>
  <si>
    <t>https://www.instagram.com/yo.zoomchik</t>
  </si>
  <si>
    <t>47.891264 56.63878</t>
  </si>
  <si>
    <t>Дск-12</t>
  </si>
  <si>
    <t>+7 (8362) 33-80-20</t>
  </si>
  <si>
    <t>+7 (8362) 31-35-75</t>
  </si>
  <si>
    <t>+7 (917) 071-35-75</t>
  </si>
  <si>
    <t>пн-пт 08:00–21:00; сб 09:00–18:00; вс 09:00–16:00</t>
  </si>
  <si>
    <t>Кирпичная ул., 60, Йошкар-Ола</t>
  </si>
  <si>
    <t>47.941841 56.618417</t>
  </si>
  <si>
    <t>Бизнес-Ресурс</t>
  </si>
  <si>
    <t>47.880935 56.606769</t>
  </si>
  <si>
    <t>Клюква</t>
  </si>
  <si>
    <t>+7 (8362) 27-72-27</t>
  </si>
  <si>
    <t>+7 (902) 737-42-27</t>
  </si>
  <si>
    <t>47.893927 56.629521</t>
  </si>
  <si>
    <t>Таврида Электрик</t>
  </si>
  <si>
    <t>ул. Строителей, 99Е, Йошкар-Ола</t>
  </si>
  <si>
    <t xml:space="preserve">info@cntr.tavrida.ru, info@kz.tavrida.ru, sims@tavrida-na.com, info@tavrida.com.ar, info@minsk.tavrida.ru  </t>
  </si>
  <si>
    <t>https://www.tavrida.com/, http://www.tavrida.ru/</t>
  </si>
  <si>
    <t>http://www.facebook.com/pages/Tavrida-Electric/205700499468751</t>
  </si>
  <si>
    <t>https://www.youtube.com/user/TavridaElectric</t>
  </si>
  <si>
    <t>https://www.instagram.com/tavridaelectric/</t>
  </si>
  <si>
    <t>47.869493 56.61589</t>
  </si>
  <si>
    <t>Rocky-shop</t>
  </si>
  <si>
    <t>8 (800) 100-70-19</t>
  </si>
  <si>
    <t xml:space="preserve">rockyshop@mail.ru  </t>
  </si>
  <si>
    <t>https://rocky-shop.ru/</t>
  </si>
  <si>
    <t>Спортивная одежда и обувь, Спортивный инвентарь и оборудование, Спортивный магазин</t>
  </si>
  <si>
    <t>пн-пт 08:00–22:00; сб 09:00–18:00</t>
  </si>
  <si>
    <t>https://vk.com/sportrocky</t>
  </si>
  <si>
    <t>https://instagram.com/rocky.shop</t>
  </si>
  <si>
    <t>47.873324 56.651364</t>
  </si>
  <si>
    <t>https://ok.ru/paosovcombank</t>
  </si>
  <si>
    <t>47.890951 56.630005</t>
  </si>
  <si>
    <t>Artemis plus</t>
  </si>
  <si>
    <t>47.870457 56.640773</t>
  </si>
  <si>
    <t>47.895404 56.640304</t>
  </si>
  <si>
    <t>Кафе сербской кухни Вранац</t>
  </si>
  <si>
    <t>ул. Дружбы, 94Г, Йошкар-Ола</t>
  </si>
  <si>
    <t>пн-пт 11:00–23:00; сб,вс 11:00–00:00</t>
  </si>
  <si>
    <t>47.868117 56.653862</t>
  </si>
  <si>
    <t>Нотариус Кушнер Г. В.</t>
  </si>
  <si>
    <t>+7 (8362) 41-41-00</t>
  </si>
  <si>
    <t>пн-чт 08:30–16:30, перерыв 12:00–13:00; пт 08:30–12:00</t>
  </si>
  <si>
    <t>47.891425 56.642164</t>
  </si>
  <si>
    <t>47.856915 56.650586</t>
  </si>
  <si>
    <t>Евросантехника</t>
  </si>
  <si>
    <t>+7 (8362) 45-90-30</t>
  </si>
  <si>
    <t>47.892945 56.641461</t>
  </si>
  <si>
    <t>Secret</t>
  </si>
  <si>
    <t>47.929419 56.629334</t>
  </si>
  <si>
    <t>Парикмахерская эконом класса</t>
  </si>
  <si>
    <t>пн-пт 08:00–20:00; сб 09:00–17:00; вс 10:00–16:00</t>
  </si>
  <si>
    <t>47.90949 56.626334</t>
  </si>
  <si>
    <t>ТЦ Савария</t>
  </si>
  <si>
    <t>47.908183 56.627278</t>
  </si>
  <si>
    <t>+7 (8362) 30-85-83</t>
  </si>
  <si>
    <t xml:space="preserve">angel.lol@mail.ru, olga1992sen@yandex.ru  </t>
  </si>
  <si>
    <t>Детские игрушки и игры, Магазин подарков и сувениров, Настольные и интеллектуальные игры, Праздничное агентство, Товары для творчества и рукоделия</t>
  </si>
  <si>
    <t>https://vk.com/vostorg12</t>
  </si>
  <si>
    <t>Студия красоты Стильная Клара</t>
  </si>
  <si>
    <t>+7 (8362) 44-40-11</t>
  </si>
  <si>
    <t>+7 (902) 744-40-11</t>
  </si>
  <si>
    <t>Парикмахерская, Салон красоты, СПА-салон</t>
  </si>
  <si>
    <t>https://vk.com/public177204853</t>
  </si>
  <si>
    <t>47.892315 56.629851</t>
  </si>
  <si>
    <t>Минни club</t>
  </si>
  <si>
    <t>+7 (8362) 20-07-66</t>
  </si>
  <si>
    <t>+7 (902) 104-98-77</t>
  </si>
  <si>
    <t>http://minniclub12.com/</t>
  </si>
  <si>
    <t>Клуб для детей и подростков, Организация и проведение детских праздников, Центр развития ребенка</t>
  </si>
  <si>
    <t>http://vk.com/minniclub12</t>
  </si>
  <si>
    <t>https://www.instagram.com/minniclub12</t>
  </si>
  <si>
    <t>Детский Оздоровительно-образовательный центр им. Володи Дубинина</t>
  </si>
  <si>
    <t>+7 (8362) 45-13-98</t>
  </si>
  <si>
    <t xml:space="preserve">vdubinina12@yandex.ru  </t>
  </si>
  <si>
    <t>http://dubinina12.ru/</t>
  </si>
  <si>
    <t>Фишка</t>
  </si>
  <si>
    <t>+7 (8362) 67-07-66</t>
  </si>
  <si>
    <t>+7 (902) 124-07-66</t>
  </si>
  <si>
    <t>http://vk.com/fishka711</t>
  </si>
  <si>
    <t>47.889489 56.642704</t>
  </si>
  <si>
    <t>Магазин профнастила</t>
  </si>
  <si>
    <t>+7 (8362) 23-33-34</t>
  </si>
  <si>
    <t>http://metall12.ru/</t>
  </si>
  <si>
    <t>Отдел по назначению пособий, компенсаций и других социальных выплат инвалидам и ветеранам</t>
  </si>
  <si>
    <t>+7 (8362) 45-34-33, +7 (8362) 45-38-08</t>
  </si>
  <si>
    <t>47.883029 56.622507</t>
  </si>
  <si>
    <t>Такси Волга</t>
  </si>
  <si>
    <t>+7 (8362) 96-00-06, +7 (8362) 41-31-31, +7 (8362) 24-24-24</t>
  </si>
  <si>
    <t>Ardoni</t>
  </si>
  <si>
    <t>http://ardoni.ru/</t>
  </si>
  <si>
    <t>Школа эстрадного вокала Наталии Ковалевской</t>
  </si>
  <si>
    <t>+7 (8362) 64-20-99</t>
  </si>
  <si>
    <t>47.947748 56.624502</t>
  </si>
  <si>
    <t>Аспект-В</t>
  </si>
  <si>
    <t>+7 (961) 337-40-04</t>
  </si>
  <si>
    <t>Стиль.ру</t>
  </si>
  <si>
    <t>Магазин верхней одежды, Магазин одежды, Одежда больших размеров</t>
  </si>
  <si>
    <t>47.886067 56.635553</t>
  </si>
  <si>
    <t>Индийский базар Шанти</t>
  </si>
  <si>
    <t>47.848564 56.646444</t>
  </si>
  <si>
    <t>Velvet studio</t>
  </si>
  <si>
    <t>47.892902 56.638716</t>
  </si>
  <si>
    <t>Кудряшка</t>
  </si>
  <si>
    <t>47.865896 56.645807</t>
  </si>
  <si>
    <t>Бастраков Д. В., ИП</t>
  </si>
  <si>
    <t>47.921537 56.630324</t>
  </si>
  <si>
    <t>Вознесенская ул., 45А, Йошкар-Ола</t>
  </si>
  <si>
    <t>47.902555 56.637192</t>
  </si>
  <si>
    <t>ул. Суворова, 12, Йошкар-Ола</t>
  </si>
  <si>
    <t>47.867767 56.635676</t>
  </si>
  <si>
    <t>47.868737 56.650334</t>
  </si>
  <si>
    <t>Rich color</t>
  </si>
  <si>
    <t>47.926749 56.633716</t>
  </si>
  <si>
    <t>47.886124 56.643055</t>
  </si>
  <si>
    <t>Сатурн</t>
  </si>
  <si>
    <t>+7 (8362) 30-40-89</t>
  </si>
  <si>
    <t xml:space="preserve">yoshkar-ola@ekologicheskoe-proektirovanie-saturn.ru  </t>
  </si>
  <si>
    <t>http://yoshkar-ola.ekologicheskoe-proektirovanie-saturn.ru/</t>
  </si>
  <si>
    <t>Лицензирование, Экологическая организация, Экспертиза промышленной безопасности</t>
  </si>
  <si>
    <t>Магазин верхней одежды, Магазин детской одежды, Магазин обуви, Магазин одежды, Магазин постельных принадлежностей</t>
  </si>
  <si>
    <t>47.897065 56.62724</t>
  </si>
  <si>
    <t>Чистка золота ИП Львова И. Н.</t>
  </si>
  <si>
    <t>+7 (8362) 33-65-06</t>
  </si>
  <si>
    <t>https://express_lombard.turbo.site/page1290219</t>
  </si>
  <si>
    <t>Комиссионный магазин, Ювелирная мастерская</t>
  </si>
  <si>
    <t>47.864606 56.640954</t>
  </si>
  <si>
    <t>47.852936 56.642638</t>
  </si>
  <si>
    <t>Советская 170</t>
  </si>
  <si>
    <t>47.89946 56.63761</t>
  </si>
  <si>
    <t>пн-сб 08:30–19:00; вс 09:00–18:00</t>
  </si>
  <si>
    <t>Магазин Молодежный</t>
  </si>
  <si>
    <t>47.939424 56.622754</t>
  </si>
  <si>
    <t>ул. Петрова, 18Г, Йошкар-Ола</t>
  </si>
  <si>
    <t>47.921505 56.635157</t>
  </si>
  <si>
    <t>Apartment on Krasnoarmeyskaya 95b</t>
  </si>
  <si>
    <t>47.86845 56.64476</t>
  </si>
  <si>
    <t>Торговый центр Вятка</t>
  </si>
  <si>
    <t>47.915769 56.643654</t>
  </si>
  <si>
    <t>Ledi Дина</t>
  </si>
  <si>
    <t>47.917702 56.627435</t>
  </si>
  <si>
    <t>47.931844 56.639148</t>
  </si>
  <si>
    <t>Зоосалон Артемон</t>
  </si>
  <si>
    <t>+7 (8362) 23-29-97, +7 (8362) 55-33-99</t>
  </si>
  <si>
    <t xml:space="preserve">info@vetcentre12.ru, admin@website.ru, info@weblitex.ru  </t>
  </si>
  <si>
    <t>http://artemon12.ru/, https://vetcentre12.ru/</t>
  </si>
  <si>
    <t>https://www.instagram.com/millionfriend</t>
  </si>
  <si>
    <t>47.869015 56.637159</t>
  </si>
  <si>
    <t>Специализированная детско - юношеская спортивная школа олимпийского резерва по хоккею</t>
  </si>
  <si>
    <t>+7 (8362) 79-09-22, +7 (8362) 30-49-49, +7 (8362) 55-10-74, +7 (8362) 94-94-63, +7 (8362) 55-10-76, +7 (8362) 42-33-75, +7 (8362) 56-68-29, +7 (8362) 92-18-45</t>
  </si>
  <si>
    <t>+7 (902) 664-94-63, +7 (927) 681-95-82, +7 (902) 713-13-08</t>
  </si>
  <si>
    <t>+7 (8362) 42-94-04</t>
  </si>
  <si>
    <t>47.872856 56.641317</t>
  </si>
  <si>
    <t>Магия потолков</t>
  </si>
  <si>
    <t>+7 (8362) 38-52-95</t>
  </si>
  <si>
    <t xml:space="preserve">magicpotolok@yandex.ru  </t>
  </si>
  <si>
    <t>https://vk.com/magicpotolok12</t>
  </si>
  <si>
    <t>https://ok.ru/group/55517360161004</t>
  </si>
  <si>
    <t>https://www.instagram.com/magicpotolok12/</t>
  </si>
  <si>
    <t>47.830666 56.639337</t>
  </si>
  <si>
    <t>Магазин галантереи и аксессуаров, Магазин головных уборов</t>
  </si>
  <si>
    <t>47.922053 56.630137</t>
  </si>
  <si>
    <t>Beerлога</t>
  </si>
  <si>
    <t>47.884772 56.652319</t>
  </si>
  <si>
    <t>Общежитие лесохозяйственного техникума</t>
  </si>
  <si>
    <t>ул. Карла Либкнехта, 52, Йошкар-Ола</t>
  </si>
  <si>
    <t>47.9531 56.641866</t>
  </si>
  <si>
    <t>Kross Y-ola</t>
  </si>
  <si>
    <t>+7 (917) 718-28-38</t>
  </si>
  <si>
    <t>Магазин обуви, Спортивная одежда и обувь</t>
  </si>
  <si>
    <t>47.89769 56.628318</t>
  </si>
  <si>
    <t>Мисс Каприз</t>
  </si>
  <si>
    <t>Мегатех</t>
  </si>
  <si>
    <t>ул. Панфилова, 17, корп. 3, Йошкар-Ола</t>
  </si>
  <si>
    <t>+7 (8362) 45-36-60</t>
  </si>
  <si>
    <t>+7 (8362) 45-51-73</t>
  </si>
  <si>
    <t xml:space="preserve">megatex-lit@mail.ru  </t>
  </si>
  <si>
    <t>http://meggatech.mari-el.eduru.ru/</t>
  </si>
  <si>
    <t>47.885063 56.622295</t>
  </si>
  <si>
    <t>ул. Суворова, 9Б/1, Йошкар-Ола</t>
  </si>
  <si>
    <t>47.868953 56.632228</t>
  </si>
  <si>
    <t>47.922058 56.630137</t>
  </si>
  <si>
    <t>Язык успеха</t>
  </si>
  <si>
    <t>47.888014 56.635005</t>
  </si>
  <si>
    <t>+7 (8362) 63-63-15</t>
  </si>
  <si>
    <t>Монтажные работы, Противопожарные системы</t>
  </si>
  <si>
    <t>47.8297 56.6367</t>
  </si>
  <si>
    <t>Центр занятости населения</t>
  </si>
  <si>
    <t>+7 (8362) 45-33-23, +7 (8362) 42-94-63</t>
  </si>
  <si>
    <t xml:space="preserve">akoczn@bk.ru, dgszn@gov.mari.ru  </t>
  </si>
  <si>
    <t>https://marieltrud.ru/Czn/Detail/e151bb53-e4b5-46f0-a689-d62979d9e21a/, http://yolatrud.ru/</t>
  </si>
  <si>
    <t>47.878071 56.646743</t>
  </si>
  <si>
    <t>Тесла, Офис</t>
  </si>
  <si>
    <t xml:space="preserve">teslafirm@mail.ru  </t>
  </si>
  <si>
    <t>http://teslafirm.ru/</t>
  </si>
  <si>
    <t>Системы вентиляции, Электромонтажные работы, Энергетическое оборудование, Энергосбережение и энергоаудит</t>
  </si>
  <si>
    <t>пн 09:00–18:00; вт 09:00–17:00; ср-сб 09:00–18:00</t>
  </si>
  <si>
    <t>ФГБОУ ВО Марийский государственный университет Аграрно-технологический институт</t>
  </si>
  <si>
    <t>+7 (8362) 68-79-32</t>
  </si>
  <si>
    <t>47.873991 56.652066</t>
  </si>
  <si>
    <t>47.833499 56.637365</t>
  </si>
  <si>
    <t>Алёнка</t>
  </si>
  <si>
    <t>8 (800) 444-14-96, 8 (800) 234-63-83</t>
  </si>
  <si>
    <t xml:space="preserve">shop@alenka.ru, timofeevaya@babaev.ru  </t>
  </si>
  <si>
    <t>https://shop.alenka.ru/, https://www.alenka.ru/shops/?utm_campaign=yandex_map&amp;utm_medium=map&amp;utm_source=yandex</t>
  </si>
  <si>
    <t>https://vk.com/shopalenka</t>
  </si>
  <si>
    <t>https://ok.ru/shopalenka</t>
  </si>
  <si>
    <t>https://www.facebook.com/shopalenka</t>
  </si>
  <si>
    <t>https://www.youtube.com/channel/UCXFDNNs6CHydWSi4h-5EX8w</t>
  </si>
  <si>
    <t>https://www.instagram.com/alenka_retail/?utm_campaign=yandex_map&amp;utm_medium=map&amp;utm_source=yandex</t>
  </si>
  <si>
    <t>47.883449 56.638184</t>
  </si>
  <si>
    <t>Бродвей</t>
  </si>
  <si>
    <t>47.884817 56.619929</t>
  </si>
  <si>
    <t>Управление лекарственного обеспечения</t>
  </si>
  <si>
    <t>+7 (8362) 45-05-09</t>
  </si>
  <si>
    <t>Верста</t>
  </si>
  <si>
    <t>+7 (939) 721-20-09, +7 (937) 937-22-02</t>
  </si>
  <si>
    <t xml:space="preserve">info@versta12.ru, versta12@list.ru  </t>
  </si>
  <si>
    <t>https://versta12.ru/, https://versta12.ru/price</t>
  </si>
  <si>
    <t>Автомобильные грузоперевозки, Логистическая компания, Перевозка негабаритных грузов, Экспедирование грузов</t>
  </si>
  <si>
    <t>47.839909 56.62591</t>
  </si>
  <si>
    <t>47.883184 56.640302</t>
  </si>
  <si>
    <t>Государевы Пекарни</t>
  </si>
  <si>
    <t>Визажист Грозова И.</t>
  </si>
  <si>
    <t>+7 (987) 707-75-15</t>
  </si>
  <si>
    <t>https://www.instagram.com/makeup_inna7/</t>
  </si>
  <si>
    <t>Культурно-выставочный центр Благовещенская башня</t>
  </si>
  <si>
    <t>вт-пт 15:00–19:00; сб,вс 11:00–19:00</t>
  </si>
  <si>
    <t>https://vk.com/blagobashnya</t>
  </si>
  <si>
    <t>47.902717 56.633699</t>
  </si>
  <si>
    <t>Росич</t>
  </si>
  <si>
    <t>+7 (8362) 99-15-25</t>
  </si>
  <si>
    <t>47.879827 56.607065</t>
  </si>
  <si>
    <t>Фестивальная ул., 23/2, Йошкар-Ола</t>
  </si>
  <si>
    <t>+7 (987) 726-75-72, +7 (902) 102-72-30</t>
  </si>
  <si>
    <t>47.838442 56.651107</t>
  </si>
  <si>
    <t>Frukt Records</t>
  </si>
  <si>
    <t>Промышленное оборудование - Станкодел</t>
  </si>
  <si>
    <t>+7 (8362) 93-17-71</t>
  </si>
  <si>
    <t>+7 (987) 711-40-00</t>
  </si>
  <si>
    <t xml:space="preserve">kvint200750@yandex.ru, webdevel12@gmail.com  </t>
  </si>
  <si>
    <t>http://stankodel.net/, http://stankodel.ru/</t>
  </si>
  <si>
    <t>Производственное предприятие, Промышленное оборудование</t>
  </si>
  <si>
    <t>Гарден Групп</t>
  </si>
  <si>
    <t>8 (800) 350-96-18</t>
  </si>
  <si>
    <t>Деревообрабатывающее оборудование, Камнеобрабатывающее оборудование, Металлообрабатывающее оборудование</t>
  </si>
  <si>
    <t>Дом в МКР. 9в</t>
  </si>
  <si>
    <t>+7 (8362) 25-00-07</t>
  </si>
  <si>
    <t>http://trest21.red-town.ru/</t>
  </si>
  <si>
    <t>47.820324 56.63171</t>
  </si>
  <si>
    <t>47.884661 56.620368</t>
  </si>
  <si>
    <t>47.926493 56.629243</t>
  </si>
  <si>
    <t>Антидолг</t>
  </si>
  <si>
    <t>+7 (8362) 40-16-34</t>
  </si>
  <si>
    <t>47.907649 56.631209</t>
  </si>
  <si>
    <t>ЖК по бул. Ураева</t>
  </si>
  <si>
    <t>47.929649 56.639164</t>
  </si>
  <si>
    <t>47.944897 56.636501</t>
  </si>
  <si>
    <t>47.88414 56.647065</t>
  </si>
  <si>
    <t>47.900474 56.648303</t>
  </si>
  <si>
    <t>Студия виброакустики</t>
  </si>
  <si>
    <t>Лаборатория озонирования</t>
  </si>
  <si>
    <t xml:space="preserve">ozon-laboratory@mail.ru, e-mail@mail.ru  </t>
  </si>
  <si>
    <t>http://ozon-lab.ru/</t>
  </si>
  <si>
    <t>https://vk.com/ozon.laboratory</t>
  </si>
  <si>
    <t>https://twitter.com/ozon_ola</t>
  </si>
  <si>
    <t>47.891024 56.643691</t>
  </si>
  <si>
    <t>ФГБУ Рослесинфорг</t>
  </si>
  <si>
    <t>+7 (8362) 45-01-80</t>
  </si>
  <si>
    <t>Кадастровые работы, Лесоустройство, лесовосстановление</t>
  </si>
  <si>
    <t>https://vk.com/rli12</t>
  </si>
  <si>
    <t>47.876047 56.628287</t>
  </si>
  <si>
    <t>Золотая Линия</t>
  </si>
  <si>
    <t>Simpatika</t>
  </si>
  <si>
    <t>47.829722 56.635879</t>
  </si>
  <si>
    <t>Видеомастер</t>
  </si>
  <si>
    <t xml:space="preserve">info@vm116.ru  </t>
  </si>
  <si>
    <t>http://vm116.ru/</t>
  </si>
  <si>
    <t>Домофоны, Противопожарные системы, Системы безопасности и охраны</t>
  </si>
  <si>
    <t>47.833149 56.641838</t>
  </si>
  <si>
    <t>ТЦ Сити-центр</t>
  </si>
  <si>
    <t>+7 (8362) 98-62-27</t>
  </si>
  <si>
    <t>47.88676 56.633215</t>
  </si>
  <si>
    <t>Ультрасвет</t>
  </si>
  <si>
    <t>ТСЖ Комфорт</t>
  </si>
  <si>
    <t>пн,ср,чт 18:00–20:00</t>
  </si>
  <si>
    <t>Россия, Республика Марий Эл, Йошкар-Ола, Инициативная улица</t>
  </si>
  <si>
    <t>47.851525 56.643482</t>
  </si>
  <si>
    <t>СтройЛавка</t>
  </si>
  <si>
    <t>Клеящие вещества и материалы, Крепежные изделия, Магазин сантехники, Строительный инструмент, Строительный магазин</t>
  </si>
  <si>
    <t>47.924615 56.639739</t>
  </si>
  <si>
    <t>Солдат удачи</t>
  </si>
  <si>
    <t>+7 (8362) 33-03-00</t>
  </si>
  <si>
    <t>+7 (927) 883-03-00</t>
  </si>
  <si>
    <t xml:space="preserve">912355@mail.ru  </t>
  </si>
  <si>
    <t>http://soldat12.ru/, https://soldat12.ru/?utm_source=vkontakte</t>
  </si>
  <si>
    <t>https://vk.com/soldat912355</t>
  </si>
  <si>
    <t>Май Джелато</t>
  </si>
  <si>
    <t>+7 (8362) 29-00-90</t>
  </si>
  <si>
    <t>+7 (902) 735-70-90</t>
  </si>
  <si>
    <t>Кафе, Мороженое, Пиццерия</t>
  </si>
  <si>
    <t>https://vk.com/yo.mygelato.cafe</t>
  </si>
  <si>
    <t>https://www.facebook.com/yo.mygelato.cafe/</t>
  </si>
  <si>
    <t>https://www.instagram.com/yo.mygelato.cafe/</t>
  </si>
  <si>
    <t>47.916983 56.636757</t>
  </si>
  <si>
    <t>Студия иностранных языков</t>
  </si>
  <si>
    <t>пн-пт 09:00–19:00, перерыв 11:30–13:30</t>
  </si>
  <si>
    <t>47.870205 56.640914</t>
  </si>
  <si>
    <t>Шинный центр ПартнерАВТО</t>
  </si>
  <si>
    <t>+7 (8362) 38-05-55</t>
  </si>
  <si>
    <t xml:space="preserve">maz12@inbox.ru  </t>
  </si>
  <si>
    <t>Автоаксессуары, Шины и диски</t>
  </si>
  <si>
    <t>47.8572 56.62276</t>
  </si>
  <si>
    <t>+7 (902) 100-07-39, +7 (917) 711-30-80, +7 (902) 431-75-27</t>
  </si>
  <si>
    <t xml:space="preserve">info@lampstud.ru </t>
  </si>
  <si>
    <t>47.885929 56.632462</t>
  </si>
  <si>
    <t>ЖК Первая линия</t>
  </si>
  <si>
    <t>Россия, Йошкар-Ола, ул. 70-летия Вооруженных Сил СССР</t>
  </si>
  <si>
    <t>http://www.spectr12.ru/</t>
  </si>
  <si>
    <t>47.89793 56.62291</t>
  </si>
  <si>
    <t>47.881677 56.622748</t>
  </si>
  <si>
    <t>Педагогический институт</t>
  </si>
  <si>
    <t>+7 (8362) 68-79-97</t>
  </si>
  <si>
    <t>+7 (8362) 96-94-21</t>
  </si>
  <si>
    <t>47.851869 56.631135</t>
  </si>
  <si>
    <t>Мир канцелярии</t>
  </si>
  <si>
    <t>+7 (980) 061-06-32</t>
  </si>
  <si>
    <t xml:space="preserve">aconinec@rambler.ru  </t>
  </si>
  <si>
    <t>https://vk.com/girafyo</t>
  </si>
  <si>
    <t>47.943566 56.634305</t>
  </si>
  <si>
    <t>Сувенирпром</t>
  </si>
  <si>
    <t>ул. Чехова, 8А, Йошкар-Ола</t>
  </si>
  <si>
    <t>47.905169 56.641258</t>
  </si>
  <si>
    <t>47.854025 56.656996</t>
  </si>
  <si>
    <t>Декорстрой12</t>
  </si>
  <si>
    <t>+7 (917) 707-07-37</t>
  </si>
  <si>
    <t>https://дс12.рф/</t>
  </si>
  <si>
    <t>Декоративные покрытия</t>
  </si>
  <si>
    <t>47.89825 56.647393</t>
  </si>
  <si>
    <t>Дом навек</t>
  </si>
  <si>
    <t>+7 (937) 117-92-20</t>
  </si>
  <si>
    <t>Золотая линия</t>
  </si>
  <si>
    <t>+7 (8362) 41-74-11</t>
  </si>
  <si>
    <t>47.870178 56.629861</t>
  </si>
  <si>
    <t>ЖК по ул. Садовая</t>
  </si>
  <si>
    <t>47.849682 56.631634</t>
  </si>
  <si>
    <t>Гофротара</t>
  </si>
  <si>
    <t>Сан Райс</t>
  </si>
  <si>
    <t>47.917707 56.627432</t>
  </si>
  <si>
    <t>Зоорай</t>
  </si>
  <si>
    <t>47.895037 56.639533</t>
  </si>
  <si>
    <t>Товары для здорового образа жизни</t>
  </si>
  <si>
    <t>47.895092 56.631431</t>
  </si>
  <si>
    <t>Главрыбвод, ФГБУ</t>
  </si>
  <si>
    <t>47.862687 56.647232</t>
  </si>
  <si>
    <t>Портрет</t>
  </si>
  <si>
    <t>+7 (902) 108-09-39</t>
  </si>
  <si>
    <t xml:space="preserve">portret.12@bk.ru  </t>
  </si>
  <si>
    <t>Копировальный центр, Фотостудия, Фотоуслуги</t>
  </si>
  <si>
    <t>https://vk.com/portret_photostudio</t>
  </si>
  <si>
    <t>https://www.instagram.com/portret_photostudio/</t>
  </si>
  <si>
    <t>47.916662 56.631406</t>
  </si>
  <si>
    <t>АвтоХостел</t>
  </si>
  <si>
    <t>https://vk.com/autohostel</t>
  </si>
  <si>
    <t>47.898934 56.651104</t>
  </si>
  <si>
    <t>Ника, бытовая химия в розлив</t>
  </si>
  <si>
    <t>+7 (927) 876-99-09</t>
  </si>
  <si>
    <t>https://mari-nika.ru/, https://t.me/+79613797396</t>
  </si>
  <si>
    <t>Бытовая химия оптом, Клининговое оборудование и инвентарь, Средства гигиены</t>
  </si>
  <si>
    <t>https://vk.com/nikayoshkarola</t>
  </si>
  <si>
    <t>Жилой дом по ул. Строителей</t>
  </si>
  <si>
    <t>Россия, Йошкар-Ола, ул. Строителей</t>
  </si>
  <si>
    <t>+7 (8362) 36-10-20</t>
  </si>
  <si>
    <t>http://оргстрой-онлайн.рф/</t>
  </si>
  <si>
    <t>47.844738 56.630432</t>
  </si>
  <si>
    <t>Стейнбау, Гибкий камень и мрамор, облицовочный кирпич и клинкер, плитка, фасадные термопанели с мраморной крошкой</t>
  </si>
  <si>
    <t>+7 (987) 708-98-08</t>
  </si>
  <si>
    <t xml:space="preserve">steinbau-yo@mail.ru  </t>
  </si>
  <si>
    <t>http://joshkar-ola.steinbau.ru/</t>
  </si>
  <si>
    <t>Облицовочные материалы, Строительные и отделочные работы, Теплоизоляционные материалы, Фасады и фасадные системы</t>
  </si>
  <si>
    <t>47.870539 56.624069</t>
  </si>
  <si>
    <t>Искра – 1в ММЗ</t>
  </si>
  <si>
    <t>+7 (967) 757-66-55</t>
  </si>
  <si>
    <t xml:space="preserve">olgin20@list.ru, sales@marimmz.ru  </t>
  </si>
  <si>
    <t>http://iskra-mmz.ru/</t>
  </si>
  <si>
    <t>47.865463 56.635719</t>
  </si>
  <si>
    <t>Азимут 315</t>
  </si>
  <si>
    <t>47.83851 56.633573</t>
  </si>
  <si>
    <t>3Dевятое Царство</t>
  </si>
  <si>
    <t>+7 (8362) 20-73-97</t>
  </si>
  <si>
    <t>Курсы и мастер-классы, Организация и проведение детских праздников, Товары для творчества и рукоделия</t>
  </si>
  <si>
    <t>http://vk.com/3dtsarstvo</t>
  </si>
  <si>
    <t>http://instagram.com/3dtsarstvo</t>
  </si>
  <si>
    <t>47.848723 56.629788</t>
  </si>
  <si>
    <t>Кирпич строй</t>
  </si>
  <si>
    <t>ул. Пархоменко, 14, Йошкар-Ола</t>
  </si>
  <si>
    <t>+7 (902) 430-98-48</t>
  </si>
  <si>
    <t>Кирпич</t>
  </si>
  <si>
    <t>47.876396 56.630501</t>
  </si>
  <si>
    <t>Арена Марий Эл</t>
  </si>
  <si>
    <t>+7 (8362) 30-49-95</t>
  </si>
  <si>
    <t>+7 (917) 701-30-83</t>
  </si>
  <si>
    <t>Спортивная школа, Спортивный комплекс</t>
  </si>
  <si>
    <t>47.916438 56.639685</t>
  </si>
  <si>
    <t>47.920531 56.633691</t>
  </si>
  <si>
    <t>47.920513 56.640648</t>
  </si>
  <si>
    <t>Завод Литан</t>
  </si>
  <si>
    <t>47.870967 56.623855</t>
  </si>
  <si>
    <t>47.854347 56.627983</t>
  </si>
  <si>
    <t>Печатная продукция</t>
  </si>
  <si>
    <t>47.899471 56.644075</t>
  </si>
  <si>
    <t>Россия, Республика Марий Эл, Йошкар-Ола, улица Калинина</t>
  </si>
  <si>
    <t>47.842218 56.65243</t>
  </si>
  <si>
    <t>Советская ул., 174/2, Йошкар-Ола</t>
  </si>
  <si>
    <t>Россия, Республика Марий Эл, Йошкар-Ола, улица Лазо</t>
  </si>
  <si>
    <t>47.876714 56.62908</t>
  </si>
  <si>
    <t>Беломорье</t>
  </si>
  <si>
    <t>Производство продуктов питания, Сельскохозяйственная продукция</t>
  </si>
  <si>
    <t>Позаботится о близких</t>
  </si>
  <si>
    <t>Центр социального обслуживания Близкие люди</t>
  </si>
  <si>
    <t>+7 (929) 733-05-07</t>
  </si>
  <si>
    <t xml:space="preserve">shagalova@yandex.ru, info@blizkieludi-nn.ru </t>
  </si>
  <si>
    <t>http://yoshkar-ola.blizkie.org/</t>
  </si>
  <si>
    <t>Патронажная служба, Социальная служба</t>
  </si>
  <si>
    <t>пн-пт 08:30–17:00; сб 08:30–15:00</t>
  </si>
  <si>
    <t>47.907457 56.631319</t>
  </si>
  <si>
    <t>D-Color</t>
  </si>
  <si>
    <t>+7 (917) 070-08-50</t>
  </si>
  <si>
    <t>47.892574 56.638694</t>
  </si>
  <si>
    <t>Лига плюс</t>
  </si>
  <si>
    <t>47.872819 56.628995</t>
  </si>
  <si>
    <t>Бордюр 12</t>
  </si>
  <si>
    <t>+7 (962) 590-67-38</t>
  </si>
  <si>
    <t>Городское благоустройство, Строительство и ремонт дорог</t>
  </si>
  <si>
    <t>47.868203 56.635298</t>
  </si>
  <si>
    <t>Бахтин Михаил Александрович</t>
  </si>
  <si>
    <t xml:space="preserve">m-bachtin@yandex.ru </t>
  </si>
  <si>
    <t>47.888197 56.630436</t>
  </si>
  <si>
    <t>Ralzo - молекулярно-генетическая лаборатория</t>
  </si>
  <si>
    <t>8 (800) 707-24-79</t>
  </si>
  <si>
    <t xml:space="preserve">info@ralzo.ru  </t>
  </si>
  <si>
    <t>https://joshkar-ola.ralzo.ru/, https://joshkar-ola.ralzo.ru/kontakti/, https://ralzo.ru/</t>
  </si>
  <si>
    <t>https://vk.com/ralzo</t>
  </si>
  <si>
    <t>https://www.facebook.com/ralzolab/</t>
  </si>
  <si>
    <t>https://www.youtube.com/channel/UCjX3x5Lt90ORbPxeUHCYYzg</t>
  </si>
  <si>
    <t>https://www.instagram.com/ralzo_lab/</t>
  </si>
  <si>
    <t>Мир семян</t>
  </si>
  <si>
    <t>Селекция и семеноводство</t>
  </si>
  <si>
    <t>Детский сад № 76 Солнышко</t>
  </si>
  <si>
    <t>бул. Чавайна, 20А, Йошкар-Ола</t>
  </si>
  <si>
    <t>+7 (8362) 21-96-56, +7 (8362) 21-54-57</t>
  </si>
  <si>
    <t>47.91556 56.633352</t>
  </si>
  <si>
    <t>47.952088 56.631313</t>
  </si>
  <si>
    <t>ПервыйБИТ</t>
  </si>
  <si>
    <t>ул. Анциферова, 29А, Йошкар-Ола</t>
  </si>
  <si>
    <t>+7 (962) 588-68-02</t>
  </si>
  <si>
    <t>47.867885 56.644203</t>
  </si>
  <si>
    <t>47.910632 56.632815</t>
  </si>
  <si>
    <t>47.92488 56.634536</t>
  </si>
  <si>
    <t>47.92657 56.63408</t>
  </si>
  <si>
    <t>+7 (927) 684-65-55, +7 (902) 670-28-56</t>
  </si>
  <si>
    <t>Двери, Металлоконструкции, Противопожарные системы</t>
  </si>
  <si>
    <t>47.854737 56.623846</t>
  </si>
  <si>
    <t>Kalnaus</t>
  </si>
  <si>
    <t>47.92349 56.629899</t>
  </si>
  <si>
    <t>Автомойка народная</t>
  </si>
  <si>
    <t>+7 (8362) 55-51-11</t>
  </si>
  <si>
    <t>+7 (967) 755-51-11</t>
  </si>
  <si>
    <t>47.934431 56.64395</t>
  </si>
  <si>
    <t>47.850255 56.642852</t>
  </si>
  <si>
    <t>Политехник</t>
  </si>
  <si>
    <t>+7 (917) 708-48-99</t>
  </si>
  <si>
    <t>пн-пт 18:00–22:00; сб,вс 10:00–13:00</t>
  </si>
  <si>
    <t>Соляная пещера</t>
  </si>
  <si>
    <t>47.880577 56.636533</t>
  </si>
  <si>
    <t>Блокстрой</t>
  </si>
  <si>
    <t>Советский пер., 110, Йошкар-Ола</t>
  </si>
  <si>
    <t>+7 (927) 874-79-29</t>
  </si>
  <si>
    <t>47.913469 56.651596</t>
  </si>
  <si>
    <t>Лавка специй</t>
  </si>
  <si>
    <t>Магазин чая и кофе, Пищевые ингредиенты и специи</t>
  </si>
  <si>
    <t>47.864456 56.646622</t>
  </si>
  <si>
    <t>Любимая шаурма</t>
  </si>
  <si>
    <t>47.883868 56.632873</t>
  </si>
  <si>
    <t>Портреты</t>
  </si>
  <si>
    <t>47.898288 56.649038</t>
  </si>
  <si>
    <t>ЧОП Скорпион</t>
  </si>
  <si>
    <t>47.889425 56.63168</t>
  </si>
  <si>
    <t>Арт-кафе</t>
  </si>
  <si>
    <t>47.889909 56.632466</t>
  </si>
  <si>
    <t>Вкусные сувениры</t>
  </si>
  <si>
    <t>+7 (902) 329-17-29</t>
  </si>
  <si>
    <t>Магазин подарков и сувениров, Магазин сыров, Мед и продукты пчеловодства</t>
  </si>
  <si>
    <t>47.90917 56.636878</t>
  </si>
  <si>
    <t>Фотокопировальный центр Вспышка</t>
  </si>
  <si>
    <t>+7 (902) 738-17-77</t>
  </si>
  <si>
    <t>пн-пт 09:00–18:30; сб 11:00–16:00</t>
  </si>
  <si>
    <t>47.881931 56.63093</t>
  </si>
  <si>
    <t>Saharu0026vosk</t>
  </si>
  <si>
    <t>+7 (8362) 25-00-89</t>
  </si>
  <si>
    <t>+7 (902) 430-28-79</t>
  </si>
  <si>
    <t xml:space="preserve">franchise@saharvosk.ru </t>
  </si>
  <si>
    <t>http://saharvosk.ru/yoshkar-ola/</t>
  </si>
  <si>
    <t>Лазерная эпиляция, Ногтевая студия, Шугаринг</t>
  </si>
  <si>
    <t>https://vk.com/saharvosk_yola</t>
  </si>
  <si>
    <t>https://www.instagram.com/saharvosk_yola_/</t>
  </si>
  <si>
    <t>47.892703 56.628167</t>
  </si>
  <si>
    <t>ГБУ РМЭ Республиканская офтальмологическая больница имени Г. И. Григорьева, хирургическое отделение № 2</t>
  </si>
  <si>
    <t>+7 (8362) 42-04-50</t>
  </si>
  <si>
    <t>http://pr68a.polickliniki.ru/</t>
  </si>
  <si>
    <t>пн-пт 07:30–15:30</t>
  </si>
  <si>
    <t>47.861804 56.646177</t>
  </si>
  <si>
    <t>Шаверма</t>
  </si>
  <si>
    <t>ул. Гончарова, 2, корп. 3, Йошкар-Ола</t>
  </si>
  <si>
    <t>Быстрое питание, Доставка еды и обедов</t>
  </si>
  <si>
    <t>Ремонт гидронасосов</t>
  </si>
  <si>
    <t>пер. Кулибина, 3, Йошкар-Ола</t>
  </si>
  <si>
    <t>+7 (922) 188-65-21</t>
  </si>
  <si>
    <t>Гидравлическое и пневматическое оборудование, Ремонт промышленного оборудования</t>
  </si>
  <si>
    <t>47.852024 56.650399</t>
  </si>
  <si>
    <t>АртМеталлУрал</t>
  </si>
  <si>
    <t>8 (800) 700-48-30</t>
  </si>
  <si>
    <t xml:space="preserve">info@artmetallural.ru, joshkar-ola@artmetallural.ru  </t>
  </si>
  <si>
    <t>http://joshkar-ola.artmetallural.ru/</t>
  </si>
  <si>
    <t>Металлопрокат, Трубы и трубопроводная арматура, Черная металлургия</t>
  </si>
  <si>
    <t>+7 (8362) 42-97-97</t>
  </si>
  <si>
    <t>пн 08:30–17:00; вт-вс 08:30–17:30</t>
  </si>
  <si>
    <t>47.887484 56.632669</t>
  </si>
  <si>
    <t>+7 (927) 795-66-92</t>
  </si>
  <si>
    <t xml:space="preserve">mail@cleopatra-zoloto.ru, kleopatrasamara@yandex.ru, info@cleopatra-zoloto.ru, kleo_reklama@mail.ru, smirichevskaya.e@cleopatra-zoloto.ru  </t>
  </si>
  <si>
    <t>http://cleopatra-zoloto.ru/</t>
  </si>
  <si>
    <t>https://www.instagram.com/cleopatra_zoloto/</t>
  </si>
  <si>
    <t>Мир масел</t>
  </si>
  <si>
    <t>47.932176 56.644115</t>
  </si>
  <si>
    <t>Книголюб</t>
  </si>
  <si>
    <t>47.895903 56.635485</t>
  </si>
  <si>
    <t>Ботанический сад Поволжского Государственного Технологического Университета</t>
  </si>
  <si>
    <t>47.964913 56.622971</t>
  </si>
  <si>
    <t>Республиканская клиническая больница Кардиологическое отделение</t>
  </si>
  <si>
    <t>+7 (8362) 46-01-92</t>
  </si>
  <si>
    <t>+7 (902) 358-99-38, +7 (902) 329-86-39</t>
  </si>
  <si>
    <t>47.886051 56.637368</t>
  </si>
  <si>
    <t>47.92585 56.638786</t>
  </si>
  <si>
    <t>Школа-студия Елены Михеевой</t>
  </si>
  <si>
    <t>+7 (8362) 27-92-27</t>
  </si>
  <si>
    <t>+7 (902) 439-20-25, +7 (987) 727-59-07, +7 (927) 884-74-37</t>
  </si>
  <si>
    <t>+7 (8362) 90-09-97, +7 (8362) 90-08-82</t>
  </si>
  <si>
    <t>вт,чт,пт 18:00–20:00; сб,вс 10:00–18:00</t>
  </si>
  <si>
    <t>Aristo</t>
  </si>
  <si>
    <t>+7 (8362) 30-40-56</t>
  </si>
  <si>
    <t>+7 (906) 334-00-20, +7 (962) 588-78-00, +7 (927) 876-67-90</t>
  </si>
  <si>
    <t xml:space="preserve">burokrat-m@mail.ru  </t>
  </si>
  <si>
    <t>http://amm12.ru/</t>
  </si>
  <si>
    <t>Лакшеридент</t>
  </si>
  <si>
    <t>+7 (8362) 23-20-10</t>
  </si>
  <si>
    <t>+7 (927) 875-02-37</t>
  </si>
  <si>
    <t>47.922626 56.640113</t>
  </si>
  <si>
    <t>47.950914 56.622376</t>
  </si>
  <si>
    <t>Юниор</t>
  </si>
  <si>
    <t>+7 (8362) 33-77-12, +7 (8362) 33-77-14</t>
  </si>
  <si>
    <t>47.880894 56.604491</t>
  </si>
  <si>
    <t>https://mssg.me/koreyskaya_cosmetika12</t>
  </si>
  <si>
    <t>https://www.instagram.com/koreyskaya_cosmetika12/</t>
  </si>
  <si>
    <t>47.892829 56.638425</t>
  </si>
  <si>
    <t>ТСЖ Заводской</t>
  </si>
  <si>
    <t>+7 (8362) 64-12-09</t>
  </si>
  <si>
    <t>+7 (8362) 77-76-66, +7 (8362) 77-86-66</t>
  </si>
  <si>
    <t>http://impulse12.ru/</t>
  </si>
  <si>
    <t>Автоаксессуары, Автоакустика, Автосервис, автотехцентр, Автосигнализация, Тонирование стекол</t>
  </si>
  <si>
    <t>http://vk.com/autoimpulse12</t>
  </si>
  <si>
    <t>47.93326 56.625321</t>
  </si>
  <si>
    <t>Саксэс</t>
  </si>
  <si>
    <t>+7 (8362) 32-02-00, +7 (8362) 34-70-60</t>
  </si>
  <si>
    <t xml:space="preserve">test@test.ru  </t>
  </si>
  <si>
    <t>https://yola.s-stroy.ru/, https://s-stroy.ru/?utm_campaign=prioritet_spravochnik&amp;utm_content=knopka&amp;utm_medium=cpc&amp;utm_source=spravochnik, https://www.s-stroy.ru/</t>
  </si>
  <si>
    <t>Автоматические двери и ворота, Кровля и кровельные материалы, Облицовочные материалы, Окна, Строительный магазин, Стройматериалы оптом</t>
  </si>
  <si>
    <t>https://vk.com/sakses.stroika</t>
  </si>
  <si>
    <t>https://www.facebook.com/sakses.stroika</t>
  </si>
  <si>
    <t>https://www.youtube.com/channel/UCpEGaqDk732N8YjC1zZB5UA</t>
  </si>
  <si>
    <t>https://www.instagram.com/sakses.stroika</t>
  </si>
  <si>
    <t>47.898518 56.617856</t>
  </si>
  <si>
    <t>47.904263 56.640182</t>
  </si>
  <si>
    <t>47.95873 56.632555</t>
  </si>
  <si>
    <t>47.918126 56.637288</t>
  </si>
  <si>
    <t>Медицинский массаж</t>
  </si>
  <si>
    <t>47.901236 56.642021</t>
  </si>
  <si>
    <t>47.871092 56.645798</t>
  </si>
  <si>
    <t>47.837844 56.635432</t>
  </si>
  <si>
    <t>Сдайка</t>
  </si>
  <si>
    <t>+7 (8362) 34-70-62</t>
  </si>
  <si>
    <t>https://yoshkar-ola.sdayka.ru/</t>
  </si>
  <si>
    <t>https://vk.com/sdayka_ru</t>
  </si>
  <si>
    <t>https://ok.ru/group/54019562340463</t>
  </si>
  <si>
    <t>https://www.facebook.com/login/?next=https://www.facebook.com/groups/sdayka/</t>
  </si>
  <si>
    <t>https://www.youtube.com/channel/UCvKITXK5FfaMMwdIxRpDxYg</t>
  </si>
  <si>
    <t>47.862767 56.647858</t>
  </si>
  <si>
    <t>Звездная</t>
  </si>
  <si>
    <t>ул. Логинова, 2А, Йошкар-Ола</t>
  </si>
  <si>
    <t>MaxMara</t>
  </si>
  <si>
    <t>47.887683 56.631814</t>
  </si>
  <si>
    <t>Ромашка</t>
  </si>
  <si>
    <t>+7 (8362) 32-00-32</t>
  </si>
  <si>
    <t xml:space="preserve">mc-romashka@mail.ru  </t>
  </si>
  <si>
    <t>Диагностический центр, Медцентр, клиника, Стоматологическая клиника</t>
  </si>
  <si>
    <t>пн-пт 08:00–20:00; сб 08:00–16:00; вс 10:00–16:00</t>
  </si>
  <si>
    <t>https://vk.com/medromashka</t>
  </si>
  <si>
    <t>47.906763 56.630557</t>
  </si>
  <si>
    <t>47.836026 56.636791</t>
  </si>
  <si>
    <t>Магазин молодежной одежды Stella</t>
  </si>
  <si>
    <t>Детская студия Лучик</t>
  </si>
  <si>
    <t>ул. Баумана, 14А, Йошкар-Ола</t>
  </si>
  <si>
    <t>+7 (8362) 98-39-29, +7 (8362) 77-25-60</t>
  </si>
  <si>
    <t>+7 (902) 358-39-29</t>
  </si>
  <si>
    <t>https://vk.com/club89904688</t>
  </si>
  <si>
    <t>47.843238 56.642488</t>
  </si>
  <si>
    <t>+7 (8362) 99-40-83, +7 (8362) 41-18-48, +7 (8362) 67-45-21</t>
  </si>
  <si>
    <t>Энергосбережение и энергоаудит</t>
  </si>
  <si>
    <t>КамаДизельСервис</t>
  </si>
  <si>
    <t>+7 (900) 328-84-84</t>
  </si>
  <si>
    <t>http://kds-cummins.ru/</t>
  </si>
  <si>
    <t>47.920123 56.635458</t>
  </si>
  <si>
    <t>47.840702 56.635301</t>
  </si>
  <si>
    <t>Отоларингологическое отделение</t>
  </si>
  <si>
    <t>47.963526 56.639248</t>
  </si>
  <si>
    <t>47.830187 56.63954</t>
  </si>
  <si>
    <t>47.882351 56.63383</t>
  </si>
  <si>
    <t>Я люблю монтессори</t>
  </si>
  <si>
    <t>пн-пт 07:30–18:00; сб 09:00–13:00</t>
  </si>
  <si>
    <t>http://vk.com/montessori_yola</t>
  </si>
  <si>
    <t>47.870886 56.638334</t>
  </si>
  <si>
    <t>Картинг</t>
  </si>
  <si>
    <t>47.9119 56.638193</t>
  </si>
  <si>
    <t>47.86168 56.644865</t>
  </si>
  <si>
    <t>Теплэко</t>
  </si>
  <si>
    <t>8 (800) 333-05-35, +7 (8362) 49-71-62</t>
  </si>
  <si>
    <t xml:space="preserve">mail@tepleko.ru  </t>
  </si>
  <si>
    <t>https://tepleko.ru/?utm_campaign=knopka-na-saitu0026utm_medium=cpcu0026utm_source=yandex-maps</t>
  </si>
  <si>
    <t>Отопительное оборудование и системы, Электронагреватели</t>
  </si>
  <si>
    <t>https://vk.com/tepleko</t>
  </si>
  <si>
    <t>https://www.facebook.com/tepleko.ru</t>
  </si>
  <si>
    <t>https://www.youtube.com/channel/UCRLPxAL34P64AGL2WVuHsuA</t>
  </si>
  <si>
    <t>1001 Ремень</t>
  </si>
  <si>
    <t>Печенкин А. А.</t>
  </si>
  <si>
    <t>Первомайская ул., 122/1, Йошкар-Ола</t>
  </si>
  <si>
    <t>47.88643 56.637869</t>
  </si>
  <si>
    <t>Split</t>
  </si>
  <si>
    <t>+7 (8362) 48-19-19</t>
  </si>
  <si>
    <t xml:space="preserve">re@splitstudio.ru  </t>
  </si>
  <si>
    <t>http://splitstudio.ru/</t>
  </si>
  <si>
    <t>Юридическая клиника МарГУ</t>
  </si>
  <si>
    <t>Первомайская ул., 115/2, Йошкар-Ола</t>
  </si>
  <si>
    <t>47.8856 56.63551</t>
  </si>
  <si>
    <t>8 Шагов</t>
  </si>
  <si>
    <t>+7 (8362) 66-62-70</t>
  </si>
  <si>
    <t>+7 (902) 439-62-70</t>
  </si>
  <si>
    <t>Медицинская реабилитация, Медицинское оборудование, медтехника, Ортопедический салон</t>
  </si>
  <si>
    <t>47.887345 56.642046</t>
  </si>
  <si>
    <t>47.886148 56.637605</t>
  </si>
  <si>
    <t>47.871253 56.640076</t>
  </si>
  <si>
    <t>АтомСтройПоволжье</t>
  </si>
  <si>
    <t>http://www.atom12.ru/</t>
  </si>
  <si>
    <t>Металлоизделия, Металлоконструкции, Строительная компания</t>
  </si>
  <si>
    <t>ProСТО</t>
  </si>
  <si>
    <t>+7 (8362) 28-06-00</t>
  </si>
  <si>
    <t>Автокондиционеры, Автосервис, автотехцентр, Шиномонтаж</t>
  </si>
  <si>
    <t>47.832303 56.642737</t>
  </si>
  <si>
    <t>МКК магазин денег</t>
  </si>
  <si>
    <t>+7 (927) 883-30-70</t>
  </si>
  <si>
    <t xml:space="preserve">agrozaim12@bk.ru  </t>
  </si>
  <si>
    <t>https://shopfinance.ru/</t>
  </si>
  <si>
    <t>Уфимнефть</t>
  </si>
  <si>
    <t>47.833536 56.631068</t>
  </si>
  <si>
    <t>47.958939 56.640166</t>
  </si>
  <si>
    <t>8 (800) 250-04-05, 8 (800) 250-14-05</t>
  </si>
  <si>
    <t>+7 (987) 700-45-54</t>
  </si>
  <si>
    <t xml:space="preserve">ff1@cdek.ru  </t>
  </si>
  <si>
    <t>https://www.cdek.ru/, https://www.cdek.ru/contacts/yoshkar-olaul_stroiteley_95_k102b_pqpa.html</t>
  </si>
  <si>
    <t>http://twitter.com/edostavka</t>
  </si>
  <si>
    <t>47.863981 56.617061</t>
  </si>
  <si>
    <t>47.936381 56.636893</t>
  </si>
  <si>
    <t>Sander's</t>
  </si>
  <si>
    <t>47.884604 56.634127</t>
  </si>
  <si>
    <t>Зелёная ул., 20, Йошкар-Ола</t>
  </si>
  <si>
    <t>47.848752 56.637793</t>
  </si>
  <si>
    <t>Дом по ул. Петрова</t>
  </si>
  <si>
    <t>https://oaokontinent.ru/petrova-poz-10</t>
  </si>
  <si>
    <t>47.919369 56.637341</t>
  </si>
  <si>
    <t>Ваш домашний архитектор</t>
  </si>
  <si>
    <t>+7 (927) 683-83-33</t>
  </si>
  <si>
    <t xml:space="preserve">archi-home@mail.ru, 672929@mail.ru  </t>
  </si>
  <si>
    <t>Архитектурное бюро, Проектная организация, Строительная компания, Строительство дачных домов и коттеджей</t>
  </si>
  <si>
    <t>https://vk.com/vda12</t>
  </si>
  <si>
    <t>DaVita</t>
  </si>
  <si>
    <t>8 (800) 500-80-26</t>
  </si>
  <si>
    <t>+7 (961) 378-78-95</t>
  </si>
  <si>
    <t xml:space="preserve">info@davitamebel.ru  </t>
  </si>
  <si>
    <t>https://davitamebel.ru/</t>
  </si>
  <si>
    <t>https://vk.com/davita_mebel</t>
  </si>
  <si>
    <t>https://www.ok.ru/group/57851996012594</t>
  </si>
  <si>
    <t>https://www.twitter.com/davita_mebel</t>
  </si>
  <si>
    <t>https://www.facebook.com/davita.tomsk</t>
  </si>
  <si>
    <t>https://www.youtube.com/chanel/US9Wxv6ZN2XaHWx2RYIxYM1g</t>
  </si>
  <si>
    <t>https://www.instagram.com/davitamebel.ru</t>
  </si>
  <si>
    <t>Мастерская Ольги Давлетшиной</t>
  </si>
  <si>
    <t>47.888051 56.634999</t>
  </si>
  <si>
    <t>47.870473 56.639987</t>
  </si>
  <si>
    <t>47.93578 56.62824</t>
  </si>
  <si>
    <t>+7 (909) 130-32-68</t>
  </si>
  <si>
    <t>Булочная, пекарня, Кондитерская, Магазин мяса, колбас, Молочный магазин</t>
  </si>
  <si>
    <t>47.83084 56.632299</t>
  </si>
  <si>
    <t>47.826533 56.632232</t>
  </si>
  <si>
    <t>47.940129 56.622707</t>
  </si>
  <si>
    <t>47.867775 56.625298</t>
  </si>
  <si>
    <t>Рекламикс РА</t>
  </si>
  <si>
    <t>+7 (8362) 32-44-23</t>
  </si>
  <si>
    <t>+7 (917) 719-63-97</t>
  </si>
  <si>
    <t xml:space="preserve">info@reklamix12.ru  </t>
  </si>
  <si>
    <t>http://reklamix12.ru/</t>
  </si>
  <si>
    <t>https://vk.com/reklamix12</t>
  </si>
  <si>
    <t>https://www.instagram.com/reklamix12/</t>
  </si>
  <si>
    <t>47.823855 56.639453</t>
  </si>
  <si>
    <t>47.832474 56.63913</t>
  </si>
  <si>
    <t>47.854711 56.61484</t>
  </si>
  <si>
    <t>Континент-1</t>
  </si>
  <si>
    <t>47.867026 56.627593</t>
  </si>
  <si>
    <t>Роуз</t>
  </si>
  <si>
    <t>+7 (8362) 70-55-08</t>
  </si>
  <si>
    <t>https://vk.com/royz12</t>
  </si>
  <si>
    <t>47.922832 56.629195</t>
  </si>
  <si>
    <t>KochChemie</t>
  </si>
  <si>
    <t>+7 (927) 884-44-13, +7 (902) 325-44-13</t>
  </si>
  <si>
    <t>Автокосметика, автохимия, Автомоечное оборудование, Магазин автозапчастей и автотоваров</t>
  </si>
  <si>
    <t>47.903137 56.646646</t>
  </si>
  <si>
    <t>47.894107 56.645035</t>
  </si>
  <si>
    <t>Фиалка</t>
  </si>
  <si>
    <t>+7 (987) 728-18-37</t>
  </si>
  <si>
    <t>https://www.instagram.com/fialka_yola/</t>
  </si>
  <si>
    <t>47.918013 56.640946</t>
  </si>
  <si>
    <t>Оршанская</t>
  </si>
  <si>
    <t>47.895243 56.64641</t>
  </si>
  <si>
    <t>Сбербанк России. Операционная касса № 8614/0103</t>
  </si>
  <si>
    <t>Первомайская ул., 7, Йошкар-Ола</t>
  </si>
  <si>
    <t>+7 (83631) 6-71-53</t>
  </si>
  <si>
    <t>пн-пт 09:30–17:30, перерыв 13:00–14:00</t>
  </si>
  <si>
    <t>47.897964 56.654382</t>
  </si>
  <si>
    <t>Мега Колор</t>
  </si>
  <si>
    <t>+7 (987) 719-28-75</t>
  </si>
  <si>
    <t xml:space="preserve">mega_kolor@mail.ru, user@example.com, sales@fizdi.com  </t>
  </si>
  <si>
    <t>http://mega-kolor.ru/</t>
  </si>
  <si>
    <t>https://vk.com/megakolor_12</t>
  </si>
  <si>
    <t>47.959218 56.652272</t>
  </si>
  <si>
    <t>Варвара-Краса</t>
  </si>
  <si>
    <t>ул. Павлова, 7, Йошкар-Ола</t>
  </si>
  <si>
    <t>https://api.whatsapp.com/send?phone=79021056489</t>
  </si>
  <si>
    <t>Магазин парфюмерии и косметики, Парикмахерская, Салон красоты</t>
  </si>
  <si>
    <t>https://instagram.com/8happy12rus</t>
  </si>
  <si>
    <t>47.869453 56.623685</t>
  </si>
  <si>
    <t>Контейнеры</t>
  </si>
  <si>
    <t>8 (800) 600-33-48</t>
  </si>
  <si>
    <t xml:space="preserve">ioshkar-ola@konteynernaya.ru  </t>
  </si>
  <si>
    <t>https://ioshkar-ola.konteynernaya.ru/</t>
  </si>
  <si>
    <t>47.863114 56.646508</t>
  </si>
  <si>
    <t>ТПК ЛесМари</t>
  </si>
  <si>
    <t>+7 (8362) 28-03-03</t>
  </si>
  <si>
    <t>+7 (987) 701-03-03, +7 (902) 670-80-03, +7 (902) 438-03-03</t>
  </si>
  <si>
    <t xml:space="preserve">woodmari.lipa@gmail.com, support@tiu.ru, woodmari@mail.ru  </t>
  </si>
  <si>
    <t>http://woodmari.ru/, https://evrovagonka-lipa.ru/</t>
  </si>
  <si>
    <t>Производственное предприятие, Товары для бани и сауны</t>
  </si>
  <si>
    <t>пн-пт 08:00–18:00, перерыв 12:00–13:30; сб 09:00–15:00</t>
  </si>
  <si>
    <t>47.873245 56.619408</t>
  </si>
  <si>
    <t>Студия маникюра Nail bar</t>
  </si>
  <si>
    <t>ул. Карла Маркса, 131/11, корп. 3, Йошкар-Ола</t>
  </si>
  <si>
    <t>+7 (909) 369-97-89</t>
  </si>
  <si>
    <t xml:space="preserve">bumpix@bumpix.net  </t>
  </si>
  <si>
    <t>http://bumpix.net/nailbar12</t>
  </si>
  <si>
    <t>https://www.facebook.com/savateeva12</t>
  </si>
  <si>
    <t>Центр карьеры Поволжского государственного технического университета</t>
  </si>
  <si>
    <t>+7 (8362) 68-78-11</t>
  </si>
  <si>
    <t>47.864375 56.646904</t>
  </si>
  <si>
    <t>Bet</t>
  </si>
  <si>
    <t>47.83754 56.63437</t>
  </si>
  <si>
    <t>Гинекологический корпус № 2</t>
  </si>
  <si>
    <t>Гинекологическая клиника, Родильный дом</t>
  </si>
  <si>
    <t>47.877362 56.638027</t>
  </si>
  <si>
    <t>Домостроительный комбинат № 5</t>
  </si>
  <si>
    <t>http://дск-5.рф/</t>
  </si>
  <si>
    <t>Дезинфекция Поволжья</t>
  </si>
  <si>
    <t>+7 (927) 668-94-79</t>
  </si>
  <si>
    <t>Прием стеклотары</t>
  </si>
  <si>
    <t>ул. Волкова, 65, корп. 1, Йошкар-Ола</t>
  </si>
  <si>
    <t>47.901932 56.644814</t>
  </si>
  <si>
    <t>Мой мясной</t>
  </si>
  <si>
    <t>+7 (903) 326-57-77</t>
  </si>
  <si>
    <t>http://motoresurs12.ru/</t>
  </si>
  <si>
    <t>47.883525 56.615302</t>
  </si>
  <si>
    <t>+7 (937) 112-46-36</t>
  </si>
  <si>
    <t>Деревообрабатывающее оборудование, Металлообрабатывающее оборудование, Металлообработка</t>
  </si>
  <si>
    <t>Мануфактура 12</t>
  </si>
  <si>
    <t>+7 (927) 889-17-27</t>
  </si>
  <si>
    <t>8 (800) 550-13-77</t>
  </si>
  <si>
    <t>+7 (937) 773-48-18</t>
  </si>
  <si>
    <t>47.880101 56.621905</t>
  </si>
  <si>
    <t>47.915924 56.626818</t>
  </si>
  <si>
    <t>Красноармейская ул., 111/1, Йошкар-Ола</t>
  </si>
  <si>
    <t>47.858706 56.644935</t>
  </si>
  <si>
    <t>47.85089 56.625683</t>
  </si>
  <si>
    <t>Студия красоты Бьюти Студия Йошкар-Ола</t>
  </si>
  <si>
    <t>+7 (917) 700-99-47</t>
  </si>
  <si>
    <t>http://vk.com/makiyazh12</t>
  </si>
  <si>
    <t>47.898088 56.636679</t>
  </si>
  <si>
    <t>Butterfly</t>
  </si>
  <si>
    <t>47.897049 56.627275</t>
  </si>
  <si>
    <t>+7 (8362) 54-11-21</t>
  </si>
  <si>
    <t>+7 (962) 590-43-88</t>
  </si>
  <si>
    <t>47.883522 56.609806</t>
  </si>
  <si>
    <t>Автобаза Минздрава Республики Марий Эл ГУ</t>
  </si>
  <si>
    <t>+7 (8362) 22-33-98, +7 (8362) 22-35-50</t>
  </si>
  <si>
    <t>47.91771 56.627426</t>
  </si>
  <si>
    <t>Салон дверей Ланкорд</t>
  </si>
  <si>
    <t>+7 (8362) 33-65-92</t>
  </si>
  <si>
    <t>http://lankord-doors.ru/</t>
  </si>
  <si>
    <t>Твоя мясная натура</t>
  </si>
  <si>
    <t>47.831471 56.6393</t>
  </si>
  <si>
    <t>47.849166 56.657054</t>
  </si>
  <si>
    <t>ЧувашМеталл</t>
  </si>
  <si>
    <t>+7 (8362) 64-28-77</t>
  </si>
  <si>
    <t>47.855918 56.650866</t>
  </si>
  <si>
    <t>Центр общественного контроля в сфере ЖКХ республики Марий Эл</t>
  </si>
  <si>
    <t>Воскресенский просп., 15, Йошкар-Ола</t>
  </si>
  <si>
    <t>47.911685 56.633519</t>
  </si>
  <si>
    <t>47.856711 56.640603</t>
  </si>
  <si>
    <t>Санитарно-эпидемиологическая служба</t>
  </si>
  <si>
    <t>+7 (8362) 99-00-08</t>
  </si>
  <si>
    <t>Аренда строительной и спецтехники, Дорожно-строительная техника, Строительная компания</t>
  </si>
  <si>
    <t>47.893524 56.613598</t>
  </si>
  <si>
    <t>Мебель для уюта</t>
  </si>
  <si>
    <t>+7 (8362) 25-55-39</t>
  </si>
  <si>
    <t>https://vk.com/club171387745</t>
  </si>
  <si>
    <t>47.854311 56.643118</t>
  </si>
  <si>
    <t>ул. Волкова, 63А, Йошкар-Ола</t>
  </si>
  <si>
    <t>47.903004 56.644544</t>
  </si>
  <si>
    <t>Ленинградская ул., 2А, Йошкар-Ола</t>
  </si>
  <si>
    <t>+7 (927) 880-53-00</t>
  </si>
  <si>
    <t>Металлообработка, Прием вторсырья</t>
  </si>
  <si>
    <t>47.976149 56.636568</t>
  </si>
  <si>
    <t>47.8668 56.633929</t>
  </si>
  <si>
    <t>Tucino</t>
  </si>
  <si>
    <t>+7 (916) 199-38-28</t>
  </si>
  <si>
    <t>47.893263 56.63858</t>
  </si>
  <si>
    <t>Агромир</t>
  </si>
  <si>
    <t>47.856023 56.650423</t>
  </si>
  <si>
    <t>Грили и аксессуары</t>
  </si>
  <si>
    <t>+7 (8362) 55-05-97</t>
  </si>
  <si>
    <t>Оборудование для ресторанов, Торговое оборудование</t>
  </si>
  <si>
    <t>пн-пт 12:00–19:00; сб 10:00–17:00; вс 10:00–16:00</t>
  </si>
  <si>
    <t>Ателье Силуэтъ</t>
  </si>
  <si>
    <t>+7 (902) 465-46-70</t>
  </si>
  <si>
    <t>пн-пт 16:30–20:00; сб 09:00–16:00</t>
  </si>
  <si>
    <t>Твоя Экономия</t>
  </si>
  <si>
    <t>47.862768 56.646494</t>
  </si>
  <si>
    <t>47.913601 56.635053</t>
  </si>
  <si>
    <t>47.884515 56.633939</t>
  </si>
  <si>
    <t>Дом на ул. Фестивальная</t>
  </si>
  <si>
    <t>+7 (8362) 43-37-37</t>
  </si>
  <si>
    <t>http://www.salut12.ru/prodaga_gotovih_kvartir_v_yoshkar_ole.htm</t>
  </si>
  <si>
    <t>47.835834 56.648346</t>
  </si>
  <si>
    <t>Шиповник</t>
  </si>
  <si>
    <t>47.925745 56.634197</t>
  </si>
  <si>
    <t>ул. Йывана Кырли, 19В, Йошкар-Ола</t>
  </si>
  <si>
    <t>47.838232 56.642451</t>
  </si>
  <si>
    <t>Beautiful apartment in the city center</t>
  </si>
  <si>
    <t>47.91299 56.63484</t>
  </si>
  <si>
    <t>47.830745 56.632229</t>
  </si>
  <si>
    <t>Научно-исследовательский институт экспертиз</t>
  </si>
  <si>
    <t>8 (800) 550-92-65</t>
  </si>
  <si>
    <t xml:space="preserve">mail@gov-expertiza.ru  </t>
  </si>
  <si>
    <t>https://yoshkar-ola.gov-expertiza.ru/</t>
  </si>
  <si>
    <t>https://vk.com/govexpertiza</t>
  </si>
  <si>
    <t>+7 (8362) 61-06-61, +7 (8362) 97-91-28</t>
  </si>
  <si>
    <t>+7 (927) 885-32-35</t>
  </si>
  <si>
    <t>47.889631 56.642732</t>
  </si>
  <si>
    <t>Rabotut</t>
  </si>
  <si>
    <t>8 (800) 700-84-84</t>
  </si>
  <si>
    <t xml:space="preserve">info@rabotut.ru  </t>
  </si>
  <si>
    <t>http://rabotut.ru/</t>
  </si>
  <si>
    <t>КомСеЛ</t>
  </si>
  <si>
    <t>Апартаменты Ленинский Проспект</t>
  </si>
  <si>
    <t>Ленинский просп., 61А, Йошкар-Ола</t>
  </si>
  <si>
    <t>https://yolarenda.ru/komandirovka</t>
  </si>
  <si>
    <t>47.873306 56.635342</t>
  </si>
  <si>
    <t>+7 (8362) 54-25-45</t>
  </si>
  <si>
    <t>47.867689 56.637419</t>
  </si>
  <si>
    <t>47.862448 56.645603</t>
  </si>
  <si>
    <t>ул. Берёзово, 99, Йошкар-Ола</t>
  </si>
  <si>
    <t>47.853926 56.642554</t>
  </si>
  <si>
    <t>http://www.tavrida.ru/</t>
  </si>
  <si>
    <t>+7 (963) 239-46-64, +7 (961) 336-33-34, +7 (960) 090-99-93</t>
  </si>
  <si>
    <t>Строительная компания, Строительство дачных домов и коттеджей, Техническое обслуживание зданий</t>
  </si>
  <si>
    <t>Стиль Классик</t>
  </si>
  <si>
    <t>47.822717 56.632166</t>
  </si>
  <si>
    <t>47.895082 56.631338</t>
  </si>
  <si>
    <t>47.936689 56.645481</t>
  </si>
  <si>
    <t>47.887024 56.620068</t>
  </si>
  <si>
    <t>47.885698 56.635376</t>
  </si>
  <si>
    <t>Пив Пав</t>
  </si>
  <si>
    <t>Ленинский просп., 22Б, Йошкар-Ола</t>
  </si>
  <si>
    <t>+7 (8362) 97-78-98</t>
  </si>
  <si>
    <t>пн-пт 12:00–23:00; сб 11:00–23:00; вс 12:00–23:00</t>
  </si>
  <si>
    <t>47.908503 56.627198</t>
  </si>
  <si>
    <t>+7 (917) 707-58-58</t>
  </si>
  <si>
    <t>пн,вт 12:30–17:30; ср 12:30–18:30; чт 12:30–17:30; пт 12:30–16:30</t>
  </si>
  <si>
    <t>47.917704 56.627426</t>
  </si>
  <si>
    <t>Сайгон</t>
  </si>
  <si>
    <t>+7 (902) 329-51-03</t>
  </si>
  <si>
    <t>Бар, паб, Студия звукозаписи</t>
  </si>
  <si>
    <t>ежедневно, 17:00–23:00</t>
  </si>
  <si>
    <t>47.896595 56.632805</t>
  </si>
  <si>
    <t>+7 (8362) 64-33-81</t>
  </si>
  <si>
    <t>Автопомощь</t>
  </si>
  <si>
    <t>8 (800) 250-83-35</t>
  </si>
  <si>
    <t xml:space="preserve">info@onlinegibdd.ru  </t>
  </si>
  <si>
    <t>IT-компания, Мониторинг автотранспорта</t>
  </si>
  <si>
    <t>https://vk.com/club60017691</t>
  </si>
  <si>
    <t>https://ok.ru/onlayngibd</t>
  </si>
  <si>
    <t>47.920434 56.636602</t>
  </si>
  <si>
    <t>ГБУК Марфильмофонд</t>
  </si>
  <si>
    <t>+7 (8362) 42-38-70, +7 (8362) 42-04-61</t>
  </si>
  <si>
    <t>https://www.ooolaif.ru/</t>
  </si>
  <si>
    <t>Производственное предприятие, Строительная компания, Строительство дачных домов и коттеджей</t>
  </si>
  <si>
    <t>пн-пт 09:00–18:30; сб,вс 11:00–16:00</t>
  </si>
  <si>
    <t>https://vk.com/ooolaif</t>
  </si>
  <si>
    <t>https://ok.ru/ooolaif</t>
  </si>
  <si>
    <t>https://www.instagram.com/stroitelstvo_domov_laif</t>
  </si>
  <si>
    <t>47.893391 56.626038</t>
  </si>
  <si>
    <t>Фото-школа</t>
  </si>
  <si>
    <t>47.86412 56.648</t>
  </si>
  <si>
    <t>ул. Машиностроителей, 124А, Йошкар-Ола</t>
  </si>
  <si>
    <t>47.826868 56.626148</t>
  </si>
  <si>
    <t>Технотрейд</t>
  </si>
  <si>
    <t>+7 (8362) 42-65-66</t>
  </si>
  <si>
    <t>47.943183 56.634551</t>
  </si>
  <si>
    <t>Сфера, офис</t>
  </si>
  <si>
    <t>ул. Менделеева, 49, Йошкар-Ола</t>
  </si>
  <si>
    <t>+7 (8362) 36-20-60</t>
  </si>
  <si>
    <t>Бетон, бетонные изделия, Стройматериалы оптом, Тротуарная плитка</t>
  </si>
  <si>
    <t>ежедневно, 06:00–17:00</t>
  </si>
  <si>
    <t>47.901396 56.650127</t>
  </si>
  <si>
    <t>Vape точка</t>
  </si>
  <si>
    <t>+7 (999) 609-75-19</t>
  </si>
  <si>
    <t>ул. Строителей, 99Д, Йошкар-Ола</t>
  </si>
  <si>
    <t>47.866111 56.615454</t>
  </si>
  <si>
    <t>Логоцветик</t>
  </si>
  <si>
    <t>+7 (927) 870-33-59</t>
  </si>
  <si>
    <t>пн-пт 08:00–20:00; сб 08:00–18:00; вс 10:00–15:00</t>
  </si>
  <si>
    <t>47.830201 56.633465</t>
  </si>
  <si>
    <t>Йошкин Кот</t>
  </si>
  <si>
    <t>+7 (8362) 38-21-80</t>
  </si>
  <si>
    <t>Магазин алкогольных напитков, Магазин подарков и сувениров, Магазин продуктов</t>
  </si>
  <si>
    <t>https://vk.com/yoshkinkot_yo</t>
  </si>
  <si>
    <t>https://www.instagram.com/yoshkinkot.yo/</t>
  </si>
  <si>
    <t>47.898865 56.637185</t>
  </si>
  <si>
    <t>47.882931 56.625655</t>
  </si>
  <si>
    <t>ул. Машиностроителей, 1Б, Йошкар-Ола</t>
  </si>
  <si>
    <t>47.875552 56.651461</t>
  </si>
  <si>
    <t>Магазин головных уборов, Магазин детской одежды</t>
  </si>
  <si>
    <t>47.832827 56.636583</t>
  </si>
  <si>
    <t>Кобец</t>
  </si>
  <si>
    <t>+7 (987) 730-76-07</t>
  </si>
  <si>
    <t>47.896532 56.628626</t>
  </si>
  <si>
    <t>ежедневно, 08:00–21:30</t>
  </si>
  <si>
    <t>47.833753 56.632302</t>
  </si>
  <si>
    <t>Пергамент</t>
  </si>
  <si>
    <t>+7 (927) 877-72-22, +7 (927) 877-16-52, +7 (927) 888-80-11</t>
  </si>
  <si>
    <t>Автоателье, Автосервис, автотехцентр, Детейлинг, Изоляционные работы, Ремонт мебели, Химчистка</t>
  </si>
  <si>
    <t>https://vk.com/pergament12</t>
  </si>
  <si>
    <t>47.942308 56.62929</t>
  </si>
  <si>
    <t>Центр флористики</t>
  </si>
  <si>
    <t>+7 (8362) 99-72-49</t>
  </si>
  <si>
    <t>+7 (927) 888-00-65, +7 (902) 329-72-49</t>
  </si>
  <si>
    <t>http://центрфлористики.рф/</t>
  </si>
  <si>
    <t>47.880323 56.636354</t>
  </si>
  <si>
    <t>47.827171 56.632829</t>
  </si>
  <si>
    <t>Евромилк</t>
  </si>
  <si>
    <t>Медицинская техника</t>
  </si>
  <si>
    <t>+7 (8362) 38-03-18</t>
  </si>
  <si>
    <t xml:space="preserve">etalonmedmagazin@mail.ru  </t>
  </si>
  <si>
    <t>http://medtehnika12.ru/</t>
  </si>
  <si>
    <t>47.88678 56.643193</t>
  </si>
  <si>
    <t>Островок</t>
  </si>
  <si>
    <t>пн-сб 11:00–20:00; вс 10:00–20:00</t>
  </si>
  <si>
    <t>Apartment on Antsiferova 27a</t>
  </si>
  <si>
    <t>47.86546 56.64528</t>
  </si>
  <si>
    <t>+7 (919) 418-80-30</t>
  </si>
  <si>
    <t>СпецСнабжение</t>
  </si>
  <si>
    <t>47.836517 56.635176</t>
  </si>
  <si>
    <t>47.839624 56.62692</t>
  </si>
  <si>
    <t>Йошкар-Олинская детская городская больница отделение кишечных инфекций</t>
  </si>
  <si>
    <t>+7 (8362) 42-65-10, +7 (8362) 42-65-30</t>
  </si>
  <si>
    <t>47.908185 56.627335</t>
  </si>
  <si>
    <t>Шугаринг</t>
  </si>
  <si>
    <t>Маритранссервис</t>
  </si>
  <si>
    <t>Автомобильные грузоперевозки, Грузовые авиаперевозки</t>
  </si>
  <si>
    <t>Apartment on Voskresenskiy Avenue 1</t>
  </si>
  <si>
    <t>47.91844 56.642545</t>
  </si>
  <si>
    <t>Rota сервис</t>
  </si>
  <si>
    <t>+7 (8362) 20-53-45</t>
  </si>
  <si>
    <t>+7 (902) 434-34-05</t>
  </si>
  <si>
    <t>Страховых дел мастер</t>
  </si>
  <si>
    <t>47.891333 56.626271</t>
  </si>
  <si>
    <t>+7 (927) 882-43-46</t>
  </si>
  <si>
    <t xml:space="preserve">89266504979@mail.ru, 5323366@mail.ru, 89313868919@mail.ru, 4240414@mail.ru, 755212@mail.ru  </t>
  </si>
  <si>
    <t>http://vostokfasad.ru/</t>
  </si>
  <si>
    <t>+7 (8362) 99-68-94</t>
  </si>
  <si>
    <t>пн-пт 09:00–18:00; сб 09:00–17:00; вс 10:00–17:00</t>
  </si>
  <si>
    <t>47.884715 56.634122</t>
  </si>
  <si>
    <t>+7 (918) 081-97-79</t>
  </si>
  <si>
    <t>Россия, Республика Марий Эл, Йошкар-Ола, улица Белинского</t>
  </si>
  <si>
    <t>47.863313 56.625144</t>
  </si>
  <si>
    <t>+7 (8362) 34-56-00, +7 (8362) 78-92-29</t>
  </si>
  <si>
    <t>http://juniorcode.net/</t>
  </si>
  <si>
    <t>+7 (937) 113-32-73</t>
  </si>
  <si>
    <t>пн-пт 09:00–17:00; сб 12:00–16:00</t>
  </si>
  <si>
    <t>47.888725 56.637924</t>
  </si>
  <si>
    <t>Системы Безопасности</t>
  </si>
  <si>
    <t>+7 (904) 619-00-42</t>
  </si>
  <si>
    <t xml:space="preserve">joshkar-ola@systemssec.ru  </t>
  </si>
  <si>
    <t>https://joshkar-ola.systemssec.ru/</t>
  </si>
  <si>
    <t>Домофоны, Ремонт аудиотехники и видеотехники, Системы безопасности и охраны</t>
  </si>
  <si>
    <t>https://vk.com/security_syst</t>
  </si>
  <si>
    <t>http://www.youtube.com/channel/UC9nsn8KaftJzNI1Ckb2oFLw</t>
  </si>
  <si>
    <t>Volga resurs</t>
  </si>
  <si>
    <t>47.84025 56.631858</t>
  </si>
  <si>
    <t>47.900574 56.638686</t>
  </si>
  <si>
    <t>Твой Дом, Производственный цех</t>
  </si>
  <si>
    <t>Строительная компания, Строительство дачных домов и коттеджей, Стройматериалы оптом</t>
  </si>
  <si>
    <t>ул. Мира, 43/15, Йошкар-Ола</t>
  </si>
  <si>
    <t>+7 (937) 934-76-42, +7 (987) 733-24-49</t>
  </si>
  <si>
    <t>47.951753 56.627162</t>
  </si>
  <si>
    <t>47.84395 56.630934</t>
  </si>
  <si>
    <t>Инком риэлт</t>
  </si>
  <si>
    <t>Красноармейская ул., 68, Йошкар-Ола</t>
  </si>
  <si>
    <t>+7 (928) 204-75-79</t>
  </si>
  <si>
    <t xml:space="preserve">incomrielt@mail.ru  </t>
  </si>
  <si>
    <t>http://incomrielt.ru/</t>
  </si>
  <si>
    <t>47.88326 56.643444</t>
  </si>
  <si>
    <t>Строительная компания СМУ-10</t>
  </si>
  <si>
    <t>47.925259 56.640443</t>
  </si>
  <si>
    <t>+7 (927) 885-06-06</t>
  </si>
  <si>
    <t>Зл офис А</t>
  </si>
  <si>
    <t>47.89818 56.646869</t>
  </si>
  <si>
    <t>Окна Комфорт Сервис</t>
  </si>
  <si>
    <t>+7 (927) 882-40-09</t>
  </si>
  <si>
    <t>Банкротство граждан</t>
  </si>
  <si>
    <t>+7 (987) 724-71-57</t>
  </si>
  <si>
    <t>https://банкротство-йола.рф/</t>
  </si>
  <si>
    <t>Поволжье-Сервис</t>
  </si>
  <si>
    <t>8 (800) 222-57-40</t>
  </si>
  <si>
    <t xml:space="preserve">info@it-volga.ru  </t>
  </si>
  <si>
    <t>https://it-volga.ru/</t>
  </si>
  <si>
    <t>Аутсорсинг, Кассовые аппараты и расходные материалы, Системы безопасности и охраны</t>
  </si>
  <si>
    <t>https://www.facebook.com/itvlg/</t>
  </si>
  <si>
    <t>https://www.instagram.com/it_volga/</t>
  </si>
  <si>
    <t>Межкомнатные двери Экспресс-Гарант</t>
  </si>
  <si>
    <t>+7 (8362) 24-27-31, +7 (8362) 49-47-07</t>
  </si>
  <si>
    <t>47.950902 56.635956</t>
  </si>
  <si>
    <t>47.924891 56.63454</t>
  </si>
  <si>
    <t>Кафе быстрого питания</t>
  </si>
  <si>
    <t>47.891879 56.629899</t>
  </si>
  <si>
    <t>47.842062 56.632229</t>
  </si>
  <si>
    <t>+7 (902) 435-34-22</t>
  </si>
  <si>
    <t xml:space="preserve">joshkar-ola@gruzoperevozki-na-gazeli.ru </t>
  </si>
  <si>
    <t>47.96596 56.641039</t>
  </si>
  <si>
    <t>ул. Машиностроителей, 109М3, Йошкар-Ола</t>
  </si>
  <si>
    <t>+7 (8362) 73-05-01</t>
  </si>
  <si>
    <t>47.840618 56.620648</t>
  </si>
  <si>
    <t>47.872005 56.642443</t>
  </si>
  <si>
    <t>Идеал Монтаж</t>
  </si>
  <si>
    <t>+7 (8362) 32-04-20</t>
  </si>
  <si>
    <t xml:space="preserve">palazzo@eco12.ru  </t>
  </si>
  <si>
    <t>http://idealm.ru/</t>
  </si>
  <si>
    <t>Натяжные и подвесные потолки, Светильники, Шторы, карнизы</t>
  </si>
  <si>
    <t>Жалюзи и рулонные шторы, Натяжные и подвесные потолки, Окна, Остекление балконов и лоджий, Строительная компания, Строительные и отделочные работы, Строительство бань и саун</t>
  </si>
  <si>
    <t>47.887233 56.639845</t>
  </si>
  <si>
    <t>47.869676 56.652573</t>
  </si>
  <si>
    <t>Компьютерная техника</t>
  </si>
  <si>
    <t>47.892933 56.638356</t>
  </si>
  <si>
    <t>Strong</t>
  </si>
  <si>
    <t>Модный Континент</t>
  </si>
  <si>
    <t>+7 (964) 863-52-56</t>
  </si>
  <si>
    <t>Весёлые гонки</t>
  </si>
  <si>
    <t>47.893126 56.637713</t>
  </si>
  <si>
    <t>BRP</t>
  </si>
  <si>
    <t>+7 (8362) 38-39-90, +7 (8362) 38-50-83</t>
  </si>
  <si>
    <t xml:space="preserve">info@slon12.ru, drive12.yola@gmail.com  </t>
  </si>
  <si>
    <t>http://br-12.ru/</t>
  </si>
  <si>
    <t>https://vk.com/brp12yola</t>
  </si>
  <si>
    <t>https://ok.ru/profile/576408127895</t>
  </si>
  <si>
    <t>https://www.facebook.com/brp12/?eid=ARDQeG8HI6FfGtFaKZlu98pnZp8VIdpTWxFk26x_h9al51NYYcigC1GOEQIbVeLYRrCzMRF-J060REnju0026ref=aymt_homepage_panel</t>
  </si>
  <si>
    <t>https://www.instagram.com/brp12drive/</t>
  </si>
  <si>
    <t>47.886265 56.643765</t>
  </si>
  <si>
    <t>ИНТЭК-маркет</t>
  </si>
  <si>
    <t>Детские игрушки и игры, Магазин канцтоваров, Магазин посуды, Магазин хозтоваров и бытовой химии</t>
  </si>
  <si>
    <t>47.883043 56.638196</t>
  </si>
  <si>
    <t>Транс-Ойл</t>
  </si>
  <si>
    <t>ул. Дружбы, 2А, Йошкар-Ола</t>
  </si>
  <si>
    <t>+7 (8362) 31-48-57</t>
  </si>
  <si>
    <t>Гипермаркет</t>
  </si>
  <si>
    <t>47.842179 56.632681</t>
  </si>
  <si>
    <t>Упаковка подарков</t>
  </si>
  <si>
    <t>47.892538 56.638413</t>
  </si>
  <si>
    <t>Неон Про</t>
  </si>
  <si>
    <t>+7 (968) 788-39-97</t>
  </si>
  <si>
    <t>47.845515 56.620339</t>
  </si>
  <si>
    <t>ул. Баумана, 7А, Йошкар-Ола</t>
  </si>
  <si>
    <t>+7 (8362) 38-50-38</t>
  </si>
  <si>
    <t>http://vk.com/club143707858</t>
  </si>
  <si>
    <t>47.845465 56.643098</t>
  </si>
  <si>
    <t>Ремонт планшетов и ноутбуков</t>
  </si>
  <si>
    <t>Слободская</t>
  </si>
  <si>
    <t>10, Архангельская слобода, Йошкар-Ола</t>
  </si>
  <si>
    <t>+7 (8362) 41-71-07</t>
  </si>
  <si>
    <t>47.9026 56.632879</t>
  </si>
  <si>
    <t>47.858305 56.623907</t>
  </si>
  <si>
    <t>СТК люстры и светильники</t>
  </si>
  <si>
    <t>+7 (8362) 55-27-22</t>
  </si>
  <si>
    <t>+7 (967) 755-27-22, +7 (961) 335-01-09</t>
  </si>
  <si>
    <t xml:space="preserve">552722@bk.ru  </t>
  </si>
  <si>
    <t>https://ctkshop.ru/</t>
  </si>
  <si>
    <t>https://vk.com/ctkshop</t>
  </si>
  <si>
    <t>https://www.instagram.com/ctkmagazin/</t>
  </si>
  <si>
    <t>47.909885 56.644693</t>
  </si>
  <si>
    <t>Платон, центр обслуживания</t>
  </si>
  <si>
    <t xml:space="preserve">info@platon.ru  </t>
  </si>
  <si>
    <t>47.944317 56.634355</t>
  </si>
  <si>
    <t>Tnp -plyus</t>
  </si>
  <si>
    <t>+7 (961) 336-22-22, +7 (917) 705-55-55</t>
  </si>
  <si>
    <t>http://tnp-plyus.pulscen.ru/</t>
  </si>
  <si>
    <t>Центр компетенций республики Марии Эл</t>
  </si>
  <si>
    <t xml:space="preserve">hempfarm@gmail.com, expo.racin@tatar.ru, ck.apk12@mail.ru  </t>
  </si>
  <si>
    <t>http://ckapk12.ckoo.ru/</t>
  </si>
  <si>
    <t>АГЗС № 2</t>
  </si>
  <si>
    <t>ул. Мира, 8А, Йошкар-Ола</t>
  </si>
  <si>
    <t>+7 (8362) 58-07-94</t>
  </si>
  <si>
    <t>47.94977 56.632085</t>
  </si>
  <si>
    <t>ЛайтСД</t>
  </si>
  <si>
    <t>+7 (917) 712-32-58</t>
  </si>
  <si>
    <t>Звуковое и световое оборудование</t>
  </si>
  <si>
    <t>47.861777 56.620431</t>
  </si>
  <si>
    <t>Йошкар-Ола. Топлайн-Изыскания</t>
  </si>
  <si>
    <t>+7 (958) 762-92-57</t>
  </si>
  <si>
    <t xml:space="preserve">info@topline.su  </t>
  </si>
  <si>
    <t>http://joshkar-ola.topline.su/</t>
  </si>
  <si>
    <t>https://twitter.com/toplinesu</t>
  </si>
  <si>
    <t>47.895844 56.63436</t>
  </si>
  <si>
    <t>ИнтерТраффик Йошкар-Ола</t>
  </si>
  <si>
    <t>8 (800) 222-09-57</t>
  </si>
  <si>
    <t xml:space="preserve">intertraffic@list.ru  </t>
  </si>
  <si>
    <t>https://yoshkar-ola.inter-traffic.ru/</t>
  </si>
  <si>
    <t>Дорожные материалы, Средства безопасности дорожного движения</t>
  </si>
  <si>
    <t>https://vk.com/intertrafficru</t>
  </si>
  <si>
    <t>https://www.instagram.com/inter.traffic/</t>
  </si>
  <si>
    <t>Кошкин Дом</t>
  </si>
  <si>
    <t>47.823629 56.636476</t>
  </si>
  <si>
    <t>47.946028 56.628591</t>
  </si>
  <si>
    <t>Салон красоты Евгения Дубова</t>
  </si>
  <si>
    <t>ежедневно, 10:00–19:00, перерыв 13:00–14:00</t>
  </si>
  <si>
    <t>47.853844 56.656914</t>
  </si>
  <si>
    <t>Ремонт амортизаторов</t>
  </si>
  <si>
    <t>+7 (902) 670-73-62</t>
  </si>
  <si>
    <t>47.957619 56.650611</t>
  </si>
  <si>
    <t>47.887217 56.646886</t>
  </si>
  <si>
    <t>47.883983 56.632864</t>
  </si>
  <si>
    <t>47.921506 56.63023</t>
  </si>
  <si>
    <t>Sexshop VIP в Йошкар-Ола</t>
  </si>
  <si>
    <t>8 (800) 350-36-70</t>
  </si>
  <si>
    <t>+7 (916) 487-46-67</t>
  </si>
  <si>
    <t xml:space="preserve">yoshkar-ola@sexshopvip.ru  </t>
  </si>
  <si>
    <t>https://yoshkar-ola.sexshopvip.ru/</t>
  </si>
  <si>
    <t>47.910451 56.632357</t>
  </si>
  <si>
    <t>Beauty N</t>
  </si>
  <si>
    <t>47.892577 56.638696</t>
  </si>
  <si>
    <t>+7 (961) 333-90-00, +7 (987) 726-66-66, +7 (906) 069-14-44, +7 (915) 157-40-47</t>
  </si>
  <si>
    <t>Сад u0026 огород</t>
  </si>
  <si>
    <t>47.837791 56.641533</t>
  </si>
  <si>
    <t>47.890318 56.62992</t>
  </si>
  <si>
    <t>Ресторан Шаурмы</t>
  </si>
  <si>
    <t>Красноармейская ул., 43А, Йошкар-Ола</t>
  </si>
  <si>
    <t>+7 (961) 335-01-14</t>
  </si>
  <si>
    <t>Быстрое питание, Кофейня</t>
  </si>
  <si>
    <t>пн-пт 10:00–19:30; сб 10:00–18:30; вс 11:00–18:30</t>
  </si>
  <si>
    <t>http://www.vk.com/club171632077</t>
  </si>
  <si>
    <t>http://www.instagram.com/restoranshaurmy</t>
  </si>
  <si>
    <t>47.893534 56.64025</t>
  </si>
  <si>
    <t>+7 (927) 888-15-51</t>
  </si>
  <si>
    <t>Адвант</t>
  </si>
  <si>
    <t>+7 (8362) 23-29-42</t>
  </si>
  <si>
    <t xml:space="preserve">testing@test.ru  </t>
  </si>
  <si>
    <t>http://advant12.ru/</t>
  </si>
  <si>
    <t>Канцтовары оптом, Мебель для офиса, Оргтехника</t>
  </si>
  <si>
    <t>https://vk.com/topmotors12</t>
  </si>
  <si>
    <t>+7 (960) 099-98-83</t>
  </si>
  <si>
    <t>47.888298 56.624524</t>
  </si>
  <si>
    <t>Apartment Green Garden</t>
  </si>
  <si>
    <t>47.85219 56.64635</t>
  </si>
  <si>
    <t>Центр Строительного Крепежа, офис</t>
  </si>
  <si>
    <t>Складская ул., 22Ак1, Йошкар-Ола</t>
  </si>
  <si>
    <t>+7 (8362) 42-49-59, +7 (8362) 42-47-46, +7 (8362) 41-31-11</t>
  </si>
  <si>
    <t>+7 (963) 127-55-68</t>
  </si>
  <si>
    <t>http://www.csk-technogroup.ru/</t>
  </si>
  <si>
    <t>Крепежные изделия, Строительный магазин, Стройматериалы оптом</t>
  </si>
  <si>
    <t>47.897273 56.617947</t>
  </si>
  <si>
    <t>Ekaterina Bekker by design</t>
  </si>
  <si>
    <t>+7 (987) 724-23-97</t>
  </si>
  <si>
    <t>Blazhenstvo Pod Oblakami Apartments</t>
  </si>
  <si>
    <t>47.92629 56.641711</t>
  </si>
  <si>
    <t>Мега Прокат</t>
  </si>
  <si>
    <t>47.889636 56.642997</t>
  </si>
  <si>
    <t>СпецСтройИнжиниринг</t>
  </si>
  <si>
    <t>+7 (905) 256-01-65</t>
  </si>
  <si>
    <t>47.86602 56.649584</t>
  </si>
  <si>
    <t>бул. Чавайна, 16/2, Йошкар-Ола</t>
  </si>
  <si>
    <t>47.931756 56.637698</t>
  </si>
  <si>
    <t>Деловые Линии</t>
  </si>
  <si>
    <t>8 (800) 100-80-00, +7 (8362) 22-42-02</t>
  </si>
  <si>
    <t xml:space="preserve">pismo@dellin.ru, client.service@dellin.ru, po@dellin.ru, pr@dellin.ru  </t>
  </si>
  <si>
    <t>https://yoshkar-ola.dellin.ru/, https://www.dellin.ru/, https://www.dellin.ru/contacts/76</t>
  </si>
  <si>
    <t>Автомобильные грузоперевозки, Грузовые авиаперевозки, Контейнерные перевозки, Логистическая компания, Складские услуги, Экспедирование грузов</t>
  </si>
  <si>
    <t>https://vk.com/dellin_ru</t>
  </si>
  <si>
    <t>https://twitter.com/dellin_ru</t>
  </si>
  <si>
    <t>https://www.facebook.com/dellin.ru</t>
  </si>
  <si>
    <t>https://www.youtube.com/channel/UCLXWYW2Pb6Y1wpTL05nC8fg</t>
  </si>
  <si>
    <t>https://www.instagram.com/dellin_ru</t>
  </si>
  <si>
    <t>47.845957 56.626096</t>
  </si>
  <si>
    <t>Mobile service</t>
  </si>
  <si>
    <t>47.945195 56.622307</t>
  </si>
  <si>
    <t>ул. Карла Либкнехта, 67Б, Йошкар-Ола</t>
  </si>
  <si>
    <t>47.940598 56.631966</t>
  </si>
  <si>
    <t xml:space="preserve">sdobnovo@mail.ru  </t>
  </si>
  <si>
    <t>https://vk.com/club170485714</t>
  </si>
  <si>
    <t>Согласие</t>
  </si>
  <si>
    <t>8 (800) 755-00-01, +7 (8362) 34-71-32, +7 (8362) 34-71-31, +7 (8362) 34-37-31</t>
  </si>
  <si>
    <t xml:space="preserve">info@soglasie.ru, doverie@soglasie.ru, u003edoverie@soglasie.ru  </t>
  </si>
  <si>
    <t>https://www.soglasie.ru/</t>
  </si>
  <si>
    <t>https://vk.com/soglasie_sk</t>
  </si>
  <si>
    <t>http://twitter.com/soglasie_sk</t>
  </si>
  <si>
    <t>https://www.facebook.com/soglasie.sk</t>
  </si>
  <si>
    <t>47.919044 56.62663</t>
  </si>
  <si>
    <t>Театр танца секрет, танца</t>
  </si>
  <si>
    <t>https://vk.com/secret_yola</t>
  </si>
  <si>
    <t>Квартира в новом доме</t>
  </si>
  <si>
    <t>Фестивальная ул., 60, Йошкар-Ола</t>
  </si>
  <si>
    <t>47.83503 56.6473</t>
  </si>
  <si>
    <t>СТО Авто-100</t>
  </si>
  <si>
    <t xml:space="preserve">stoavto-100@mail.ru  </t>
  </si>
  <si>
    <t>http://vk.com/stoavto100</t>
  </si>
  <si>
    <t>47.837041 56.626047</t>
  </si>
  <si>
    <t>ул. Мира, 20, Йошкар-Ола</t>
  </si>
  <si>
    <t>+7 (964) 863-41-99</t>
  </si>
  <si>
    <t>47.947677 56.632798</t>
  </si>
  <si>
    <t>Корпус-М</t>
  </si>
  <si>
    <t>+7 (967) 757-82-09</t>
  </si>
  <si>
    <t>https://korpusm12.ru/</t>
  </si>
  <si>
    <t>47.887203 56.633133</t>
  </si>
  <si>
    <t>Воскресная школа</t>
  </si>
  <si>
    <t>47.882482 56.630146</t>
  </si>
  <si>
    <t>Магазин товаров для рыбалки</t>
  </si>
  <si>
    <t>+7 (902) 100-06-02</t>
  </si>
  <si>
    <t>пн-пт 11:00–19:00; сб,вс 11:00–15:00</t>
  </si>
  <si>
    <t>ГК Спутник</t>
  </si>
  <si>
    <t>+7 (8362) 73-07-88</t>
  </si>
  <si>
    <t>47.847346 56.621214</t>
  </si>
  <si>
    <t>47.854539 56.645703</t>
  </si>
  <si>
    <t>Молоко сыр масло</t>
  </si>
  <si>
    <t>Детский клуб Дружба</t>
  </si>
  <si>
    <t>+7 (8362) 41-44-73</t>
  </si>
  <si>
    <t>пн 09:50–11:50; вт 10:50–19:00; ср 09:50–17:20; чт 10:50–19:00</t>
  </si>
  <si>
    <t>47.88301 56.638823</t>
  </si>
  <si>
    <t>Технополимер</t>
  </si>
  <si>
    <t>47.871841 56.611479</t>
  </si>
  <si>
    <t>Серебряная подкова</t>
  </si>
  <si>
    <t>Конный спорт</t>
  </si>
  <si>
    <t>Конный клуб</t>
  </si>
  <si>
    <t>47.902029 56.645729</t>
  </si>
  <si>
    <t>ЛесСервис12</t>
  </si>
  <si>
    <t>Сосновый пер., 39, Йошкар-Ола</t>
  </si>
  <si>
    <t>47.958062 56.643109</t>
  </si>
  <si>
    <t>Слетай.ру</t>
  </si>
  <si>
    <t>ул. Куйбышева, 59, Йошкар-Ола</t>
  </si>
  <si>
    <t>+7 (917) 712-34-77</t>
  </si>
  <si>
    <t>47.846958 56.644604</t>
  </si>
  <si>
    <t>Жилой дом по ул. Якова Эшпая, 114а</t>
  </si>
  <si>
    <t>ул. Якова Эшпая, 114А, Йошкар-Ола</t>
  </si>
  <si>
    <t>+7 (927) 882-32-20</t>
  </si>
  <si>
    <t>https://капитал12.рф/</t>
  </si>
  <si>
    <t>47.884968 56.644474</t>
  </si>
  <si>
    <t>ул. Осипенко, 46А, Йошкар-Ола</t>
  </si>
  <si>
    <t>47.880392 56.64701</t>
  </si>
  <si>
    <t>М Дорф</t>
  </si>
  <si>
    <t>+7 (8362) 28-22-28</t>
  </si>
  <si>
    <t>+7 (987) 710-55-09</t>
  </si>
  <si>
    <t xml:space="preserve">mdorf12@mail.ru, info@mdorf.ru  </t>
  </si>
  <si>
    <t>http://mdorf.ru/</t>
  </si>
  <si>
    <t>Мебель для кухни, Мебельная фабрика, Мебельная фурнитура и комплектующие</t>
  </si>
  <si>
    <t>пн-пт 08:00–17:00, перерыв 12:30–13:00</t>
  </si>
  <si>
    <t>47.870503 56.620032</t>
  </si>
  <si>
    <t>Городокъ</t>
  </si>
  <si>
    <t>47.965882 56.614622</t>
  </si>
  <si>
    <t>Секс-шоп SecretShop</t>
  </si>
  <si>
    <t>8 (800) 551-88-09</t>
  </si>
  <si>
    <t xml:space="preserve">shop@secretshop.ru  </t>
  </si>
  <si>
    <t>https://joshkar-ola.secretshop.ru/</t>
  </si>
  <si>
    <t>Стербруст</t>
  </si>
  <si>
    <t>8 (800) 505-81-47</t>
  </si>
  <si>
    <t xml:space="preserve">post@sterbrust.ru  </t>
  </si>
  <si>
    <t>https://yoshkar-ola.sterbrust.com/</t>
  </si>
  <si>
    <t>Деревообрабатывающее оборудование, Металлообрабатывающее оборудование, Сварочное оборудование и материалы, Складское оборудование, Строительное оборудование и техника</t>
  </si>
  <si>
    <t>47.868192 56.648716</t>
  </si>
  <si>
    <t>47.878018 56.643998</t>
  </si>
  <si>
    <t>Кардиоревматологическое отделение</t>
  </si>
  <si>
    <t>47.963538 56.639253</t>
  </si>
  <si>
    <t>i-Servise</t>
  </si>
  <si>
    <t>+7 (939) 724-37-64</t>
  </si>
  <si>
    <t>Копировальный центр, Ремонт телефонов, Товары для мобильных телефонов</t>
  </si>
  <si>
    <t>47.895404 56.640179</t>
  </si>
  <si>
    <t>https://qiwi.com/, http://qiwi.ru/</t>
  </si>
  <si>
    <t>47.952291 56.621466</t>
  </si>
  <si>
    <t>Студенческое конструкторское бюро</t>
  </si>
  <si>
    <t>47.891993 56.626349</t>
  </si>
  <si>
    <t>Шоу-балет Гламур</t>
  </si>
  <si>
    <t xml:space="preserve">sadkovize@gmail.com, natpremium@yandex.ru  </t>
  </si>
  <si>
    <t>Праздничное агентство, Творческий коллектив</t>
  </si>
  <si>
    <t>https://vk.com/showglam</t>
  </si>
  <si>
    <t>47.885637 56.63549</t>
  </si>
  <si>
    <t>Stock</t>
  </si>
  <si>
    <t>ул. Строителей, 34В, корп. 2, Йошкар-Ола</t>
  </si>
  <si>
    <t>AnNam</t>
  </si>
  <si>
    <t>47.856258 56.643815</t>
  </si>
  <si>
    <t>ул. Яна Крастыня, 6Б, Йошкар-Ола</t>
  </si>
  <si>
    <t>47.828855 56.631805</t>
  </si>
  <si>
    <t>Кожаные аксессуары</t>
  </si>
  <si>
    <t>Ремонт кожи, Ремонт обуви</t>
  </si>
  <si>
    <t>47.866827 56.638157</t>
  </si>
  <si>
    <t>Gulf motors</t>
  </si>
  <si>
    <t>47.837301 56.625977</t>
  </si>
  <si>
    <t>Parfe</t>
  </si>
  <si>
    <t>+7 (987) 716-48-27</t>
  </si>
  <si>
    <t>Косметология, Ногтевая студия, Парикмахерская, Салон красоты, СПА-салон</t>
  </si>
  <si>
    <t>https://vk.com/club79812961</t>
  </si>
  <si>
    <t>Региональный кадровый ресурс</t>
  </si>
  <si>
    <t>8 (800) 222-04-77</t>
  </si>
  <si>
    <t>Аутсорсинг, Кадровое агентство</t>
  </si>
  <si>
    <t>Стрижка</t>
  </si>
  <si>
    <t>Студия 17-й этаж</t>
  </si>
  <si>
    <t>+7 (960) 091-11-32</t>
  </si>
  <si>
    <t>https://vk.com/studio17etag</t>
  </si>
  <si>
    <t>47.917839 56.643304</t>
  </si>
  <si>
    <t>Медиа</t>
  </si>
  <si>
    <t>+7 (8362) 46-50-06</t>
  </si>
  <si>
    <t>http://ooomedia12.ru/</t>
  </si>
  <si>
    <t>47.845736 56.642037</t>
  </si>
  <si>
    <t>https://vk.com/skzicard</t>
  </si>
  <si>
    <t>https://www.instagram.com/avtooko_/</t>
  </si>
  <si>
    <t>КАМАЗ</t>
  </si>
  <si>
    <t>Вишнёвая ул., 15, Йошкар-Ола</t>
  </si>
  <si>
    <t>47.949995 56.620216</t>
  </si>
  <si>
    <t>47.867152 56.650008</t>
  </si>
  <si>
    <t>47.830318 56.639247</t>
  </si>
  <si>
    <t>Республиканский фонд жилья и ипотеки Республики Марий Эл</t>
  </si>
  <si>
    <t>+7 (8362) 45-71-58, +7 (8362) 45-17-54, +7 (8362) 63-01-54</t>
  </si>
  <si>
    <t xml:space="preserve">maripoteka@mail.ru  </t>
  </si>
  <si>
    <t>http://maripoteka.ru/</t>
  </si>
  <si>
    <t>47.885213 56.64304</t>
  </si>
  <si>
    <t>ГидроТерм</t>
  </si>
  <si>
    <t>+7 (8362) 60-00-12</t>
  </si>
  <si>
    <t>+7 (902) 329-87-78</t>
  </si>
  <si>
    <t xml:space="preserve">gidro_term12@mail.ru  </t>
  </si>
  <si>
    <t>Магазин сантехники, Отопительное оборудование и системы, Системы водоснабжения, отопления, канализации</t>
  </si>
  <si>
    <t>https://vk.com/gidroterm_12</t>
  </si>
  <si>
    <t>47.901765 56.638754</t>
  </si>
  <si>
    <t>А - сервис</t>
  </si>
  <si>
    <t>47.855709 56.644315</t>
  </si>
  <si>
    <t>47.884175 56.632707</t>
  </si>
  <si>
    <t>Хука-Вука</t>
  </si>
  <si>
    <t>+7 (902) 743-04-77</t>
  </si>
  <si>
    <t>https://instagram.com/hukavuka12</t>
  </si>
  <si>
    <t>47.843087 56.641716</t>
  </si>
  <si>
    <t>Россия, Республика Марий Эл, Йошкар-Ола, садоводческое некоммерческое товарищество Тюльпан</t>
  </si>
  <si>
    <t>+7 (8362) 39-53-92</t>
  </si>
  <si>
    <t xml:space="preserve">newaay@yandex.ru, info@yourwebsite.com  </t>
  </si>
  <si>
    <t>http://tulpan12.ru/</t>
  </si>
  <si>
    <t>47.969681 56.607205</t>
  </si>
  <si>
    <t>47.857593 56.624232</t>
  </si>
  <si>
    <t>Ам Студия</t>
  </si>
  <si>
    <t>+7 (961) 336-53-20</t>
  </si>
  <si>
    <t>Швейная мастерская Строчка</t>
  </si>
  <si>
    <t>+7 (937) 933-65-78</t>
  </si>
  <si>
    <t>Чампа</t>
  </si>
  <si>
    <t>47.869357 56.640086</t>
  </si>
  <si>
    <t>47.832475 56.639816</t>
  </si>
  <si>
    <t>Марлен</t>
  </si>
  <si>
    <t>пн,пт,сб,вс 09:00–20:00</t>
  </si>
  <si>
    <t>47.89423 56.636627</t>
  </si>
  <si>
    <t>Садовое некоммерческое товарищество Сидорово</t>
  </si>
  <si>
    <t>+7 (8362) 44-79-43</t>
  </si>
  <si>
    <t>пн 09:30–18:00; ср 11:00–19:00</t>
  </si>
  <si>
    <t>Сияние12</t>
  </si>
  <si>
    <t>+7 (961) 373-22-89</t>
  </si>
  <si>
    <t xml:space="preserve">admin@sianie12.ru, info@samasadik.ru, shop@shop.ru  </t>
  </si>
  <si>
    <t>https://samasadik.ru/</t>
  </si>
  <si>
    <t>Магазин для садоводов, Магазин семян, Средства защиты растений</t>
  </si>
  <si>
    <t>+7 (8362) 96-22-55</t>
  </si>
  <si>
    <t>Детский клуб Космос</t>
  </si>
  <si>
    <t>+7 (8362) 73-35-30</t>
  </si>
  <si>
    <t>вт-сб 12:00–19:00</t>
  </si>
  <si>
    <t>47.842232 56.638664</t>
  </si>
  <si>
    <t>+7 (8362) 45-55-27</t>
  </si>
  <si>
    <t>+7 (902) 739-99-50</t>
  </si>
  <si>
    <t>Жалюзи и рулонные шторы, Натяжные и подвесные потолки, Окна, Остекление балконов и лоджий</t>
  </si>
  <si>
    <t>47.874369 56.635885</t>
  </si>
  <si>
    <t>Fast-Fit</t>
  </si>
  <si>
    <t>+7 (8362) 43-93-03</t>
  </si>
  <si>
    <t>http://fastfit-yo.ru/</t>
  </si>
  <si>
    <t>https://vk.com/fastfit_yo</t>
  </si>
  <si>
    <t>https://www.facebook.com/fastfit.yo/</t>
  </si>
  <si>
    <t>https://www.instagram.com/fastfit.yo/</t>
  </si>
  <si>
    <t>47.917048 56.637709</t>
  </si>
  <si>
    <t>47.905313 56.6135</t>
  </si>
  <si>
    <t>Эль-Графт</t>
  </si>
  <si>
    <t>Дивандек</t>
  </si>
  <si>
    <t>47.894569 56.640512</t>
  </si>
  <si>
    <t>Премьер-Пласт</t>
  </si>
  <si>
    <t>ул. Ломоносова, 61, Йошкар-Ола</t>
  </si>
  <si>
    <t>47.864509 56.622028</t>
  </si>
  <si>
    <t>47.871087 56.6265</t>
  </si>
  <si>
    <t>ул. Карла Маркса, 114, Йошкар-Ола</t>
  </si>
  <si>
    <t>47.894506 56.628218</t>
  </si>
  <si>
    <t>ул. Машиностроителей, 5, Йошкар-Ола</t>
  </si>
  <si>
    <t>47.875496 56.64744</t>
  </si>
  <si>
    <t>Запчасти с/х техники</t>
  </si>
  <si>
    <t>47.952303 56.648095</t>
  </si>
  <si>
    <t>Микрон</t>
  </si>
  <si>
    <t>http://micron.cc/</t>
  </si>
  <si>
    <t>47.89433 56.640579</t>
  </si>
  <si>
    <t>+7 (8362) 34-77-15, +7 (8362) 34-77-20, +7 (8362) 33-53-40, +7 (8362) 34-77-14, +7 (8362) 34-77-12</t>
  </si>
  <si>
    <t>47.883321 56.620791</t>
  </si>
  <si>
    <t>пн-пт 09:30–19:00; сб 09:30–17:00; вс 09:30–15:00</t>
  </si>
  <si>
    <t>47.889317 56.625107</t>
  </si>
  <si>
    <t>Специализированный Дом Ребенка для Детей С Органическим Поражением Центральной Нервной Системы С Нарушением Психики</t>
  </si>
  <si>
    <t>ул. Йывана Кырли, 16А, Йошкар-Ола</t>
  </si>
  <si>
    <t>+7 (8362) 73-39-48, +7 (8362) 73-82-62</t>
  </si>
  <si>
    <t>47.840373 56.638699</t>
  </si>
  <si>
    <t>47.873788 56.649645</t>
  </si>
  <si>
    <t>Городская служба Деда Мороза</t>
  </si>
  <si>
    <t>+7 (8362) 77-72-15</t>
  </si>
  <si>
    <t>47.882253 56.637649</t>
  </si>
  <si>
    <t>Планета одежда обувь</t>
  </si>
  <si>
    <t>47.865398 56.645783</t>
  </si>
  <si>
    <t>47.832447 56.632204</t>
  </si>
  <si>
    <t>бул. Победы, 2А, Йошкар-Ола</t>
  </si>
  <si>
    <t>47.884379 56.637923</t>
  </si>
  <si>
    <t>Shoecareshop.ru</t>
  </si>
  <si>
    <t>8 (800) 555-29-64</t>
  </si>
  <si>
    <t xml:space="preserve">info@shoecareshop.ru  </t>
  </si>
  <si>
    <t>https://yola.shoecareshop.ru/</t>
  </si>
  <si>
    <t>Интернет-магазин, Обувная косметика, Пункт выдачи</t>
  </si>
  <si>
    <t>47.892557 56.634421</t>
  </si>
  <si>
    <t>ТехнороссТ</t>
  </si>
  <si>
    <t>8 (800) 200-63-93</t>
  </si>
  <si>
    <t xml:space="preserve">zakaz@technorosst.com, info@technorosst.com, ekaterina@technorosst.com, marketing@technorosst.com  </t>
  </si>
  <si>
    <t>https://joshkar-ola.technorosst.com/</t>
  </si>
  <si>
    <t>Автосервисное и гаражное оборудование, Компрессоры и компрессорное оборудование, Пункт выдачи</t>
  </si>
  <si>
    <t>https://vk.com/technorosst</t>
  </si>
  <si>
    <t>Спецтекстиль групп</t>
  </si>
  <si>
    <t>ул. Строителей, 81, Йошкар-Ола</t>
  </si>
  <si>
    <t>+7 (8362) 49-62-72</t>
  </si>
  <si>
    <t>http://www.спец12.рф/</t>
  </si>
  <si>
    <t>Магазин обуви, Спецодежда, Хозтовары оптом</t>
  </si>
  <si>
    <t>47.849843 56.626756</t>
  </si>
  <si>
    <t>Вротхотдог</t>
  </si>
  <si>
    <t>+7 (902) 105-54-35</t>
  </si>
  <si>
    <t>https://vk.com/vrothotdog</t>
  </si>
  <si>
    <t>https://www.instagram.com/vrotkhotdog</t>
  </si>
  <si>
    <t>47.920687 56.630394</t>
  </si>
  <si>
    <t>Путь in</t>
  </si>
  <si>
    <t>+7 (999) 609-80-02, +7 (999) 145-80-02, +7 (937) 111-80-02, +7 (999) 145-87-23</t>
  </si>
  <si>
    <t>Магазин бытовой химии Ника</t>
  </si>
  <si>
    <t>+7 (8362) 36-17-00</t>
  </si>
  <si>
    <t xml:space="preserve">nika_shop@list.ru, info@himprod.com, info@nikaural.ru, tumen@nikaural.ru, msk@nikaural.ru  </t>
  </si>
  <si>
    <t>http://shopgeniks.ru/</t>
  </si>
  <si>
    <t>47.858268 56.624465</t>
  </si>
  <si>
    <t>Конструктор</t>
  </si>
  <si>
    <t>+7 (8362) 31-00-12</t>
  </si>
  <si>
    <t>http://конструктор12.рф/</t>
  </si>
  <si>
    <t>https://www.youtube.com/channel/UCRE_pcWx2eO2DCluwdx-ZSA</t>
  </si>
  <si>
    <t>https://www.instagram.com/cnst18/</t>
  </si>
  <si>
    <t>47.831998 56.630849</t>
  </si>
  <si>
    <t>Агентство пляжного отдыха Велл</t>
  </si>
  <si>
    <t>+7 (8362) 38-17-37</t>
  </si>
  <si>
    <t xml:space="preserve">vasilev@well.ru, vk@well.ru  </t>
  </si>
  <si>
    <t>https://well.ru/, http://iola.well.ru/</t>
  </si>
  <si>
    <t>пн-пт 09:00–19:00; сб 10:00–17:00; вс 13:00–17:00</t>
  </si>
  <si>
    <t>Ремонт обуви и сумок</t>
  </si>
  <si>
    <t>+7 (8362) 78-84-06</t>
  </si>
  <si>
    <t>+7 (902) 738-84-06</t>
  </si>
  <si>
    <t>47.885869 56.619864</t>
  </si>
  <si>
    <t>Мультяшки</t>
  </si>
  <si>
    <t>+7 (902) 108-10-08, +7 (964) 864-42-17</t>
  </si>
  <si>
    <t>PrimeTime</t>
  </si>
  <si>
    <t>47.897038 56.635306</t>
  </si>
  <si>
    <t>Поликлиника № 3 г. Йошкар-Олы, дневной стационар</t>
  </si>
  <si>
    <t>+7 (8362) 64-62-63, +7 (8362) 64-71-52</t>
  </si>
  <si>
    <t>пн-пт 07:30–15:00</t>
  </si>
  <si>
    <t>47.94544 56.624088</t>
  </si>
  <si>
    <t>Автоснабжение</t>
  </si>
  <si>
    <t>+7 (8362) 23-19-05, +7 (8362) 23-19-01</t>
  </si>
  <si>
    <t>+7 (905) 352-00-11</t>
  </si>
  <si>
    <t>Пивоваренное оборудование</t>
  </si>
  <si>
    <t>Софит</t>
  </si>
  <si>
    <t>+7 (902) 670-55-22</t>
  </si>
  <si>
    <t>https://www.instagram.com/salon_sofit12</t>
  </si>
  <si>
    <t>47.922716 56.616217</t>
  </si>
  <si>
    <t>47.900768 56.646849</t>
  </si>
  <si>
    <t>47.976489 56.635638</t>
  </si>
  <si>
    <t>ул. Прохорова, 49/1, Йошкар-Ола</t>
  </si>
  <si>
    <t>Комсомольский-2</t>
  </si>
  <si>
    <t>Россия, Республика Марий Эл, Йошкар-Ола, улица Маяковского</t>
  </si>
  <si>
    <t>47.899346 56.648743</t>
  </si>
  <si>
    <t>Эмаль ванн</t>
  </si>
  <si>
    <t>+7 (917) 717-52-61</t>
  </si>
  <si>
    <t>Сантехнические работы, Строительные и отделочные работы</t>
  </si>
  <si>
    <t>https://vk.com/bleskvann</t>
  </si>
  <si>
    <t>47.884853 56.635778</t>
  </si>
  <si>
    <t>47.900154 56.639366</t>
  </si>
  <si>
    <t>+7 (967) 756-16-19, +7 (967) 757-83-96, +7 (967) 756-23-09</t>
  </si>
  <si>
    <t>Ремонт обуви, компьютеров, телефонов</t>
  </si>
  <si>
    <t>Storm</t>
  </si>
  <si>
    <t>Sk Kristina beauty</t>
  </si>
  <si>
    <t>+7 (967) 755-03-55, +7 (927) 879-17-70</t>
  </si>
  <si>
    <t>https://vk.com/kristinanaillash</t>
  </si>
  <si>
    <t>Pole Position</t>
  </si>
  <si>
    <t>+7 (8362) 94-43-94, +7 (8362) 31-94-20</t>
  </si>
  <si>
    <t>http://poleposition.ru/</t>
  </si>
  <si>
    <t>https://www.facebook.com/Bridgestone.Russia</t>
  </si>
  <si>
    <t>https://www.instagram.com/bridgestone_russia</t>
  </si>
  <si>
    <t>47.832107 56.64275</t>
  </si>
  <si>
    <t>Baldezh. club</t>
  </si>
  <si>
    <t>+7 (961) 374-84-85</t>
  </si>
  <si>
    <t>http://baldezh.club/</t>
  </si>
  <si>
    <t>https://www.instagram.com/baldezh.club.yo/</t>
  </si>
  <si>
    <t>47.923118 56.629028</t>
  </si>
  <si>
    <t>47.864427 56.646029</t>
  </si>
  <si>
    <t>Кафе Ам-Ням</t>
  </si>
  <si>
    <t>+7 (917) 712-20-39, +7 (987) 728-87-18</t>
  </si>
  <si>
    <t>Декор</t>
  </si>
  <si>
    <t>Детская Молочная Кухня</t>
  </si>
  <si>
    <t>+7 (960) 090-10-08</t>
  </si>
  <si>
    <t>Магазин детского питания, Молочный магазин</t>
  </si>
  <si>
    <t>https://vk.com/molochka12</t>
  </si>
  <si>
    <t>Трансформаторная подстанция № 267</t>
  </si>
  <si>
    <t>47.908313 56.629394</t>
  </si>
  <si>
    <t>Pushkin street</t>
  </si>
  <si>
    <t>47.89608 56.63208</t>
  </si>
  <si>
    <t>ГК Комсомолец-1</t>
  </si>
  <si>
    <t>47.900277 56.647757</t>
  </si>
  <si>
    <t>+7 (927) 247-21-13</t>
  </si>
  <si>
    <t>47.900726 56.646879</t>
  </si>
  <si>
    <t>+7 (8362) 64-47-56</t>
  </si>
  <si>
    <t>47.862119 56.646276</t>
  </si>
  <si>
    <t>+7 (927) 878-28-58, +7 (927) 873-79-31</t>
  </si>
  <si>
    <t>47.891119 56.620578</t>
  </si>
  <si>
    <t>Студия</t>
  </si>
  <si>
    <t>47.88709 56.63958</t>
  </si>
  <si>
    <t>Слава</t>
  </si>
  <si>
    <t>47.882351 56.635649</t>
  </si>
  <si>
    <t>Мир окон Марий-Эл</t>
  </si>
  <si>
    <t>Школьная ул., 24, Йошкар-Ола</t>
  </si>
  <si>
    <t>+7 (8362) 41-89-08</t>
  </si>
  <si>
    <t>47.847362 56.656742</t>
  </si>
  <si>
    <t>ГК Тектон</t>
  </si>
  <si>
    <t>+7 (927) 882-73-68</t>
  </si>
  <si>
    <t>47.834238 56.63153</t>
  </si>
  <si>
    <t>47.82671 56.634682</t>
  </si>
  <si>
    <t>Либерти</t>
  </si>
  <si>
    <t>+7 (987) 720-03-10</t>
  </si>
  <si>
    <t>КПК Агро займ</t>
  </si>
  <si>
    <t>47.840262 56.632281</t>
  </si>
  <si>
    <t>47.867764 56.625298</t>
  </si>
  <si>
    <t>+7 (917) 711-27-15</t>
  </si>
  <si>
    <t>47.826806 56.634695</t>
  </si>
  <si>
    <t>Марийский территориальный институт профессиональных бухгалтеров</t>
  </si>
  <si>
    <t>Модный бульвар</t>
  </si>
  <si>
    <t>+7 (8362) 51-95-49, +7 (8362) 38-81-48, +7 (8362) 79-96-51</t>
  </si>
  <si>
    <t>+7 (964) 861-95-49</t>
  </si>
  <si>
    <t>https://vk.com/public171035785</t>
  </si>
  <si>
    <t>https://www.instagram.com/modniy_bulvar2018/</t>
  </si>
  <si>
    <t>Студия моментального загара</t>
  </si>
  <si>
    <t>+7 (927) 884-03-79</t>
  </si>
  <si>
    <t>https://vk.com/club195829835</t>
  </si>
  <si>
    <t>Ритус</t>
  </si>
  <si>
    <t>+7 (8362) 44-00-05</t>
  </si>
  <si>
    <t>47.888122 56.649093</t>
  </si>
  <si>
    <t>VbmService</t>
  </si>
  <si>
    <t>47.885407 56.610093</t>
  </si>
  <si>
    <t>47.84374 56.638352</t>
  </si>
  <si>
    <t>Мариэлла</t>
  </si>
  <si>
    <t>+7 (937) 938-15-40</t>
  </si>
  <si>
    <t>Союз Торгово-Промышленная Палата Республики Марий Эл</t>
  </si>
  <si>
    <t>+7 (8362) 63-04-26, +7 (8362) 63-01-64, +7 (8362) 45-57-33, +7 (8362) 42-04-56</t>
  </si>
  <si>
    <t xml:space="preserve">tpp-ivanovo@yandex.ru  </t>
  </si>
  <si>
    <t>http://mariel.tpprf.ru/</t>
  </si>
  <si>
    <t>Торгово-промышленная палата</t>
  </si>
  <si>
    <t>ГрадСпецСтрой</t>
  </si>
  <si>
    <t>+7 (902) 326-51-59</t>
  </si>
  <si>
    <t>Редукторы</t>
  </si>
  <si>
    <t>47.949864 56.649112</t>
  </si>
  <si>
    <t>Grand Plus</t>
  </si>
  <si>
    <t>Автосервис, автотехцентр, Ремонт двигателей, Сварочные работы</t>
  </si>
  <si>
    <t>Веб студия Ligraf</t>
  </si>
  <si>
    <t>+7 (903) 050-44-03</t>
  </si>
  <si>
    <t xml:space="preserve">info@ligraf.ru  </t>
  </si>
  <si>
    <t>https://www.ligraf.ru/</t>
  </si>
  <si>
    <t>Мегатрансавто</t>
  </si>
  <si>
    <t>+7 (917) 070-20-10</t>
  </si>
  <si>
    <t>Студия Танца и Йоги Vorona</t>
  </si>
  <si>
    <t>+7 (964) 862-31-52</t>
  </si>
  <si>
    <t>https://vk.com/voronalaba</t>
  </si>
  <si>
    <t>https://www.instagram.com/voronalaba</t>
  </si>
  <si>
    <t>47.834516 56.646316</t>
  </si>
  <si>
    <t>Ремонт одежды, обуви и сумок</t>
  </si>
  <si>
    <t>Ателье по пошиву одежды, Ремонт обуви, Ремонт одежды, Ремонт сумок и чемоданов</t>
  </si>
  <si>
    <t>47.924702 56.627737</t>
  </si>
  <si>
    <t>47.849573 56.653605</t>
  </si>
  <si>
    <t>Красота</t>
  </si>
  <si>
    <t>+7 (8362) 43-99-50</t>
  </si>
  <si>
    <t>+7 (909) 139-10-52</t>
  </si>
  <si>
    <t>пн-пт 09:00–19:00; сб 09:00–17:00; вс 10:00–16:00</t>
  </si>
  <si>
    <t>47.937229 56.637388</t>
  </si>
  <si>
    <t>Детский сад № 42 Кораблик</t>
  </si>
  <si>
    <t>Красноармейская ул., 120А, Йошкар-Ола</t>
  </si>
  <si>
    <t>+7 (8362) 46-52-80, +7 (8362) 46-56-70, +7 (36224) 6-52-80, +7 (36224) 6-56-70</t>
  </si>
  <si>
    <t>47.852462 56.64423</t>
  </si>
  <si>
    <t>Мясная лавка</t>
  </si>
  <si>
    <t>47.914081 56.626949</t>
  </si>
  <si>
    <t>Дэбт Индекс</t>
  </si>
  <si>
    <t>+7 (987) 721-55-03</t>
  </si>
  <si>
    <t xml:space="preserve">office@debtindex.org, admin@debtindex.org, ceo@debtfintech.com  </t>
  </si>
  <si>
    <t>http://my.debtindex.org/</t>
  </si>
  <si>
    <t>пн-чт 08:30–17:00, перерыв 12:00–13:00; пт 08:30–16:00, перерыв 12:00–13:00</t>
  </si>
  <si>
    <t>https://vk.com/debtindexorg</t>
  </si>
  <si>
    <t>Диагностик 12</t>
  </si>
  <si>
    <t>+7 (8362) 44-03-66</t>
  </si>
  <si>
    <t>http://diagnostik12.ru/</t>
  </si>
  <si>
    <t>http://ufanet.ru/</t>
  </si>
  <si>
    <t>https://vk.com/ufanet_yola</t>
  </si>
  <si>
    <t>47.926798 56.634044</t>
  </si>
  <si>
    <t>Авиор</t>
  </si>
  <si>
    <t>ул. Алёнкино, 58, Йошкар-Ола</t>
  </si>
  <si>
    <t>+7 (8362) 94-44-15</t>
  </si>
  <si>
    <t>+7 (937) 113-94-90</t>
  </si>
  <si>
    <t>47.826121 56.623232</t>
  </si>
  <si>
    <t>+7 (8362) 33-55-66</t>
  </si>
  <si>
    <t>+7 (927) 883-55-66</t>
  </si>
  <si>
    <t xml:space="preserve">taxiyo@yandex.ru, taxi.yoshkar-ola@yandex.ru  </t>
  </si>
  <si>
    <t>http://yotaxi.ru/</t>
  </si>
  <si>
    <t>https://vk.com/yandex.taxi.yoshkarola</t>
  </si>
  <si>
    <t>https://www.facebook.com/yandex.taxi.yo</t>
  </si>
  <si>
    <t>47.86903 56.632179</t>
  </si>
  <si>
    <t>+7 (8362) 52-52-00, +7 (8362) 50-05-53, +7 (8362) 39-12-30</t>
  </si>
  <si>
    <t>+7 (964) 862-52-00</t>
  </si>
  <si>
    <t>47.88894 56.640637</t>
  </si>
  <si>
    <t>+7 (902) 432-87-77</t>
  </si>
  <si>
    <t>Материя</t>
  </si>
  <si>
    <t>+7 (917) 070-33-99</t>
  </si>
  <si>
    <t xml:space="preserve">info@materiabrand.ru, internet@materiabrand.ru  </t>
  </si>
  <si>
    <t>https://materiabrand.ru/</t>
  </si>
  <si>
    <t>Одежда оптом, Производственное предприятие, Швейная фабрика</t>
  </si>
  <si>
    <t>https://vk.com/materiabrand</t>
  </si>
  <si>
    <t>https://www.instagram.com/materiabrand</t>
  </si>
  <si>
    <t>47.896994 56.618862</t>
  </si>
  <si>
    <t>Магия красоты</t>
  </si>
  <si>
    <t>47.854309 56.645827</t>
  </si>
  <si>
    <t>47.887104 56.649701</t>
  </si>
  <si>
    <t>Экомат</t>
  </si>
  <si>
    <t>+7 (8362) 34-53-00, +7 (8362) 34-53-25</t>
  </si>
  <si>
    <t>Тонировка РФ</t>
  </si>
  <si>
    <t>8 (800) 550-10-24</t>
  </si>
  <si>
    <t xml:space="preserve">info@tonirovka-rf.ru  </t>
  </si>
  <si>
    <t>https://tonirovka-rf.ru/</t>
  </si>
  <si>
    <t>пн-пт 09:00–17:55; сб 10:00–14:55</t>
  </si>
  <si>
    <t>https://vk.com/atermalka</t>
  </si>
  <si>
    <t>ФерМама</t>
  </si>
  <si>
    <t>+7 (8362) 54-08-40</t>
  </si>
  <si>
    <t>+7 (927) 683-02-88</t>
  </si>
  <si>
    <t xml:space="preserve">fermama@bk.ru  </t>
  </si>
  <si>
    <t>https://vk.com/fermama</t>
  </si>
  <si>
    <t>https://www.instagram.com/fermama12</t>
  </si>
  <si>
    <t>47.924113 56.638824</t>
  </si>
  <si>
    <t>МебельБрат</t>
  </si>
  <si>
    <t>+7 (927) 876-57-12, +7 (937) 114-75-48</t>
  </si>
  <si>
    <t>http://mebelbrat.ru/</t>
  </si>
  <si>
    <t>https://vk.com/club144081024</t>
  </si>
  <si>
    <t>https://www.instagram.com/mebelbrat</t>
  </si>
  <si>
    <t>47.958791 56.639449</t>
  </si>
  <si>
    <t>Адвокат Мухаматшин М. М.</t>
  </si>
  <si>
    <t>пн-пт 08:30–21:00; сб 10:00–18:00</t>
  </si>
  <si>
    <t>Фиестапарк</t>
  </si>
  <si>
    <t>+7 (8362) 55-24-55, +7 (8362) 50-64-65</t>
  </si>
  <si>
    <t>47.935296 56.632604</t>
  </si>
  <si>
    <t>Bolton</t>
  </si>
  <si>
    <t>+7 (937) 113-18-80</t>
  </si>
  <si>
    <t>https://bolton12.ru/</t>
  </si>
  <si>
    <t>https://vk.com/bolton_yola</t>
  </si>
  <si>
    <t>https://instagram.com/bolton_yola</t>
  </si>
  <si>
    <t>47.895665 56.635586</t>
  </si>
  <si>
    <t>KronosTime</t>
  </si>
  <si>
    <t>8 (800) 511-94-55</t>
  </si>
  <si>
    <t xml:space="preserve">yoshkar-ola@kronostime.ru  </t>
  </si>
  <si>
    <t>https://yoshkar-ola.kronostime.ru/points/</t>
  </si>
  <si>
    <t>47.906713 56.628902</t>
  </si>
  <si>
    <t>Сказочный мир</t>
  </si>
  <si>
    <t>+7 (902) 326-11-63, +7 (917) 700-56-57</t>
  </si>
  <si>
    <t xml:space="preserve">14370afcdc17429f9e418d5ffbd0334a@sentry.wixpress.com, wixofday@wix.com, lilia_24_@list.ru  </t>
  </si>
  <si>
    <t>http://studiamir.wix.com/skazka</t>
  </si>
  <si>
    <t>Детский лагерь отдыха, Клуб для детей и подростков, Центр развития ребенка</t>
  </si>
  <si>
    <t>http://vk.com/skaz_mir</t>
  </si>
  <si>
    <t>47.898234 56.634365</t>
  </si>
  <si>
    <t>Площадь Ленина</t>
  </si>
  <si>
    <t>Россия, Республика Марий Эл, Йошкар-Ола, площадь имени В.И. Ленина</t>
  </si>
  <si>
    <t>47.890812 56.630766</t>
  </si>
  <si>
    <t xml:space="preserve">british-club@yandex.ru  </t>
  </si>
  <si>
    <t>Клуб для детей и подростков, Курсы и мастер-классы, Курсы иностранных языков</t>
  </si>
  <si>
    <t>https://vk.com/british_club_yoshkar_ola</t>
  </si>
  <si>
    <t>47.927572 56.631531</t>
  </si>
  <si>
    <t>Аваш</t>
  </si>
  <si>
    <t>Детский сад № 53 Изи Патыр</t>
  </si>
  <si>
    <t>47.82925 56.631122</t>
  </si>
  <si>
    <t>47.917611 56.641666</t>
  </si>
  <si>
    <t>Гостиница Гармония</t>
  </si>
  <si>
    <t>+7 (964) 860-73-73</t>
  </si>
  <si>
    <t>47.864143 56.639728</t>
  </si>
  <si>
    <t>Лотос Возрождения</t>
  </si>
  <si>
    <t>+7 (8362) 23-06-07</t>
  </si>
  <si>
    <t xml:space="preserve">lotos.vozrozhdenia@yandex.ru  </t>
  </si>
  <si>
    <t>http://thaispayola.ru/</t>
  </si>
  <si>
    <t>Массажный салон, Салон красоты, СПА-салон</t>
  </si>
  <si>
    <t>вт-вс 10:00–20:00</t>
  </si>
  <si>
    <t>https://vk.com/thaispayola</t>
  </si>
  <si>
    <t>47.894717 56.631911</t>
  </si>
  <si>
    <t>Центр Металлокровли</t>
  </si>
  <si>
    <t>ул. Прохорова, 45, корп. 2, Йошкар-Ола</t>
  </si>
  <si>
    <t>8 (800) 350-90-03, +7 (8362) 31-62-22</t>
  </si>
  <si>
    <t xml:space="preserve">zakaz@shtaketniki.ru, 2888787@centermk.ru, 900553@centermk.ru, 914066@centermk.ru, 776303@centermk.ru  </t>
  </si>
  <si>
    <t>https://shtaketniki.ru/, https://yoshkar-ola.shtaketniki.ru/contact.html</t>
  </si>
  <si>
    <t>https://vk.com/shtaketniki</t>
  </si>
  <si>
    <t>https://www.facebook.com/shtaketniki.ru</t>
  </si>
  <si>
    <t>https://www.instagram.com/shtaketniki.ru</t>
  </si>
  <si>
    <t>House elymovyh</t>
  </si>
  <si>
    <t>+7 (999) 609-94-98</t>
  </si>
  <si>
    <t>Флора Натали</t>
  </si>
  <si>
    <t>+7 (927) 681-55-68</t>
  </si>
  <si>
    <t>Россия, Республика Марий Эл, Йошкар-Ола, Сернурская улица</t>
  </si>
  <si>
    <t>47.94464 56.645864</t>
  </si>
  <si>
    <t>47.886153 56.628811</t>
  </si>
  <si>
    <t>Apartment on Voznesenskaya</t>
  </si>
  <si>
    <t>47.89898 56.63378</t>
  </si>
  <si>
    <t>47.868919 56.645754</t>
  </si>
  <si>
    <t>ГК Галеос</t>
  </si>
  <si>
    <t>47.87729 56.613476</t>
  </si>
  <si>
    <t>47.882488 56.632317</t>
  </si>
  <si>
    <t>Цена Красна</t>
  </si>
  <si>
    <t>47.840709 56.635248</t>
  </si>
  <si>
    <t>Ковры u0026 Хозтовары</t>
  </si>
  <si>
    <t>+7 (917) 700-74-28</t>
  </si>
  <si>
    <t xml:space="preserve">558318@bk.ru  </t>
  </si>
  <si>
    <t>https://vk.com/kovrihoztovary</t>
  </si>
  <si>
    <t>H2O</t>
  </si>
  <si>
    <t>Гивус12</t>
  </si>
  <si>
    <t>+7 (919) 185-91-11</t>
  </si>
  <si>
    <t>https://moiori.wixsite.com/avto</t>
  </si>
  <si>
    <t>47.942049 56.629713</t>
  </si>
  <si>
    <t>Факультет культуры и искусств</t>
  </si>
  <si>
    <t>Сухофрукты специи орехи</t>
  </si>
  <si>
    <t>47.842995 56.641634</t>
  </si>
  <si>
    <t>47.88976 56.622542</t>
  </si>
  <si>
    <t>8 (800) 333-22-44, +7 (8362) 30-40-68</t>
  </si>
  <si>
    <t>ул. Осипенко, 31, Йошкар-Ола</t>
  </si>
  <si>
    <t>+7 (8362) 54-20-20</t>
  </si>
  <si>
    <t>http://sauna-kurazh.ru/</t>
  </si>
  <si>
    <t>47.885269 56.651355</t>
  </si>
  <si>
    <t>Хирургическое гинекологическое отделение № 1</t>
  </si>
  <si>
    <t>Cuore Stile</t>
  </si>
  <si>
    <t>47.869815 56.638562</t>
  </si>
  <si>
    <t>47.865417 56.645851</t>
  </si>
  <si>
    <t>47.904126 56.640514</t>
  </si>
  <si>
    <t>Марэнергосервис</t>
  </si>
  <si>
    <t>47.863301 56.639531</t>
  </si>
  <si>
    <t>+7 (927) 881-63-55</t>
  </si>
  <si>
    <t>47.864035 56.650958</t>
  </si>
  <si>
    <t>Чаровница</t>
  </si>
  <si>
    <t>+7 (8362) 43-36-98</t>
  </si>
  <si>
    <t>47.820969 56.633111</t>
  </si>
  <si>
    <t>47.904533 56.64003</t>
  </si>
  <si>
    <t>Барбарики</t>
  </si>
  <si>
    <t>+7 (902) 435-88-07</t>
  </si>
  <si>
    <t>https://vk.com/barba_riki</t>
  </si>
  <si>
    <t>47.879145 56.639708</t>
  </si>
  <si>
    <t>Орион-композит</t>
  </si>
  <si>
    <t>+7 (8552) 47-00-77</t>
  </si>
  <si>
    <t xml:space="preserve">info@orion-composite.com  </t>
  </si>
  <si>
    <t>https://yola.orion-composite.com/</t>
  </si>
  <si>
    <t>Металлоконструкции, Металлообрабатывающее оборудование, Металлообработка</t>
  </si>
  <si>
    <t>ул. Строителей, 105, корп. 1, Йошкар-Ола</t>
  </si>
  <si>
    <t>+7 (987) 721-97-60</t>
  </si>
  <si>
    <t>47.905255 56.629439</t>
  </si>
  <si>
    <t>47.932438 56.637314</t>
  </si>
  <si>
    <t>ул. Карла Либкнехта, 106Б, Йошкар-Ола</t>
  </si>
  <si>
    <t>47.934373 56.625346</t>
  </si>
  <si>
    <t>Все для монтажа окон</t>
  </si>
  <si>
    <t>ул. Чапаева, 69, Йошкар-Ола</t>
  </si>
  <si>
    <t>+7 (8362) 42-54-88</t>
  </si>
  <si>
    <t>Клеящие вещества и материалы, Комплектующие для окон, Окна</t>
  </si>
  <si>
    <t>47.909737 56.644753</t>
  </si>
  <si>
    <t>+7 (8362) 20-01-01, +7 (8362) 29-91-01</t>
  </si>
  <si>
    <t>Адвокаты, Оценочная компания, Юридические услуги</t>
  </si>
  <si>
    <t>Торговый дом РИО</t>
  </si>
  <si>
    <t>+7 (8362) 51-70-31</t>
  </si>
  <si>
    <t>47.892642 56.647376</t>
  </si>
  <si>
    <t>47.924241 56.639212</t>
  </si>
  <si>
    <t>47.907692 56.631228</t>
  </si>
  <si>
    <t>ИП Васенёва Т. С.</t>
  </si>
  <si>
    <t>бул. Чавайна, 19А, Йошкар-Ола</t>
  </si>
  <si>
    <t>+7 (927) 873-73-27</t>
  </si>
  <si>
    <t>47.914439 56.630337</t>
  </si>
  <si>
    <t>+7 (8362) 33-99-02</t>
  </si>
  <si>
    <t>Свадебный организатор Охотникова Елена</t>
  </si>
  <si>
    <t>+7 (917) 709-36-12</t>
  </si>
  <si>
    <t>47.920866 56.640557</t>
  </si>
  <si>
    <t>Рыжик</t>
  </si>
  <si>
    <t>ежедневно, 07:30–22:00</t>
  </si>
  <si>
    <t>47.947113 56.640338</t>
  </si>
  <si>
    <t>+7 (902) 670-90-77</t>
  </si>
  <si>
    <t>Магазин сувенирной продукции Дэмиан</t>
  </si>
  <si>
    <t>+7 (8362) 51-24-16</t>
  </si>
  <si>
    <t>Пиво ВО</t>
  </si>
  <si>
    <t>47.862905 56.641345</t>
  </si>
  <si>
    <t>47.9221 56.630283</t>
  </si>
  <si>
    <t>47.917659 56.631395</t>
  </si>
  <si>
    <t>47.953709 56.632821</t>
  </si>
  <si>
    <t>Алмус</t>
  </si>
  <si>
    <t>+7 (902) 438-20-72</t>
  </si>
  <si>
    <t>Телеграм-театр</t>
  </si>
  <si>
    <t>+7 (999) 609-94-04</t>
  </si>
  <si>
    <t>Roils Club</t>
  </si>
  <si>
    <t>Савария</t>
  </si>
  <si>
    <t>47.906232 56.627548</t>
  </si>
  <si>
    <t>Вокальная студия Сании Рамай</t>
  </si>
  <si>
    <t>47.944284 56.634328</t>
  </si>
  <si>
    <t>47.843977 56.645093</t>
  </si>
  <si>
    <t>Веломаркет 12</t>
  </si>
  <si>
    <t>47.924068 56.625865</t>
  </si>
  <si>
    <t>МарийСпецТех12</t>
  </si>
  <si>
    <t>+7 (987) 700-10-90</t>
  </si>
  <si>
    <t>Городское благоустройство, Спецтехника и спецавтомобили</t>
  </si>
  <si>
    <t>47.917704 56.627419</t>
  </si>
  <si>
    <t>47.885659 56.63551</t>
  </si>
  <si>
    <t>Путевка маркет</t>
  </si>
  <si>
    <t>Первомайский пер., 114, Йошкар-Ола</t>
  </si>
  <si>
    <t>47.888038 56.643332</t>
  </si>
  <si>
    <t>Fasthair-straight</t>
  </si>
  <si>
    <t>ГК Сомбатхей</t>
  </si>
  <si>
    <t>47.919666 56.627024</t>
  </si>
  <si>
    <t>Эвотор</t>
  </si>
  <si>
    <t>Кассовые аппараты и расходные материалы</t>
  </si>
  <si>
    <t>47.829608 56.636723</t>
  </si>
  <si>
    <t>СМиК</t>
  </si>
  <si>
    <t>ул. Алёнкино, 2, Йошкар-Ола</t>
  </si>
  <si>
    <t>47.830065 56.620102</t>
  </si>
  <si>
    <t>Про100займ</t>
  </si>
  <si>
    <t>+7 (8362) 38-54-95</t>
  </si>
  <si>
    <t>47.833048 56.636718</t>
  </si>
  <si>
    <t>Ведущий Йошкар-Ола Руслан Идеальный</t>
  </si>
  <si>
    <t>Электротовары</t>
  </si>
  <si>
    <t>47.848093 56.625492</t>
  </si>
  <si>
    <t>MasterCarService</t>
  </si>
  <si>
    <t>+7 (927) 882-42-74</t>
  </si>
  <si>
    <t>47.947373 56.647155</t>
  </si>
  <si>
    <t>Креатив М</t>
  </si>
  <si>
    <t>+7 (8362) 56-59-14</t>
  </si>
  <si>
    <t>Магазин медицинских товаров, Медицинские изделия и расходные материалы, Медицинское оборудование, медтехника, Стоматологические материалы и оборудование</t>
  </si>
  <si>
    <t>47.879809 56.636744</t>
  </si>
  <si>
    <t>47.870224 56.646014</t>
  </si>
  <si>
    <t>Pupa</t>
  </si>
  <si>
    <t>+7 (917) 704-00-98</t>
  </si>
  <si>
    <t>47.844099 56.641051</t>
  </si>
  <si>
    <t>Агентство недвижимости Welcome</t>
  </si>
  <si>
    <t>+7 (8362) 71-77-79</t>
  </si>
  <si>
    <t>МБДОУ детский сад № 48 Маленькая страна</t>
  </si>
  <si>
    <t>ул. Строителей, 79В, Йошкар-Ола</t>
  </si>
  <si>
    <t>+7 (8362) 34-19-28, +7 (8362) 34-19-29</t>
  </si>
  <si>
    <t>47.850945 56.628044</t>
  </si>
  <si>
    <t>Atmosphera</t>
  </si>
  <si>
    <t>+7 (8362) 70-04-00</t>
  </si>
  <si>
    <t>пн-чт 12:00–01:00; пт-вс 12:00–03:00</t>
  </si>
  <si>
    <t>Профит-маркет</t>
  </si>
  <si>
    <t>47.966503 56.61418</t>
  </si>
  <si>
    <t>47.845679 56.641238</t>
  </si>
  <si>
    <t>RemZona</t>
  </si>
  <si>
    <t>+7 (996) 116-80-44</t>
  </si>
  <si>
    <t xml:space="preserve">remontnayazona@yandex.ru  </t>
  </si>
  <si>
    <t>пн-пт 10:00–18:00; сб 11:00–18:00</t>
  </si>
  <si>
    <t>https://vk.com/remzona_yo</t>
  </si>
  <si>
    <t>https://www.instagram.com/remzona_yo/</t>
  </si>
  <si>
    <t>47.957796 56.650532</t>
  </si>
  <si>
    <t xml:space="preserve">pismo@dellin.ru, elena.hoduleva@dellin.ru, yuliya.grekova@dl-contact.ru, mariya.bulatova@dl-contact.ru, kont@dellin.ru, pr@dellin.ru </t>
  </si>
  <si>
    <t>http://yoshkar-ola.dellin.ru/</t>
  </si>
  <si>
    <t>Россия, Республика Марий Эл, Йошкар-Ола, Комсомольская улица</t>
  </si>
  <si>
    <t>47.890981 56.632365</t>
  </si>
  <si>
    <t>Marsu International Hostel</t>
  </si>
  <si>
    <t>Талион</t>
  </si>
  <si>
    <t>47.895091 56.63144</t>
  </si>
  <si>
    <t>+7 (964) 864-12-05</t>
  </si>
  <si>
    <t>47.836347 56.643543</t>
  </si>
  <si>
    <t>47.901777 56.63818</t>
  </si>
  <si>
    <t>47.940167 56.632104</t>
  </si>
  <si>
    <t>ТЭК Логистик</t>
  </si>
  <si>
    <t>47.907679 56.631212</t>
  </si>
  <si>
    <t>Парикмахерская Русалка</t>
  </si>
  <si>
    <t>пн-чт 10:00–18:00; пт 10:00–17:00; сб 10:00–15:00</t>
  </si>
  <si>
    <t>47.879647 56.651305</t>
  </si>
  <si>
    <t>Beepmaster</t>
  </si>
  <si>
    <t>+7 (902) 106-26-56</t>
  </si>
  <si>
    <t>http://beepmaster.ru/</t>
  </si>
  <si>
    <t>Компьютерный ремонт и услуги, Ремонт телефонов, Ремонт фотоаппаратов</t>
  </si>
  <si>
    <t>https://vk.com/club119100468</t>
  </si>
  <si>
    <t>47.870783 56.640743</t>
  </si>
  <si>
    <t>+7 (917) 712-89-23</t>
  </si>
  <si>
    <t>+7 (987) 730-34-14</t>
  </si>
  <si>
    <t>47.893605 56.632958</t>
  </si>
  <si>
    <t>Домоуправление-15</t>
  </si>
  <si>
    <t>+7 (8362) 34-92-83, +7 (8362) 34-92-81, +7 (8362) 34-92-80</t>
  </si>
  <si>
    <t>http://ooodu15.ru/</t>
  </si>
  <si>
    <t>пн 08:00–17:00, перерыв 12:00–13:00; вт 13:00–17:00; ср 08:00–17:00, перерыв 12:00–13:00; чт 13:00–17:00; пт 08:00–17:00, перерыв 12:00–13:00</t>
  </si>
  <si>
    <t>47.837529 56.634307</t>
  </si>
  <si>
    <t>Ушан</t>
  </si>
  <si>
    <t>Жилой дом на ул. Шумелева</t>
  </si>
  <si>
    <t>http://www.spectr12.ru/build/53-stroitelstvo-zhilogo-doma-v-yoshkar-ole-na-ulice-shumeleva.html</t>
  </si>
  <si>
    <t>47.851162 56.627338</t>
  </si>
  <si>
    <t>СпортАктив</t>
  </si>
  <si>
    <t>47.832734 56.636671</t>
  </si>
  <si>
    <t>The Moonlight</t>
  </si>
  <si>
    <t>+7 (917) 705-86-99</t>
  </si>
  <si>
    <t xml:space="preserve">iuliakuklina9@gmail.com  </t>
  </si>
  <si>
    <t>http://themoonlight.tilda.ws/page3399</t>
  </si>
  <si>
    <t>47.835909 56.648617</t>
  </si>
  <si>
    <t>Stuffbody Discount</t>
  </si>
  <si>
    <t>+7 (964) 862-95-49</t>
  </si>
  <si>
    <t>https://vk.com/stuffbody12</t>
  </si>
  <si>
    <t>Марийская Деревообрабатывающая фабрика</t>
  </si>
  <si>
    <t>8 (800) 250-21-12</t>
  </si>
  <si>
    <t xml:space="preserve">sale@dlyabani.ru  </t>
  </si>
  <si>
    <t>http://dlyabani.ru/</t>
  </si>
  <si>
    <t>Магазин Экстрим</t>
  </si>
  <si>
    <t xml:space="preserve">extreme12yola@gmail.com, support@tiu.ru  </t>
  </si>
  <si>
    <t>http://extreme12.com/</t>
  </si>
  <si>
    <t>Магазин посуды, Магазин часов</t>
  </si>
  <si>
    <t>Булочная на Первомайской</t>
  </si>
  <si>
    <t>пн-пт 08:30–21:00; сб,вс 08:30–20:00</t>
  </si>
  <si>
    <t>47.890796 56.6432</t>
  </si>
  <si>
    <t>47.861466 56.649816</t>
  </si>
  <si>
    <t>+7 (8362) 29-36-86, +7 (8362) 46-01-02</t>
  </si>
  <si>
    <t>СТОлично</t>
  </si>
  <si>
    <t>Микрорайон Спортивный</t>
  </si>
  <si>
    <t>Россия, Йошкар-Ола, ул. Петрова</t>
  </si>
  <si>
    <t>47.917393 56.638184</t>
  </si>
  <si>
    <t>47.872871 56.647775</t>
  </si>
  <si>
    <t>Тотек Пост</t>
  </si>
  <si>
    <t>8 (800) 350-64-61</t>
  </si>
  <si>
    <t>+7 (925) 198-37-83</t>
  </si>
  <si>
    <t>https://vk.link/totek_ioshkarola</t>
  </si>
  <si>
    <t>Автокосметика, автохимия, Нефтепродукты, Смазочные материалы</t>
  </si>
  <si>
    <t>https://vk.com/totek_ioshkarola</t>
  </si>
  <si>
    <t>https://www.youtube.com/channel/UCgFZlAQjFKlIRZtJWgGXRpg</t>
  </si>
  <si>
    <t>https://www.instagram.com/totekpost.ru/</t>
  </si>
  <si>
    <t>Медком-МП</t>
  </si>
  <si>
    <t>47.841476 56.644349</t>
  </si>
  <si>
    <t>Россия, Республика Марий Эл, Йошкар-Ола, улица Дружбы</t>
  </si>
  <si>
    <t>47.859737 56.652706</t>
  </si>
  <si>
    <t>47.844946 56.624499</t>
  </si>
  <si>
    <t>47.909394 56.636788</t>
  </si>
  <si>
    <t>Ювелирный салон</t>
  </si>
  <si>
    <t>+7 (8362) 22-11-69</t>
  </si>
  <si>
    <t>47.91457 56.626972</t>
  </si>
  <si>
    <t>47.837902 56.635372</t>
  </si>
  <si>
    <t>Дом по ул. Ползунова</t>
  </si>
  <si>
    <t>http://iss12.ru/?page_id=44</t>
  </si>
  <si>
    <t>47.856728 56.64204</t>
  </si>
  <si>
    <t>+7 (917) 707-34-51</t>
  </si>
  <si>
    <t xml:space="preserve">crazypoledance@gmail.com  </t>
  </si>
  <si>
    <t>http://crazypole.tilda.ws/</t>
  </si>
  <si>
    <t>ежедневно, 12:30–22:00</t>
  </si>
  <si>
    <t>47.85942 56.641804</t>
  </si>
  <si>
    <t>Korolevskaia lozha</t>
  </si>
  <si>
    <t>47.835835 56.64846</t>
  </si>
  <si>
    <t>Наш продукт</t>
  </si>
  <si>
    <t>47.872853 56.651107</t>
  </si>
  <si>
    <t>А-мега</t>
  </si>
  <si>
    <t>47.918142 56.63001</t>
  </si>
  <si>
    <t>Yo! Tours</t>
  </si>
  <si>
    <t>+7 (8362) 56-61-03, +7 (8362) 42-64-99</t>
  </si>
  <si>
    <t xml:space="preserve">ansar11@mail.ru, silkway12@yandex.ru </t>
  </si>
  <si>
    <t>http://yotours.ru/</t>
  </si>
  <si>
    <t>https://www.instagram.com/yo.tours/</t>
  </si>
  <si>
    <t>+7 (8362) 99-61-95</t>
  </si>
  <si>
    <t>47.830349 56.637207</t>
  </si>
  <si>
    <t>http://tomas12.ru/</t>
  </si>
  <si>
    <t>47.863815 56.649524</t>
  </si>
  <si>
    <t>ИП Корнилов И. А.</t>
  </si>
  <si>
    <t>+7 (902) 745-85-85</t>
  </si>
  <si>
    <t>Рикс+С</t>
  </si>
  <si>
    <t>47.890317 56.639686</t>
  </si>
  <si>
    <t>Мехатронные системы</t>
  </si>
  <si>
    <t>+7 (8362) 98-10-90</t>
  </si>
  <si>
    <t>+7 (902) 358-10-90</t>
  </si>
  <si>
    <t xml:space="preserve">info@mechsys.ru  </t>
  </si>
  <si>
    <t>http://mechsys.ru/, https://msreductor.ru/</t>
  </si>
  <si>
    <t>Конструкторское бюро, Программное обеспечение, Редукторы</t>
  </si>
  <si>
    <t>https://www.youtube.com/user/mechatronicssystems</t>
  </si>
  <si>
    <t>47.892038 56.626337</t>
  </si>
  <si>
    <t>Спортивный зал</t>
  </si>
  <si>
    <t>47.94515 56.622402</t>
  </si>
  <si>
    <t>47.856075 56.650815</t>
  </si>
  <si>
    <t>Учебно-консультационный центр</t>
  </si>
  <si>
    <t>+7 (8362) 42-16-40, +7 (8362) 42-18-79</t>
  </si>
  <si>
    <t xml:space="preserve">metodist@ukc-nica.ru  </t>
  </si>
  <si>
    <t>https://ukc-nica.ru/</t>
  </si>
  <si>
    <t>47.90396 56.646926</t>
  </si>
  <si>
    <t>Липа12</t>
  </si>
  <si>
    <t xml:space="preserve">lipa.12@mail.ru  </t>
  </si>
  <si>
    <t>http://lipa12.ru/</t>
  </si>
  <si>
    <t>ЗАО Берёзка</t>
  </si>
  <si>
    <t>47.883208 56.64564</t>
  </si>
  <si>
    <t>+7 (987) 727-93-53</t>
  </si>
  <si>
    <t>47.833028 56.641917</t>
  </si>
  <si>
    <t>Детский нейропсихолог Зыкова Л. Н.</t>
  </si>
  <si>
    <t>+7 (964) 861-05-02</t>
  </si>
  <si>
    <t xml:space="preserve">smart-kid12@mail.ru  </t>
  </si>
  <si>
    <t>Диагностический центр, Психологическая служба, Услуги частных специалистов</t>
  </si>
  <si>
    <t>https://vk.com/kids_12</t>
  </si>
  <si>
    <t>Республиканский центр урегулирования убытков</t>
  </si>
  <si>
    <t>Клиника №1</t>
  </si>
  <si>
    <t>8 (800) 222-71-12, +7 (8362) 40-10-10</t>
  </si>
  <si>
    <t xml:space="preserve">mrt-ola@mail.ru, klinika1-ola@mail.ru  </t>
  </si>
  <si>
    <t>http://mrt-ola.ru/</t>
  </si>
  <si>
    <t>https://vk.com/klinika1ola</t>
  </si>
  <si>
    <t>https://www.ok.ru/klinika1ola</t>
  </si>
  <si>
    <t>https://www.facebook.com/klinika1ola</t>
  </si>
  <si>
    <t>https://www.instagram.com/klinika1ola</t>
  </si>
  <si>
    <t>47.898145 56.645203</t>
  </si>
  <si>
    <t>+7 (903) 782-97-55</t>
  </si>
  <si>
    <t>http://joshkar-ola.potolkinatyazhnye-vsem.ru/</t>
  </si>
  <si>
    <t>https://twitter.com/OsteklJoskarOla</t>
  </si>
  <si>
    <t>Ренессанс</t>
  </si>
  <si>
    <t>+7 (964) 864-45-55</t>
  </si>
  <si>
    <t xml:space="preserve">vostrov.s@list.ru  </t>
  </si>
  <si>
    <t>Мебель на заказ, Металлическая мебель, Производственное предприятие</t>
  </si>
  <si>
    <t>https://vk.com/club68784149</t>
  </si>
  <si>
    <t>+7 (917) 710-07-79</t>
  </si>
  <si>
    <t>47.916772 56.631453</t>
  </si>
  <si>
    <t>Запчасти ВАЗ ОКА</t>
  </si>
  <si>
    <t>+7 (8362) 35-51-50</t>
  </si>
  <si>
    <t>47.932857 56.644123</t>
  </si>
  <si>
    <t>S-service</t>
  </si>
  <si>
    <t>+7 (8362) 33-33-32</t>
  </si>
  <si>
    <t>+7 (927) 883-33-32</t>
  </si>
  <si>
    <t>https://s-service-mobile-phone-repair-shop.business.site/</t>
  </si>
  <si>
    <t>пн-сб 08:30–17:00</t>
  </si>
  <si>
    <t>47.884374 56.632749</t>
  </si>
  <si>
    <t>+7 (8362) 36-05-36</t>
  </si>
  <si>
    <t>+7 (903) 326-55-50</t>
  </si>
  <si>
    <t>47.892755 56.638367</t>
  </si>
  <si>
    <t>47.845751 56.638879</t>
  </si>
  <si>
    <t>Greenway</t>
  </si>
  <si>
    <t>M-Klassi</t>
  </si>
  <si>
    <t>47.892815 56.638465</t>
  </si>
  <si>
    <t>Тут еда</t>
  </si>
  <si>
    <t>47.890714 56.625601</t>
  </si>
  <si>
    <t>Acero-Loft</t>
  </si>
  <si>
    <t>+7 (8362) 90-93-93</t>
  </si>
  <si>
    <t>Детская мебель, Лестницы и лестничные ограждения, Мебель для кухни, Мебель для офиса, Мебель на заказ, Мебельная фабрика, Мебельная фурнитура и комплектующие, Металлические заборы и ограждения, Металлоизделия, Строительная компания, Строительный магазин</t>
  </si>
  <si>
    <t>+7 (8362) 46-99-81</t>
  </si>
  <si>
    <t>http://п-медведево.алко-наркоклиник.рус/</t>
  </si>
  <si>
    <t>47.899689 56.641476</t>
  </si>
  <si>
    <t>Кредит-Доверие</t>
  </si>
  <si>
    <t>+7 (8362) 36-06-26</t>
  </si>
  <si>
    <t>Мастер ламинирования ресниц Сорокина Елена</t>
  </si>
  <si>
    <t>+7 (962) 588-58-63</t>
  </si>
  <si>
    <t>https://instagram.com/yo_lash</t>
  </si>
  <si>
    <t>+7 (8362) 26-67-76</t>
  </si>
  <si>
    <t>https://vk.com/strizhka_yoshkarola</t>
  </si>
  <si>
    <t>МастерСервисСтрой</t>
  </si>
  <si>
    <t>+7 (8362) 30-07-07</t>
  </si>
  <si>
    <t>пн-пт 08:30–17:00, перерыв 12:00–12:30; сб 00:00–12:00, перерыв 12:00–12:30; вс 12:30–00:00</t>
  </si>
  <si>
    <t>+7 (987) 703-98-65</t>
  </si>
  <si>
    <t>пн-пт 09:00–19:00; сб 09:00–17:00; вс 09:00–18:00</t>
  </si>
  <si>
    <t>47.855913 56.650842</t>
  </si>
  <si>
    <t>Бруно Декор</t>
  </si>
  <si>
    <t>Декоративные покрытия, Изготовление витражей, Магазин обоев</t>
  </si>
  <si>
    <t>Candy</t>
  </si>
  <si>
    <t>47.842844 56.635847</t>
  </si>
  <si>
    <t>Уральские пельмени</t>
  </si>
  <si>
    <t>8 (800) 200-55-64</t>
  </si>
  <si>
    <t>+7 (987) 720-73-38</t>
  </si>
  <si>
    <t xml:space="preserve">info@ural-pelmeni.ru  </t>
  </si>
  <si>
    <t>http://www.ural-pelmeni.ru/</t>
  </si>
  <si>
    <t>Продукты глубокой заморозки, Производство продуктов питания</t>
  </si>
  <si>
    <t>https://vk.com/fabrikauralpelmeni</t>
  </si>
  <si>
    <t>https://www.facebook.com/fabrikauralpelmeni</t>
  </si>
  <si>
    <t>https://www.instagram.com/fabrikauralpelmeni/</t>
  </si>
  <si>
    <t>НПП Скат</t>
  </si>
  <si>
    <t>+7 (8362) 72-53-38, +7 (8362) 72-47-90, +7 (8362) 72-55-17</t>
  </si>
  <si>
    <t xml:space="preserve">skat@npp-skat.ru  </t>
  </si>
  <si>
    <t>http://npp-skat.ru/</t>
  </si>
  <si>
    <t>Монтажные работы, Пожарное оборудование</t>
  </si>
  <si>
    <t>Молодёжная ул., 18, Йошкар-Ола</t>
  </si>
  <si>
    <t>47.844423 56.656205</t>
  </si>
  <si>
    <t>47.93029 56.646539</t>
  </si>
  <si>
    <t>Мир посуды +</t>
  </si>
  <si>
    <t>47.911502 56.62699</t>
  </si>
  <si>
    <t>Марийская недвижимость</t>
  </si>
  <si>
    <t>47.89052 56.63531</t>
  </si>
  <si>
    <t>Автокомплекс S7</t>
  </si>
  <si>
    <t>+7 (8362) 24-06-06, +7 (8362) 96-24-39</t>
  </si>
  <si>
    <t xml:space="preserve">info@solovyova7.ru  </t>
  </si>
  <si>
    <t>https://solovyova7.ru/</t>
  </si>
  <si>
    <t>Автомойка, Детейлинг, Шиномонтаж</t>
  </si>
  <si>
    <t>https://vk.com/moyka_s7</t>
  </si>
  <si>
    <t>https://www.youtube.com/channel/UC4JZA9cGYoRJ4dC6o43DeuQ/</t>
  </si>
  <si>
    <t>https://www.instagram.com/avtomoikas7</t>
  </si>
  <si>
    <t>47.875092 56.619896</t>
  </si>
  <si>
    <t>47.844715 56.631748</t>
  </si>
  <si>
    <t>Паприка</t>
  </si>
  <si>
    <t>+7 (902) 430-36-06, +7 (917) 703-29-88</t>
  </si>
  <si>
    <t>https://instagram.com/pitza_paprika?igshid=1uxhlrwtepaf6</t>
  </si>
  <si>
    <t>47.932591 56.639025</t>
  </si>
  <si>
    <t>47.885756 56.628165</t>
  </si>
  <si>
    <t>Комфорт на Машиностроителей</t>
  </si>
  <si>
    <t>47.87162 56.64989</t>
  </si>
  <si>
    <t>Лодочки фигурные</t>
  </si>
  <si>
    <t>47.892397 56.637338</t>
  </si>
  <si>
    <t>47.889997 56.625267</t>
  </si>
  <si>
    <t>Работай Тут</t>
  </si>
  <si>
    <t>Apartment on Leninskiy Prospekt 47</t>
  </si>
  <si>
    <t>47.877794 56.63256</t>
  </si>
  <si>
    <t>+7 (8362) 45-28-10</t>
  </si>
  <si>
    <t>http://s1646.polizd.ru/</t>
  </si>
  <si>
    <t>47.884121 56.641764</t>
  </si>
  <si>
    <t>47.832642 56.637146</t>
  </si>
  <si>
    <t>Чайная Колибри</t>
  </si>
  <si>
    <t>+7 (962) 590-86-60</t>
  </si>
  <si>
    <t>47.882723 56.621418</t>
  </si>
  <si>
    <t>47.929118 56.62844</t>
  </si>
  <si>
    <t>Артишок</t>
  </si>
  <si>
    <t>+7 (987) 716-21-02</t>
  </si>
  <si>
    <t xml:space="preserve">71e78b294bfb4c449e11ffdca450d588@sentry.udsgame.com  </t>
  </si>
  <si>
    <t>https://ecopeople12.uds.app/c</t>
  </si>
  <si>
    <t>Диетические и диабетические продукты, Магазин парфюмерии и косметики, Товары для здоровья</t>
  </si>
  <si>
    <t>вт-вс 10:00–17:00</t>
  </si>
  <si>
    <t>https://vk.com/ecopeople12</t>
  </si>
  <si>
    <t>https://instagram.com/ecopeople12</t>
  </si>
  <si>
    <t>47.884106 56.63299</t>
  </si>
  <si>
    <t>47.865284 56.64591</t>
  </si>
  <si>
    <t>ГК Сигнал</t>
  </si>
  <si>
    <t>47.869481 56.628528</t>
  </si>
  <si>
    <t>Магазин по продаже кофе и чая</t>
  </si>
  <si>
    <t>Страховой советник Брокерс</t>
  </si>
  <si>
    <t>+7 (8362) 55-01-01</t>
  </si>
  <si>
    <t xml:space="preserve">info@vrn-brokers.ru  </t>
  </si>
  <si>
    <t>https://pro-brokers.ru/</t>
  </si>
  <si>
    <t>https://vk.com/brokers_yola</t>
  </si>
  <si>
    <t>КПК Строительно-сберегательная касса</t>
  </si>
  <si>
    <t>http://моясберкасса.рф/</t>
  </si>
  <si>
    <t>https://vk.com/moya_sberkassa</t>
  </si>
  <si>
    <t>47.871779 56.638533</t>
  </si>
  <si>
    <t>Ремонт дверей</t>
  </si>
  <si>
    <t>+7 (8362) 98-07-17</t>
  </si>
  <si>
    <t>+7 (902) 358-07-17</t>
  </si>
  <si>
    <t>http://marimaster.ru/</t>
  </si>
  <si>
    <t>Новый плюс</t>
  </si>
  <si>
    <t>+7 (8362) 52-53-24</t>
  </si>
  <si>
    <t>+7 (909) 366-23-51, +7 (927) 877-45-37</t>
  </si>
  <si>
    <t>https://avto-prostavka.ru/</t>
  </si>
  <si>
    <t>47.884424 56.609693</t>
  </si>
  <si>
    <t>Союз Мастеров</t>
  </si>
  <si>
    <t>+7 (8362) 93-43-03</t>
  </si>
  <si>
    <t xml:space="preserve">souzmasterov12@mail.ru </t>
  </si>
  <si>
    <t>http://союзмастеров.рф/</t>
  </si>
  <si>
    <t>Beepbuild</t>
  </si>
  <si>
    <t xml:space="preserve">bigflystore@gmail.com  </t>
  </si>
  <si>
    <t>http://beepbuild.ru/</t>
  </si>
  <si>
    <t>Аренда строительной и спецтехники, Пункт проката, Строительный инструмент</t>
  </si>
  <si>
    <t>http://vk.com/beepbuild</t>
  </si>
  <si>
    <t>47.870563 56.640823</t>
  </si>
  <si>
    <t>47.839214 56.641957</t>
  </si>
  <si>
    <t>Doctor GSM</t>
  </si>
  <si>
    <t>+7 (902) 466-66-26</t>
  </si>
  <si>
    <t>Компьютерный ремонт и услуги, Ремонт аудиотехники и видеотехники, Ремонт телефонов, Салон связи, Товары для мобильных телефонов</t>
  </si>
  <si>
    <t>пн 09:30–18:00; вт-пт 09:30–19:00; сб 09:30–18:00; вс 09:00–18:00</t>
  </si>
  <si>
    <t>https://vk.com/doc_gsm</t>
  </si>
  <si>
    <t>https://instagram.com/doc_gsm.yo</t>
  </si>
  <si>
    <t>Мебель для офиса</t>
  </si>
  <si>
    <t>Нежность</t>
  </si>
  <si>
    <t>47.916678 56.641646</t>
  </si>
  <si>
    <t>Первомайская 148а</t>
  </si>
  <si>
    <t>47.88944 56.64179</t>
  </si>
  <si>
    <t>47.921776 56.640241</t>
  </si>
  <si>
    <t>47.952264 56.640237</t>
  </si>
  <si>
    <t>Ангар</t>
  </si>
  <si>
    <t>47.850002 56.623281</t>
  </si>
  <si>
    <t>+7 (8362) 36-11-79</t>
  </si>
  <si>
    <t>47.863155 56.645937</t>
  </si>
  <si>
    <t>Магазин автоароматизаторов</t>
  </si>
  <si>
    <t>+7 (919) 419-29-66</t>
  </si>
  <si>
    <t>47.843316 56.640865</t>
  </si>
  <si>
    <t>Энергоконтроль</t>
  </si>
  <si>
    <t>+7 (8362) 64-40-73</t>
  </si>
  <si>
    <t xml:space="preserve">office@energo-nn.ru </t>
  </si>
  <si>
    <t>http://energo-control.com/</t>
  </si>
  <si>
    <t>Электромонтажные работы, Энергосбережение и энергоаудит, Энергоснабжение</t>
  </si>
  <si>
    <t>пн-пт 08:00–17:00, перерыв 12:00–12:42</t>
  </si>
  <si>
    <t>47.872591 56.648081</t>
  </si>
  <si>
    <t>Фиеста кафе</t>
  </si>
  <si>
    <t>47.855979 56.641687</t>
  </si>
  <si>
    <t>https://vk.com/club193863291</t>
  </si>
  <si>
    <t>47.90204 56.641957</t>
  </si>
  <si>
    <t>+7 (987) 707-89-22</t>
  </si>
  <si>
    <t>https://www.instagram.com/parrot38bul/</t>
  </si>
  <si>
    <t>47.894739 56.635215</t>
  </si>
  <si>
    <t>Большой концертный зал им. А.Я. Эшпая</t>
  </si>
  <si>
    <t>+7 (8362) 41-55-48, +7 (8362) 45-24-33</t>
  </si>
  <si>
    <t>47.89085 56.633753</t>
  </si>
  <si>
    <t>ул. Суворова, 19Д, Йошкар-Ола</t>
  </si>
  <si>
    <t>+7 (8362) 40-15-00</t>
  </si>
  <si>
    <t xml:space="preserve">aftomaster12@yandex.ru  </t>
  </si>
  <si>
    <t>http://avtomaster12.ru/</t>
  </si>
  <si>
    <t>Автосервис, автотехцентр, Магазин автозапчастей и автотоваров, Ремонт двигателей</t>
  </si>
  <si>
    <t>https://vk.com/avtomaste_r</t>
  </si>
  <si>
    <t>https://www.instagram.com/avtomaster_12/</t>
  </si>
  <si>
    <t>47.860152 56.638891</t>
  </si>
  <si>
    <t>Отдел по заказу пластиковых окон</t>
  </si>
  <si>
    <t>Весёлый малыш</t>
  </si>
  <si>
    <t>47.930224 56.634249</t>
  </si>
  <si>
    <t>вт,чт 14:00–18:00</t>
  </si>
  <si>
    <t>47.943248 56.634962</t>
  </si>
  <si>
    <t>47.862526 56.649954</t>
  </si>
  <si>
    <t>Foxy expert</t>
  </si>
  <si>
    <t>Сс-транс</t>
  </si>
  <si>
    <t>+7 (8362) 32-05-23</t>
  </si>
  <si>
    <t>+7 (927) 885-72-72, +7 (937) 119-12-12, +7 (902) 329-89-57, +7 (927) 877-30-01, +7 (927) 876-21-20</t>
  </si>
  <si>
    <t xml:space="preserve">info@ss-trans12.ru  </t>
  </si>
  <si>
    <t>https://ss-trans12.ru/</t>
  </si>
  <si>
    <t>Логистическая компания, Перевозка негабаритных грузов</t>
  </si>
  <si>
    <t>47.916973 56.637794</t>
  </si>
  <si>
    <t>Республиканская клиническая больница Нефрологическое отделение</t>
  </si>
  <si>
    <t>Пролетарская ул., 60, корп. 2, Йошкар-Ола</t>
  </si>
  <si>
    <t>+7 (8362) 46-14-12</t>
  </si>
  <si>
    <t>Стройтехсервис</t>
  </si>
  <si>
    <t>+7 (8362) 27-42-24, +7 (8362) 96-47-39</t>
  </si>
  <si>
    <t>Аренда строительной и спецтехники, Строительная компания</t>
  </si>
  <si>
    <t>47.869658 56.622598</t>
  </si>
  <si>
    <t>Мастерская по ремонту офисной техники</t>
  </si>
  <si>
    <t>+7 (8362) 77-17-53</t>
  </si>
  <si>
    <t>+7 (902) 739-17-53</t>
  </si>
  <si>
    <t>http://mkc12.com/</t>
  </si>
  <si>
    <t>пн-пт 08:00–17:00; сб 11:00–14:00</t>
  </si>
  <si>
    <t>https://vk.com/public199932166</t>
  </si>
  <si>
    <t>47.889586 56.642804</t>
  </si>
  <si>
    <t>Детский сад, Дополнительное образование, Клуб для детей и подростков</t>
  </si>
  <si>
    <t>47.941698 56.623021</t>
  </si>
  <si>
    <t>47.962397 56.641451</t>
  </si>
  <si>
    <t>Пуговка</t>
  </si>
  <si>
    <t>+7 (937) 934-06-86</t>
  </si>
  <si>
    <t>вт-пт 08:30–17:30; сб,вс 08:30–18:00</t>
  </si>
  <si>
    <t>47.831021 56.639439</t>
  </si>
  <si>
    <t>47.942221 56.634168</t>
  </si>
  <si>
    <t>Bv Time To Invest</t>
  </si>
  <si>
    <t>+7 (927) 888-31-81</t>
  </si>
  <si>
    <t>Бизнес-консалтинг, Инвестиционная компания, Праздничное агентство</t>
  </si>
  <si>
    <t>47.90089 56.638083</t>
  </si>
  <si>
    <t>Служба доставки еды Марабу</t>
  </si>
  <si>
    <t>+7 (987) 725-74-78</t>
  </si>
  <si>
    <t>https://vk.com/yola_marabu</t>
  </si>
  <si>
    <t>47.914481 56.627271</t>
  </si>
  <si>
    <t>Och. AG</t>
  </si>
  <si>
    <t>+7 (8362) 42-87-70</t>
  </si>
  <si>
    <t>47.943475 56.634345</t>
  </si>
  <si>
    <t>+7 (8362) 42-91-79, +7 (8362) 45-68-47</t>
  </si>
  <si>
    <t>47.904262 56.641676</t>
  </si>
  <si>
    <t>47.884112 56.632828</t>
  </si>
  <si>
    <t>Леди Sharm</t>
  </si>
  <si>
    <t>+7 (964) 860-77-77, +7 (964) 861-55-55</t>
  </si>
  <si>
    <t>47.888435 56.646703</t>
  </si>
  <si>
    <t>Protrim</t>
  </si>
  <si>
    <t>+7 (8362) 32-98-98</t>
  </si>
  <si>
    <t>Автоателье</t>
  </si>
  <si>
    <t>47.961574 56.613272</t>
  </si>
  <si>
    <t>47.92751 56.629758</t>
  </si>
  <si>
    <t>ИП Смышляев Д.</t>
  </si>
  <si>
    <t>+7 (8362) 32-03-07, +7 (8362) 32-17-17</t>
  </si>
  <si>
    <t>47.913236 56.612192</t>
  </si>
  <si>
    <t>47.846803 56.634114</t>
  </si>
  <si>
    <t>ИП Имангулова И. М.</t>
  </si>
  <si>
    <t>Lounge Bar на Небе</t>
  </si>
  <si>
    <t>+7 (902) 736-23-13</t>
  </si>
  <si>
    <t>пн-чт 11:00–01:00; пт,сб 11:00–03:00; вс 11:00–01:00</t>
  </si>
  <si>
    <t>https://instagram.com/na_nebe_yo?igshid=ukfl4b8anhn3</t>
  </si>
  <si>
    <t>47.883047 56.640016</t>
  </si>
  <si>
    <t>Раковая № 1</t>
  </si>
  <si>
    <t>47.898313 56.635008</t>
  </si>
  <si>
    <t>Подгузники в Йошкар-Оле</t>
  </si>
  <si>
    <t>+7 (903) 050-14-15</t>
  </si>
  <si>
    <t>http://йошкар-ола.вподгузниках.рф/</t>
  </si>
  <si>
    <t>Автокресла, Средства гигиены</t>
  </si>
  <si>
    <t>47.970404 56.615441</t>
  </si>
  <si>
    <t>Бермуды</t>
  </si>
  <si>
    <t>Добрый Стиль</t>
  </si>
  <si>
    <t xml:space="preserve">abuleev@ds-mebel.com, ds-zakaz@ds-mebel.com, ds-administration@ds-mebel.com, ds-barish@ds-mebel.com  </t>
  </si>
  <si>
    <t>http://ds-mebel.com/, http://www.ds-mebel.ru/, http://www.medvediza.ru/</t>
  </si>
  <si>
    <t>47.873555 56.649539</t>
  </si>
  <si>
    <t>Инжиниринговая группа компаний Союз</t>
  </si>
  <si>
    <t>+7 (987) 720-05-00</t>
  </si>
  <si>
    <t xml:space="preserve">souz.office@inbox.ru </t>
  </si>
  <si>
    <t>https://souz.msk.ru/</t>
  </si>
  <si>
    <t>Инжиниринг, Телекоммуникационная компания, Телекоммуникационное оборудование</t>
  </si>
  <si>
    <t>47.884304 56.63376</t>
  </si>
  <si>
    <t>https://vk.com/slavicachelny</t>
  </si>
  <si>
    <t>47.884059 56.632976</t>
  </si>
  <si>
    <t>Студия Ренаты Бутусовой</t>
  </si>
  <si>
    <t>+7 (8362) 35-05-75</t>
  </si>
  <si>
    <t>+7 (962) 588-05-75, +7 (902) 430-75-05</t>
  </si>
  <si>
    <t>47.891889 56.633025</t>
  </si>
  <si>
    <t>47.920276 56.626537</t>
  </si>
  <si>
    <t>Воскресенский парк</t>
  </si>
  <si>
    <t>Россия, Республика Марий Эл, Йошкар-Ола, Воскресенский парк</t>
  </si>
  <si>
    <t>47.913654 56.640258</t>
  </si>
  <si>
    <t>47.913607 56.626927</t>
  </si>
  <si>
    <t>+7 (917) 707-47-48, +7 (927) 871-90-95</t>
  </si>
  <si>
    <t>http://noski12.ru/</t>
  </si>
  <si>
    <t>пн 09:00–16:30; вт-вс 09:00–17:30</t>
  </si>
  <si>
    <t>Ворд пласт</t>
  </si>
  <si>
    <t>Ларби</t>
  </si>
  <si>
    <t>8 (800) 250-00-73</t>
  </si>
  <si>
    <t>Товары для бани</t>
  </si>
  <si>
    <t>47.83963 56.62692</t>
  </si>
  <si>
    <t>Техностиль</t>
  </si>
  <si>
    <t>8 (800) 555-93-32, +7 (8362) 34-74-49</t>
  </si>
  <si>
    <t xml:space="preserve">info@ts-panel.ru  </t>
  </si>
  <si>
    <t>https://yoshkar-ola.ts-panel.ru/</t>
  </si>
  <si>
    <t>Учебно-методический центр Камертон</t>
  </si>
  <si>
    <t>+7 (8362) 42-58-90</t>
  </si>
  <si>
    <t>http://camerton12.ru/, http://npshi.mari-el.muzkult.ru/</t>
  </si>
  <si>
    <t>47.9016 56.636527</t>
  </si>
  <si>
    <t>Светтеплоуют</t>
  </si>
  <si>
    <t>+7 (8362) 90-09-39</t>
  </si>
  <si>
    <t>Крепежные изделия, Магазин электротоваров</t>
  </si>
  <si>
    <t>47.868343 56.64644</t>
  </si>
  <si>
    <t>47.937641 56.64489</t>
  </si>
  <si>
    <t>+7 (8362) 35-34-30</t>
  </si>
  <si>
    <t>47.830787 56.632328</t>
  </si>
  <si>
    <t>Ирга</t>
  </si>
  <si>
    <t>Serbia</t>
  </si>
  <si>
    <t>+7 (8362) 40-04-03</t>
  </si>
  <si>
    <t>+7 (905) 379-87-07, +7 (927) 684-87-36</t>
  </si>
  <si>
    <t>47.83321 56.641471</t>
  </si>
  <si>
    <t>Мебельный Дом ТЦ Планета мебели</t>
  </si>
  <si>
    <t>+7 (8362) 30-43-37</t>
  </si>
  <si>
    <t>https://www.stolplit.ru/, https://yoshkar-ola.stolplit.ru/</t>
  </si>
  <si>
    <t>Липовик</t>
  </si>
  <si>
    <t>+7 (937) 119-90-01, +7 (963) 239-91-47</t>
  </si>
  <si>
    <t xml:space="preserve">info@lipovik.ru  </t>
  </si>
  <si>
    <t>http://lipovik.ru/</t>
  </si>
  <si>
    <t>47.922481 56.630049</t>
  </si>
  <si>
    <t>47.828534 56.635374</t>
  </si>
  <si>
    <t>Таза Лийза</t>
  </si>
  <si>
    <t>+7 (8362) 45-39-90, +7 (8362) 56-63-54, +7 (8362) 56-65-78</t>
  </si>
  <si>
    <t>http://portal.mari.ru/</t>
  </si>
  <si>
    <t>пн-пт 10:30–15:00</t>
  </si>
  <si>
    <t>47.883236 56.631475</t>
  </si>
  <si>
    <t>ГБУ РМЭ "Спортивная школа олимпийского резерва по лёгкой атлетике</t>
  </si>
  <si>
    <t xml:space="preserve">start232@yandex.ru  </t>
  </si>
  <si>
    <t>http://atletika-rme.ucoz.ru/</t>
  </si>
  <si>
    <t>47.917105 56.639405</t>
  </si>
  <si>
    <t>Чито-Ра</t>
  </si>
  <si>
    <t>47.902398 56.648512</t>
  </si>
  <si>
    <t>Обувь12</t>
  </si>
  <si>
    <t>+7 (917) 706-60-02</t>
  </si>
  <si>
    <t>47.950525 56.632172</t>
  </si>
  <si>
    <t>Покровский</t>
  </si>
  <si>
    <t xml:space="preserve">profdesign@mail.ru  </t>
  </si>
  <si>
    <t>http://krasivaya-mebel.ru/</t>
  </si>
  <si>
    <t>47.901982 56.640906</t>
  </si>
  <si>
    <t>Жилой дом на ул. Фестивальная, 56а</t>
  </si>
  <si>
    <t>Фестивальная ул., 56А, Йошкар-Ола</t>
  </si>
  <si>
    <t>http://zaopmk3.com/today/-15-1/</t>
  </si>
  <si>
    <t>47.834282 56.648628</t>
  </si>
  <si>
    <t>Amway, центральный офис-магазин</t>
  </si>
  <si>
    <t>+7 (8362) 96-79-43</t>
  </si>
  <si>
    <t>+7 (902) 326-79-43</t>
  </si>
  <si>
    <t>Мебель для кухни, Мебель для спальни, Мебель на заказ</t>
  </si>
  <si>
    <t>47.885756 56.635467</t>
  </si>
  <si>
    <t>ГКО РМЭ Территориальный центр медицины катастроф</t>
  </si>
  <si>
    <t>+7 (8362) 45-14-19, +7 (8362) 46-22-67, +7 (8362) 72-88-10</t>
  </si>
  <si>
    <t>Медицинские информационные услуги</t>
  </si>
  <si>
    <t>47.885237 56.649715</t>
  </si>
  <si>
    <t>Uiutnaia kvartira V tsentre</t>
  </si>
  <si>
    <t>47.891423 56.640976</t>
  </si>
  <si>
    <t>ЛМ</t>
  </si>
  <si>
    <t>47.906082 56.629903</t>
  </si>
  <si>
    <t>Искусственные елки</t>
  </si>
  <si>
    <t>+7 (917) 071-07-72</t>
  </si>
  <si>
    <t>Alla Filatova</t>
  </si>
  <si>
    <t>47.894907 56.649707</t>
  </si>
  <si>
    <t>Pro-decking</t>
  </si>
  <si>
    <t>+7 (902) 105-22-05</t>
  </si>
  <si>
    <t>http://www.pro-decking.ru/</t>
  </si>
  <si>
    <t>Напольные покрытия, Покрытия для площадок</t>
  </si>
  <si>
    <t>Вторметлом</t>
  </si>
  <si>
    <t>вс 08:00–16:00</t>
  </si>
  <si>
    <t xml:space="preserve">oprme@yandex.ru, mintrans@gov.mari.ru  </t>
  </si>
  <si>
    <t>47.884588 56.636674</t>
  </si>
  <si>
    <t>Ваш правовой партнер</t>
  </si>
  <si>
    <t>+7 (927) 877-22-27</t>
  </si>
  <si>
    <t>Гаражный кооператив Советский</t>
  </si>
  <si>
    <t>47.901192 56.642656</t>
  </si>
  <si>
    <t>47.92716 56.638056</t>
  </si>
  <si>
    <t>ИП Саргсян И. В.</t>
  </si>
  <si>
    <t>+7 (8362) 31-34-34</t>
  </si>
  <si>
    <t>+7 (927) 681-34-34</t>
  </si>
  <si>
    <t>Консультант Плюс</t>
  </si>
  <si>
    <t>+7 (8362) 38-05-99, +7 (8362) 38-05-88, +7 (8362) 38-05-11</t>
  </si>
  <si>
    <t>http://www.консультантплюс12.рф/</t>
  </si>
  <si>
    <t>https://vk.com/consultantplus.comp</t>
  </si>
  <si>
    <t>https://www.facebook.com/consultantplus.comp</t>
  </si>
  <si>
    <t>47.88365 56.637244</t>
  </si>
  <si>
    <t>+7 (8362) 95-41-57</t>
  </si>
  <si>
    <t>47.830134 56.633404</t>
  </si>
  <si>
    <t>Коминская Национальная Основная Общеобразовательная школа</t>
  </si>
  <si>
    <t>Школьная ул., 8, Йошкар-Ола</t>
  </si>
  <si>
    <t>+7 (8362) 57-71-18</t>
  </si>
  <si>
    <t>47.847003 56.655164</t>
  </si>
  <si>
    <t>Доборные элементы 12</t>
  </si>
  <si>
    <t>Московская ул., 24, Йошкар-Ола</t>
  </si>
  <si>
    <t>+7 (927) 880-74-44</t>
  </si>
  <si>
    <t>https://www.instagram.com/dobornie_elementi12?igshid=14loazf3kpxzp</t>
  </si>
  <si>
    <t>47.954087 56.635158</t>
  </si>
  <si>
    <t>Mansion_yo</t>
  </si>
  <si>
    <t>+7 (8362) 60-00-05</t>
  </si>
  <si>
    <t>https://vk.com/mansion_yo</t>
  </si>
  <si>
    <t>https://instagram.com/mansion_yo</t>
  </si>
  <si>
    <t>Проектзеленстрой</t>
  </si>
  <si>
    <t>+7 (8362) 52-07-55</t>
  </si>
  <si>
    <t>Россия, Республика Марий Эл, Йошкар-Ола, улица Жуковского</t>
  </si>
  <si>
    <t>47.892092 56.654896</t>
  </si>
  <si>
    <t>Папа Карло</t>
  </si>
  <si>
    <t>+7 (960) 093-02-79</t>
  </si>
  <si>
    <t xml:space="preserve">seul12@inbox.ru, vaseneva_olga@rambler.ru  </t>
  </si>
  <si>
    <t>Корпусная мебель, Магазин мебели, Мебель для кухни, Мебель на заказ, Шкафы-купе</t>
  </si>
  <si>
    <t>https://vk.com/papa_carlo12</t>
  </si>
  <si>
    <t>https://www.instagram.com/papacarlo_12/</t>
  </si>
  <si>
    <t>47.884538 56.652414</t>
  </si>
  <si>
    <t>Детская республиканская клиническая больница, Пульмонологическое инфекционное боксированное отделение</t>
  </si>
  <si>
    <t>http://10med.polickliniki.ru/</t>
  </si>
  <si>
    <t>Республиканский Автовокзал</t>
  </si>
  <si>
    <t>English Native</t>
  </si>
  <si>
    <t>47.951218 56.627979</t>
  </si>
  <si>
    <t>Свежий вкусный хлеб</t>
  </si>
  <si>
    <t>47.884198 56.61992</t>
  </si>
  <si>
    <t>Опкб Экспломет</t>
  </si>
  <si>
    <t>+7 (995) 961-16-90</t>
  </si>
  <si>
    <t>https://explomet.ru/</t>
  </si>
  <si>
    <t>Научно-производственная организация, Новые технологии, Производственное предприятие</t>
  </si>
  <si>
    <t>https://vk.com/explomet</t>
  </si>
  <si>
    <t>https://www.youtube.com/channel/UC1P3s7IJSwsZALAvwxorAsw</t>
  </si>
  <si>
    <t>47.872197 56.610419</t>
  </si>
  <si>
    <t>Игрополис</t>
  </si>
  <si>
    <t>+7 (8362) 55-26-20</t>
  </si>
  <si>
    <t>+7 (903) 326-41-60</t>
  </si>
  <si>
    <t>Детские игровые залы и площадки, Детский лагерь отдыха</t>
  </si>
  <si>
    <t>https://vk.com/igropolis12</t>
  </si>
  <si>
    <t>47.929471 56.629273</t>
  </si>
  <si>
    <t>http://www.magnit-info.ru/</t>
  </si>
  <si>
    <t>47.869414 56.645674</t>
  </si>
  <si>
    <t>AutoSelf</t>
  </si>
  <si>
    <t>ул. Строителей, 93А, Йошкар-Ола</t>
  </si>
  <si>
    <t>+7 (987) 706-63-21</t>
  </si>
  <si>
    <t>https://vk.com/autoself_12</t>
  </si>
  <si>
    <t>https://instagram.com/service_autoself</t>
  </si>
  <si>
    <t>47.854648 56.623861</t>
  </si>
  <si>
    <t>47.922748 56.642539</t>
  </si>
  <si>
    <t>Пит-Стоп</t>
  </si>
  <si>
    <t>+7 (8362) 24-14-24</t>
  </si>
  <si>
    <t>47.894458 56.610741</t>
  </si>
  <si>
    <t>Dress</t>
  </si>
  <si>
    <t>Магазин белья и купальников, Магазин одежды, Магазин чулок и колготок, Трикотаж, трикотажные изделия</t>
  </si>
  <si>
    <t>47.899107 56.644008</t>
  </si>
  <si>
    <t>Первый рыболовный</t>
  </si>
  <si>
    <t>47.88711 56.644515</t>
  </si>
  <si>
    <t>47.955013 56.653246</t>
  </si>
  <si>
    <t>Республиканская клиническая больница, отделение лучевой диагностики</t>
  </si>
  <si>
    <t>+7 (8362) 46-02-70</t>
  </si>
  <si>
    <t>47.925622 56.634437</t>
  </si>
  <si>
    <t>Палитра, Производственный цех</t>
  </si>
  <si>
    <t>Lux Cover</t>
  </si>
  <si>
    <t>+7 (999) 609-99-60</t>
  </si>
  <si>
    <t xml:space="preserve">sv-klad@mail.ru  </t>
  </si>
  <si>
    <t>http://luxcover.ru/</t>
  </si>
  <si>
    <t>Автоаксессуары, Автоателье, Автокресла</t>
  </si>
  <si>
    <t>https://www.instagram.com/lux__cover</t>
  </si>
  <si>
    <t>47.863387 56.617561</t>
  </si>
  <si>
    <t>47.921994 56.629049</t>
  </si>
  <si>
    <t>Vape Точка</t>
  </si>
  <si>
    <t>https://vk.com/vape_tochka12</t>
  </si>
  <si>
    <t>+7 (905) 182-78-42</t>
  </si>
  <si>
    <t>47.893032 56.629369</t>
  </si>
  <si>
    <t>47.833252 56.636758</t>
  </si>
  <si>
    <t>Монтессори бэби</t>
  </si>
  <si>
    <t>+7 (8362) 32-83-08</t>
  </si>
  <si>
    <t>47.881958 56.645834</t>
  </si>
  <si>
    <t>47.838643 56.641574</t>
  </si>
  <si>
    <t>47.95058 56.621176</t>
  </si>
  <si>
    <t>По-домашнему</t>
  </si>
  <si>
    <t>Медицинская ул., 6А, Йошкар-Ола</t>
  </si>
  <si>
    <t>+7 (917) 712-18-57</t>
  </si>
  <si>
    <t>47.958847 56.640438</t>
  </si>
  <si>
    <t>Лучше, чем дома, на Воскресенском</t>
  </si>
  <si>
    <t>47.91752 56.64069</t>
  </si>
  <si>
    <t>Главный головной, Офис</t>
  </si>
  <si>
    <t>бул. Чавайна, 10В, Йошкар-Ола</t>
  </si>
  <si>
    <t>47.923045 56.629946</t>
  </si>
  <si>
    <t>ул. Баумана, 26, Йошкар-Ола</t>
  </si>
  <si>
    <t>+7 (8362) 96-09-05</t>
  </si>
  <si>
    <t xml:space="preserve">fin_zaschita@mail.ru  </t>
  </si>
  <si>
    <t>http://yuristx.nethouse.ru/</t>
  </si>
  <si>
    <t>https://vk.com/fin_zaschita</t>
  </si>
  <si>
    <t>47.846653 56.635679</t>
  </si>
  <si>
    <t>Ingsist12</t>
  </si>
  <si>
    <t>ул. Серова, 116, Йошкар-Ола</t>
  </si>
  <si>
    <t>47.879181 56.656094</t>
  </si>
  <si>
    <t>Амиго</t>
  </si>
  <si>
    <t>Детские игровые залы и площадки, Центр развития ребенка</t>
  </si>
  <si>
    <t>47.907954 56.630298</t>
  </si>
  <si>
    <t>Мир оборудования</t>
  </si>
  <si>
    <t>+7 (917) 712-12-77, +7 (917) 710-73-37</t>
  </si>
  <si>
    <t>47.863981 56.651431</t>
  </si>
  <si>
    <t>47.86207 56.615553</t>
  </si>
  <si>
    <t>47.937665 56.635351</t>
  </si>
  <si>
    <t>Ночной клуб Stone club</t>
  </si>
  <si>
    <t>47.890112 56.639002</t>
  </si>
  <si>
    <t>Студия 8</t>
  </si>
  <si>
    <t>+7 (8362) 30-55-30</t>
  </si>
  <si>
    <t>пн-пт 08:00–20:00; сб 09:00–16:00</t>
  </si>
  <si>
    <t>47.917695 56.641013</t>
  </si>
  <si>
    <t>Красноармейская ул., 76Б, Йошкар-Ола</t>
  </si>
  <si>
    <t>47.877923 56.645828</t>
  </si>
  <si>
    <t>ИП Тайгозин М. А.</t>
  </si>
  <si>
    <t>+7 (962) 588-21-12</t>
  </si>
  <si>
    <t>Арбитражный управляющий Сергей Васильков</t>
  </si>
  <si>
    <t>+7 (960) 095-96-06, +7 (909) 369-19-77</t>
  </si>
  <si>
    <t>Срочный ремонт одежды</t>
  </si>
  <si>
    <t>47.889599 56.642654</t>
  </si>
  <si>
    <t>47.885593 56.619614</t>
  </si>
  <si>
    <t>ТСН Димитрова-75</t>
  </si>
  <si>
    <t>+7 (902) 433-44-89</t>
  </si>
  <si>
    <t>47.855804 56.645856</t>
  </si>
  <si>
    <t>47.891588 56.621814</t>
  </si>
  <si>
    <t>Hohoro</t>
  </si>
  <si>
    <t xml:space="preserve">vendpoint@yandex.ru  </t>
  </si>
  <si>
    <t>http://hohoro.ru/</t>
  </si>
  <si>
    <t>https://zdravcity.ru/, https://asna.ru/</t>
  </si>
  <si>
    <t>пн-пт 18:00–09:00; сб,вс 18:00–08:00</t>
  </si>
  <si>
    <t>Россия, Республика Марий Эл, Йошкар-Ола, проезд Какшан</t>
  </si>
  <si>
    <t>47.909906 56.618543</t>
  </si>
  <si>
    <t>Радуга жилья</t>
  </si>
  <si>
    <t>+7 (8362) 50-60-30</t>
  </si>
  <si>
    <t>47.867016 56.646935</t>
  </si>
  <si>
    <t>Шоу Джинс</t>
  </si>
  <si>
    <t>47.893249 56.638574</t>
  </si>
  <si>
    <t>47.829603 56.639703</t>
  </si>
  <si>
    <t>Клик</t>
  </si>
  <si>
    <t>+7 (8362) 95-40-80</t>
  </si>
  <si>
    <t>Компьютерный ремонт и услуги, Расходные материалы для оргтехники, Ремонт оргтехники, Системы безопасности и охраны</t>
  </si>
  <si>
    <t>47.862759 56.617749</t>
  </si>
  <si>
    <t>Виа СССР</t>
  </si>
  <si>
    <t>+7 (902) 465-91-78</t>
  </si>
  <si>
    <t>Центр бухгалтерского обслуживания</t>
  </si>
  <si>
    <t>Советская ул., 102, Йошкар-Ола</t>
  </si>
  <si>
    <t>+7 (8362) 34-33-43</t>
  </si>
  <si>
    <t>47.899299 56.637856</t>
  </si>
  <si>
    <t>МариМедиа</t>
  </si>
  <si>
    <t>+7 (8362) 45-73-45, +7 (8362) 45-67-31</t>
  </si>
  <si>
    <t>Информационный интернет-сайт, Редакция СМИ, Рекламное агентство</t>
  </si>
  <si>
    <t>47.899887 56.635007</t>
  </si>
  <si>
    <t>Мастер Ок</t>
  </si>
  <si>
    <t>Металлоремонт, Ремонт обуви, Ремонт часов</t>
  </si>
  <si>
    <t>https://vk.com/remontobuvi12</t>
  </si>
  <si>
    <t>Аудит-ТеплоКонтроль</t>
  </si>
  <si>
    <t>+7 (8362) 32-00-63</t>
  </si>
  <si>
    <t xml:space="preserve">info@atk12.ru  </t>
  </si>
  <si>
    <t>http://www.atk12.ru/</t>
  </si>
  <si>
    <t>Проектная организация, Системы водоснабжения, отопления, канализации, Строительство и обслуживание инженерных сетей</t>
  </si>
  <si>
    <t>Трансформаторная подстанция № 175</t>
  </si>
  <si>
    <t>ул. Мира, 31, Йошкар-Ола</t>
  </si>
  <si>
    <t>47.95172 56.625674</t>
  </si>
  <si>
    <t>Реализм</t>
  </si>
  <si>
    <t>+7 (927) 875-01-23, +7 (987) 721-47-59</t>
  </si>
  <si>
    <t>https://realismagency.ru/</t>
  </si>
  <si>
    <t>Интернет-маркетинг, Маркетинговые услуги, Рекламное агентство</t>
  </si>
  <si>
    <t>https://www.instagram.com/a.yarovikov/</t>
  </si>
  <si>
    <t>Полцены</t>
  </si>
  <si>
    <t>+7 (927) 889-29-79</t>
  </si>
  <si>
    <t>https://pcmeb.ru/, http://мебельзаполцены.рф/</t>
  </si>
  <si>
    <t>https://vk.com/pcmebel</t>
  </si>
  <si>
    <t>https://www.youtube.com/channel/UCVqkrff68nMykMCOqD1pblQ</t>
  </si>
  <si>
    <t>https://www.instagram.com/polceny</t>
  </si>
  <si>
    <t>47.844096 56.641047</t>
  </si>
  <si>
    <t>Апгрейд</t>
  </si>
  <si>
    <t>+7 (919) 418-76-34, +7 (919) 418-76-35</t>
  </si>
  <si>
    <t>Корпусная мебель, Мебель на заказ, Шкафы-купе</t>
  </si>
  <si>
    <t>https://vk.com/apgreid_meb</t>
  </si>
  <si>
    <t>+7 (8362) 31-17-37, +7 (8362) 96-13-94</t>
  </si>
  <si>
    <t>+7 (904) 724-17-37</t>
  </si>
  <si>
    <t>Деревообрабатывающее предприятие, Строительная компания</t>
  </si>
  <si>
    <t>47.962979 56.642244</t>
  </si>
  <si>
    <t>47.880995 56.622693</t>
  </si>
  <si>
    <t>47.892739 56.638752</t>
  </si>
  <si>
    <t>47.820878 56.633251</t>
  </si>
  <si>
    <t>https://apteka12plus.ru/cart</t>
  </si>
  <si>
    <t>47.858067 56.644242</t>
  </si>
  <si>
    <t>+7 (902) 743-09-63</t>
  </si>
  <si>
    <t>Детская мебель, Корпусная мебель, Мебель для кухни, Мебель для офиса, Мебель на заказ</t>
  </si>
  <si>
    <t>пн-пт 08:30–17:30; сб 09:00–14:00</t>
  </si>
  <si>
    <t>https://vk.com/mebelkab</t>
  </si>
  <si>
    <t>+7 (8362) 40-07-77</t>
  </si>
  <si>
    <t>+7 (926) 173-66-36</t>
  </si>
  <si>
    <t xml:space="preserve">support@goodwebstudio.com, zakaz@tmpolly.ru  </t>
  </si>
  <si>
    <t>http://www.tmpolly.ru/</t>
  </si>
  <si>
    <t>Детские игрушки и игры, Производственное предприятие</t>
  </si>
  <si>
    <t>Фейерверк Йошкар-Ола</t>
  </si>
  <si>
    <t>47.896236 56.628685</t>
  </si>
  <si>
    <t xml:space="preserve">ingsist12@mail.ru </t>
  </si>
  <si>
    <t>Северный Лес</t>
  </si>
  <si>
    <t>+7 (8362) 54-31-47</t>
  </si>
  <si>
    <t>+7 (964) 864-74-04, +7 (964) 864-31-47</t>
  </si>
  <si>
    <t>Пиломатериалы, Строительный магазин, Строительство дачных домов и коттеджей</t>
  </si>
  <si>
    <t>https://vk.com/sever_les12</t>
  </si>
  <si>
    <t>https://ok.ru/profile/578651393673</t>
  </si>
  <si>
    <t>https://www.instagram.com/severnyy_les12/</t>
  </si>
  <si>
    <t>47.826337 56.625384</t>
  </si>
  <si>
    <t>Katalizators.ru</t>
  </si>
  <si>
    <t>+7 (964) 860-07-50</t>
  </si>
  <si>
    <t>https://vk.com/katservise</t>
  </si>
  <si>
    <t>Сад Мечты</t>
  </si>
  <si>
    <t>+7 (8362) 20-62-15</t>
  </si>
  <si>
    <t xml:space="preserve">sadme4ty12@gmail.com  </t>
  </si>
  <si>
    <t>https://vk.com/sadme4ty12</t>
  </si>
  <si>
    <t>https://www.instagram.com/sadme4ty12</t>
  </si>
  <si>
    <t>47.887117 56.632668</t>
  </si>
  <si>
    <t>Жилой комплекс Княжино</t>
  </si>
  <si>
    <t>+7 (8362) 23-17-57, +7 (8362) 23-17-87, +7 (8362) 23-17-97</t>
  </si>
  <si>
    <t xml:space="preserve">gkyola@mail.ru </t>
  </si>
  <si>
    <t>http://княжино.рф/</t>
  </si>
  <si>
    <t>47.882046 56.634273</t>
  </si>
  <si>
    <t>ИП Короткова Т. Н.</t>
  </si>
  <si>
    <t>+7 (969) 778-57-75</t>
  </si>
  <si>
    <t>ул. Петрова, 20/1, Йошкар-Ола</t>
  </si>
  <si>
    <t>47.924359 56.637637</t>
  </si>
  <si>
    <t>Эшпая 143</t>
  </si>
  <si>
    <t>47.88283 56.6371</t>
  </si>
  <si>
    <t>Elektro-mall.ru</t>
  </si>
  <si>
    <t>8 (800) 551-87-08</t>
  </si>
  <si>
    <t xml:space="preserve">info@elektro-mall.ru, yoshkar.ola@elektro-mall.ru  </t>
  </si>
  <si>
    <t>https://yoshkar-ola.elektro-mall.ru/</t>
  </si>
  <si>
    <t>Магазин электротранспорта</t>
  </si>
  <si>
    <t>Трансформаторная подстанция № 95</t>
  </si>
  <si>
    <t>47.899697 56.626966</t>
  </si>
  <si>
    <t>+7 (927) 883-02-52</t>
  </si>
  <si>
    <t>47.890915 56.643687</t>
  </si>
  <si>
    <t>Здоровый мир Альсария Йошкар-Ола</t>
  </si>
  <si>
    <t>+7 (987) 719-77-96, +7 (917) 707-01-74</t>
  </si>
  <si>
    <t xml:space="preserve">info@zdorovmir.com  </t>
  </si>
  <si>
    <t>http://zdorovmir.com/</t>
  </si>
  <si>
    <t>47.847885 56.645861</t>
  </si>
  <si>
    <t>+7 (927) 882-37-32</t>
  </si>
  <si>
    <t>https://vk.com/wall-191744613</t>
  </si>
  <si>
    <t>47.919795 56.632634</t>
  </si>
  <si>
    <t>Казанский посад</t>
  </si>
  <si>
    <t>+7 (8362) 31-62-60</t>
  </si>
  <si>
    <t>47.917937 56.641484</t>
  </si>
  <si>
    <t>Автомастерская по замене масла</t>
  </si>
  <si>
    <t>+7 (8362) 33-33-37</t>
  </si>
  <si>
    <t>Фабрика мастеров</t>
  </si>
  <si>
    <t>+7 (960) 098-08-27</t>
  </si>
  <si>
    <t>47.894612 56.641419</t>
  </si>
  <si>
    <t>47.839109 56.645118</t>
  </si>
  <si>
    <t>ул. Мира, 24, Йошкар-Ола</t>
  </si>
  <si>
    <t>+7 (8362) 61-62-63</t>
  </si>
  <si>
    <t>Аренда строительной и спецтехники, Компрессоры и компрессорное оборудование</t>
  </si>
  <si>
    <t>47.946348 56.633169</t>
  </si>
  <si>
    <t>+7 (902) 325-27-17</t>
  </si>
  <si>
    <t xml:space="preserve">info@triumph-furs.ru, ecoingcomit@yandex.ru </t>
  </si>
  <si>
    <t>Магазин верхней одежды, Магазин кожи и меха, Магазин одежды</t>
  </si>
  <si>
    <t>https://www.instagram.com/triumph.furs/</t>
  </si>
  <si>
    <t>47.892998 56.638582</t>
  </si>
  <si>
    <t>Гостевой дом Загородный</t>
  </si>
  <si>
    <t>47.82468 56.65654</t>
  </si>
  <si>
    <t>47.852941 56.639314</t>
  </si>
  <si>
    <t>Семейная стоматология</t>
  </si>
  <si>
    <t>+7 (8362) 38-31-38</t>
  </si>
  <si>
    <t xml:space="preserve">admin@website.ru, sstom-12@yandex.ru  </t>
  </si>
  <si>
    <t>https://stom12.ru/</t>
  </si>
  <si>
    <t>https://www.instagram.com/sstom12/</t>
  </si>
  <si>
    <t>47.828327 56.635377</t>
  </si>
  <si>
    <t>Гигант</t>
  </si>
  <si>
    <t>вт 10:00–14:00; ср 10:00–18:00; чт 10:00–14:00</t>
  </si>
  <si>
    <t>Воскресенская наб., 10, Йошкар-Ола</t>
  </si>
  <si>
    <t>47.902733 56.636147</t>
  </si>
  <si>
    <t>Ремонт автокондиционеров</t>
  </si>
  <si>
    <t>47.9021 56.616757</t>
  </si>
  <si>
    <t>Инфо-Телеком отделение № 3</t>
  </si>
  <si>
    <t>Хмелёфф</t>
  </si>
  <si>
    <t>+7 (8362) 92-92-10</t>
  </si>
  <si>
    <t>https://vk.com/hmeleffpivo</t>
  </si>
  <si>
    <t>47.86992 56.646091</t>
  </si>
  <si>
    <t>+7 (967) 756-52-60</t>
  </si>
  <si>
    <t>Магазин для садоводов, Магазин сантехники, Магазин электротоваров, Строительный магазин</t>
  </si>
  <si>
    <t>47.835966 56.641485</t>
  </si>
  <si>
    <t>Мастерская художественной ковки</t>
  </si>
  <si>
    <t>47.904784 56.650941</t>
  </si>
  <si>
    <t>+7 (917) 700-78-79</t>
  </si>
  <si>
    <t>КартСервис</t>
  </si>
  <si>
    <t>Изготовление пластиковых карт</t>
  </si>
  <si>
    <t>ул. Шабдара, 7А, Йошкар-Ола</t>
  </si>
  <si>
    <t>47.893038 56.651974</t>
  </si>
  <si>
    <t>47.92494 56.625822</t>
  </si>
  <si>
    <t>+7 (8362) 73-32-22</t>
  </si>
  <si>
    <t>пн-пт 07:30–20:00; сб,вс 09:00–17:00</t>
  </si>
  <si>
    <t>47.839718 56.634758</t>
  </si>
  <si>
    <t>Платежный терминал, банк Хоум Кредит</t>
  </si>
  <si>
    <t>Музей сыра</t>
  </si>
  <si>
    <t>47.906307 56.630271</t>
  </si>
  <si>
    <t>Дымок</t>
  </si>
  <si>
    <t>Гуравто</t>
  </si>
  <si>
    <t>+7 (8362) 43-44-31</t>
  </si>
  <si>
    <t>+7 (960) 090-07-00</t>
  </si>
  <si>
    <t>Загородного Отдыха</t>
  </si>
  <si>
    <t>http://ozero12.ru/</t>
  </si>
  <si>
    <t>47.871286 56.645783</t>
  </si>
  <si>
    <t>Гудсофт</t>
  </si>
  <si>
    <t>+7 (902) 737-50-16</t>
  </si>
  <si>
    <t xml:space="preserve">info@gudsoft.ru </t>
  </si>
  <si>
    <t>IT-компания, Интернет-маркетинг, Программное обеспечение</t>
  </si>
  <si>
    <t>Компания Фитородник, представительство в г. Йошкар-Ола</t>
  </si>
  <si>
    <t>8 (800) 333-20-29</t>
  </si>
  <si>
    <t xml:space="preserve">office@fitorodnik.ru  </t>
  </si>
  <si>
    <t>https://yoshkarola.fitorodnik.ru/</t>
  </si>
  <si>
    <t>СМ Групп</t>
  </si>
  <si>
    <t>+7 (8362) 27-78-12, +7 (8362) 45-07-18</t>
  </si>
  <si>
    <t>ежедневно, 09:30–17:30</t>
  </si>
  <si>
    <t>Стекло12</t>
  </si>
  <si>
    <t>ул. Вавилова, 32, Йошкар-Ола</t>
  </si>
  <si>
    <t>47.879157 56.650963</t>
  </si>
  <si>
    <t>+7 (8362) 42-36-70</t>
  </si>
  <si>
    <t>47.885695 56.635065</t>
  </si>
  <si>
    <t>Сумки, кошельки</t>
  </si>
  <si>
    <t>47.946981 56.626288</t>
  </si>
  <si>
    <t>Budka</t>
  </si>
  <si>
    <t>+7 (902) 108-86-67, +7 (906) 336-69-65</t>
  </si>
  <si>
    <t xml:space="preserve">budkazoo12@gmail.com  </t>
  </si>
  <si>
    <t>http://hipolink.me/budka_zoomag12</t>
  </si>
  <si>
    <t>https://vk.com/budka_12</t>
  </si>
  <si>
    <t>https://instagram.com/budka.12?igshid=1n67ceqkcoeih</t>
  </si>
  <si>
    <t>Бакалея резерв</t>
  </si>
  <si>
    <t xml:space="preserve">repin@kuvshinka.su </t>
  </si>
  <si>
    <t>Марийские Срубы</t>
  </si>
  <si>
    <t>47.900768 56.646857</t>
  </si>
  <si>
    <t>Ух ты</t>
  </si>
  <si>
    <t>47.881933 56.632425</t>
  </si>
  <si>
    <t>ГК Заречный</t>
  </si>
  <si>
    <t>47.93737 56.636047</t>
  </si>
  <si>
    <t>https://vk.com/club134720611</t>
  </si>
  <si>
    <t>47.946421 56.623017</t>
  </si>
  <si>
    <t>Жилищная Коммунальная Компания</t>
  </si>
  <si>
    <t>47.878355 56.647041</t>
  </si>
  <si>
    <t>Sernur. tech</t>
  </si>
  <si>
    <t>IT-компания, Студия дизайна</t>
  </si>
  <si>
    <t>https://www.facebook.com/sernur.tech/</t>
  </si>
  <si>
    <t>Гостехнадзор</t>
  </si>
  <si>
    <t>пн-чт 08:30–16:00, перерыв 11:30–13:00</t>
  </si>
  <si>
    <t>47.896926 56.63973</t>
  </si>
  <si>
    <t>Проф-ремонт.рф</t>
  </si>
  <si>
    <t>Ленинградское ш., 71Б, стр. 4, Москва</t>
  </si>
  <si>
    <t>+7 (495) 502-25-40</t>
  </si>
  <si>
    <t>+7 (916) 845-55-53, +7 (905) 585-68-58</t>
  </si>
  <si>
    <t xml:space="preserve">girl.a.beauty@gmail.com </t>
  </si>
  <si>
    <t>http://проф-ремонт.рф/</t>
  </si>
  <si>
    <t>Ремонт мебели, Реставрационная мастерская</t>
  </si>
  <si>
    <t>47.890104 56.643322</t>
  </si>
  <si>
    <t>Колледж государственной и муниципальной службы</t>
  </si>
  <si>
    <t>ул. 8 Марта, 26, Йошкар-Ола</t>
  </si>
  <si>
    <t>+7 (8362) 23-26-26</t>
  </si>
  <si>
    <t xml:space="preserve">yoshkarolamail@gmail.com  </t>
  </si>
  <si>
    <t>http://kgims12.ru/</t>
  </si>
  <si>
    <t>Колледж, Техникум</t>
  </si>
  <si>
    <t>47.952004 56.642708</t>
  </si>
  <si>
    <t xml:space="preserve">none@none.ru, mmk12.ru@yandex.ru </t>
  </si>
  <si>
    <t>Россия, Республика Марий Эл, Йошкар-Ола, улица Халтурина</t>
  </si>
  <si>
    <t>47.87515 56.654891</t>
  </si>
  <si>
    <t>47.924499 56.642786</t>
  </si>
  <si>
    <t>ГК ОКА</t>
  </si>
  <si>
    <t>47.858736 56.640918</t>
  </si>
  <si>
    <t>+7 (8362) 32-45-73</t>
  </si>
  <si>
    <t>47.907195 56.629573</t>
  </si>
  <si>
    <t>47.829844 56.637422</t>
  </si>
  <si>
    <t>Отделение восстановительного лечения</t>
  </si>
  <si>
    <t>+7 (906) 134-85-70</t>
  </si>
  <si>
    <t>Заряд</t>
  </si>
  <si>
    <t>+7 (8362) 55-09-09</t>
  </si>
  <si>
    <t>+7 (967) 755-09-09</t>
  </si>
  <si>
    <t>https://vk.com/zaryad12</t>
  </si>
  <si>
    <t>Айболит12</t>
  </si>
  <si>
    <t>+7 (902) 439-11-00</t>
  </si>
  <si>
    <t>47.909492 56.612127</t>
  </si>
  <si>
    <t>+7 (927) 875-88-82, +7 (962) 588-35-95</t>
  </si>
  <si>
    <t>47.913808 56.64193</t>
  </si>
  <si>
    <t>47.875388 56.619423</t>
  </si>
  <si>
    <t>+7 (902) 744-30-38</t>
  </si>
  <si>
    <t>47.885696 56.635525</t>
  </si>
  <si>
    <t>Йошкар-Олинская ПМК</t>
  </si>
  <si>
    <t>+7 (8362) 63-54-00, +7 (8362) 63-52-30, +7 (8362) 63-53-70, +7 (8362) 50-50-01</t>
  </si>
  <si>
    <t>+7 (8362) 63-53-80</t>
  </si>
  <si>
    <t>Металлоконструкции, Металлопрокат, Системы водоснабжения, отопления, канализации, Строительный магазин</t>
  </si>
  <si>
    <t>Кафе Таир</t>
  </si>
  <si>
    <t>47.890093 56.646317</t>
  </si>
  <si>
    <t>ИП Сахбеев А. М.</t>
  </si>
  <si>
    <t>+7 (965) 608-75-93</t>
  </si>
  <si>
    <t>Срочное фото на документы</t>
  </si>
  <si>
    <t>47.895109 56.639629</t>
  </si>
  <si>
    <t>Республиканская офтальмологическая больница им. Г. И. Григорьева Детское хирургическое отделение</t>
  </si>
  <si>
    <t>+7 (8362) 42-23-24</t>
  </si>
  <si>
    <t>http://pro68a.polickliniki.ru/</t>
  </si>
  <si>
    <t>Печи</t>
  </si>
  <si>
    <t>47.839632 56.626918</t>
  </si>
  <si>
    <t>Автосервис, автотехцентр, Диагностический центр, Ремонт АКПП, Ремонт двигателей, Шиномонтаж</t>
  </si>
  <si>
    <t>47.870862 56.643099</t>
  </si>
  <si>
    <t>Бирлин</t>
  </si>
  <si>
    <t>+7 (906) 138-05-90</t>
  </si>
  <si>
    <t>Салон лазерной эпиляции и коррекции фигуры Ваше Сиятельство</t>
  </si>
  <si>
    <t xml:space="preserve">lazer-direct@yandex.ru  </t>
  </si>
  <si>
    <t>Косметология, Лазерная эпиляция, Массажный салон</t>
  </si>
  <si>
    <t>+7 (917) 716-41-19</t>
  </si>
  <si>
    <t>Сластенка</t>
  </si>
  <si>
    <t>47.877893 56.63927</t>
  </si>
  <si>
    <t>пн-пт 19:30–20:30</t>
  </si>
  <si>
    <t>47.895638 56.625163</t>
  </si>
  <si>
    <t>+7 (902) 100-18-90</t>
  </si>
  <si>
    <t xml:space="preserve">clients@1001remen.ru  </t>
  </si>
  <si>
    <t>https://vk.com/remen1001</t>
  </si>
  <si>
    <t>Yola-Poisk.ru</t>
  </si>
  <si>
    <t>+7 (902) 739-13-25</t>
  </si>
  <si>
    <t xml:space="preserve">info@yola-poisk.ru  </t>
  </si>
  <si>
    <t>https://yola-poisk.ru/news</t>
  </si>
  <si>
    <t>https://vk.com/yola_poisk</t>
  </si>
  <si>
    <t>47.924253 56.638181</t>
  </si>
  <si>
    <t>Norman</t>
  </si>
  <si>
    <t>Окна Завода</t>
  </si>
  <si>
    <t>+7 (8362) 34-72-01</t>
  </si>
  <si>
    <t xml:space="preserve">1fbf25e90f114a3d83a19aa4fa432dcf@sentry.itgalaxy.company, okna@oknazavoda.ru, marketing@srskirov.ru, info@itgalaxy.company  </t>
  </si>
  <si>
    <t>https://oknazavoda.ru/, https://yola.oknazavoda.ru/</t>
  </si>
  <si>
    <t>47.837786 56.635474</t>
  </si>
  <si>
    <t>+7 (8362) 34-10-90</t>
  </si>
  <si>
    <t>+7 (902) 329-99-29</t>
  </si>
  <si>
    <t>Россия, Республика Марий Эл, Йошкар-Ола, 3-й переулок Чайкиной</t>
  </si>
  <si>
    <t>47.894089 56.620793</t>
  </si>
  <si>
    <t>Реф Холод</t>
  </si>
  <si>
    <t>47.871794 56.619005</t>
  </si>
  <si>
    <t>Селфи</t>
  </si>
  <si>
    <t>47.895457 56.631906</t>
  </si>
  <si>
    <t>Музей истории Православия</t>
  </si>
  <si>
    <t>Воскресенская наб., 18, Йошкар-Ола</t>
  </si>
  <si>
    <t>+7 (8362) 34-90-43, +7 (8362) 45-23-33</t>
  </si>
  <si>
    <t xml:space="preserve">mip12reg@yandex.ru, evseev-museum@mail.ru  </t>
  </si>
  <si>
    <t>https://vk.com/mip12reg</t>
  </si>
  <si>
    <t>47.90326 56.635553</t>
  </si>
  <si>
    <t>47.882197 56.63237</t>
  </si>
  <si>
    <t>Магазин трикотажных изделий и текстиля</t>
  </si>
  <si>
    <t>Магазин верхней одежды, Магазин джинсовой одежды</t>
  </si>
  <si>
    <t>РОО Федерация регби Республики Марий Эл</t>
  </si>
  <si>
    <t>+7 (929) 733-14-30</t>
  </si>
  <si>
    <t>47.922101 56.638175</t>
  </si>
  <si>
    <t>Россия, Республика Марий Эл, Йошкар-Ола, улица Куйбышева</t>
  </si>
  <si>
    <t>47.850844 56.651295</t>
  </si>
  <si>
    <t>Flat-Luxe Na Bulvare Pobedyi 12 6 Apartments</t>
  </si>
  <si>
    <t>47.879513 56.638996</t>
  </si>
  <si>
    <t>Greenwich Study Centre</t>
  </si>
  <si>
    <t>Golden Kid's art</t>
  </si>
  <si>
    <t>Интернет-магазин, Магазин детской одежды, Производственное предприятие</t>
  </si>
  <si>
    <t>47.918498 56.635755</t>
  </si>
  <si>
    <t>47.890842 56.62067</t>
  </si>
  <si>
    <t>Мебель по карману</t>
  </si>
  <si>
    <t>Корпусная мебель, Мебель для кухни</t>
  </si>
  <si>
    <t>47.88766 56.647697</t>
  </si>
  <si>
    <t>+7 (902) 326-44-58</t>
  </si>
  <si>
    <t>ежедневно, 11:00–19:00, перерыв 14:00–15:00</t>
  </si>
  <si>
    <t>47.856452 56.643782</t>
  </si>
  <si>
    <t>Единый центр обследований предприятий</t>
  </si>
  <si>
    <t>+7 (996) 777-12-60</t>
  </si>
  <si>
    <t>http://energopasport.pro/</t>
  </si>
  <si>
    <t>Квартал</t>
  </si>
  <si>
    <t>https://kvartal-yoshkar-ola.business.site/</t>
  </si>
  <si>
    <t>Строительная компания, Строительные и отделочные работы, Фасады и фасадные системы</t>
  </si>
  <si>
    <t>47.869774 56.654496</t>
  </si>
  <si>
    <t>Цветной</t>
  </si>
  <si>
    <t>+7 (987) 672-13-17</t>
  </si>
  <si>
    <t>Магазин подарков и сувениров, Товары для творчества и рукоделия</t>
  </si>
  <si>
    <t>47.929093 56.627956</t>
  </si>
  <si>
    <t>47.889824 56.638326</t>
  </si>
  <si>
    <t>Студия массажа лица и коррекции фигуры XS</t>
  </si>
  <si>
    <t>http://mirxs.ru/</t>
  </si>
  <si>
    <t>https://vk.com/yolalpg</t>
  </si>
  <si>
    <t>https://instagram.com/yolalpg?igshid=198io0nmpd57s</t>
  </si>
  <si>
    <t>47.854909 56.644196</t>
  </si>
  <si>
    <t>Экология сервис</t>
  </si>
  <si>
    <t>+7 (8362) 41-29-74, +7 (8362) 64-16-85</t>
  </si>
  <si>
    <t>Водоочистка, водоочистное оборудование</t>
  </si>
  <si>
    <t>47.844602 56.641007</t>
  </si>
  <si>
    <t>+7 (8362) 78-77-89</t>
  </si>
  <si>
    <t>47.839831 56.644944</t>
  </si>
  <si>
    <t>Магазин пряжи и швейной фурнитуры</t>
  </si>
  <si>
    <t>ул. Прохорова, 30А, Йошкар-Ола</t>
  </si>
  <si>
    <t>47.833462 56.633493</t>
  </si>
  <si>
    <t>ГБУ Республиканская клиническая больница, отделение анестезиологии-реанимации № 1</t>
  </si>
  <si>
    <t>+7 (8362) 45-28-31</t>
  </si>
  <si>
    <t>Ведущий на свадьбу Евгений Опарин</t>
  </si>
  <si>
    <t>+7 (964) 860-33-00, +7 (917) 702-62-89</t>
  </si>
  <si>
    <t>Ведущие праздников и мероприятий</t>
  </si>
  <si>
    <t>https://vk.com/oparinlook</t>
  </si>
  <si>
    <t>47.843228 56.641044</t>
  </si>
  <si>
    <t>Магазин Рыбный</t>
  </si>
  <si>
    <t>+7 (967) 755-02-62</t>
  </si>
  <si>
    <t>Лайтекс</t>
  </si>
  <si>
    <t>+7 (902) 739-18-26</t>
  </si>
  <si>
    <t xml:space="preserve">info@weblitex.ru  </t>
  </si>
  <si>
    <t>https://weblitex.ru/</t>
  </si>
  <si>
    <t>47.83565 56.649072</t>
  </si>
  <si>
    <t>Караоке-клуб Чили</t>
  </si>
  <si>
    <t>+7 (8362) 49-47-77, +7 (8362) 48-88-84</t>
  </si>
  <si>
    <t>https://vk.com/chili_lounge</t>
  </si>
  <si>
    <t>https://www.instagram.com/chili_lounge</t>
  </si>
  <si>
    <t>47.932282 56.634565</t>
  </si>
  <si>
    <t>СтройМари</t>
  </si>
  <si>
    <t>+7 (937) 111-70-50, +7 (937) 937-28-87</t>
  </si>
  <si>
    <t>https://строймари.рф/</t>
  </si>
  <si>
    <t>https://vk.com/stroimari1</t>
  </si>
  <si>
    <t>Онкологическое отделение</t>
  </si>
  <si>
    <t>Магазин пиломатериалов</t>
  </si>
  <si>
    <t>47.95781 56.650622</t>
  </si>
  <si>
    <t>Обувной салон СандалеТТО</t>
  </si>
  <si>
    <t>+7 (987) 701-99-98</t>
  </si>
  <si>
    <t>https://www.instagram.com/sanda_letto</t>
  </si>
  <si>
    <t>47.939463 56.633011</t>
  </si>
  <si>
    <t>Дигт телеком</t>
  </si>
  <si>
    <t>+7 (8362) 33-80-08</t>
  </si>
  <si>
    <t xml:space="preserve">info@digt.ru  </t>
  </si>
  <si>
    <t>http://digt.ru/</t>
  </si>
  <si>
    <t>47.914312 56.62746</t>
  </si>
  <si>
    <t>Россия, Республика Марий Эл, Йошкар-Ола, улица Розы Люксембург</t>
  </si>
  <si>
    <t>47.950176 56.64571</t>
  </si>
  <si>
    <t>Трансформаторная подстанция № 386</t>
  </si>
  <si>
    <t>47.860129 56.651578</t>
  </si>
  <si>
    <t>+7 (8362) 41-35-96</t>
  </si>
  <si>
    <t>47.886665 56.626849</t>
  </si>
  <si>
    <t>ул. Мира, 34/2, Йошкар-Ола</t>
  </si>
  <si>
    <t>47.943531 56.635067</t>
  </si>
  <si>
    <t>Бор-2</t>
  </si>
  <si>
    <t>+7 (8362) 73-43-78</t>
  </si>
  <si>
    <t>47.846224 56.636201</t>
  </si>
  <si>
    <t>Милано Kids</t>
  </si>
  <si>
    <t>+7 (8362) 43-04-33</t>
  </si>
  <si>
    <t>http://milano12.ru/</t>
  </si>
  <si>
    <t>Кафе, Пиццерия</t>
  </si>
  <si>
    <t>47.83326 56.64179</t>
  </si>
  <si>
    <t>47.83603 56.641449</t>
  </si>
  <si>
    <t>Apartment on Y Kyrlia</t>
  </si>
  <si>
    <t>47.82464 56.63845</t>
  </si>
  <si>
    <t>Первый визово-туристический центр</t>
  </si>
  <si>
    <t>8 (800) 550-44-74, +7 (8362) 45-03-22</t>
  </si>
  <si>
    <t>+7 (939) 725-88-66</t>
  </si>
  <si>
    <t xml:space="preserve">cdn.jsdelivr.net_gh_kenwheeler_slick@1.8.1_slick_slick.min.js, ivfn-geniry.byn@lnaqrk.eh, visa-travel.ola@yandex.ru  </t>
  </si>
  <si>
    <t>https://visatravel-ola.ru/</t>
  </si>
  <si>
    <t>пн-пт 10:00–19:00; сб,вс 11:30–16:30</t>
  </si>
  <si>
    <t>https://vk.com/visaola</t>
  </si>
  <si>
    <t>https://www.instagram.com/visa_travel.ola</t>
  </si>
  <si>
    <t>Эко липа</t>
  </si>
  <si>
    <t>+7 (964) 864-15-98</t>
  </si>
  <si>
    <t xml:space="preserve">ecolipa12@mail.ru </t>
  </si>
  <si>
    <t>http://липа12.рф/</t>
  </si>
  <si>
    <t>47.932621 56.644054</t>
  </si>
  <si>
    <t>Санда</t>
  </si>
  <si>
    <t>47.867579 56.635187</t>
  </si>
  <si>
    <t>Yo-gaz</t>
  </si>
  <si>
    <t>+7 (8362) 33-33-44, +7 (8362) 32-52-43</t>
  </si>
  <si>
    <t>+7 (937) 117-76-08</t>
  </si>
  <si>
    <t xml:space="preserve">yo-gaz@bk.ru  </t>
  </si>
  <si>
    <t>http://yo-gaz.ru/</t>
  </si>
  <si>
    <t>пн-сб 08:00–19:00; вс 08:00–16:00</t>
  </si>
  <si>
    <t>47.866165 56.616667</t>
  </si>
  <si>
    <t>ОП Компания Поставка</t>
  </si>
  <si>
    <t>47.869579 56.653972</t>
  </si>
  <si>
    <t>+7 (8362) 36-35-08</t>
  </si>
  <si>
    <t>Лысковский мясокомбинат</t>
  </si>
  <si>
    <t>47.829724 56.635836</t>
  </si>
  <si>
    <t>47.897537 56.640968</t>
  </si>
  <si>
    <t>вт-сб 10:00–16:00</t>
  </si>
  <si>
    <t>+7 (8362) 33-60-55</t>
  </si>
  <si>
    <t xml:space="preserve">ceo@pamyat21.ru </t>
  </si>
  <si>
    <t>https://www.pamyat21.com/, http://pamyat21.ru/</t>
  </si>
  <si>
    <t>47.888349 56.649207</t>
  </si>
  <si>
    <t>LineAuto</t>
  </si>
  <si>
    <t>Автоаксессуары, Автоателье, Магазин автозапчастей и автотоваров</t>
  </si>
  <si>
    <t>Алиди</t>
  </si>
  <si>
    <t>+7 (8362) 74-22-18</t>
  </si>
  <si>
    <t xml:space="preserve">alidi@alidi.ru  </t>
  </si>
  <si>
    <t>http://www.alidi.ru/</t>
  </si>
  <si>
    <t>Логистическая компания, Складские услуги</t>
  </si>
  <si>
    <t>https://vk.com/alidi_career</t>
  </si>
  <si>
    <t>https://www.facebook.com/alidi.group</t>
  </si>
  <si>
    <t>https://www.instagram.com/alidi_career</t>
  </si>
  <si>
    <t>Ulaps.ru</t>
  </si>
  <si>
    <t>+7 (995) 342-32-04</t>
  </si>
  <si>
    <t xml:space="preserve">info@yandutov.ru  </t>
  </si>
  <si>
    <t>https://yola.ulaps.ru/</t>
  </si>
  <si>
    <t>Интернет-магазин, Спецодежда</t>
  </si>
  <si>
    <t>ЭкспоТех</t>
  </si>
  <si>
    <t>8 (800) 333-93-65</t>
  </si>
  <si>
    <t xml:space="preserve">sale@po-expotech.ru  </t>
  </si>
  <si>
    <t>https://yoshkar-ola.po-expotech.ru/</t>
  </si>
  <si>
    <t>Буровое оборудование</t>
  </si>
  <si>
    <t>Жилой дом по ул. Успенская</t>
  </si>
  <si>
    <t>Успенская ул., 11Г, Йошкар-Ола</t>
  </si>
  <si>
    <t>https://pmk-9.ru/yspenskaya-poz3.html</t>
  </si>
  <si>
    <t>47.883137 56.627926</t>
  </si>
  <si>
    <t>Курьер Сервис Экспресс</t>
  </si>
  <si>
    <t>8 (800) 555-14-44, +7 (8362) 55-50-02, +7 (8362) 55-50-03</t>
  </si>
  <si>
    <t xml:space="preserve">office@bax.cse.ru, info@cse.ru  </t>
  </si>
  <si>
    <t>https://www.cse.ru/</t>
  </si>
  <si>
    <t>https://vk.com/cse.russia</t>
  </si>
  <si>
    <t>https://www.facebook.com/cse.russia</t>
  </si>
  <si>
    <t>https://www.instagram.com/cse.official/</t>
  </si>
  <si>
    <t>Утеплители</t>
  </si>
  <si>
    <t>47.839632 56.626925</t>
  </si>
  <si>
    <t>47.936991 56.625182</t>
  </si>
  <si>
    <t>47.879391 56.629622</t>
  </si>
  <si>
    <t>Socks_accessories</t>
  </si>
  <si>
    <t>+7 (919) 419-83-54</t>
  </si>
  <si>
    <t>47.895145 56.640215</t>
  </si>
  <si>
    <t>Магазин косметики и бижутерии</t>
  </si>
  <si>
    <t>8 (800) 301-19-65</t>
  </si>
  <si>
    <t>http://планетаодеждаобувь.рф/</t>
  </si>
  <si>
    <t>https://www.instagram.com/planetaodezhdaobuv_rus/</t>
  </si>
  <si>
    <t>47.906481 56.62749</t>
  </si>
  <si>
    <t>Парикмахерская Софи</t>
  </si>
  <si>
    <t>+7 (8362) 29-23-99</t>
  </si>
  <si>
    <t>Сетевые решения</t>
  </si>
  <si>
    <t>+7 (8362) 56-35-23, +7 (8362) 56-27-10, +7 (8362) 23-29-59</t>
  </si>
  <si>
    <t>http://alfanets.ru/</t>
  </si>
  <si>
    <t>Приволжский</t>
  </si>
  <si>
    <t>+7 (8362) 41-01-14</t>
  </si>
  <si>
    <t xml:space="preserve">info@fgupvolga.ru  </t>
  </si>
  <si>
    <t>http://www.fgupvolga.ru/</t>
  </si>
  <si>
    <t>пн-чт 09:00–18:00</t>
  </si>
  <si>
    <t>47.956054 56.640056</t>
  </si>
  <si>
    <t>Театральная студия ТеАрт</t>
  </si>
  <si>
    <t>Комсомольская ул., 165/2, Йошкар-Ола</t>
  </si>
  <si>
    <t>+7 (964) 862-89-86</t>
  </si>
  <si>
    <t xml:space="preserve">redstarredarmy@gmail.com  </t>
  </si>
  <si>
    <t>Театральное и цирковое образование, Центр развития ребенка</t>
  </si>
  <si>
    <t>вт-вс 09:00–17:35</t>
  </si>
  <si>
    <t>https://vk.com/teart_yola</t>
  </si>
  <si>
    <t>47.8791 56.638877</t>
  </si>
  <si>
    <t>47.894747 56.632782</t>
  </si>
  <si>
    <t>+7 (927) 887-73-77, +7 (902) 739-77-18</t>
  </si>
  <si>
    <t>47.869658 56.622628</t>
  </si>
  <si>
    <t>Подружки</t>
  </si>
  <si>
    <t>8 (800) 550-02-97</t>
  </si>
  <si>
    <t xml:space="preserve">info@podruge.ru, hrd1@podruge.ru  </t>
  </si>
  <si>
    <t>https://podruge.ru/, https://taplink.cc/podruge.clinic/p/2a15c7/</t>
  </si>
  <si>
    <t>https://vk.com/studio_podruzhki</t>
  </si>
  <si>
    <t>https://www.instagram.com/podruge.clinic/?igshid=1jexcfjrj1wxa</t>
  </si>
  <si>
    <t>47.832397 56.634941</t>
  </si>
  <si>
    <t>47.853985 56.642996</t>
  </si>
  <si>
    <t>Сервис окна</t>
  </si>
  <si>
    <t>+7 (929) 754-73-94</t>
  </si>
  <si>
    <t xml:space="preserve">support@beget.com  </t>
  </si>
  <si>
    <t>http://oknaservis-ola.ru/</t>
  </si>
  <si>
    <t>Bell</t>
  </si>
  <si>
    <t>47.848023 56.663875</t>
  </si>
  <si>
    <t>МУП Йошкар-Олинская Тэц-1</t>
  </si>
  <si>
    <t>+7 (8362) 42-25-60, +7 (8362) 42-24-17</t>
  </si>
  <si>
    <t>АЭС, ГЭС, ТЭС, Теплоснабжение</t>
  </si>
  <si>
    <t>47.874868 56.632209</t>
  </si>
  <si>
    <t>Физкультурно-Спортивное Общество Динамо</t>
  </si>
  <si>
    <t>+7 (8362) 68-08-00, +7 (8362) 68-04-59</t>
  </si>
  <si>
    <t xml:space="preserve">pr@dynamo.su, referent@dynamo.su, rybakov@dynamo.su  </t>
  </si>
  <si>
    <t>http://www.dynamo.su/</t>
  </si>
  <si>
    <t>47.898693 56.637988</t>
  </si>
  <si>
    <t>Толстячок</t>
  </si>
  <si>
    <t>+7 (8362) 56-40-51</t>
  </si>
  <si>
    <t>ОАО Энергия</t>
  </si>
  <si>
    <t>47.866373 56.638384</t>
  </si>
  <si>
    <t>Оласпецтех</t>
  </si>
  <si>
    <t>Красноармейская слобода, 11, Йошкар-Ола</t>
  </si>
  <si>
    <t>+7 (8362) 45-22-44</t>
  </si>
  <si>
    <t xml:space="preserve">olaspecteh@mail.ru </t>
  </si>
  <si>
    <t>http://avtovyshka12.ru/</t>
  </si>
  <si>
    <t>пн-пт 07:00–21:00</t>
  </si>
  <si>
    <t>47.9094 56.640278</t>
  </si>
  <si>
    <t>47.925067 56.634475</t>
  </si>
  <si>
    <t>Жилой дом на ул. Зеленая, 1б</t>
  </si>
  <si>
    <t>Зелёная ул., 1Б, Йошкар-Ола</t>
  </si>
  <si>
    <t>+7 (8362) 41-80-54</t>
  </si>
  <si>
    <t>https://komfort12.ru/</t>
  </si>
  <si>
    <t>47.855114 56.640762</t>
  </si>
  <si>
    <t>Россия, Республика Марий Эл, Йошкар-Ола, улица Палантая</t>
  </si>
  <si>
    <t>47.885271 56.628402</t>
  </si>
  <si>
    <t>47.892596 56.629821</t>
  </si>
  <si>
    <t>ИП Бастраков А. С.</t>
  </si>
  <si>
    <t>+7 (937) 115-38-30</t>
  </si>
  <si>
    <t>ул. Якова Эшпая, 121, Йошкар-Ола</t>
  </si>
  <si>
    <t>47.885069 56.641341</t>
  </si>
  <si>
    <t>Журнал Физическая культура, спорт и здоровье</t>
  </si>
  <si>
    <t>+7 (987) 700-00-04</t>
  </si>
  <si>
    <t xml:space="preserve">konferencia.virtual@gmail.com  </t>
  </si>
  <si>
    <t>http://konferencia-virtual.ru/</t>
  </si>
  <si>
    <t>Роза в стеклянной колбе</t>
  </si>
  <si>
    <t>+7 (917) 715-75-63</t>
  </si>
  <si>
    <t>Складская ул., 16, Йошкар-Ола</t>
  </si>
  <si>
    <t>47.899101 56.615133</t>
  </si>
  <si>
    <t>47.873727 56.647257</t>
  </si>
  <si>
    <t>Чиполлино</t>
  </si>
  <si>
    <t>47.882387 56.631675</t>
  </si>
  <si>
    <t>47.929736 56.637757</t>
  </si>
  <si>
    <t>ViStyle</t>
  </si>
  <si>
    <t>47.829543 56.636832</t>
  </si>
  <si>
    <t>Вадно</t>
  </si>
  <si>
    <t>47.830063 56.62009</t>
  </si>
  <si>
    <t>Инрост</t>
  </si>
  <si>
    <t>ул. Энгельса, 44/47, Йошкар-Ола</t>
  </si>
  <si>
    <t>8 (800) 500-86-23</t>
  </si>
  <si>
    <t xml:space="preserve">mail@mail.ru, mail@inrost-group.ru, plotnikov@inrost-group.ru  </t>
  </si>
  <si>
    <t>http://yoshkarola.inrost-group.ru/</t>
  </si>
  <si>
    <t>47.946932 56.619423</t>
  </si>
  <si>
    <t>Happy Smile</t>
  </si>
  <si>
    <t>47.899065 56.651394</t>
  </si>
  <si>
    <t>47.847014 56.662451</t>
  </si>
  <si>
    <t>+7 (8362) 41-25-69</t>
  </si>
  <si>
    <t>+7 (927) 681-80-80</t>
  </si>
  <si>
    <t>+7 (8362) 38-53-95, +7 (8362) 41-72-61</t>
  </si>
  <si>
    <t>Корпусная мебель, Мебель на заказ, Мебельная фабрика</t>
  </si>
  <si>
    <t>47.863953 56.619732</t>
  </si>
  <si>
    <t>47.866936 56.65103</t>
  </si>
  <si>
    <t>Дукс Авто</t>
  </si>
  <si>
    <t>+7 (8362) 35-50-50</t>
  </si>
  <si>
    <t>+7 (987) 726-98-51</t>
  </si>
  <si>
    <t>http://duxavto12.ru/</t>
  </si>
  <si>
    <t>47.870908 56.625989</t>
  </si>
  <si>
    <t>ул. Сергея Тюленина, 43, Йошкар-Ола</t>
  </si>
  <si>
    <t>47.939206 56.638427</t>
  </si>
  <si>
    <t>Изготовление и ремонт музыкальных инструментов</t>
  </si>
  <si>
    <t>47.89654 56.616536</t>
  </si>
  <si>
    <t>47.863506 56.625457</t>
  </si>
  <si>
    <t>47.894549 56.640529</t>
  </si>
  <si>
    <t>Кабачок</t>
  </si>
  <si>
    <t>47.914472 56.627541</t>
  </si>
  <si>
    <t>Медицинская ул., 8, Йошкар-Ола</t>
  </si>
  <si>
    <t>47.961018 56.640163</t>
  </si>
  <si>
    <t>Natalia Volk</t>
  </si>
  <si>
    <t>+7 (917) 714-82-45</t>
  </si>
  <si>
    <t xml:space="preserve">sealine@inbox.ru </t>
  </si>
  <si>
    <t>http://nataliavolk.ru/</t>
  </si>
  <si>
    <t>https://vk.com/club_nataliavolk</t>
  </si>
  <si>
    <t>Оконный квартал</t>
  </si>
  <si>
    <t>+7 (8362) 43-80-33</t>
  </si>
  <si>
    <t>+7 (902) 745-87-82</t>
  </si>
  <si>
    <t>+7 (8362) 74-08-00</t>
  </si>
  <si>
    <t>+7 (987) 703-70-03</t>
  </si>
  <si>
    <t>47.871415 56.618581</t>
  </si>
  <si>
    <t>Капитан</t>
  </si>
  <si>
    <t>Звенигово</t>
  </si>
  <si>
    <t>ул. Ленина, 15А, Звенигово</t>
  </si>
  <si>
    <t>+7 (917) 717-14-18</t>
  </si>
  <si>
    <t>пн-пт 09:00–18:00, перерыв 12:30–13:30; сб,вс 09:00–14:00</t>
  </si>
  <si>
    <t>48.011282 55.976396</t>
  </si>
  <si>
    <t>Звениговский городской молочный комбинат</t>
  </si>
  <si>
    <t>ул. Горького, 1, Звенигово</t>
  </si>
  <si>
    <t>+7 (83645) 7-10-30, +7 (83645) 7-24-09, +7 (83645) 7-11-13</t>
  </si>
  <si>
    <t xml:space="preserve">aztech@zgmk.ru </t>
  </si>
  <si>
    <t>https://vk.com/zvenigovsky</t>
  </si>
  <si>
    <t>https://twitter.com/zvenigovsky</t>
  </si>
  <si>
    <t>https://www.facebook.com/groups/zvenigovsky</t>
  </si>
  <si>
    <t>48.019575 55.981695</t>
  </si>
  <si>
    <t>Звениговский Хлебокомбинат</t>
  </si>
  <si>
    <t>ул. Ленина, 2, Звенигово</t>
  </si>
  <si>
    <t>48.007343 55.979269</t>
  </si>
  <si>
    <t>Звениговский социально-реабилитационный центр для несовершеннолетних</t>
  </si>
  <si>
    <t>Школьная ул., 111А, Звенигово</t>
  </si>
  <si>
    <t>+7 (83645) 7-47-81, +7 (83645) 7-06-21</t>
  </si>
  <si>
    <t>48.03335 55.964329</t>
  </si>
  <si>
    <t>Пактия</t>
  </si>
  <si>
    <t>ул. Пушкина, 1, Звенигово</t>
  </si>
  <si>
    <t>+7 (83645) 7-12-84</t>
  </si>
  <si>
    <t>48.007918 55.980326</t>
  </si>
  <si>
    <t>Судостроительно-Судоремонтный завод им. С. Н. Бутякова</t>
  </si>
  <si>
    <t>Набережная ул., 30, Звенигово</t>
  </si>
  <si>
    <t>+7 (83645) 7-13-78, +7 (83645) 7-27-90, +7 (83645) 7-17-64, +7 (83645) 7-22-97, +7 (83645) 7-14-41</t>
  </si>
  <si>
    <t xml:space="preserve">btkov@mail.ru  </t>
  </si>
  <si>
    <t>http://butjk.yachtsworld.ru/</t>
  </si>
  <si>
    <t>Судостроение, судоремонт</t>
  </si>
  <si>
    <t>48.004771 55.979745</t>
  </si>
  <si>
    <t>Юбилейный</t>
  </si>
  <si>
    <t>ул. Охотина, 12, Звенигово</t>
  </si>
  <si>
    <t>+7 (83645) 7-14-24</t>
  </si>
  <si>
    <t>48.012931 55.98015</t>
  </si>
  <si>
    <t>Зеберс</t>
  </si>
  <si>
    <t>ул. Охотина, 3, Звенигово</t>
  </si>
  <si>
    <t>48.014772 55.980241</t>
  </si>
  <si>
    <t>Радуга Вкусов</t>
  </si>
  <si>
    <t>ул. Вечеркина, 1А, Звенигово</t>
  </si>
  <si>
    <t>+7 (83645) 7-05-50</t>
  </si>
  <si>
    <t>http://www.vkusov.ru/</t>
  </si>
  <si>
    <t>http://www.facebook.com/awayrealty</t>
  </si>
  <si>
    <t>48.008601 55.981837</t>
  </si>
  <si>
    <t>Звениговоремстрой</t>
  </si>
  <si>
    <t>Пионерская ул., 2, Звенигово</t>
  </si>
  <si>
    <t>48.011251 55.981188</t>
  </si>
  <si>
    <t>Многоотраслевое предприятие Коммунального Хозяйства Звениговского района</t>
  </si>
  <si>
    <t>Пионерская ул., 1, Звенигово</t>
  </si>
  <si>
    <t>Водоканал, водное хозяйство, Коммунальная служба, Теплоснабжение</t>
  </si>
  <si>
    <t>48.012374 55.981198</t>
  </si>
  <si>
    <t>Национальный банк Республики Марий Эл ЦБ РФ РКЦ г. Звенигово</t>
  </si>
  <si>
    <t>ул. Ленина, 40, Звенигово</t>
  </si>
  <si>
    <t>+7 (83645) 7-11-80, +7 (83645) 9-11-80, +7 (83645) 9-12-74</t>
  </si>
  <si>
    <t>Банк, Расчетно-кассовый центр</t>
  </si>
  <si>
    <t>48.013876 55.972374</t>
  </si>
  <si>
    <t>№ 12 Звениговская ПМК</t>
  </si>
  <si>
    <t>48.016695 55.983026</t>
  </si>
  <si>
    <t>Звениговский районный краеведческий музей</t>
  </si>
  <si>
    <t>ул. Вечеркина, 23, Звенигово</t>
  </si>
  <si>
    <t>+7 (83645) 7-06-09</t>
  </si>
  <si>
    <t xml:space="preserve">muzven@yandex.ru  </t>
  </si>
  <si>
    <t>http://muzven.mari-el.muzkult.ru/</t>
  </si>
  <si>
    <t>48.007671 55.975456</t>
  </si>
  <si>
    <t>Шкипер</t>
  </si>
  <si>
    <t>ул. Вершинина, 78А, Звенигово</t>
  </si>
  <si>
    <t>+7 (937) 117-11-11</t>
  </si>
  <si>
    <t xml:space="preserve">energocom@overta.ru </t>
  </si>
  <si>
    <t>http://shkiper12.ru/index.php/o-nas</t>
  </si>
  <si>
    <t>48.014967 55.967282</t>
  </si>
  <si>
    <t>Дорстрой Звениговский участок Волжского филиала</t>
  </si>
  <si>
    <t>ул. Охотина, 2, Звенигово</t>
  </si>
  <si>
    <t>+7 (83645) 7-18-96, +7 (83645) 7-18-84</t>
  </si>
  <si>
    <t>48.012616 55.982149</t>
  </si>
  <si>
    <t>Керимова Н. Г.</t>
  </si>
  <si>
    <t>Садовая ул., 9, Звенигово</t>
  </si>
  <si>
    <t>48.023719 55.985493</t>
  </si>
  <si>
    <t>Звениговское АТП ГУП РМЭ</t>
  </si>
  <si>
    <t>ул. Охотина, 1, Звенигово</t>
  </si>
  <si>
    <t>+7 (83645) 7-11-47</t>
  </si>
  <si>
    <t>48.014627 55.980798</t>
  </si>
  <si>
    <t>ул. Ленина, 106В, Звенигово</t>
  </si>
  <si>
    <t>+7 (83645) 7-45-74, +7 (836) 647-08-87</t>
  </si>
  <si>
    <t>48.025243 55.962055</t>
  </si>
  <si>
    <t>Римко</t>
  </si>
  <si>
    <t>ул. Бутякова, 2А, Звенигово</t>
  </si>
  <si>
    <t>+7 (83645) 7-48-23</t>
  </si>
  <si>
    <t>+7 (83645) 7-08-88</t>
  </si>
  <si>
    <t xml:space="preserve">rimslad@mail.ru  </t>
  </si>
  <si>
    <t>http://rimko.biz/</t>
  </si>
  <si>
    <t>48.017243 55.975123</t>
  </si>
  <si>
    <t>Звениговское лесничество</t>
  </si>
  <si>
    <t>ул. Охотина, 5, Звенигово</t>
  </si>
  <si>
    <t>+7 (83645) 7-39-79, +7 (83645) 7-11-74, +7 (83645) 7-14-35, +7 (83645) 7-21-75</t>
  </si>
  <si>
    <t>http://mari-el.gov.ru/minles/Pages/main.aspx</t>
  </si>
  <si>
    <t>48.015632 55.979755</t>
  </si>
  <si>
    <t>НПП Кристан Си</t>
  </si>
  <si>
    <t>Комсомольская ул., 8, Звенигово</t>
  </si>
  <si>
    <t>+7 (917) 702-85-30</t>
  </si>
  <si>
    <t>Алмазная резка, Инструментальная промышленность</t>
  </si>
  <si>
    <t>48.034212 55.963712</t>
  </si>
  <si>
    <t>Редакция Газеты МУ</t>
  </si>
  <si>
    <t>ул. Ленина, 46, Звенигово</t>
  </si>
  <si>
    <t>+7 (83645) 7-13-65</t>
  </si>
  <si>
    <t>http://gazeta-zn.ru/</t>
  </si>
  <si>
    <t>48.015491 55.971256</t>
  </si>
  <si>
    <t>Мотель</t>
  </si>
  <si>
    <t>ул. Горького, 1Б, Звенигово</t>
  </si>
  <si>
    <t>+7 (905) 008-38-22, +7 (927) 683-30-00</t>
  </si>
  <si>
    <t>48.019024 55.982673</t>
  </si>
  <si>
    <t>Республиканский Радиотелевизионный Передающий центр Звениговская Радиотелевизионная Станция</t>
  </si>
  <si>
    <t>ул. Ростовщикова, 41, Звенигово</t>
  </si>
  <si>
    <t>+7 (83645) 7-22-88</t>
  </si>
  <si>
    <t>48.028588 55.969864</t>
  </si>
  <si>
    <t>Звениговская база технического обслуживания флота - филиал Судоходная компания Волжское пароходство</t>
  </si>
  <si>
    <t>+7 (83645) 7-48-39, +7 (83645) 7-25-81</t>
  </si>
  <si>
    <t xml:space="preserve">office@volgaflot.com  </t>
  </si>
  <si>
    <t>http://www.volgaflot.com/</t>
  </si>
  <si>
    <t>Пароходство, порт, Судостроение, судоремонт</t>
  </si>
  <si>
    <t>48.00427 55.979438</t>
  </si>
  <si>
    <t>Бутяковец</t>
  </si>
  <si>
    <t>+7 (83645) 7-19-52, +7 (83645) 7-14-30</t>
  </si>
  <si>
    <t>48.006842 55.979894</t>
  </si>
  <si>
    <t>Звениговская</t>
  </si>
  <si>
    <t>ул. Гагарина, 121А, Звенигово</t>
  </si>
  <si>
    <t>+7 (960) 094-44-44, +7 (987) 700-33-37, +7 (927) 878-96-96</t>
  </si>
  <si>
    <t xml:space="preserve">info@baza-zvo.ru </t>
  </si>
  <si>
    <t>http://baza-zvo.ru/</t>
  </si>
  <si>
    <t>Турбаза</t>
  </si>
  <si>
    <t>https://vk.com/zvenigovskaya</t>
  </si>
  <si>
    <t>48.020971 55.963662</t>
  </si>
  <si>
    <t>Отдел ЗАГС администрации муниципального образования Звениговский муниципальный район</t>
  </si>
  <si>
    <t>Набережная ул., 16, Звенигово</t>
  </si>
  <si>
    <t>+7 (83645) 7-08-29</t>
  </si>
  <si>
    <t>48.005432 55.977259</t>
  </si>
  <si>
    <t>Автосервис-Автодоктор</t>
  </si>
  <si>
    <t>ул. Пушкина, 119-А, Звенигово</t>
  </si>
  <si>
    <t>+7 (903) 050-25-27</t>
  </si>
  <si>
    <t>48.027384 55.962608</t>
  </si>
  <si>
    <t>Стоматологическое отделение</t>
  </si>
  <si>
    <t>ул. Ленина, 55, Звенигово</t>
  </si>
  <si>
    <t>+7 (83645) 7-14-58</t>
  </si>
  <si>
    <t>48.019991 55.967532</t>
  </si>
  <si>
    <t>Аренда торговых площадей в г. Звенигово</t>
  </si>
  <si>
    <t>ул. Ленина, 11, Звенигово</t>
  </si>
  <si>
    <t>Агентство недвижимости, Бизнес-центр, Продажа и аренда коммерческой недвижимости</t>
  </si>
  <si>
    <t>48.010703 55.97677</t>
  </si>
  <si>
    <t>KNAUF</t>
  </si>
  <si>
    <t>ул. Охотина, 4, Звенигово</t>
  </si>
  <si>
    <t>+7 (83645) 7-07-70</t>
  </si>
  <si>
    <t>Гипсовые изделия</t>
  </si>
  <si>
    <t>48.008282 55.986632</t>
  </si>
  <si>
    <t>Автостанция г. Звенигово</t>
  </si>
  <si>
    <t>ул. Ленина, 106А, Звенигово</t>
  </si>
  <si>
    <t>+7 (83645) 7-12-03</t>
  </si>
  <si>
    <t>48.026137 55.962087</t>
  </si>
  <si>
    <t>Торгсервис</t>
  </si>
  <si>
    <t>ул. Палантая, 9Б, Звенигово</t>
  </si>
  <si>
    <t>+7 (83645) 7-09-19</t>
  </si>
  <si>
    <t>48.024797 55.980321</t>
  </si>
  <si>
    <t>Татнефтепродукт</t>
  </si>
  <si>
    <t>8 (800) 333-08-10</t>
  </si>
  <si>
    <t xml:space="preserve">root@tatnp.ru, info@tatnp.ru, p.smirnov@taif-azs.ru, r.vafin@taif-azs.ru, e.mardanshina@taif-azs.ru  </t>
  </si>
  <si>
    <t>https://taifazs.ru/, http://www.karsar.ru/, http://www.tatnp.ru/</t>
  </si>
  <si>
    <t>https://vk.com/azstaif</t>
  </si>
  <si>
    <t>https://www.facebook.com/groups/157727784828802/</t>
  </si>
  <si>
    <t>https://www.instagram.com/taif_nk_azs/</t>
  </si>
  <si>
    <t>48.008826 55.989308</t>
  </si>
  <si>
    <t>ГБУ РМЭ Комплексный центр социального обслуживания населения в Звениговском районе</t>
  </si>
  <si>
    <t>+7 (83645) 7-37-58, +7 (83645) 7-08-03, +7 (83645) 7-26-31</t>
  </si>
  <si>
    <t>http://mari-el.gov.ru/minsoc/kcson_zvenigovo/</t>
  </si>
  <si>
    <t>48.033251 55.964317</t>
  </si>
  <si>
    <t>ГБУ РМР школа Олимпийского Резерва Виктория</t>
  </si>
  <si>
    <t>ул. Пушкина, 29А, Звенигово</t>
  </si>
  <si>
    <t>+7 (83645) 7-15-94, +7 (83645) 7-16-72</t>
  </si>
  <si>
    <t>+7 (961) 337-43-72</t>
  </si>
  <si>
    <t xml:space="preserve">umanec75@mail.ru  </t>
  </si>
  <si>
    <t>http://zvenigovo-rme.ucoz.ru/</t>
  </si>
  <si>
    <t>пн-сб 09:00–17:00, перерыв 12:00–13:30</t>
  </si>
  <si>
    <t>48.015177 55.974141</t>
  </si>
  <si>
    <t>МОУ Звениговский лицей</t>
  </si>
  <si>
    <t>ул. Пушкина, 41, Звенигово</t>
  </si>
  <si>
    <t>+7 (83645) 7-13-72, +7 (83645) 7-12-90</t>
  </si>
  <si>
    <t xml:space="preserve">roo2@yandex.ru  </t>
  </si>
  <si>
    <t>http://edu.mari.ru/mouo-zvenigovo/sh3/</t>
  </si>
  <si>
    <t>48.017566 55.972902</t>
  </si>
  <si>
    <t>Школьная ул., 109, Звенигово</t>
  </si>
  <si>
    <t>+7 (83645) 7-11-78</t>
  </si>
  <si>
    <t xml:space="preserve">roo2@yandex.ru, zcdt@mail.ru  </t>
  </si>
  <si>
    <t>http://edu.mari.ru/mouo-zvenigovo/do1/</t>
  </si>
  <si>
    <t>48.031158 55.963546</t>
  </si>
  <si>
    <t>Столярный цех</t>
  </si>
  <si>
    <t>Садовая ул., 11В, Звенигово</t>
  </si>
  <si>
    <t>+7 (83645) 7-19-32</t>
  </si>
  <si>
    <t>https://beloter.nethouse.ru/</t>
  </si>
  <si>
    <t>Акибанк</t>
  </si>
  <si>
    <t>ул. Бутякова, 30, Звенигово</t>
  </si>
  <si>
    <t>8 (800) 100-25-42</t>
  </si>
  <si>
    <t xml:space="preserve">office@akibank.ru, bes@akibank.ru, web@akibank.ru </t>
  </si>
  <si>
    <t>https://www.akibank.ru/</t>
  </si>
  <si>
    <t>https://vk.com/akibank.official</t>
  </si>
  <si>
    <t>https://www.instagram.com/akibank_bank/</t>
  </si>
  <si>
    <t>48.021204 55.971295</t>
  </si>
  <si>
    <t>ГБУ РМЭ Звениговская центральная районная больница</t>
  </si>
  <si>
    <t>ул. Ростовщикова, 25, Звенигово</t>
  </si>
  <si>
    <t>+7 (83645) 7-14-17, +7 (83645) 7-13-42, +7 (83645) 7-14-36, +7 (83645) 7-17-32, +7 (83645) 7-18-10, +7 (83645) 7-23-03, +7 (83645) 7-10-75, +7 (836) 157-23-80</t>
  </si>
  <si>
    <t>http://zvenigovo-city.ru/</t>
  </si>
  <si>
    <t>48.024575 55.971491</t>
  </si>
  <si>
    <t>АВА-финанс</t>
  </si>
  <si>
    <t>ул. Ленина, 32/1, Звенигово</t>
  </si>
  <si>
    <t>+7 (83645) 7-26-66</t>
  </si>
  <si>
    <t>+7 (967) 758-77-66</t>
  </si>
  <si>
    <t>http://avafinance.ru/</t>
  </si>
  <si>
    <t>https://vk.com/avafinance</t>
  </si>
  <si>
    <t>48.011871 55.973984</t>
  </si>
  <si>
    <t>Интерфарм-Звенигово</t>
  </si>
  <si>
    <t>ул. Ленина, 7, Звенигово</t>
  </si>
  <si>
    <t>+7 (83645) 7-45-03, +7 (83645) 7-38-03</t>
  </si>
  <si>
    <t>пн-пт 08:00–19:30; сб 08:00–18:00; вс 09:00–18:00</t>
  </si>
  <si>
    <t>48.009296 55.978058</t>
  </si>
  <si>
    <t>Нотариус Киселев Виктор Владимирович</t>
  </si>
  <si>
    <t>+7 (83645) 7-16-61</t>
  </si>
  <si>
    <t>48.011871 55.973975</t>
  </si>
  <si>
    <t>Немецкие окна</t>
  </si>
  <si>
    <t>ул. Ленина, 48, Звенигово</t>
  </si>
  <si>
    <t>+7 (903) 050-28-82, +7 (960) 099-86-37</t>
  </si>
  <si>
    <t>48.015994 55.970665</t>
  </si>
  <si>
    <t>Центр занятости населения Звениговского района Республики Марий Эл</t>
  </si>
  <si>
    <t>ул. Ленина, 53, Звенигово</t>
  </si>
  <si>
    <t>+7 (83635) 7-47-02, +7 (83645) 7-47-02, +7 (83645) 7-22-65, +7 (83645) 7-24-00</t>
  </si>
  <si>
    <t>+7 (83645) 7-22-65</t>
  </si>
  <si>
    <t xml:space="preserve">dgszn@mari.gov.ru </t>
  </si>
  <si>
    <t>48.019848 55.968272</t>
  </si>
  <si>
    <t>+7 (902) 100-31-00, +7 (927) 682-21-70</t>
  </si>
  <si>
    <t>48.011882 55.97399</t>
  </si>
  <si>
    <t>Церковь Николая Чудотворца в Звенигово</t>
  </si>
  <si>
    <t>ул. Вершинина, 42, Звенигово</t>
  </si>
  <si>
    <t>http://zvenigovo.cerkov.ru/</t>
  </si>
  <si>
    <t>48.011468 55.97095</t>
  </si>
  <si>
    <t>ул. Ленина, 15, Звенигово</t>
  </si>
  <si>
    <t>8 (800) 700-97-59</t>
  </si>
  <si>
    <t>+7 (966) 240-64-43</t>
  </si>
  <si>
    <t>http://zvenigovo.fant-shop.ru/</t>
  </si>
  <si>
    <t>Интернет-магазин, Магазин бытовой техники, Магазин электроники, Пункт выдачи</t>
  </si>
  <si>
    <t>48.01117 55.976337</t>
  </si>
  <si>
    <t>ЦентрПлюс</t>
  </si>
  <si>
    <t>ул. Ленина, 43, Звенигово</t>
  </si>
  <si>
    <t>+7 (8362) 48-37-37</t>
  </si>
  <si>
    <t>+7 (967) 758-37-37</t>
  </si>
  <si>
    <t>48.016396 55.970956</t>
  </si>
  <si>
    <t>Спортивно-оздоровительный комплекс Жемчужина</t>
  </si>
  <si>
    <t>ул. Бутякова, 3Б, Звенигово</t>
  </si>
  <si>
    <t>+7 (83645) 7-07-56, +7 (83645) 7-07-55</t>
  </si>
  <si>
    <t>http://zvenigovo-sport.ru/</t>
  </si>
  <si>
    <t>Дополнительное образование, Спортивный комплекс, Фитнес-клуб</t>
  </si>
  <si>
    <t>48.01825 55.975215</t>
  </si>
  <si>
    <t>ул. Ленина, 16, Звенигово</t>
  </si>
  <si>
    <t>+7 (909) 366-70-90</t>
  </si>
  <si>
    <t>48.010173 55.976272</t>
  </si>
  <si>
    <t>МОУ Звениговская средняя общеобразовательная школа № 3</t>
  </si>
  <si>
    <t>+7 (83645) 7-19-49, +7 (83645) 7-11-76</t>
  </si>
  <si>
    <t xml:space="preserve">zsh3@mail.ru  </t>
  </si>
  <si>
    <t>http://zsh3.narod.ru/</t>
  </si>
  <si>
    <t>48.03115 55.96361</t>
  </si>
  <si>
    <t>ул. Ленина, 45, Звенигово</t>
  </si>
  <si>
    <t>+7 (8362) 70-22-44</t>
  </si>
  <si>
    <t>48.017036 55.970413</t>
  </si>
  <si>
    <t>8 (800) 700-83-87</t>
  </si>
  <si>
    <t xml:space="preserve">info@kuhni-trio.ru, sergey@iceberg-media.ru  </t>
  </si>
  <si>
    <t>https://kuhni-trio.ru/</t>
  </si>
  <si>
    <t>https://vk.com/trio_kuhni</t>
  </si>
  <si>
    <t>http://www.facebook.com/triokuhni</t>
  </si>
  <si>
    <t>ЛиЭль</t>
  </si>
  <si>
    <t>ул. Вершинина, 2, Звенигово</t>
  </si>
  <si>
    <t>+7 (83645) 7-05-20, +7 (83645) 7-05-10</t>
  </si>
  <si>
    <t>http://лиэль.рф/</t>
  </si>
  <si>
    <t>48.008197 55.974584</t>
  </si>
  <si>
    <t>Звениговская ПМК</t>
  </si>
  <si>
    <t>Садовая ул., 2, Звенигово</t>
  </si>
  <si>
    <t>+7 (83645) 7-12-25, +7 (83645) 7-10-41</t>
  </si>
  <si>
    <t>48.022543 55.985206</t>
  </si>
  <si>
    <t>Звениговская детская библиотека</t>
  </si>
  <si>
    <t>ул. Ленина, 49, Звенигово</t>
  </si>
  <si>
    <t>+7 (83645) 7-13-69</t>
  </si>
  <si>
    <t>48.018005 55.969451</t>
  </si>
  <si>
    <t>ГБУ РМЭ Звениговская ЦРБ Станция скорой медицинской помощи</t>
  </si>
  <si>
    <t>+7 (83645) 7-23-03</t>
  </si>
  <si>
    <t>48.024374 55.9724</t>
  </si>
  <si>
    <t>Звениговская станция по борьбе с болезнями животных</t>
  </si>
  <si>
    <t>Садовая ул., 3, Звенигово</t>
  </si>
  <si>
    <t>+7 (83645) 7-23-57, +7 (83645) 7-23-56, +7 (83645) 7-11-09</t>
  </si>
  <si>
    <t>48.0224 55.9838</t>
  </si>
  <si>
    <t>Звенигово онлайн</t>
  </si>
  <si>
    <t>ул. Ленина, 50А, Звенигово</t>
  </si>
  <si>
    <t>+7 (916) 673-78-45</t>
  </si>
  <si>
    <t xml:space="preserve">buratinods@eandex.ru  </t>
  </si>
  <si>
    <t>http://vk.com/club118987497</t>
  </si>
  <si>
    <t>48.015716 55.969909</t>
  </si>
  <si>
    <t>ул. Ленина, 78, Звенигово</t>
  </si>
  <si>
    <t>+7 (83645) 7-05-05</t>
  </si>
  <si>
    <t>+7 (917) 710-21-55</t>
  </si>
  <si>
    <t>Изготовление протезно-ортопедических изделий, Медцентр, клиника, Стоматологическая клиника</t>
  </si>
  <si>
    <t>пн-пт 08:00–19:00; сб 08:00–13:00</t>
  </si>
  <si>
    <t>http://vk.com/centrsmile</t>
  </si>
  <si>
    <t>http://ok.ru/centrsmile</t>
  </si>
  <si>
    <t>48.020241 55.966422</t>
  </si>
  <si>
    <t>Автодрайвер</t>
  </si>
  <si>
    <t>+7 (961) 337-34-82</t>
  </si>
  <si>
    <t xml:space="preserve">avtodraiver@mail.ru  </t>
  </si>
  <si>
    <t>http://avtodraiver12.ru/</t>
  </si>
  <si>
    <t>48.01185 55.973987</t>
  </si>
  <si>
    <t>Звениговская межпоселенческая библиотека МБУК</t>
  </si>
  <si>
    <t>ул. Пушкина, 21А, Звенигово</t>
  </si>
  <si>
    <t>+7 (83645) 7-19-68</t>
  </si>
  <si>
    <t>+7 (960) 095-33-22, +7 (917) 718-35-84</t>
  </si>
  <si>
    <t xml:space="preserve">zvenmb@yandex.ru </t>
  </si>
  <si>
    <t>http://zvenmb.mari-el.muzkult.ru/</t>
  </si>
  <si>
    <t>пн-пт 08:00–18:00; вс 10:00–16:00</t>
  </si>
  <si>
    <t>https://vk.com/zvenmb</t>
  </si>
  <si>
    <t>48.014131 55.976166</t>
  </si>
  <si>
    <t>Звениговский ЖБК</t>
  </si>
  <si>
    <t>+7 (902) 430-07-00</t>
  </si>
  <si>
    <t>http://zvenigovskij-zhbk.tiu.ru/</t>
  </si>
  <si>
    <t>48.008443 55.988249</t>
  </si>
  <si>
    <t>Филиал Газпром газораспределение в г. Звенигово</t>
  </si>
  <si>
    <t>ул. Энергетиков, 5, Звенигово</t>
  </si>
  <si>
    <t>+7 (83645) 7-22-35</t>
  </si>
  <si>
    <t>48.015895 55.986264</t>
  </si>
  <si>
    <t>ул. Вечеркина, 30, Звенигово</t>
  </si>
  <si>
    <t>48.007165 55.975359</t>
  </si>
  <si>
    <t>Like Фото Звенигово</t>
  </si>
  <si>
    <t>ул. Ленина, 50, Звенигово</t>
  </si>
  <si>
    <t>пн,вт 09:00–18:00, перерыв 13:00–14:00; ср 09:00–15:00; чт,пт 09:00–18:00, перерыв 13:00–14:00; сб 09:00–15:00</t>
  </si>
  <si>
    <t>48.016174 55.970307</t>
  </si>
  <si>
    <t>Центрплюс</t>
  </si>
  <si>
    <t>48.018481 55.969143</t>
  </si>
  <si>
    <t>Россия, Республика Марий Эл, Звенигово, Школьная улица</t>
  </si>
  <si>
    <t>48.022722 55.968216</t>
  </si>
  <si>
    <t>48.010734 55.976639</t>
  </si>
  <si>
    <t>ул. Гагарина, 46, Звенигово</t>
  </si>
  <si>
    <t>+7 (917) 703-73-10</t>
  </si>
  <si>
    <t>48.012482 55.971622</t>
  </si>
  <si>
    <t>Россия, Республика Марий Эл, Звенигово, улица Вершинина</t>
  </si>
  <si>
    <t>48.011525 55.971587</t>
  </si>
  <si>
    <t>Детская консультация</t>
  </si>
  <si>
    <t>48.023513 55.971237</t>
  </si>
  <si>
    <t>Канцлидер</t>
  </si>
  <si>
    <t>ул. Ленина, 53А, Звенигово</t>
  </si>
  <si>
    <t>48.019601 55.967921</t>
  </si>
  <si>
    <t>ул. Ленина, 78А, Звенигово</t>
  </si>
  <si>
    <t>48.019657 55.966953</t>
  </si>
  <si>
    <t>Россия, Республика Марий Эл, Звенигово</t>
  </si>
  <si>
    <t>48.009132 55.97955</t>
  </si>
  <si>
    <t>Советская ул., 33, Звенигово</t>
  </si>
  <si>
    <t>48.009678 55.972076</t>
  </si>
  <si>
    <t>Россия, Республика Марий Эл, Звенигово, переулок Гоголя</t>
  </si>
  <si>
    <t>48.019048 55.969871</t>
  </si>
  <si>
    <t>Лилия</t>
  </si>
  <si>
    <t>ул. Ларина, 32, Звенигово</t>
  </si>
  <si>
    <t>48.022534 55.978875</t>
  </si>
  <si>
    <t>МДОУ Звениговский детский сад Буратино</t>
  </si>
  <si>
    <t>ул. Бутякова, 98, Звенигово</t>
  </si>
  <si>
    <t>+7 (83645) 7-06-30</t>
  </si>
  <si>
    <t xml:space="preserve">buratinods@yandex.ru  </t>
  </si>
  <si>
    <t>http://edu.mari.ru/mouo-zvenigovo/dou13/</t>
  </si>
  <si>
    <t>48.031543 55.964929</t>
  </si>
  <si>
    <t>Кораблик</t>
  </si>
  <si>
    <t>Школьная ул., 14А, Звенигово</t>
  </si>
  <si>
    <t>+7 (909) 366-87-38</t>
  </si>
  <si>
    <t>http://edu.mari.ru/mouo-zvenigovo/dou4</t>
  </si>
  <si>
    <t>пн-пт 06:45–17:15</t>
  </si>
  <si>
    <t>48.015312 55.977128</t>
  </si>
  <si>
    <t>ул. Вершинина, 73, Звенигово</t>
  </si>
  <si>
    <t>Гостиница, Дом отдыха</t>
  </si>
  <si>
    <t>48.016525 55.9674</t>
  </si>
  <si>
    <t>ул. Охотина, 3А, Звенигово</t>
  </si>
  <si>
    <t>48.014965 55.97999</t>
  </si>
  <si>
    <t>48.01967 55.967979</t>
  </si>
  <si>
    <t>ул. Ленина, 60, Звенигово</t>
  </si>
  <si>
    <t>48.017739 55.968722</t>
  </si>
  <si>
    <t>Россия, Республика Марий Эл, Звенигово, Пионерская улица</t>
  </si>
  <si>
    <t>48.014411 55.978559</t>
  </si>
  <si>
    <t>+7 (987) 706-41-57</t>
  </si>
  <si>
    <t>Магазин постельных принадлежностей, Шторы, карнизы</t>
  </si>
  <si>
    <t>пн-пт 08:00–15:00; сб 09:00–14:00</t>
  </si>
  <si>
    <t>48.007731 55.975888</t>
  </si>
  <si>
    <t>Россия, Республика Марий Эл, Звенигово, Советская улица</t>
  </si>
  <si>
    <t>48.009701 55.971722</t>
  </si>
  <si>
    <t>Нижнее бельё</t>
  </si>
  <si>
    <t>48.01972 55.968292</t>
  </si>
  <si>
    <t>Домовой</t>
  </si>
  <si>
    <t>Садовая ул., 15, Звенигово</t>
  </si>
  <si>
    <t>+7 (83645) 7-07-68</t>
  </si>
  <si>
    <t>http://building-materials-store-2289.business.site/</t>
  </si>
  <si>
    <t>48.028808 55.986367</t>
  </si>
  <si>
    <t>Звениговский салон ритуальных услуг</t>
  </si>
  <si>
    <t>ул. Вечеркина, 19, Звенигово</t>
  </si>
  <si>
    <t>48.00751 55.97613</t>
  </si>
  <si>
    <t>Детские игрушки и игры, Магазин хозтоваров и бытовой химии</t>
  </si>
  <si>
    <t>48.019573 55.968021</t>
  </si>
  <si>
    <t>ул. Вечеркина, 10, Звенигово</t>
  </si>
  <si>
    <t>48.005744 55.97898</t>
  </si>
  <si>
    <t>Ремонт окон Звенигово</t>
  </si>
  <si>
    <t>ул. Бутякова, 89, Звенигово</t>
  </si>
  <si>
    <t>http://remontokonzvenigovo.remontokonnedorogo.ru/</t>
  </si>
  <si>
    <t>48.027322 55.966559</t>
  </si>
  <si>
    <t>Россия, Республика Марий Эл, Звенигово, улица Ленина</t>
  </si>
  <si>
    <t>48.027095 55.962009</t>
  </si>
  <si>
    <t>ЭлектроНика</t>
  </si>
  <si>
    <t>ул. Ленина, 52, Звенигово</t>
  </si>
  <si>
    <t>Магазин бытовой техники, Магазин электротоваров</t>
  </si>
  <si>
    <t>48.016413 55.970231</t>
  </si>
  <si>
    <t>Россия, Республика Марий Эл, Звенигово, улица Ростовщикова</t>
  </si>
  <si>
    <t>48.020195 55.974239</t>
  </si>
  <si>
    <t>48.008055 55.975644</t>
  </si>
  <si>
    <t>48.016499 55.970126</t>
  </si>
  <si>
    <t>Столовая Огонек</t>
  </si>
  <si>
    <t>Советская ул., 8, Звенигово</t>
  </si>
  <si>
    <t>48.006993 55.974015</t>
  </si>
  <si>
    <t>48.009443 55.97361</t>
  </si>
  <si>
    <t>Звениговский детский сад Карусель</t>
  </si>
  <si>
    <t>+7 (987) 706-27-02</t>
  </si>
  <si>
    <t>48.016416 55.974413</t>
  </si>
  <si>
    <t>48.019993 55.96837</t>
  </si>
  <si>
    <t>Агентство недвижимости Юрист</t>
  </si>
  <si>
    <t>48.016338 55.970192</t>
  </si>
  <si>
    <t>Фант-мебель</t>
  </si>
  <si>
    <t>48.0147 55.980775</t>
  </si>
  <si>
    <t>48.012633 55.971315</t>
  </si>
  <si>
    <t>48.011882 55.973993</t>
  </si>
  <si>
    <t>48.01544 55.971156</t>
  </si>
  <si>
    <t>Россия, Республика Марий Эл, Звенигово, Сосновая улица</t>
  </si>
  <si>
    <t>48.025494 55.980532</t>
  </si>
  <si>
    <t>48.016343 55.970211</t>
  </si>
  <si>
    <t>Легко деньги</t>
  </si>
  <si>
    <t>48.016386 55.970204</t>
  </si>
  <si>
    <t>48.008096 55.97562</t>
  </si>
  <si>
    <t>48.01992 55.96835</t>
  </si>
  <si>
    <t>Золотой рис</t>
  </si>
  <si>
    <t>ул. Вершинина, 80, Звенигово</t>
  </si>
  <si>
    <t>+7 (905) 008-28-55</t>
  </si>
  <si>
    <t>48.015576 55.967184</t>
  </si>
  <si>
    <t>Банкомат Сбербанка России</t>
  </si>
  <si>
    <t>ул. Ленина, 51А, Звенигово</t>
  </si>
  <si>
    <t>48.018601 55.968695</t>
  </si>
  <si>
    <t>Парк культуры и отдыха им. 60-летия Победы</t>
  </si>
  <si>
    <t>Россия, Республика Марий Эл, Звенигово, Парк культуры и отдыха им. 60-летия Победы</t>
  </si>
  <si>
    <t>48.026188 55.961288</t>
  </si>
  <si>
    <t>Ангара</t>
  </si>
  <si>
    <t>48.027542 55.966629</t>
  </si>
  <si>
    <t>Россия, Республика Марий Эл, Звенигово, улица Охотина</t>
  </si>
  <si>
    <t>48.014882 55.979379</t>
  </si>
  <si>
    <t>ул. Горького, 55, Звенигово</t>
  </si>
  <si>
    <t>48.024464 55.976332</t>
  </si>
  <si>
    <t>ул. Вечеркина, 16, Звенигово</t>
  </si>
  <si>
    <t>48.006462 55.976498</t>
  </si>
  <si>
    <t>Россия, Республика Марий Эл, Звенигово, улица Гагарина</t>
  </si>
  <si>
    <t>пн-пт 09:00–18:00; сб 08:00–17:00; вс 09:00–18:00</t>
  </si>
  <si>
    <t>48.006911 55.977597</t>
  </si>
  <si>
    <t>Центр плюс</t>
  </si>
  <si>
    <t>48.01768 55.968773</t>
  </si>
  <si>
    <t>ул. Вечеркина, 24, Звенигово</t>
  </si>
  <si>
    <t>48.006882 55.975899</t>
  </si>
  <si>
    <t>ул. Ростовщикова, 37, Звенигово</t>
  </si>
  <si>
    <t>48.030396 55.968263</t>
  </si>
  <si>
    <t>48.019689 55.967801</t>
  </si>
  <si>
    <t>+7 (83645) 7-21-42</t>
  </si>
  <si>
    <t>48.004514 55.978372</t>
  </si>
  <si>
    <t>Финанс-займы</t>
  </si>
  <si>
    <t>48.019713 55.96801</t>
  </si>
  <si>
    <t>Электрическая подстанция Звенигово</t>
  </si>
  <si>
    <t>48.016168 55.985423</t>
  </si>
  <si>
    <t>Королева</t>
  </si>
  <si>
    <t>48.011204 55.976456</t>
  </si>
  <si>
    <t>Центр Предоставления Мер Социальной Поддержки Населению в Звениговском Районе Республики Марий Эл</t>
  </si>
  <si>
    <t>+7 (83645) 7-40-30, +7 (83645) 7-06-13</t>
  </si>
  <si>
    <t>Все для бани и сауны</t>
  </si>
  <si>
    <t>48.01769 55.968767</t>
  </si>
  <si>
    <t>48.029718 55.965575</t>
  </si>
  <si>
    <t>Тихая гавань</t>
  </si>
  <si>
    <t>Советская ул., 30, Звенигово</t>
  </si>
  <si>
    <t>48.008754 55.972194</t>
  </si>
  <si>
    <t>Мегаком</t>
  </si>
  <si>
    <t>48.016059 55.970608</t>
  </si>
  <si>
    <t>ул. Ленина, 32Б, Звенигово</t>
  </si>
  <si>
    <t>48.012099 55.973816</t>
  </si>
  <si>
    <t>Остров детства</t>
  </si>
  <si>
    <t>ул. Пушкина, 8, Звенигово</t>
  </si>
  <si>
    <t>48.01064 55.978092</t>
  </si>
  <si>
    <t>Пионерская ул., 4, Звенигово</t>
  </si>
  <si>
    <t>48.013178 55.979745</t>
  </si>
  <si>
    <t>Администрация</t>
  </si>
  <si>
    <t>Остановка общественного транспорта</t>
  </si>
  <si>
    <t>48.014207 55.972577</t>
  </si>
  <si>
    <t>Тёплый Дом</t>
  </si>
  <si>
    <t>ул. Ленина, 8, Звенигово</t>
  </si>
  <si>
    <t>Магазин сантехники, Отопительное оборудование и системы</t>
  </si>
  <si>
    <t>48.009006 55.97757</t>
  </si>
  <si>
    <t>ул. Гагарина, 8, Звенигово</t>
  </si>
  <si>
    <t>48.008754 55.975449</t>
  </si>
  <si>
    <t>Вау</t>
  </si>
  <si>
    <t>48.016892 55.970585</t>
  </si>
  <si>
    <t>48.017578 55.968954</t>
  </si>
  <si>
    <t>48.016171 55.971057</t>
  </si>
  <si>
    <t>48.009378 55.97171</t>
  </si>
  <si>
    <t>ул. Ленина, 9, Звенигово</t>
  </si>
  <si>
    <t>48.00971 55.97762</t>
  </si>
  <si>
    <t>Россия, Республика Марий Эл, Звенигово, улица Палантая</t>
  </si>
  <si>
    <t>48.027801 55.976364</t>
  </si>
  <si>
    <t>48.016065 55.970314</t>
  </si>
  <si>
    <t>Золото Ириды</t>
  </si>
  <si>
    <t>вт-пт 09:00–18:00; сб,вс 09:00–16:00</t>
  </si>
  <si>
    <t>48.010016 55.977356</t>
  </si>
  <si>
    <t>Центральный бульвар</t>
  </si>
  <si>
    <t>Россия, Республика Марий Эл, Звенигово, Центральный бульвар</t>
  </si>
  <si>
    <t>48.015345 55.972289</t>
  </si>
  <si>
    <t>48.015971 55.970723</t>
  </si>
  <si>
    <t>Россия, Республика Марий Эл, Звенигово, Садовая улица</t>
  </si>
  <si>
    <t>48.016886 55.982046</t>
  </si>
  <si>
    <t>Фартуна</t>
  </si>
  <si>
    <t>ул. Гагарина, 12, Звенигово</t>
  </si>
  <si>
    <t>48.009422 55.975032</t>
  </si>
  <si>
    <t>ул. Охотина, 10, Звенигово</t>
  </si>
  <si>
    <t>48.014162 55.979768</t>
  </si>
  <si>
    <t>48.009383 55.975125</t>
  </si>
  <si>
    <t>Стройцентр</t>
  </si>
  <si>
    <t>ул. Гагарина, 6А, Звенигово</t>
  </si>
  <si>
    <t>+7 (902) 326-76-86</t>
  </si>
  <si>
    <t>https://vk.com/stroi_centr</t>
  </si>
  <si>
    <t>https://www.instagram.com/stroi_centr</t>
  </si>
  <si>
    <t>48.008502 55.975773</t>
  </si>
  <si>
    <t>48.014689 55.98027</t>
  </si>
  <si>
    <t>Ди Винг</t>
  </si>
  <si>
    <t>+7 (961) 373-51-50</t>
  </si>
  <si>
    <t xml:space="preserve">teh_centr_zvo@mail.ru  </t>
  </si>
  <si>
    <t>https://vk.com/club155392809</t>
  </si>
  <si>
    <t>48.023686 55.985487</t>
  </si>
  <si>
    <t>Россия, Республика Марий Эл, Звенигово, улица Горького</t>
  </si>
  <si>
    <t>48.018633 55.982141</t>
  </si>
  <si>
    <t>Райком</t>
  </si>
  <si>
    <t>48.013309 55.980361</t>
  </si>
  <si>
    <t>Деревянные игрушки</t>
  </si>
  <si>
    <t>48.016365 55.970233</t>
  </si>
  <si>
    <t>Копировальные услуги</t>
  </si>
  <si>
    <t>48.015491 55.971262</t>
  </si>
  <si>
    <t>Магазин постельных принадлежностей, Магазин посуды</t>
  </si>
  <si>
    <t>48.010112 55.976429</t>
  </si>
  <si>
    <t>Мой Звениговский район</t>
  </si>
  <si>
    <t>48.019967 55.968382</t>
  </si>
  <si>
    <t>48.017124 55.970272</t>
  </si>
  <si>
    <t>48.009257 55.978109</t>
  </si>
  <si>
    <t>ул. Гагарина, 53, Звенигово</t>
  </si>
  <si>
    <t>+7 (83645) 7-13-80</t>
  </si>
  <si>
    <t xml:space="preserve">zvezdochkads@yandex.ru  </t>
  </si>
  <si>
    <t>http://edu.mari.ru/mouo-zvenigovo/dou2/</t>
  </si>
  <si>
    <t>48.01435 55.970763</t>
  </si>
  <si>
    <t>ул. Бутякова, 96, Звенигово</t>
  </si>
  <si>
    <t>48.033018 55.965173</t>
  </si>
  <si>
    <t>Звениговская средняя общеобразовательная школа № 1</t>
  </si>
  <si>
    <t>ул. Ленина, 17, Звенигово</t>
  </si>
  <si>
    <t>+7 (83645) 7-14-09</t>
  </si>
  <si>
    <t xml:space="preserve">-1@yandex.ru, roo2@yandex.ru  </t>
  </si>
  <si>
    <t>http://edu.mari.ru/mouo-zvenigovo/sh1/</t>
  </si>
  <si>
    <t>48.011711 55.975981</t>
  </si>
  <si>
    <t>Россия, Республика Марий Эл, Звенигово, улица Ларина</t>
  </si>
  <si>
    <t>48.022895 55.978963</t>
  </si>
  <si>
    <t>Центр недвижимости, экспертизы и оценки</t>
  </si>
  <si>
    <t>+7 (917) 712-46-66, +7 (902) 436-52-84</t>
  </si>
  <si>
    <t xml:space="preserve">centroneo@gmail.com  </t>
  </si>
  <si>
    <t>http://nedexo.business.site/</t>
  </si>
  <si>
    <t>http://vk.com/nedexo</t>
  </si>
  <si>
    <t>48.015579 55.971102</t>
  </si>
  <si>
    <t>Медицинский центр</t>
  </si>
  <si>
    <t>48.02033 55.966396</t>
  </si>
  <si>
    <t>Специализированная детско-юношеская спортивная школа олимпийского резерва</t>
  </si>
  <si>
    <t>ул. Бутякова, 10, Звенигово</t>
  </si>
  <si>
    <t>+7 (83645) 7-17-43</t>
  </si>
  <si>
    <t>+7 (917) 711-25-33</t>
  </si>
  <si>
    <t>http://edu.mari.ru/mouo-zvenigovo/do2/</t>
  </si>
  <si>
    <t>Дополнительное образование, Клуб для детей и подростков, Спортивный клуб, секция</t>
  </si>
  <si>
    <t>48.018684 55.973565</t>
  </si>
  <si>
    <t>48.029905 55.964115</t>
  </si>
  <si>
    <t>48.016275 55.970335</t>
  </si>
  <si>
    <t>ул. Вершинина, 37, Звенигово</t>
  </si>
  <si>
    <t>пн-пт 08:00–21:00; сб,вс 09:00–18:00</t>
  </si>
  <si>
    <t>48.012873 55.970458</t>
  </si>
  <si>
    <t>Лик</t>
  </si>
  <si>
    <t>Комсомольская ул., 4, Звенигово</t>
  </si>
  <si>
    <t>48.035191 55.963924</t>
  </si>
  <si>
    <t>48.017929 55.966619</t>
  </si>
  <si>
    <t>Магазин белья и купальников, Магазин бижутерии</t>
  </si>
  <si>
    <t>48.010296 55.976315</t>
  </si>
  <si>
    <t>ул. Ростовщикова, 33А, Звенигово</t>
  </si>
  <si>
    <t>48.028791 55.966545</t>
  </si>
  <si>
    <t>Россия, Республика Марий Эл, Звенигово, Заводская улица</t>
  </si>
  <si>
    <t>48.011932 55.980227</t>
  </si>
  <si>
    <t>Ключ, ручей</t>
  </si>
  <si>
    <t>48.013326 55.967336</t>
  </si>
  <si>
    <t>Касса семейного кредита</t>
  </si>
  <si>
    <t>ул. Ленина, 41, Звенигово</t>
  </si>
  <si>
    <t>48.016228 55.9712</t>
  </si>
  <si>
    <t>ГБПОУ Республики Марий Эл Транспортно-энергетический техникум</t>
  </si>
  <si>
    <t>ул. Ленина, 1, Звенигово</t>
  </si>
  <si>
    <t>+7 (83645) 7-40-21</t>
  </si>
  <si>
    <t>48.008175 55.979539</t>
  </si>
  <si>
    <t>Букет бутик</t>
  </si>
  <si>
    <t>ул. Ленина, 28, Звенигово</t>
  </si>
  <si>
    <t>Магазин подарков и сувениров, Магазин цветов</t>
  </si>
  <si>
    <t>48.012207 55.974472</t>
  </si>
  <si>
    <t>Сладкие традиции</t>
  </si>
  <si>
    <t>48.017669 55.968746</t>
  </si>
  <si>
    <t>+7 (962) 588-23-50</t>
  </si>
  <si>
    <t>48.011799 55.973909</t>
  </si>
  <si>
    <t>Марийская Мемориальная компания</t>
  </si>
  <si>
    <t>48.007183 55.976326</t>
  </si>
  <si>
    <t>ул. Пушкина, 23А, Звенигово</t>
  </si>
  <si>
    <t>48.013019 55.976316</t>
  </si>
  <si>
    <t>Laventa</t>
  </si>
  <si>
    <t>48.01944 55.968094</t>
  </si>
  <si>
    <t>Магазин № 1</t>
  </si>
  <si>
    <t>ул. Вечеркина, 12, Звенигово</t>
  </si>
  <si>
    <t>48.006208 55.978005</t>
  </si>
  <si>
    <t>Хозяин</t>
  </si>
  <si>
    <t>48.013732 55.980093</t>
  </si>
  <si>
    <t>48.016365 55.97022</t>
  </si>
  <si>
    <t>ул. Ленина, 32А, Звенигово</t>
  </si>
  <si>
    <t>48.013275 55.9735</t>
  </si>
  <si>
    <t>48.008055 55.975605</t>
  </si>
  <si>
    <t>ул. Ростовщикова, 76, Звенигово</t>
  </si>
  <si>
    <t>48.029677 55.966626</t>
  </si>
  <si>
    <t>Лиэль</t>
  </si>
  <si>
    <t>+7 (916) 352-52-24</t>
  </si>
  <si>
    <t>48.008636 55.974181</t>
  </si>
  <si>
    <t>ул. Ленина, 47, Звенигово</t>
  </si>
  <si>
    <t>48.017445 55.969894</t>
  </si>
  <si>
    <t>48.017475 55.969864</t>
  </si>
  <si>
    <t>ул. Гагарина, 48, Звенигово</t>
  </si>
  <si>
    <t>48.013488 55.971053</t>
  </si>
  <si>
    <t>Дарья</t>
  </si>
  <si>
    <t>48.010136 55.97648</t>
  </si>
  <si>
    <t>Мир мебели</t>
  </si>
  <si>
    <t>48.011871 55.97399</t>
  </si>
  <si>
    <t>48.007507 55.974769</t>
  </si>
  <si>
    <t>Драйв12</t>
  </si>
  <si>
    <t>+7 (905) 008-45-67</t>
  </si>
  <si>
    <t>http://12-auto-parts-store.business.site/</t>
  </si>
  <si>
    <t>48.014625 55.980324</t>
  </si>
  <si>
    <t>48.010963 55.976406</t>
  </si>
  <si>
    <t>48.014775 55.968472</t>
  </si>
  <si>
    <t>Студия белья</t>
  </si>
  <si>
    <t>+7 (927) 550-81-57</t>
  </si>
  <si>
    <t>пн-пт 10:00–17:00, перерыв 13:00–14:00; сб 10:00–14:00</t>
  </si>
  <si>
    <t>https://www.instagram.com/Studiolingerie12</t>
  </si>
  <si>
    <t>48.010144 55.977308</t>
  </si>
  <si>
    <t>+7 (962) 589-33-99</t>
  </si>
  <si>
    <t>48.016373 55.970211</t>
  </si>
  <si>
    <t>Советская ул., 41, Звенигово</t>
  </si>
  <si>
    <t>48.010933 55.97116</t>
  </si>
  <si>
    <t>ДомоСтрой</t>
  </si>
  <si>
    <t>+7 (987) 711-16-09</t>
  </si>
  <si>
    <t>48.010075 55.976467</t>
  </si>
  <si>
    <t>48.018787 55.981995</t>
  </si>
  <si>
    <t>48.010216 55.977133</t>
  </si>
  <si>
    <t>Школа Интернат</t>
  </si>
  <si>
    <t>ул. Гагарина, 19, Звенигово</t>
  </si>
  <si>
    <t>+7 (83645) 7-13-46, +7 (83645) 7-06-37, +7 (83645) 7-12-75</t>
  </si>
  <si>
    <t>Общеобразовательная школа, Школа-интернат</t>
  </si>
  <si>
    <t>48.010979 55.975595</t>
  </si>
  <si>
    <t>ул. Горького, 2А, Звенигово</t>
  </si>
  <si>
    <t>Автостекла, Кузовной ремонт, Магазин автозапчастей и автотоваров, Нанесение покрытий</t>
  </si>
  <si>
    <t>48.01729 55.98249</t>
  </si>
  <si>
    <t>пн-чт 09:00–00:00; пт,сб 09:00–03:00; вс 09:00–00:00</t>
  </si>
  <si>
    <t>48.016333 55.970388</t>
  </si>
  <si>
    <t>Электросеть</t>
  </si>
  <si>
    <t>ул. Пушкина, 51, Звенигово</t>
  </si>
  <si>
    <t>48.018562 55.971001</t>
  </si>
  <si>
    <t>48.028675 55.96667</t>
  </si>
  <si>
    <t>Клуб досуга</t>
  </si>
  <si>
    <t>пн-ср 12:00–00:00; чт-вс 12:00–02:00</t>
  </si>
  <si>
    <t>48.026252 55.96214</t>
  </si>
  <si>
    <t>Звениговострой</t>
  </si>
  <si>
    <t>ул. Горького, 1А, Звенигово</t>
  </si>
  <si>
    <t>48.01735 55.983436</t>
  </si>
  <si>
    <t>Россия, Республика Марий Эл, Звенигово, улица Пушкина</t>
  </si>
  <si>
    <t>48.022479 55.966402</t>
  </si>
  <si>
    <t>48.016105 55.970665</t>
  </si>
  <si>
    <t>Sistema 12</t>
  </si>
  <si>
    <t>+7 (927) 877-44-44</t>
  </si>
  <si>
    <t xml:space="preserve">sistema12rus@gmail.com  </t>
  </si>
  <si>
    <t>Компьютерный ремонт и услуги, Магазин бытовой техники, Магазин электроники, Ремонт электрооборудования</t>
  </si>
  <si>
    <t>https://vk.com/sistema_12</t>
  </si>
  <si>
    <t>https://www.instagram.com/sistema_12</t>
  </si>
  <si>
    <t>48.016351 55.970222</t>
  </si>
  <si>
    <t>Россия, Республика Марий Эл, Звенигово, улица Бутякова</t>
  </si>
  <si>
    <t>48.027326 55.966105</t>
  </si>
  <si>
    <t>Улица Бутякова, 89</t>
  </si>
  <si>
    <t>ул. Вечеркина, 2, Звенигово</t>
  </si>
  <si>
    <t>48.005472 55.979993</t>
  </si>
  <si>
    <t>48.008942 55.975494</t>
  </si>
  <si>
    <t>Бакалейка</t>
  </si>
  <si>
    <t>48.008942 55.975586</t>
  </si>
  <si>
    <t>ВСК</t>
  </si>
  <si>
    <t>48.005924 55.978615</t>
  </si>
  <si>
    <t>ул. Гагарина, 25А, Звенигово</t>
  </si>
  <si>
    <t>48.011849 55.974162</t>
  </si>
  <si>
    <t>Мини Рынок</t>
  </si>
  <si>
    <t>Рынок</t>
  </si>
  <si>
    <t>48.017787 55.968728</t>
  </si>
  <si>
    <t>Интек-маркет</t>
  </si>
  <si>
    <t>48.019547 55.967987</t>
  </si>
  <si>
    <t>48.014929 55.980129</t>
  </si>
  <si>
    <t>Общежитие Звениговской санаторной школы-интерната</t>
  </si>
  <si>
    <t>ул. Ленина, 22, Звенигово</t>
  </si>
  <si>
    <t>48.01107 55.975346</t>
  </si>
  <si>
    <t>Металл профиль</t>
  </si>
  <si>
    <t>48.01444 55.979717</t>
  </si>
  <si>
    <t>Детский дом</t>
  </si>
  <si>
    <t>ул. Пушкина, 53А, Звенигово</t>
  </si>
  <si>
    <t>+7 (83645) 7-10-64, +7 (83645) 7-14-43</t>
  </si>
  <si>
    <t xml:space="preserve">zven.mboydod@mail.ru  </t>
  </si>
  <si>
    <t>http://dshi-zven.mari-el.muzkult.ru/</t>
  </si>
  <si>
    <t>48.018997 55.970726</t>
  </si>
  <si>
    <t>ZХайп</t>
  </si>
  <si>
    <t>+7 (905) 008-84-58</t>
  </si>
  <si>
    <t>48.00764 55.975461</t>
  </si>
  <si>
    <t>48.00895 55.975568</t>
  </si>
  <si>
    <t>Мастерская обуви</t>
  </si>
  <si>
    <t>48.008385 55.976067</t>
  </si>
  <si>
    <t>48.008162 55.976688</t>
  </si>
  <si>
    <t>48.015237 55.979933</t>
  </si>
  <si>
    <t>Центральная оптика</t>
  </si>
  <si>
    <t>48.016038 55.970566</t>
  </si>
  <si>
    <t>Водник</t>
  </si>
  <si>
    <t>ул. Чехова, 46, Звенигово</t>
  </si>
  <si>
    <t>+7 (83645) 7-27-40</t>
  </si>
  <si>
    <t>Спортивный комплекс, Спортивный, тренажерный зал, Стадион</t>
  </si>
  <si>
    <t>48.021025 55.975998</t>
  </si>
  <si>
    <t>Новая ул., 3, Звенигово</t>
  </si>
  <si>
    <t>+7 (903) 341-50-00</t>
  </si>
  <si>
    <t>http://evacuation16.ru/</t>
  </si>
  <si>
    <t>48.026563 55.98225</t>
  </si>
  <si>
    <t>Звениговская специализированная юношеская автомобильная школа-центр Регионального отделения Общероссийской общественно- государственной организации Добровольное общество содействия армии, авиации и флоту России Республики Марий Эл</t>
  </si>
  <si>
    <t>ул. Ростовщикова, 1, Звенигово</t>
  </si>
  <si>
    <t>48.019767 55.9747</t>
  </si>
  <si>
    <t>48.016631 55.968165</t>
  </si>
  <si>
    <t>Автостанция</t>
  </si>
  <si>
    <t>ул. Ленина, 100А, Звенигово</t>
  </si>
  <si>
    <t>48.024926 55.962611</t>
  </si>
  <si>
    <t>48.017615 55.968908</t>
  </si>
  <si>
    <t>Сказочный домик</t>
  </si>
  <si>
    <t>+7 (902) 432-05-95</t>
  </si>
  <si>
    <t>Детская мебель, Детские игрушки и игры, Детский магазин</t>
  </si>
  <si>
    <t>ГК Водник</t>
  </si>
  <si>
    <t>48.00759 55.983081</t>
  </si>
  <si>
    <t>48.014993 55.980007</t>
  </si>
  <si>
    <t>Звениговская центральная районная больница 2, поликлиника</t>
  </si>
  <si>
    <t>48.024744 55.971476</t>
  </si>
  <si>
    <t>ул. Ленина, 21, Звенигово</t>
  </si>
  <si>
    <t>48.012849 55.974677</t>
  </si>
  <si>
    <t>ул. Ленина, 56, Звенигово</t>
  </si>
  <si>
    <t>48.016637 55.969612</t>
  </si>
  <si>
    <t>пн-чт 11:00–23:00; пт-вс 12:00–00:00</t>
  </si>
  <si>
    <t>48.01632 55.967185</t>
  </si>
  <si>
    <t>Центр люкс</t>
  </si>
  <si>
    <t>48.016039 55.970721</t>
  </si>
  <si>
    <t>ул. Чехова, 27, Звенигово</t>
  </si>
  <si>
    <t>48.019912 55.978493</t>
  </si>
  <si>
    <t>Газпром межрегионгаз, центр обслуживания населения, Йошкар-Ола</t>
  </si>
  <si>
    <t>48.035324 55.963959</t>
  </si>
  <si>
    <t>Церковь Святителя Николая</t>
  </si>
  <si>
    <t>ул. Вершинина, 36, Звенигово</t>
  </si>
  <si>
    <t>ежедневно, 07:00–14:00</t>
  </si>
  <si>
    <t>48.010936 55.971819</t>
  </si>
  <si>
    <t>АгроЗайм</t>
  </si>
  <si>
    <t>http://marizaim.ru/</t>
  </si>
  <si>
    <t>48.016263 55.970273</t>
  </si>
  <si>
    <t>Автомир</t>
  </si>
  <si>
    <t>48.005753 55.978861</t>
  </si>
  <si>
    <t>Косметика Мирра/mirra</t>
  </si>
  <si>
    <t>48.017871 55.969144</t>
  </si>
  <si>
    <t>48.020271 55.972698</t>
  </si>
  <si>
    <t>Общежитие ТЭТ</t>
  </si>
  <si>
    <t>ул. Ленина, 5, Звенигово</t>
  </si>
  <si>
    <t>48.008768 55.978768</t>
  </si>
  <si>
    <t>48.023064 55.977262</t>
  </si>
  <si>
    <t>ул. Гагарина, 2, Звенигово</t>
  </si>
  <si>
    <t>48.007347 55.977066</t>
  </si>
  <si>
    <t>48.007557 55.979176</t>
  </si>
  <si>
    <t>Звениговский детский сад Светлячок Комбинированного Вида</t>
  </si>
  <si>
    <t>ул. Ростовщикова, 45, Звенигово</t>
  </si>
  <si>
    <t>48.028587 55.968297</t>
  </si>
  <si>
    <t>Ракета</t>
  </si>
  <si>
    <t>ул. Пушкина, 7, Звенигово</t>
  </si>
  <si>
    <t>http://edu.mari.ru/mouo-zvenigovo/dou1/</t>
  </si>
  <si>
    <t>48.010711 55.978906</t>
  </si>
  <si>
    <t>Прием катализаторов от авто. Удаление катализатора</t>
  </si>
  <si>
    <t>https://vk.com/katalizator12ru</t>
  </si>
  <si>
    <t>48.014106 55.979703</t>
  </si>
  <si>
    <t>48.014164 55.972626</t>
  </si>
  <si>
    <t>ул. Вечеркина, 22, Звенигово</t>
  </si>
  <si>
    <t>48.006893 55.976036</t>
  </si>
  <si>
    <t>48.023802 55.96735</t>
  </si>
  <si>
    <t>Волжская сетевая компания. Звениговский электроучасток</t>
  </si>
  <si>
    <t>48.018381 55.971042</t>
  </si>
  <si>
    <t>Звениговское отделение ТНС энерго Марий Эл</t>
  </si>
  <si>
    <t>ул. Пушкина, 53, Звенигово</t>
  </si>
  <si>
    <t>+7 (8362) 34-71-27, +7 (83645) 7-34-00</t>
  </si>
  <si>
    <t>48.019129 55.970449</t>
  </si>
  <si>
    <t>http://zvenigovo.potolkinatyazhnye-vsem.ru/</t>
  </si>
  <si>
    <t>https://twitter.com/OsteklZvenigovo</t>
  </si>
  <si>
    <t>48.018294 55.969234</t>
  </si>
  <si>
    <t>ул. Бутякова, 23, Звенигово</t>
  </si>
  <si>
    <t>+7 (987) 701-84-16</t>
  </si>
  <si>
    <t xml:space="preserve">marikadastr@mail.ru  </t>
  </si>
  <si>
    <t>https://vk.com/marikadastr</t>
  </si>
  <si>
    <t>48.020531 55.972683</t>
  </si>
  <si>
    <t>ул. Ленина, 11А, Звенигово</t>
  </si>
  <si>
    <t>48.01078 55.977005</t>
  </si>
  <si>
    <t>48.01116 55.973653</t>
  </si>
  <si>
    <t>МастерОк</t>
  </si>
  <si>
    <t>48.01487 55.980003</t>
  </si>
  <si>
    <t>48.020123 55.976699</t>
  </si>
  <si>
    <t>Лесная Поляна</t>
  </si>
  <si>
    <t>Пионерская ул., 5, Звенигово</t>
  </si>
  <si>
    <t>+7 (917) 707-29-53, +7 (903) 313-66-92, +7 (937) 113-97-57, +7 (937) 936-56-83</t>
  </si>
  <si>
    <t>48.013542 55.978609</t>
  </si>
  <si>
    <t>8 (800) 333-22-44, +7 (83632) 7-13-27, +7 (83632) 7-12-36</t>
  </si>
  <si>
    <t>Ключи</t>
  </si>
  <si>
    <t>48.008404 55.976044</t>
  </si>
  <si>
    <t>ул. Ленина, 33, Звенигово</t>
  </si>
  <si>
    <t>48.014748 55.972694</t>
  </si>
  <si>
    <t>8 (800) 707-15-55</t>
  </si>
  <si>
    <t>48.01346 55.98037</t>
  </si>
  <si>
    <t>+7 (905) 182-83-20</t>
  </si>
  <si>
    <t>48.016349 55.970195</t>
  </si>
  <si>
    <t>48.017442 55.972149</t>
  </si>
  <si>
    <t>Автосервис Михалыч</t>
  </si>
  <si>
    <t>Сосновая ул., 1А, Звенигово</t>
  </si>
  <si>
    <t>+7 (917) 719-77-18</t>
  </si>
  <si>
    <t>48.023306 55.983252</t>
  </si>
  <si>
    <t>48.019573 55.967926</t>
  </si>
  <si>
    <t>Касса взаимопомощи Агрокредит</t>
  </si>
  <si>
    <t>+7 (83645) 7-11-99</t>
  </si>
  <si>
    <t>+7 (960) 098-68-33</t>
  </si>
  <si>
    <t xml:space="preserve">shumagro@yandex.ru  </t>
  </si>
  <si>
    <t>http://kvagrokredit.ru/</t>
  </si>
  <si>
    <t>Микрофинансирование, Небанковская кредитная организация, Потребительская кооперация</t>
  </si>
  <si>
    <t>https://vk.com/public153039958</t>
  </si>
  <si>
    <t>48.016048 55.97134</t>
  </si>
  <si>
    <t>ул. Ленина, 119, Звенигово</t>
  </si>
  <si>
    <t>48.026908 55.962291</t>
  </si>
  <si>
    <t>Копировальный центр, Наружная реклама, Фотоуслуги</t>
  </si>
  <si>
    <t>48.016103 55.970668</t>
  </si>
  <si>
    <t>Аптека № 3</t>
  </si>
  <si>
    <t>+7 (83645) 7-16-89</t>
  </si>
  <si>
    <t>48.018255 55.969203</t>
  </si>
  <si>
    <t>Детские игрушки и игры, Спортивный магазин</t>
  </si>
  <si>
    <t>48.019684 55.967846</t>
  </si>
  <si>
    <t>48.010956 55.9764</t>
  </si>
  <si>
    <t>48.024666 55.977513</t>
  </si>
  <si>
    <t>Оконные системы</t>
  </si>
  <si>
    <t>Жалюзи и рулонные шторы, Натяжные и подвесные потолки, Окна, Рольставни</t>
  </si>
  <si>
    <t>48.01185 55.973978</t>
  </si>
  <si>
    <t>48.008344 55.976039</t>
  </si>
  <si>
    <t>Школьная ул., 13А, Звенигово</t>
  </si>
  <si>
    <t>48.014113 55.976835</t>
  </si>
  <si>
    <t>48.009956 55.977928</t>
  </si>
  <si>
    <t>+7 (83645) 7-21-21</t>
  </si>
  <si>
    <t>+7 (906) 335-36-36</t>
  </si>
  <si>
    <t>https://vk.com/zemcug12</t>
  </si>
  <si>
    <t>https://ok.ru/profile/563584347472</t>
  </si>
  <si>
    <t>48.019902 55.96768</t>
  </si>
  <si>
    <t>ул. Ростовщикова, 25Б, Звенигово</t>
  </si>
  <si>
    <t>48.026686 55.970551</t>
  </si>
  <si>
    <t>Нептун</t>
  </si>
  <si>
    <t>48.026703 55.962298</t>
  </si>
  <si>
    <t>Волжанка</t>
  </si>
  <si>
    <t>48.029804 55.966538</t>
  </si>
  <si>
    <t>Неолитпласт</t>
  </si>
  <si>
    <t>+7 (83645) 7-15-49</t>
  </si>
  <si>
    <t>+7 (961) 333-33-37</t>
  </si>
  <si>
    <t xml:space="preserve">info@neolit-plast.ru, neo777lit@rambler.ru </t>
  </si>
  <si>
    <t>https://neolit-plast.ru/</t>
  </si>
  <si>
    <t>Металлообработка, Металлургическое предприятие</t>
  </si>
  <si>
    <t>48.004125 55.97957</t>
  </si>
  <si>
    <t>48.010219 55.97713</t>
  </si>
  <si>
    <t>48.016354 55.97027</t>
  </si>
  <si>
    <t>Хозяйственный магазин</t>
  </si>
  <si>
    <t>48.011963 55.974556</t>
  </si>
  <si>
    <t>пн-пт 08:00–16:00; сб,вс 08:00–14:00</t>
  </si>
  <si>
    <t>48.011887 55.973993</t>
  </si>
  <si>
    <t>Лада</t>
  </si>
  <si>
    <t>48.01196 55.974512</t>
  </si>
  <si>
    <t>+7 (83645) 7-16-21</t>
  </si>
  <si>
    <t>48.02747 55.966653</t>
  </si>
  <si>
    <t>48.01852 55.968756</t>
  </si>
  <si>
    <t>48.00637 55.976515</t>
  </si>
  <si>
    <t>Россия, Республика Марий Эл, Звенигово, Волжский переулок</t>
  </si>
  <si>
    <t>48.023536 55.969669</t>
  </si>
  <si>
    <t>48.016828 55.970769</t>
  </si>
  <si>
    <t>Имплозия</t>
  </si>
  <si>
    <t>48.010345 55.976148</t>
  </si>
  <si>
    <t>Верхняя одежда</t>
  </si>
  <si>
    <t>48.011147 55.9763</t>
  </si>
  <si>
    <t>48.017647 55.96884</t>
  </si>
  <si>
    <t>48.012855 55.970477</t>
  </si>
  <si>
    <t>48.008877 55.977684</t>
  </si>
  <si>
    <t>Гарда мебель</t>
  </si>
  <si>
    <t>48.017 55.970432</t>
  </si>
  <si>
    <t>48.014844 55.969972</t>
  </si>
  <si>
    <t>Закусочная Миф</t>
  </si>
  <si>
    <t>48.014514 55.980418</t>
  </si>
  <si>
    <t>ул. Пушкина, 1А, Звенигово</t>
  </si>
  <si>
    <t>48.010438 55.980497</t>
  </si>
  <si>
    <t>48.016416 55.970185</t>
  </si>
  <si>
    <t>48.027997 55.966834</t>
  </si>
  <si>
    <t>МБУК Звениговский РЦДиК Мечта</t>
  </si>
  <si>
    <t>+7 (83645) 7-21-29</t>
  </si>
  <si>
    <t xml:space="preserve">zvrcdik@mail.ru  </t>
  </si>
  <si>
    <t>http://rcdk-mechta.mari-el.muzkult.ru/</t>
  </si>
  <si>
    <t>Дом культуры, Творческий коллектив, Театр</t>
  </si>
  <si>
    <t>48.005442 55.977172</t>
  </si>
  <si>
    <t>48.00908 55.975339</t>
  </si>
  <si>
    <t>48.020134 55.966385</t>
  </si>
  <si>
    <t>48.019566 55.967976</t>
  </si>
  <si>
    <t>http://звенигово.алко-наркоклиник.рус/</t>
  </si>
  <si>
    <t>48.024649 55.962995</t>
  </si>
  <si>
    <t>Виварий ГБУ</t>
  </si>
  <si>
    <t>48.022776 55.984225</t>
  </si>
  <si>
    <t>Дары Востока</t>
  </si>
  <si>
    <t>48.019136 55.968188</t>
  </si>
  <si>
    <t>48.027299 55.978303</t>
  </si>
  <si>
    <t>Россия, Республика Марий Эл, Звенигово, переулок Цыганова</t>
  </si>
  <si>
    <t>48.013606 55.969603</t>
  </si>
  <si>
    <t>48.0144 55.979538</t>
  </si>
  <si>
    <t>48.024395 55.972293</t>
  </si>
  <si>
    <t>Россия, Республика Марий Эл, Звенигово, Подгорный переулок</t>
  </si>
  <si>
    <t>48.027643 55.980433</t>
  </si>
  <si>
    <t>Детская обувь</t>
  </si>
  <si>
    <t>48.016464 55.970147</t>
  </si>
  <si>
    <t>Магазин мясной Звениговский</t>
  </si>
  <si>
    <t>Школьная ул., 111, Звенигово</t>
  </si>
  <si>
    <t>48.032178 55.963474</t>
  </si>
  <si>
    <t>Трикотаж для всей семьи</t>
  </si>
  <si>
    <t>48.008327 55.975986</t>
  </si>
  <si>
    <t>ул. Ростовщикова, 35, Звенигово</t>
  </si>
  <si>
    <t>48.028436 55.966593</t>
  </si>
  <si>
    <t>ул. Ленина, 2А, Звенигово</t>
  </si>
  <si>
    <t>+7 (83645) 7-08-88, +7 (83645) 7-48-23</t>
  </si>
  <si>
    <t>http://www.rimko.biz/</t>
  </si>
  <si>
    <t>48.006885 55.979899</t>
  </si>
  <si>
    <t>Мяг Ко</t>
  </si>
  <si>
    <t>48.01048 55.976055</t>
  </si>
  <si>
    <t>Стационар Звениговская центральная районная больница</t>
  </si>
  <si>
    <t>48.024848 55.97178</t>
  </si>
  <si>
    <t>48.016357 55.970236</t>
  </si>
  <si>
    <t>48.025672 55.968966</t>
  </si>
  <si>
    <t>Золотой бриз</t>
  </si>
  <si>
    <t>48.019574 55.968081</t>
  </si>
  <si>
    <t>48.016279 55.970201</t>
  </si>
  <si>
    <t>ЭВМклиник</t>
  </si>
  <si>
    <t>48.012064 55.973808</t>
  </si>
  <si>
    <t>Свет 12</t>
  </si>
  <si>
    <t>Магазин хозтоваров и бытовой химии, Электротехническая продукция</t>
  </si>
  <si>
    <t>48.014885 55.98001</t>
  </si>
  <si>
    <t>Деньги на любые нужды</t>
  </si>
  <si>
    <t>48.01768 55.968716</t>
  </si>
  <si>
    <t>Пекарь</t>
  </si>
  <si>
    <t>48.008244 55.980038</t>
  </si>
  <si>
    <t>48.01003 55.976383</t>
  </si>
  <si>
    <t>48.012814 55.974628</t>
  </si>
  <si>
    <t>48.016378 55.970242</t>
  </si>
  <si>
    <t>48.01613 55.970396</t>
  </si>
  <si>
    <t>Империя Детства</t>
  </si>
  <si>
    <t>+7 (917) 712-28-95, +7 (917) 714-56-46</t>
  </si>
  <si>
    <t>Детские игровые залы и площадки, Логопеды, Центр развития ребенка</t>
  </si>
  <si>
    <t>https://vk.com/imperiadetstvazvo</t>
  </si>
  <si>
    <t>https://ok.ru/imperiadetstvazvo</t>
  </si>
  <si>
    <t>48.011821 55.973924</t>
  </si>
  <si>
    <t>Экономстроймастер</t>
  </si>
  <si>
    <t>Магазин электротоваров, Строительный магазин</t>
  </si>
  <si>
    <t>48.035046 55.964157</t>
  </si>
  <si>
    <t>Жилищная управляющая компания</t>
  </si>
  <si>
    <t>ул. Гагарина, 5, Звенигово</t>
  </si>
  <si>
    <t>+7 (967) 757-62-62</t>
  </si>
  <si>
    <t xml:space="preserve">me@maxkrasnov.ru  </t>
  </si>
  <si>
    <t>http://zvuk12.ru/</t>
  </si>
  <si>
    <t>48.007418 55.977731</t>
  </si>
  <si>
    <t>48.016223 55.970388</t>
  </si>
  <si>
    <t>ул. Ленина, 85, Звенигово</t>
  </si>
  <si>
    <t>48.021232 55.965916</t>
  </si>
  <si>
    <t>+7 (83645) 7-17-07</t>
  </si>
  <si>
    <t>+7 (917) 700-17-07</t>
  </si>
  <si>
    <t>http://www.mfofinans.ru/</t>
  </si>
  <si>
    <t>Hotel Zvenigovskaya</t>
  </si>
  <si>
    <t>ул. Гагарина, 51, Звенигово</t>
  </si>
  <si>
    <t>48.013746 55.971243</t>
  </si>
  <si>
    <t>Звениговский дом народных умельцев</t>
  </si>
  <si>
    <t>Творческий коллектив, Художественная мастерская</t>
  </si>
  <si>
    <t>пн,пт 08:00–17:00, перерыв 12:00–13:00</t>
  </si>
  <si>
    <t>48.006866 55.97608</t>
  </si>
  <si>
    <t>+7 (937) 957-31-29</t>
  </si>
  <si>
    <t>http://modnica21.com/</t>
  </si>
  <si>
    <t>Магазин ткани, Швейная фурнитура, Шторы, карнизы</t>
  </si>
  <si>
    <t>вт-пт 09:00–15:30; сб,вс 09:00–14:00</t>
  </si>
  <si>
    <t>https://www.instagram.com/modnica_21</t>
  </si>
  <si>
    <t>ул. Гагарина, 1, Звенигово</t>
  </si>
  <si>
    <t>48.006514 55.978862</t>
  </si>
  <si>
    <t>ул. Вечеркина, 12, Звенигово, Россия</t>
  </si>
  <si>
    <t>48.006218 55.97797</t>
  </si>
  <si>
    <t>48.016357 55.970195</t>
  </si>
  <si>
    <t>Берёзка</t>
  </si>
  <si>
    <t>ул. Вечеркина, 25, Звенигово</t>
  </si>
  <si>
    <t>пн-пт 08:00–19:00; сб,вс 08:00–14:00</t>
  </si>
  <si>
    <t>48.008059 55.975309</t>
  </si>
  <si>
    <t>Линолеум, Магазин обоев</t>
  </si>
  <si>
    <t>48.009431 55.97503</t>
  </si>
  <si>
    <t>Будь здоров</t>
  </si>
  <si>
    <t>+7 (83645) 7-34-20</t>
  </si>
  <si>
    <t>48.01532 55.972312</t>
  </si>
  <si>
    <t>48.011517 55.97636</t>
  </si>
  <si>
    <t>Арскнефтепродукт</t>
  </si>
  <si>
    <t>ул. Охотина, 2А, Звенигово</t>
  </si>
  <si>
    <t>48.012826 55.981378</t>
  </si>
  <si>
    <t>48.01062 55.97675</t>
  </si>
  <si>
    <t>Крепежные изделия, Магазин канцтоваров, Магазин сантехники, Магазин хозтоваров и бытовой химии, Удобрения</t>
  </si>
  <si>
    <t>48.011974 55.97456</t>
  </si>
  <si>
    <t>Совместные закупки</t>
  </si>
  <si>
    <t>ул. Некрасова, 6, Звенигово</t>
  </si>
  <si>
    <t>48.016531 55.979514</t>
  </si>
  <si>
    <t>Турагенство</t>
  </si>
  <si>
    <t>48.007898 55.974898</t>
  </si>
  <si>
    <t>48.016103 55.970667</t>
  </si>
  <si>
    <t>Ремонт стиральных машин</t>
  </si>
  <si>
    <t>+7 (902) 329-73-54</t>
  </si>
  <si>
    <t>48.009221 55.978206</t>
  </si>
  <si>
    <t>Планета обуви и одежды</t>
  </si>
  <si>
    <t>48.010216 55.97639</t>
  </si>
  <si>
    <t>48.016712 55.96965</t>
  </si>
  <si>
    <t>Все по маслу</t>
  </si>
  <si>
    <t>ул. Охотина, 10Б, Звенигово</t>
  </si>
  <si>
    <t>+7 (905) 008-30-70</t>
  </si>
  <si>
    <t>48.014362 55.97979</t>
  </si>
  <si>
    <t>48.029787 55.966525</t>
  </si>
  <si>
    <t>ул. Охотина, 7А, Звенигово</t>
  </si>
  <si>
    <t>48.014986 55.979681</t>
  </si>
  <si>
    <t>48.011261 55.976475</t>
  </si>
  <si>
    <t>+7 (927) 875-63-39</t>
  </si>
  <si>
    <t>Магазин для садоводов, Магазин семян, Садовый инвентарь и техника, Удобрения</t>
  </si>
  <si>
    <t>пн-пт 08:00–15:00; сб,вс 07:00–15:00</t>
  </si>
  <si>
    <t>48.008421 55.975955</t>
  </si>
  <si>
    <t>Smile</t>
  </si>
  <si>
    <t>48.011877 55.973993</t>
  </si>
  <si>
    <t>48.016536 55.967321</t>
  </si>
  <si>
    <t>ул. Ленина, 57, Звенигово</t>
  </si>
  <si>
    <t>48.020373 55.966979</t>
  </si>
  <si>
    <t>48.012798 55.970653</t>
  </si>
  <si>
    <t>48.018482 55.978083</t>
  </si>
  <si>
    <t>Деньги мигом</t>
  </si>
  <si>
    <t>48.01452 55.97221</t>
  </si>
  <si>
    <t>Звениговская районная организация ветеранов войны, труда, Вооруженных Сил и правоохранительных органов</t>
  </si>
  <si>
    <t>48.015346 55.971285</t>
  </si>
  <si>
    <t>48.027401 55.963737</t>
  </si>
  <si>
    <t>48.010777 55.977016</t>
  </si>
  <si>
    <t>48.020025 55.965842</t>
  </si>
  <si>
    <t>48.022479 55.983793</t>
  </si>
  <si>
    <t>48.011185 55.977164</t>
  </si>
  <si>
    <t>Центр</t>
  </si>
  <si>
    <t>48.01641 55.97028</t>
  </si>
  <si>
    <t>48.019569 55.967986</t>
  </si>
  <si>
    <t>SamuРай</t>
  </si>
  <si>
    <t>ул. Ленина, 6, Звенигово</t>
  </si>
  <si>
    <t>48.007923 55.978737</t>
  </si>
  <si>
    <t>48.023663 55.985497</t>
  </si>
  <si>
    <t>48.019674 55.98057</t>
  </si>
  <si>
    <t>Россия, Республика Марий Эл, Звенигово, Бродяжий переулок</t>
  </si>
  <si>
    <t>48.030655 55.977152</t>
  </si>
  <si>
    <t>Магазин фейерверков</t>
  </si>
  <si>
    <t>https://vk.com/salutzvo</t>
  </si>
  <si>
    <t>48.014378 55.979786</t>
  </si>
  <si>
    <t>48.02861 55.966708</t>
  </si>
  <si>
    <t>Вещевой рынок</t>
  </si>
  <si>
    <t>48.008528 55.975307</t>
  </si>
  <si>
    <t>Строймастер</t>
  </si>
  <si>
    <t>+7 (961) 334-66-77</t>
  </si>
  <si>
    <t>Магазин сантехники, Системы водоснабжения, отопления, канализации, Строительный магазин</t>
  </si>
  <si>
    <t>48.014874 55.98006</t>
  </si>
  <si>
    <t>Гонг</t>
  </si>
  <si>
    <t>ул. Бутякова, 97А, Звенигово</t>
  </si>
  <si>
    <t>48.028482 55.965808</t>
  </si>
  <si>
    <t>Stochka</t>
  </si>
  <si>
    <t>48.010149 55.976393</t>
  </si>
  <si>
    <t>Озорная Стрекоза</t>
  </si>
  <si>
    <t>48.016354 55.970242</t>
  </si>
  <si>
    <t>Садовый инвентарь и техника, Электро- и бензоинструмент</t>
  </si>
  <si>
    <t>48.014358 55.979779</t>
  </si>
  <si>
    <t>48.02393 55.979987</t>
  </si>
  <si>
    <t>Малыш и мама</t>
  </si>
  <si>
    <t>48.019512 55.967983</t>
  </si>
  <si>
    <t>Блесна</t>
  </si>
  <si>
    <t>Катера, лодки, яхты, Товары для рыбалки</t>
  </si>
  <si>
    <t>48.019803 55.967829</t>
  </si>
  <si>
    <t>Музей купеческого быта имени А.В. Маравьёва</t>
  </si>
  <si>
    <t>Козьмодемьянск</t>
  </si>
  <si>
    <t>Советская ул., 58, Козьмодемьянск</t>
  </si>
  <si>
    <t>+7 (83632) 7-62-93, +7 (83632) 7-23-69</t>
  </si>
  <si>
    <t>+7 (917) 705-84-19</t>
  </si>
  <si>
    <t>вт-вс 08:30–17:00</t>
  </si>
  <si>
    <t>46.575377 56.340924</t>
  </si>
  <si>
    <t>Козьмодемьянскмолрус</t>
  </si>
  <si>
    <t>ул. Гагарина, 52, Козьмодемьянск</t>
  </si>
  <si>
    <t>+7 (83632) 7-11-32</t>
  </si>
  <si>
    <t>Молочная продукция оптом</t>
  </si>
  <si>
    <t>46.545019 56.328614</t>
  </si>
  <si>
    <t>АГРО</t>
  </si>
  <si>
    <t>ул. Гагарина, 40А, Козьмодемьянск</t>
  </si>
  <si>
    <t>+7 (83632) 7-12-66</t>
  </si>
  <si>
    <t>+7 (987) 705-16-96</t>
  </si>
  <si>
    <t>46.544895 56.329761</t>
  </si>
  <si>
    <t>ТФ Мастер-Холл</t>
  </si>
  <si>
    <t>Промышленная ул., 34, лит.А, Козьмодемьянск</t>
  </si>
  <si>
    <t>+7 (83632) 7-46-67</t>
  </si>
  <si>
    <t>46.566661 56.32806</t>
  </si>
  <si>
    <t>Козьмодемьянский филиал АО Мариий Эл Дорстрой</t>
  </si>
  <si>
    <t>ул. Гагарина, 56В, Козьмодемьянск</t>
  </si>
  <si>
    <t>+7 (83632) 7-11-23, +7 (83632) 7-17-13, +7 (83632) 7-73-34</t>
  </si>
  <si>
    <t>46.540089 56.323468</t>
  </si>
  <si>
    <t>Мариберг Козьмодемьянский Хлебозавод</t>
  </si>
  <si>
    <t>Комсомольская ул., 23, Козьмодемьянск</t>
  </si>
  <si>
    <t>+7 (83632) 7-13-25</t>
  </si>
  <si>
    <t>Кондитерские изделия оптом, Производство продуктов питания, Хлебозавод</t>
  </si>
  <si>
    <t>46.54874 56.338504</t>
  </si>
  <si>
    <t>бул. Космонавтов, 1, Козьмодемьянск</t>
  </si>
  <si>
    <t>+7 (83632) 7-16-99, +7 (83632) 7-65-13</t>
  </si>
  <si>
    <t>+7 (83632) 7-65-13</t>
  </si>
  <si>
    <t>46.544374 56.335598</t>
  </si>
  <si>
    <t>Козьмодемьянская школа-интернат</t>
  </si>
  <si>
    <t>ул. Чернышевского, 37, Козьмодемьянск</t>
  </si>
  <si>
    <t>+7 (83632) 7-63-63</t>
  </si>
  <si>
    <t>+7 (83632) 7-12-95</t>
  </si>
  <si>
    <t>46.563583 56.342098</t>
  </si>
  <si>
    <t>ТПК Горномарийский Агропромснаб</t>
  </si>
  <si>
    <t>Промышленная ул., 11, Козьмодемьянск</t>
  </si>
  <si>
    <t>+7 (83632) 9-53-81</t>
  </si>
  <si>
    <t>46.558729 56.321117</t>
  </si>
  <si>
    <t>Этнографический музей под открытым небом имени В. И. Романова</t>
  </si>
  <si>
    <t>Промышленная ул., 2, Козьмодемьянск</t>
  </si>
  <si>
    <t>+7 (83632) 7-61-55</t>
  </si>
  <si>
    <t xml:space="preserve">leongrape@mail.ru  </t>
  </si>
  <si>
    <t>http://kmkmuzey.ru/</t>
  </si>
  <si>
    <t>http://vk.com/kmkmuzey</t>
  </si>
  <si>
    <t>46.573212 56.335952</t>
  </si>
  <si>
    <t>Темп</t>
  </si>
  <si>
    <t>Промышленная ул., 5, Козьмодемьянск</t>
  </si>
  <si>
    <t>46.560804 56.322609</t>
  </si>
  <si>
    <t>Горномарийская Туберкулезная больница</t>
  </si>
  <si>
    <t>ул. Некрасова, 53, Козьмодемьянск</t>
  </si>
  <si>
    <t>46.547814 56.339682</t>
  </si>
  <si>
    <t>Козьмодемьянские тепловые сети, филиал</t>
  </si>
  <si>
    <t>Учебная ул., 2, Козьмодемьянск</t>
  </si>
  <si>
    <t>+7 (83632) 7-14-51</t>
  </si>
  <si>
    <t>пн-чт 08:00–17:00</t>
  </si>
  <si>
    <t>46.539633 56.325034</t>
  </si>
  <si>
    <t>ул. Гагарина, 4, Козьмодемьянск</t>
  </si>
  <si>
    <t>+7 (83632) 7-19-27</t>
  </si>
  <si>
    <t>46.556686 56.338301</t>
  </si>
  <si>
    <t>Козьмодемьянская швейная фабрика</t>
  </si>
  <si>
    <t>ул. Гагарина, 25, Козьмодемьянск</t>
  </si>
  <si>
    <t>+7 (83632) 9-16-17</t>
  </si>
  <si>
    <t xml:space="preserve">zakaz@kaysarow.ru, marketing@kaysarow.ru  </t>
  </si>
  <si>
    <t>http://www.kaysarow.ru/</t>
  </si>
  <si>
    <t>46.551714 56.334132</t>
  </si>
  <si>
    <t>Производственное предприятие Литий</t>
  </si>
  <si>
    <t>Учебная ул., 4А, Козьмодемьянск</t>
  </si>
  <si>
    <t>+7 (83632) 7-58-87</t>
  </si>
  <si>
    <t>http://litiy.tiu.ru/</t>
  </si>
  <si>
    <t>46.537897 56.326178</t>
  </si>
  <si>
    <t>Управление Мелиорации Земель и Сельскохозяйственного Водоснабжения по РМЭ ФГУ Горномарийский филиал</t>
  </si>
  <si>
    <t>Промышленная ул., 34, Козьмодемьянск</t>
  </si>
  <si>
    <t>Завод Копир</t>
  </si>
  <si>
    <t>ул. Гагарина, 10, Козьмодемьянск</t>
  </si>
  <si>
    <t>+7 (83632) 7-10-60, +7 (83632) 7-36-10, +7 (83632) 7-73-70, +7 (83632) 7-53-51, +7 (83632) 7-56-68, +7 (83632) 7-11-49</t>
  </si>
  <si>
    <t xml:space="preserve">info@fibertrade.ru </t>
  </si>
  <si>
    <t>http://zavod-kopir.ru/</t>
  </si>
  <si>
    <t>Производство и оптовая продажа автозапчастей</t>
  </si>
  <si>
    <t>http://vk.com/zavod_kopir</t>
  </si>
  <si>
    <t>http://facebook.com/zavod.kopir.ru</t>
  </si>
  <si>
    <t>46.553583 56.337022</t>
  </si>
  <si>
    <t>Приволжскстрой Трест</t>
  </si>
  <si>
    <t>1, 2-й микрорайон, Козьмодемьянск</t>
  </si>
  <si>
    <t>+7 (83632) 9-13-23</t>
  </si>
  <si>
    <t>46.541921 56.330201</t>
  </si>
  <si>
    <t>+7 (83632) 2-21-10, +7 (83632) 7-49-07</t>
  </si>
  <si>
    <t>+7 (83632) 7-49-07</t>
  </si>
  <si>
    <t>Одежда оптом, Спецодежда, Швейная фабрика</t>
  </si>
  <si>
    <t>46.551179 56.33441</t>
  </si>
  <si>
    <t>Горномарийский Кирпичный завод</t>
  </si>
  <si>
    <t>Промышленная ул., 28, Козьмодемьянск</t>
  </si>
  <si>
    <t>+7 (83632) 7-13-05</t>
  </si>
  <si>
    <t>46.567461 56.331907</t>
  </si>
  <si>
    <t>Многоотраслевое предприятие Коммунального Хозяйства</t>
  </si>
  <si>
    <t>Промышленная ул., 4, Козьмодемьянск</t>
  </si>
  <si>
    <t>46.573201 56.335934</t>
  </si>
  <si>
    <t>Психиатрическое отделение Центральной Районной Больницы</t>
  </si>
  <si>
    <t>Октябрьская ул., 26, Козьмодемьянск</t>
  </si>
  <si>
    <t>Больница для взрослых, Специализированная больница</t>
  </si>
  <si>
    <t>46.564505 56.341114</t>
  </si>
  <si>
    <t>МРСК Центра и Приволжья, филиал Мариэнерго, ПО Горномарийские электрические сети</t>
  </si>
  <si>
    <t>Промышленная ул., 40, Козьмодемьянск</t>
  </si>
  <si>
    <t>+7 (83632) 7-15-17</t>
  </si>
  <si>
    <t>пн-пт 08:00–17:00, перерыв 12:00–12:48</t>
  </si>
  <si>
    <t>46.557579 56.321311</t>
  </si>
  <si>
    <t>Кузьма12.ру</t>
  </si>
  <si>
    <t>бул. Космонавтов, 14, Козьмодемьянск</t>
  </si>
  <si>
    <t>+7 (83632) 7-10-30, +7 (83632) 7-12-55, +7 (83632) 7-13-65, +7 (83632) 7-18-29</t>
  </si>
  <si>
    <t>http://twitter.com/kuzma12</t>
  </si>
  <si>
    <t>46.545398 56.33305</t>
  </si>
  <si>
    <t>ул. Лихачёва, 32, Козьмодемьянск</t>
  </si>
  <si>
    <t>+7 (83632) 9-13-62, +7 (83632) 7-12-63</t>
  </si>
  <si>
    <t>Кондитерская, Производство продуктов питания</t>
  </si>
  <si>
    <t>46.575932 56.342665</t>
  </si>
  <si>
    <t>Порт Козьмодемьянск</t>
  </si>
  <si>
    <t>ул. Ленина, 84, Козьмодемьянск</t>
  </si>
  <si>
    <t>+7 (83632) 7-15-00</t>
  </si>
  <si>
    <t xml:space="preserve">kozmaport@mail.ru </t>
  </si>
  <si>
    <t>Пароходство, порт, Перевозка грузов водным транспортом</t>
  </si>
  <si>
    <t>46.593036 56.339836</t>
  </si>
  <si>
    <t>Сму-8</t>
  </si>
  <si>
    <t>Энергетическая ул., 1, Козьмодемьянск</t>
  </si>
  <si>
    <t>+7 (83632) 7-15-08</t>
  </si>
  <si>
    <t>46.568817 56.328015</t>
  </si>
  <si>
    <t>Республиканский Радиотелевизионный Передающий центр Козьмодемьянская Радиотелевизионная Станция</t>
  </si>
  <si>
    <t>Промышленная ул., 36Б, Козьмодемьянск</t>
  </si>
  <si>
    <t>+7 (83632) 7-60-36, +7 (83632) 7-15-50</t>
  </si>
  <si>
    <t>46.558684 56.322949</t>
  </si>
  <si>
    <t>Schneider Electric Потенциал</t>
  </si>
  <si>
    <t>ул. Быстрова, 1, Козьмодемьянск</t>
  </si>
  <si>
    <t>+7 (83632) 9-21-00, +7 (83632) 9-21-12</t>
  </si>
  <si>
    <t>http://vk.com/club115079420</t>
  </si>
  <si>
    <t>https://www.instagram.com/potencialplant/</t>
  </si>
  <si>
    <t>46.539682 56.334546</t>
  </si>
  <si>
    <t>Первый специальный</t>
  </si>
  <si>
    <t>ул. Гагарина, 43Ж, Козьмодемьянск</t>
  </si>
  <si>
    <t>+7 (927) 881-15-01</t>
  </si>
  <si>
    <t>http://1special.ru/</t>
  </si>
  <si>
    <t>Ламинат, Натяжные и подвесные потолки, Окна, Строительный магазин</t>
  </si>
  <si>
    <t>https://vk.com/onespecial</t>
  </si>
  <si>
    <t>46.54632 56.328559</t>
  </si>
  <si>
    <t>25Б, 3-й микрорайон, Козьмодемьянск</t>
  </si>
  <si>
    <t>46.53504 56.321726</t>
  </si>
  <si>
    <t>Музей сатиры и юмора имени Остапа Бендера</t>
  </si>
  <si>
    <t>Советская ул., 7, Козьмодемьянск</t>
  </si>
  <si>
    <t>+7 (83632) 7-15-70, +7 (83632) 7-23-69</t>
  </si>
  <si>
    <t>http://kmkmuzey.ru/ostbend2</t>
  </si>
  <si>
    <t>https://vk.com/kmkmuzey</t>
  </si>
  <si>
    <t>46.567298 56.343962</t>
  </si>
  <si>
    <t>Руткинское лесничество</t>
  </si>
  <si>
    <t>ул. Свободы, 1А, Козьмодемьянск</t>
  </si>
  <si>
    <t>+7 (83632) 7-11-16, +7 (83632) 7-13-18, +7 (83632) 7-50-52</t>
  </si>
  <si>
    <t>46.543022 56.320465</t>
  </si>
  <si>
    <t>Аптека № 75</t>
  </si>
  <si>
    <t>бул. Космонавтов, 3, Козьмодемьянск</t>
  </si>
  <si>
    <t>+7 (83632) 7-51-96</t>
  </si>
  <si>
    <t>46.544573 56.335219</t>
  </si>
  <si>
    <t>Завод строительных материалов ВнешЭкономИнвест</t>
  </si>
  <si>
    <t>+7 (83632) 7-22-85, +7 (83632) 7-15-08</t>
  </si>
  <si>
    <t>Горномарийскмежхозлес</t>
  </si>
  <si>
    <t>Энергетическая ул., 20, Козьмодемьянск</t>
  </si>
  <si>
    <t>+7 (83632) 7-15-74</t>
  </si>
  <si>
    <t>46.582274 56.324641</t>
  </si>
  <si>
    <t>Художественно-исторический музей имени А. В. Григорьева</t>
  </si>
  <si>
    <t>ул. Лихачёва, 10, Козьмодемьянск</t>
  </si>
  <si>
    <t>+7 (83632) 7-23-69, +7 (83632) 7-49-06</t>
  </si>
  <si>
    <t>ежедневно, 08:30–17:00</t>
  </si>
  <si>
    <t>https://www.facebook.com/kozmmuzey</t>
  </si>
  <si>
    <t>https://www.instagram.com/kozmodemjanskmuzeum</t>
  </si>
  <si>
    <t>46.572153 56.34366</t>
  </si>
  <si>
    <t>Редакция</t>
  </si>
  <si>
    <t>+7 (83632) 7-64-13, +7 (83632) 7-77-28</t>
  </si>
  <si>
    <t>http://wkid.my1.ru/</t>
  </si>
  <si>
    <t>Космодемьянский Маслосыродельный завод</t>
  </si>
  <si>
    <t>+7 (83632) 9-11-32</t>
  </si>
  <si>
    <t>46.544994 56.328592</t>
  </si>
  <si>
    <t>Производственник предприятие</t>
  </si>
  <si>
    <t>ул. Гагарина, 21, Козьмодемьянск</t>
  </si>
  <si>
    <t>+7 (83632) 9-16-77</t>
  </si>
  <si>
    <t>46.55236 56.335056</t>
  </si>
  <si>
    <t>Горномарийский Мясокомбинат</t>
  </si>
  <si>
    <t>Промышленная ул., 38, Козьмодемьянск</t>
  </si>
  <si>
    <t>+7 (83632) 7-11-78</t>
  </si>
  <si>
    <t>ПКФ Элиап</t>
  </si>
  <si>
    <t>31, 2-й микрорайон, Козьмодемьянск</t>
  </si>
  <si>
    <t>+7 (83632) 7-53-68</t>
  </si>
  <si>
    <t>46.535732 56.332107</t>
  </si>
  <si>
    <t>Фотосалон на Бульваре</t>
  </si>
  <si>
    <t>+7 (83632) 7-99-99</t>
  </si>
  <si>
    <t>http://79999.ru/</t>
  </si>
  <si>
    <t>пн-пт 08:30–17:30; сб 10:00–18:00</t>
  </si>
  <si>
    <t>https://vk.com/club54647319</t>
  </si>
  <si>
    <t>46.544684 56.335092</t>
  </si>
  <si>
    <t>Такси Престиж</t>
  </si>
  <si>
    <t>Россия, Республика Марий Эл, Козьмодемьянск, бульвар Космонавтов</t>
  </si>
  <si>
    <t>+7 (83632) 7-71-71</t>
  </si>
  <si>
    <t>+7 (960) 090-31-20</t>
  </si>
  <si>
    <t>46.546658 56.333305</t>
  </si>
  <si>
    <t>Цветы - Игрушки</t>
  </si>
  <si>
    <t>ул. Гагарина, 99, Козьмодемьянск</t>
  </si>
  <si>
    <t>Доставка цветов и букетов, Искусственные растения и цветы, Магазин цветов</t>
  </si>
  <si>
    <t>46.541347 56.320003</t>
  </si>
  <si>
    <t>ул. 8 Марта, 17А, Козьмодемьянск</t>
  </si>
  <si>
    <t>+7 (83632) 7-12-47</t>
  </si>
  <si>
    <t xml:space="preserve">volga0012@yandex.ru  </t>
  </si>
  <si>
    <t>http://volga-mari-el.ru/about, http://volga-mari-el.ru/</t>
  </si>
  <si>
    <t>46.563104 56.33798</t>
  </si>
  <si>
    <t>бул. Космонавтов, 5, Козьмодемьянск</t>
  </si>
  <si>
    <t>46.545883 56.334388</t>
  </si>
  <si>
    <t>Отдел ЗАГС</t>
  </si>
  <si>
    <t>25, 2-й микрорайон, Козьмодемьянск</t>
  </si>
  <si>
    <t>+7 (83632) 7-19-35</t>
  </si>
  <si>
    <t>пн-сб 08:00–17:00, перерыв 12:00–13:00</t>
  </si>
  <si>
    <t>46.534098 56.330297</t>
  </si>
  <si>
    <t>ул. Гагарина, 40, Козьмодемьянск</t>
  </si>
  <si>
    <t>+7 (903) 050-74-49, +7 (927) 683-95-40</t>
  </si>
  <si>
    <t>вт,пт 12:00–17:30</t>
  </si>
  <si>
    <t>46.545739 56.330864</t>
  </si>
  <si>
    <t>ТехноДОМ</t>
  </si>
  <si>
    <t>4, квартал Маслозавода, Козьмодемьянск</t>
  </si>
  <si>
    <t>46.541402 56.328422</t>
  </si>
  <si>
    <t>Бюро медико-социальной экспертизы № 6 филиал ФКУ ГБ МСЭ по Республике Марий Эл</t>
  </si>
  <si>
    <t>+7 (83632) 7-36-96</t>
  </si>
  <si>
    <t>46.544931 56.334986</t>
  </si>
  <si>
    <t>ул. Мичурина, 15, Козьмодемьянск</t>
  </si>
  <si>
    <t>+7 (917) 715-43-23</t>
  </si>
  <si>
    <t>46.581384 56.335885</t>
  </si>
  <si>
    <t>Центр по развитию физкультуры и спорта г. Козьмодемьянска</t>
  </si>
  <si>
    <t>Юбилейная ул., 11А, Козьмодемьянск</t>
  </si>
  <si>
    <t>+7 (83632) 7-53-30</t>
  </si>
  <si>
    <t>46.546934 56.33568</t>
  </si>
  <si>
    <t>Автошкола Ладья</t>
  </si>
  <si>
    <t>1, 3-й микрорайон, Козьмодемьянск</t>
  </si>
  <si>
    <t>+7 (83632) 7-11-11</t>
  </si>
  <si>
    <t xml:space="preserve">79093686356@ya.ru  </t>
  </si>
  <si>
    <t>http://kuzmaauto.ru/</t>
  </si>
  <si>
    <t>https://vk.com/club92103128</t>
  </si>
  <si>
    <t>46.535056 56.326956</t>
  </si>
  <si>
    <t>+7 (905) 379-32-20</t>
  </si>
  <si>
    <t>46.545901 56.334408</t>
  </si>
  <si>
    <t>Церковь Преображения Господня в Козьмодемьянске</t>
  </si>
  <si>
    <t>Советская ул., 63, Козьмодемьянск</t>
  </si>
  <si>
    <t xml:space="preserve">mmitropolia@gmail.com </t>
  </si>
  <si>
    <t>http://kozm-rpsc.ru/</t>
  </si>
  <si>
    <t>46.58175 56.339401</t>
  </si>
  <si>
    <t>Центр занятости населения г. Козьмодемьянска Горномарийского района</t>
  </si>
  <si>
    <t>+7 (83632) 7-18-80, +7 (83632) 7-13-75, +7 (83632) 7-11-17, +7 (83632) 7-53-21, +7 (83632) 7-62-77</t>
  </si>
  <si>
    <t>46.544868 56.329751</t>
  </si>
  <si>
    <t>Колледж индустрии и предпринимательства</t>
  </si>
  <si>
    <t>ул. 8 Марта, 15, Козьмодемьянск</t>
  </si>
  <si>
    <t>+7 (83632) 7-32-85, +7 (83632) 7-16-39, +7 (83632) 7-49-21</t>
  </si>
  <si>
    <t>+7 (83632) 7-16-39</t>
  </si>
  <si>
    <t>46.567251 56.337934</t>
  </si>
  <si>
    <t>+7 (903) 326-45-57</t>
  </si>
  <si>
    <t xml:space="preserve">8b4e078a51d04e0e9efdf470027f0ec1@sentry.wixpress.com  </t>
  </si>
  <si>
    <t>http://www.iptrofimov.com/</t>
  </si>
  <si>
    <t>46.54483 56.32985</t>
  </si>
  <si>
    <t>ул. Гагарина, 103, Козьмодемьянск</t>
  </si>
  <si>
    <t>+7 (83632) 7-16-51</t>
  </si>
  <si>
    <t>ежедневно, 07:00–19:30</t>
  </si>
  <si>
    <t>46.541321 56.319194</t>
  </si>
  <si>
    <t>Ефимов и Компания</t>
  </si>
  <si>
    <t>Промышленная ул., 32, Козьмодемьянск</t>
  </si>
  <si>
    <t>+7 (83632) 7-14-16</t>
  </si>
  <si>
    <t>+7 (961) 335-52-67</t>
  </si>
  <si>
    <t>http://www.efimov12.ru/</t>
  </si>
  <si>
    <t>46.566649 56.328052</t>
  </si>
  <si>
    <t>1А, 2-й микрорайон, Козьмодемьянск</t>
  </si>
  <si>
    <t>+7 (987) 718-33-00</t>
  </si>
  <si>
    <t>Искусственные растения и цветы</t>
  </si>
  <si>
    <t>https://vk.com/club66276143</t>
  </si>
  <si>
    <t>MiNi</t>
  </si>
  <si>
    <t>Учебная ул., 1, Козьмодемьянск</t>
  </si>
  <si>
    <t>+7 (83632) 7-55-44</t>
  </si>
  <si>
    <t>Супермаркет, Универмаг</t>
  </si>
  <si>
    <t>46.540895 56.326022</t>
  </si>
  <si>
    <t>Горномарийский драматический театр</t>
  </si>
  <si>
    <t>бул. Космонавтов, 2, Козьмодемьянск</t>
  </si>
  <si>
    <t>+7 (83632) 7-14-60</t>
  </si>
  <si>
    <t xml:space="preserve">vaskanov@yandex.ru </t>
  </si>
  <si>
    <t>http://gornomarteatr.ru/</t>
  </si>
  <si>
    <t>46.542694 56.334413</t>
  </si>
  <si>
    <t>Адвокатский кабинет Суетенкова Владимира Николаевича</t>
  </si>
  <si>
    <t>бул. Космонавтов, 10, Козьмодемьянск</t>
  </si>
  <si>
    <t>+7 (83632) 7-58-57</t>
  </si>
  <si>
    <t>+7 (902) 326-95-64</t>
  </si>
  <si>
    <t>46.544509 56.333844</t>
  </si>
  <si>
    <t>+7 (83632) 9-01-94</t>
  </si>
  <si>
    <t>+7 (903) 326-30-19</t>
  </si>
  <si>
    <t>46.544982 56.329823</t>
  </si>
  <si>
    <t>+7 (905) 182-73-79</t>
  </si>
  <si>
    <t>46.537629 56.32613</t>
  </si>
  <si>
    <t>Комплексный центр социального обслуживания населения в городе Козьмодемьянске</t>
  </si>
  <si>
    <t>ул. Гагарина, 32, Козьмодемьянск</t>
  </si>
  <si>
    <t>+7 (83632) 7-11-88</t>
  </si>
  <si>
    <t>46.546727 56.331104</t>
  </si>
  <si>
    <t>Адвокатский кабинет Мингалёвой Ольги Валерьевны</t>
  </si>
  <si>
    <t>Октябрьская ул., 31, Козьмодемьянск</t>
  </si>
  <si>
    <t>+7 (961) 374-30-48</t>
  </si>
  <si>
    <t>46.564631 56.34054</t>
  </si>
  <si>
    <t>ГБУ Спортивная школа олимпийского резерва по Борьбе Дзюдо Республики Марий Эл</t>
  </si>
  <si>
    <t>Комсомольская ул., 2, Козьмодемьянск</t>
  </si>
  <si>
    <t>+7 (8362) 42-37-03</t>
  </si>
  <si>
    <t>46.556097 56.334702</t>
  </si>
  <si>
    <t>Козьмодемьянская детская художественная школа</t>
  </si>
  <si>
    <t>ул. Лихачёва, 7, Козьмодемьянск</t>
  </si>
  <si>
    <t>+7 (83632) 7-14-43, +7 (83632) 7-58-55</t>
  </si>
  <si>
    <t>+7 (909) 369-30-05</t>
  </si>
  <si>
    <t xml:space="preserve">school-art@mail.ru, kosmdhsh@mail.ru  </t>
  </si>
  <si>
    <t>http://koz-dhsh.mari-el.muzkult.ru/</t>
  </si>
  <si>
    <t>Выставочный центр, Школа искусств</t>
  </si>
  <si>
    <t>46.572433 56.34408</t>
  </si>
  <si>
    <t>ул. Чернышевского, 45, Козьмодемьянск</t>
  </si>
  <si>
    <t>+7 (83632) 7-14-22</t>
  </si>
  <si>
    <t xml:space="preserve">super.kapelika@yandex.ru  </t>
  </si>
  <si>
    <t>http://superkapelika2019.ru/</t>
  </si>
  <si>
    <t>46.562065 56.342693</t>
  </si>
  <si>
    <t>МБОУ СОШ № 1 города Козьмодемьянска</t>
  </si>
  <si>
    <t>ул. Свердлова, 15, Козьмодемьянск</t>
  </si>
  <si>
    <t>+7 (83632) 7-15-63</t>
  </si>
  <si>
    <t xml:space="preserve">ask@sosh1-12.org, admin@sosh1-12.org  </t>
  </si>
  <si>
    <t>https://sosh1-12.org/</t>
  </si>
  <si>
    <t>http://vk.com/sosh_1_12</t>
  </si>
  <si>
    <t>http://twitter.com/Sosh1Mari</t>
  </si>
  <si>
    <t>http://www.facebook.com/12sosh1</t>
  </si>
  <si>
    <t>https://www.youtube.com/channel/UCA1JvFt6FcWen5HVf2ZxLZg</t>
  </si>
  <si>
    <t>http://instagram.com/sosh1_12</t>
  </si>
  <si>
    <t>46.573905 56.34253</t>
  </si>
  <si>
    <t>Средняя общеобразовательная школа № 3 города Козьмодемьянска</t>
  </si>
  <si>
    <t>+7 (83632) 7-17-75, +7 (83632) 7-16-63</t>
  </si>
  <si>
    <t>46.546906 56.335689</t>
  </si>
  <si>
    <t>Детский сад № 3 Радуга</t>
  </si>
  <si>
    <t>Юбилейная ул., 7А, Козьмодемьянск</t>
  </si>
  <si>
    <t>+7 (83632) 7-16-12</t>
  </si>
  <si>
    <t xml:space="preserve">volkov_igor_n@mail.ru  </t>
  </si>
  <si>
    <t>http://ds3kuzma.ru/</t>
  </si>
  <si>
    <t>46.546615 56.336602</t>
  </si>
  <si>
    <t>Детский сад № 6 Светлячок</t>
  </si>
  <si>
    <t>ул. Ленина, 50, Козьмодемьянск</t>
  </si>
  <si>
    <t>+7 (83632) 7-12-96</t>
  </si>
  <si>
    <t>46.575491 56.344036</t>
  </si>
  <si>
    <t>ДК им. Эшпая</t>
  </si>
  <si>
    <t>+7 (83632) 7-52-67, +7 (83632) 7-63-61</t>
  </si>
  <si>
    <t>46.541951 56.334786</t>
  </si>
  <si>
    <t>Козьмодемьянск.Онлайн</t>
  </si>
  <si>
    <t>Юбилейная ул., 5, Козьмодемьянск</t>
  </si>
  <si>
    <t>+7 (987) 718-09-78</t>
  </si>
  <si>
    <t xml:space="preserve">vaskanov@yandex.ru, odarkuzma@mail.ru, inform@kazna.mari.ru, marholod@mail.ru, kcr@mari-el.ru, suvzina@yandex.ru, mikryakovskoepo@mail.ru, i121700@r.nalog.ru, doumaryel@rtrn.ru, molenat@mail.ru </t>
  </si>
  <si>
    <t>http://kuzma-online.ru/</t>
  </si>
  <si>
    <t>46.546018 56.337222</t>
  </si>
  <si>
    <t>Кувшинка</t>
  </si>
  <si>
    <t>Учебная ул., 2Г, Козьмодемьянск</t>
  </si>
  <si>
    <t>+7 (83632) 7-42-41</t>
  </si>
  <si>
    <t>46.540502 56.325245</t>
  </si>
  <si>
    <t>ПКФ Никант</t>
  </si>
  <si>
    <t>Октябрьская ул., 27Б, Козьмодемьянск</t>
  </si>
  <si>
    <t>+7 (960) 097-34-87</t>
  </si>
  <si>
    <t xml:space="preserve">mary4087@yandex.ru, support@tiu.ru </t>
  </si>
  <si>
    <t>46.565197 56.341178</t>
  </si>
  <si>
    <t>Детская бтблтотека</t>
  </si>
  <si>
    <t>Юбилейная ул., 3, Козьмодемьянск</t>
  </si>
  <si>
    <t>+7 (83632) 7-27-63</t>
  </si>
  <si>
    <t>46.546875 56.33724</t>
  </si>
  <si>
    <t>Козьмодемьянская городская библиотека</t>
  </si>
  <si>
    <t>ул. Лихачёва, 22, Козьмодемьянск</t>
  </si>
  <si>
    <t>+7 (83632) 7-11-76, +7 (83632) 7-11-77</t>
  </si>
  <si>
    <t>вт-пт 09:00–17:30; сб 09:00–16:00</t>
  </si>
  <si>
    <t>46.574448 56.343093</t>
  </si>
  <si>
    <t>Центральная районная библиотека им. Н. Игнатьева</t>
  </si>
  <si>
    <t>бул. Космонавтов, 6, Козьмодемьянск</t>
  </si>
  <si>
    <t>+7 (83632) 9-11-75, +7 (83632) 7-11-75</t>
  </si>
  <si>
    <t>пн-чт 10:00–18:00, перерыв 12:00–13:00; пт,сб 08:00–17:00, перерыв 12:00–13:00</t>
  </si>
  <si>
    <t>46.54315 56.334633</t>
  </si>
  <si>
    <t>Дом морёного дуба</t>
  </si>
  <si>
    <t>ул. Лихачёва, 12, Козьмодемьянск</t>
  </si>
  <si>
    <t>8 (800) 700-46-96</t>
  </si>
  <si>
    <t xml:space="preserve">7004696@mail.ru  </t>
  </si>
  <si>
    <t>http://сокровище-реки.рф/</t>
  </si>
  <si>
    <t>Выставочный центр, Культурный центр, Музей, Художественный салон</t>
  </si>
  <si>
    <t>вт-вс 13:00–17:00</t>
  </si>
  <si>
    <t>http://new.vk.com/dmd12</t>
  </si>
  <si>
    <t>46.572638 56.343692</t>
  </si>
  <si>
    <t>Автошкола Ягуар</t>
  </si>
  <si>
    <t>ул. Гагарина, 25, корп. 1, Козьмодемьянск</t>
  </si>
  <si>
    <t>+7 (83632) 7-44-34</t>
  </si>
  <si>
    <t>+7 (903) 326-70-73</t>
  </si>
  <si>
    <t>пн-сб 08:30–21:00</t>
  </si>
  <si>
    <t>46.55148 56.334487</t>
  </si>
  <si>
    <t>Республиканская ул., 32, Козьмодемьянск</t>
  </si>
  <si>
    <t>46.582148 56.339038</t>
  </si>
  <si>
    <t>Kaysarow</t>
  </si>
  <si>
    <t>+7 (905) 347-99-67</t>
  </si>
  <si>
    <t xml:space="preserve">sales11@kaysarow.ru, zakaz@kaysarow.ru, marketing@kaysarow.ru  </t>
  </si>
  <si>
    <t>https://kaysarow.ru/, http://ovas.kaysarow.ru/</t>
  </si>
  <si>
    <t>https://vk.com/kaysarow21</t>
  </si>
  <si>
    <t>https://ok.ru/kaysarow21</t>
  </si>
  <si>
    <t>https://twitter.com/kaysarow_ru</t>
  </si>
  <si>
    <t>https://www.facebook.com/kaysarow.ru</t>
  </si>
  <si>
    <t>https://instagram.com/kaysarow</t>
  </si>
  <si>
    <t>46.551987 56.333926</t>
  </si>
  <si>
    <t>17, квартал Маслозавода, Козьмодемьянск</t>
  </si>
  <si>
    <t>+7 (960) 099-17-57</t>
  </si>
  <si>
    <t>Двери, Магазин мебели, Магазин электротоваров, Окна, Строительный магазин</t>
  </si>
  <si>
    <t>46.541895 56.327936</t>
  </si>
  <si>
    <t>Церковь Тихвинской иконы Божией Матери в Козьмодемьянске</t>
  </si>
  <si>
    <t>ул. Криворотова, 1, Козьмодемьянск</t>
  </si>
  <si>
    <t>46.584559 56.340039</t>
  </si>
  <si>
    <t>Спорт Байк</t>
  </si>
  <si>
    <t>ул. Гагарина, 66/2, Козьмодемьянск</t>
  </si>
  <si>
    <t>+7 (987) 716-24-04</t>
  </si>
  <si>
    <t>Запчасти для мототехники, Мотосалон, Спортивный инвентарь и оборудование, Спортивный магазин</t>
  </si>
  <si>
    <t>https://vk.com/sportbaike</t>
  </si>
  <si>
    <t>46.540405 56.320322</t>
  </si>
  <si>
    <t>Гостевой дом завода Копир</t>
  </si>
  <si>
    <t>ул. Некрасова, 62, Козьмодемьянск</t>
  </si>
  <si>
    <t>+7 (83632) 7-64-67</t>
  </si>
  <si>
    <t>http://facebook.com/uostapa</t>
  </si>
  <si>
    <t>46.5475 56.340355</t>
  </si>
  <si>
    <t>Школа-интернат Дарование</t>
  </si>
  <si>
    <t>Советская ул., 33, Козьмодемьянск</t>
  </si>
  <si>
    <t>+7 (83632) 7-19-75, +7 (83632) 7-66-48, +7 (83632) 7-16-36</t>
  </si>
  <si>
    <t xml:space="preserve">odarkuzma@mail.ru  </t>
  </si>
  <si>
    <t>http://edu.mari.ru/ou_respub/sh5/, http://edu.mari.ru/</t>
  </si>
  <si>
    <t>46.5751 56.341369</t>
  </si>
  <si>
    <t>Промышленная ул., 15, Козьмодемьянск</t>
  </si>
  <si>
    <t>+7 (937) 113-09-09</t>
  </si>
  <si>
    <t>Проектная организация, Строительные и отделочные работы, Строительство дачных домов и коттеджей</t>
  </si>
  <si>
    <t>https://vk.com/ooohoteyru</t>
  </si>
  <si>
    <t>https://ok.ru/ooohotey</t>
  </si>
  <si>
    <t>https://www.facebook.com/ooohotey</t>
  </si>
  <si>
    <t>46.558736 56.321121</t>
  </si>
  <si>
    <t>46.543625 56.334145</t>
  </si>
  <si>
    <t>46.545127 56.334959</t>
  </si>
  <si>
    <t>Россия, Республика Марий Эл, Козьмодемьянск</t>
  </si>
  <si>
    <t>46.559654 56.32131</t>
  </si>
  <si>
    <t>Россия, Республика Марий Эл, Козьмодемьянск, улица Ленина</t>
  </si>
  <si>
    <t>46.570875 56.344617</t>
  </si>
  <si>
    <t>3, квартал Маслозавода, Козьмодемьянск</t>
  </si>
  <si>
    <t>46.542055 56.328925</t>
  </si>
  <si>
    <t>Кузьма</t>
  </si>
  <si>
    <t>46.552224 56.335123</t>
  </si>
  <si>
    <t>Банкир</t>
  </si>
  <si>
    <t>18Б, 2-й микрорайон, Козьмодемьянск</t>
  </si>
  <si>
    <t>46.53603 56.328711</t>
  </si>
  <si>
    <t>Прокат велосипедов</t>
  </si>
  <si>
    <t>19А, 2-й микрорайон, Козьмодемьянск</t>
  </si>
  <si>
    <t>46.535837 56.327819</t>
  </si>
  <si>
    <t>46.541134 56.319946</t>
  </si>
  <si>
    <t>Россия, Республика Марий Эл, Козьмодемьянск, улица Некрасова</t>
  </si>
  <si>
    <t>46.554868 56.342726</t>
  </si>
  <si>
    <t>7А, квартал Маслозавода, Козьмодемьянск</t>
  </si>
  <si>
    <t>пн-пт 09:30–18:30; сб,вс 09:00–18:30</t>
  </si>
  <si>
    <t>46.540039 56.327744</t>
  </si>
  <si>
    <t>Россия, Республика Марий Эл, Козьмодемьянск, Кирпичнозаводская улица, 1-я линия</t>
  </si>
  <si>
    <t>46.570193 56.336974</t>
  </si>
  <si>
    <t>Россия, Республика Марий Эл, Козьмодемьянск, 3-й микрорайон</t>
  </si>
  <si>
    <t>46.53775 56.325706</t>
  </si>
  <si>
    <t>Промышленная ул., 36А, Козьмодемьянск</t>
  </si>
  <si>
    <t>+7 (903) 326-82-08</t>
  </si>
  <si>
    <t>46.562987 56.324676</t>
  </si>
  <si>
    <t>Эльфит</t>
  </si>
  <si>
    <t>+7 (902) 466-99-44</t>
  </si>
  <si>
    <t>пн-пт 10:00–21:00; сб 11:00–17:00</t>
  </si>
  <si>
    <t>http://www.instagram.com/fitnes_klub_elfit12</t>
  </si>
  <si>
    <t>Комсомольская ул., 30, Козьмодемьянск</t>
  </si>
  <si>
    <t>Двери, Ламинат, Окна</t>
  </si>
  <si>
    <t>46.548306 56.337738</t>
  </si>
  <si>
    <t>Россия, Республика Марий Эл, Козьмодемьянск, улица Гагарина</t>
  </si>
  <si>
    <t>46.54256 56.326084</t>
  </si>
  <si>
    <t>ул. 8 Марта, 30, Козьмодемьянск</t>
  </si>
  <si>
    <t>46.561886 56.338785</t>
  </si>
  <si>
    <t>Центр City</t>
  </si>
  <si>
    <t>ул. Гагарина, 32Б, Козьмодемьянск</t>
  </si>
  <si>
    <t>+7 (909) 301-43-60</t>
  </si>
  <si>
    <t>https://123456451.wixsite.com/apart-otelkzm</t>
  </si>
  <si>
    <t>https://vk.com/apartotelkzm</t>
  </si>
  <si>
    <t>46.545 56.3308</t>
  </si>
  <si>
    <t>Ласка</t>
  </si>
  <si>
    <t>+7 (964) 863-80-85</t>
  </si>
  <si>
    <t>вт-пт 09:00–17:00, перерыв 14:00–15:00; сб,вс 09:00–14:00</t>
  </si>
  <si>
    <t>46.54246 56.328989</t>
  </si>
  <si>
    <t>Природа</t>
  </si>
  <si>
    <t>3, 2-й микрорайон, Козьмодемьянск</t>
  </si>
  <si>
    <t>46.539178 56.328361</t>
  </si>
  <si>
    <t>ул. Пугачёва Гора, 5, Козьмодемьянск</t>
  </si>
  <si>
    <t>46.564857 56.343979</t>
  </si>
  <si>
    <t>КиБ</t>
  </si>
  <si>
    <t>3, 3-й микрорайон, Козьмодемьянск</t>
  </si>
  <si>
    <t>46.534792 56.325647</t>
  </si>
  <si>
    <t>Магазин дверей и окон</t>
  </si>
  <si>
    <t>2, 2-й микрорайон, Козьмодемьянск</t>
  </si>
  <si>
    <t>46.54125 56.329666</t>
  </si>
  <si>
    <t>Россия, Республика Марий Эл, Козьмодемьянск, Советская улица</t>
  </si>
  <si>
    <t>46.586428 56.332608</t>
  </si>
  <si>
    <t>Инсайд</t>
  </si>
  <si>
    <t>4, 2-й микрорайон, Козьмодемьянск</t>
  </si>
  <si>
    <t>46.538518 56.327898</t>
  </si>
  <si>
    <t>ул. Гагарина, 24Б, Козьмодемьянск</t>
  </si>
  <si>
    <t>46.548326 56.333534</t>
  </si>
  <si>
    <t>Копир</t>
  </si>
  <si>
    <t>Комсомольская ул., 25, Козьмодемьянск</t>
  </si>
  <si>
    <t>46.547748 56.338828</t>
  </si>
  <si>
    <t>46.537639 56.324933</t>
  </si>
  <si>
    <t>9Б, квартал Маслозавода, Козьмодемьянск</t>
  </si>
  <si>
    <t>46.540702 56.32768</t>
  </si>
  <si>
    <t>46.540666 56.326174</t>
  </si>
  <si>
    <t>Дом</t>
  </si>
  <si>
    <t>46.541889 56.330139</t>
  </si>
  <si>
    <t>Аптека низких цен</t>
  </si>
  <si>
    <t>46.538763 56.328266</t>
  </si>
  <si>
    <t>Россия, Республика Марий Эл, Козьмодемьянск, Рабочая улица</t>
  </si>
  <si>
    <t>46.590506 56.335828</t>
  </si>
  <si>
    <t>Россия, Республика Марий Эл, Козьмодемьянск, Промышленная улица</t>
  </si>
  <si>
    <t>46.551903 56.316372</t>
  </si>
  <si>
    <t>Ефимов и Ко</t>
  </si>
  <si>
    <t>ул. Гагарина, 43, Козьмодемьянск</t>
  </si>
  <si>
    <t>46.546722 56.329124</t>
  </si>
  <si>
    <t>Элефант</t>
  </si>
  <si>
    <t>46.541297 56.320002</t>
  </si>
  <si>
    <t>Учебная ул., 3, Козьмодемьянск</t>
  </si>
  <si>
    <t>46.540657 56.326767</t>
  </si>
  <si>
    <t>Камея</t>
  </si>
  <si>
    <t>46.540258 56.327741</t>
  </si>
  <si>
    <t>Россия, Республика Марий Эл, Козьмодемьянск, квартал Маслозавода</t>
  </si>
  <si>
    <t>46.539818 56.327122</t>
  </si>
  <si>
    <t>Елочка</t>
  </si>
  <si>
    <t>22, 2-й микрорайон, Козьмодемьянск</t>
  </si>
  <si>
    <t>46.535001 56.328335</t>
  </si>
  <si>
    <t>Красная цена</t>
  </si>
  <si>
    <t>бул. Космонавтов, 9Г, Козьмодемьянск</t>
  </si>
  <si>
    <t>46.547207 56.333592</t>
  </si>
  <si>
    <t>46.544762 56.329896</t>
  </si>
  <si>
    <t>46.539324 56.334637</t>
  </si>
  <si>
    <t>46.534561 56.32535</t>
  </si>
  <si>
    <t>Royal</t>
  </si>
  <si>
    <t>Северная ул., 3, Козьмодемьянск</t>
  </si>
  <si>
    <t>46.53705 56.334072</t>
  </si>
  <si>
    <t>ГК Медик</t>
  </si>
  <si>
    <t>46.53798 56.323904</t>
  </si>
  <si>
    <t>14, 2-й микрорайон, Козьмодемьянск</t>
  </si>
  <si>
    <t>46.538643 56.329376</t>
  </si>
  <si>
    <t>46.541891 56.327905</t>
  </si>
  <si>
    <t>Россия, Республика Марий Эл, городской округ Козьмодемьянск</t>
  </si>
  <si>
    <t>46.568173 56.324349</t>
  </si>
  <si>
    <t>Промышленная ул., 52, Козьмодемьянск</t>
  </si>
  <si>
    <t>46.553187 56.318185</t>
  </si>
  <si>
    <t>Учебная ул., 2А, Козьмодемьянск</t>
  </si>
  <si>
    <t>46.539997 56.325455</t>
  </si>
  <si>
    <t>ГК Дорожный</t>
  </si>
  <si>
    <t>ул. Гагарина, 58, Козьмодемьянск</t>
  </si>
  <si>
    <t>46.540338 56.322986</t>
  </si>
  <si>
    <t>Советская ул., 1, Козьмодемьянск</t>
  </si>
  <si>
    <t>46.565594 56.344823</t>
  </si>
  <si>
    <t>ул. Гагарина, 76, Козьмодемьянск</t>
  </si>
  <si>
    <t>46.53976 56.318294</t>
  </si>
  <si>
    <t>Юрий</t>
  </si>
  <si>
    <t>46.541359 56.32835</t>
  </si>
  <si>
    <t>Козьмодемьянская детская школа искусств им. А.Я. Эшпая</t>
  </si>
  <si>
    <t>Юбилейная ул., 11, Козьмодемьянск</t>
  </si>
  <si>
    <t>+7 (83632) 7-14-33, +7 (83632) 7-13-43</t>
  </si>
  <si>
    <t xml:space="preserve">koz-dshi@mail.ru  </t>
  </si>
  <si>
    <t>http://koz-dshi.mari-el.muzkult.ru/</t>
  </si>
  <si>
    <t>Дополнительное образование, Учебный центр, Школа искусств</t>
  </si>
  <si>
    <t>пн-пт 08:00–19:00; сб 10:30–17:00</t>
  </si>
  <si>
    <t>46.544848 56.336104</t>
  </si>
  <si>
    <t>46.564806 56.336466</t>
  </si>
  <si>
    <t>46.558311 56.344043</t>
  </si>
  <si>
    <t>18, 2-й микрорайон, Козьмодемьянск</t>
  </si>
  <si>
    <t>46.535947 56.328456</t>
  </si>
  <si>
    <t>парк Горбунцова</t>
  </si>
  <si>
    <t>Россия, Республика Марий Эл, Козьмодемьянск, парк Горбунцова</t>
  </si>
  <si>
    <t>46.571545 56.344405</t>
  </si>
  <si>
    <t>18А, 2-й микрорайон, Козьмодемьянск</t>
  </si>
  <si>
    <t>46.536775 56.328788</t>
  </si>
  <si>
    <t>ул. Свердлова, 22, Козьмодемьянск</t>
  </si>
  <si>
    <t>46.571902 56.341247</t>
  </si>
  <si>
    <t>46.57284 56.33647</t>
  </si>
  <si>
    <t>Мир обоев</t>
  </si>
  <si>
    <t>46.53991 56.328679</t>
  </si>
  <si>
    <t>ГлавТакси</t>
  </si>
  <si>
    <t>46.539757 56.318226</t>
  </si>
  <si>
    <t>ГК Муравей</t>
  </si>
  <si>
    <t>Восточная ул., 18, Козьмодемьянск</t>
  </si>
  <si>
    <t>46.553161 56.31955</t>
  </si>
  <si>
    <t>Россия, Республика Марий Эл, Козьмодемьянск, Новая улица</t>
  </si>
  <si>
    <t>46.559105 56.339999</t>
  </si>
  <si>
    <t>Кубинец</t>
  </si>
  <si>
    <t>Коммунальная ул., 27А, Козьмодемьянск</t>
  </si>
  <si>
    <t>46.54858 56.323238</t>
  </si>
  <si>
    <t>46.54483 56.329823</t>
  </si>
  <si>
    <t>Промышленная ул., 24, Козьмодемьянск</t>
  </si>
  <si>
    <t>46.571781 56.335267</t>
  </si>
  <si>
    <t>Кредит</t>
  </si>
  <si>
    <t>46.545033 56.32981</t>
  </si>
  <si>
    <t>Россия, Республика Марий Эл, Козьмодемьянск, Энергетическая улица</t>
  </si>
  <si>
    <t>46.581273 56.32445</t>
  </si>
  <si>
    <t>46.553253 56.322725</t>
  </si>
  <si>
    <t>Россия, Республика Марий Эл, Козьмодемьянск, улица Герцена</t>
  </si>
  <si>
    <t>46.579193 56.335643</t>
  </si>
  <si>
    <t>46.534069 56.325613</t>
  </si>
  <si>
    <t>ГБУ РМЭ КМБ</t>
  </si>
  <si>
    <t>Западная ул., 25, Козьмодемьянск</t>
  </si>
  <si>
    <t>+7 (83632) 7-16-67</t>
  </si>
  <si>
    <t>46.536727 56.32215</t>
  </si>
  <si>
    <t>46.537776 56.326105</t>
  </si>
  <si>
    <t>46.568241 56.33039</t>
  </si>
  <si>
    <t>Нотариальная контора</t>
  </si>
  <si>
    <t>46.541835 56.330023</t>
  </si>
  <si>
    <t>Партнёр Плюс</t>
  </si>
  <si>
    <t>+7 (987) 731-20-04</t>
  </si>
  <si>
    <t>https://vk.com/club145527630</t>
  </si>
  <si>
    <t>46.558846 56.321245</t>
  </si>
  <si>
    <t>Северная ул., 7, Козьмодемьянск</t>
  </si>
  <si>
    <t>46.535988 56.333298</t>
  </si>
  <si>
    <t>ГК Темп</t>
  </si>
  <si>
    <t>46.549165 56.336542</t>
  </si>
  <si>
    <t>46.545237 56.333134</t>
  </si>
  <si>
    <t>Промышленная ул., 34А, Козьмодемьянск</t>
  </si>
  <si>
    <t>+7 (83632) 7-20-02</t>
  </si>
  <si>
    <t>+7 (906) 335-35-74</t>
  </si>
  <si>
    <t>Овощи и фрукты оптом, Сельскохозяйственная продукция, Строительный магазин</t>
  </si>
  <si>
    <t>пн-сб 08:00–17:00; вс 09:00–14:00</t>
  </si>
  <si>
    <t>https://vk.com/stroimat12</t>
  </si>
  <si>
    <t>46.565456 56.325987</t>
  </si>
  <si>
    <t>46.556219 56.329979</t>
  </si>
  <si>
    <t>25А, 3-й микрорайон, Козьмодемьянск</t>
  </si>
  <si>
    <t>46.535909 56.322331</t>
  </si>
  <si>
    <t>Аннушка</t>
  </si>
  <si>
    <t>10, 2-й микрорайон, Козьмодемьянск</t>
  </si>
  <si>
    <t>46.540083 56.331337</t>
  </si>
  <si>
    <t>Новая ул., 36, Козьмодемьянск</t>
  </si>
  <si>
    <t>Магазин продуктов, Магазин хозтоваров и бытовой химии</t>
  </si>
  <si>
    <t>46.552184 56.341376</t>
  </si>
  <si>
    <t>46.552232 56.335126</t>
  </si>
  <si>
    <t>Оптовые поставки из Китая</t>
  </si>
  <si>
    <t>46.56578 56.32576</t>
  </si>
  <si>
    <t>Промышленная ул., 42Б, Козьмодемьянск</t>
  </si>
  <si>
    <t>46.555124 56.320457</t>
  </si>
  <si>
    <t>46.566272 56.328311</t>
  </si>
  <si>
    <t>Установка, ремонт и вскрытие замков</t>
  </si>
  <si>
    <t>46.552756 56.336877</t>
  </si>
  <si>
    <t>100 Диванов</t>
  </si>
  <si>
    <t>ул. Гагарина, 2, Козьмодемьянск</t>
  </si>
  <si>
    <t>46.5576 56.338703</t>
  </si>
  <si>
    <t>ул. Матросова, 43, Козьмодемьянск</t>
  </si>
  <si>
    <t>46.556007 56.333093</t>
  </si>
  <si>
    <t>ул. Гагарина, 56А, Козьмодемьянск</t>
  </si>
  <si>
    <t>46.541652 56.326123</t>
  </si>
  <si>
    <t>+7 (927) 669-61-45</t>
  </si>
  <si>
    <t>https://modnica21.com/</t>
  </si>
  <si>
    <t>https://www.instagram.com/modnica21</t>
  </si>
  <si>
    <t>46.540877 56.326713</t>
  </si>
  <si>
    <t>Зодиак</t>
  </si>
  <si>
    <t>46.540717 56.323075</t>
  </si>
  <si>
    <t>Магазин канцтоваров, Магазин сумок и чемоданов</t>
  </si>
  <si>
    <t>46.538883 56.328204</t>
  </si>
  <si>
    <t>Интерьер</t>
  </si>
  <si>
    <t>Учебная ул., 5, Козьмодемьянск</t>
  </si>
  <si>
    <t>+7 (83632) 7-51-21</t>
  </si>
  <si>
    <t>46.539581 56.326543</t>
  </si>
  <si>
    <t>МУП Вода</t>
  </si>
  <si>
    <t>Советская ул., 145, Козьмодемьянск</t>
  </si>
  <si>
    <t>+7 (83632) 7-74-11, +7 (83632) 7-19-27</t>
  </si>
  <si>
    <t>46.587789 56.331014</t>
  </si>
  <si>
    <t>Торговый центр Сана</t>
  </si>
  <si>
    <t>https://vk.com/sana_kuzma</t>
  </si>
  <si>
    <t>46.540473 56.326722</t>
  </si>
  <si>
    <t>Коммунальные платежи</t>
  </si>
  <si>
    <t>ул. Строителей, 6А, Козьмодемьянск</t>
  </si>
  <si>
    <t>46.5492 56.32002</t>
  </si>
  <si>
    <t>Россия, Республика Марий Эл, Козьмодемьянск, улица Свердлова</t>
  </si>
  <si>
    <t>46.575186 56.344037</t>
  </si>
  <si>
    <t>Россия, Республика Марий Эл, Козьмодемьянск, садоводческое товарищество Заводской Садовод</t>
  </si>
  <si>
    <t>46.580061 56.329882</t>
  </si>
  <si>
    <t>46.558229 56.321495</t>
  </si>
  <si>
    <t>Россия, Республика Марий Эл, Козьмодемьянск, Транспортная улица</t>
  </si>
  <si>
    <t>46.547523 56.319077</t>
  </si>
  <si>
    <t>46.546772 56.329227</t>
  </si>
  <si>
    <t>Экспресс техника</t>
  </si>
  <si>
    <t>+7 (961) 333-03-38, +7 (961) 333-45-76</t>
  </si>
  <si>
    <t>46.540437 56.327716</t>
  </si>
  <si>
    <t>Ряба</t>
  </si>
  <si>
    <t>46.540331 56.331156</t>
  </si>
  <si>
    <t>Россия, Республика Марий Эл, Козьмодемьянск, улица Строителей</t>
  </si>
  <si>
    <t>46.552436 56.323504</t>
  </si>
  <si>
    <t>17, 2-й микрорайон, Козьмодемьянск</t>
  </si>
  <si>
    <t>46.536673 56.329239</t>
  </si>
  <si>
    <t>46.537405 56.322823</t>
  </si>
  <si>
    <t>2А, 3-й микрорайон, Козьмодемьянск</t>
  </si>
  <si>
    <t>46.535784 56.326098</t>
  </si>
  <si>
    <t>Россия, Республика Марий Эл, Козьмодемьянск, улица Лихачёва</t>
  </si>
  <si>
    <t>46.580216 56.341409</t>
  </si>
  <si>
    <t>+7 (902) 105-86-27</t>
  </si>
  <si>
    <t>46.560684 56.323079</t>
  </si>
  <si>
    <t>Мебель-зеркала для ванной</t>
  </si>
  <si>
    <t>Мебель для ванных комнат</t>
  </si>
  <si>
    <t>46.541466 56.328419</t>
  </si>
  <si>
    <t>46.536523 56.326652</t>
  </si>
  <si>
    <t>7Б, 2-й микрорайон, Козьмодемьянск</t>
  </si>
  <si>
    <t>46.539546 56.329252</t>
  </si>
  <si>
    <t>46.541403 56.328438</t>
  </si>
  <si>
    <t>Россия, Республика Марий Эл, Козьмодемьянск, Республиканская улица</t>
  </si>
  <si>
    <t>46.584051 56.340625</t>
  </si>
  <si>
    <t>46.541267 56.3284</t>
  </si>
  <si>
    <t>ТД Виктория</t>
  </si>
  <si>
    <t>46.556945 56.338312</t>
  </si>
  <si>
    <t>Котельная</t>
  </si>
  <si>
    <t>Советская ул., 164, Козьмодемьянск</t>
  </si>
  <si>
    <t>46.586254 56.331316</t>
  </si>
  <si>
    <t>Россия, Республика Марий Эл, Козьмодемьянск, Молодёжная улица</t>
  </si>
  <si>
    <t>46.547894 56.332098</t>
  </si>
  <si>
    <t>Россия, Республика Марий Эл, Козьмодемьянск, улица Пушкина</t>
  </si>
  <si>
    <t>46.553257 56.34012</t>
  </si>
  <si>
    <t>46.568492 56.34475</t>
  </si>
  <si>
    <t>ул. Гагарина, 8А, Козьмодемьянск</t>
  </si>
  <si>
    <t>46.555059 56.33731</t>
  </si>
  <si>
    <t>5А, квартал Маслозавода, Козьмодемьянск</t>
  </si>
  <si>
    <t>46.541262 56.328048</t>
  </si>
  <si>
    <t>Все по карману</t>
  </si>
  <si>
    <t>46.541459 56.319942</t>
  </si>
  <si>
    <t>бул. Космонавтов, 7А, Козьмодемьянск</t>
  </si>
  <si>
    <t>46.547777 56.334695</t>
  </si>
  <si>
    <t>Промышленная ул., 13В, Козьмодемьянск</t>
  </si>
  <si>
    <t>46.560473 56.322477</t>
  </si>
  <si>
    <t>46.552355 56.335092</t>
  </si>
  <si>
    <t>Расчетно-кассовый центр ЖКХ</t>
  </si>
  <si>
    <t>бул. Космонавтов, 12Б, Козьмодемьянск</t>
  </si>
  <si>
    <t>46.54368 56.332304</t>
  </si>
  <si>
    <t>46.541916 56.336913</t>
  </si>
  <si>
    <t>СК Альянс</t>
  </si>
  <si>
    <t>46.544995 56.329828</t>
  </si>
  <si>
    <t>площадь Карла Маркса, 1, Козьмодемьянск</t>
  </si>
  <si>
    <t>46.567677 56.34424</t>
  </si>
  <si>
    <t>Логово пиратов</t>
  </si>
  <si>
    <t>46.556945 56.338313</t>
  </si>
  <si>
    <t>Пионерская ул., 5, Козьмодемьянск</t>
  </si>
  <si>
    <t>46.553168 56.335318</t>
  </si>
  <si>
    <t>Октябрьская ул., 27Г, Козьмодемьянск</t>
  </si>
  <si>
    <t>46.564503 56.340272</t>
  </si>
  <si>
    <t>46.542169 56.328668</t>
  </si>
  <si>
    <t>46.54245 56.329169</t>
  </si>
  <si>
    <t>46.55223 56.335121</t>
  </si>
  <si>
    <t>Студия оздоровительной гимнастики</t>
  </si>
  <si>
    <t>46.545251 56.334754</t>
  </si>
  <si>
    <t>Архивный отдел</t>
  </si>
  <si>
    <t>46.544878 56.335092</t>
  </si>
  <si>
    <t>ИП Кузнецов Илья Алексеевич</t>
  </si>
  <si>
    <t>ул. Чернышевского, 30, Козьмодемьянск</t>
  </si>
  <si>
    <t>+7 (999) 145-44-44</t>
  </si>
  <si>
    <t>http://ipkuznetsovia.ctlx.ru/</t>
  </si>
  <si>
    <t>Мебель для кухни, Мебель для офиса, Мебель для спальни</t>
  </si>
  <si>
    <t>46.566805 56.342047</t>
  </si>
  <si>
    <t>Россия, Республика Марий Эл, Козьмодемьянск, Приовражная улица</t>
  </si>
  <si>
    <t>46.550568 56.330465</t>
  </si>
  <si>
    <t>ул. 8 Марта, 25, Козьмодемьянск</t>
  </si>
  <si>
    <t>46.56129 56.33847</t>
  </si>
  <si>
    <t>ул. Чкалова, 41/25, Козьмодемьянск</t>
  </si>
  <si>
    <t>46.57577 56.339564</t>
  </si>
  <si>
    <t>Пикник</t>
  </si>
  <si>
    <t>Россия, Республика Марий Эл, Козьмодемьянск, 2-й микрорайон</t>
  </si>
  <si>
    <t>46.537638 56.328548</t>
  </si>
  <si>
    <t>46.567665 56.34423</t>
  </si>
  <si>
    <t>46.539208 56.328374</t>
  </si>
  <si>
    <t>2, квартал Маслозавода, Козьмодемьянск</t>
  </si>
  <si>
    <t>46.543099 56.329278</t>
  </si>
  <si>
    <t>46.536419 56.328884</t>
  </si>
  <si>
    <t>Посиделки</t>
  </si>
  <si>
    <t>ул. 8 Марта, 19, Козьмодемьянск</t>
  </si>
  <si>
    <t>46.562574 56.338387</t>
  </si>
  <si>
    <t>46.53971 56.325716</t>
  </si>
  <si>
    <t>ул. Михайлова, 30, Козьмодемьянск</t>
  </si>
  <si>
    <t>46.558036 56.341883</t>
  </si>
  <si>
    <t>Россия, Республика Марий Эл, Козьмодемьянск, улица Чапаева</t>
  </si>
  <si>
    <t>46.548568 56.330734</t>
  </si>
  <si>
    <t>Crystall</t>
  </si>
  <si>
    <t>46.537045 56.334078</t>
  </si>
  <si>
    <t>Спорткомплекс</t>
  </si>
  <si>
    <t>бул. Космонавтов, 8, Козьмодемьянск</t>
  </si>
  <si>
    <t>46.542241 56.334044</t>
  </si>
  <si>
    <t>16, 2-й микрорайон, Козьмодемьянск</t>
  </si>
  <si>
    <t>46.538242 56.329198</t>
  </si>
  <si>
    <t>бул. Космонавтов, 12, Козьмодемьянск</t>
  </si>
  <si>
    <t>46.543768 56.331956</t>
  </si>
  <si>
    <t>46.553461 56.33668</t>
  </si>
  <si>
    <t>ул. Гагарина, 22Б, Козьмодемьянск</t>
  </si>
  <si>
    <t>46.548282 56.333739</t>
  </si>
  <si>
    <t>Комсомольская ул., 24, Козьмодемьянск</t>
  </si>
  <si>
    <t>46.55169 56.3355</t>
  </si>
  <si>
    <t>МУП Рынок города Козьмодемьянск</t>
  </si>
  <si>
    <t>ул. 8 Марта, 23, Козьмодемьянск</t>
  </si>
  <si>
    <t>+7 (83632) 7-60-31</t>
  </si>
  <si>
    <t>Продуктовый рынок, Рынок</t>
  </si>
  <si>
    <t>чт,сб,вс 07:00–14:00</t>
  </si>
  <si>
    <t>46.561851 56.337986</t>
  </si>
  <si>
    <t>Россия, Республика Марий Эл, Козьмодемьянск, Октябрьская улица</t>
  </si>
  <si>
    <t>46.566329 56.341947</t>
  </si>
  <si>
    <t>Карамель</t>
  </si>
  <si>
    <t>https://www.instagram.com/karamelclub/</t>
  </si>
  <si>
    <t>46.556858 56.338466</t>
  </si>
  <si>
    <t>Промтовары Якорь</t>
  </si>
  <si>
    <t>46.567538 56.344287</t>
  </si>
  <si>
    <t>46.54144 56.32851</t>
  </si>
  <si>
    <t>Стрелецкая часовня</t>
  </si>
  <si>
    <t>ул. Ленина, 32, Козьмодемьянск</t>
  </si>
  <si>
    <t>46.568168 56.34463</t>
  </si>
  <si>
    <t>Доброцен</t>
  </si>
  <si>
    <t xml:space="preserve">info@dobrotsen.ru </t>
  </si>
  <si>
    <t>https://доброцен.рф/</t>
  </si>
  <si>
    <t>https://vk.com/dobrotcensklad</t>
  </si>
  <si>
    <t>46.544261 56.328497</t>
  </si>
  <si>
    <t>Россия, Республика Марий Эл, Козьмодемьянск, Магистральная улица</t>
  </si>
  <si>
    <t>46.54546 56.329942</t>
  </si>
  <si>
    <t>Советская ул., 37, Козьмодемьянск</t>
  </si>
  <si>
    <t>46.57664 56.340844</t>
  </si>
  <si>
    <t>Нотариус Кожевникова Л.А.</t>
  </si>
  <si>
    <t>+7 (83632) 7-22-28, +7 (83632) 7-68-43</t>
  </si>
  <si>
    <t>пн-чт 09:00–17:00, перерыв 13:00–14:00; пт 09:00–15:00, перерыв 13:00–14:00</t>
  </si>
  <si>
    <t>46.541797 56.330036</t>
  </si>
  <si>
    <t>46.547258 56.32935</t>
  </si>
  <si>
    <t>46.548884 56.315509</t>
  </si>
  <si>
    <t>ул. Лихачёва, 14, Козьмодемьянск</t>
  </si>
  <si>
    <t>46.573195 56.343518</t>
  </si>
  <si>
    <t>Советская ул., 8, Козьмодемьянск</t>
  </si>
  <si>
    <t>46.566719 56.343893</t>
  </si>
  <si>
    <t>ГК Юпитер</t>
  </si>
  <si>
    <t>46.567938 56.337084</t>
  </si>
  <si>
    <t>Двери окна ламинат</t>
  </si>
  <si>
    <t>46.548771 56.337376</t>
  </si>
  <si>
    <t>3А, 2-й микрорайон, Козьмодемьянск</t>
  </si>
  <si>
    <t>46.539849 56.328068</t>
  </si>
  <si>
    <t>Комсомольская ул., 24А, Козьмодемьянск</t>
  </si>
  <si>
    <t>46.552079 56.336168</t>
  </si>
  <si>
    <t>Ваш размер</t>
  </si>
  <si>
    <t>46.545303 56.334777</t>
  </si>
  <si>
    <t>ул. Гагарина, 22, Козьмодемьянск</t>
  </si>
  <si>
    <t>пн-пт 08:00–18:00; сб,вс 08:30–16:00</t>
  </si>
  <si>
    <t>46.548865 56.333966</t>
  </si>
  <si>
    <t>46.53692 56.331659</t>
  </si>
  <si>
    <t>Шик</t>
  </si>
  <si>
    <t>46.540455 56.320286</t>
  </si>
  <si>
    <t>1, квартал Маслозавода, Козьмодемьянск</t>
  </si>
  <si>
    <t>46.544438 56.329859</t>
  </si>
  <si>
    <t>46.539165 56.328361</t>
  </si>
  <si>
    <t>бул. Космонавтов, 7, Козьмодемьянск</t>
  </si>
  <si>
    <t>46.546679 56.333869</t>
  </si>
  <si>
    <t>46.54172 56.328663</t>
  </si>
  <si>
    <t>+7 (987) 736-01-00</t>
  </si>
  <si>
    <t xml:space="preserve">trikotazh-vselychsheeryadom@yandex.ru  </t>
  </si>
  <si>
    <t>Магазин детской одежды, Магазин чулок и колготок, Трикотаж, трикотажные изделия</t>
  </si>
  <si>
    <t>https://vk.com/club65942469</t>
  </si>
  <si>
    <t>46.536415 56.328903</t>
  </si>
  <si>
    <t>ул. Гагарина, 29, Козьмодемьянск</t>
  </si>
  <si>
    <t>46.550044 56.333933</t>
  </si>
  <si>
    <t>46.587047 56.331138</t>
  </si>
  <si>
    <t>Ветеринария</t>
  </si>
  <si>
    <t>ул. Свердлова, 51Б, Козьмодемьянск</t>
  </si>
  <si>
    <t>+7 (83632) 7-49-03, +7 (83632) 7-49-04</t>
  </si>
  <si>
    <t>пн-пт 08:00–16:30, перерыв 12:00–13:00; сб 08:00–12:00</t>
  </si>
  <si>
    <t>46.569925 56.338716</t>
  </si>
  <si>
    <t>Сантехник</t>
  </si>
  <si>
    <t>46.554652 56.3371</t>
  </si>
  <si>
    <t>46.548366 56.333732</t>
  </si>
  <si>
    <t>46.556866 56.33838</t>
  </si>
  <si>
    <t>ИП Жарникова Т. М.</t>
  </si>
  <si>
    <t>+7 (83631) 6-77-09</t>
  </si>
  <si>
    <t>+7 (917) 719-03-05</t>
  </si>
  <si>
    <t>46.54662 56.337496</t>
  </si>
  <si>
    <t>Детский сад № 4 Теремок</t>
  </si>
  <si>
    <t>46.546706 56.331106</t>
  </si>
  <si>
    <t>Россия, Республика Марий Эл, Козьмодемьянск, микрорайон Черёмушки</t>
  </si>
  <si>
    <t>46.562837 56.320048</t>
  </si>
  <si>
    <t>ул. 8 Марта, 21, Козьмодемьянск</t>
  </si>
  <si>
    <t>46.5621 56.338451</t>
  </si>
  <si>
    <t>46.54402 56.32982</t>
  </si>
  <si>
    <t>ул. Гагарина, 53, Козьмодемьянск</t>
  </si>
  <si>
    <t>46.543377 56.326188</t>
  </si>
  <si>
    <t>46.539652 56.325469</t>
  </si>
  <si>
    <t>46.568403 56.328104</t>
  </si>
  <si>
    <t>Строй-центр</t>
  </si>
  <si>
    <t>46.541242 56.328009</t>
  </si>
  <si>
    <t>Россия, Республика Марий Эл, Козьмодемьянск, улица Мичурина</t>
  </si>
  <si>
    <t>46.583979 56.331768</t>
  </si>
  <si>
    <t>Юбилейная ул., 9, Козьмодемьянск</t>
  </si>
  <si>
    <t>46.544709 56.336701</t>
  </si>
  <si>
    <t>46.538597 56.327885</t>
  </si>
  <si>
    <t>бул. Космонавтов, 15, корп. 17, Козьмодемьянск</t>
  </si>
  <si>
    <t>46.547832 56.333649</t>
  </si>
  <si>
    <t>Мясная Лавка</t>
  </si>
  <si>
    <t>46.542023 56.328852</t>
  </si>
  <si>
    <t>Промышленная ул., 12, Козьмодемьянск</t>
  </si>
  <si>
    <t>46.570167 56.333931</t>
  </si>
  <si>
    <t>46.541263 56.328038</t>
  </si>
  <si>
    <t>46.552232 56.335123</t>
  </si>
  <si>
    <t>Автозапчасти на заказ</t>
  </si>
  <si>
    <t>46.535815 56.32792</t>
  </si>
  <si>
    <t>46.539985 56.329131</t>
  </si>
  <si>
    <t>Электрическая подстанция Козьмодемьянск</t>
  </si>
  <si>
    <t>46.574122 56.326579</t>
  </si>
  <si>
    <t>46.534507 56.330623</t>
  </si>
  <si>
    <t>26, 2-й микрорайон, Козьмодемьянск</t>
  </si>
  <si>
    <t>+7 (83632) 7-79-38</t>
  </si>
  <si>
    <t>46.536043 56.329725</t>
  </si>
  <si>
    <t>Лесная ул., 2, Козьмодемьянск</t>
  </si>
  <si>
    <t>+7 (967) 470-13-30</t>
  </si>
  <si>
    <t>пн-пт 08:30–00:00</t>
  </si>
  <si>
    <t>46.546449 56.324291</t>
  </si>
  <si>
    <t>Россия, Республика Марий Эл, Козьмодемьянск, улица Победы</t>
  </si>
  <si>
    <t>46.549297 56.319802</t>
  </si>
  <si>
    <t>Titan</t>
  </si>
  <si>
    <t>46.540424 56.320267</t>
  </si>
  <si>
    <t>Микс-кафе</t>
  </si>
  <si>
    <t>пн-чт 10:00–23:00; пт-вс 10:00–00:00</t>
  </si>
  <si>
    <t>46.536986 56.334134</t>
  </si>
  <si>
    <t>Промышленная ул., 44В, Козьмодемьянск</t>
  </si>
  <si>
    <t>46.556012 56.320701</t>
  </si>
  <si>
    <t>Сана+</t>
  </si>
  <si>
    <t>пн-пт 10:00–20:00; сб,вс 10:00–15:00</t>
  </si>
  <si>
    <t>46.540914 56.326835</t>
  </si>
  <si>
    <t>ул. Гагарина, 24, Козьмодемьянск</t>
  </si>
  <si>
    <t>46.547472 56.333964</t>
  </si>
  <si>
    <t>Ремонт окон Козьмодемьянск</t>
  </si>
  <si>
    <t>http://remontokonkozmodemyansk.remontokonnedorogo.ru/</t>
  </si>
  <si>
    <t>46.550402 56.333938</t>
  </si>
  <si>
    <t>Белый кролик</t>
  </si>
  <si>
    <t>+7 (987) 704-83-38</t>
  </si>
  <si>
    <t>Булочная, пекарня, Кафе, Кондитерская</t>
  </si>
  <si>
    <t>46.540358 56.325313</t>
  </si>
  <si>
    <t>Добрые соседи</t>
  </si>
  <si>
    <t>46.536124 56.333321</t>
  </si>
  <si>
    <t>Золото России</t>
  </si>
  <si>
    <t>46.541145 56.319946</t>
  </si>
  <si>
    <t>Drive2</t>
  </si>
  <si>
    <t>ул. Некрасова, 61А, Козьмодемьянск</t>
  </si>
  <si>
    <t>46.543367 56.337</t>
  </si>
  <si>
    <t>Офис независимых предпринимателей</t>
  </si>
  <si>
    <t>Промышленная ул., 30А, Козьмодемьянск</t>
  </si>
  <si>
    <t>46.566821 56.329302</t>
  </si>
  <si>
    <t>Торговый центр Аякс</t>
  </si>
  <si>
    <t>46.536902 56.334083</t>
  </si>
  <si>
    <t>АЗС № 21</t>
  </si>
  <si>
    <t>46.541962 56.31399</t>
  </si>
  <si>
    <t>46.542125 56.32792</t>
  </si>
  <si>
    <t>46.551898 56.33475</t>
  </si>
  <si>
    <t>Smart u0026 Бастион</t>
  </si>
  <si>
    <t>+7 (987) 704-66-20</t>
  </si>
  <si>
    <t xml:space="preserve">klepa_82@bk.ru  </t>
  </si>
  <si>
    <t>Компьютерный магазин, Магазин бытовой техники, Садовый инвентарь и техника</t>
  </si>
  <si>
    <t>пн-пт 09:00–16:00; сб,вс 09:00–15:00</t>
  </si>
  <si>
    <t>https://vk.com/smart_bastion</t>
  </si>
  <si>
    <t>46.541382 56.32801</t>
  </si>
  <si>
    <t>ср-сб 09:00–16:00</t>
  </si>
  <si>
    <t>46.539689 56.328023</t>
  </si>
  <si>
    <t>Чили</t>
  </si>
  <si>
    <t>46.555146 56.320704</t>
  </si>
  <si>
    <t>Транс Ойл</t>
  </si>
  <si>
    <t>46.537441 56.325573</t>
  </si>
  <si>
    <t>46.541324 56.32006</t>
  </si>
  <si>
    <t>46.546047 56.334232</t>
  </si>
  <si>
    <t>Комбикорм</t>
  </si>
  <si>
    <t>46.551018 56.334305</t>
  </si>
  <si>
    <t>25В, 3-й микрорайон, Козьмодемьянск</t>
  </si>
  <si>
    <t>46.536544 56.321712</t>
  </si>
  <si>
    <t>Цех штамповки</t>
  </si>
  <si>
    <t>Магистральная ул., 1, Козьмодемьянск</t>
  </si>
  <si>
    <t>46.538501 56.333291</t>
  </si>
  <si>
    <t>Хеликс</t>
  </si>
  <si>
    <t>8 (800) 700-03-03</t>
  </si>
  <si>
    <t xml:space="preserve">ivanov@site.com </t>
  </si>
  <si>
    <t>https://helix.ru/, https://helix.ru/center/24841/</t>
  </si>
  <si>
    <t>https://vk.com/helix_lab</t>
  </si>
  <si>
    <t>https://ok.ru/group/51632047325318</t>
  </si>
  <si>
    <t>https://twitter.com/helix_lab</t>
  </si>
  <si>
    <t>https://www.facebook.com/helixlab</t>
  </si>
  <si>
    <t>46.540413 56.331162</t>
  </si>
  <si>
    <t>ул. Гагарина, 19Б, Козьмодемьянск</t>
  </si>
  <si>
    <t>46.55326 56.335728</t>
  </si>
  <si>
    <t>Россия, Республика Марий Эл, Козьмодемьянск, Северная улица</t>
  </si>
  <si>
    <t>46.536682 56.334278</t>
  </si>
  <si>
    <t>Александрия</t>
  </si>
  <si>
    <t>46.540916 56.326838</t>
  </si>
  <si>
    <t>25, 3-й микрорайон, Козьмодемьянск</t>
  </si>
  <si>
    <t>46.536778 56.322189</t>
  </si>
  <si>
    <t>ул. Гагарина, 32А, Козьмодемьянск</t>
  </si>
  <si>
    <t>46.545371 56.330977</t>
  </si>
  <si>
    <t>46.558263 56.344357</t>
  </si>
  <si>
    <t>Ягуар</t>
  </si>
  <si>
    <t>46.540341 56.331174</t>
  </si>
  <si>
    <t>Элфит</t>
  </si>
  <si>
    <t>46.54101 56.319902</t>
  </si>
  <si>
    <t>46.540268 56.33127</t>
  </si>
  <si>
    <t>Элтеко</t>
  </si>
  <si>
    <t>46.53533 56.331753</t>
  </si>
  <si>
    <t>46.541349 56.320139</t>
  </si>
  <si>
    <t>Мир жилья</t>
  </si>
  <si>
    <t>46.543474 56.319747</t>
  </si>
  <si>
    <t>МРСК центра и приволжья, филиал Мариэнерго</t>
  </si>
  <si>
    <t>46.57268 56.32692</t>
  </si>
  <si>
    <t>Торговый центр Волна</t>
  </si>
  <si>
    <t>46.547633 56.333687</t>
  </si>
  <si>
    <t>46.53582 56.327914</t>
  </si>
  <si>
    <t>46.538838 56.327823</t>
  </si>
  <si>
    <t>Централизованная Клубная Система Муниципального Образования Горномарийский Муниципальный район</t>
  </si>
  <si>
    <t>+7 (83632) 7-51-20</t>
  </si>
  <si>
    <t>Архив, Библиотека, Дом культуры</t>
  </si>
  <si>
    <t>46.541912 56.334807</t>
  </si>
  <si>
    <t>Россия, Республика Марий Эл, Козьмодемьянск, Больничный переулок</t>
  </si>
  <si>
    <t>46.561011 56.338861</t>
  </si>
  <si>
    <t>СанТехник</t>
  </si>
  <si>
    <t>46.538614 56.32798</t>
  </si>
  <si>
    <t>МК Память</t>
  </si>
  <si>
    <t>46.544622 56.329883</t>
  </si>
  <si>
    <t>46.535013 56.321708</t>
  </si>
  <si>
    <t>123, микрорайон Черёмушки, Козьмодемьянск</t>
  </si>
  <si>
    <t>46.557018 56.315285</t>
  </si>
  <si>
    <t>46.539512 56.329241</t>
  </si>
  <si>
    <t>Ксения</t>
  </si>
  <si>
    <t>ул. Чернышевского, 38, Козьмодемьянск</t>
  </si>
  <si>
    <t>46.565064 56.342181</t>
  </si>
  <si>
    <t>Козьмодемьянское АТП</t>
  </si>
  <si>
    <t>46.54452 56.327286</t>
  </si>
  <si>
    <t>18, 3-й микрорайон, Козьмодемьянск</t>
  </si>
  <si>
    <t>46.530108 56.326881</t>
  </si>
  <si>
    <t>Единая Россия</t>
  </si>
  <si>
    <t>46.552776 56.336869</t>
  </si>
  <si>
    <t>Горный</t>
  </si>
  <si>
    <t>46.544158 56.335562</t>
  </si>
  <si>
    <t>34, 2-й микрорайон, Козьмодемьянск</t>
  </si>
  <si>
    <t>46.533131 56.329859</t>
  </si>
  <si>
    <t>Козьмодемьянский центр социальной защиты населения</t>
  </si>
  <si>
    <t>+7 (83632) 7-51-65, +7 (83632) 7-66-40</t>
  </si>
  <si>
    <t xml:space="preserve">kuzma_cso@mail.ru, minso@mari-el.ru, informsreda@yandex.ru  </t>
  </si>
  <si>
    <t>http://mari-el.gov.ru/minsoc/kcson_gkozm/, http://portal.mari.ru/</t>
  </si>
  <si>
    <t>46.541272 56.328212</t>
  </si>
  <si>
    <t>ул. Чернышевского, 6, Козьмодемьянск</t>
  </si>
  <si>
    <t>46.570149 56.341343</t>
  </si>
  <si>
    <t>Россия, Республика Марий Эл, Козьмодемьянск, Учебная улица</t>
  </si>
  <si>
    <t>46.54072 56.325492</t>
  </si>
  <si>
    <t>Макс</t>
  </si>
  <si>
    <t>ул. Гагарина, 20, Козьмодемьянск</t>
  </si>
  <si>
    <t>46.549168 56.334239</t>
  </si>
  <si>
    <t>Комсомольская ул., 32, Козьмодемьянск</t>
  </si>
  <si>
    <t>46.547307 56.338041</t>
  </si>
  <si>
    <t>Vespero</t>
  </si>
  <si>
    <t>+7 (961) 373-74-90</t>
  </si>
  <si>
    <t>46.534582 56.325295</t>
  </si>
  <si>
    <t>Гранит</t>
  </si>
  <si>
    <t>27, 3-й микрорайон, Козьмодемьянск</t>
  </si>
  <si>
    <t>+7 (917) 708-02-32, +7 (917) 708-02-31, +7 (961) 336-81-48</t>
  </si>
  <si>
    <t>46.53513 56.324326</t>
  </si>
  <si>
    <t>+7 (83632) 7-11-80</t>
  </si>
  <si>
    <t>46.543494 56.334452</t>
  </si>
  <si>
    <t>Кадастр</t>
  </si>
  <si>
    <t>46.55223 56.335123</t>
  </si>
  <si>
    <t>Восточная кухня</t>
  </si>
  <si>
    <t>46.536025 56.333293</t>
  </si>
  <si>
    <t>46.536034 56.331911</t>
  </si>
  <si>
    <t>46.530987 56.32598</t>
  </si>
  <si>
    <t>Россия, Республика Марий Эл, Козьмодемьянск, Коммунальная улица</t>
  </si>
  <si>
    <t>46.549323 56.322868</t>
  </si>
  <si>
    <t>ул. Большой Овраг, 8, Козьмодемьянск</t>
  </si>
  <si>
    <t>46.56429 56.340412</t>
  </si>
  <si>
    <t>46.572702 56.335808</t>
  </si>
  <si>
    <t>Дантист-СВ</t>
  </si>
  <si>
    <t>Юбилейная ул., 9А, Козьмодемьянск</t>
  </si>
  <si>
    <t>46.544722 56.336902</t>
  </si>
  <si>
    <t>Россия, Республика Марий Эл, Козьмодемьянск, улица Криворотова</t>
  </si>
  <si>
    <t>46.589941 56.33174</t>
  </si>
  <si>
    <t>ТСЖ Буревестник</t>
  </si>
  <si>
    <t>32, 2-й микрорайон, Козьмодемьянск</t>
  </si>
  <si>
    <t>46.53428 56.33101</t>
  </si>
  <si>
    <t>ГБУ Комплексный центр социального обслуживания населения в Горномарийском районе</t>
  </si>
  <si>
    <t>ул. Свердлова, 9, Козьмодемьянск</t>
  </si>
  <si>
    <t>+7 (83632) 7-27-90, +7 (83632) 7-10-22</t>
  </si>
  <si>
    <t xml:space="preserve">kcsongornomari@mail.ru, minso@mari-el.ru, informsreda@yandex.ru  </t>
  </si>
  <si>
    <t>http://mari-el.gov.ru/minsoc/kcson_gornomari/</t>
  </si>
  <si>
    <t>46.574796 56.343456</t>
  </si>
  <si>
    <t>КЦ Брэнд Козьмодемьянск</t>
  </si>
  <si>
    <t>+7 (83632) 7-33-29</t>
  </si>
  <si>
    <t>http://73329.ru/</t>
  </si>
  <si>
    <t>Компьютерный магазин, Магазин канцтоваров, Расходные материалы для оргтехники, Ремонт телефонов</t>
  </si>
  <si>
    <t>46.548839 56.334008</t>
  </si>
  <si>
    <t>Алеко</t>
  </si>
  <si>
    <t>Транспортная ул., 2, Козьмодемьянск</t>
  </si>
  <si>
    <t>46.544045 56.319963</t>
  </si>
  <si>
    <t>Клубок</t>
  </si>
  <si>
    <t>пн-чт 10:00–21:00; пт-вс 10:00–23:00</t>
  </si>
  <si>
    <t>46.544964 56.334927</t>
  </si>
  <si>
    <t>Юлия +</t>
  </si>
  <si>
    <t>3Б, 2-й микрорайон, Козьмодемьянск</t>
  </si>
  <si>
    <t>46.539429 56.32906</t>
  </si>
  <si>
    <t>Euro profi</t>
  </si>
  <si>
    <t>46.547248 56.329342</t>
  </si>
  <si>
    <t>ул. Гагарина, 43А, Козьмодемьянск</t>
  </si>
  <si>
    <t>8 (800) 500-12-91, +7 (83632) 6-63-50</t>
  </si>
  <si>
    <t xml:space="preserve">info@automig.ru  </t>
  </si>
  <si>
    <t>https://automig.ru/</t>
  </si>
  <si>
    <t>https://vk.com/automig_nn</t>
  </si>
  <si>
    <t>https://ok.ru/avtomignn</t>
  </si>
  <si>
    <t>https://www.youtube.com/channel/UCSJJEDoApYPS7brMlgoN5KQ</t>
  </si>
  <si>
    <t>https://www.instagram.com/automignn</t>
  </si>
  <si>
    <t>46.571886 56.341256</t>
  </si>
  <si>
    <t>46.536607 56.329244</t>
  </si>
  <si>
    <t>Россия, Республика Марий Эл, Козьмодемьянск, Лесная улица</t>
  </si>
  <si>
    <t>46.546721 56.323596</t>
  </si>
  <si>
    <t>Северная ул., 1В, Козьмодемьянск</t>
  </si>
  <si>
    <t>46.53979 56.3359</t>
  </si>
  <si>
    <t>Ёлочка</t>
  </si>
  <si>
    <t>46.535151 56.328222</t>
  </si>
  <si>
    <t>6, 3-й микрорайон, Козьмодемьянск</t>
  </si>
  <si>
    <t>46.532032 56.325952</t>
  </si>
  <si>
    <t>46.540262 56.327719</t>
  </si>
  <si>
    <t>46.565053 56.341308</t>
  </si>
  <si>
    <t>46.55136 56.334596</t>
  </si>
  <si>
    <t>МалаЯ</t>
  </si>
  <si>
    <t>46.540282 56.320329</t>
  </si>
  <si>
    <t>46.53855 56.325979</t>
  </si>
  <si>
    <t>ул. 8 Марта, 15В, Козьмодемьянск</t>
  </si>
  <si>
    <t>46.563674 56.338311</t>
  </si>
  <si>
    <t>Промышленная ул., 10, Козьмодемьянск</t>
  </si>
  <si>
    <t>46.570673 56.333934</t>
  </si>
  <si>
    <t>46.535838 56.327906</t>
  </si>
  <si>
    <t>Артико</t>
  </si>
  <si>
    <t>46.541733 56.32977</t>
  </si>
  <si>
    <t>46.555337 56.337582</t>
  </si>
  <si>
    <t>ул. Гагарина, 28А, Козьмодемьянск</t>
  </si>
  <si>
    <t>46.546384 56.331622</t>
  </si>
  <si>
    <t>Прием Черного и Цветного Лома</t>
  </si>
  <si>
    <t>Республиканская ул., 4, Козьмодемьянск</t>
  </si>
  <si>
    <t>+7 (917) 665-04-50</t>
  </si>
  <si>
    <t>46.585139 56.341856</t>
  </si>
  <si>
    <t>МУП МО Городской округ город Козьмодемьянск Городское хозяйство</t>
  </si>
  <si>
    <t>ул. 8 Марта, 27, Козьмодемьянск</t>
  </si>
  <si>
    <t>+7 (83632) 7-14-61</t>
  </si>
  <si>
    <t>пн-пт 08:00–17:00; сб,вс 09:00–13:00</t>
  </si>
  <si>
    <t>46.56096 56.338034</t>
  </si>
  <si>
    <t>46.540717 56.327583</t>
  </si>
  <si>
    <t>Козьмодемьянские тепловые сети</t>
  </si>
  <si>
    <t>Промышленная ул., 10А, Козьмодемьянск</t>
  </si>
  <si>
    <t>46.570828 56.333424</t>
  </si>
  <si>
    <t>46.578086 56.343168</t>
  </si>
  <si>
    <t>46.55758 56.338669</t>
  </si>
  <si>
    <t>Россия, Республика Марий Эл, Козьмодемьянск, улица Шмидта</t>
  </si>
  <si>
    <t>46.572363 56.340765</t>
  </si>
  <si>
    <t>46.549912 56.336531</t>
  </si>
  <si>
    <t>Пошив домашнего текстиля</t>
  </si>
  <si>
    <t>Текстильная компания</t>
  </si>
  <si>
    <t>46.544757 56.329899</t>
  </si>
  <si>
    <t>46.559322 56.345356</t>
  </si>
  <si>
    <t>СДЮСШОР по дзюдо</t>
  </si>
  <si>
    <t>46.547182 56.338672</t>
  </si>
  <si>
    <t>У Ольги</t>
  </si>
  <si>
    <t>46.545027 56.329805</t>
  </si>
  <si>
    <t>46.555958 56.320716</t>
  </si>
  <si>
    <t>46.544911 56.327655</t>
  </si>
  <si>
    <t>Яна</t>
  </si>
  <si>
    <t>46.561084 56.338428</t>
  </si>
  <si>
    <t>46.572511 56.343549</t>
  </si>
  <si>
    <t>Городской парк</t>
  </si>
  <si>
    <t>Россия, Республика Марий Эл, Козьмодемьянск, Городской парк</t>
  </si>
  <si>
    <t>46.56931 56.343669</t>
  </si>
  <si>
    <t>Элком</t>
  </si>
  <si>
    <t>Электродвигатели</t>
  </si>
  <si>
    <t>Кинотеатр Синема Эл</t>
  </si>
  <si>
    <t>ул. Гагарина, 19А, Козьмодемьянск</t>
  </si>
  <si>
    <t xml:space="preserve">cinemael@mail.ru  </t>
  </si>
  <si>
    <t>http://vk.com/cinemael_kzm</t>
  </si>
  <si>
    <t>46.553605 56.335541</t>
  </si>
  <si>
    <t>Мир ковров</t>
  </si>
  <si>
    <t>Ковровые покрытия</t>
  </si>
  <si>
    <t>46.557616 56.338665</t>
  </si>
  <si>
    <t>46.546014 56.314785</t>
  </si>
  <si>
    <t>46.564672 56.340375</t>
  </si>
  <si>
    <t>46.572054 56.34086</t>
  </si>
  <si>
    <t>Магазин подарков и сувениров, Фейерверки и пиротехника</t>
  </si>
  <si>
    <t>46.539449 56.328609</t>
  </si>
  <si>
    <t>46.546581 56.329088</t>
  </si>
  <si>
    <t>Тапир</t>
  </si>
  <si>
    <t>https://kuzma-online.ru/job/vacancy/elektromonter_kontaktnoy_seti_13030640/</t>
  </si>
  <si>
    <t>Производственное предприятие, Электромонтажные и электроустановочные изделия</t>
  </si>
  <si>
    <t>46.553662 56.33741</t>
  </si>
  <si>
    <t>Россия, Республика Марий Эл, Козьмодемьянск, Центральный микрорайон</t>
  </si>
  <si>
    <t>46.542834 56.335217</t>
  </si>
  <si>
    <t>+7 (987) 715-12-17</t>
  </si>
  <si>
    <t>https://vk.com/sol12</t>
  </si>
  <si>
    <t>46.545257 56.334795</t>
  </si>
  <si>
    <t>46.559044 56.33017</t>
  </si>
  <si>
    <t>46.566369 56.341217</t>
  </si>
  <si>
    <t>46.548455 56.335916</t>
  </si>
  <si>
    <t>+7 (960) 096-31-00</t>
  </si>
  <si>
    <t>Автобусные билеты, Турагентство</t>
  </si>
  <si>
    <t>пн-пт 08:30–17:30, перерыв 13:00–14:00; сб,вс 09:00–16:00, перерыв 13:00–14:00</t>
  </si>
  <si>
    <t>ул. Чехова, 4, Козьмодемьянск</t>
  </si>
  <si>
    <t>46.545744 56.320503</t>
  </si>
  <si>
    <t>46.541387 56.319309</t>
  </si>
  <si>
    <t>Рыбалка</t>
  </si>
  <si>
    <t>46.540718 56.327682</t>
  </si>
  <si>
    <t>Россия, Республика Марий Эл, Козьмодемьянск, улица Н.В. Пыринова</t>
  </si>
  <si>
    <t>46.53937 56.327777</t>
  </si>
  <si>
    <t>сквер Сияние</t>
  </si>
  <si>
    <t>46.545231 56.331847</t>
  </si>
  <si>
    <t>Все для электромонтажа</t>
  </si>
  <si>
    <t>46.541333 56.328023</t>
  </si>
  <si>
    <t>Отличные окна</t>
  </si>
  <si>
    <t>46.544757 56.329893</t>
  </si>
  <si>
    <t>ул. Михайлова, 26, Козьмодемьянск</t>
  </si>
  <si>
    <t>46.559022 56.341784</t>
  </si>
  <si>
    <t>Графит</t>
  </si>
  <si>
    <t>Ковровые покрытия, Ламинат</t>
  </si>
  <si>
    <t>46.557519 56.338674</t>
  </si>
  <si>
    <t>Фотостудия, Фотоуслуги</t>
  </si>
  <si>
    <t>46.540911 56.326836</t>
  </si>
  <si>
    <t>46.547137 56.329377</t>
  </si>
  <si>
    <t>2, 3-й микрорайон, Козьмодемьянск</t>
  </si>
  <si>
    <t>46.535885 56.327083</t>
  </si>
  <si>
    <t>ул. Дружбы, 11, Козьмодемьянск</t>
  </si>
  <si>
    <t>+7 (999) 199-16-13</t>
  </si>
  <si>
    <t>Магазин радиодеталей</t>
  </si>
  <si>
    <t>46.552369 56.319744</t>
  </si>
  <si>
    <t>Тендер</t>
  </si>
  <si>
    <t>46.533567 56.329717</t>
  </si>
  <si>
    <t>Парфюмерно-косметическая компания, Распространители косметики и бытовой химии</t>
  </si>
  <si>
    <t>46.552224 56.335121</t>
  </si>
  <si>
    <t>46.552218 56.336088</t>
  </si>
  <si>
    <t>Центр технического обслуживания Омега</t>
  </si>
  <si>
    <t>+7 (83632) 7-11-37</t>
  </si>
  <si>
    <t>Кассовые аппараты и расходные материалы, Ремонт кассовых аппаратов</t>
  </si>
  <si>
    <t>Россия, Республика Марий Эл, Козьмодемьянск, улица Чернышевского</t>
  </si>
  <si>
    <t>46.567333 56.341498</t>
  </si>
  <si>
    <t>46.533931 56.328355</t>
  </si>
  <si>
    <t>35, 2-й микрорайон, Козьмодемьянск</t>
  </si>
  <si>
    <t>46.532268 56.329179</t>
  </si>
  <si>
    <t>+7 (903) 050-55-70</t>
  </si>
  <si>
    <t>Зоомагазин, Магазин семян, Удобрения</t>
  </si>
  <si>
    <t>46.540446 56.320334</t>
  </si>
  <si>
    <t>46.550784 56.341024</t>
  </si>
  <si>
    <t>46.570066 56.333879</t>
  </si>
  <si>
    <t>ул. Белинского, 36/42, Козьмодемьянск</t>
  </si>
  <si>
    <t>46.558117 56.338936</t>
  </si>
  <si>
    <t>46.573832 56.341575</t>
  </si>
  <si>
    <t>Невеста</t>
  </si>
  <si>
    <t>46.541375 56.328416</t>
  </si>
  <si>
    <t>Ярмарка</t>
  </si>
  <si>
    <t>вт-вс 07:00–14:00</t>
  </si>
  <si>
    <t>46.540699 56.327616</t>
  </si>
  <si>
    <t>http://kozmodemjansk.potolkinatyazhnye-vsem.ru/</t>
  </si>
  <si>
    <t>https://twitter.com/OstKozmdemyansk</t>
  </si>
  <si>
    <t>46.540637 56.326732</t>
  </si>
  <si>
    <t>ул. Гагарина, 105, Козьмодемьянск</t>
  </si>
  <si>
    <t>46.541318 56.318072</t>
  </si>
  <si>
    <t>46.54478 56.329857</t>
  </si>
  <si>
    <t>+7 (83632) 7-15-13, +7 (83632) 7-16-70</t>
  </si>
  <si>
    <t>Бассейн, Спортивный комплекс, Спортивный, тренажерный зал, Фитнес-клуб</t>
  </si>
  <si>
    <t>46.540515 56.335732</t>
  </si>
  <si>
    <t>Karcher</t>
  </si>
  <si>
    <t>пн-пт 08:00–20:00; сб,вс 09:00–19:30</t>
  </si>
  <si>
    <t>46.545636 56.32821</t>
  </si>
  <si>
    <t>пн-пт 12:30–18:00</t>
  </si>
  <si>
    <t>46.552927 56.336736</t>
  </si>
  <si>
    <t>Дионис</t>
  </si>
  <si>
    <t>+7 (83632) 7-14-16, +7 (83632) 9-01-23</t>
  </si>
  <si>
    <t>+7 (961) 335-52-67, +7 (960) 099-91-54</t>
  </si>
  <si>
    <t>http://efimov12.ru/</t>
  </si>
  <si>
    <t>46.546887 56.32919</t>
  </si>
  <si>
    <t>46.539839 56.323112</t>
  </si>
  <si>
    <t>Россия, Республика Марий Эл, Козьмодемьянск, переулок Свердлова</t>
  </si>
  <si>
    <t>46.57146 56.339814</t>
  </si>
  <si>
    <t>11, 2-й микрорайон, Козьмодемьянск</t>
  </si>
  <si>
    <t>46.540114 56.330099</t>
  </si>
  <si>
    <t>Магазин продуктов, Яйцо и мясо птицы</t>
  </si>
  <si>
    <t>пн-пт 07:00–16:00, перерыв 13:00–14:00</t>
  </si>
  <si>
    <t>46.54463 56.328831</t>
  </si>
  <si>
    <t>46.552031 56.33616</t>
  </si>
  <si>
    <t>Ремонт телерадиоаппаратуры</t>
  </si>
  <si>
    <t>46.55206 56.336165</t>
  </si>
  <si>
    <t>46.549267 56.320006</t>
  </si>
  <si>
    <t>Инфострой</t>
  </si>
  <si>
    <t>Кредитный потребительский кооператив Кредит</t>
  </si>
  <si>
    <t>21, 2-й микрорайон, Козьмодемьянск</t>
  </si>
  <si>
    <t>+7 (960) 098-38-58</t>
  </si>
  <si>
    <t xml:space="preserve">kuzmaagro@yandex.ru  </t>
  </si>
  <si>
    <t>http://kozmakredit.ru/</t>
  </si>
  <si>
    <t>https://vk.com/kozmakredit</t>
  </si>
  <si>
    <t>46.535642 56.328763</t>
  </si>
  <si>
    <t>Привокзальное</t>
  </si>
  <si>
    <t>46.540965 56.319243</t>
  </si>
  <si>
    <t>46.552055 56.336171</t>
  </si>
  <si>
    <t>46.540717 56.327604</t>
  </si>
  <si>
    <t>+7 (987) 717-84-86</t>
  </si>
  <si>
    <t>пн-чт 10:00–23:00; пт,сб 10:00–00:00; вс 10:00–23:00</t>
  </si>
  <si>
    <t>http://vk.com/public82819927</t>
  </si>
  <si>
    <t>46.535219 56.324389</t>
  </si>
  <si>
    <t>ул. Лихачёва, 38, Козьмодемьянск</t>
  </si>
  <si>
    <t>46.577113 56.342293</t>
  </si>
  <si>
    <t>Красный ключ</t>
  </si>
  <si>
    <t>46.548511 56.341947</t>
  </si>
  <si>
    <t>46.55825 56.33897</t>
  </si>
  <si>
    <t>46.580834 56.341136</t>
  </si>
  <si>
    <t>Медцентр, клиника, Поликлиника для взрослых</t>
  </si>
  <si>
    <t>46.536801 56.322205</t>
  </si>
  <si>
    <t>Витязь</t>
  </si>
  <si>
    <t>46.5447 56.329907</t>
  </si>
  <si>
    <t>Школа № 4</t>
  </si>
  <si>
    <t>28, 2-й микрорайон, Козьмодемьянск</t>
  </si>
  <si>
    <t>46.537396 56.330921</t>
  </si>
  <si>
    <t>Fashion man</t>
  </si>
  <si>
    <t>46.540728 56.327681</t>
  </si>
  <si>
    <t>Редакция Газет край Горномарийский и Жера МО Горномарийский Муниципальный район</t>
  </si>
  <si>
    <t>+7 (83632) 7-12-80</t>
  </si>
  <si>
    <t xml:space="preserve">kraygorno@list.ru  </t>
  </si>
  <si>
    <t>https://vk.com/gazetygornomari</t>
  </si>
  <si>
    <t>https://ok.ru/group/54491275133154</t>
  </si>
  <si>
    <t>46.534846 56.324343</t>
  </si>
  <si>
    <t>Центр военно-патриотического воспитания молодежи г. Козмодемьянска</t>
  </si>
  <si>
    <t>бул. Космонавтов, 12 А, Козьмодемьянск</t>
  </si>
  <si>
    <t>46.54353 56.332498</t>
  </si>
  <si>
    <t>46.54114 56.31915</t>
  </si>
  <si>
    <t>46.582467 56.336295</t>
  </si>
  <si>
    <t>46.540189 56.329074</t>
  </si>
  <si>
    <t>46.539932 56.3287</t>
  </si>
  <si>
    <t>Спортзал</t>
  </si>
  <si>
    <t>46.542543 56.334024</t>
  </si>
  <si>
    <t>46.554577 56.337103</t>
  </si>
  <si>
    <t>3, Центральный микрорайон, Козьмодемьянск</t>
  </si>
  <si>
    <t>+7 (83632) 7-18-59</t>
  </si>
  <si>
    <t>пн-пт 07:00–19:30</t>
  </si>
  <si>
    <t>46.542709 56.331486</t>
  </si>
  <si>
    <t>46.543271 56.336953</t>
  </si>
  <si>
    <t>46.539001 56.328189</t>
  </si>
  <si>
    <t>Россия, Республика Марий Эл, Козьмодемьянск, Восточная улица</t>
  </si>
  <si>
    <t>46.553599 56.320644</t>
  </si>
  <si>
    <t>27, 2-й микрорайон, Козьмодемьянск</t>
  </si>
  <si>
    <t>+7 (83632) 7-15-34</t>
  </si>
  <si>
    <t>46.535093 56.33005</t>
  </si>
  <si>
    <t>46.535847 56.327947</t>
  </si>
  <si>
    <t>+7 (83632) 7-13-40, +7 (83632) 7-15-89, +7 (8362) 70-45-27</t>
  </si>
  <si>
    <t>+7 (961) 337-29-99, +7 (905) 008-41-82</t>
  </si>
  <si>
    <t>46.55228 56.335106</t>
  </si>
  <si>
    <t>46.54005 56.327732</t>
  </si>
  <si>
    <t>Turmeb.ru</t>
  </si>
  <si>
    <t>Октябрьская ул., 25, Козьмодемьянск</t>
  </si>
  <si>
    <t>+7 (987) 700-20-38</t>
  </si>
  <si>
    <t xml:space="preserve">info@turmeb.ru </t>
  </si>
  <si>
    <t>46.565475 56.341478</t>
  </si>
  <si>
    <t>46.547036 56.334167</t>
  </si>
  <si>
    <t>46.541242 56.328015</t>
  </si>
  <si>
    <t>46.541123 56.3258</t>
  </si>
  <si>
    <t>46.542423 56.32916</t>
  </si>
  <si>
    <t>46.54156 56.32859</t>
  </si>
  <si>
    <t>1А, 3-й микрорайон, Козьмодемьянск</t>
  </si>
  <si>
    <t>46.53423 56.327883</t>
  </si>
  <si>
    <t>ул. Свердлова, 19, Козьмодемьянск</t>
  </si>
  <si>
    <t>46.573764 56.342216</t>
  </si>
  <si>
    <t>МОУ Лицей г. Козьмодемьянска</t>
  </si>
  <si>
    <t>+7 (83632) 7-11-62</t>
  </si>
  <si>
    <t xml:space="preserve">liceykozm@mail.ru, admkozm@mail.ru  </t>
  </si>
  <si>
    <t>http://liceykozm.moy.su/</t>
  </si>
  <si>
    <t>46.537408 56.330874</t>
  </si>
  <si>
    <t>Фрукты и овощи</t>
  </si>
  <si>
    <t>46.56197 56.338776</t>
  </si>
  <si>
    <t>12 регион</t>
  </si>
  <si>
    <t>46.539792 56.318364</t>
  </si>
  <si>
    <t>Строймехсервис</t>
  </si>
  <si>
    <t>Энергетическая ул., 1А, Козьмодемьянск</t>
  </si>
  <si>
    <t>+7 (903) 326-27-40</t>
  </si>
  <si>
    <t>Охота</t>
  </si>
  <si>
    <t>46.54071 56.327679</t>
  </si>
  <si>
    <t>Россия, Республика Марий Эл, Козьмодемьянск, Дальняя улица</t>
  </si>
  <si>
    <t>46.541854 56.320353</t>
  </si>
  <si>
    <t>Брусничка</t>
  </si>
  <si>
    <t>46.582226 56.338734</t>
  </si>
  <si>
    <t>ул. Гагарина, 18А, Козьмодемьянск</t>
  </si>
  <si>
    <t>+7 (83632) 7-49-02</t>
  </si>
  <si>
    <t>http://ds5kuzma.ru/</t>
  </si>
  <si>
    <t>46.548124 56.335013</t>
  </si>
  <si>
    <t>46.546611 56.333951</t>
  </si>
  <si>
    <t>+7 (960) 090-66-00</t>
  </si>
  <si>
    <t>https://vk.com/club159063165</t>
  </si>
  <si>
    <t>https://ok.ru/dubrava.mebel</t>
  </si>
  <si>
    <t>https://www.instagram.com/mebeldubrava</t>
  </si>
  <si>
    <t>46.541059 56.329631</t>
  </si>
  <si>
    <t>46.545706 56.334766</t>
  </si>
  <si>
    <t>+7 (917) 711-55-95</t>
  </si>
  <si>
    <t>Магазин мебели, Товары для дома</t>
  </si>
  <si>
    <t>46.537636 56.32604</t>
  </si>
  <si>
    <t>+7 (83632) 7-16-39, +7 (83632) 7-15-90</t>
  </si>
  <si>
    <t>http://edu.mari.ru/prof/ou10/, http://edu.mari.ru/</t>
  </si>
  <si>
    <t>46.535383 56.326711</t>
  </si>
  <si>
    <t>Маникюр-студия</t>
  </si>
  <si>
    <t>46.549308 56.320053</t>
  </si>
  <si>
    <t>46.563174 56.342581</t>
  </si>
  <si>
    <t>ул. Гагарина, 30, Козьмодемьянск</t>
  </si>
  <si>
    <t>46.547033 56.331423</t>
  </si>
  <si>
    <t>Ювелир</t>
  </si>
  <si>
    <t>46.568304 56.34139</t>
  </si>
  <si>
    <t>46.562808 56.338109</t>
  </si>
  <si>
    <t>46.534577 56.325507</t>
  </si>
  <si>
    <t>Западная ул., 16, Козьмодемьянск</t>
  </si>
  <si>
    <t>46.538173 56.322379</t>
  </si>
  <si>
    <t>46.541364 56.328389</t>
  </si>
  <si>
    <t>Россия, Республика Марий Эл, Козьмодемьянск, сквер имени А. Эшпая</t>
  </si>
  <si>
    <t>46.543938 56.336227</t>
  </si>
  <si>
    <t>46.539935 56.318016</t>
  </si>
  <si>
    <t xml:space="preserve">yaguaravto21@mail.ru, evga61@mail.ru  </t>
  </si>
  <si>
    <t>http://kozmodemyansk.avtoyaguar.ru/, http://ягуаравто.рф/</t>
  </si>
  <si>
    <t>https://vk.com/yaguaravto12</t>
  </si>
  <si>
    <t>46.544153 56.329734</t>
  </si>
  <si>
    <t>Центральный тепловой пункт № 1 Козьмодемьянские тепловые сети</t>
  </si>
  <si>
    <t>Комсомольская ул., 28В, Козьмодемьянск</t>
  </si>
  <si>
    <t>46.549959 56.336884</t>
  </si>
  <si>
    <t>Vita</t>
  </si>
  <si>
    <t>Свадьба</t>
  </si>
  <si>
    <t>46.540908 56.326839</t>
  </si>
  <si>
    <t>Центральное</t>
  </si>
  <si>
    <t>46.543236 56.334525</t>
  </si>
  <si>
    <t>Media shop</t>
  </si>
  <si>
    <t>46.537629 56.326127</t>
  </si>
  <si>
    <t>46.540349 56.320313</t>
  </si>
  <si>
    <t>46.583606 56.340302</t>
  </si>
  <si>
    <t>Марийский этнографический музей</t>
  </si>
  <si>
    <t xml:space="preserve">wikipedia-l@wikipedia.org, wikipedia-l@wikimedia.org </t>
  </si>
  <si>
    <t>46.564167 56.326283</t>
  </si>
  <si>
    <t>46.534618 56.325372</t>
  </si>
  <si>
    <t>400 лет</t>
  </si>
  <si>
    <t>46.54232 56.330424</t>
  </si>
  <si>
    <t>ЭкономЬ</t>
  </si>
  <si>
    <t>46.542408 56.329151</t>
  </si>
  <si>
    <t>46.545017 56.329813</t>
  </si>
  <si>
    <t>Банно-прачечное хозяйство</t>
  </si>
  <si>
    <t>+7 (83632) 7-15-42</t>
  </si>
  <si>
    <t>пт-вс 14:00–22:00</t>
  </si>
  <si>
    <t>46.541242 56.32797</t>
  </si>
  <si>
    <t>Билеты на транспорт</t>
  </si>
  <si>
    <t>Автобусные билеты, Железнодорожные и авиабилеты</t>
  </si>
  <si>
    <t>46.541126 56.31995</t>
  </si>
  <si>
    <t>14А, 3-й микрорайон, Козьмодемьянск</t>
  </si>
  <si>
    <t>46.532345 56.32696</t>
  </si>
  <si>
    <t>24, 2-й микрорайон, Козьмодемьянск</t>
  </si>
  <si>
    <t>46.53399 56.328589</t>
  </si>
  <si>
    <t>Россия, Республика Марий Эл, Козьмодемьянск, Зелёная улица</t>
  </si>
  <si>
    <t>46.541457 56.324165</t>
  </si>
  <si>
    <t>46.539649 56.326567</t>
  </si>
  <si>
    <t>46.538828 56.325961</t>
  </si>
  <si>
    <t>46.546646 56.333999</t>
  </si>
  <si>
    <t>46.564616 56.340243</t>
  </si>
  <si>
    <t>46.544165 56.335524</t>
  </si>
  <si>
    <t>ул. Чкалова, 30, Козьмодемьянск</t>
  </si>
  <si>
    <t>46.575714 56.339871</t>
  </si>
  <si>
    <t>Россия, Республика Марий Эл, Козьмодемьянск, Красноармейская улица</t>
  </si>
  <si>
    <t>46.591159 56.335759</t>
  </si>
  <si>
    <t>ул. Михайлова, 2, Козьмодемьянск</t>
  </si>
  <si>
    <t>46.5644 56.341161</t>
  </si>
  <si>
    <t>Педиатрическое отделение</t>
  </si>
  <si>
    <t>46.540726 56.327692</t>
  </si>
  <si>
    <t>Мир дверей</t>
  </si>
  <si>
    <t>46.541447 56.328514</t>
  </si>
  <si>
    <t>Газ-сервис</t>
  </si>
  <si>
    <t>46.548499 56.333801</t>
  </si>
  <si>
    <t>46.559708 56.321293</t>
  </si>
  <si>
    <t>46.587871 56.339521</t>
  </si>
  <si>
    <t>ГК Автолюбитель 1</t>
  </si>
  <si>
    <t>46.544389 56.325842</t>
  </si>
  <si>
    <t>46.540886 56.32602</t>
  </si>
  <si>
    <t>Хлебушко из деревни</t>
  </si>
  <si>
    <t>46.548499 56.3338</t>
  </si>
  <si>
    <t>46.541183 56.32805</t>
  </si>
  <si>
    <t>Торговый центр Континент</t>
  </si>
  <si>
    <t>46.552125 56.336109</t>
  </si>
  <si>
    <t>+7 (905) 008-67-76</t>
  </si>
  <si>
    <t>Быстрое питание, Кафе, Столовая</t>
  </si>
  <si>
    <t>https://vk.com/stolovajnabulvare</t>
  </si>
  <si>
    <t>ул. Гагарина, 56, Козьмодемьянск</t>
  </si>
  <si>
    <t>Магазин радиодеталей, Радиотехника, Электронные приборы и компоненты</t>
  </si>
  <si>
    <t>https://vk.com/igor_mochalov</t>
  </si>
  <si>
    <t>https://www.youtube.com/channel/UCIkBCWKLBlF1suUwweHbltw</t>
  </si>
  <si>
    <t>46.54308 56.327221</t>
  </si>
  <si>
    <t>Впрок</t>
  </si>
  <si>
    <t>46.538871 56.328222</t>
  </si>
  <si>
    <t>46.567227 56.343513</t>
  </si>
  <si>
    <t>46.538752 56.328246</t>
  </si>
  <si>
    <t>Алинка</t>
  </si>
  <si>
    <t>Энергетическая ул., 10Г, Козьмодемьянск</t>
  </si>
  <si>
    <t>+7 (917) 714-98-88</t>
  </si>
  <si>
    <t xml:space="preserve">slava.dalakyan@mail.ru </t>
  </si>
  <si>
    <t>Безалкогольные напитки оптом</t>
  </si>
  <si>
    <t>46.576929 56.32526</t>
  </si>
  <si>
    <t>Мир окон и дверей</t>
  </si>
  <si>
    <t>46.538518 56.327877</t>
  </si>
  <si>
    <t>46.564175 56.341155</t>
  </si>
  <si>
    <t>Россия, Республика Марий Эл, Козьмодемьянск, улица Правды</t>
  </si>
  <si>
    <t>46.553453 56.325891</t>
  </si>
  <si>
    <t>46.536133 56.333327</t>
  </si>
  <si>
    <t>Ласточка</t>
  </si>
  <si>
    <t>46.561805 56.338795</t>
  </si>
  <si>
    <t>46.577206 56.344076</t>
  </si>
  <si>
    <t>Хочу торт</t>
  </si>
  <si>
    <t>+7 (927) 881-26-12</t>
  </si>
  <si>
    <t>пн-пт 10:00–19:00, перерыв 11:30–12:00; сб,вс 11:00–19:00, перерыв 13:30–14:00</t>
  </si>
  <si>
    <t>https://vk.com/want_cakes</t>
  </si>
  <si>
    <t>https://www.instagram.com/want_cakes/</t>
  </si>
  <si>
    <t>46.545296 56.334758</t>
  </si>
  <si>
    <t>46.565422 56.324463</t>
  </si>
  <si>
    <t>46.54002 56.317943</t>
  </si>
  <si>
    <t>Лада деталь</t>
  </si>
  <si>
    <t>46.539753 56.318182</t>
  </si>
  <si>
    <t>46.55655 56.339136</t>
  </si>
  <si>
    <t>Марий Эл Оптика</t>
  </si>
  <si>
    <t>Пункт техосмотра Drive2</t>
  </si>
  <si>
    <t>+7 (927) 884-48-05, +7 (927) 884-48-64</t>
  </si>
  <si>
    <t>Автосервис, автотехцентр, Пункт техосмотра, Шиномонтаж</t>
  </si>
  <si>
    <t>46.543818 56.337454</t>
  </si>
  <si>
    <t>46.546675 56.333996</t>
  </si>
  <si>
    <t>46.541291 56.319936</t>
  </si>
  <si>
    <t>Восточная лавка</t>
  </si>
  <si>
    <t>46.546619 56.334026</t>
  </si>
  <si>
    <t>ул. Лихачёва, 1, Козьмодемьянск</t>
  </si>
  <si>
    <t>46.56905 56.344215</t>
  </si>
  <si>
    <t>Мрия</t>
  </si>
  <si>
    <t>46.539173 56.328365</t>
  </si>
  <si>
    <t>Viva</t>
  </si>
  <si>
    <t>46.54072 56.327678</t>
  </si>
  <si>
    <t>46.55747 56.338585</t>
  </si>
  <si>
    <t>Матросово</t>
  </si>
  <si>
    <t>46.547032 56.331428</t>
  </si>
  <si>
    <t>46.541708 56.328263</t>
  </si>
  <si>
    <t>ул. Михайлова, 41/26, Козьмодемьянск</t>
  </si>
  <si>
    <t>46.556315 56.341779</t>
  </si>
  <si>
    <t>Козьмодемьянская центральная районная больница, стоматологическое отделение</t>
  </si>
  <si>
    <t>46.536717 56.322256</t>
  </si>
  <si>
    <t>46.535786 56.333401</t>
  </si>
  <si>
    <t>Россия, Республика Марий Эл, Козьмодемьянск, Юбилейная улица</t>
  </si>
  <si>
    <t>46.545521 56.337661</t>
  </si>
  <si>
    <t>KozGames</t>
  </si>
  <si>
    <t>ул. Свердлова, 12, Козьмодемьянск</t>
  </si>
  <si>
    <t>46.573659 56.34285</t>
  </si>
  <si>
    <t>Россия, Республика Марий Эл, Козьмодемьянск, улица 1 Мая 3-я линия</t>
  </si>
  <si>
    <t>46.554679 56.335678</t>
  </si>
  <si>
    <t>Советская ул., 69, Козьмодемьянск</t>
  </si>
  <si>
    <t>46.582314 56.338731</t>
  </si>
  <si>
    <t>46.572922 56.338174</t>
  </si>
  <si>
    <t>Бюро № 6</t>
  </si>
  <si>
    <t>46.545019 56.335024</t>
  </si>
  <si>
    <t>46.552727 56.336</t>
  </si>
  <si>
    <t>46.537015 56.327366</t>
  </si>
  <si>
    <t>46.539535 56.328637</t>
  </si>
  <si>
    <t>46.54037 56.327774</t>
  </si>
  <si>
    <t>МТК</t>
  </si>
  <si>
    <t>+7 (83632) 7-11-14</t>
  </si>
  <si>
    <t>46.541425 56.318245</t>
  </si>
  <si>
    <t>Собор Смоленской иконы Божией Матери</t>
  </si>
  <si>
    <t>Советская ул., 39, Козьмодемьянск</t>
  </si>
  <si>
    <t>46.577282 56.340662</t>
  </si>
  <si>
    <t>ул. Лихачёва, 30, Козьмодемьянск</t>
  </si>
  <si>
    <t>46.575212 56.342603</t>
  </si>
  <si>
    <t>46.556662 56.338173</t>
  </si>
  <si>
    <t>46.536596 56.332117</t>
  </si>
  <si>
    <t>46.55329 56.335683</t>
  </si>
  <si>
    <t>Аварийно-диспетчерская служба</t>
  </si>
  <si>
    <t>46.543636 56.332305</t>
  </si>
  <si>
    <t>46.547251 56.329916</t>
  </si>
  <si>
    <t>46.55302 56.32942</t>
  </si>
  <si>
    <t>Народные промыслы</t>
  </si>
  <si>
    <t>ул. Ленина, 38, Козьмодемьянск</t>
  </si>
  <si>
    <t>46.57236 56.344356</t>
  </si>
  <si>
    <t>Козьмодемьянская межрайонная больница</t>
  </si>
  <si>
    <t>+7 (83632) 7-16-25, +7 (83632) 7-16-34</t>
  </si>
  <si>
    <t>46.528824 56.324241</t>
  </si>
  <si>
    <t>+7 (83632) 7-76-23</t>
  </si>
  <si>
    <t xml:space="preserve">pochta@domimen.ru, interier.mebel@mail.ru  </t>
  </si>
  <si>
    <t>http://www.interier-mebel.ru/</t>
  </si>
  <si>
    <t>http://vk.com/interier_mebel</t>
  </si>
  <si>
    <t>46.539701 56.326528</t>
  </si>
  <si>
    <t>46.542015 56.328915</t>
  </si>
  <si>
    <t>Живопись Ольги Таланцевой</t>
  </si>
  <si>
    <t>46.572429 56.34445</t>
  </si>
  <si>
    <t>46.535788 56.327953</t>
  </si>
  <si>
    <t>46.528238 56.325151</t>
  </si>
  <si>
    <t>Престиж Тур</t>
  </si>
  <si>
    <t>46.552113 56.33508</t>
  </si>
  <si>
    <t>187, микрорайон Черёмушки, Козьмодемьянск</t>
  </si>
  <si>
    <t>46.556627 56.318686</t>
  </si>
  <si>
    <t>46.564988 56.342214</t>
  </si>
  <si>
    <t>46.536793 56.32675</t>
  </si>
  <si>
    <t>46.579063 56.339765</t>
  </si>
  <si>
    <t>46.565789 56.342167</t>
  </si>
  <si>
    <t>Лимончик</t>
  </si>
  <si>
    <t>ул. Свердлова, 16, Козьмодемьянск</t>
  </si>
  <si>
    <t>46.573069 56.342277</t>
  </si>
  <si>
    <t>29, 2-й микрорайон, Козьмодемьянск</t>
  </si>
  <si>
    <t>46.539553 56.331429</t>
  </si>
  <si>
    <t>46.556606 56.33823</t>
  </si>
  <si>
    <t>ГК Ява</t>
  </si>
  <si>
    <t>46.573602 56.332464</t>
  </si>
  <si>
    <t>46.573115 56.344589</t>
  </si>
  <si>
    <t>Авто запчасти</t>
  </si>
  <si>
    <t>46.537626 56.32613</t>
  </si>
  <si>
    <t>Россия, Республика Марий Эл, Козьмодемьянск, улица Игнатьева</t>
  </si>
  <si>
    <t>46.558279 56.338297</t>
  </si>
  <si>
    <t>5, 2-й микрорайон, Козьмодемьянск</t>
  </si>
  <si>
    <t>46.541986 56.33071</t>
  </si>
  <si>
    <t>+7 (917) 704-08-11</t>
  </si>
  <si>
    <t>46.546826 56.334043</t>
  </si>
  <si>
    <t>46.545861 56.334052</t>
  </si>
  <si>
    <t>46.541972 56.330708</t>
  </si>
  <si>
    <t>Модистка</t>
  </si>
  <si>
    <t>Россия, Республика Марий Эл, Козьмодемьянск, улица 40 лет Октября</t>
  </si>
  <si>
    <t>46.53642 56.321189</t>
  </si>
  <si>
    <t>Волгатех</t>
  </si>
  <si>
    <t>+7 (937) 936-01-85</t>
  </si>
  <si>
    <t xml:space="preserve">tichvinskay@yandex.ru  </t>
  </si>
  <si>
    <t>http://volga12.ru/</t>
  </si>
  <si>
    <t>https://vk.com/volga12ru</t>
  </si>
  <si>
    <t>46.543984 56.327388</t>
  </si>
  <si>
    <t>+7 (83632) 7-65-27</t>
  </si>
  <si>
    <t>Дополнительное образование, Клуб для детей и подростков, Клуб досуга</t>
  </si>
  <si>
    <t>46.543669 56.332547</t>
  </si>
  <si>
    <t>46.545811 56.328316</t>
  </si>
  <si>
    <t>46.55963 56.321358</t>
  </si>
  <si>
    <t>Центральная детская библиотека города Козьмодемьянска</t>
  </si>
  <si>
    <t>+7 (83632) 7-11-77</t>
  </si>
  <si>
    <t>46.54199 56.330733</t>
  </si>
  <si>
    <t>Тимбер</t>
  </si>
  <si>
    <t>Волжск</t>
  </si>
  <si>
    <t>4-я Промышленная ул., 1, Волжск</t>
  </si>
  <si>
    <t>+7 (83631) 4-30-32, +7 (83631) 4-32-83, +7 (83631) 4-31-48</t>
  </si>
  <si>
    <t>+7 (903) 314-76-17</t>
  </si>
  <si>
    <t>+7 (83631) 4-29-63</t>
  </si>
  <si>
    <t xml:space="preserve">komdir@zaotimber.ru </t>
  </si>
  <si>
    <t>http://zaotimber.ru/</t>
  </si>
  <si>
    <t>Деревообрабатывающее предприятие, Лесозаготовка, продажа леса, Пиломатериалы, Строительная компания, Строительство дачных домов и коттеджей</t>
  </si>
  <si>
    <t>48.332004 55.920852</t>
  </si>
  <si>
    <t>НИИ Инвест</t>
  </si>
  <si>
    <t>Пролетарская ул., 8А, Волжск</t>
  </si>
  <si>
    <t>+7 (83631) 6-49-59</t>
  </si>
  <si>
    <t>+7 (987) 726-10-26</t>
  </si>
  <si>
    <t xml:space="preserve">inform@niiinvest.ru  </t>
  </si>
  <si>
    <t>http://www.niiinvest.com/</t>
  </si>
  <si>
    <t>48.385345 55.855623</t>
  </si>
  <si>
    <t>Волга-Декинг</t>
  </si>
  <si>
    <t>ул. Мамасево, 1, Волжск</t>
  </si>
  <si>
    <t>+7 (83631) 4-00-62, +7 (83631) 6-03-31</t>
  </si>
  <si>
    <t>+7 (909) 368-42-77</t>
  </si>
  <si>
    <t xml:space="preserve">volga-deking@mail.ru  </t>
  </si>
  <si>
    <t>http://volga-decking.ru/</t>
  </si>
  <si>
    <t>Покрытия для площадок</t>
  </si>
  <si>
    <t>48.350604 55.901629</t>
  </si>
  <si>
    <t>НПП Белта</t>
  </si>
  <si>
    <t>ул. Ленина, 2А, Волжск</t>
  </si>
  <si>
    <t>+7 (960) 095-57-57</t>
  </si>
  <si>
    <t>Компьютерные аксессуары</t>
  </si>
  <si>
    <t>48.38671 55.860125</t>
  </si>
  <si>
    <t>Промупаковка</t>
  </si>
  <si>
    <t>2-я Промышленная ул., 1А, Волжск</t>
  </si>
  <si>
    <t>+7 (83631) 4-29-39</t>
  </si>
  <si>
    <t>+7 (905) 379-46-00</t>
  </si>
  <si>
    <t>48.347885 55.912669</t>
  </si>
  <si>
    <t>ул. Ленина, 48, Волжск</t>
  </si>
  <si>
    <t>пн-сб 09:00–18:00; вс 09:00–16:00</t>
  </si>
  <si>
    <t>48.36778 55.86353</t>
  </si>
  <si>
    <t>Модный стиль</t>
  </si>
  <si>
    <t>ул. Орджоникидзе, 6, Волжск</t>
  </si>
  <si>
    <t>+7 (902) 329-30-79</t>
  </si>
  <si>
    <t xml:space="preserve">triada-m@list.ru </t>
  </si>
  <si>
    <t>48.374583 55.882419</t>
  </si>
  <si>
    <t>Web студия PozitivGroup</t>
  </si>
  <si>
    <t>ул. Матюшенко, 1, Волжск</t>
  </si>
  <si>
    <t>+7 (909) 369-87-72</t>
  </si>
  <si>
    <t xml:space="preserve">yanus0606@mail.ru, panteleimon12@inbox.ru, neleska@mail.ru, veterangran@yandex.ru, globusvolzhsk@gmail.com, ooo-feniks@mail.ru, mu_gck@mail.ru, evgen150994@yandex.ru, gorportal@list.ru, ra-helen@mail.ru </t>
  </si>
  <si>
    <t>http://волжск-онлайн.рф/</t>
  </si>
  <si>
    <t>Интернет-маркетинг, Информационный интернет-сайт, Студия веб-дизайна</t>
  </si>
  <si>
    <t>48.37143 55.862848</t>
  </si>
  <si>
    <t>Садовая ул., 19, Волжск</t>
  </si>
  <si>
    <t>+7 (83631) 4-99-23, +7 (83631) 4-99-27, +7 (83631) 4-97-17</t>
  </si>
  <si>
    <t xml:space="preserve">info@vic-mebel.ru  </t>
  </si>
  <si>
    <t>http://vic-mebel.ru/, http://abakan.vic-mebel.ru/, http://achinsk.vic-mebel.ru/, http://almetevsk.vic-mebel.ru/, http://angarsk.vic-mebel.ru/, http://arhangelsk.vic-mebel.ru/, http://armavir.vic-mebel.ru/, http://artem.vic-mebel.ru/, http://arzamas.vic-mebel.ru/, http://astrahan.vic-mebel.ru/, http://balakovo.vic-mebel.ru/, http://balashiha.vic-mebel.ru/, http://barnaul.vic-mebel.ru/, http://batajsk.vic-mebel.ru/, http://belgorod.vic-mebel.ru/, http://berdsk.vic-mebel.ru/, http://berezniki.vic-mebel.ru/, http://bijsk.vic-mebel.ru/, http://blagoveshchensk.vic-mebel.ru/, http://bratsk.vic-mebel.ru/, http://bryansk.vic-mebel.ru/, http://cheboksary.vic-mebel.ru/, http://cherepovec.vic-mebel.ru/, http://cherkessk.vic-mebel.ru/, http://chita.vic-mebel.ru/, http://derbent.vic-mebel.ru/, http://dimitrovgrad.vic-mebel.ru/, http://dolgoprudnyj.vic-mebel.ru/, http://domodedovo.vic-mebel.ru/, http://dzerzhinsk.vic-mebel.ru/, http://ekaterinburg.vic-mebel.ru/, http://elec.vic-mebel.ru/, http://elek</t>
  </si>
  <si>
    <t>Корпусная мебель, Мебель для офиса, Мебельная фабрика</t>
  </si>
  <si>
    <t>48.366708 55.876751</t>
  </si>
  <si>
    <t>ул. Фрунзе, 1, Волжск</t>
  </si>
  <si>
    <t>+7 (83631) 4-72-26, +7 (83631) 4-72-88, +7 (83631) 6-42-61</t>
  </si>
  <si>
    <t xml:space="preserve">imp-mebel@yandex.ru  </t>
  </si>
  <si>
    <t>http://imp-mebel.ru/</t>
  </si>
  <si>
    <t>Корпусная мебель, Матрасы, Мебель для кухни, Мебель для офиса, Мебельная фабрика</t>
  </si>
  <si>
    <t>48.327982 55.873583</t>
  </si>
  <si>
    <t>СофтТерм</t>
  </si>
  <si>
    <t>Заводская ул., 8А, Волжск</t>
  </si>
  <si>
    <t>8 (800) 777-45-10</t>
  </si>
  <si>
    <t xml:space="preserve">info@step12.ru, 88007003824@mail.ru  </t>
  </si>
  <si>
    <t>https://step12.ru/</t>
  </si>
  <si>
    <t>http://vk.com/panelistep</t>
  </si>
  <si>
    <t>48.341617 55.860746</t>
  </si>
  <si>
    <t>Рессора</t>
  </si>
  <si>
    <t>ул. Щорса, 25В, Волжск</t>
  </si>
  <si>
    <t>48.383245 55.854721</t>
  </si>
  <si>
    <t>Типография Волжская правда</t>
  </si>
  <si>
    <t>Советская ул., 29А, Волжск</t>
  </si>
  <si>
    <t>+7 (83631) 6-03-58</t>
  </si>
  <si>
    <t>+7 (905) 182-83-80</t>
  </si>
  <si>
    <t xml:space="preserve">cop_vp@mail.ru  </t>
  </si>
  <si>
    <t>http://www.vpprint.ru/</t>
  </si>
  <si>
    <t>https://www.instagram.com/vptipvolzhsk</t>
  </si>
  <si>
    <t>48.388595 55.857873</t>
  </si>
  <si>
    <t>Турагентство Глобус Тур</t>
  </si>
  <si>
    <t>+7 (83631) 6-03-33</t>
  </si>
  <si>
    <t>+7 (906) 138-83-09</t>
  </si>
  <si>
    <t>http://глобус-тур12.рф/</t>
  </si>
  <si>
    <t>Деловой туризм, Турагентство, Экскурсии</t>
  </si>
  <si>
    <t>48.3679 55.863485</t>
  </si>
  <si>
    <t>Строительная ул., 11, Волжск</t>
  </si>
  <si>
    <t>+7 (83631) 6-70-67, +7 (83631) 6-38-23</t>
  </si>
  <si>
    <t xml:space="preserve">volzhskvodokanal@mail.ru  </t>
  </si>
  <si>
    <t>http://vodokanal.dyndns.org/</t>
  </si>
  <si>
    <t>48.367433 55.864773</t>
  </si>
  <si>
    <t>ул. Грибоедова, 1Б, корп. Д, стр. Б, Волжск</t>
  </si>
  <si>
    <t>+7 (83631) 6-44-82</t>
  </si>
  <si>
    <t xml:space="preserve">san.vektor@mail.ru </t>
  </si>
  <si>
    <t>Металлообработка, Нанесение покрытий</t>
  </si>
  <si>
    <t>48.324323 55.875723</t>
  </si>
  <si>
    <t>Уют-М</t>
  </si>
  <si>
    <t>Йошкар-Олинское ш., 20, Волжск</t>
  </si>
  <si>
    <t>+7 (83631) 4-12-72, +7 (83631) 4-04-04</t>
  </si>
  <si>
    <t>http://yut-m.ru/, https://joshkar-ola.mebeloptovik.ru/mebelnaya-fabrika-uyut-m/</t>
  </si>
  <si>
    <t>Корпусная мебель, Мебель для кухни, Мебельная фабрика</t>
  </si>
  <si>
    <t>48.359465 55.903585</t>
  </si>
  <si>
    <t>ул. Федина, 6, Волжск</t>
  </si>
  <si>
    <t>48.33347 55.864986</t>
  </si>
  <si>
    <t>Мир здоровья</t>
  </si>
  <si>
    <t>Советская ул., 17, Волжск</t>
  </si>
  <si>
    <t>+7 (83631) 6-26-70</t>
  </si>
  <si>
    <t>48.382365 55.858473</t>
  </si>
  <si>
    <t>Мечеть Маххаля</t>
  </si>
  <si>
    <t>ул. Ленина, 59, Волжск</t>
  </si>
  <si>
    <t>+7 (83631) 6-03-57</t>
  </si>
  <si>
    <t>48.355894 55.865716</t>
  </si>
  <si>
    <t>ул. Ленина, 52, Волжск</t>
  </si>
  <si>
    <t>48.364887 55.864243</t>
  </si>
  <si>
    <t>ул. Чапаева, 16, Волжск</t>
  </si>
  <si>
    <t>+7 (83631) 6-34-66</t>
  </si>
  <si>
    <t>48.383999 55.860655</t>
  </si>
  <si>
    <t>ЦУМ торговый центр г. Волжск</t>
  </si>
  <si>
    <t>ул. Ленина, 59А, Волжск</t>
  </si>
  <si>
    <t>48.356918 55.865388</t>
  </si>
  <si>
    <t>Альфа Консалтинг</t>
  </si>
  <si>
    <t>Горная ул., 3, Волжск</t>
  </si>
  <si>
    <t>+7 (83631) 4-50-45</t>
  </si>
  <si>
    <t>+7 (961) 374-20-12</t>
  </si>
  <si>
    <t>Оргтехника, Программное обеспечение, Расходные материалы для оргтехники</t>
  </si>
  <si>
    <t>48.387043 55.850889</t>
  </si>
  <si>
    <t>Нотариус Галкина Т.В.</t>
  </si>
  <si>
    <t>Строительная ул., 10, Волжск</t>
  </si>
  <si>
    <t>+7 (83631) 6-08-72</t>
  </si>
  <si>
    <t>48.367899 55.864473</t>
  </si>
  <si>
    <t>ул. Ленина, 53Б, Волжск</t>
  </si>
  <si>
    <t>+7 (83631) 6-02-61</t>
  </si>
  <si>
    <t>Магазин обоев, Магазин ткани, Шторы, карнизы</t>
  </si>
  <si>
    <t>48.361656 55.863845</t>
  </si>
  <si>
    <t>Волжское Экологическое предприятие</t>
  </si>
  <si>
    <t>ул. Матюшенко, 2, Волжск</t>
  </si>
  <si>
    <t>+7 (961) 336-55-55, +7 (960) 094-66-85</t>
  </si>
  <si>
    <t>48.372984 55.862787</t>
  </si>
  <si>
    <t>Аджио</t>
  </si>
  <si>
    <t>Вокзальный пр., 4, Волжск</t>
  </si>
  <si>
    <t>+7 (83631) 4-10-59, +7 (83631) 6-37-54, +7 (83631) 6-35-69, +7 (83631) 4-35-72</t>
  </si>
  <si>
    <t>+7 (83631) 4-10-59</t>
  </si>
  <si>
    <t xml:space="preserve">adgio-m@mail.ru  </t>
  </si>
  <si>
    <t>http://www.adgio.ru/</t>
  </si>
  <si>
    <t>Корпусная мебель, Магазин мебели, Матрасы, Мебель для кухни, Мебельная фабрика</t>
  </si>
  <si>
    <t>48.356033 55.862232</t>
  </si>
  <si>
    <t>Центр трезвости и здоровья</t>
  </si>
  <si>
    <t>+7 (83631) 6-70-00</t>
  </si>
  <si>
    <t>+7 (917) 706-88-58, +7 (903) 326-26-88</t>
  </si>
  <si>
    <t>http://трезвость-волжск.рф/</t>
  </si>
  <si>
    <t>48.38212 55.858559</t>
  </si>
  <si>
    <t>ул. Ленина, 48А, Волжск</t>
  </si>
  <si>
    <t>+7 (83631) 6-38-30</t>
  </si>
  <si>
    <t>+7 (964) 861-58-17</t>
  </si>
  <si>
    <t>48.368421 55.863611</t>
  </si>
  <si>
    <t>Ариада</t>
  </si>
  <si>
    <t>+7 (83631) 6-95-05</t>
  </si>
  <si>
    <t>http://ariadavolga.narod.ru/</t>
  </si>
  <si>
    <t>48.371306 55.86281</t>
  </si>
  <si>
    <t>Транспортно-экспедиционная компания Экипаж</t>
  </si>
  <si>
    <t>Транспортная ул., 2, Волжск</t>
  </si>
  <si>
    <t>+7 (83631) 4-13-50</t>
  </si>
  <si>
    <t xml:space="preserve">info@gipertoniki.ru </t>
  </si>
  <si>
    <t>48.362223 55.887135</t>
  </si>
  <si>
    <t>Волжскпромстрой</t>
  </si>
  <si>
    <t>ул. Дружбы, 16А, Волжск</t>
  </si>
  <si>
    <t>+7 (83631) 4-39-67, +7 (83631) 6-18-48</t>
  </si>
  <si>
    <t>http://волжскпромстрой.рф/</t>
  </si>
  <si>
    <t>Агентство недвижимости, Монтажные работы, Строительная компания</t>
  </si>
  <si>
    <t>48.339423 55.869774</t>
  </si>
  <si>
    <t>УК Альтер</t>
  </si>
  <si>
    <t>+7 (83631) 4-02-78, +7 (83631) 4-10-29, +7 (83631) 4-29-59</t>
  </si>
  <si>
    <t xml:space="preserve">ooo_uk_alter@mail.ru  </t>
  </si>
  <si>
    <t>http://uk-alter.ru/</t>
  </si>
  <si>
    <t>48.374692 55.882367</t>
  </si>
  <si>
    <t>Волжское Дорожное Ремонтно-Строительное ГУП</t>
  </si>
  <si>
    <t>Транспортная ул., 2А, Волжск</t>
  </si>
  <si>
    <t>48.36481 55.888185</t>
  </si>
  <si>
    <t>ул. Ленина, 20, Волжск</t>
  </si>
  <si>
    <t>48.377588 55.861073</t>
  </si>
  <si>
    <t>Ритуал</t>
  </si>
  <si>
    <t>ул. Матюшенко, 18, Волжск</t>
  </si>
  <si>
    <t>+7 (909) 369-49-63, +7 (961) 378-84-48, +7 (961) 378-97-97</t>
  </si>
  <si>
    <t>48.372306 55.866487</t>
  </si>
  <si>
    <t>Детский сад № 4 Калинка</t>
  </si>
  <si>
    <t>ул. Комарова, 20, Волжск</t>
  </si>
  <si>
    <t>+7 (83631) 4-82-75, +7 (83631) 4-79-75</t>
  </si>
  <si>
    <t xml:space="preserve">irina_alex@inbox.ru  </t>
  </si>
  <si>
    <t>http://dou4.org.ru/</t>
  </si>
  <si>
    <t>48.336578 55.859922</t>
  </si>
  <si>
    <t>Марийский целлюлозно-бумажный комбинат</t>
  </si>
  <si>
    <t>ул. Карла Маркса, 10, Волжск</t>
  </si>
  <si>
    <t>+7 (83631) 6-97-91, +7 (83631) 6-97-78, +7 (83631) 5-10-10, +7 (83631) 6-26-56, +7 (83631) 6-05-58</t>
  </si>
  <si>
    <t xml:space="preserve">info@marbum.ru, sale@marbum.ru, omts@marbum.ru, oborud@mail.ru, oborud@marbum.ru  </t>
  </si>
  <si>
    <t>http://marbum.ru/</t>
  </si>
  <si>
    <t>48.367289 55.857417</t>
  </si>
  <si>
    <t>Советская ул., 38, Волжск</t>
  </si>
  <si>
    <t>+7 (83631) 4-61-45</t>
  </si>
  <si>
    <t>Воскресная школа, Православный храм</t>
  </si>
  <si>
    <t>48.39413 55.853645</t>
  </si>
  <si>
    <t>Ваш уютный дом</t>
  </si>
  <si>
    <t>ул. Ленина, 63, Волжск</t>
  </si>
  <si>
    <t>+7 (83631) 6-33-33</t>
  </si>
  <si>
    <t>+7 (909) 367-42-88, +7 (927) 885-58-77</t>
  </si>
  <si>
    <t>48.352749 55.866686</t>
  </si>
  <si>
    <t>+7 (83631) 6-12-39</t>
  </si>
  <si>
    <t>Противопожарные системы, Системы безопасности и охраны, Электромонтажные работы</t>
  </si>
  <si>
    <t>48.368059 55.864551</t>
  </si>
  <si>
    <t>Центр технического творчества</t>
  </si>
  <si>
    <t>ул. Кирова, 5, Волжск</t>
  </si>
  <si>
    <t>+7 (83631) 4-77-33, +7 (83631) 4-79-75</t>
  </si>
  <si>
    <t xml:space="preserve">vgsut@yandex.ru  </t>
  </si>
  <si>
    <t>http://centr-dtt.ru/</t>
  </si>
  <si>
    <t>48.343718 55.864948</t>
  </si>
  <si>
    <t>Авиакасса</t>
  </si>
  <si>
    <t>+7 (83631) 6-35-97</t>
  </si>
  <si>
    <t>+7 (83631) 6-27-27</t>
  </si>
  <si>
    <t>пн-пт 08:00–17:00, перерыв 13:00–14:00; сб,вс 09:00–14:00</t>
  </si>
  <si>
    <t>48.370814 55.862874</t>
  </si>
  <si>
    <t>Коллегия адвокатов Правовой центр</t>
  </si>
  <si>
    <t>Строительная ул., 15, Волжск</t>
  </si>
  <si>
    <t>+7 (903) 050-03-00</t>
  </si>
  <si>
    <t>48.367864 55.866561</t>
  </si>
  <si>
    <t>Волжская ПМК</t>
  </si>
  <si>
    <t>+7 (83631) 4-11-86, +7 (83631) 4-29-23</t>
  </si>
  <si>
    <t>пн-пт 07:00–17:00, перерыв 11:30–13:00</t>
  </si>
  <si>
    <t>Дельфа</t>
  </si>
  <si>
    <t>ул. Карла Маркса, 2, Волжск</t>
  </si>
  <si>
    <t>+7 (83631) 6-95-02</t>
  </si>
  <si>
    <t>48.370415 55.859079</t>
  </si>
  <si>
    <t>Кварта М</t>
  </si>
  <si>
    <t>Молодёжная ул., 1, Волжск</t>
  </si>
  <si>
    <t>+7 (83631) 4-77-22, +7 (83631) 4-76-90, +7 (83631) 4-77-48</t>
  </si>
  <si>
    <t xml:space="preserve">kwarta_m@mail.ru  </t>
  </si>
  <si>
    <t>http://kwartam.narod.ru/</t>
  </si>
  <si>
    <t>48.344948 55.859398</t>
  </si>
  <si>
    <t>Волжский НИИ Целлюлозно-Бумажной Промышленности</t>
  </si>
  <si>
    <t>ул. Щорса, 4, Волжск</t>
  </si>
  <si>
    <t>48.37017 55.856154</t>
  </si>
  <si>
    <t>ул. Шестакова, 10, Волжск</t>
  </si>
  <si>
    <t>+7 (961) 336-79-55, +7 (909) 369-25-39</t>
  </si>
  <si>
    <t>48.337668 55.870549</t>
  </si>
  <si>
    <t>Волжскпроект</t>
  </si>
  <si>
    <t>48.377373 55.861073</t>
  </si>
  <si>
    <t>ул. Ленина, 55, Волжск</t>
  </si>
  <si>
    <t>+7 (83631) 6-08-71</t>
  </si>
  <si>
    <t>48.359917 55.864501</t>
  </si>
  <si>
    <t>Фабрика окон</t>
  </si>
  <si>
    <t>ул. Ленина, 62Е, Волжск</t>
  </si>
  <si>
    <t>+7 (83631) 5-14-44, +7 (83631) 5-16-21</t>
  </si>
  <si>
    <t>+7 (83631) 5-14-44</t>
  </si>
  <si>
    <t>http://fab-okon.ru/</t>
  </si>
  <si>
    <t>48.35635 55.866746</t>
  </si>
  <si>
    <t>Стоматолог</t>
  </si>
  <si>
    <t>+7 (902) 672-32-85</t>
  </si>
  <si>
    <t>48.371297 55.862718</t>
  </si>
  <si>
    <t>Регион-пласт</t>
  </si>
  <si>
    <t>ул. Кузьмина, 22, Волжск</t>
  </si>
  <si>
    <t>+7 (83631) 6-09-27</t>
  </si>
  <si>
    <t>+7 (909) 368-06-34</t>
  </si>
  <si>
    <t>48.349903 55.86717</t>
  </si>
  <si>
    <t>ул. Ленина, 56Б, Волжск</t>
  </si>
  <si>
    <t>+7 (917) 703-36-43</t>
  </si>
  <si>
    <t>пн-пт 09:00–16:00; сб 09:00–14:00</t>
  </si>
  <si>
    <t>48.361411 55.865176</t>
  </si>
  <si>
    <t>ПромХолод</t>
  </si>
  <si>
    <t>ул. Ленина, 38, Волжск</t>
  </si>
  <si>
    <t>+7 (987) 717-53-64</t>
  </si>
  <si>
    <t>Кондиционеры, Промышленное холодильное оборудование, Ремонт климатических систем, Установка кондиционеров</t>
  </si>
  <si>
    <t>48.370316 55.862818</t>
  </si>
  <si>
    <t>Тфм21</t>
  </si>
  <si>
    <t>ул. Грибоедова, 4, Волжск</t>
  </si>
  <si>
    <t>+7 (8362) 23-27-39, +7 (83631) 6-43-50</t>
  </si>
  <si>
    <t xml:space="preserve">info@tfm-mebel.ru  </t>
  </si>
  <si>
    <t>http://tfm-mebel.ru/</t>
  </si>
  <si>
    <t>Мебель для кухни, Мебель на заказ, Мебельная фабрика</t>
  </si>
  <si>
    <t>48.327853 55.873602</t>
  </si>
  <si>
    <t>Око</t>
  </si>
  <si>
    <t>Заводская ул., 10А, Волжск</t>
  </si>
  <si>
    <t>+7 (905) 008-20-33</t>
  </si>
  <si>
    <t xml:space="preserve">bushlay1@rambler.ru  </t>
  </si>
  <si>
    <t>http://premier12.ru/</t>
  </si>
  <si>
    <t>Полиграфические услуги, Стекло, стекольная продукция, Стекольная мастерская</t>
  </si>
  <si>
    <t>48.339988 55.861186</t>
  </si>
  <si>
    <t>Городской стадион</t>
  </si>
  <si>
    <t>ул. Ленина, 35, Волжск</t>
  </si>
  <si>
    <t>+7 (83631) 6-93-97, +7 (83631) 6-94-60, +7 (83631) 6-94-84</t>
  </si>
  <si>
    <t>+7 (83631) 6-94-84</t>
  </si>
  <si>
    <t>48.369141 55.861578</t>
  </si>
  <si>
    <t>Йошкар-Олинское ш., 10, Волжск</t>
  </si>
  <si>
    <t>8 (800) 700-03-08</t>
  </si>
  <si>
    <t>+7 (905) 379-74-70, +7 (906) 138-28-12, +7 (961) 337-64-73</t>
  </si>
  <si>
    <t xml:space="preserve">inbox@delfin12.ru, 02@delfin12.ru  </t>
  </si>
  <si>
    <t>https://delfin12.ru/, https://parts.delfin12.ru/</t>
  </si>
  <si>
    <t>Авторазбор, Магазин автозапчастей и автотоваров, Производство и оптовая продажа автозапчастей</t>
  </si>
  <si>
    <t>пн-пт 08:30–17:30; сб 08:30–13:00</t>
  </si>
  <si>
    <t>http://vk.com/delfin12</t>
  </si>
  <si>
    <t>https://www.youtube.com/channel/UCQk7ME-NI9S1CcJAEaGLpQg/videos?reload=9u0026view_as=subscriber</t>
  </si>
  <si>
    <t>https://www.instagram.com/delfin12.ru/</t>
  </si>
  <si>
    <t>48.360543 55.87996</t>
  </si>
  <si>
    <t>Группа региональных компаний Смирновъ</t>
  </si>
  <si>
    <t>ул. Мамасево, 1Б, Волжск</t>
  </si>
  <si>
    <t>8 (800) 250-55-66, +7 (83631) 4-02-44, +7 (83631) 4-28-75</t>
  </si>
  <si>
    <t xml:space="preserve">info@grk.su, mari-holod@mail.ru  </t>
  </si>
  <si>
    <t>http://www.grk-volzhsk.ru/, http://грк-смирновъ.рф/</t>
  </si>
  <si>
    <t>https://vk.com/grk_smirnov</t>
  </si>
  <si>
    <t>48.350776 55.901004</t>
  </si>
  <si>
    <t>ул. Кузьмина, 22А, Волжск</t>
  </si>
  <si>
    <t>+7 (961) 376-33-33</t>
  </si>
  <si>
    <t>Гипермаркет, Торговый центр</t>
  </si>
  <si>
    <t>48.349677 55.86684</t>
  </si>
  <si>
    <t>Новые окна</t>
  </si>
  <si>
    <t>48.377054 55.861108</t>
  </si>
  <si>
    <t>Волжский электромеханический завод</t>
  </si>
  <si>
    <t>+7 (83631) 4-45-95, +7 (83631) 5-85-45, +7 (83631) 4-84-93</t>
  </si>
  <si>
    <t xml:space="preserve">vemz445@mail.ru  </t>
  </si>
  <si>
    <t>http://aovemz.ru/</t>
  </si>
  <si>
    <t>Металлообработка, Электротехническая продукция</t>
  </si>
  <si>
    <t>http://vk.com/club137465061</t>
  </si>
  <si>
    <t>48.324314 55.871592</t>
  </si>
  <si>
    <t>Волжский мясокомбинат</t>
  </si>
  <si>
    <t>Помарское ш., 1, Волжск</t>
  </si>
  <si>
    <t>+7 (83631) 4-14-81</t>
  </si>
  <si>
    <t>48.357719 55.90096</t>
  </si>
  <si>
    <t>Вокзальный пр., 3, Волжск</t>
  </si>
  <si>
    <t>+7 (83631) 6-01-06, +7 (83631) 6-33-40, +7 (83631) 6-35-55, +7 (83631) 6-09-10</t>
  </si>
  <si>
    <t>+7 (83631) 6-33-40</t>
  </si>
  <si>
    <t xml:space="preserve">contact@ytcvn.com  </t>
  </si>
  <si>
    <t>http://www.ivushka-v.ru/, http://www.ивушка-в.рф/</t>
  </si>
  <si>
    <t>48.361413 55.863359</t>
  </si>
  <si>
    <t>Йошкар-Олинское ш., 5, Волжск</t>
  </si>
  <si>
    <t>Спецодежда, Швейная фабрика</t>
  </si>
  <si>
    <t>48.35915 55.878072</t>
  </si>
  <si>
    <t>Палаир-Недвижимость</t>
  </si>
  <si>
    <t>Республика Марий Эл, Волжск г., ул. Промбаза, 1</t>
  </si>
  <si>
    <t>+7 (83631) 5-83-01, +7 (83631) 5-83-68, +7 (83631) 5-83-06, +7 (83631) 5-83-00</t>
  </si>
  <si>
    <t>+7 (83631) 5-83-11</t>
  </si>
  <si>
    <t xml:space="preserve">kafirkina@polair.com, vostruhina@polair.com, kachestvo@polair.com  </t>
  </si>
  <si>
    <t>http://www.polair.com/</t>
  </si>
  <si>
    <t>https://vk.com/polairgroup</t>
  </si>
  <si>
    <t>48.343851 55.914483</t>
  </si>
  <si>
    <t>2-я Новая ул., 92, Волжск</t>
  </si>
  <si>
    <t>+7 (83631) 6-33-10</t>
  </si>
  <si>
    <t>+7 (83631) 5-12-67</t>
  </si>
  <si>
    <t>48.354965 55.868522</t>
  </si>
  <si>
    <t>МБУДО Детская музыкальная школа г. Волжска</t>
  </si>
  <si>
    <t>ул. Кабанова, 8А, Волжск</t>
  </si>
  <si>
    <t>+7 (83631) 6-46-28, +7 (83631) 6-24-00</t>
  </si>
  <si>
    <t xml:space="preserve">sh.muzickalnaya2011@yandex.ru  </t>
  </si>
  <si>
    <t>http://vdmsh.mari-el.muzkult.ru/</t>
  </si>
  <si>
    <t>48.386039 55.878737</t>
  </si>
  <si>
    <t>Маркорм</t>
  </si>
  <si>
    <t>ул. Кузьмина, 16В, Волжск</t>
  </si>
  <si>
    <t>+7 (961) 379-99-53, +7 (963) 126-95-24, +7 (963) 126-95-18</t>
  </si>
  <si>
    <t xml:space="preserve">marcorm@bk.ru  </t>
  </si>
  <si>
    <t>http://markorm.ru/</t>
  </si>
  <si>
    <t>48.351371 55.865238</t>
  </si>
  <si>
    <t>Строительная ул., 3, Волжск</t>
  </si>
  <si>
    <t xml:space="preserve">volprint@yandex.ru </t>
  </si>
  <si>
    <t>48.365933 55.863369</t>
  </si>
  <si>
    <t>Железнодорожная Станция Волжск</t>
  </si>
  <si>
    <t>Вокзальная ул., 3, Волжск</t>
  </si>
  <si>
    <t>8 (800) 775-00-00, +7 (83631) 6-28-30</t>
  </si>
  <si>
    <t xml:space="preserve">info@rzd.ru, ticket@rzd.ru </t>
  </si>
  <si>
    <t>http://rzd.ru/</t>
  </si>
  <si>
    <t>48.361317 55.862936</t>
  </si>
  <si>
    <t>Молодёжный центр</t>
  </si>
  <si>
    <t>+7 (83631) 4-36-90, +7 (83631) 6-40-62</t>
  </si>
  <si>
    <t xml:space="preserve">mu_gck@mail.ru  </t>
  </si>
  <si>
    <t>http://gck.mari-el.muzkult.ru/</t>
  </si>
  <si>
    <t>48.33883 55.86995</t>
  </si>
  <si>
    <t>Сапсан</t>
  </si>
  <si>
    <t>ул. Кирова, 2А, Волжск</t>
  </si>
  <si>
    <t>+7 (909) 369-96-32</t>
  </si>
  <si>
    <t xml:space="preserve">b0f018c078774f089c4b2be155e032a8@app.getsentry.com </t>
  </si>
  <si>
    <t>Быстровозводимые здания, Облицовочные материалы</t>
  </si>
  <si>
    <t>48.345209 55.865682</t>
  </si>
  <si>
    <t>+7 (83631) 6-49-90</t>
  </si>
  <si>
    <t>48.376995 55.861033</t>
  </si>
  <si>
    <t>ГБПОУ Республики Марий Эл Строительно-промышленный колледж</t>
  </si>
  <si>
    <t>ул. Шестакова, 8, Волжск</t>
  </si>
  <si>
    <t>+7 (83631) 4-78-90, +7 (83631) 4-78-70, +7 (83631) 4-78-83</t>
  </si>
  <si>
    <t>+7 (83631) 4-78-70</t>
  </si>
  <si>
    <t>48.336954 55.869911</t>
  </si>
  <si>
    <t>Нотариус Габидуллина Т.Д.</t>
  </si>
  <si>
    <t>ул. Леваневского, 5, Волжск</t>
  </si>
  <si>
    <t>+7 (83631) 6-96-01</t>
  </si>
  <si>
    <t>48.374772 55.857609</t>
  </si>
  <si>
    <t>Волжская правда</t>
  </si>
  <si>
    <t>Советская ул., 29, Волжск</t>
  </si>
  <si>
    <t>+7 (83631) 6-30-15</t>
  </si>
  <si>
    <t>+7 (960) 098-80-89</t>
  </si>
  <si>
    <t xml:space="preserve">vpgazeta@yandex.ru, vpgazeta@mail.ru, pravdavp@mail.ru, respectvp@inbox.ru  </t>
  </si>
  <si>
    <t>https://www.vpgazeta.ru/</t>
  </si>
  <si>
    <t>https://vk.com/volzskaya_pravda</t>
  </si>
  <si>
    <t>https://twitter.com/VOLZHSK</t>
  </si>
  <si>
    <t>https://www.facebook.com/Volzhsk</t>
  </si>
  <si>
    <t>https://www.youtube.com/user/VPGAZETA</t>
  </si>
  <si>
    <t>https://www.instagram.com/vpgazeta/</t>
  </si>
  <si>
    <t>48.3881 55.857613</t>
  </si>
  <si>
    <t>Тим</t>
  </si>
  <si>
    <t>ул. Кузьмина, 16А, Волжск</t>
  </si>
  <si>
    <t>+7 (83631) 6-44-44</t>
  </si>
  <si>
    <t>48.347679 55.865738</t>
  </si>
  <si>
    <t>+7 (905) 008-32-02</t>
  </si>
  <si>
    <t xml:space="preserve">auto_legenda2008@mail.ru  </t>
  </si>
  <si>
    <t>https://vk.com/avtomir_volzhsk</t>
  </si>
  <si>
    <t>https://www.instagram.com/avtomir_volzhsk/</t>
  </si>
  <si>
    <t>48.387001 55.851057</t>
  </si>
  <si>
    <t>По Сигма</t>
  </si>
  <si>
    <t>ул. Дружбы, 23, Волжск</t>
  </si>
  <si>
    <t>48.342271 55.866591</t>
  </si>
  <si>
    <t>Чонаш</t>
  </si>
  <si>
    <t>Строительная ул., 19, Волжск</t>
  </si>
  <si>
    <t>8 (800) 700-23-05, +7 (83631) 6-02-83, +7 (83631) 6-02-94, +7 (83631) 5-13-10</t>
  </si>
  <si>
    <t xml:space="preserve">ooo-chonah@rambler.ru, arhipov@chonash.ru, nemcev@chonash.ru, glushkov@chonash.ru, safiullin@chonash.ru  </t>
  </si>
  <si>
    <t>http://chonash.ru/</t>
  </si>
  <si>
    <t>Бетон, бетонные изделия, ЖБИ, Производственное предприятие</t>
  </si>
  <si>
    <t>48.353085 55.863805</t>
  </si>
  <si>
    <t>Тара</t>
  </si>
  <si>
    <t>+7 (83631) 4-77-40, +7 (83631) 4-85-75, +7 (83631) 4-84-76</t>
  </si>
  <si>
    <t>+7 (987) 707-72-13</t>
  </si>
  <si>
    <t xml:space="preserve">tara.snab@yandex.ru  </t>
  </si>
  <si>
    <t>http://tarapolimer.com/</t>
  </si>
  <si>
    <t>Пластмассовые и пластиковые изделия, Полимерные материалы, Тара и упаковочные материалы, Утилизация отходов</t>
  </si>
  <si>
    <t>ТК Айсберг</t>
  </si>
  <si>
    <t>4-я Кленовая ул., 6, поселок Мамасево, Волжск</t>
  </si>
  <si>
    <t>+7 (905) 182-13-96</t>
  </si>
  <si>
    <t xml:space="preserve">volzhsk@aisberg-tk.ru, fkbz2008@ya.ru, holod1.79@mail.ru </t>
  </si>
  <si>
    <t>https://vk.com/id195824818</t>
  </si>
  <si>
    <t>48.343349 55.906153</t>
  </si>
  <si>
    <t>Бумеранг</t>
  </si>
  <si>
    <t>ул. 107-й Бригады, 5А, Волжск</t>
  </si>
  <si>
    <t>+7 (83631) 4-33-55</t>
  </si>
  <si>
    <t>48.381674 55.883315</t>
  </si>
  <si>
    <t>Магазин Dial</t>
  </si>
  <si>
    <t>48.359984 55.864557</t>
  </si>
  <si>
    <t>МастерСтрой</t>
  </si>
  <si>
    <t>ул. Гагарина, 169, Волжск</t>
  </si>
  <si>
    <t>+7 (906) 335-01-01</t>
  </si>
  <si>
    <t>48.344301 55.87691</t>
  </si>
  <si>
    <t>СП Спектр-Мелон</t>
  </si>
  <si>
    <t>+7 (961) 378-27-72</t>
  </si>
  <si>
    <t>Инструмент Плюс</t>
  </si>
  <si>
    <t>ул. Ленина, 55Г, Волжск</t>
  </si>
  <si>
    <t>+7 (83631) 6-22-39</t>
  </si>
  <si>
    <t>+7 (960) 099-48-46</t>
  </si>
  <si>
    <t>https://www.instagram.com/instrument_plus/</t>
  </si>
  <si>
    <t>48.359311 55.863954</t>
  </si>
  <si>
    <t>Винарь</t>
  </si>
  <si>
    <t>ул. Ленина, 10, Волжск</t>
  </si>
  <si>
    <t>48.38216 55.85996</t>
  </si>
  <si>
    <t>Волжская автошкола-центр ДОСААФ России РМЭ</t>
  </si>
  <si>
    <t>+7 (83631) 6-19-33, +7 (83631) 6-19-32, +7 (83631) 6-19-34</t>
  </si>
  <si>
    <t xml:space="preserve">rosto-vash@mail.ru </t>
  </si>
  <si>
    <t>https://досааф-волжск.рф/</t>
  </si>
  <si>
    <t>Автошкола, Дополнительное образование</t>
  </si>
  <si>
    <t>48.367809 55.866527</t>
  </si>
  <si>
    <t>Волжскспецмонтаж</t>
  </si>
  <si>
    <t>ул. Лермонтова, 1А, Волжск</t>
  </si>
  <si>
    <t>+7 (83631) 6-46-61</t>
  </si>
  <si>
    <t>Строительство дачных домов и коттеджей, Строительство и обслуживание инженерных сетей</t>
  </si>
  <si>
    <t>48.373685 55.865147</t>
  </si>
  <si>
    <t>ул. Ленина, 49, Волжск</t>
  </si>
  <si>
    <t>+7 (961) 373-91-55</t>
  </si>
  <si>
    <t>Комплектующие для окон, Окна, Остекление балконов и лоджий</t>
  </si>
  <si>
    <t>http://www.instagram.com/fant_okna/</t>
  </si>
  <si>
    <t>48.36507 55.86375</t>
  </si>
  <si>
    <t>Мебель-групп</t>
  </si>
  <si>
    <t>+7 (961) 373-43-00</t>
  </si>
  <si>
    <t>Корпусная мебель, Матрасы, Оптовая компания</t>
  </si>
  <si>
    <t>Волжский индустриальный технологический техникум</t>
  </si>
  <si>
    <t>ул. Щорса, 16, Волжск</t>
  </si>
  <si>
    <t>+7 (83631) 6-95-62, +7 (83631) 6-95-70, +7 (83631) 6-35-31, +7 (83631) 6-96-02, +7 (83631) 6-95-64</t>
  </si>
  <si>
    <t>+7 (933) 616-95-63</t>
  </si>
  <si>
    <t>+7 (83631) 6-95-70</t>
  </si>
  <si>
    <t xml:space="preserve">distant@rusacad.ru, info@rusacad.ru, priem@rusacad.ru, priem@74rap.ru, manager_rap@mail.ru  </t>
  </si>
  <si>
    <t>http://www.rusacad.ru/, http://edu.mari.ru/</t>
  </si>
  <si>
    <t>48.381992 55.854049</t>
  </si>
  <si>
    <t>ул. Мира, 22, Волжск</t>
  </si>
  <si>
    <t>48.342394 55.864724</t>
  </si>
  <si>
    <t>ул. Ленина, 56, Волжск</t>
  </si>
  <si>
    <t>+7 (83631) 6-38-12</t>
  </si>
  <si>
    <t>пн 07:00–14:00; вт-вс 07:00–16:00</t>
  </si>
  <si>
    <t>48.360431 55.865858</t>
  </si>
  <si>
    <t>Лопатино</t>
  </si>
  <si>
    <t>+7 (83631) 6-34-51</t>
  </si>
  <si>
    <t>48.361296 55.865194</t>
  </si>
  <si>
    <t>Городская библиотека № 2 г. Волжск</t>
  </si>
  <si>
    <t>ул. Кошкина, 20, Волжск</t>
  </si>
  <si>
    <t>+7 (83631) 4-79-68</t>
  </si>
  <si>
    <t>пн,вт,ср,чт,пт,вс 09:00–18:00</t>
  </si>
  <si>
    <t>48.393655 55.846987</t>
  </si>
  <si>
    <t>ул. Чапаева, 9, Волжск</t>
  </si>
  <si>
    <t>48.382902 55.85912</t>
  </si>
  <si>
    <t>+7 (83631) 4-79-68, +7 (83631) 6-49-39</t>
  </si>
  <si>
    <t>48.387512 55.857271</t>
  </si>
  <si>
    <t>Транспортная ул., 2Б, Волжск</t>
  </si>
  <si>
    <t>+7 (83631) 4-28-61, +7 (83631) 4-10-59, +7 (83631) 4-18-78, +7 (83631) 4-35-72, +7 (83631) 4-10-58, +7 (83631) 4-08-23, +7 (83631) 4-29-18</t>
  </si>
  <si>
    <t>+7 (968) 845-04-24</t>
  </si>
  <si>
    <t>http://adgio.ru/</t>
  </si>
  <si>
    <t>48.365996 55.888367</t>
  </si>
  <si>
    <t>Японский городовой</t>
  </si>
  <si>
    <t>ул. Ленина, 71, Волжск</t>
  </si>
  <si>
    <t>+7 (961) 333-91-91</t>
  </si>
  <si>
    <t>48.347491 55.868059</t>
  </si>
  <si>
    <t>ул. Палантая, 33, Волжск</t>
  </si>
  <si>
    <t>+7 (83631) 6-03-03</t>
  </si>
  <si>
    <t>пн-чт 08:00–17:00; пт 08:00–15:00</t>
  </si>
  <si>
    <t>48.366606 55.866056</t>
  </si>
  <si>
    <t>Медицинский центр Целебная сила</t>
  </si>
  <si>
    <t>ул. Федина, 1, Волжск</t>
  </si>
  <si>
    <t>+7 (83631) 5-18-18</t>
  </si>
  <si>
    <t>+7 (905) 008-45-56, +7 (905) 379-44-66</t>
  </si>
  <si>
    <t xml:space="preserve">ivajz@mail.ru  </t>
  </si>
  <si>
    <t>http://www.homeo.mari-el.ru/</t>
  </si>
  <si>
    <t>пн,вт,чт,пт 16:00–19:00</t>
  </si>
  <si>
    <t>https://vk.com/vaizian</t>
  </si>
  <si>
    <t>48.333468 55.863126</t>
  </si>
  <si>
    <t>Детский сад № 22 Аленький цветочек</t>
  </si>
  <si>
    <t>ул. Щербакова, 96А, Волжск</t>
  </si>
  <si>
    <t>+7 (83631) 6-97-00, +7 (83631) 4-79-75</t>
  </si>
  <si>
    <t xml:space="preserve">chestnut-sw@mail.ru  </t>
  </si>
  <si>
    <t>http://dou22cvetok.org.ru/</t>
  </si>
  <si>
    <t>48.348396 55.87976</t>
  </si>
  <si>
    <t>Радио Дача 94.7 FM</t>
  </si>
  <si>
    <t>+7 (83631) 6-37-77, +7 (8362) 48-38-00</t>
  </si>
  <si>
    <t>Энергополис</t>
  </si>
  <si>
    <t>+7 (83631) 6-18-63</t>
  </si>
  <si>
    <t>+7 (83631) 6-19-69</t>
  </si>
  <si>
    <t>http://pkp-energopolis.tiu.ru/</t>
  </si>
  <si>
    <t>Быстровозводимые здания, Строительная компания, Строительные и отделочные работы</t>
  </si>
  <si>
    <t>ПрофЛидер</t>
  </si>
  <si>
    <t>Лесозаводская ул., 2, Волжск</t>
  </si>
  <si>
    <t>+7 (917) 874-44-86</t>
  </si>
  <si>
    <t>48.387259 55.846876</t>
  </si>
  <si>
    <t>Торговый дом Волга Строй Путь</t>
  </si>
  <si>
    <t>+7 (843) 203-43-52, +7 (843) 203-43-62</t>
  </si>
  <si>
    <t>+7 (937) 577-50-50, +7 (927) 247-57-64, +7 (937) 625-43-52, +7 (927) 038-43-72, +7 (937) 625-43-62</t>
  </si>
  <si>
    <t xml:space="preserve">afedenko@rambler.ru </t>
  </si>
  <si>
    <t>https://волгастройпуть.рф/</t>
  </si>
  <si>
    <t>Железнодорожная техника и оборудование, Металлопрокат, Строительство и ремонт железнодорожных путей</t>
  </si>
  <si>
    <t>Канцлер</t>
  </si>
  <si>
    <t>ул. Дружбы, 3, Волжск</t>
  </si>
  <si>
    <t>+7 (906) 138-60-70</t>
  </si>
  <si>
    <t>48.335414 55.865562</t>
  </si>
  <si>
    <t>ГБУ РМЭ Волжская ЦГБ Стоматологическая поликлиника</t>
  </si>
  <si>
    <t>Молодёжная ул., 12, Волжск</t>
  </si>
  <si>
    <t>+7 (83631) 4-65-01, +7 (83631) 4-66-52, +7 (83631) 6-08-44</t>
  </si>
  <si>
    <t xml:space="preserve">volcgb@minzdrav12.ru, prok_voljsk@mail.ru, marivsk@sogaz-med.ru  </t>
  </si>
  <si>
    <t>http://volcgb.ru/</t>
  </si>
  <si>
    <t>пн-пт 07:00–17:00; сб 08:00–12:00</t>
  </si>
  <si>
    <t>48.345577 55.863773</t>
  </si>
  <si>
    <t>ул. Ленина, 67, Волжск</t>
  </si>
  <si>
    <t>+7 (960) 097-74-42, +7 (917) 713-92-73</t>
  </si>
  <si>
    <t>48.349188 55.867372</t>
  </si>
  <si>
    <t>Exclusive</t>
  </si>
  <si>
    <t>+7 (903) 050-30-00, +7 (917) 715-44-45, +7 (961) 333-10-00</t>
  </si>
  <si>
    <t xml:space="preserve">exclusivevolzsk@mail.ru  </t>
  </si>
  <si>
    <t>http://exclusivetaxi.ru/</t>
  </si>
  <si>
    <t>48.33734 55.870743</t>
  </si>
  <si>
    <t>+7 (960) 099-25-96</t>
  </si>
  <si>
    <t>48.381925 55.85997</t>
  </si>
  <si>
    <t xml:space="preserve">gk.informatika@mail.ru  </t>
  </si>
  <si>
    <t>http://www.3ndfl.ru/</t>
  </si>
  <si>
    <t>пн-пт 08:00–17:00; сб 10:00–15:00</t>
  </si>
  <si>
    <t>48.385292 55.855746</t>
  </si>
  <si>
    <t>+7 (83631) 4-05-16</t>
  </si>
  <si>
    <t>48.374418 55.882125</t>
  </si>
  <si>
    <t>ул. Дружбы, 23А, Волжск</t>
  </si>
  <si>
    <t>48.339662 55.866573</t>
  </si>
  <si>
    <t>Продуктовый магазин Форест</t>
  </si>
  <si>
    <t>+7 (83631) 4-22-75</t>
  </si>
  <si>
    <t>48.359429 55.900243</t>
  </si>
  <si>
    <t>ул. Свердлова, 25, Волжск</t>
  </si>
  <si>
    <t>+7 (83631) 6-14-28</t>
  </si>
  <si>
    <t>+7 (905) 008-80-00, +7 (903) 050-88-88, +7 (961) 335-44-44</t>
  </si>
  <si>
    <t>48.348973 55.873556</t>
  </si>
  <si>
    <t>Самоделкин</t>
  </si>
  <si>
    <t>ул. Орлова, 17, Волжск</t>
  </si>
  <si>
    <t>+7 (960) 093-15-92</t>
  </si>
  <si>
    <t>48.340396 55.871867</t>
  </si>
  <si>
    <t>ул. Ленина, 22А, Волжск</t>
  </si>
  <si>
    <t>8 (800) 505-13-95, +7 (83631) 4-98-19</t>
  </si>
  <si>
    <t>+7 (961) 376-32-28</t>
  </si>
  <si>
    <t xml:space="preserve">avtourist62@mail.ru  </t>
  </si>
  <si>
    <t>http://www.avtourist.info/</t>
  </si>
  <si>
    <t>48.376254 55.861317</t>
  </si>
  <si>
    <t>TakroVolga</t>
  </si>
  <si>
    <t>+7 (906) 138-70-76, +7 (961) 377-52-17</t>
  </si>
  <si>
    <t>48.341256 55.860868</t>
  </si>
  <si>
    <t>+7 (960) 091-07-09, +7 (961) 334-90-90</t>
  </si>
  <si>
    <t>Кондиционеры, Ремонт климатических систем</t>
  </si>
  <si>
    <t>48.382048 55.860085</t>
  </si>
  <si>
    <t>Альтаир</t>
  </si>
  <si>
    <t>ул. Ленина, 30, Волжск</t>
  </si>
  <si>
    <t>+7 (962) 589-45-09</t>
  </si>
  <si>
    <t>пн-пт 09:00–17:30; сб 09:00–15:00</t>
  </si>
  <si>
    <t>48.37461 55.861833</t>
  </si>
  <si>
    <t>УК Пульс</t>
  </si>
  <si>
    <t>ул. Дружбы, 14А, Волжск</t>
  </si>
  <si>
    <t>+7 (83631) 4-42-39, +7 (83631) 4-64-75</t>
  </si>
  <si>
    <t>+7 (961) 333-98-57</t>
  </si>
  <si>
    <t>48.337903 55.868243</t>
  </si>
  <si>
    <t>Профи</t>
  </si>
  <si>
    <t>ул. Шестакова, 101, Волжск</t>
  </si>
  <si>
    <t>+7 (83631) 6-89-99</t>
  </si>
  <si>
    <t>48.350644 55.879194</t>
  </si>
  <si>
    <t>Центральная районная поликлиника г. Волжск</t>
  </si>
  <si>
    <t>Коммунистическая ул., 10, Волжск</t>
  </si>
  <si>
    <t>+7 (83631) 4-61-09, +7 (83631) 4-59-09</t>
  </si>
  <si>
    <t>48.385124 55.854509</t>
  </si>
  <si>
    <t>Единый расчетный центр г. Волжск</t>
  </si>
  <si>
    <t>ул. Дружбы, 16, корп. 2, Волжск</t>
  </si>
  <si>
    <t>+7 (83631) 4-41-69</t>
  </si>
  <si>
    <t xml:space="preserve">mupercentr@mail.ru  </t>
  </si>
  <si>
    <t>http://erc12.ru/</t>
  </si>
  <si>
    <t>48.339837 55.870233</t>
  </si>
  <si>
    <t>ДОМакС</t>
  </si>
  <si>
    <t>ул. Ленина, 21, Волжск</t>
  </si>
  <si>
    <t>+7 (83631) 6-32-03</t>
  </si>
  <si>
    <t>+7 (909) 369-39-39</t>
  </si>
  <si>
    <t>Изделия из камня, Корпусная мебель, Магазин мебели, Мебель на заказ, Окна</t>
  </si>
  <si>
    <t>48.377065 55.860753</t>
  </si>
  <si>
    <t>Строительная ул., 10Б, Волжск</t>
  </si>
  <si>
    <t>+7 (961) 336-31-76, +7 (902) 465-71-15</t>
  </si>
  <si>
    <t>Автосервис, автотехцентр, Магазин автозапчастей и автотоваров, Сварочные работы</t>
  </si>
  <si>
    <t>http://vk.com/avtovolzhsk</t>
  </si>
  <si>
    <t>48.368946 55.864578</t>
  </si>
  <si>
    <t>+7 (83631) 4-78-81</t>
  </si>
  <si>
    <t>48.339887 55.8703</t>
  </si>
  <si>
    <t>Детская художественная школа города Волжска, филиал</t>
  </si>
  <si>
    <t>ул. Кабанова, 10А, Волжск</t>
  </si>
  <si>
    <t>+7 (83631) 4-04-41</t>
  </si>
  <si>
    <t xml:space="preserve">dxsh_voljsk@mail.ru, rukovoditel-12@mail.ru  </t>
  </si>
  <si>
    <t>http://vdxsh.mari-el.muzkult.ru/</t>
  </si>
  <si>
    <t>пн-пт 13:30–18:30; сб 09:00–15:00</t>
  </si>
  <si>
    <t>48.385628 55.87848</t>
  </si>
  <si>
    <t>ул. Кузьмина, 16, Волжск</t>
  </si>
  <si>
    <t>+7 (960) 093-35-66</t>
  </si>
  <si>
    <t>Агентство недвижимости, Изыскательские работы, Кадастровые работы</t>
  </si>
  <si>
    <t>48.346416 55.865032</t>
  </si>
  <si>
    <t>+7 (83631) 5-10-97, +7 (83631) 6-94-15, +7 (83631) 5-10-56, +7 (83631) 6-20-49, +7 (83631) 6-96-15, +7 (83631) 5-10-68, +7 (83631) 6-01-10</t>
  </si>
  <si>
    <t xml:space="preserve">yunona2001@yandex.ru  </t>
  </si>
  <si>
    <t>http://yunona-mebel.ru/</t>
  </si>
  <si>
    <t>Корпусная мебель, Мебельная фабрика</t>
  </si>
  <si>
    <t>Мовен НН</t>
  </si>
  <si>
    <t>2-я Промышленная ул., 7, Волжск</t>
  </si>
  <si>
    <t>+7 (83631) 4-30-13, +7 (83631) 4-30-18</t>
  </si>
  <si>
    <t>Металлоконструкции, Системы вентиляции</t>
  </si>
  <si>
    <t>48.350679 55.913586</t>
  </si>
  <si>
    <t>Комиссионный магазин Алтын</t>
  </si>
  <si>
    <t>+7 (961) 374-03-03</t>
  </si>
  <si>
    <t>Комиссионный магазин, Ломбард</t>
  </si>
  <si>
    <t>48.349828 55.867064</t>
  </si>
  <si>
    <t>Первый цветочный</t>
  </si>
  <si>
    <t>ул. Шестакова, 80, Волжск</t>
  </si>
  <si>
    <t>+7 (960) 099-29-82, +7 (961) 376-23-66, +7 (961) 374-01-71</t>
  </si>
  <si>
    <t>48.35148 55.879095</t>
  </si>
  <si>
    <t>Арго Волжск</t>
  </si>
  <si>
    <t>ул. Дружбы, 14, Волжск</t>
  </si>
  <si>
    <t>+7 (903) 326-11-99, +7 (927) 884-71-50</t>
  </si>
  <si>
    <t>48.33804 55.868784</t>
  </si>
  <si>
    <t>ул. Дружбы, 10, Волжск</t>
  </si>
  <si>
    <t>+7 (961) 336-79-55</t>
  </si>
  <si>
    <t>48.337746 55.86737</t>
  </si>
  <si>
    <t>Компьютерный мир</t>
  </si>
  <si>
    <t>+7 (961) 374-51-15</t>
  </si>
  <si>
    <t xml:space="preserve">yalchic@yandex.ru </t>
  </si>
  <si>
    <t>http://yalchic.ru/</t>
  </si>
  <si>
    <t>пн-чт 10:00–22:00; пт,сб 10:00–21:00</t>
  </si>
  <si>
    <t>48.349938 55.867174</t>
  </si>
  <si>
    <t>АКБ центр</t>
  </si>
  <si>
    <t>Заводская ул., 11, Волжск</t>
  </si>
  <si>
    <t>+7 (905) 008-41-41, +7 (909) 369-88-77</t>
  </si>
  <si>
    <t>Автокосметика, автохимия, Аккумуляторы и зарядные устройства, Магазин автозапчастей и автотоваров, Смазочные материалы</t>
  </si>
  <si>
    <t>https://www.instagram.com/akb_centr/</t>
  </si>
  <si>
    <t>48.3365 55.860703</t>
  </si>
  <si>
    <t>Master Beauty</t>
  </si>
  <si>
    <t>+7 (960) 091-47-47</t>
  </si>
  <si>
    <t>http://vk.com/id272485277</t>
  </si>
  <si>
    <t>48.3707 55.862802</t>
  </si>
  <si>
    <t>СереГа</t>
  </si>
  <si>
    <t>48.357036 55.865521</t>
  </si>
  <si>
    <t>БухучетЦентр</t>
  </si>
  <si>
    <t>ул. Матюшенко, 4А, Волжск</t>
  </si>
  <si>
    <t>+7 (83631) 5-10-70</t>
  </si>
  <si>
    <t>+7 (917) 719-57-95</t>
  </si>
  <si>
    <t>48.372778 55.864045</t>
  </si>
  <si>
    <t>Агни Металло Искусство</t>
  </si>
  <si>
    <t>Промышленная ул., 1А, Волжск</t>
  </si>
  <si>
    <t>+7 (905) 008-56-56</t>
  </si>
  <si>
    <t xml:space="preserve">89050085656@yandex.ru, agni477@yandex.ru </t>
  </si>
  <si>
    <t>http://агни-ковка.рф/</t>
  </si>
  <si>
    <t>Кованые изделия, Металлические заборы и ограждения, Садовая мебель</t>
  </si>
  <si>
    <t>48.345685 55.909469</t>
  </si>
  <si>
    <t>Детский сад № 1 Одуванчик</t>
  </si>
  <si>
    <t>Строительная ул., 9, Волжск</t>
  </si>
  <si>
    <t>+7 (83631) 4-99-97, +7 (83631) 4-79-75</t>
  </si>
  <si>
    <t xml:space="preserve">oduvan4ik50@mail.ru, avolzhsk@mail.ru  </t>
  </si>
  <si>
    <t>http://odyvanthic1.narod.ru/, http://dou1.org.ru/</t>
  </si>
  <si>
    <t>48.366183 55.864046</t>
  </si>
  <si>
    <t>ГБУ РМЭ Комплексный центр социального обслуживания населения в городе Волжске</t>
  </si>
  <si>
    <t>ул. Щорса, 13, Волжск</t>
  </si>
  <si>
    <t>+7 (83631) 4-97-41, +7 (83631) 6-20-81, +7 (83631) 4-97-43</t>
  </si>
  <si>
    <t xml:space="preserve">ktssonvolzhsk@mail.ru, minso@mari-el.ru, informsreda@yandex.ru  </t>
  </si>
  <si>
    <t>http://mari-el.gov.ru/minsoc/kcson_gvolgsk/</t>
  </si>
  <si>
    <t>48.378006 55.856204</t>
  </si>
  <si>
    <t>Вита-Мебель</t>
  </si>
  <si>
    <t>8 (800) 700-41-33</t>
  </si>
  <si>
    <t xml:space="preserve">alliancemebel96@mail.ru  </t>
  </si>
  <si>
    <t>http://vitae-mebel.ru/</t>
  </si>
  <si>
    <t>Строительная ул., 1, Волжск</t>
  </si>
  <si>
    <t>+7 (961) 333-83-73</t>
  </si>
  <si>
    <t xml:space="preserve">support@1gb.ru </t>
  </si>
  <si>
    <t>Изготовление витражей, Стекло, стекольная продукция</t>
  </si>
  <si>
    <t>https://vk.com/club60499892</t>
  </si>
  <si>
    <t>48.364736 55.86193</t>
  </si>
  <si>
    <t>Mobil+</t>
  </si>
  <si>
    <t>+7 (909) 367-78-88</t>
  </si>
  <si>
    <t>Компьютерный ремонт и услуги, Ремонт телефонов, Ремонт фотоаппаратов, Товары для мобильных телефонов</t>
  </si>
  <si>
    <t>48.361336 55.865142</t>
  </si>
  <si>
    <t>Волжская централизованная библиотечная система</t>
  </si>
  <si>
    <t>ул. Щербакова, 20, Волжск</t>
  </si>
  <si>
    <t>+7 (83631) 4-79-61, +7 (83631) 4-79-68, +7 (83631) 4-34-84</t>
  </si>
  <si>
    <t>http://mari-el.gov.ru/gorvol/vlibrary/pages/main.aspx</t>
  </si>
  <si>
    <t>пн-пт 08:00–18:00; вс 09:00–16:00</t>
  </si>
  <si>
    <t>48.33505 55.872945</t>
  </si>
  <si>
    <t>OralPlus</t>
  </si>
  <si>
    <t>ул. Шестакова, 5Б, Волжск</t>
  </si>
  <si>
    <t>+7 (83631) 4-42-55</t>
  </si>
  <si>
    <t>+7 (961) 377-00-90</t>
  </si>
  <si>
    <t xml:space="preserve">info@oralplus.ru </t>
  </si>
  <si>
    <t>48.332092 55.868725</t>
  </si>
  <si>
    <t>Меридиан плюс</t>
  </si>
  <si>
    <t>ул. Грибоедова, 1Б, Волжск</t>
  </si>
  <si>
    <t>+7 (83631) 4-83-34</t>
  </si>
  <si>
    <t>48.315429 55.878952</t>
  </si>
  <si>
    <t>БукетБутик</t>
  </si>
  <si>
    <t xml:space="preserve">ianakerimova@mail.ru </t>
  </si>
  <si>
    <t>48.335066 55.869885</t>
  </si>
  <si>
    <t>Шины u0026 диски</t>
  </si>
  <si>
    <t>ул. 107-й Бригады, 5, Волжск</t>
  </si>
  <si>
    <t>8 (800) 100-17-41, +7 (83631) 4-04-36</t>
  </si>
  <si>
    <t xml:space="preserve">info@4tochki.ru, payments@4tochki.ru  </t>
  </si>
  <si>
    <t>http://www.4tochki.ru/</t>
  </si>
  <si>
    <t>Запчасти для мототехники, Магазин автозапчастей и автотоваров, Производство и оптовая продажа автозапчастей, Шиномонтаж, Шины и диски</t>
  </si>
  <si>
    <t>https://vk.com/4tochki_carclub</t>
  </si>
  <si>
    <t>48.381778 55.88305</t>
  </si>
  <si>
    <t>Настоящие двери</t>
  </si>
  <si>
    <t>ул. Ленина, 17, Волжск</t>
  </si>
  <si>
    <t>+7 (83631) 6-00-90</t>
  </si>
  <si>
    <t>+7 (937) 111-33-44, +7 (961) 333-01-81</t>
  </si>
  <si>
    <t>48.379173 55.860146</t>
  </si>
  <si>
    <t>Сантехмас</t>
  </si>
  <si>
    <t>+7 (905) 008-54-13, +7 (909) 308-05-34, +7 (963) 127-69-47</t>
  </si>
  <si>
    <t xml:space="preserve">migser@bk.ru </t>
  </si>
  <si>
    <t>http://santehmas.ru/</t>
  </si>
  <si>
    <t>48.371127 55.859455</t>
  </si>
  <si>
    <t>Волжский центр подготовки кадров</t>
  </si>
  <si>
    <t>8 (800) 700-01-02</t>
  </si>
  <si>
    <t xml:space="preserve">zvonok@ptm12.ru  </t>
  </si>
  <si>
    <t>http://ptm12.ru/</t>
  </si>
  <si>
    <t>Безопасность труда, Учебный центр, Центр повышения квалификации</t>
  </si>
  <si>
    <t>Салон дверей Айрон</t>
  </si>
  <si>
    <t>ул. Ленина, 15, Волжск</t>
  </si>
  <si>
    <t>+7 (960) 090-36-15, +7 (927) 039-35-66</t>
  </si>
  <si>
    <t>48.380324 55.859746</t>
  </si>
  <si>
    <t>Альпари</t>
  </si>
  <si>
    <t>ул. Ленина, 62Б, Волжск</t>
  </si>
  <si>
    <t>8 (800) 700-67-16</t>
  </si>
  <si>
    <t>https://vk.com/tkalpari</t>
  </si>
  <si>
    <t>48.355413 55.867076</t>
  </si>
  <si>
    <t>ул. Шестакова, 97, Волжск</t>
  </si>
  <si>
    <t>+7 (905) 008-58-51</t>
  </si>
  <si>
    <t>Электромонтажные и электроустановочные изделия, Электронные приборы и компоненты</t>
  </si>
  <si>
    <t>48.348894 55.878111</t>
  </si>
  <si>
    <t>Волжские пассажирские перевозки</t>
  </si>
  <si>
    <t>+7 (83631) 6-12-85, +7 (83631) 6-38-11, +7 (83631) 4-99-98, +7 (83631) 6-08-71, +7 (83631) 6-28-98, +7 (83631) 6-97-94, +7 (83631) 6-14-83</t>
  </si>
  <si>
    <t>+7 (83631) 6-97-93</t>
  </si>
  <si>
    <t xml:space="preserve">web@studia05.ru </t>
  </si>
  <si>
    <t>http://www.radbus.ru/</t>
  </si>
  <si>
    <t>Автобусные междугородные перевозки, Автомобильные грузоперевозки, Автотранспортное предприятие, автобаза, Заказ автомобилей</t>
  </si>
  <si>
    <t>Амбо</t>
  </si>
  <si>
    <t>+7 (83631) 4-21-51</t>
  </si>
  <si>
    <t>+7 (903) 326-47-77, +7 (917) 716-65-69</t>
  </si>
  <si>
    <t xml:space="preserve">ambo_w@mail.ru, support@pulscen.ru, u003esupport@pulscen.ru  </t>
  </si>
  <si>
    <t>https://ambo1.pulscen.ru/, https://volzhsk.flagma.ru/6247/obyavleniya.html</t>
  </si>
  <si>
    <t>Напольные покрытия, Полимерные материалы, Тепличное оборудование</t>
  </si>
  <si>
    <t>https://vk.com/club144490658</t>
  </si>
  <si>
    <t>48.364675 55.864358</t>
  </si>
  <si>
    <t>Дворец творчества детей и молодежи</t>
  </si>
  <si>
    <t>ул. Мира, 21А, Волжск</t>
  </si>
  <si>
    <t>+7 (83631) 4-65-35, +7 (83631) 4-68-79, +7 (83631) 4-79-75</t>
  </si>
  <si>
    <t xml:space="preserve">v-dtdim@mail.ru, nata2552@mail.ru  </t>
  </si>
  <si>
    <t>http://dtdim.org.ru/</t>
  </si>
  <si>
    <t>48.340703 55.864881</t>
  </si>
  <si>
    <t>Провизия</t>
  </si>
  <si>
    <t>ул. Ленина, 23, Волжск</t>
  </si>
  <si>
    <t>48.376468 55.860842</t>
  </si>
  <si>
    <t>Азбука Жилья</t>
  </si>
  <si>
    <t>+7 (961) 375-80-88, +7 (961) 375-81-08, +7 (906) 138-01-38</t>
  </si>
  <si>
    <t>Агентство недвижимости, Ипотечное агентство</t>
  </si>
  <si>
    <t>48.365912 55.86333</t>
  </si>
  <si>
    <t>+7 (960) 098-99-63, +7 (917) 705-07-67</t>
  </si>
  <si>
    <t>48.349898 55.867091</t>
  </si>
  <si>
    <t>Студия маникюра Спиркова</t>
  </si>
  <si>
    <t>ул. Шестакова, 15, Волжск</t>
  </si>
  <si>
    <t>+7 (960) 090-41-11</t>
  </si>
  <si>
    <t>48.337845 55.871577</t>
  </si>
  <si>
    <t>Аутсорсинговая компания Экипаж</t>
  </si>
  <si>
    <t>+7 (83631) 4-05-94</t>
  </si>
  <si>
    <t>пн-чт 08:30–16:00; пт 08:30–15:00</t>
  </si>
  <si>
    <t>48.362353 55.887058</t>
  </si>
  <si>
    <t>Атмосфера уюта</t>
  </si>
  <si>
    <t>+7 (961) 333-60-00</t>
  </si>
  <si>
    <t>https://vk.com/id295728147</t>
  </si>
  <si>
    <t>48.359573 55.86444</t>
  </si>
  <si>
    <t>Голоса птиц</t>
  </si>
  <si>
    <t>+7 (83631) 6-14-15</t>
  </si>
  <si>
    <t>48.359959 55.866038</t>
  </si>
  <si>
    <t>Волжский реабилитационный центр для детей и подростков с ограниченными возможностями</t>
  </si>
  <si>
    <t>ул. Орджоникидзе, 4/2, Волжск</t>
  </si>
  <si>
    <t>+7 (83631) 4-33-02, +7 (83631) 4-11-13</t>
  </si>
  <si>
    <t xml:space="preserve">volzhsky.reabil@yandex.ru, informsreda@yandex.ru  </t>
  </si>
  <si>
    <t>http://mari-el.gov.ru/minsoc/d_volgskrc_sov/Pages/about.aspx</t>
  </si>
  <si>
    <t>Детский дом, Медицинская реабилитация, Социальная служба</t>
  </si>
  <si>
    <t>48.377777 55.881505</t>
  </si>
  <si>
    <t>Гостиничный комплекс Волжский</t>
  </si>
  <si>
    <t>ул. Ленина, 18, Волжск</t>
  </si>
  <si>
    <t>+7 (83631) 6-94-57, +7 (83631) 6-94-59</t>
  </si>
  <si>
    <t>48.378531 55.860745</t>
  </si>
  <si>
    <t>ДокторАвто</t>
  </si>
  <si>
    <t>+7 (909) 367-50-00</t>
  </si>
  <si>
    <t>48.381829 55.860692</t>
  </si>
  <si>
    <t>Библиотека № 5</t>
  </si>
  <si>
    <t>+7 (906) 139-88-83</t>
  </si>
  <si>
    <t>пн-пт 10:00–18:00, перерыв 12:00–13:00; вс 09:00–16:00, перерыв 12:00–13:00</t>
  </si>
  <si>
    <t>48.351494 55.87908</t>
  </si>
  <si>
    <t>Магазин Ткани</t>
  </si>
  <si>
    <t>ул. Шестакова, 6Б, Волжск</t>
  </si>
  <si>
    <t>+7 (906) 138-31-91</t>
  </si>
  <si>
    <t>48.335995 55.86871</t>
  </si>
  <si>
    <t>+7 (961) 377-47-97, +7 (905) 379-70-09</t>
  </si>
  <si>
    <t xml:space="preserve">profi-112@mail.ru </t>
  </si>
  <si>
    <t>пн-пт 09:00–18:00; сб 09:00–17:00; вс 09:00–13:00</t>
  </si>
  <si>
    <t>48.386936 55.850949</t>
  </si>
  <si>
    <t>ул. Комарова, 21, Волжск</t>
  </si>
  <si>
    <t>+7 (83631) 4-41-77</t>
  </si>
  <si>
    <t>48.337803 55.86039</t>
  </si>
  <si>
    <t>+7 (83631) 6-27-15</t>
  </si>
  <si>
    <t>+7 (905) 379-77-11</t>
  </si>
  <si>
    <t>МУП Автобаза ЖКХ</t>
  </si>
  <si>
    <t>ул. Прохорова, 116Б, Волжск</t>
  </si>
  <si>
    <t>+7 (961) 336-33-33, +7 (917) 070-33-33</t>
  </si>
  <si>
    <t>Заказ автомобилей, Туроператор</t>
  </si>
  <si>
    <t>48.353302 55.880197</t>
  </si>
  <si>
    <t>4-я Промышленная ул., 8, Волжск</t>
  </si>
  <si>
    <t>+7 (961) 333-36-36</t>
  </si>
  <si>
    <t xml:space="preserve">ooopartner12@yandex.ru, ov.partner@yandex.ru  </t>
  </si>
  <si>
    <t>http://partner12.ru/</t>
  </si>
  <si>
    <t>Металлоконструкции, Производственное предприятие, Промышленное строительство</t>
  </si>
  <si>
    <t>https://www.instagram.com/ooopartner12?r=nametag</t>
  </si>
  <si>
    <t>48.342153 55.924259</t>
  </si>
  <si>
    <t>Адвокат А. М. Купцов</t>
  </si>
  <si>
    <t>+7 (905) 182-93-10</t>
  </si>
  <si>
    <t>48.339732 55.870198</t>
  </si>
  <si>
    <t>МУ ДО Црфкс</t>
  </si>
  <si>
    <t>ул. Грибоедова, 2, Волжск</t>
  </si>
  <si>
    <t>+7 (83631) 4-36-15, +7 (83631) 4-37-09</t>
  </si>
  <si>
    <t>http://sportshkola-vol.com.ru/</t>
  </si>
  <si>
    <t>48.324615 55.87581</t>
  </si>
  <si>
    <t>Детский сад № 28 Хрусталик</t>
  </si>
  <si>
    <t>ул. Щербакова, 9А, Волжск</t>
  </si>
  <si>
    <t>+7 (83631) 4-94-44, +7 (83631) 4-96-32</t>
  </si>
  <si>
    <t>http://dou28hrustalik.org.ru/</t>
  </si>
  <si>
    <t>48.332322 55.872377</t>
  </si>
  <si>
    <t>+7 (83631) 6-44-24</t>
  </si>
  <si>
    <t>48.350727 55.879284</t>
  </si>
  <si>
    <t>ул. Ленина, 44, Волжск</t>
  </si>
  <si>
    <t>+7 (906) 139-65-21</t>
  </si>
  <si>
    <t>48.369442 55.863337</t>
  </si>
  <si>
    <t>Лидер Мебель</t>
  </si>
  <si>
    <t>8 (800) 350-30-54, +7 (83631) 6-20-20</t>
  </si>
  <si>
    <t xml:space="preserve">info@lider-mebel.ru, gula@lider-mebel.ru  </t>
  </si>
  <si>
    <t>http://kazan.lider-mebel.ru/</t>
  </si>
  <si>
    <t>Магазин мебели, Мебель для кухни, Мебельная фабрика</t>
  </si>
  <si>
    <t>https://vk.com/lidermebelru</t>
  </si>
  <si>
    <t>https://twitter.com/lidermebel</t>
  </si>
  <si>
    <t>https://www.facebook.com/lidermebelru</t>
  </si>
  <si>
    <t>Агентство недвижимости Ника</t>
  </si>
  <si>
    <t>+7 (83631) 4-99-33</t>
  </si>
  <si>
    <t>+7 (962) 590-07-60</t>
  </si>
  <si>
    <t>пн-пт 09:00–18:00; сб 11:00–13:00</t>
  </si>
  <si>
    <t>48.372818 55.863907</t>
  </si>
  <si>
    <t>Печати и штампы</t>
  </si>
  <si>
    <t>+7 (83631) 6-93-51</t>
  </si>
  <si>
    <t>48.371321 55.862705</t>
  </si>
  <si>
    <t>Дом Книги</t>
  </si>
  <si>
    <t>Зелёная ул., 3В, Волжск</t>
  </si>
  <si>
    <t>+7 (843) 272-73-73, +7 (83631) 4-98-23</t>
  </si>
  <si>
    <t>https://www.instagram.com/domknigiknigaplus</t>
  </si>
  <si>
    <t>48.378186 55.861418</t>
  </si>
  <si>
    <t>ул. Шестакова, 16, Волжск</t>
  </si>
  <si>
    <t>48.339334 55.871541</t>
  </si>
  <si>
    <t>ТоргСервис</t>
  </si>
  <si>
    <t>+7 (83631) 4-99-12</t>
  </si>
  <si>
    <t>Кассовые аппараты и расходные материалы, Промышленное холодильное оборудование, Ремонт кассовых аппаратов</t>
  </si>
  <si>
    <t>пн-пт 08:00–17:00, перерыв 11:30–13:00</t>
  </si>
  <si>
    <t>48.374815 55.857721</t>
  </si>
  <si>
    <t>Магазин автозапчастей Газель</t>
  </si>
  <si>
    <t>ул. Матюшенко, 10, Волжск</t>
  </si>
  <si>
    <t>+7 (906) 336-70-10</t>
  </si>
  <si>
    <t>48.372261 55.86552</t>
  </si>
  <si>
    <t>+7 (83631) 6-39-39</t>
  </si>
  <si>
    <t>48.359163 55.863921</t>
  </si>
  <si>
    <t>Меон</t>
  </si>
  <si>
    <t>ул. Чапаева, 20, Волжск</t>
  </si>
  <si>
    <t>+7 (83631) 6-05-75</t>
  </si>
  <si>
    <t>+7 (937) 112-22-20, +7 (967) 756-77-70</t>
  </si>
  <si>
    <t xml:space="preserve">mebel-meon@mail.ru, aleksandr110167@mail.ru, mebel-meon-m4@mail.ru, mebel-meon-m1@mail.ru </t>
  </si>
  <si>
    <t>Магазин мебели, Мебель для кухни, Мебельная фабрика, Шкафы-купе</t>
  </si>
  <si>
    <t>48.384537 55.861135</t>
  </si>
  <si>
    <t>Салон окон и дверей Альма</t>
  </si>
  <si>
    <t>ул. Ленина, 58Ж/1, Волжск</t>
  </si>
  <si>
    <t>+7 (962) 590-06-69</t>
  </si>
  <si>
    <t xml:space="preserve">salonokonzd@mail.ru  </t>
  </si>
  <si>
    <t>http://альма-рт.рф/</t>
  </si>
  <si>
    <t>https://vk.com/salonoknadverizd</t>
  </si>
  <si>
    <t>https://www.instagram.com/oknadverialma</t>
  </si>
  <si>
    <t>48.359645 55.865617</t>
  </si>
  <si>
    <t>Волжсклит</t>
  </si>
  <si>
    <t>Республика Марий Эл, Волжск, ул. Промбаза, 1</t>
  </si>
  <si>
    <t>+7 (83631) 4-35-74</t>
  </si>
  <si>
    <t xml:space="preserve">kontur16@yandex.ru </t>
  </si>
  <si>
    <t>Литейное производство</t>
  </si>
  <si>
    <t>48.346726 55.913934</t>
  </si>
  <si>
    <t>ул. Либкнехта, 127А, Волжск</t>
  </si>
  <si>
    <t>+7 (83631) 6-91-34</t>
  </si>
  <si>
    <t>Двери, Металлоизделия, Окна</t>
  </si>
  <si>
    <t>48.347553 55.878829</t>
  </si>
  <si>
    <t>+7 (83631) 4-51-15</t>
  </si>
  <si>
    <t>+7 (905) 182-10-09</t>
  </si>
  <si>
    <t xml:space="preserve">ldc-puls@mail.ru, ldc-peuls@mail.ru  </t>
  </si>
  <si>
    <t>http://www.ldc-puls.ru/</t>
  </si>
  <si>
    <t>пн-пт 17:00–20:00; сб 09:00–12:00</t>
  </si>
  <si>
    <t>Модерниссимо</t>
  </si>
  <si>
    <t>+7 (83631) 6-02-35</t>
  </si>
  <si>
    <t>48.364773 55.864236</t>
  </si>
  <si>
    <t>Зелёная ул., 3А, корп. 1, Волжск</t>
  </si>
  <si>
    <t>+7 (83631) 6-18-54</t>
  </si>
  <si>
    <t>48.377737 55.861469</t>
  </si>
  <si>
    <t>Гастроном № 1</t>
  </si>
  <si>
    <t>ул. Ленина, 8, Волжск</t>
  </si>
  <si>
    <t>+7 (83631) 5-11-49</t>
  </si>
  <si>
    <t>48.383854 55.85989</t>
  </si>
  <si>
    <t>Остров сокровищ</t>
  </si>
  <si>
    <t>Октябрьская ул., 45, Волжск</t>
  </si>
  <si>
    <t>+7 (960) 098-23-49</t>
  </si>
  <si>
    <t>Магазин одежды, Торговый центр, Универмаг</t>
  </si>
  <si>
    <t>48.358975 55.866376</t>
  </si>
  <si>
    <t>ГБУ РМЭ Волжская городская центральная больница</t>
  </si>
  <si>
    <t>ул. Вавилова, 1А, Волжск</t>
  </si>
  <si>
    <t>+7 (83631) 4-64-65, +7 (83631) 4-68-65, +7 (83631) 4-69-20</t>
  </si>
  <si>
    <t>http://v1a.polzdv.ru/</t>
  </si>
  <si>
    <t>48.33804 55.864465</t>
  </si>
  <si>
    <t>ул. Карла Маркса, 2А, Волжск</t>
  </si>
  <si>
    <t>+7 (961) 378-32-33</t>
  </si>
  <si>
    <t>48.370697 55.859265</t>
  </si>
  <si>
    <t>Фотостудия Виктория</t>
  </si>
  <si>
    <t>+7 (905) 182-33-88</t>
  </si>
  <si>
    <t>пн,ср 08:00–18:00; пт 08:00–17:00; сб 09:00–13:00</t>
  </si>
  <si>
    <t>48.352221 55.866773</t>
  </si>
  <si>
    <t>ул. Ленина, 61, Волжск</t>
  </si>
  <si>
    <t>48.354253 55.866334</t>
  </si>
  <si>
    <t>+7 (987) 707-14-61</t>
  </si>
  <si>
    <t>48.356878 55.865369</t>
  </si>
  <si>
    <t>Восток-Запад</t>
  </si>
  <si>
    <t>Зелёная ул., 3А, Волжск</t>
  </si>
  <si>
    <t>+7 (83631) 6-39-63</t>
  </si>
  <si>
    <t>+7 (905) 182-46-56</t>
  </si>
  <si>
    <t>Матур мебель</t>
  </si>
  <si>
    <t>ул. Грибоедова, 4А, Волжск</t>
  </si>
  <si>
    <t>+7 (960) 091-02-44, +7 (962) 590-71-81</t>
  </si>
  <si>
    <t>Жалюзи и рулонные шторы, Корпусная мебель, Мебель на заказ, Окна</t>
  </si>
  <si>
    <t>48.329093 55.874016</t>
  </si>
  <si>
    <t>Региональная общественная организация РМЭ Союз потребителей</t>
  </si>
  <si>
    <t>ул. Ленина, 51, Волжск</t>
  </si>
  <si>
    <t>+7 (83631) 6-93-60</t>
  </si>
  <si>
    <t>48.363507 55.864</t>
  </si>
  <si>
    <t>Магазин стройматериалов</t>
  </si>
  <si>
    <t>8 (800) 234-45-34</t>
  </si>
  <si>
    <t>+7 (906) 320-83-93</t>
  </si>
  <si>
    <t xml:space="preserve">info@ok-stanok.ru, am@ok-stanok.ru, kl@ok-stanok.ru, is@ok-stanok.ru  </t>
  </si>
  <si>
    <t>http://volgsk1.ok-stanok.ru/</t>
  </si>
  <si>
    <t>Кровля и кровельные материалы, Строительный инструмент, Строительный магазин, Сухие строительные смеси</t>
  </si>
  <si>
    <t>Магазин Автозапчасти</t>
  </si>
  <si>
    <t>ул. Гагарина, 23А, Волжск</t>
  </si>
  <si>
    <t>+7 (960) 099-98-89, +7 (960) 095-71-49</t>
  </si>
  <si>
    <t>48.369366 55.864887</t>
  </si>
  <si>
    <t>Фабрика мебели Скиф</t>
  </si>
  <si>
    <t>ул. Промбаза, 1, Волжск</t>
  </si>
  <si>
    <t>+7 (83631) 4-34-34, +7 (83631) 4-33-23</t>
  </si>
  <si>
    <t xml:space="preserve">info@skif-mebel.ru  </t>
  </si>
  <si>
    <t>http://skif-mebel.ru/</t>
  </si>
  <si>
    <t>48.344194 55.916308</t>
  </si>
  <si>
    <t>Мебельрай</t>
  </si>
  <si>
    <t>ул. Тимирязева, 1А, Волжск</t>
  </si>
  <si>
    <t>+7 (960) 099-00-91, +7 (917) 701-33-46</t>
  </si>
  <si>
    <t>http://мебельрай.com/, http://matras-mebel.com/</t>
  </si>
  <si>
    <t>http://vk.com/kids_matras</t>
  </si>
  <si>
    <t>48.31612 55.887387</t>
  </si>
  <si>
    <t>ул. Чкалова, 5, Волжск</t>
  </si>
  <si>
    <t>+7 (83631) 4-62-13, +7 (83631) 4-62-06, +7 (83631) 4-62-08</t>
  </si>
  <si>
    <t>Баня, Прачечная</t>
  </si>
  <si>
    <t>48.38925 55.851907</t>
  </si>
  <si>
    <t>Звёздный</t>
  </si>
  <si>
    <t>+7 (83631) 4-30-08</t>
  </si>
  <si>
    <t xml:space="preserve">alo43008@mail.ru  </t>
  </si>
  <si>
    <t>http://zvezdniy.mari-el.muzkult.ru/</t>
  </si>
  <si>
    <t>Дом культуры, Клуб для детей и подростков, Клуб досуга, Культурный центр, Школа танцев</t>
  </si>
  <si>
    <t>48.382097 55.88284</t>
  </si>
  <si>
    <t>ул. Ленина, 64, Волжск</t>
  </si>
  <si>
    <t>+7 (83631) 6-06-06</t>
  </si>
  <si>
    <t>+7 (937) 111-11-01</t>
  </si>
  <si>
    <t>48.35324 55.867485</t>
  </si>
  <si>
    <t>Астра-мебель</t>
  </si>
  <si>
    <t>Строительная ул., 19Б, Волжск</t>
  </si>
  <si>
    <t>+7 (906) 137-84-11</t>
  </si>
  <si>
    <t>Магазин мебели, Матрасы, Мебельная фабрика, Мягкая мебель</t>
  </si>
  <si>
    <t>48.359267 55.86193</t>
  </si>
  <si>
    <t>ул. Дружбы, 7, Волжск</t>
  </si>
  <si>
    <t>48.336699 55.86594</t>
  </si>
  <si>
    <t>Автомикс</t>
  </si>
  <si>
    <t>ул. Чапаева, 18, Волжск</t>
  </si>
  <si>
    <t>+7 (960) 091-32-32</t>
  </si>
  <si>
    <t>48.384242 55.861628</t>
  </si>
  <si>
    <t>Строймаркет</t>
  </si>
  <si>
    <t>ул. Дружбы, 1/6, Волжск</t>
  </si>
  <si>
    <t>+7 (83631) 4-65-45, +7 (83631) 4-72-28</t>
  </si>
  <si>
    <t>+7 (83631) 4-72-28</t>
  </si>
  <si>
    <t>48.334085 55.865563</t>
  </si>
  <si>
    <t>Ириалта</t>
  </si>
  <si>
    <t>+7 (83631) 6-20-64</t>
  </si>
  <si>
    <t>Аудиторская компания, Аутсорсинг, Бухгалтерские услуги</t>
  </si>
  <si>
    <t>48.365973 55.863244</t>
  </si>
  <si>
    <t>Служба заказа легкового транспорта Спутник</t>
  </si>
  <si>
    <t>ул. Мира, 15А, Волжск</t>
  </si>
  <si>
    <t>+7 (83631) 6-02-00</t>
  </si>
  <si>
    <t>+7 (960) 090-41-00, +7 (960) 099-58-00</t>
  </si>
  <si>
    <t>48.340546 55.86354</t>
  </si>
  <si>
    <t>Детская стоматологическая поликлиника города Волжск</t>
  </si>
  <si>
    <t>ул. Вавилова, 1, Волжск</t>
  </si>
  <si>
    <t>+7 (83631) 6-40-06</t>
  </si>
  <si>
    <t>48.338417 55.863843</t>
  </si>
  <si>
    <t>Корпорация центр</t>
  </si>
  <si>
    <t>8 (800) 100-30-00, +7 (83631) 6-40-01</t>
  </si>
  <si>
    <t xml:space="preserve">b2b@kcentr.ru, tender@kcentr.ru, ess@corpcentre.ru, remont@kcentr.ru  </t>
  </si>
  <si>
    <t>https://kcentr.ru/</t>
  </si>
  <si>
    <t>https://vk.com/corpcentre</t>
  </si>
  <si>
    <t>https://www.facebook.com/kcentr.ru/</t>
  </si>
  <si>
    <t>https://www.instagram.com/kcentr_ru/</t>
  </si>
  <si>
    <t>48.34979 55.8668</t>
  </si>
  <si>
    <t>48.359902 55.864426</t>
  </si>
  <si>
    <t>Эрвий</t>
  </si>
  <si>
    <t>+7 (83631) 4-79-99</t>
  </si>
  <si>
    <t>48.342359 55.866587</t>
  </si>
  <si>
    <t>ул. Ленина, 44А, Волжск</t>
  </si>
  <si>
    <t>+7 (960) 091-21-62</t>
  </si>
  <si>
    <t>Агентство недвижимости, Согласование перепланировок</t>
  </si>
  <si>
    <t>48.369239 55.86353</t>
  </si>
  <si>
    <t>Квартирный вопрос</t>
  </si>
  <si>
    <t>+7 (962) 589-08-90</t>
  </si>
  <si>
    <t>48.378568 55.860674</t>
  </si>
  <si>
    <t>Пекин</t>
  </si>
  <si>
    <t>+7 (83631) 6-01-41, +7 (83631) 6-03-22</t>
  </si>
  <si>
    <t>Суши-бар</t>
  </si>
  <si>
    <t>пн-ср 12:00–00:00; чт-сб 12:00–02:00; вс 12:00–00:00</t>
  </si>
  <si>
    <t>https://vk.com/clubpekinbar</t>
  </si>
  <si>
    <t>48.359259 55.864056</t>
  </si>
  <si>
    <t>+7 (83631) 4-77-71</t>
  </si>
  <si>
    <t>48.340286 55.871902</t>
  </si>
  <si>
    <t>Тимо</t>
  </si>
  <si>
    <t>+7 (919) 645-44-09</t>
  </si>
  <si>
    <t>Детско-юношеская спортивная школа</t>
  </si>
  <si>
    <t>+7 (83631) 6-46-56</t>
  </si>
  <si>
    <t xml:space="preserve">sportshkola-vol@mail.ru, avolzhsk@mail.ru, volzhsk1@yandex.ru </t>
  </si>
  <si>
    <t>48.373215 55.86285</t>
  </si>
  <si>
    <t>ул. Ленина, 53, Волжск</t>
  </si>
  <si>
    <t>8 (800) 333-22-44, +7 (83631) 6-18-76, +7 (83631) 3-62-31</t>
  </si>
  <si>
    <t>48.361953 55.864172</t>
  </si>
  <si>
    <t>Детский сад № 21 Золотая рыбка</t>
  </si>
  <si>
    <t>2-я Новая ул., 26А, Волжск</t>
  </si>
  <si>
    <t>+7 (83631) 6-43-91, +7 (83631) 4-79-75</t>
  </si>
  <si>
    <t xml:space="preserve">21detsad@mail.ru  </t>
  </si>
  <si>
    <t>http://dou21.com.ru/</t>
  </si>
  <si>
    <t>48.343726 55.872814</t>
  </si>
  <si>
    <t>Городской парк культуры и отдыха</t>
  </si>
  <si>
    <t>ул. Ленина, 1, Волжск</t>
  </si>
  <si>
    <t>+7 (83631) 6-25-66</t>
  </si>
  <si>
    <t>Аттракцион, Парк культуры и отдыха</t>
  </si>
  <si>
    <t>48.387618 55.860405</t>
  </si>
  <si>
    <t>Такси Эконом</t>
  </si>
  <si>
    <t>+7 (917) 714-24-34</t>
  </si>
  <si>
    <t>Марийская Теплосетевая компания, Волжское подразделение</t>
  </si>
  <si>
    <t>ул. Шестакова, 55, Волжск</t>
  </si>
  <si>
    <t>+7 (83631) 4-79-00, +7 (83631) 6-28-69, +7 (83631) 4-79-05</t>
  </si>
  <si>
    <t>http://www.mtsc12.ru/</t>
  </si>
  <si>
    <t>Системы водоснабжения, отопления, канализации, Теплоснабжение</t>
  </si>
  <si>
    <t>48.342406 55.874506</t>
  </si>
  <si>
    <t>Волжское районное судебно-медицинское отделение</t>
  </si>
  <si>
    <t>Советская ул., 62, Волжск</t>
  </si>
  <si>
    <t>+7 (83631) 6-20-76</t>
  </si>
  <si>
    <t>Морг, Судебно-медицинская экспертиза</t>
  </si>
  <si>
    <t>48.395757 55.853344</t>
  </si>
  <si>
    <t>Любимая аптека</t>
  </si>
  <si>
    <t>+7 (83631) 6-93-88, +7 (83631) 6-32-42</t>
  </si>
  <si>
    <t>48.376307 55.860692</t>
  </si>
  <si>
    <t>Городская поликлиника № 2 г. Волжск</t>
  </si>
  <si>
    <t>+7 (83631) 4-74-45</t>
  </si>
  <si>
    <t>http://g2.polzdv.ru/</t>
  </si>
  <si>
    <t>пн-пт 07:30–17:00</t>
  </si>
  <si>
    <t>48.324592 55.875798</t>
  </si>
  <si>
    <t>Автомойка +</t>
  </si>
  <si>
    <t>ул. Прохорова, 114А, Волжск</t>
  </si>
  <si>
    <t>Автокосметика, автохимия, Автомойка, Шиномонтаж</t>
  </si>
  <si>
    <t>https://vk.com/id529558171</t>
  </si>
  <si>
    <t>48.354749 55.879354</t>
  </si>
  <si>
    <t>Авалон</t>
  </si>
  <si>
    <t>+7 (83631) 6-00-00</t>
  </si>
  <si>
    <t>48.359429 55.900405</t>
  </si>
  <si>
    <t>+7 (83631) 6-03-22</t>
  </si>
  <si>
    <t>+7 (961) 335-10-59</t>
  </si>
  <si>
    <t>48.359819 55.864628</t>
  </si>
  <si>
    <t>Комбинат благоустройства</t>
  </si>
  <si>
    <t>Транспортная ул., 9А, Волжск</t>
  </si>
  <si>
    <t>+7 (83631) 4-43-66, +7 (83631) 4-45-44, +7 (83631) 4-35-70</t>
  </si>
  <si>
    <t>Городское благоустройство, Утилизация отходов</t>
  </si>
  <si>
    <t>пн-пт 07:00–16:00, перерыв 11:00–12:00</t>
  </si>
  <si>
    <t>48.363247 55.886978</t>
  </si>
  <si>
    <t>ул. Гагарина, 146, Волжск</t>
  </si>
  <si>
    <t>+7 (964) 862-70-60</t>
  </si>
  <si>
    <t xml:space="preserve">info@demolink.org, zerkala12@bk.ru  </t>
  </si>
  <si>
    <t>http://zerkala12.ru/</t>
  </si>
  <si>
    <t>48.34533 55.87726</t>
  </si>
  <si>
    <t>Магазин Ремонт</t>
  </si>
  <si>
    <t>+7 (960) 098-02-45</t>
  </si>
  <si>
    <t>48.337362 55.866558</t>
  </si>
  <si>
    <t>Детский сад № 19 Светлячок</t>
  </si>
  <si>
    <t>ул. Дружбы, 25Б, Волжск</t>
  </si>
  <si>
    <t>+7 (83631) 6-26-18, +7 (83631) 4-79-75</t>
  </si>
  <si>
    <t>http://dou19.org.ru/</t>
  </si>
  <si>
    <t>48.344824 55.867242</t>
  </si>
  <si>
    <t>Mirra</t>
  </si>
  <si>
    <t>+7 (909) 369-87-41, +7 (987) 369-25-50</t>
  </si>
  <si>
    <t>Магазин парфюмерии и косметики, Парфюмерно-косметическая компания</t>
  </si>
  <si>
    <t>пн-пт 10:00–18:00; сб 09:00–14:00</t>
  </si>
  <si>
    <t>48.377457 55.861006</t>
  </si>
  <si>
    <t>Муниципальное образовательное учреждение Основная школа № 3 города Волжска Республики Марий Эл</t>
  </si>
  <si>
    <t>ул. Кошкина, 10, Волжск</t>
  </si>
  <si>
    <t>+7 (83631) 4-58-92, +7 (83631) 4-58-93</t>
  </si>
  <si>
    <t>http://schol3-2009.ucoz.ru/</t>
  </si>
  <si>
    <t>48.389297 55.847736</t>
  </si>
  <si>
    <t>Атриум</t>
  </si>
  <si>
    <t>ул. Ленина, 61В, Волжск</t>
  </si>
  <si>
    <t>+7 (83631) 6-93-93, +7 (83631) 6-93-00</t>
  </si>
  <si>
    <t>+7 (961) 337-07-63</t>
  </si>
  <si>
    <t>48.355073 55.86612</t>
  </si>
  <si>
    <t>Центр психолого-медико-социального сопровождения Лабиринт</t>
  </si>
  <si>
    <t>+7 (83631) 6-43-92, +7 (83631) 6-43-25</t>
  </si>
  <si>
    <t xml:space="preserve">alhelper@mail.ru, ospish@gmail.com, labirint.tsentr@mail.ru  </t>
  </si>
  <si>
    <t>http://www.labirint-volzhsk.ru/</t>
  </si>
  <si>
    <t>Дополнительное образование, Психологическая служба, Учебный центр</t>
  </si>
  <si>
    <t>48.343834 55.872809</t>
  </si>
  <si>
    <t>Фирма Вирсавия+</t>
  </si>
  <si>
    <t>+7 (83631) 4-85-57</t>
  </si>
  <si>
    <t>http://virsavia.pulscen.ru/</t>
  </si>
  <si>
    <t>+7 (961) 337-88-55, +7 (905) 182-19-34</t>
  </si>
  <si>
    <t>Агентство недвижимости, Ипотечное агентство, Согласование перепланировок, Юридические услуги</t>
  </si>
  <si>
    <t>48.339726 55.87018</t>
  </si>
  <si>
    <t>ВАИР-Сервис</t>
  </si>
  <si>
    <t>+7 (83631) 6-38-75</t>
  </si>
  <si>
    <t>+7 (917) 702-93-96</t>
  </si>
  <si>
    <t>Автомойка, Автосервис, автотехцентр, Кузовной ремонт, Магазин автозапчастей и автотоваров, Шиномонтаж</t>
  </si>
  <si>
    <t>48.357904 55.861676</t>
  </si>
  <si>
    <t>Праздничное агентство Мечта</t>
  </si>
  <si>
    <t>+7 (905) 182-33-34</t>
  </si>
  <si>
    <t>Центр занятости населения города Волжска и Волжского района</t>
  </si>
  <si>
    <t>+7 (83631) 6-28-68, +7 (83631) 4-40-11, +7 (83631) 6-20-24, +7 (83631) 6-14-30, +7 (83631) 6-28-90</t>
  </si>
  <si>
    <t>+7 (83631) 6-27-65</t>
  </si>
  <si>
    <t xml:space="preserve">vszan_ita@mail.ru, vszan@mari-el.ru  </t>
  </si>
  <si>
    <t>http://vk.com/public131678317</t>
  </si>
  <si>
    <t>48.353819 55.867238</t>
  </si>
  <si>
    <t>Продуктовый магазин № 45</t>
  </si>
  <si>
    <t>ул. Кирова, 3, Волжск</t>
  </si>
  <si>
    <t>48.344748 55.864854</t>
  </si>
  <si>
    <t>48.359587 55.864394</t>
  </si>
  <si>
    <t>Тату студия Ниагара</t>
  </si>
  <si>
    <t>ул. Чапаева, 13, Волжск</t>
  </si>
  <si>
    <t>+7 (960) 092-28-02</t>
  </si>
  <si>
    <t>48.383003 55.860383</t>
  </si>
  <si>
    <t>Торговая фирма</t>
  </si>
  <si>
    <t>+7 (83631) 6-09-22</t>
  </si>
  <si>
    <t>+7 (903) 050-51-90, +7 (917) 704-09-44, +7 (960) 098-22-99</t>
  </si>
  <si>
    <t xml:space="preserve">centrkirpicha@gmail.com </t>
  </si>
  <si>
    <t>http://kirpichcenter.narod.ru/</t>
  </si>
  <si>
    <t>Кирпич, Кровля и кровельные материалы, Облицовочные материалы, Тротуарная плитка</t>
  </si>
  <si>
    <t>https://vk.com/club92961453</t>
  </si>
  <si>
    <t>Auto-Party</t>
  </si>
  <si>
    <t>+7 (960) 091-11-13, +7 (937) 110-93-33</t>
  </si>
  <si>
    <t>Автоаксессуары, Магазин автозапчастей и автотоваров, Шины и диски</t>
  </si>
  <si>
    <t>пн-пт 09:30–18:00; сб 09:30–16:00</t>
  </si>
  <si>
    <t>48.339222 55.871712</t>
  </si>
  <si>
    <t>Топ-Холод</t>
  </si>
  <si>
    <t>+7 (843) 212-23-32</t>
  </si>
  <si>
    <t>+7 (960) 094-33-33</t>
  </si>
  <si>
    <t xml:space="preserve">info@top-holod.ru  </t>
  </si>
  <si>
    <t>http://www.top-holod.ru/</t>
  </si>
  <si>
    <t>Pioner</t>
  </si>
  <si>
    <t>+7 (83631) 6-47-74</t>
  </si>
  <si>
    <t>Магазин сантехники, Строительный магазин, Стройматериалы оптом, Электро- и бензоинструмент</t>
  </si>
  <si>
    <t>48.378328 55.860715</t>
  </si>
  <si>
    <t>+7 (83631) 6-33-57</t>
  </si>
  <si>
    <t>Металлоконструкции, Промышленное строительство, Строительная компания</t>
  </si>
  <si>
    <t>Авто-S</t>
  </si>
  <si>
    <t>+7 (906) 138-95-63</t>
  </si>
  <si>
    <t>48.362201 55.887079</t>
  </si>
  <si>
    <t>XXI век</t>
  </si>
  <si>
    <t>+7 (83631) 4-32-84</t>
  </si>
  <si>
    <t>Корпусная мебель, Мебель для кухни, Мебельная фабрика, Шкафы-купе</t>
  </si>
  <si>
    <t>48.343765 55.914477</t>
  </si>
  <si>
    <t>ул. 107-й Бригады, 5Е, Волжск</t>
  </si>
  <si>
    <t>+7 (83631) 6-02-05, +7 (83631) 4-05-25</t>
  </si>
  <si>
    <t>+7 (961) 373-12-15, +7 (961) 336-79-55</t>
  </si>
  <si>
    <t>48.382358 55.882488</t>
  </si>
  <si>
    <t>ул. Шестакова, 99, Волжск</t>
  </si>
  <si>
    <t>+7 (83631) 6-97-06, +7 (83631) 4-81-11</t>
  </si>
  <si>
    <t>48.349888 55.878649</t>
  </si>
  <si>
    <t>пн-пт 08:30–18:30; сб,вс 08:30–16:30</t>
  </si>
  <si>
    <t>48.35115 55.878925</t>
  </si>
  <si>
    <t>Фант Техник</t>
  </si>
  <si>
    <t>+7 (83631) 5-13-44</t>
  </si>
  <si>
    <t>http://volzhsk.fant-shop.ru/</t>
  </si>
  <si>
    <t>Магазин бытовой техники, Магазин посуды, Магазин электроники</t>
  </si>
  <si>
    <t>пн-пт 09:00–18:00; сб 09:00–17:00; вс 09:00–14:00</t>
  </si>
  <si>
    <t>48.365046 55.864295</t>
  </si>
  <si>
    <t>Отдел ЗАГС администрации городского округа город Волжск Республики Марий Эл</t>
  </si>
  <si>
    <t>ул. Ленина, 50, Волжск</t>
  </si>
  <si>
    <t>+7 (83631) 6-48-91, +7 (83632) 6-48-91</t>
  </si>
  <si>
    <t>пн-чт 08:00–16:00, перерыв 12:00–13:00</t>
  </si>
  <si>
    <t>48.367694 55.864004</t>
  </si>
  <si>
    <t>Магазин дверей Airon</t>
  </si>
  <si>
    <t>Комсомольская ул., 35, Волжск</t>
  </si>
  <si>
    <t>+7 (902) 670-94-54</t>
  </si>
  <si>
    <t xml:space="preserve">aironkazan@mail.ru  </t>
  </si>
  <si>
    <t>http://airon-dveri.ru/</t>
  </si>
  <si>
    <t>48.362286 55.864952</t>
  </si>
  <si>
    <t>Топ Продажи</t>
  </si>
  <si>
    <t>ул. Леваневского, 7, Волжск</t>
  </si>
  <si>
    <t>+7 (902) 108-13-30, +7 (961) 375-16-87, +7 (917) 706-88-75, +7 (909) 368-07-41</t>
  </si>
  <si>
    <t xml:space="preserve">topprodazhi@yandex.ru  </t>
  </si>
  <si>
    <t>http://topprodazhi.ru/</t>
  </si>
  <si>
    <t>Бизнес-консалтинг, Интернет-маркетинг, Рекламное агентство</t>
  </si>
  <si>
    <t>48.375383 55.858028</t>
  </si>
  <si>
    <t>Агентство недвижимости Вариант</t>
  </si>
  <si>
    <t>ул. Мира, 24, Волжск</t>
  </si>
  <si>
    <t>48.342532 55.864859</t>
  </si>
  <si>
    <t>Детский сад № 23 Кораблик</t>
  </si>
  <si>
    <t>ул. Шестакова, 3, Волжск</t>
  </si>
  <si>
    <t>+7 (83631) 4-68-06, +7 (83631) 4-79-75</t>
  </si>
  <si>
    <t>http://dou23.com.ru/</t>
  </si>
  <si>
    <t>48.331055 55.86847</t>
  </si>
  <si>
    <t>+7 (906) 139-84-34</t>
  </si>
  <si>
    <t>Ателье ФаSон</t>
  </si>
  <si>
    <t>+7 (83631) 4-39-28</t>
  </si>
  <si>
    <t>+7 (950) 327-92-22</t>
  </si>
  <si>
    <t>http://shvc.ru/</t>
  </si>
  <si>
    <t>Ателье по пошиву одежды, Магазин ткани, Ремонт одежды</t>
  </si>
  <si>
    <t>https://www.instagram.com/shvc.ru</t>
  </si>
  <si>
    <t>48.337911 55.868254</t>
  </si>
  <si>
    <t>Фотостудия Радуга</t>
  </si>
  <si>
    <t>+7 (909) 367-66-06</t>
  </si>
  <si>
    <t>Торгово-производственное объединение Марийский трактир</t>
  </si>
  <si>
    <t>+7 (83631) 6-26-66, +7 (83631) 6-26-86</t>
  </si>
  <si>
    <t xml:space="preserve">mail@martraktir.ru  </t>
  </si>
  <si>
    <t>http://martraktir.narod.ru/</t>
  </si>
  <si>
    <t>пн-пт 08:00–17:00, перерыв 12:00–13:00; сб 09:00–11:00</t>
  </si>
  <si>
    <t>ул. Щорса, 15, Волжск</t>
  </si>
  <si>
    <t>+7 (83631) 6-70-99, +7 (83631) 4-79-75</t>
  </si>
  <si>
    <t xml:space="preserve">dou3@bk.ru  </t>
  </si>
  <si>
    <t>http://dou3.org.ru/</t>
  </si>
  <si>
    <t>48.379878 55.856111</t>
  </si>
  <si>
    <t>Забава</t>
  </si>
  <si>
    <t>+7 (906) 335-29-68</t>
  </si>
  <si>
    <t>48.362286 55.86502</t>
  </si>
  <si>
    <t>Библиотека № 3</t>
  </si>
  <si>
    <t>+7 (83631) 4-34-84</t>
  </si>
  <si>
    <t>пн-пт 10:00–18:00, перерыв 13:00–14:00; вс 09:00–16:00</t>
  </si>
  <si>
    <t>48.381635 55.882807</t>
  </si>
  <si>
    <t>Магазин на крючке</t>
  </si>
  <si>
    <t>Зелёная ул., 6, Волжск</t>
  </si>
  <si>
    <t>+7 (905) 182-56-00</t>
  </si>
  <si>
    <t>48.379066 55.861767</t>
  </si>
  <si>
    <t>Евро стиль</t>
  </si>
  <si>
    <t>+7 (909) 369-38-66, +7 (905) 008-89-24</t>
  </si>
  <si>
    <t>48.3489 55.867172</t>
  </si>
  <si>
    <t>Учебный центр Автомобилист</t>
  </si>
  <si>
    <t>ул. Некрасова, 2, Волжск</t>
  </si>
  <si>
    <t>+7 (961) 379-95-95, +7 (961) 379-67-77, +7 (961) 379-94-94, +7 (961) 379-93-93</t>
  </si>
  <si>
    <t xml:space="preserve">strelok_volzsk@mail.ru  </t>
  </si>
  <si>
    <t>http://avtomobilist12.ru/</t>
  </si>
  <si>
    <t>48.369857 55.869253</t>
  </si>
  <si>
    <t>Детский сад № 20 Чебурашка</t>
  </si>
  <si>
    <t>ул. Степана Разина, 3, Волжск</t>
  </si>
  <si>
    <t>+7 (83631) 4-79-74</t>
  </si>
  <si>
    <t>http://dou20.org.ru/</t>
  </si>
  <si>
    <t>48.335775 55.87248</t>
  </si>
  <si>
    <t>Диалог</t>
  </si>
  <si>
    <t>+7 (906) 138-36-92, +7 (961) 376-04-23</t>
  </si>
  <si>
    <t>https://vk.com/club45449028</t>
  </si>
  <si>
    <t>+7 (83631) 6-95-05, +7 (83631) 6-95-06</t>
  </si>
  <si>
    <t>+7 (927) 888-63-03</t>
  </si>
  <si>
    <t>48.371541 55.862861</t>
  </si>
  <si>
    <t>Совиталпродмаш</t>
  </si>
  <si>
    <t xml:space="preserve">hr.director@gabino.ru  </t>
  </si>
  <si>
    <t>http://vk.com/club16572910</t>
  </si>
  <si>
    <t>48.334473 55.91958</t>
  </si>
  <si>
    <t>Сигма</t>
  </si>
  <si>
    <t>48.376362 55.860696</t>
  </si>
  <si>
    <t>+7 (961) 373-79-99, +7 (960) 095-46-66, +7 (961) 377-61-11</t>
  </si>
  <si>
    <t xml:space="preserve">prem.2014@mail.ru  </t>
  </si>
  <si>
    <t>http://premier-holod.ru/</t>
  </si>
  <si>
    <t>Чудо баня</t>
  </si>
  <si>
    <t>48.340796 55.860953</t>
  </si>
  <si>
    <t>АбатУрал</t>
  </si>
  <si>
    <t>Волжск г., ул. Промбаза, 1</t>
  </si>
  <si>
    <t xml:space="preserve">zakaz@abat-ural.ru  </t>
  </si>
  <si>
    <t>http://abat-ural.ru/</t>
  </si>
  <si>
    <t>Оборудование для ресторанов, Пищевое оборудование, Промышленное холодильное оборудование, Торговое оборудование</t>
  </si>
  <si>
    <t>48.343722 55.914597</t>
  </si>
  <si>
    <t>Гран</t>
  </si>
  <si>
    <t>Промышленная ул., 1, Волжск</t>
  </si>
  <si>
    <t>+7 (83631) 4-30-60, +7 (83631) 4-30-71</t>
  </si>
  <si>
    <t xml:space="preserve">info@profholodsystems.ru, ujinpost@rambler.ru  </t>
  </si>
  <si>
    <t>http://www.gran-cold.ru/</t>
  </si>
  <si>
    <t>48.33486 55.913762</t>
  </si>
  <si>
    <t>Промтекс</t>
  </si>
  <si>
    <t>ул. Кузьмина, 16Б, Волжск</t>
  </si>
  <si>
    <t>+7 (962) 590-07-47</t>
  </si>
  <si>
    <t xml:space="preserve">promtexmari@mail.ru  </t>
  </si>
  <si>
    <t>http://promtexmari.ru/</t>
  </si>
  <si>
    <t>Детская мебель, Детское игровое оборудование, Мебельная фабрика</t>
  </si>
  <si>
    <t>48.352284 55.864989</t>
  </si>
  <si>
    <t>Магазин № 27</t>
  </si>
  <si>
    <t>+7 (83631) 6-49-85</t>
  </si>
  <si>
    <t>48.374725 55.857548</t>
  </si>
  <si>
    <t>Детская художественная школа</t>
  </si>
  <si>
    <t>ул. Воложка, 2А, Волжск</t>
  </si>
  <si>
    <t>+7 (83631) 4-58-84</t>
  </si>
  <si>
    <t>48.396631 55.847905</t>
  </si>
  <si>
    <t>+7 (83631) 4-79-36, +7 (83631) 4-48-91</t>
  </si>
  <si>
    <t>пн-пт 07:45–17:00</t>
  </si>
  <si>
    <t>ул. Кузьмина, 18, Волжск</t>
  </si>
  <si>
    <t>48.34842 55.86626</t>
  </si>
  <si>
    <t>Швейно-Волжская трикотажная фабрика</t>
  </si>
  <si>
    <t>48.337537 55.868263</t>
  </si>
  <si>
    <t>ТПК Волжские сладости</t>
  </si>
  <si>
    <t>ул. Чапаева, 1, Волжск</t>
  </si>
  <si>
    <t>+7 (905) 379-56-78</t>
  </si>
  <si>
    <t xml:space="preserve">vol-sladosti2012@yandex.ru  </t>
  </si>
  <si>
    <t>http://volsladosti.ru/</t>
  </si>
  <si>
    <t>48.380881 55.85629</t>
  </si>
  <si>
    <t>ул. Мухина, 23А, Волжск</t>
  </si>
  <si>
    <t>+7 (83631) 4-80-54</t>
  </si>
  <si>
    <t>48.319646 55.88652</t>
  </si>
  <si>
    <t>Авангард+</t>
  </si>
  <si>
    <t>ул. Халтурина, 5, Волжск</t>
  </si>
  <si>
    <t>+7 (83631) 4-81-91</t>
  </si>
  <si>
    <t>+7 (905) 379-22-20</t>
  </si>
  <si>
    <t xml:space="preserve">9053792220@mail.ru  </t>
  </si>
  <si>
    <t>https://tara-snab.ru/</t>
  </si>
  <si>
    <t>Контейнеры, Тара и упаковочные материалы, Утилизация отходов</t>
  </si>
  <si>
    <t>https://vk.com/utilizaciya.bochek</t>
  </si>
  <si>
    <t>48.372652 55.869369</t>
  </si>
  <si>
    <t>Росавтотранс 12</t>
  </si>
  <si>
    <t>+7 (83631) 4-34-74</t>
  </si>
  <si>
    <t>48.350868 55.900627</t>
  </si>
  <si>
    <t>ул. Кабанова, 5, Волжск</t>
  </si>
  <si>
    <t>+7 (83631) 4-02-65</t>
  </si>
  <si>
    <t>сб,вс 10:00–22:00</t>
  </si>
  <si>
    <t>48.390085 55.880745</t>
  </si>
  <si>
    <t>+7 (83631) 6-15-00</t>
  </si>
  <si>
    <t>Корпусная мебель, Магазин мебели, Оптовая компания</t>
  </si>
  <si>
    <t>Недвижимость для всех</t>
  </si>
  <si>
    <t>ул. Кузьмина, 29, Волжск</t>
  </si>
  <si>
    <t>+7 (960) 091-39-65</t>
  </si>
  <si>
    <t>48.34539 55.865166</t>
  </si>
  <si>
    <t>ул. Чкалова, 2А, Волжск</t>
  </si>
  <si>
    <t>+7 (906) 336-40-61</t>
  </si>
  <si>
    <t>48.392631 55.854522</t>
  </si>
  <si>
    <t>+7 (83631) 4-74-58, +7 (83631) 4-73-80, +7 (83631) 6-45-99, +7 (83631) 4-65-45</t>
  </si>
  <si>
    <t>Компьютерный магазин, Корпусная мебель, Магазин бытовой техники, Магазин мебели, Мебель для кухни</t>
  </si>
  <si>
    <t>48.333453 55.865068</t>
  </si>
  <si>
    <t>Центр медицинской и социальной реабилитации УФСИН России по РМЭ</t>
  </si>
  <si>
    <t>+7 (83631) 4-61-15, +7 (83631) 4-61-09</t>
  </si>
  <si>
    <t>http://ku10.polzdv.ru/</t>
  </si>
  <si>
    <t>48.385139 55.854502</t>
  </si>
  <si>
    <t>Виском</t>
  </si>
  <si>
    <t>+7 (937) 615-32-83</t>
  </si>
  <si>
    <t xml:space="preserve">info@pso-zebra.ru </t>
  </si>
  <si>
    <t>Отопительное оборудование и системы, Электромонтажные работы, Электронагреватели</t>
  </si>
  <si>
    <t>http://vk.com/otoplenie_zebra_kazan</t>
  </si>
  <si>
    <t>http://instagram.com/mykirillov</t>
  </si>
  <si>
    <t>48.369256 55.863065</t>
  </si>
  <si>
    <t>Технологии интерьеров</t>
  </si>
  <si>
    <t>Октябрьская ул., 62, Волжск</t>
  </si>
  <si>
    <t>+7 (906) 334-00-80</t>
  </si>
  <si>
    <t xml:space="preserve">tehint@bk.ru </t>
  </si>
  <si>
    <t>Автоматические двери и ворота, Двери, Жалюзи и рулонные шторы, Натяжные и подвесные потолки, Окна</t>
  </si>
  <si>
    <t>вт-пт 08:00–17:00; сб 09:00–14:00</t>
  </si>
  <si>
    <t>48.358044 55.866466</t>
  </si>
  <si>
    <t>Элита</t>
  </si>
  <si>
    <t>+7 (964) 863-95-53</t>
  </si>
  <si>
    <t>Агентство недвижимости, Кадастровые работы</t>
  </si>
  <si>
    <t>48.34656 55.865097</t>
  </si>
  <si>
    <t>Зелёная ул., 13А, Волжск</t>
  </si>
  <si>
    <t>+7 (83631) 6-31-72</t>
  </si>
  <si>
    <t>48.380162 55.863762</t>
  </si>
  <si>
    <t>ул. Дружбы, 10Б, Волжск</t>
  </si>
  <si>
    <t>+7 (906) 334-24-28</t>
  </si>
  <si>
    <t>пн-чт 09:00–14:00</t>
  </si>
  <si>
    <t>48.337221 55.867888</t>
  </si>
  <si>
    <t>ГрацияСтройПлюс</t>
  </si>
  <si>
    <t>ул. Кабанова, 10, Волжск</t>
  </si>
  <si>
    <t>+7 (917) 224-00-08</t>
  </si>
  <si>
    <t>48.384842 55.878561</t>
  </si>
  <si>
    <t>8 (800) 777-38-39</t>
  </si>
  <si>
    <t>+7 (960) 048-23-37</t>
  </si>
  <si>
    <t>Агентство недвижимости, Регистрация и ликвидация предприятий, Юридические услуги</t>
  </si>
  <si>
    <t>Деревообрабатывающее производство</t>
  </si>
  <si>
    <t>+7 (83631) 4-21-94</t>
  </si>
  <si>
    <t>+7 (927) 684-10-18</t>
  </si>
  <si>
    <t>48.36254 55.881569</t>
  </si>
  <si>
    <t>+7 (83631) 6-00-01</t>
  </si>
  <si>
    <t>МОУ СШ № 5 с углубленным изучением отдельных предметов</t>
  </si>
  <si>
    <t>Коммунистическая ул., 1А, Волжск</t>
  </si>
  <si>
    <t>+7 (83631) 6-16-48, +7 (83631) 6-17-25, +7 (83631) 6-33-04, +7 (83631) 6-61-52</t>
  </si>
  <si>
    <t xml:space="preserve">schol5@yandex.ru  </t>
  </si>
  <si>
    <t>http://schol5.org.ru/</t>
  </si>
  <si>
    <t>48.388129 55.855326</t>
  </si>
  <si>
    <t>+7 (917) 700-73-38, +7 (960) 091-32-31</t>
  </si>
  <si>
    <t>48.382234 55.860684</t>
  </si>
  <si>
    <t>Биоисс</t>
  </si>
  <si>
    <t>+7 (843) 272-55-49</t>
  </si>
  <si>
    <t>+7 (950) 312-22-90</t>
  </si>
  <si>
    <t xml:space="preserve">contact@bioiss.ru  </t>
  </si>
  <si>
    <t>http://www.bioiss.ru/</t>
  </si>
  <si>
    <t>Комбикорма и кормовые добавки, Научно-производственная организация, Оптовая компания</t>
  </si>
  <si>
    <t>ул. Матюшенко, 7, Волжск</t>
  </si>
  <si>
    <t>+7 (967) 757-25-25</t>
  </si>
  <si>
    <t>Крепежные изделия, Лакокрасочные материалы, Магазин сантехники, Строительный магазин, Цемент</t>
  </si>
  <si>
    <t>48.371053 55.866288</t>
  </si>
  <si>
    <t>Волжский роддом</t>
  </si>
  <si>
    <t>Советская ул., 46, Волжск</t>
  </si>
  <si>
    <t>+7 (83631) 6-37-73</t>
  </si>
  <si>
    <t>48.403734 55.850732</t>
  </si>
  <si>
    <t>Компания Ресурсы</t>
  </si>
  <si>
    <t>Полевая ул., 80, Волжск</t>
  </si>
  <si>
    <t>+7 (83631) 4-74-88</t>
  </si>
  <si>
    <t>48.360372 55.878142</t>
  </si>
  <si>
    <t>Пласт-Лидеркомпани</t>
  </si>
  <si>
    <t>Йошкар-Олинское ш., 12, Волжск</t>
  </si>
  <si>
    <t>+7 (83631) 6-29-32</t>
  </si>
  <si>
    <t xml:space="preserve">9670920364@pro-ptr.ru, 9629349825@pro-ptr.ru, 9645015463@pro-ptr.ru  </t>
  </si>
  <si>
    <t>http://voljsk.pro-ptr.ru/</t>
  </si>
  <si>
    <t>Кровля и кровельные материалы, Тротуарная плитка</t>
  </si>
  <si>
    <t>пн-сб 08:00–18:00; вс 08:00–14:00</t>
  </si>
  <si>
    <t>48.359729 55.889375</t>
  </si>
  <si>
    <t>Актив м</t>
  </si>
  <si>
    <t>+7 (83631) 4-00-32</t>
  </si>
  <si>
    <t xml:space="preserve">aktiv-mebel@yandex.ru  </t>
  </si>
  <si>
    <t>http://aktiv-mebel.ru/</t>
  </si>
  <si>
    <t>48.363639 55.888124</t>
  </si>
  <si>
    <t>ул. Леваневского, 1, Волжск</t>
  </si>
  <si>
    <t>+7 (83631) 6-27-36</t>
  </si>
  <si>
    <t>+7 (903) 326-59-34</t>
  </si>
  <si>
    <t>http://памятники-волжск.рф/</t>
  </si>
  <si>
    <t>48.373757 55.856821</t>
  </si>
  <si>
    <t>Бассейн Чайка</t>
  </si>
  <si>
    <t>+7 (83631) 4-78-76</t>
  </si>
  <si>
    <t>вт-пт 13:00–21:00; сб,вс 09:00–21:00</t>
  </si>
  <si>
    <t>48.336508 55.869601</t>
  </si>
  <si>
    <t>3-я Промышленная ул., 5, Волжск</t>
  </si>
  <si>
    <t>8 (800) 770-73-74, +7 (83631) 4-26-50</t>
  </si>
  <si>
    <t>+7 (961) 336-91-43</t>
  </si>
  <si>
    <t xml:space="preserve">info@mmaribel.ru  </t>
  </si>
  <si>
    <t>http://maribel-mebel.ru/, http://www.mmaribel.ru/</t>
  </si>
  <si>
    <t>48.344616 55.917065</t>
  </si>
  <si>
    <t>Torgopt-oil</t>
  </si>
  <si>
    <t>Йошкар-Олинское ш., 12В, Волжск</t>
  </si>
  <si>
    <t>+7 (961) 379-29-29, +7 (961) 376-80-16</t>
  </si>
  <si>
    <t>пн-чт 09:00–20:00; пт 09:00–19:00; сб,вс 09:00–20:00</t>
  </si>
  <si>
    <t>48.359078 55.888941</t>
  </si>
  <si>
    <t>Центр недвижимости</t>
  </si>
  <si>
    <t>+7 (83631) 6-34-34</t>
  </si>
  <si>
    <t>48.383934 55.860277</t>
  </si>
  <si>
    <t>Автошанс</t>
  </si>
  <si>
    <t>+7 (83631) 5-15-25</t>
  </si>
  <si>
    <t>+7 (906) 139-92-03</t>
  </si>
  <si>
    <t xml:space="preserve">ucavtoshans@mail.ru </t>
  </si>
  <si>
    <t>пн-сб 07:00–18:00</t>
  </si>
  <si>
    <t>48.378015 55.861346</t>
  </si>
  <si>
    <t>Деймос</t>
  </si>
  <si>
    <t>ул. Гоголя, 55, Волжск</t>
  </si>
  <si>
    <t>+7 (961) 379-99-21</t>
  </si>
  <si>
    <t>48.381492 55.867021</t>
  </si>
  <si>
    <t>Единый сервисный центр</t>
  </si>
  <si>
    <t>+7 (906) 335-54-44</t>
  </si>
  <si>
    <t>Компьютерный ремонт и услуги, Ремонт бытовой техники, Ремонт оргтехники, Ремонт телефонов</t>
  </si>
  <si>
    <t>48.348802 55.878157</t>
  </si>
  <si>
    <t>Магазин автозапчастей ВАЗ</t>
  </si>
  <si>
    <t>Йошкар-Олинское ш., 8А, Волжск</t>
  </si>
  <si>
    <t>+7 (961) 335-19-17</t>
  </si>
  <si>
    <t>пн-пт 07:30–19:30; сб,вс 07:00–18:30</t>
  </si>
  <si>
    <t>48.36077 55.879929</t>
  </si>
  <si>
    <t>МЦ клиника СМ</t>
  </si>
  <si>
    <t>ул. Ленина, 51А, Волжск</t>
  </si>
  <si>
    <t>+7 (960) 091-13-33, +7 (909) 369-60-90, +7 (963) 127-83-81</t>
  </si>
  <si>
    <t xml:space="preserve">marinellat@mail.ru, klinika@csm-klinika.ru  </t>
  </si>
  <si>
    <t>пн-пт 07:00–19:00; сб 08:00–18:00</t>
  </si>
  <si>
    <t>https://vk.com/klinikacm</t>
  </si>
  <si>
    <t>http://instagram.com/smclinic</t>
  </si>
  <si>
    <t>48.364554 55.863779</t>
  </si>
  <si>
    <t>Маяк, офис</t>
  </si>
  <si>
    <t>+7 (963) 126-73-87</t>
  </si>
  <si>
    <t>48.350598 55.879091</t>
  </si>
  <si>
    <t>Служба доставки</t>
  </si>
  <si>
    <t>+7 (83631) 6-02-79</t>
  </si>
  <si>
    <t>Тайна-сервис Волжск</t>
  </si>
  <si>
    <t>+7 (83631) 4-71-51</t>
  </si>
  <si>
    <t>48.340686 55.871694</t>
  </si>
  <si>
    <t>Навигатор</t>
  </si>
  <si>
    <t>3-я Промышленная ул., 6, Волжск</t>
  </si>
  <si>
    <t>+7 (83631) 4-00-36</t>
  </si>
  <si>
    <t>Галантерейные изделия оптом, Одежда оптом</t>
  </si>
  <si>
    <t>48.343978 55.918071</t>
  </si>
  <si>
    <t>ул. Шестакова, 105А, Волжск</t>
  </si>
  <si>
    <t>+7 (903) 326-03-83</t>
  </si>
  <si>
    <t>ежедневно, 07:20–22:00</t>
  </si>
  <si>
    <t>48.353329 55.880798</t>
  </si>
  <si>
    <t>ул. Свердлова, 52, Волжск</t>
  </si>
  <si>
    <t>+7 (960) 093-49-03</t>
  </si>
  <si>
    <t>48.344292 55.871395</t>
  </si>
  <si>
    <t>Швейная фабрика Волжанка</t>
  </si>
  <si>
    <t>Садовая ул., 15, Волжск</t>
  </si>
  <si>
    <t>+7 (960) 099-64-87</t>
  </si>
  <si>
    <t xml:space="preserve">volganka12rus@mail.ru, support@pulscen.ru, u003esupport@pulscen.ru  </t>
  </si>
  <si>
    <t>http://volganka.pulscen.ru/</t>
  </si>
  <si>
    <t>Одежда оптом, Производство и продажа тканей, Швейная фабрика</t>
  </si>
  <si>
    <t>48.365708 55.87639</t>
  </si>
  <si>
    <t>Салон ритуальных услуг</t>
  </si>
  <si>
    <t>ул. Гагарина, 32, Волжск</t>
  </si>
  <si>
    <t>+7 (909) 367-77-18, +7 (961) 377-61-27</t>
  </si>
  <si>
    <t>48.373444 55.864548</t>
  </si>
  <si>
    <t>НПО Эталон</t>
  </si>
  <si>
    <t>+7 (917) 922-24-22</t>
  </si>
  <si>
    <t xml:space="preserve">npoetalon@mail.ru, pt-lk@yandex.ru  </t>
  </si>
  <si>
    <t>http://etal-on.ru/</t>
  </si>
  <si>
    <t>Крепежные изделия, Машиностроительный завод, Металлоизделия, Металлообработка</t>
  </si>
  <si>
    <t>48.352476 55.866707</t>
  </si>
  <si>
    <t>ТСЖ Парус</t>
  </si>
  <si>
    <t>+7 (917) 705-88-95, +7 (987) 704-10-26</t>
  </si>
  <si>
    <t>Собор святителя Николая Чудотворца</t>
  </si>
  <si>
    <t>ул. Палантая, 38, Волжск</t>
  </si>
  <si>
    <t>+7 (83631) 6-14-47, +7 (83631) 6-08-79</t>
  </si>
  <si>
    <t xml:space="preserve">volzhsk-eparhia@yandex.ru, info-epar12@yandex.ru  </t>
  </si>
  <si>
    <t>http://volzsk-eparhia.ru/</t>
  </si>
  <si>
    <t>https://vk.com/club138319227</t>
  </si>
  <si>
    <t>48.363042 55.864886</t>
  </si>
  <si>
    <t>Комплектующие спальной мебели</t>
  </si>
  <si>
    <t>+7 (927) 035-80-70, +7 (927) 035-82-17</t>
  </si>
  <si>
    <t>http://sleeproom.ru/</t>
  </si>
  <si>
    <t>Ремонт телевизоров</t>
  </si>
  <si>
    <t>+7 (905) 379-68-92</t>
  </si>
  <si>
    <t>48.337924 55.868243</t>
  </si>
  <si>
    <t>Пятый океан</t>
  </si>
  <si>
    <t>+7 (83631) 6-47-85</t>
  </si>
  <si>
    <t>48.381149 55.856031</t>
  </si>
  <si>
    <t>Фотомастер</t>
  </si>
  <si>
    <t>+7 (987) 703-00-00</t>
  </si>
  <si>
    <t>пн-пт 08:30–17:30; сб,вс 09:00–16:00</t>
  </si>
  <si>
    <t>https://vk.com/happyfamilystudio</t>
  </si>
  <si>
    <t>48.359977 55.864414</t>
  </si>
  <si>
    <t>ул. Шестакова, 55А, Волжск</t>
  </si>
  <si>
    <t>+7 (83631) 4-36-88</t>
  </si>
  <si>
    <t>48.343148 55.874572</t>
  </si>
  <si>
    <t>Магнит+</t>
  </si>
  <si>
    <t>+7 (83631) 6-21-41</t>
  </si>
  <si>
    <t>Лакокрасочные материалы, Магазин сантехники, Строительный магазин</t>
  </si>
  <si>
    <t>48.358157 55.866399</t>
  </si>
  <si>
    <t>+7 (963) 126-77-37, +7 (960) 091-88-38</t>
  </si>
  <si>
    <t>48.337904 55.868405</t>
  </si>
  <si>
    <t>Фирма Техновация</t>
  </si>
  <si>
    <t>ул. Гагарина, 10, Волжск</t>
  </si>
  <si>
    <t>+7 (83631) 6-46-92</t>
  </si>
  <si>
    <t>48.381321 55.861898</t>
  </si>
  <si>
    <t>Адвокатский кабинет Номэс-Фемида</t>
  </si>
  <si>
    <t>Тихая ул., 2, Волжск</t>
  </si>
  <si>
    <t>+7 (937) 773-87-06</t>
  </si>
  <si>
    <t>48.388157 55.875819</t>
  </si>
  <si>
    <t>Белый лебедь</t>
  </si>
  <si>
    <t>+7 (962) 589-38-63</t>
  </si>
  <si>
    <t>Ателье по пошиву одежды, Свадебный салон</t>
  </si>
  <si>
    <t>48.35695 55.865536</t>
  </si>
  <si>
    <t>Promeco Impianti S. R. L. Италия, представительство в России</t>
  </si>
  <si>
    <t>ул. 107-й Бригады, 14, Волжск</t>
  </si>
  <si>
    <t>+7 (83631) 4-10-60</t>
  </si>
  <si>
    <t xml:space="preserve">promecoimpianti@inbox.ru </t>
  </si>
  <si>
    <t>http://promecoimpianti.it/</t>
  </si>
  <si>
    <t>48.386747 55.88046</t>
  </si>
  <si>
    <t>ул. Щорса, 24, Волжск</t>
  </si>
  <si>
    <t>+7 (906) 138-31-41</t>
  </si>
  <si>
    <t>48.386738 55.85255</t>
  </si>
  <si>
    <t>+7 (83631) 6-20-39, +7 (83631) 5-11-82</t>
  </si>
  <si>
    <t xml:space="preserve">marketing_kb@mail.ru, marketing_omts@mail.ru, voluppmts@mail.ru  </t>
  </si>
  <si>
    <t>http://kanzblok.ru/</t>
  </si>
  <si>
    <t>48.384042 55.860924</t>
  </si>
  <si>
    <t>ArtPhoto Сеть-Салонов-Печати</t>
  </si>
  <si>
    <t>ул. Ленина, 57А, Волжск</t>
  </si>
  <si>
    <t>+7 (961) 333-24-92</t>
  </si>
  <si>
    <t xml:space="preserve">knyazeva.mashylia@mail.ru  </t>
  </si>
  <si>
    <t>Копировальный центр, Фотоуслуги, Широкоформатная печать</t>
  </si>
  <si>
    <t>http://vk.com/artphoto_volzhsk</t>
  </si>
  <si>
    <t>https://www.instagram.com/artphoto_ru/</t>
  </si>
  <si>
    <t>48.357542 55.864808</t>
  </si>
  <si>
    <t>ул. Прохорова, 129, Волжск</t>
  </si>
  <si>
    <t>https://vk.com/id397111787</t>
  </si>
  <si>
    <t>48.352017 55.879916</t>
  </si>
  <si>
    <t>ТСЖ Стимул Плюс</t>
  </si>
  <si>
    <t>ул. Ленина, 69, Волжск</t>
  </si>
  <si>
    <t>+7 (83631) 5-18-39</t>
  </si>
  <si>
    <t>48.347751 55.867874</t>
  </si>
  <si>
    <t>ТехноХимПром</t>
  </si>
  <si>
    <t>ул. Ленина, 18/2, Волжск</t>
  </si>
  <si>
    <t>+7 (843) 238-95-52</t>
  </si>
  <si>
    <t xml:space="preserve">info@txprom.ru, aikuzmin@txprom.ru, rrnogmanov@txprom.ru, giusmanova@txprom.ru, zigangirova@txprom.ru  </t>
  </si>
  <si>
    <t>http://txprom.ru/</t>
  </si>
  <si>
    <t>Нефтегазовая компания, Промышленная химия</t>
  </si>
  <si>
    <t>48.378608 55.860691</t>
  </si>
  <si>
    <t>Часовня Алексия, митрополита Московского, в Волжске</t>
  </si>
  <si>
    <t>ул. Палантая, 38/2, Волжск</t>
  </si>
  <si>
    <t>48.363471 55.865056</t>
  </si>
  <si>
    <t>Ремэкс Волжск</t>
  </si>
  <si>
    <t>+7 (83631) 4-99-04</t>
  </si>
  <si>
    <t>+7 (927) 447-03-58</t>
  </si>
  <si>
    <t>48.365077 55.864136</t>
  </si>
  <si>
    <t>Волжский завод строительных материалов</t>
  </si>
  <si>
    <t>4-я Промышленная ул., 6, корп. 1, Волжск</t>
  </si>
  <si>
    <t>+7 (843) 554-33-33</t>
  </si>
  <si>
    <t>Производственное предприятие, Строительный магазин, Стройматериалы оптом, Сухие строительные смеси</t>
  </si>
  <si>
    <t>48.332584 55.922827</t>
  </si>
  <si>
    <t>Всероссийское добровольное пожарное общество Волжское районное отделение</t>
  </si>
  <si>
    <t>Строительная ул., 17, Волжск</t>
  </si>
  <si>
    <t>+7 (83631) 6-28-49</t>
  </si>
  <si>
    <t>Пожарное оборудование, Противопожарные системы</t>
  </si>
  <si>
    <t>48.368358 55.866925</t>
  </si>
  <si>
    <t>Советская ул., 39, Волжск</t>
  </si>
  <si>
    <t>+7 (83631) 6-33-29</t>
  </si>
  <si>
    <t>+7 (909) 367-26-46</t>
  </si>
  <si>
    <t>Магазин постельных принадлежностей, Текстильная компания, Товары для дома</t>
  </si>
  <si>
    <t>48.393035 55.854941</t>
  </si>
  <si>
    <t>Детский сад № 29 Маячок</t>
  </si>
  <si>
    <t>ул. 107-й Бригады, 7/2, Волжск</t>
  </si>
  <si>
    <t>+7 (83631) 4-00-45, +7 (83631) 4-00-65, +7 (83631) 4-79-75</t>
  </si>
  <si>
    <t xml:space="preserve">dou29mai4ok29@mail.ru  </t>
  </si>
  <si>
    <t>http://dou29.ru/</t>
  </si>
  <si>
    <t>48.386268 55.882874</t>
  </si>
  <si>
    <t>МОУ СОШ № 6</t>
  </si>
  <si>
    <t>Юбилейная ул., 10, Волжск</t>
  </si>
  <si>
    <t>+7 (83631) 4-29-92, +7 (83631) 4-29-01, +7 (83631) 4-79-75</t>
  </si>
  <si>
    <t xml:space="preserve">chestnut-sw@mail.ru, sbetik38@yandex.ru  </t>
  </si>
  <si>
    <t>http://school6.org.ru/, http://school-6.3dn.ru/</t>
  </si>
  <si>
    <t>48.382179 55.885094</t>
  </si>
  <si>
    <t>Бизнес-центр, Продажа и аренда коммерческой недвижимости</t>
  </si>
  <si>
    <t>48.356035 55.862233</t>
  </si>
  <si>
    <t>Садовый мир</t>
  </si>
  <si>
    <t>+7 (83631) 6-20-19</t>
  </si>
  <si>
    <t>+7 (960) 090-90-20, +7 (961) 378-29-29</t>
  </si>
  <si>
    <t xml:space="preserve">fdm@kredo12.ru </t>
  </si>
  <si>
    <t>Магазин подарков и сувениров, Магазин цветов, Садовый центр</t>
  </si>
  <si>
    <t>пн-сб 07:30–19:00; вс 08:00–19:00</t>
  </si>
  <si>
    <t>https://vk.com/kredo12</t>
  </si>
  <si>
    <t>https://www.instagram.com/kredo_volzhsk/</t>
  </si>
  <si>
    <t>48.378848 55.860613</t>
  </si>
  <si>
    <t>ГБУ Волжский центр для детей-сирот и детей, оставшихся без попечения родителей</t>
  </si>
  <si>
    <t>ул. Либкнехта, 128, Волжск</t>
  </si>
  <si>
    <t>+7 (83631) 6-82-13, +7 (83631) 6-88-12, +7 (83631) 6-82-07</t>
  </si>
  <si>
    <t xml:space="preserve">sh-int-v@mail.ru  </t>
  </si>
  <si>
    <t>http://internat-volga.com.ru/</t>
  </si>
  <si>
    <t>48.352314 55.877499</t>
  </si>
  <si>
    <t>Барит</t>
  </si>
  <si>
    <t>+7 (83631) 6-38-10</t>
  </si>
  <si>
    <t>Газовое оборудование, Технические и медицинские газы</t>
  </si>
  <si>
    <t>+7 (909) 366-68-39</t>
  </si>
  <si>
    <t>Детские игрушки и игры, Магазин детской обуви, Магазин детской одежды, Магазин одежды, Нитки, пряжа</t>
  </si>
  <si>
    <t>пн-сб 09:00–18:00; вс 09:00–17:00</t>
  </si>
  <si>
    <t>48.359016 55.866339</t>
  </si>
  <si>
    <t>+7 (843) 212-22-78, +7 (495) 649-69-64</t>
  </si>
  <si>
    <t>+7 (964) 861-74-05</t>
  </si>
  <si>
    <t>Инжиниринг, Промышленное холодильное оборудование, Стройматериалы оптом</t>
  </si>
  <si>
    <t>Любимый книжный</t>
  </si>
  <si>
    <t>+7 (83631) 6-37-82</t>
  </si>
  <si>
    <t xml:space="preserve">info@kznbook.ru  </t>
  </si>
  <si>
    <t>http://kznbook.ru/, http://www.aistpress.ru/</t>
  </si>
  <si>
    <t>https://vk.com/aistpress</t>
  </si>
  <si>
    <t>48.352447 55.866768</t>
  </si>
  <si>
    <t>Продуктовый магазин № 10</t>
  </si>
  <si>
    <t>+7 (83631) 4-99-87, +7 (83631) 6-33-10</t>
  </si>
  <si>
    <t>48.360284 55.865727</t>
  </si>
  <si>
    <t>Вторсырье-2</t>
  </si>
  <si>
    <t>ул. Дружбы, 16Б, Волжск</t>
  </si>
  <si>
    <t>+7 (83631) 4-81-18, +7 (83631) 6-25-38</t>
  </si>
  <si>
    <t>48.340832 55.870101</t>
  </si>
  <si>
    <t>Трак лайн</t>
  </si>
  <si>
    <t>Вокзальный пр., 19, Волжск</t>
  </si>
  <si>
    <t>+7 (917) 922-80-81</t>
  </si>
  <si>
    <t>48.357722 55.863404</t>
  </si>
  <si>
    <t>ул. Гагарина, 21, Волжск</t>
  </si>
  <si>
    <t>+7 (83631) 6-08-99</t>
  </si>
  <si>
    <t>+7 (906) 336-00-99</t>
  </si>
  <si>
    <t xml:space="preserve">testing@test.ru, relef-v@mail.ru  </t>
  </si>
  <si>
    <t>https://relef-v.ru/</t>
  </si>
  <si>
    <t>Магазин канцтоваров, Магазин хозтоваров и бытовой химии, Оптовая компания</t>
  </si>
  <si>
    <t>пн-пт 08:00–18:00; сб,вс 09:00–18:00</t>
  </si>
  <si>
    <t>https://vk.com/vkancler</t>
  </si>
  <si>
    <t>https://www.instagram.com/kancler_magazin/</t>
  </si>
  <si>
    <t>48.37116 55.864004</t>
  </si>
  <si>
    <t>+7 (83631) 6-33-56</t>
  </si>
  <si>
    <t>Интерсвет</t>
  </si>
  <si>
    <t>Жалюзи и рулонные шторы, Натяжные и подвесные потолки</t>
  </si>
  <si>
    <t>+7 (83631) 6-49-30, +7 (83631) 6-17-58, +7 (83631) 6-49-29</t>
  </si>
  <si>
    <t>48.388276 55.857417</t>
  </si>
  <si>
    <t>+7 (83631) 5-11-70</t>
  </si>
  <si>
    <t>48.353491 55.867393</t>
  </si>
  <si>
    <t>Клуб активного отдыха Лазертаг 12 в г. Волжск</t>
  </si>
  <si>
    <t>+7 (961) 333-92-00</t>
  </si>
  <si>
    <t>48.343717 55.864939</t>
  </si>
  <si>
    <t>ул. Чапаева, 13А, Волжск</t>
  </si>
  <si>
    <t>+7 (937) 375-53-13</t>
  </si>
  <si>
    <t>48.38307 55.860042</t>
  </si>
  <si>
    <t>МОУ Вгл</t>
  </si>
  <si>
    <t>ул. Маяковского, 9, Волжск</t>
  </si>
  <si>
    <t>+7 (83631) 4-65-94, +7 (83631) 4-70-75, +7 (83631) 4-79-75</t>
  </si>
  <si>
    <t xml:space="preserve">schol7@yandex.ru </t>
  </si>
  <si>
    <t>http://vgl.org.ru/</t>
  </si>
  <si>
    <t>пн-сб 08:00–15:30</t>
  </si>
  <si>
    <t>48.333747 55.871635</t>
  </si>
  <si>
    <t>Октябрьская ул., 60, Волжск</t>
  </si>
  <si>
    <t>+7 (83631) 6-94-86</t>
  </si>
  <si>
    <t>48.358481 55.866561</t>
  </si>
  <si>
    <t>+7 (83631) 6-08-00</t>
  </si>
  <si>
    <t>+7 (903) 050-50-40</t>
  </si>
  <si>
    <t xml:space="preserve">auto-tandem@mail.ru  </t>
  </si>
  <si>
    <t>http://auto-tandem.ru/</t>
  </si>
  <si>
    <t>https://vk.com/auto_tandem</t>
  </si>
  <si>
    <t>48.369362 55.864851</t>
  </si>
  <si>
    <t>Синтез</t>
  </si>
  <si>
    <t>+7 (927) 430-36-66</t>
  </si>
  <si>
    <t>Мастерская по ремонту холодильного оборудования</t>
  </si>
  <si>
    <t>+7 (905) 182-75-93</t>
  </si>
  <si>
    <t>Ремонт бытовой техники, Ремонт промышленных холодильников</t>
  </si>
  <si>
    <t>48.364792 55.864293</t>
  </si>
  <si>
    <t>СВ-Путь</t>
  </si>
  <si>
    <t>+7 (843) 259-73-00</t>
  </si>
  <si>
    <t>+7 (960) 039-01-01</t>
  </si>
  <si>
    <t xml:space="preserve">les-st@list.ru  </t>
  </si>
  <si>
    <t>http://les-st.ru/</t>
  </si>
  <si>
    <t>Железнодорожная техника и оборудование, Складское оборудование</t>
  </si>
  <si>
    <t>48.356276 55.899976</t>
  </si>
  <si>
    <t>Салон красоты Звездный</t>
  </si>
  <si>
    <t>+7 (905) 182-24-04</t>
  </si>
  <si>
    <t>48.381703 55.88309</t>
  </si>
  <si>
    <t>Городская поликлиника № 1</t>
  </si>
  <si>
    <t>+7 (83631) 4-26-22, +7 (83631) 4-68-65</t>
  </si>
  <si>
    <t>http://or6.polzdv.ru/</t>
  </si>
  <si>
    <t>Промстройград</t>
  </si>
  <si>
    <t>+7 (83631) 6-29-16</t>
  </si>
  <si>
    <t>Бетон, бетонные изделия, ЖБИ, Строительные и отделочные работы, Строительные конструкции, Строительство дачных домов и коттеджей</t>
  </si>
  <si>
    <t>48.346484 55.864965</t>
  </si>
  <si>
    <t>Румит-ка компания</t>
  </si>
  <si>
    <t>+7 (83631) 4-73-33</t>
  </si>
  <si>
    <t>http://rumit-ka.tiu.ru/</t>
  </si>
  <si>
    <t>Пленки архитектурные, декоративные, защитные</t>
  </si>
  <si>
    <t>Производственно-торговая компания СтройИндустрия</t>
  </si>
  <si>
    <t>+7 (906) 138-04-27</t>
  </si>
  <si>
    <t>Бетон, бетонные изделия, ЖБИ, Кровля и кровельные материалы, Цемент</t>
  </si>
  <si>
    <t>Волга-сервис</t>
  </si>
  <si>
    <t>+7 (987) 724-26-04</t>
  </si>
  <si>
    <t>Системы безопасности и охраны, Электромонтажные работы</t>
  </si>
  <si>
    <t>Волжское архитектурное бюро</t>
  </si>
  <si>
    <t>+7 (905) 008-67-32</t>
  </si>
  <si>
    <t>Сегун</t>
  </si>
  <si>
    <t>ул. Кабанова, 7, Волжск</t>
  </si>
  <si>
    <t>+7 (960) 096-55-66</t>
  </si>
  <si>
    <t>48.387708 55.878667</t>
  </si>
  <si>
    <t>Sportcity</t>
  </si>
  <si>
    <t>+7 (960) 099-40-40</t>
  </si>
  <si>
    <t xml:space="preserve">info@sportcity12.ru  </t>
  </si>
  <si>
    <t>http://vk.com/sportcity12</t>
  </si>
  <si>
    <t>48.348838 55.867329</t>
  </si>
  <si>
    <t>+7 (961) 333-59-00</t>
  </si>
  <si>
    <t>48.386222 55.853261</t>
  </si>
  <si>
    <t>Резеда</t>
  </si>
  <si>
    <t>ул. Кузьмина, 29А, Волжск</t>
  </si>
  <si>
    <t>+7 (961) 335-81-60</t>
  </si>
  <si>
    <t>https://vk.com/flowers_rezeda</t>
  </si>
  <si>
    <t>48.345361 55.865157</t>
  </si>
  <si>
    <t>Волжская центральная городская больница филиал № 1 Детская поликлиника</t>
  </si>
  <si>
    <t>ул. Чапаева, 10, Волжск</t>
  </si>
  <si>
    <t>+7 (83631) 5-12-41</t>
  </si>
  <si>
    <t>http://c10.polzdv.ru/</t>
  </si>
  <si>
    <t>48.383459 55.858356</t>
  </si>
  <si>
    <t>Мелон</t>
  </si>
  <si>
    <t>+7 (83631) 6-36-36, +7 (83631) 6-33-55</t>
  </si>
  <si>
    <t>Двери, Столярные работы</t>
  </si>
  <si>
    <t>Джинс Store</t>
  </si>
  <si>
    <t>ул. Ленина, 58, Волжск</t>
  </si>
  <si>
    <t>+7 (963) 239-60-48</t>
  </si>
  <si>
    <t>48.359998 55.86549</t>
  </si>
  <si>
    <t>Бинстрой</t>
  </si>
  <si>
    <t>+7 (961) 377-03-30</t>
  </si>
  <si>
    <t>Волжская УК</t>
  </si>
  <si>
    <t>+7 (83631) 4-01-44</t>
  </si>
  <si>
    <t>48.382174 55.882793</t>
  </si>
  <si>
    <t>ДиА</t>
  </si>
  <si>
    <t>ул. Кузьмина, 3А, Волжск</t>
  </si>
  <si>
    <t>+7 (960) 090-22-23</t>
  </si>
  <si>
    <t>48.340241 55.858392</t>
  </si>
  <si>
    <t>Компания Трио</t>
  </si>
  <si>
    <t>+7 (83631) 6-39-66</t>
  </si>
  <si>
    <t>+7 (927) 870-66-90</t>
  </si>
  <si>
    <t>Производственно-торговая фирма</t>
  </si>
  <si>
    <t>+7 (905) 008-44-05</t>
  </si>
  <si>
    <t xml:space="preserve">artproekt2005@yandex.ru </t>
  </si>
  <si>
    <t>http://samtal12.ru/</t>
  </si>
  <si>
    <t>Кованые изделия, Металлоизделия, Окна, Остекление балконов и лоджий, Тепличное оборудование</t>
  </si>
  <si>
    <t>Стальные Двери</t>
  </si>
  <si>
    <t>ул. Федина, 3, Волжск</t>
  </si>
  <si>
    <t>+7 (905) 182-98-88, +7 (903) 050-45-45</t>
  </si>
  <si>
    <t xml:space="preserve">vitalij.majkov@mail.ru, 1tp_dveri@rambler.ru  </t>
  </si>
  <si>
    <t>http://dveri.company27.ru/</t>
  </si>
  <si>
    <t>https://vk.com/elit_dveri_volzhk</t>
  </si>
  <si>
    <t>48.332569 55.864722</t>
  </si>
  <si>
    <t>ДжоЛи</t>
  </si>
  <si>
    <t>48.364908 55.863675</t>
  </si>
  <si>
    <t>+7 (909) 368-88-66</t>
  </si>
  <si>
    <t>48.344273 55.876906</t>
  </si>
  <si>
    <t>+7 (917) 700-62-12</t>
  </si>
  <si>
    <t>48.377677 55.861235</t>
  </si>
  <si>
    <t>Компания МеКом12</t>
  </si>
  <si>
    <t>Пионерская ул., 1, Волжск</t>
  </si>
  <si>
    <t>+7 (83631) 6-27-50</t>
  </si>
  <si>
    <t>Корпусная мебель, Магазин мебели, Шкафы-купе</t>
  </si>
  <si>
    <t>48.35394 55.865182</t>
  </si>
  <si>
    <t>УК Заря</t>
  </si>
  <si>
    <t>+7 (83631) 4-55-86</t>
  </si>
  <si>
    <t>Юнайт+</t>
  </si>
  <si>
    <t>Вокзальная ул., 1Б, Волжск</t>
  </si>
  <si>
    <t>48.371574 55.862333</t>
  </si>
  <si>
    <t>Магазин Ладья</t>
  </si>
  <si>
    <t>ул. 107-й Бригады, 7Б, Волжск</t>
  </si>
  <si>
    <t>+7 (83631) 4-00-88</t>
  </si>
  <si>
    <t>48.383199 55.882237</t>
  </si>
  <si>
    <t>Кровельная Система</t>
  </si>
  <si>
    <t>+7 (83631) 5-13-00</t>
  </si>
  <si>
    <t xml:space="preserve">olga-volmet@mail.ru  </t>
  </si>
  <si>
    <t>http://krovsystema.ru/</t>
  </si>
  <si>
    <t>Детско-юношеская спортивная школа по греко-римской борьбе и гребле</t>
  </si>
  <si>
    <t>ул. Ленина, 37, Волжск</t>
  </si>
  <si>
    <t>+7 (83631) 6-94-84, +7 (83631) 6-94-60, +7 (83631) 6-93-97</t>
  </si>
  <si>
    <t>48.368933 55.862479</t>
  </si>
  <si>
    <t>Полаир-Импекс</t>
  </si>
  <si>
    <t>+7 (961) 378-56-39</t>
  </si>
  <si>
    <t>48.352444 55.901254</t>
  </si>
  <si>
    <t>+7 (83631) 6-93-94</t>
  </si>
  <si>
    <t>+7 (909) 367-23-73</t>
  </si>
  <si>
    <t>48.349748 55.878645</t>
  </si>
  <si>
    <t>Волга-Груз</t>
  </si>
  <si>
    <t>2-я Новая ул., 55, Волжск</t>
  </si>
  <si>
    <t>+7 (960) 098-68-90</t>
  </si>
  <si>
    <t>http://vk.com/id278070322</t>
  </si>
  <si>
    <t>48.355386 55.869178</t>
  </si>
  <si>
    <t>Тук-Тук</t>
  </si>
  <si>
    <t>ул. Ленина, 56/2, Волжск</t>
  </si>
  <si>
    <t>+7 (961) 378-78-44</t>
  </si>
  <si>
    <t>48.360219 55.86597</t>
  </si>
  <si>
    <t>Фант-Мебель</t>
  </si>
  <si>
    <t>+7 (83631) 6-11-28</t>
  </si>
  <si>
    <t>48.361806 55.864167</t>
  </si>
  <si>
    <t>+7 (83631) 6-32-59</t>
  </si>
  <si>
    <t>+7 (905) 379-61-68, +7 (937) 111-22-11</t>
  </si>
  <si>
    <t>48.35253 55.86669</t>
  </si>
  <si>
    <t>Татсталькомплект</t>
  </si>
  <si>
    <t>+7 (843) 245-35-50, +7 (83631) 5-13-99, +7 (83631) 5-11-07, +7 (83631) 5-13-05, +7 (83631) 5-13-66, +7 (499) 346-21-50</t>
  </si>
  <si>
    <t xml:space="preserve">tsk.info@yandex.ru  </t>
  </si>
  <si>
    <t>http://tatskom.ru/</t>
  </si>
  <si>
    <t>Крепежные изделия, Металлоизделия, Металлопрокат</t>
  </si>
  <si>
    <t>Заводская ул., 2А, Волжск</t>
  </si>
  <si>
    <t>+7 (83631) 6-64-11, +7 (83631) 4-37-75</t>
  </si>
  <si>
    <t>48.337205 55.86061</t>
  </si>
  <si>
    <t>Клякса</t>
  </si>
  <si>
    <t>+7 (965) 580-87-27, +7 (906) 335-91-67</t>
  </si>
  <si>
    <t>Оргтехника, Ремонт оргтехники</t>
  </si>
  <si>
    <t>48.368005 55.8633</t>
  </si>
  <si>
    <t>ул. Щербакова, 4, Волжск</t>
  </si>
  <si>
    <t>48.330773 55.870349</t>
  </si>
  <si>
    <t>УК ЖЭУ центр</t>
  </si>
  <si>
    <t>+7 (83631) 6-37-27, +7 (83631) 6-48-01</t>
  </si>
  <si>
    <t xml:space="preserve">gkh_centr@mail.ru </t>
  </si>
  <si>
    <t>48.370346 55.859041</t>
  </si>
  <si>
    <t>ул. Мира, 17А, Волжск</t>
  </si>
  <si>
    <t>+7 (83631) 4-70-30</t>
  </si>
  <si>
    <t>48.340169 55.86419</t>
  </si>
  <si>
    <t>+7 (83631) 4-77-08</t>
  </si>
  <si>
    <t>Нотариус Нурия Мансуровна Халикова</t>
  </si>
  <si>
    <t>+7 (83631) 5-11-57</t>
  </si>
  <si>
    <t>48.383979 55.860239</t>
  </si>
  <si>
    <t>Домофоны и видеонаблюдение</t>
  </si>
  <si>
    <t>+7 (905) 379-72-22</t>
  </si>
  <si>
    <t>Клуб воинских традиций Защитник</t>
  </si>
  <si>
    <t>+7 (83631) 4-77-33</t>
  </si>
  <si>
    <t>+7 (903) 326-19-75, +7 (961) 333-92-00</t>
  </si>
  <si>
    <t>Клуб для детей и подростков, Лазертаг, Спортивно-развлекательный центр</t>
  </si>
  <si>
    <t>https://vk.com/aks1973</t>
  </si>
  <si>
    <t>https://www.instagram.com/kvt_zashitnik?igshid=y0in61uzxz4n</t>
  </si>
  <si>
    <t>Мебель для дома</t>
  </si>
  <si>
    <t>+7 (906) 113-77-33</t>
  </si>
  <si>
    <t>48.359524 55.864418</t>
  </si>
  <si>
    <t>Касса взаимопомощи Семейный кредит</t>
  </si>
  <si>
    <t>+7 (83631) 4-44-88</t>
  </si>
  <si>
    <t>+7 (960) 098-50-71</t>
  </si>
  <si>
    <t xml:space="preserve">skredit1@yandex.ru  </t>
  </si>
  <si>
    <t>http://semkredit.ru/</t>
  </si>
  <si>
    <t>https://vk.com/semkredit_volzhsk</t>
  </si>
  <si>
    <t>Центральная городская больница</t>
  </si>
  <si>
    <t>Советская ул., 52, Волжск</t>
  </si>
  <si>
    <t>+7 (83631) 6-32-69, +7 (83631) 4-61-64, +7 (83631) 6-25-55, +7 (83631) 6-16-47, +7 (83631) 6-17-26</t>
  </si>
  <si>
    <t xml:space="preserve">volcgb@minzdrav12.ru, prok_voljsk@mail.ru, marivsk@sogaz-med.ru, informsreda@yandex.ru  </t>
  </si>
  <si>
    <t>http://volcgb.ru/, http://mari-el.gov.ru/</t>
  </si>
  <si>
    <t>Больница для взрослых, Детская больница, Медицинская лаборатория</t>
  </si>
  <si>
    <t>https://vk.com/volcgb</t>
  </si>
  <si>
    <t>48.395925 55.853309</t>
  </si>
  <si>
    <t>Волжская станция по борьбе с болезнями животных</t>
  </si>
  <si>
    <t>Транспортная ул., 1, Волжск</t>
  </si>
  <si>
    <t>+7 (83631) 4-32-36, +7 (83631) 4-31-09</t>
  </si>
  <si>
    <t>пн-пт 08:00–16:45, перерыв 12:00–13:00; сб 08:00–13:00</t>
  </si>
  <si>
    <t>48.360399 55.887422</t>
  </si>
  <si>
    <t>ПромСнаб</t>
  </si>
  <si>
    <t>+7 (83631) 6-16-66</t>
  </si>
  <si>
    <t>Магазин автозапчастей и автотоваров, Подшипники, Производство и оптовая продажа автозапчастей, Резиновые и резинотехнические изделия</t>
  </si>
  <si>
    <t>M-House</t>
  </si>
  <si>
    <t>Октябрьская ул., 66, Волжск</t>
  </si>
  <si>
    <t>+7 (83631) 5-14-24</t>
  </si>
  <si>
    <t xml:space="preserve">mhouse-mebel@mail.ru, tc@m-house12.ru, info@mmaribel.ru  </t>
  </si>
  <si>
    <t>http://m-house12.ru/</t>
  </si>
  <si>
    <t>http://vk.com/mhouse12</t>
  </si>
  <si>
    <t>http://facebook.com/m-house-265767003827863</t>
  </si>
  <si>
    <t>48.358036 55.866779</t>
  </si>
  <si>
    <t>Техномаркет</t>
  </si>
  <si>
    <t>ул. Ленина, 60Д, Волжск</t>
  </si>
  <si>
    <t>+7 (83631) 5-12-91</t>
  </si>
  <si>
    <t>48.35818 55.865849</t>
  </si>
  <si>
    <t>Телеком ТВ</t>
  </si>
  <si>
    <t>+7 (903) 326-69-80</t>
  </si>
  <si>
    <t>+7 (83631) 6-01-32</t>
  </si>
  <si>
    <t>+7 (903) 050-32-32</t>
  </si>
  <si>
    <t>48.371292 55.862735</t>
  </si>
  <si>
    <t>Фабрика Lab</t>
  </si>
  <si>
    <t>ул. Щорса, 12, Волжск</t>
  </si>
  <si>
    <t>+7 (996) 335-10-07</t>
  </si>
  <si>
    <t xml:space="preserve">14370afcdc17429f9e418d5ffbd0334a@sentry.wixpress.com, manager@fabrika-lab.ru, info@fabrika-lab.ru, wixofday@wix.com  </t>
  </si>
  <si>
    <t>http://fabrika-lab.ru/</t>
  </si>
  <si>
    <t>Полиграфические услуги, Рекламная продукция, Студия графического дизайна</t>
  </si>
  <si>
    <t>http://www.instagram.com/fabrika_lab</t>
  </si>
  <si>
    <t>48.379354 55.854825</t>
  </si>
  <si>
    <t>Компания Лидер</t>
  </si>
  <si>
    <t>+7 (905) 182-23-60</t>
  </si>
  <si>
    <t>48.335004 55.87286</t>
  </si>
  <si>
    <t>Lir Tour</t>
  </si>
  <si>
    <t>+7 (83631) 6-31-91</t>
  </si>
  <si>
    <t>пн-пт 09:00–17:00, перерыв 12:00–14:00; сб 09:00–12:00</t>
  </si>
  <si>
    <t>ул. Ленина, 32, Волжск</t>
  </si>
  <si>
    <t>+7 (83631) 6-46-28, +7 (83631) 6-46-73, +7 (83631) 6-94-76</t>
  </si>
  <si>
    <t>Дополнительное образование, Клуб для детей и подростков, Музыкальное образование, Школа искусств</t>
  </si>
  <si>
    <t>48.373951 55.862086</t>
  </si>
  <si>
    <t>Йошкар-Ола-Москва</t>
  </si>
  <si>
    <t>+7 (83631) 6-49-70, +7 (83631) 5-10-01</t>
  </si>
  <si>
    <t>+7 (987) 711-38-88</t>
  </si>
  <si>
    <t xml:space="preserve">maricenter@mail.ru  </t>
  </si>
  <si>
    <t>http://yoshkar-ola.marketcenter.ru/</t>
  </si>
  <si>
    <t>Лига - Н</t>
  </si>
  <si>
    <t>+7 (83631) 4-74-71, +7 (83631) 6-40-16</t>
  </si>
  <si>
    <t>+7 (962) 589-00-62</t>
  </si>
  <si>
    <t xml:space="preserve">oooliga-n@mail.ru, oooliga-n@yandex.ru </t>
  </si>
  <si>
    <t>http://www.oooliga-n.ru/, http://mebel.oooliga-n.ru/</t>
  </si>
  <si>
    <t>Детская мебель, Корпусная мебель, Магазин мебели, Мебель для кухни, Мебельная фабрика, Шкафы-купе</t>
  </si>
  <si>
    <t>48.348442 55.86625</t>
  </si>
  <si>
    <t>+7 (905) 182-67-94</t>
  </si>
  <si>
    <t>Запчасти для автобусов, Магазин автозапчастей и автотоваров</t>
  </si>
  <si>
    <t>Tatkorm</t>
  </si>
  <si>
    <t>+7 (961) 374-38-35</t>
  </si>
  <si>
    <t>48.339801 55.866541</t>
  </si>
  <si>
    <t>Долаларк</t>
  </si>
  <si>
    <t>+7 (960) 092-24-45</t>
  </si>
  <si>
    <t xml:space="preserve">gnom-gluck@mail.ru </t>
  </si>
  <si>
    <t>+7 (909) 369-87-63, +7 (909) 366-05-45</t>
  </si>
  <si>
    <t>48.365922 55.863345</t>
  </si>
  <si>
    <t>Регион Системы Безопасности</t>
  </si>
  <si>
    <t>+7 (906) 334-93-56</t>
  </si>
  <si>
    <t>Вирт Волжск</t>
  </si>
  <si>
    <t>+7 (83631) 6-00-02</t>
  </si>
  <si>
    <t>+7 (963) 127-60-44, +7 (963) 137-60-44</t>
  </si>
  <si>
    <t xml:space="preserve">virtcomp@list.ru </t>
  </si>
  <si>
    <t>Компьютерные аксессуары, Компьютерный ремонт и услуги, Ремонт телефонов, Товары для мобильных телефонов</t>
  </si>
  <si>
    <t>https://www.instagram.com/pcrepairvolzhsk</t>
  </si>
  <si>
    <t>48.359641 55.864466</t>
  </si>
  <si>
    <t>Формы Хантер</t>
  </si>
  <si>
    <t>+7 (917) 712-77-03</t>
  </si>
  <si>
    <t xml:space="preserve">formi-xanter@ya.ru </t>
  </si>
  <si>
    <t>https://формы-хантер.рф/</t>
  </si>
  <si>
    <t>Декоративные покрытия, Облицовочные материалы</t>
  </si>
  <si>
    <t>http://vk.com/xanter12</t>
  </si>
  <si>
    <t>48.370954 55.862794</t>
  </si>
  <si>
    <t>Консауд</t>
  </si>
  <si>
    <t>Пролетарская ул., 4А, Волжск</t>
  </si>
  <si>
    <t>+7 (83631) 6-30-62, +7 (83631) 6-30-64</t>
  </si>
  <si>
    <t>48.383523 55.85605</t>
  </si>
  <si>
    <t>Библиотека № 4 г. Волжск</t>
  </si>
  <si>
    <t>ул. Дружбы, 11, Волжск</t>
  </si>
  <si>
    <t>+7 (83631) 4-69-19</t>
  </si>
  <si>
    <t>пн-пт 08:00–17:00; вс 09:00–16:00</t>
  </si>
  <si>
    <t>48.335899 55.864672</t>
  </si>
  <si>
    <t>ул. Свердлова, 29, Волжск</t>
  </si>
  <si>
    <t>+7 (83631) 4-42-92</t>
  </si>
  <si>
    <t>48.346899 55.872205</t>
  </si>
  <si>
    <t>ПКФ Олимп</t>
  </si>
  <si>
    <t>+7 (905) 379-83-63</t>
  </si>
  <si>
    <t>Стройматериалы оптом, Фанера</t>
  </si>
  <si>
    <t>48.359129 55.878065</t>
  </si>
  <si>
    <t>ZooМир</t>
  </si>
  <si>
    <t>+7 (906) 336-57-77</t>
  </si>
  <si>
    <t>https://vk.com/zoomir2011</t>
  </si>
  <si>
    <t>48.38171 55.882973</t>
  </si>
  <si>
    <t>Юридическое агентство</t>
  </si>
  <si>
    <t>+7 (961) 334-84-84, +7 (906) 138-85-00, +7 (906) 139-40-47, +7 (909) 369-47-01, +7 (905) 379-70-00, +7 (964) 864-06-19, +7 (906) 137-96-31</t>
  </si>
  <si>
    <t>48.372869 55.863938</t>
  </si>
  <si>
    <t>+7 (927) 886-46-66, +7 (909) 369-02-47, +7 (917) 716-96-02, +7 (960) 090-48-99, +7 (905) 379-65-90</t>
  </si>
  <si>
    <t>48.381807 55.859961</t>
  </si>
  <si>
    <t>Адвокатский кабинет Антоновой Эльвиры Валериановны</t>
  </si>
  <si>
    <t>ул. Гагарина, 28, Волжск</t>
  </si>
  <si>
    <t>+7 (906) 138-77-54</t>
  </si>
  <si>
    <t>48.375089 55.863486</t>
  </si>
  <si>
    <t>Адвокатский кабинет Николаева Вячеслава Григорьевича</t>
  </si>
  <si>
    <t>ул. Кабанова, 13, Волжск</t>
  </si>
  <si>
    <t>+7 (960) 098-24-06</t>
  </si>
  <si>
    <t>48.385435 55.875385</t>
  </si>
  <si>
    <t>Телемастер на Матюшенко</t>
  </si>
  <si>
    <t>ул. Матюшенко, 9, Волжск</t>
  </si>
  <si>
    <t>+7 (83631) 6-35-23</t>
  </si>
  <si>
    <t>+7 (905) 182-05-26</t>
  </si>
  <si>
    <t>48.369998 55.86739</t>
  </si>
  <si>
    <t>ул. Ленина, 62, Волжск</t>
  </si>
  <si>
    <t>48.35541 55.867241</t>
  </si>
  <si>
    <t>Горная ул., 1, Волжск</t>
  </si>
  <si>
    <t>8 (800) 700-99-76, +7 (83631) 4-54-55, +7 (83631) 4-55-56</t>
  </si>
  <si>
    <t>+7 (963) 127-77-91, +7 (961) 374-96-99</t>
  </si>
  <si>
    <t xml:space="preserve">fant-mebel@bk.ru, fant-mebel@inbox.ru, donate@opencart.com  </t>
  </si>
  <si>
    <t>http://fant-mebel.ru/, http://fant-okna.ru/, http://volzhsk.fant-shop.ru/</t>
  </si>
  <si>
    <t>Корпусная мебель, Мебельная фабрика, Мягкая мебель</t>
  </si>
  <si>
    <t>48.386642 55.848776</t>
  </si>
  <si>
    <t>Волжский филиал Марий Эл Дорстрой</t>
  </si>
  <si>
    <t>Транспортная ул., 6, Волжск</t>
  </si>
  <si>
    <t>+7 (83631) 4-28-30, +7 (83631) 4-25-57, +7 (83631) 4-19-03</t>
  </si>
  <si>
    <t>48.368933 55.881399</t>
  </si>
  <si>
    <t>Адвокатский кабинет Мишиной Марии Евгеньевны</t>
  </si>
  <si>
    <t>ул. Гаврилова, 1Б, Волжск</t>
  </si>
  <si>
    <t>+7 (960) 092-24-90</t>
  </si>
  <si>
    <t>48.386169 55.876347</t>
  </si>
  <si>
    <t>ул. Кабанова, 3А, Волжск</t>
  </si>
  <si>
    <t>48.389217 55.881005</t>
  </si>
  <si>
    <t>Автосервис Маяк</t>
  </si>
  <si>
    <t>48.336594 55.860614</t>
  </si>
  <si>
    <t>Детский сад № 2 Колокольчик</t>
  </si>
  <si>
    <t>ул. Ленина, 28, Волжск</t>
  </si>
  <si>
    <t>+7 (83631) 6-30-07, +7 (83631) 4-79-75</t>
  </si>
  <si>
    <t xml:space="preserve">dou2kolokolchik@mail.ru  </t>
  </si>
  <si>
    <t>http://dou2kolokolchik.narod.ru/</t>
  </si>
  <si>
    <t>48.375238 55.862221</t>
  </si>
  <si>
    <t>Средняя школа № 4</t>
  </si>
  <si>
    <t>Учительская ул., 4, Волжск</t>
  </si>
  <si>
    <t>+7 (83631) 4-77-32, +7 (83631) 4-71-06</t>
  </si>
  <si>
    <t xml:space="preserve">frau.zolotova@gmail.com, fotokonkurs2020-2021@mail.ru  </t>
  </si>
  <si>
    <t>http://4school.org.ru/</t>
  </si>
  <si>
    <t>48.339163 55.86302</t>
  </si>
  <si>
    <t>Детский сад № 8 Ягодка</t>
  </si>
  <si>
    <t>ул. Либкнехта, 99, Волжск</t>
  </si>
  <si>
    <t>+7 (83631) 6-07-51</t>
  </si>
  <si>
    <t>http://dou8.org.ru/</t>
  </si>
  <si>
    <t>48.35017 55.877</t>
  </si>
  <si>
    <t>Детский сад № 7 Сказка</t>
  </si>
  <si>
    <t>ул. Мира, 18А, Волжск</t>
  </si>
  <si>
    <t>+7 (83631) 4-69-88, +7 (83631) 4-79-75</t>
  </si>
  <si>
    <t>http://dou7.com.ru/, http://dou7skazka.narod.ru/</t>
  </si>
  <si>
    <t>48.343124 55.864108</t>
  </si>
  <si>
    <t>Средняя школа № 9 им. А. С. Пушкина</t>
  </si>
  <si>
    <t>ул. Ленина, 34, Волжск</t>
  </si>
  <si>
    <t>+7 (83631) 6-11-38, +7 (83631) 6-05-47, +7 (83631) 6-47-63</t>
  </si>
  <si>
    <t xml:space="preserve">schol9@yandex.ru  </t>
  </si>
  <si>
    <t>http://school9.org.ru/</t>
  </si>
  <si>
    <t>48.373091 55.862368</t>
  </si>
  <si>
    <t>Средняя школа № 12</t>
  </si>
  <si>
    <t>ул. Гаврилова, 7, Волжск</t>
  </si>
  <si>
    <t>+7 (83631) 4-00-67, +7 (83631) 4-07-80</t>
  </si>
  <si>
    <t xml:space="preserve">mpk8@yandex.ru  </t>
  </si>
  <si>
    <t>http://schol12.3dn.ru/</t>
  </si>
  <si>
    <t>48.382299 55.878866</t>
  </si>
  <si>
    <t>Мир уюта-12</t>
  </si>
  <si>
    <t>+7 (987) 728-81-15</t>
  </si>
  <si>
    <t>АЗС-Промконструкция</t>
  </si>
  <si>
    <t>+7 (83631) 6-44-52, +7 (83631) 6-40-70</t>
  </si>
  <si>
    <t xml:space="preserve">azs-promk.zk@mail.ru </t>
  </si>
  <si>
    <t>Металлоконструкции, Металлообработка, Нанесение покрытий</t>
  </si>
  <si>
    <t>Детский сад № 16 Алёнка</t>
  </si>
  <si>
    <t>ул. Дружбы, 12, Волжск</t>
  </si>
  <si>
    <t>+7 (83631) 4-69-96, +7 (83631) 4-79-75</t>
  </si>
  <si>
    <t xml:space="preserve">u16alenka@bk.ru, avolzhsk@mail.ru, s_lana@mail.ru </t>
  </si>
  <si>
    <t>http://dou16alenka.narod.ru/</t>
  </si>
  <si>
    <t>48.336232 55.867909</t>
  </si>
  <si>
    <t>Детский сад № 17 Дюймовочка</t>
  </si>
  <si>
    <t>ул. Ленина, 6А, Волжск</t>
  </si>
  <si>
    <t>+7 (83631) 5-12-13, +7 (83631) 4-79-75</t>
  </si>
  <si>
    <t xml:space="preserve">ds-17voljsk@yandex.ru  </t>
  </si>
  <si>
    <t>http://vol-dou17.narod.ru/, http://dou17.org.ru/</t>
  </si>
  <si>
    <t>48.385536 55.860232</t>
  </si>
  <si>
    <t>Детский сад № 14 Берёзка</t>
  </si>
  <si>
    <t>ул. Кошкина, 19Б, Волжск</t>
  </si>
  <si>
    <t>+7 (83631) 4-58-77, +7 (83631) 4-79-75</t>
  </si>
  <si>
    <t xml:space="preserve">avolzhsk@mail.ru, volzhsk1@yandexl.ru, doy14-vol.2010@yandex.ru </t>
  </si>
  <si>
    <t>http://doy14-vol.narod.ru/</t>
  </si>
  <si>
    <t>48.394896 55.847699</t>
  </si>
  <si>
    <t>Детский сад № 12 Солнышко</t>
  </si>
  <si>
    <t>Пролетарская ул., 18А, Волжск</t>
  </si>
  <si>
    <t>+7 (83631) 4-60-77, +7 (83631) 4-79-75</t>
  </si>
  <si>
    <t>http://dou12.org.ru/</t>
  </si>
  <si>
    <t>48.388101 55.853716</t>
  </si>
  <si>
    <t>детская художественная школа города Волжска</t>
  </si>
  <si>
    <t>+7 (83631) 4-68-77, +7 (83631) 4-04-41, +7 (83631) 4-58-84</t>
  </si>
  <si>
    <t>Дополнительное образование, Клуб для детей и подростков, Учебный центр, Школа искусств</t>
  </si>
  <si>
    <t>https://vk.com/public143128479</t>
  </si>
  <si>
    <t>48.330501 55.870399</t>
  </si>
  <si>
    <t>ПиFFко</t>
  </si>
  <si>
    <t>Зелёная ул., 1, Волжск</t>
  </si>
  <si>
    <t>+7 (909) 369-27-55, +7 (905) 008-24-83</t>
  </si>
  <si>
    <t>48.377199 55.860278</t>
  </si>
  <si>
    <t>Риэлт-сервис</t>
  </si>
  <si>
    <t>+7 (960) 093-31-80</t>
  </si>
  <si>
    <t>Агентство недвижимости, Кредитный брокер</t>
  </si>
  <si>
    <t>МОУ СШ № 10 города Волжска Республики Марий Эл</t>
  </si>
  <si>
    <t>ул. Прохорова, 120А, Волжск</t>
  </si>
  <si>
    <t>+7 (83631) 6-82-67, +7 (83631) 6-82-65, +7 (83631) 6-82-72</t>
  </si>
  <si>
    <t xml:space="preserve">tan-kirillova@yandex.ru  </t>
  </si>
  <si>
    <t>http://schol10.com.ru/</t>
  </si>
  <si>
    <t>48.35093 55.882112</t>
  </si>
  <si>
    <t>Автосервис у Тимура</t>
  </si>
  <si>
    <t>Россия, Республика Марий Эл, Волжск, поселок Мамасево</t>
  </si>
  <si>
    <t>+7 (961) 378-29-75</t>
  </si>
  <si>
    <t>48.354706 55.900917</t>
  </si>
  <si>
    <t>ул. Орлова, 2, Волжск</t>
  </si>
  <si>
    <t>48.346999 55.868981</t>
  </si>
  <si>
    <t>Аликанто</t>
  </si>
  <si>
    <t>+7 (906) 139-65-21, +7 (962) 589-95-60</t>
  </si>
  <si>
    <t xml:space="preserve">expertiza.olimp@yandex.ru </t>
  </si>
  <si>
    <t>Автосервис, автотехцентр, Изготовление номерных знаков, Переоборудование транспортных средств</t>
  </si>
  <si>
    <t>https://vk.com/id519022403</t>
  </si>
  <si>
    <t>Детский сад № 13 Буратино г. Волжска</t>
  </si>
  <si>
    <t>ул. Щорса, 24А, Волжск</t>
  </si>
  <si>
    <t>+7 (83631) 4-60-56, +7 (83631) 4-61-99</t>
  </si>
  <si>
    <t xml:space="preserve">dou13buratino@mail.ru </t>
  </si>
  <si>
    <t>http://dou13.org.ru/</t>
  </si>
  <si>
    <t>48.386057 55.852037</t>
  </si>
  <si>
    <t>Коммунистическая ул., 6, Волжск</t>
  </si>
  <si>
    <t>Детские игрушки и игры, Магазин подарков и сувениров</t>
  </si>
  <si>
    <t>48.38637 55.855488</t>
  </si>
  <si>
    <t>Цветы Подарки</t>
  </si>
  <si>
    <t>Коммунистическая ул., 4Б, Волжск</t>
  </si>
  <si>
    <t>48.386428 55.855392</t>
  </si>
  <si>
    <t>48.383064 55.860413</t>
  </si>
  <si>
    <t>Helen</t>
  </si>
  <si>
    <t>+7 (83631) 6-33-88</t>
  </si>
  <si>
    <t>+7 (960) 096-67-37</t>
  </si>
  <si>
    <t xml:space="preserve">ra-helen@mail.ru </t>
  </si>
  <si>
    <t>Магазин постельных принадлежно</t>
  </si>
  <si>
    <t>ул. Дружбы, 8, Волжск</t>
  </si>
  <si>
    <t>48.337253 55.866907</t>
  </si>
  <si>
    <t>ул. Шестакова, 6, Волжск</t>
  </si>
  <si>
    <t>+7 (83631) 4-64-54, +7 (83631) 4-00-02</t>
  </si>
  <si>
    <t>48.334967 55.869165</t>
  </si>
  <si>
    <t>пн-пт 07:00–19:00, перерыв 14:00–15:00; сб 07:00–18:00, перерыв 14:00–15:00; вс 08:00–18:00, перерыв 14:00–15:00</t>
  </si>
  <si>
    <t>48.383179 55.882049</t>
  </si>
  <si>
    <t>Фасон Мир дешевой одежды и обуви</t>
  </si>
  <si>
    <t>48.38675 55.852409</t>
  </si>
  <si>
    <t>Коммунистическая ул., 10А, Волжск</t>
  </si>
  <si>
    <t>ежедневно, 08:00–16:00, перерыв 12:00–12:30</t>
  </si>
  <si>
    <t>48.385245 55.855037</t>
  </si>
  <si>
    <t>+7 (961) 374-99-54</t>
  </si>
  <si>
    <t>48.383235 55.882149</t>
  </si>
  <si>
    <t>Упаковка</t>
  </si>
  <si>
    <t>ул. Ленина, 56А, Волжск</t>
  </si>
  <si>
    <t>Магазин посуды, Одноразовая посуда, Тара и упаковочные материалы</t>
  </si>
  <si>
    <t>пн-пт 08:30–16:00, перерыв 12:00–13:00; сб,вс 08:30–14:00, перерыв 12:00–13:00</t>
  </si>
  <si>
    <t>48.361313 55.865381</t>
  </si>
  <si>
    <t>48.380288 55.859757</t>
  </si>
  <si>
    <t>Парихмахерская Магия</t>
  </si>
  <si>
    <t>48.338218 55.868816</t>
  </si>
  <si>
    <t>Экоцентр</t>
  </si>
  <si>
    <t>ул. Гагарина, 5, Волжск</t>
  </si>
  <si>
    <t>+7 (83631) 4-74-32</t>
  </si>
  <si>
    <t>+7 (906) 138-31-21</t>
  </si>
  <si>
    <t>48.381968 55.86109</t>
  </si>
  <si>
    <t>ул. Ленина, 16/1, Волжск</t>
  </si>
  <si>
    <t>48.379121 55.860443</t>
  </si>
  <si>
    <t>48.337983 55.868189</t>
  </si>
  <si>
    <t>Россия, Республика Марий Эл, Волжск, улица Чапаева</t>
  </si>
  <si>
    <t>пн-пт 07:00–19:00, перерыв 13:00–13:30; сб,вс 07:00–16:00, перерыв 13:00–13:30</t>
  </si>
  <si>
    <t>48.383521 55.859377</t>
  </si>
  <si>
    <t>Мир подарков</t>
  </si>
  <si>
    <t>48.356918 55.865264</t>
  </si>
  <si>
    <t>Ключ к здоровью</t>
  </si>
  <si>
    <t>Россия, Республика Марий Эл, Волжск, улица Матюшенко</t>
  </si>
  <si>
    <t>+7 (843) 276-55-24, +7 (843) 276-54-78</t>
  </si>
  <si>
    <t xml:space="preserve">kluch_zdorovya-kazan@mail.ru  </t>
  </si>
  <si>
    <t>http://kazan-voda.ru/</t>
  </si>
  <si>
    <t>ежедневно, 08:00–19:30, перерывы 10:40–11:00, 13:00–14:00, 16:20–16:40</t>
  </si>
  <si>
    <t>48.371924 55.865859</t>
  </si>
  <si>
    <t>Алладин</t>
  </si>
  <si>
    <t>Россия, Республика Марий Эл, Волжск, Строительная улица</t>
  </si>
  <si>
    <t>+7 (961) 335-51-15, +7 (903) 388-69-19</t>
  </si>
  <si>
    <t xml:space="preserve">info@bytusluga.ru  </t>
  </si>
  <si>
    <t>http://bytusluga.ru/, http://входнойковер.рф/</t>
  </si>
  <si>
    <t>http://vk.com/bytusluga</t>
  </si>
  <si>
    <t>1001 Ночь</t>
  </si>
  <si>
    <t>ул. 107-й Бригады, 2А, Волжск</t>
  </si>
  <si>
    <t>48.37304 55.883949</t>
  </si>
  <si>
    <t>48.339882 55.871992</t>
  </si>
  <si>
    <t>48.355134 55.868477</t>
  </si>
  <si>
    <t>48.362299 55.865019</t>
  </si>
  <si>
    <t>Единая Служба Доставки</t>
  </si>
  <si>
    <t>http://vk.com/eda112</t>
  </si>
  <si>
    <t>48.369265 55.864879</t>
  </si>
  <si>
    <t>Ладушки</t>
  </si>
  <si>
    <t>48.382328 55.882488</t>
  </si>
  <si>
    <t>+7 (8362) 39-09-06</t>
  </si>
  <si>
    <t>+7 (937) 939-09-06</t>
  </si>
  <si>
    <t>http://volzhsk-city.ru/</t>
  </si>
  <si>
    <t>http://vk.com/cinemael</t>
  </si>
  <si>
    <t>http://instagram.com/cinema_el</t>
  </si>
  <si>
    <t>48.367879 55.863431</t>
  </si>
  <si>
    <t>Средняя школа № 2 имени Героя России Валерия Иванова</t>
  </si>
  <si>
    <t>ул. Шестакова, 44, Волжск</t>
  </si>
  <si>
    <t>+7 (83631) 4-78-89, +7 (83631) 4-78-75</t>
  </si>
  <si>
    <t xml:space="preserve">scol2@scv2.org.ru  </t>
  </si>
  <si>
    <t>http://scv2.org.ru/</t>
  </si>
  <si>
    <t>пн-пт 08:00–15:00; сб 08:00–13:00</t>
  </si>
  <si>
    <t>48.346809 55.873433</t>
  </si>
  <si>
    <t>ул. 107-й Бригады, 10Б, Волжск</t>
  </si>
  <si>
    <t>48.38304 55.881424</t>
  </si>
  <si>
    <t>Магазин детской обуви, магазин детской одежды, Детские игрушки и игры, Детский магазин</t>
  </si>
  <si>
    <t>48.349639 55.866927</t>
  </si>
  <si>
    <t>ул. Шестакова, 9Б, Волжск</t>
  </si>
  <si>
    <t>+7 (906) 139-40-55</t>
  </si>
  <si>
    <t>48.334334 55.869448</t>
  </si>
  <si>
    <t>Цветочный рай</t>
  </si>
  <si>
    <t>48.381208 55.882969</t>
  </si>
  <si>
    <t>Express</t>
  </si>
  <si>
    <t>ул. Ленина, 68/1, Волжск</t>
  </si>
  <si>
    <t xml:space="preserve">volzhsk-city@mail.ru </t>
  </si>
  <si>
    <t>48.34941 55.868471</t>
  </si>
  <si>
    <t>Рыболовные товары</t>
  </si>
  <si>
    <t>48.359172 55.866453</t>
  </si>
  <si>
    <t>Россия, Республика Марий Эл, Волжск, жилой район Машиностроитель</t>
  </si>
  <si>
    <t>48.38834 55.880143</t>
  </si>
  <si>
    <t>Фотомир</t>
  </si>
  <si>
    <t>+7 (909) 367-84-44</t>
  </si>
  <si>
    <t>48.383351 55.882121</t>
  </si>
  <si>
    <t>Мужской</t>
  </si>
  <si>
    <t>48.361164 55.865145</t>
  </si>
  <si>
    <t>Pizza Exspress</t>
  </si>
  <si>
    <t>ул. Ленина, 64/1, Волжск</t>
  </si>
  <si>
    <t>+7 (906) 336-06-98</t>
  </si>
  <si>
    <t>пн-чт 12:00–00:00; пт-вс 12:00–01:00</t>
  </si>
  <si>
    <t>48.352693 55.867466</t>
  </si>
  <si>
    <t>Мясной магазин Йола маркет</t>
  </si>
  <si>
    <t>48.347373 55.868269</t>
  </si>
  <si>
    <t>ул. Ленина, 25, Волжск</t>
  </si>
  <si>
    <t>48.375578 55.861014</t>
  </si>
  <si>
    <t>ул. Дружбы, 14Б, Волжск</t>
  </si>
  <si>
    <t>пн-сб 08:00–18:00; вс 08:00–16:00</t>
  </si>
  <si>
    <t>48.337245 55.868384</t>
  </si>
  <si>
    <t>Риволи</t>
  </si>
  <si>
    <t>48.354179 55.866406</t>
  </si>
  <si>
    <t>48.38194 55.882993</t>
  </si>
  <si>
    <t>+7 (917) 292-30-87</t>
  </si>
  <si>
    <t>48.366546 55.866069</t>
  </si>
  <si>
    <t>ул. 107-й Бригады, 1В, Волжск</t>
  </si>
  <si>
    <t>48.376773 55.884799</t>
  </si>
  <si>
    <t>Магазин одежды Серега</t>
  </si>
  <si>
    <t>Сельскохозяйственный магазин</t>
  </si>
  <si>
    <t>48.37894 55.86157</t>
  </si>
  <si>
    <t>48.382016 55.858566</t>
  </si>
  <si>
    <t>ул. 107-й Бригады, 7А, Волжск</t>
  </si>
  <si>
    <t>48.383293 55.882353</t>
  </si>
  <si>
    <t>+7 (909) 308-31-59</t>
  </si>
  <si>
    <t>48.356411 55.866894</t>
  </si>
  <si>
    <t>Turbo</t>
  </si>
  <si>
    <t>+7 (960) 094-61-66, +7 (917) 070-04-14, +7 (987) 733-42-23</t>
  </si>
  <si>
    <t>48.365004 55.863711</t>
  </si>
  <si>
    <t>ул. Воложка, 2, Волжск</t>
  </si>
  <si>
    <t>48.396328 55.847668</t>
  </si>
  <si>
    <t>ул. 107-й Бригады, 10Д, Волжск</t>
  </si>
  <si>
    <t>ежедневно, 07:30–19:00, перерыв 13:00–13:30</t>
  </si>
  <si>
    <t>48.383419 55.88158</t>
  </si>
  <si>
    <t>ТК ГрузЭкспресс</t>
  </si>
  <si>
    <t>ул. Дружбы, 19, Волжск</t>
  </si>
  <si>
    <t>+7 (909) 369-08-58, +7 (957) 758-23-08</t>
  </si>
  <si>
    <t>http://vk.com/gruzekspress</t>
  </si>
  <si>
    <t>48.340385 55.865925</t>
  </si>
  <si>
    <t>Торговый центр Дружба</t>
  </si>
  <si>
    <t>Торговый центр, Универмаг</t>
  </si>
  <si>
    <t>Срочное фото, ксерокопия</t>
  </si>
  <si>
    <t>333Арт</t>
  </si>
  <si>
    <t>ул. Ленина, 52В, Волжск</t>
  </si>
  <si>
    <t>+7 (960) 093-60-60</t>
  </si>
  <si>
    <t>48.365394 55.864545</t>
  </si>
  <si>
    <t>Лазурь</t>
  </si>
  <si>
    <t>ул. Ленина, 68А, Волжск</t>
  </si>
  <si>
    <t>48.348927 55.868192</t>
  </si>
  <si>
    <t>Магазин дисков Bd, CD, DVD</t>
  </si>
  <si>
    <t>48.346584 55.86834</t>
  </si>
  <si>
    <t>Sofi</t>
  </si>
  <si>
    <t>ул. Щорса, 37, Волжск</t>
  </si>
  <si>
    <t>+7 (960) 099-30-81</t>
  </si>
  <si>
    <t>48.38756 55.85259</t>
  </si>
  <si>
    <t>Печатный дворик</t>
  </si>
  <si>
    <t>+7 (964) 860-84-27</t>
  </si>
  <si>
    <t>Копировальный центр, Рекламная продукция</t>
  </si>
  <si>
    <t>ежедневно, 09:00–17:30, перерыв 13:00–13:30</t>
  </si>
  <si>
    <t>https://instagram.com/pechatdvoric</t>
  </si>
  <si>
    <t>48.356796 55.865294</t>
  </si>
  <si>
    <t>Детские товары</t>
  </si>
  <si>
    <t>48.360099 55.864548</t>
  </si>
  <si>
    <t>48.357063 55.86552</t>
  </si>
  <si>
    <t>Церковь Новомучеников и Исповедников Церкви Русской</t>
  </si>
  <si>
    <t>Россия, Республика Марий Эл, Волжск, жилой район Юго-Западный</t>
  </si>
  <si>
    <t>48.328139 55.869777</t>
  </si>
  <si>
    <t>Стрелок</t>
  </si>
  <si>
    <t>+7 (961) 379-67-77</t>
  </si>
  <si>
    <t xml:space="preserve">strelok_volzsh@mail.ru, strelok_volzsk@mail.ru  </t>
  </si>
  <si>
    <t>http://strelok-12.ru/</t>
  </si>
  <si>
    <t>Центр повышения квалификации, Школа охраны</t>
  </si>
  <si>
    <t>ежедневно, 10:00–17:30</t>
  </si>
  <si>
    <t>48.36985 55.869242</t>
  </si>
  <si>
    <t>Спорт, рыбалка, туризм</t>
  </si>
  <si>
    <t>+7 (963) 127-67-91</t>
  </si>
  <si>
    <t xml:space="preserve">maria05goncharenko31@gmail.com  </t>
  </si>
  <si>
    <t>https://vk.com/club193482642</t>
  </si>
  <si>
    <t>48.359673 55.864543</t>
  </si>
  <si>
    <t>Вита Т</t>
  </si>
  <si>
    <t>Мир потолков</t>
  </si>
  <si>
    <t>+7 (8362) 24-18-18, +7 (83631) 4-97-36</t>
  </si>
  <si>
    <t>+7 (902) 430-58-03</t>
  </si>
  <si>
    <t xml:space="preserve">mir-potolkov@mail.ru  </t>
  </si>
  <si>
    <t>http://mirpotolkov116.ru/</t>
  </si>
  <si>
    <t>Магазин обоев, Натяжные и подвесные потолки, Светильники</t>
  </si>
  <si>
    <t>пн-пт 08:30–20:00; сб,вс 08:30–18:00</t>
  </si>
  <si>
    <t>https://vk.com/mirpotolkov116</t>
  </si>
  <si>
    <t>https://www.facebook.com/pg/%D0%9C%D0%B8%D1%80-%D0%BF%D0%BE%D1%82%D0%BE%D0%BB%D0%BA%D0%BE%D0%B2-882539625238394/about/?ref=page_internal</t>
  </si>
  <si>
    <t>https://www.youtube.com/channel/UCsNoYiysMjbwStvunqlqXMg</t>
  </si>
  <si>
    <t>https://www.instagram.com/mirpotolkov116/</t>
  </si>
  <si>
    <t>48.354485 55.86632</t>
  </si>
  <si>
    <t>ул. Дружбы, 9, Волжск</t>
  </si>
  <si>
    <t>+7 (83631) 4-81-11, +7 (83631) 6-93-88</t>
  </si>
  <si>
    <t>48.337419 55.866011</t>
  </si>
  <si>
    <t>Ренс</t>
  </si>
  <si>
    <t>+7 (906) 335-03-04</t>
  </si>
  <si>
    <t xml:space="preserve">9645015758@pro-ptr.ru, 9645015463@pro-ptr.ru, 9670920364@pro-ptr.ru, 9645015614@pro-ptr.ru, 9645015761@pro-ptr.ru, 9688043035@pro-ptr.ru, 9645638269@pro-ptr.ru, 9654380854@pro-ptr.ru </t>
  </si>
  <si>
    <t>48.344776 55.859444</t>
  </si>
  <si>
    <t>Schwarzkopf professional</t>
  </si>
  <si>
    <t>ул. Ленина, 29, Волжск</t>
  </si>
  <si>
    <t>48.373979 55.861276</t>
  </si>
  <si>
    <t>48.380251 55.859702</t>
  </si>
  <si>
    <t>48.365094 55.864216</t>
  </si>
  <si>
    <t>48.352824 55.86657</t>
  </si>
  <si>
    <t>Париж</t>
  </si>
  <si>
    <t>48.383159 55.882182</t>
  </si>
  <si>
    <t>ул. Мира, 23, Волжск</t>
  </si>
  <si>
    <t>ежедневно, 08:00–21:00, перерыв 14:00–15:00</t>
  </si>
  <si>
    <t>48.341966 55.865573</t>
  </si>
  <si>
    <t>Арлекино</t>
  </si>
  <si>
    <t>ул. Ленина, 56/1, Волжск</t>
  </si>
  <si>
    <t>48.359208 55.866157</t>
  </si>
  <si>
    <t>Торговый дом катерина</t>
  </si>
  <si>
    <t>Светотехника, Электромонтажные и электроустановочные изделия, Электротехническая продукция</t>
  </si>
  <si>
    <t>48.358097 55.866439</t>
  </si>
  <si>
    <t>Центр Недвижимости и юридических услуг Ваш партнер</t>
  </si>
  <si>
    <t>+7 (83631) 6-42-42</t>
  </si>
  <si>
    <t>+7 (960) 097-02-22</t>
  </si>
  <si>
    <t>Пиffко</t>
  </si>
  <si>
    <t>Юбилейная ул., 18А, Волжск</t>
  </si>
  <si>
    <t>+7 (905) 008-24-83</t>
  </si>
  <si>
    <t>48.388528 55.883064</t>
  </si>
  <si>
    <t>Православная библиотека</t>
  </si>
  <si>
    <t>ул. Палантая, 38/1, Волжск</t>
  </si>
  <si>
    <t>48.362985 55.86511</t>
  </si>
  <si>
    <t>48.3776 55.861409</t>
  </si>
  <si>
    <t>Магазин канцтоваров, игрушек, игр</t>
  </si>
  <si>
    <t>Россия, Республика Марий Эл, Волжск, улица Щорса</t>
  </si>
  <si>
    <t>Pyramida</t>
  </si>
  <si>
    <t>ул. Ленина, 35А, Волжск</t>
  </si>
  <si>
    <t>чт 16:00–02:00; пт,сб 16:00–04:00</t>
  </si>
  <si>
    <t>48.372672 55.86163</t>
  </si>
  <si>
    <t>Ломбард Виват</t>
  </si>
  <si>
    <t>ул. Ленина, 31, Волжск</t>
  </si>
  <si>
    <t>48.373595 55.860928</t>
  </si>
  <si>
    <t>Торговый центр Империя</t>
  </si>
  <si>
    <t>+7 (83631) 6-17-77</t>
  </si>
  <si>
    <t>48.359292 55.866189</t>
  </si>
  <si>
    <t>ул. 107-й Бригады, 10Ж, Волжск</t>
  </si>
  <si>
    <t>48.383965 55.881381</t>
  </si>
  <si>
    <t>Ремонт Обуви</t>
  </si>
  <si>
    <t>Россия, Республика Марий Эл, Волжск, Октябрьская улица</t>
  </si>
  <si>
    <t>ежедневно, 08:00–16:00</t>
  </si>
  <si>
    <t>48.358541 55.866137</t>
  </si>
  <si>
    <t>+7 (843) 240-63-98</t>
  </si>
  <si>
    <t xml:space="preserve">gorizall@yandex.ru  </t>
  </si>
  <si>
    <t>http://gorizal.ru/</t>
  </si>
  <si>
    <t>Металлоизделия, Металлообработка</t>
  </si>
  <si>
    <t>48.37753 55.86106</t>
  </si>
  <si>
    <t>48.338966 55.871534</t>
  </si>
  <si>
    <t>+7 (903) 050-70-40, +7 (917) 713-84-84</t>
  </si>
  <si>
    <t>48.383286 55.882171</t>
  </si>
  <si>
    <t>48.360175 55.864501</t>
  </si>
  <si>
    <t>Стоматологическая поликлиника г. Волжск, второй филиал</t>
  </si>
  <si>
    <t>http://st150.poliklinic.ru/</t>
  </si>
  <si>
    <t>48.383361 55.85822</t>
  </si>
  <si>
    <t>48.387232 55.85103</t>
  </si>
  <si>
    <t>ул. Ленина, 52А, Волжск</t>
  </si>
  <si>
    <t>Мотосалон, Электро- и бензоинструмент</t>
  </si>
  <si>
    <t>48.364098 55.8647</t>
  </si>
  <si>
    <t>48.383542 55.85983</t>
  </si>
  <si>
    <t>Золотая миля</t>
  </si>
  <si>
    <t>ул. Прохорова, 116А, Волжск</t>
  </si>
  <si>
    <t>+7 (917) 706-61-11, +7 (963) 127-22-22, +7 (903) 050-60-50</t>
  </si>
  <si>
    <t>48.353572 55.879899</t>
  </si>
  <si>
    <t>ул. Шестакова, 5, Волжск</t>
  </si>
  <si>
    <t>+7 (83631) 4-79-99, +7 (83631) 4-39-52</t>
  </si>
  <si>
    <t>48.332911 55.868743</t>
  </si>
  <si>
    <t>Автомобилист</t>
  </si>
  <si>
    <t>+7 (963) 127-77-26</t>
  </si>
  <si>
    <t>пн-пт 15:00–18:00</t>
  </si>
  <si>
    <t>48.33648 55.869968</t>
  </si>
  <si>
    <t>Эконом+</t>
  </si>
  <si>
    <t>48.381449 55.882771</t>
  </si>
  <si>
    <t>С нуля в Миллионеры</t>
  </si>
  <si>
    <t>ул. Люксембург, 15, Волжск</t>
  </si>
  <si>
    <t>8 (800) 505-19-34</t>
  </si>
  <si>
    <t>+7 (904) 672-91-45</t>
  </si>
  <si>
    <t xml:space="preserve">info@dm-winner.ru  </t>
  </si>
  <si>
    <t>http://dm-winner.com/</t>
  </si>
  <si>
    <t>http://vk.com/dem.million</t>
  </si>
  <si>
    <t>48.361181 55.873753</t>
  </si>
  <si>
    <t>ул. 107-й Бригады, 6А, Волжск</t>
  </si>
  <si>
    <t>48.377987 55.883022</t>
  </si>
  <si>
    <t>ул. Кабанова, 5Б, Волжск</t>
  </si>
  <si>
    <t>+7 (964) 861-46-00</t>
  </si>
  <si>
    <t>http://vk.com/club119849808</t>
  </si>
  <si>
    <t>48.388414 55.879676</t>
  </si>
  <si>
    <t>ВДК</t>
  </si>
  <si>
    <t>+7 (83631) 6-66-66</t>
  </si>
  <si>
    <t>+7 (961) 333-11-11</t>
  </si>
  <si>
    <t xml:space="preserve">vdk.ooo@yandex.ru  </t>
  </si>
  <si>
    <t>http://www.ooovdk.ru/</t>
  </si>
  <si>
    <t>Детская мебель, Мебельная фабрика</t>
  </si>
  <si>
    <t>48.345004 55.859492</t>
  </si>
  <si>
    <t>Фокинский</t>
  </si>
  <si>
    <t>48.386536 55.880668</t>
  </si>
  <si>
    <t>пн-чт 10:00–00:00; пт,сб 10:00–01:00</t>
  </si>
  <si>
    <t>48.348927 55.867349</t>
  </si>
  <si>
    <t>Сладкий Склад</t>
  </si>
  <si>
    <t>48.35702 55.865481</t>
  </si>
  <si>
    <t>Тавис</t>
  </si>
  <si>
    <t>+7 (83631) 4-81-93, +7 (83631) 6-04-00</t>
  </si>
  <si>
    <t>+7 (902) 100-05-09</t>
  </si>
  <si>
    <t>48.332048 55.871183</t>
  </si>
  <si>
    <t>Труада</t>
  </si>
  <si>
    <t>48.382916 55.881414</t>
  </si>
  <si>
    <t>48.384159 55.881378</t>
  </si>
  <si>
    <t>Райян</t>
  </si>
  <si>
    <t>ул. Ленина, 58А, Волжск</t>
  </si>
  <si>
    <t>48.359447 55.865778</t>
  </si>
  <si>
    <t>+7 (83631) 6-13-21</t>
  </si>
  <si>
    <t>Ателье по пошиву одежды, Магазин ткани, Меховое ателье, Ремонт кожи</t>
  </si>
  <si>
    <t>48.354781 55.866144</t>
  </si>
  <si>
    <t>Мелочи жизни</t>
  </si>
  <si>
    <t>48.359449 55.865824</t>
  </si>
  <si>
    <t>Центр развития физической культуры и спорта</t>
  </si>
  <si>
    <t>+7 (83631) 6-82-77, +7 (83631) 6-46-56, +7 (83631) 4-79-75</t>
  </si>
  <si>
    <t>http://sportshkola-vol.com.ru/, http://sportshkola-vol.narod.ru/</t>
  </si>
  <si>
    <t>48.352557 55.877496</t>
  </si>
  <si>
    <t>Новоапостольская церковь</t>
  </si>
  <si>
    <t>ул. Щорса, 29, Волжск</t>
  </si>
  <si>
    <t xml:space="preserve">info@nak.org.ru </t>
  </si>
  <si>
    <t>http://www.novoapost.ru/</t>
  </si>
  <si>
    <t>48.384999 55.854083</t>
  </si>
  <si>
    <t>ул. Дружбы, 25, Волжск</t>
  </si>
  <si>
    <t>48.343296 55.866771</t>
  </si>
  <si>
    <t>Мир продуктов</t>
  </si>
  <si>
    <t>48.382515 55.859958</t>
  </si>
  <si>
    <t>+7 (83631) 5-10-02</t>
  </si>
  <si>
    <t>https://asna.ru/, https://zdravcity.ru/</t>
  </si>
  <si>
    <t>пн-пт 08:00–19:00; сб 09:00–18:00; вс 09:00–17:00</t>
  </si>
  <si>
    <t>48.356342 55.866707</t>
  </si>
  <si>
    <t>48.371377 55.862777</t>
  </si>
  <si>
    <t>+7 (969) 778-23-30</t>
  </si>
  <si>
    <t>48.389116 55.851818</t>
  </si>
  <si>
    <t>ул. Гагарина, 23, Волжск</t>
  </si>
  <si>
    <t>+7 (83631) 6-09-01, +7 (83631) 6-09-04, +7 (83631) 6-46-86</t>
  </si>
  <si>
    <t>48.370451 55.864444</t>
  </si>
  <si>
    <t>Агенство недвижимости Талисман</t>
  </si>
  <si>
    <t>+7 (961) 379-02-36</t>
  </si>
  <si>
    <t>Любимые зубки</t>
  </si>
  <si>
    <t>+7 (961) 333-33-30, +7 (927) 881-11-55</t>
  </si>
  <si>
    <t>48.33793 55.868254</t>
  </si>
  <si>
    <t>+7 (961) 374-77-77</t>
  </si>
  <si>
    <t>Автомойка, Чистка ковров</t>
  </si>
  <si>
    <t>48.373575 55.865095</t>
  </si>
  <si>
    <t>ул. Федина, 8, корп. 1, Волжск</t>
  </si>
  <si>
    <t>+7 (83631) 4-68-39, +7 (83631) 6-45-99</t>
  </si>
  <si>
    <t>48.333086 55.865951</t>
  </si>
  <si>
    <t>Артлайн</t>
  </si>
  <si>
    <t>+7 (83631) 5-10-52</t>
  </si>
  <si>
    <t>http://artline-mebel.ru/</t>
  </si>
  <si>
    <t>Кадофф</t>
  </si>
  <si>
    <t>+7 (83631) 5-10-06</t>
  </si>
  <si>
    <t>Салон металлоизделий</t>
  </si>
  <si>
    <t>+7 (961) 374-05-24</t>
  </si>
  <si>
    <t xml:space="preserve">volzhsk-metal@yandex.ru  </t>
  </si>
  <si>
    <t>http://volzhsk-metal.narod2.ru/</t>
  </si>
  <si>
    <t>Двери, Кованые изделия, Металлические заборы и ограждения, Металлоизделия, Сейфы</t>
  </si>
  <si>
    <t>пн-пт 08:00–17:30; сб 09:00–13:00</t>
  </si>
  <si>
    <t>Цветы Кредо</t>
  </si>
  <si>
    <t>ул. Ленина, 55А, Волжск</t>
  </si>
  <si>
    <t>+7 (905) 182-01-52, +7 (961) 379-54-54</t>
  </si>
  <si>
    <t>48.360459 55.864876</t>
  </si>
  <si>
    <t>Ювелирный отдел</t>
  </si>
  <si>
    <t>ул. Ленина, 60В, Волжск</t>
  </si>
  <si>
    <t>48.358685 55.865749</t>
  </si>
  <si>
    <t>ул. Ленина, 55Б, Волжск</t>
  </si>
  <si>
    <t>48.360121 55.864939</t>
  </si>
  <si>
    <t>Зал дзю-до</t>
  </si>
  <si>
    <t>48.353477 55.866507</t>
  </si>
  <si>
    <t>Константин</t>
  </si>
  <si>
    <t>пн-сб 09:00–17:00; вс 09:00–15:00</t>
  </si>
  <si>
    <t>48.343499 55.8669</t>
  </si>
  <si>
    <t>48.384895 55.853951</t>
  </si>
  <si>
    <t>ПРОМСНАБ</t>
  </si>
  <si>
    <t>ул. Щорса, 16, корп. 1, Волжск</t>
  </si>
  <si>
    <t>+7 (961) 333-59-72, +7 (909) 368-36-75</t>
  </si>
  <si>
    <t>Магазин автозапчастей и автотоваров, Подшипники, Производство и оптовая продажа автозапчастей</t>
  </si>
  <si>
    <t>48.383417 55.853858</t>
  </si>
  <si>
    <t>48.348667 55.867078</t>
  </si>
  <si>
    <t>Каравай 24</t>
  </si>
  <si>
    <t>ул. 107-й Бригады, 11А, Волжск</t>
  </si>
  <si>
    <t>48.386911 55.881091</t>
  </si>
  <si>
    <t>Бухгалтер</t>
  </si>
  <si>
    <t>+7 (917) 702-83-23</t>
  </si>
  <si>
    <t>Древесная мука</t>
  </si>
  <si>
    <t>+7 (83631) 6-32-05</t>
  </si>
  <si>
    <t>+7 (960) 091-47-77</t>
  </si>
  <si>
    <t xml:space="preserve">drevmuka@bk.ru  </t>
  </si>
  <si>
    <t>http://drevmuka12.ru/</t>
  </si>
  <si>
    <t>48.359743 55.863591</t>
  </si>
  <si>
    <t>ул. Кузьмина, 37, Волжск</t>
  </si>
  <si>
    <t>48.347976 55.866828</t>
  </si>
  <si>
    <t>http://piffkovolzhsk.wix.com/piff</t>
  </si>
  <si>
    <t>http://vk.com/club113083548</t>
  </si>
  <si>
    <t>48.337285 55.86793</t>
  </si>
  <si>
    <t>Масла мира</t>
  </si>
  <si>
    <t>ежедневно, 09:00–19:00, перерыв 13:00–14:00</t>
  </si>
  <si>
    <t>Джинсовый салон Синий лев</t>
  </si>
  <si>
    <t>48.35795 55.866444</t>
  </si>
  <si>
    <t>Техноальянс</t>
  </si>
  <si>
    <t>+7 (960) 049-31-07</t>
  </si>
  <si>
    <t xml:space="preserve">tehn.alians@yandex.ru </t>
  </si>
  <si>
    <t>http://tehnalians.ru/</t>
  </si>
  <si>
    <t>48.36232 55.865034</t>
  </si>
  <si>
    <t>У ксюши</t>
  </si>
  <si>
    <t>48.35819 55.865809</t>
  </si>
  <si>
    <t>48.377121 55.860282</t>
  </si>
  <si>
    <t>48.382554 55.859901</t>
  </si>
  <si>
    <t>48.367632 55.863489</t>
  </si>
  <si>
    <t>48.35934 55.866227</t>
  </si>
  <si>
    <t>Песочная ул., 27, Волжск</t>
  </si>
  <si>
    <t>+7 (962) 590-74-46</t>
  </si>
  <si>
    <t>Косметология, Оборудование и материалы для салонов красоты, Салон красоты</t>
  </si>
  <si>
    <t>48.351524 55.869809</t>
  </si>
  <si>
    <t>Cin-Cin</t>
  </si>
  <si>
    <t>ул. Шестакова, 1А, Волжск</t>
  </si>
  <si>
    <t>48.33243 55.868351</t>
  </si>
  <si>
    <t>Londa</t>
  </si>
  <si>
    <t>48.352664 55.866712</t>
  </si>
  <si>
    <t>48.362141 55.865068</t>
  </si>
  <si>
    <t>ул. Авиации, 50А, Волжск</t>
  </si>
  <si>
    <t>48.351774 55.869472</t>
  </si>
  <si>
    <t>48.388151 55.88039</t>
  </si>
  <si>
    <t>Иконная лавка</t>
  </si>
  <si>
    <t>ул. Палантая, 38А, Волжск</t>
  </si>
  <si>
    <t>48.36267 55.864851</t>
  </si>
  <si>
    <t>Ferrit-Studio</t>
  </si>
  <si>
    <t>+7 (83631) 4-45-45</t>
  </si>
  <si>
    <t>Массажный салон, Спортивное питание, Фитнес-клуб</t>
  </si>
  <si>
    <t>пн-пт 08:00–22:00; сб,вс 09:00–19:00</t>
  </si>
  <si>
    <t>https://vk.com/ferritstudio_volzhsk</t>
  </si>
  <si>
    <t>https://www.instagram.com/ferritstudio_volzhsk</t>
  </si>
  <si>
    <t>48.352587 55.867493</t>
  </si>
  <si>
    <t>48.377658 55.86089</t>
  </si>
  <si>
    <t>Коммунистическая ул., 8, Волжск</t>
  </si>
  <si>
    <t>+7 (83631) 6-32-42</t>
  </si>
  <si>
    <t>48.386082 55.854761</t>
  </si>
  <si>
    <t>Парикмахерская О. D. E. O.</t>
  </si>
  <si>
    <t>Дворец культуры Мцбк</t>
  </si>
  <si>
    <t>ул. Ленина, 33, Волжск</t>
  </si>
  <si>
    <t>+7 (83631) 6-94-32, +7 (83631) 6-94-29, +7 (83631) 5-16-10</t>
  </si>
  <si>
    <t>Дом культуры, Дополнительное образование</t>
  </si>
  <si>
    <t>48.373178 55.861342</t>
  </si>
  <si>
    <t>48.367884 55.863649</t>
  </si>
  <si>
    <t>48.37886 55.860239</t>
  </si>
  <si>
    <t>Мебельный салон Волжанка</t>
  </si>
  <si>
    <t>Заводская ул., 2, Волжск</t>
  </si>
  <si>
    <t>+7 (83631) 6-34-92</t>
  </si>
  <si>
    <t>Детская мебель, Корпусная мебель, Магазин мебели, Мебель для кухни, Шкафы-купе</t>
  </si>
  <si>
    <t>пн-пт 09:00–17:00; сб,вс 09:00–16:00</t>
  </si>
  <si>
    <t>Katty</t>
  </si>
  <si>
    <t>Магазин одежды, Спортивная одежда и обувь, Трикотаж, трикотажные изделия</t>
  </si>
  <si>
    <t>Злата</t>
  </si>
  <si>
    <t>ул. Дружбы, 15А, Волжск</t>
  </si>
  <si>
    <t>48.338435 55.866163</t>
  </si>
  <si>
    <t>Флористический салон</t>
  </si>
  <si>
    <t>+7 (960) 096-99-99</t>
  </si>
  <si>
    <t>48.386324 55.8553</t>
  </si>
  <si>
    <t>Полиэкс</t>
  </si>
  <si>
    <t>Промышленная ул., 1, корп. 7А, Волжск</t>
  </si>
  <si>
    <t>+7 (960) 098-97-00</t>
  </si>
  <si>
    <t>48.37924 55.861794</t>
  </si>
  <si>
    <t>КЛЕВое место</t>
  </si>
  <si>
    <t>пн-пт 08:00–18:00; сб 08:00–17:00; вс 09:00–16:00</t>
  </si>
  <si>
    <t>48.337555 55.865637</t>
  </si>
  <si>
    <t>Керамзит</t>
  </si>
  <si>
    <t>ул. Шкетана, 3, Волжск</t>
  </si>
  <si>
    <t>+7 (905) 182-69-38</t>
  </si>
  <si>
    <t>48.352377 55.872168</t>
  </si>
  <si>
    <t>пн-сб 10:00–18:00; вс 10:00–14:00</t>
  </si>
  <si>
    <t>48.3425 55.865062</t>
  </si>
  <si>
    <t>Россия, Республика Марий Эл, Волжск, Промышленная улица</t>
  </si>
  <si>
    <t>8 (800) 700-84-44, +7 (83631) 4-31-33</t>
  </si>
  <si>
    <t xml:space="preserve">info@ariada.ru  </t>
  </si>
  <si>
    <t>http://www.ariada.ru/</t>
  </si>
  <si>
    <t>пн-пт 08:00–16:30, перерыв 13:00–13:30</t>
  </si>
  <si>
    <t>48.337235 55.916653</t>
  </si>
  <si>
    <t>Локотник</t>
  </si>
  <si>
    <t>+7 (969) 778-21-90</t>
  </si>
  <si>
    <t xml:space="preserve">info@lokotnik.ru  </t>
  </si>
  <si>
    <t>http://lokotnik.ru/</t>
  </si>
  <si>
    <t>Автоаксессуары, Интернет-магазин</t>
  </si>
  <si>
    <t>http://vk.com/lokotnik</t>
  </si>
  <si>
    <t>http://ok.ru/group/52665405669509</t>
  </si>
  <si>
    <t>http://twitter.com/lokotnik_ru</t>
  </si>
  <si>
    <t>http://www.facebook.com/lokotnik</t>
  </si>
  <si>
    <t>http://instagram.com/lokotnik</t>
  </si>
  <si>
    <t>Торговый дом Мир Мебели</t>
  </si>
  <si>
    <t>+7 (83631) 6-11-42</t>
  </si>
  <si>
    <t>+7 (969) 779-25-00</t>
  </si>
  <si>
    <t>https://mir-mebeli12.ru/</t>
  </si>
  <si>
    <t>Детская мебель, Мебель на заказ, Мебельная фабрика</t>
  </si>
  <si>
    <t>Автозапчасти и автосервис</t>
  </si>
  <si>
    <t>ул. Мамасево, 95А, корп. 1, Волжск</t>
  </si>
  <si>
    <t>48.35473 55.900881</t>
  </si>
  <si>
    <t>Все для иномарок</t>
  </si>
  <si>
    <t>48.370138 55.862895</t>
  </si>
  <si>
    <t>ул. 107-й Бригады, 14А, Волжск</t>
  </si>
  <si>
    <t>48.387217 55.880179</t>
  </si>
  <si>
    <t>Автомойка Заря</t>
  </si>
  <si>
    <t>1-я Дубовая ул., 2А, Волжск</t>
  </si>
  <si>
    <t>+7 (969) 778-22-62</t>
  </si>
  <si>
    <t>http://vk.com/club115259401</t>
  </si>
  <si>
    <t>48.390345 55.848196</t>
  </si>
  <si>
    <t>Натуралочки у Светланочки</t>
  </si>
  <si>
    <t>Снежок</t>
  </si>
  <si>
    <t>48.379201 55.861883</t>
  </si>
  <si>
    <t>Клеящие вещества и материалы, Лакокрасочные материалы, Магазин обоев</t>
  </si>
  <si>
    <t>ул. 107-й Бригады, 5Г, Волжск</t>
  </si>
  <si>
    <t>48.383136 55.882804</t>
  </si>
  <si>
    <t>AutoCity</t>
  </si>
  <si>
    <t>+7 (960) 099-80-80</t>
  </si>
  <si>
    <t>48.333264 55.863796</t>
  </si>
  <si>
    <t>Exsclusive</t>
  </si>
  <si>
    <t>ул. Ленина, 65, Волжск</t>
  </si>
  <si>
    <t>48.350847 55.866981</t>
  </si>
  <si>
    <t>Центр покупок</t>
  </si>
  <si>
    <t>Кузофф</t>
  </si>
  <si>
    <t>Промышленная ул., 3, Волжск</t>
  </si>
  <si>
    <t>+7 (961) 336-15-19</t>
  </si>
  <si>
    <t xml:space="preserve">support@webnames.ru </t>
  </si>
  <si>
    <t>48.325428 55.919271</t>
  </si>
  <si>
    <t>Волшебный сундучок</t>
  </si>
  <si>
    <t>Коммунистическая ул., 7, Волжск</t>
  </si>
  <si>
    <t>48.385944 55.85393</t>
  </si>
  <si>
    <t>Paradox</t>
  </si>
  <si>
    <t>Отличный</t>
  </si>
  <si>
    <t>Магазин сантехники, Мебель для ванных комнат</t>
  </si>
  <si>
    <t>48.340404 55.871847</t>
  </si>
  <si>
    <t>Сластена</t>
  </si>
  <si>
    <t>48.359604 55.86589</t>
  </si>
  <si>
    <t>+7 (961) 376-74-09</t>
  </si>
  <si>
    <t>48.359788 55.864554</t>
  </si>
  <si>
    <t>Учебный центр по подготовки частных охранников Гарант</t>
  </si>
  <si>
    <t>+7 (83631) 4-01-49</t>
  </si>
  <si>
    <t>48.386245 55.876377</t>
  </si>
  <si>
    <t>Магазин посуды, Магазин хозтоваров и бытовой химии, Светотехника</t>
  </si>
  <si>
    <t>48.358883 55.866329</t>
  </si>
  <si>
    <t>Эгоистка</t>
  </si>
  <si>
    <t>ул. 107-й Бригады, 3, Волжск</t>
  </si>
  <si>
    <t>48.377655 55.883856</t>
  </si>
  <si>
    <t>Компьютерный доктор</t>
  </si>
  <si>
    <t>+7 (937) 935-95-59</t>
  </si>
  <si>
    <t>https://vk.com/club79712023</t>
  </si>
  <si>
    <t>48.35995 55.864495</t>
  </si>
  <si>
    <t>Россия, Республика Марий Эл, Волжск, улица Кошкина</t>
  </si>
  <si>
    <t>48.396216 55.846933</t>
  </si>
  <si>
    <t xml:space="preserve">mebel-na-zakaz12@mail.ru  </t>
  </si>
  <si>
    <t>https://www.korpusnaya-mebel-volzhsk.ru/</t>
  </si>
  <si>
    <t>Корпусная мебель, Мебель для кухни, Мебель на заказ, Шкафы-купе</t>
  </si>
  <si>
    <t>https://vk.com/mebelnazakaz12</t>
  </si>
  <si>
    <t>https://ok.ru/profile/580933808385</t>
  </si>
  <si>
    <t>https://www.instagram.com/mebelzakaz_vol/</t>
  </si>
  <si>
    <t>ул. Ленина, 58В, Волжск</t>
  </si>
  <si>
    <t>48.358964 55.865794</t>
  </si>
  <si>
    <t>Семь дней</t>
  </si>
  <si>
    <t>48.380227 55.859834</t>
  </si>
  <si>
    <t>Товары для творчества и рукоде</t>
  </si>
  <si>
    <t>пн-пт 09:15–18:00; сб,вс 09:15–17:00</t>
  </si>
  <si>
    <t>48.382189 55.860054</t>
  </si>
  <si>
    <t>+7 (83631) 4-36-04</t>
  </si>
  <si>
    <t>48.349161 55.867355</t>
  </si>
  <si>
    <t>Народное</t>
  </si>
  <si>
    <t>+7 (903) 050-88-88</t>
  </si>
  <si>
    <t>Россия, Республика Марий Эл, Волжск, парк Дружба</t>
  </si>
  <si>
    <t>48.338523 55.866972</t>
  </si>
  <si>
    <t>Бизнес-центр Ариада</t>
  </si>
  <si>
    <t>48.372797 55.863998</t>
  </si>
  <si>
    <t>Доставка воды Ключ Здоровья</t>
  </si>
  <si>
    <t>Россия, Республика Марий Эл, Волжск, улица Дружбы</t>
  </si>
  <si>
    <t>ежедневно, 08:00–19:30, перерыв 13:00–14:00</t>
  </si>
  <si>
    <t>48.335079 55.865901</t>
  </si>
  <si>
    <t>48.376386 55.860847</t>
  </si>
  <si>
    <t>Otc</t>
  </si>
  <si>
    <t>ул. 107-й Бригады, 10/3, Волжск</t>
  </si>
  <si>
    <t>+7 (917) 716-11-85, +7 (961) 373-84-43</t>
  </si>
  <si>
    <t>http://onebudget.ru/</t>
  </si>
  <si>
    <t>http://www.facebook.com/stake1</t>
  </si>
  <si>
    <t>48.381886 55.880363</t>
  </si>
  <si>
    <t>Волжская мебельная компания</t>
  </si>
  <si>
    <t>Вокзальный пр., 4А, Волжск</t>
  </si>
  <si>
    <t>+7 (83631) 6-19-27</t>
  </si>
  <si>
    <t>48.355598 55.8615</t>
  </si>
  <si>
    <t>пн-пт 08:00–18:00, перерыв 13:00–13:30; сб,вс 08:00–16:00</t>
  </si>
  <si>
    <t>48.337395 55.865861</t>
  </si>
  <si>
    <t>Колдмаркет</t>
  </si>
  <si>
    <t>Транспортная ул., 2Е, Волжск</t>
  </si>
  <si>
    <t>8 (800) 700-73-55</t>
  </si>
  <si>
    <t>+7 (917) 710-04-17</t>
  </si>
  <si>
    <t xml:space="preserve">marketing@coldmarket.ru  </t>
  </si>
  <si>
    <t>https://coldmarket.ru/</t>
  </si>
  <si>
    <t>48.362106 55.887771</t>
  </si>
  <si>
    <t>48.379201 55.860137</t>
  </si>
  <si>
    <t>Сим-Сим</t>
  </si>
  <si>
    <t>ул. Щорса, 37А, Волжск</t>
  </si>
  <si>
    <t>48.38842 55.85218</t>
  </si>
  <si>
    <t>48.34248 55.864878</t>
  </si>
  <si>
    <t>48.349136 55.866708</t>
  </si>
  <si>
    <t>Уголок хозяйки</t>
  </si>
  <si>
    <t>Семь морей</t>
  </si>
  <si>
    <t>48.338274 55.866195</t>
  </si>
  <si>
    <t>48.386138 55.876392</t>
  </si>
  <si>
    <t>Такси Русская тройка</t>
  </si>
  <si>
    <t>+7 (960) 093-33-30</t>
  </si>
  <si>
    <t>48.351288 55.879002</t>
  </si>
  <si>
    <t>Магазин радиодеталей и антенного оборудования</t>
  </si>
  <si>
    <t>Вокзальный пер., 1, Волжск</t>
  </si>
  <si>
    <t>+7 (906) 139-96-76</t>
  </si>
  <si>
    <t>Антенны, Магазин радиодеталей, Радиотехника, Спутниковое телевидение, Электронные приборы и компоненты</t>
  </si>
  <si>
    <t>48.360662 55.86369</t>
  </si>
  <si>
    <t>Белый квадрат</t>
  </si>
  <si>
    <t>ГБУ Республики Марий-Эл город Волжск Патологоанатомическое отделение</t>
  </si>
  <si>
    <t>Советская ул., 44, Волжск</t>
  </si>
  <si>
    <t>+7 (961) 337-65-61</t>
  </si>
  <si>
    <t>48.402244 55.850548</t>
  </si>
  <si>
    <t>+7 (83631) 4-03-00</t>
  </si>
  <si>
    <t>48.381888 55.883156</t>
  </si>
  <si>
    <t>ул. Кошкина, 26, Волжск</t>
  </si>
  <si>
    <t>48.397103 55.846587</t>
  </si>
  <si>
    <t>+7 (961) 336-67-87</t>
  </si>
  <si>
    <t>Спецодежда, Средства индивидуальной защиты, Трикотаж, трикотажные изделия, Швейная фабрика</t>
  </si>
  <si>
    <t>https://vk.com/public119172317</t>
  </si>
  <si>
    <t>https://twitter.com/odejdasalut</t>
  </si>
  <si>
    <t>https://www.facebook.com/odejdasalut</t>
  </si>
  <si>
    <t>Пивной бар</t>
  </si>
  <si>
    <t>ул. Кирова, 6А, Волжск</t>
  </si>
  <si>
    <t>48.342965 55.865825</t>
  </si>
  <si>
    <t>+7 (962) 589-46-88</t>
  </si>
  <si>
    <t>48.36225 55.86502</t>
  </si>
  <si>
    <t>ул. Ленина, 60А, Волжск</t>
  </si>
  <si>
    <t>48.358766 55.865692</t>
  </si>
  <si>
    <t>пн-пт 10:00–18:00; сб,вс 09:00–17:00</t>
  </si>
  <si>
    <t>48.382187 55.860086</t>
  </si>
  <si>
    <t>Филиппок</t>
  </si>
  <si>
    <t>48.382719 55.859838</t>
  </si>
  <si>
    <t>Одежда обувь и многое другое</t>
  </si>
  <si>
    <t>ул. Дружбы, 5, Волжск</t>
  </si>
  <si>
    <t>48.336066 55.865664</t>
  </si>
  <si>
    <t>48.33634 55.864956</t>
  </si>
  <si>
    <t>Remix</t>
  </si>
  <si>
    <t>Вокзальный пер., 6, Волжск</t>
  </si>
  <si>
    <t>48.360963 55.863991</t>
  </si>
  <si>
    <t>+7 (965) 609-75-60</t>
  </si>
  <si>
    <t xml:space="preserve">valya_ermol@mail.ru  </t>
  </si>
  <si>
    <t>Ателье по пошиву одежды, Меховое ателье, Ремонт кожи, Швейная фурнитура</t>
  </si>
  <si>
    <t>https://vk.com/kavaly_atelier</t>
  </si>
  <si>
    <t>48.382261 55.86007</t>
  </si>
  <si>
    <t>Банк Йошкар-Ола. Банкомат</t>
  </si>
  <si>
    <t>48.332003 55.92085</t>
  </si>
  <si>
    <t>Creativ</t>
  </si>
  <si>
    <t>+7 (905) 379-44-00</t>
  </si>
  <si>
    <t>48.33338 55.86354</t>
  </si>
  <si>
    <t>Эко ресурс</t>
  </si>
  <si>
    <t>Йошкар-Олинское ш., 7, Волжск</t>
  </si>
  <si>
    <t>+7 (961) 333-25-24</t>
  </si>
  <si>
    <t>Пиломатериалы, Тара и упаковочные материалы</t>
  </si>
  <si>
    <t>48.359348 55.877592</t>
  </si>
  <si>
    <t>Лавина</t>
  </si>
  <si>
    <t>Одежда и обувь для всей семьи</t>
  </si>
  <si>
    <t>48.337636 55.867435</t>
  </si>
  <si>
    <t>48.361539 55.864034</t>
  </si>
  <si>
    <t>Волжский хлеб</t>
  </si>
  <si>
    <t>48.337877 55.866788</t>
  </si>
  <si>
    <t>Магазин Игрушки</t>
  </si>
  <si>
    <t>+7 (909) 367-66-99</t>
  </si>
  <si>
    <t>48.383683 55.882515</t>
  </si>
  <si>
    <t>Boomeranggym</t>
  </si>
  <si>
    <t>+7 (917) 700-01-51</t>
  </si>
  <si>
    <t>пн-пт 07:00–21:00; сб,вс 08:00–20:00</t>
  </si>
  <si>
    <t>http://vk.com/boomeranggym</t>
  </si>
  <si>
    <t>http://instagram.com/boomeranggym</t>
  </si>
  <si>
    <t>Спутник+</t>
  </si>
  <si>
    <t>+7 (843) 248-07-80</t>
  </si>
  <si>
    <t>+7 (905) 379-87-58</t>
  </si>
  <si>
    <t>http://rusat.tv/</t>
  </si>
  <si>
    <t>Антенны, Домофоны, Противопожарные системы, Системы безопасности и охраны, Спутниковое телевидение</t>
  </si>
  <si>
    <t>https://vk.com/padykine</t>
  </si>
  <si>
    <t>48.360985 55.863887</t>
  </si>
  <si>
    <t>Remax</t>
  </si>
  <si>
    <t>+7 (960) 091-57-56, +7 (964) 864-44-59</t>
  </si>
  <si>
    <t>https://vk.com/volzhsk.natiazhnye.potolki</t>
  </si>
  <si>
    <t>48.359543 55.864445</t>
  </si>
  <si>
    <t>Визажисты, стилисты, Ногтевая студия, Парикмахерская</t>
  </si>
  <si>
    <t>48.350897 55.879286</t>
  </si>
  <si>
    <t>+7 (961) 337-36-05</t>
  </si>
  <si>
    <t>http://www.agrotz.ru/</t>
  </si>
  <si>
    <t>Магазин автозапчастей и автотоваров, Подшипники</t>
  </si>
  <si>
    <t>http://vk.com/agrotz</t>
  </si>
  <si>
    <t>48.38361 55.8538</t>
  </si>
  <si>
    <t>+7 (83631) 6-09-43</t>
  </si>
  <si>
    <t>Кованые изделия, Металлическая мебель, Металлоконструкции, Металлообработка, Окна</t>
  </si>
  <si>
    <t>ул. Гагарина, 32А, Волжск</t>
  </si>
  <si>
    <t>+7 (83631) 6-13-43, +7 (83631) 6-25-38</t>
  </si>
  <si>
    <t>48.373704 55.864463</t>
  </si>
  <si>
    <t>Рокит Медиа</t>
  </si>
  <si>
    <t>+7 (961) 378-37-77</t>
  </si>
  <si>
    <t>48.34004 55.863825</t>
  </si>
  <si>
    <t>Mix</t>
  </si>
  <si>
    <t>48.36066 55.863724</t>
  </si>
  <si>
    <t>Россия, Республика Марий Эл, Волжск, 3-я Заречная улица</t>
  </si>
  <si>
    <t>+7 (905) 008-13-03</t>
  </si>
  <si>
    <t>48.401564 55.843237</t>
  </si>
  <si>
    <t>Такси Комфорт</t>
  </si>
  <si>
    <t>Молодёжная ул., 2А, Волжск</t>
  </si>
  <si>
    <t>+7 (83631) 4-03-03</t>
  </si>
  <si>
    <t>+7 (937) 938-72-75, +7 (960) 096-55-30, +7 (917) 702-44-00</t>
  </si>
  <si>
    <t>48.344735 55.8608</t>
  </si>
  <si>
    <t>48.340603 55.863819</t>
  </si>
  <si>
    <t>48.33617 55.868637</t>
  </si>
  <si>
    <t>ул. Волга, 3А, Волжск</t>
  </si>
  <si>
    <t>+7 (937) 470-70-12</t>
  </si>
  <si>
    <t>48.38486 55.851586</t>
  </si>
  <si>
    <t>Lokotniki.ru</t>
  </si>
  <si>
    <t>8 (800) 700-95-37</t>
  </si>
  <si>
    <t>48.35809 55.866409</t>
  </si>
  <si>
    <t>ул. Шестакова, 103Б, Волжск</t>
  </si>
  <si>
    <t>48.349396 55.880856</t>
  </si>
  <si>
    <t>Школа № 5, корпус 2</t>
  </si>
  <si>
    <t>Коммунистическая ул., 4, Волжск</t>
  </si>
  <si>
    <t>48.386935 55.856016</t>
  </si>
  <si>
    <t>48.359258 55.866471</t>
  </si>
  <si>
    <t>48.358881 55.865682</t>
  </si>
  <si>
    <t>Производство мягкой мебели</t>
  </si>
  <si>
    <t>Россия, Республика Марий Эл, Волжск, промышленный район Прибрежный</t>
  </si>
  <si>
    <t>48.344297 55.858231</t>
  </si>
  <si>
    <t>48.384434 55.860275</t>
  </si>
  <si>
    <t>Autolux</t>
  </si>
  <si>
    <t>48.3829 55.854664</t>
  </si>
  <si>
    <t>Konstanta</t>
  </si>
  <si>
    <t>ул. Дружбы, 16, корп. 1, Волжск</t>
  </si>
  <si>
    <t>48.338883 55.869637</t>
  </si>
  <si>
    <t>Ласточкино гнездо</t>
  </si>
  <si>
    <t>Крайняя ул., 39Б, Волжск</t>
  </si>
  <si>
    <t>+7 (905) 379-73-73</t>
  </si>
  <si>
    <t>48.375548 55.872996</t>
  </si>
  <si>
    <t>48.385412 55.851585</t>
  </si>
  <si>
    <t>Miss О</t>
  </si>
  <si>
    <t>+7 (903) 050-05-01</t>
  </si>
  <si>
    <t>Магазин бижутерии, Магазин одежды, Парики, накладные пряди, волосы для наращивания</t>
  </si>
  <si>
    <t>вт-вс 08:30–15:00</t>
  </si>
  <si>
    <t>Нулевой километр</t>
  </si>
  <si>
    <t>+7 (83631) 6-03-04</t>
  </si>
  <si>
    <t>+7 (961) 336-03-04</t>
  </si>
  <si>
    <t>https://vk.com/zerokilometr</t>
  </si>
  <si>
    <t>http://instagram.com/0_kilometr</t>
  </si>
  <si>
    <t>48.364972 55.863748</t>
  </si>
  <si>
    <t>Садовый центр</t>
  </si>
  <si>
    <t>48.360085 55.881645</t>
  </si>
  <si>
    <t>Россия, Республика Марий Эл, Волжск, жилой район Центральный</t>
  </si>
  <si>
    <t>48.366633 55.864367</t>
  </si>
  <si>
    <t>Сластёна</t>
  </si>
  <si>
    <t>48.383889 55.859916</t>
  </si>
  <si>
    <t>Городской пляж</t>
  </si>
  <si>
    <t>Россия, Республика Марий Эл, Волжск, микрорайон Прибрежный</t>
  </si>
  <si>
    <t>48.32677 55.862831</t>
  </si>
  <si>
    <t>Бюро Ритуальных Услуг Городского Округа Город Волжск</t>
  </si>
  <si>
    <t>+7 (960) 096-16-66, +7 (960) 095-96-66</t>
  </si>
  <si>
    <t xml:space="preserve">mypbru@yandex.ru  </t>
  </si>
  <si>
    <t>http://ritual12.ru/</t>
  </si>
  <si>
    <t>48.393649 55.847003</t>
  </si>
  <si>
    <t>+7 (83631) 6-04-04</t>
  </si>
  <si>
    <t>48.355198 55.866195</t>
  </si>
  <si>
    <t>Газовое оборудование и отопление</t>
  </si>
  <si>
    <t>Газовое оборудование, Отопительное оборудование и системы</t>
  </si>
  <si>
    <t>48.359207 55.864006</t>
  </si>
  <si>
    <t>Зал единоборств</t>
  </si>
  <si>
    <t>ул. 107-й Бригады, 2Б, Волжск</t>
  </si>
  <si>
    <t>48.37614 55.883682</t>
  </si>
  <si>
    <t>Сад и огород</t>
  </si>
  <si>
    <t>Магазин для садоводов, Магазин семян, Садовый инвентарь и техника</t>
  </si>
  <si>
    <t>48.35055 55.879158</t>
  </si>
  <si>
    <t>Йошкар-Олинское ш., 16А, Волжск</t>
  </si>
  <si>
    <t>48.359116 55.8886</t>
  </si>
  <si>
    <t>ул. Ленина, 60, Волжск</t>
  </si>
  <si>
    <t>48.350887 55.868126</t>
  </si>
  <si>
    <t>Евро Окна</t>
  </si>
  <si>
    <t>48.350823 55.86839</t>
  </si>
  <si>
    <t>Россия, Республика Марий Эл, Волжск, садовое товарищество Волгарь, улица 1а</t>
  </si>
  <si>
    <t>48.410781 55.832459</t>
  </si>
  <si>
    <t>48.38348 55.854893</t>
  </si>
  <si>
    <t>ул. Ленина, 47, Волжск</t>
  </si>
  <si>
    <t>48.36516 55.863409</t>
  </si>
  <si>
    <t>MebVersal</t>
  </si>
  <si>
    <t>+7 (83631) 4-66-33</t>
  </si>
  <si>
    <t>+7 (969) 779-42-45</t>
  </si>
  <si>
    <t>https://mebversal.ru/</t>
  </si>
  <si>
    <t>https://vk.com/mkversal</t>
  </si>
  <si>
    <t>Зелёная ул., 4А, Волжск</t>
  </si>
  <si>
    <t>48.378757 55.861195</t>
  </si>
  <si>
    <t>+7 (83631) 4-29-70</t>
  </si>
  <si>
    <t>http://королёв-волжск.рф/</t>
  </si>
  <si>
    <t>пн-пт 07:30–16:00, перерыв 11:45–12:15</t>
  </si>
  <si>
    <t>48.348182 55.912561</t>
  </si>
  <si>
    <t>Те Самые. Элитные полуфабрикаты ручного изготовления</t>
  </si>
  <si>
    <t>+7 (906) 138-76-80</t>
  </si>
  <si>
    <t xml:space="preserve">tecam@inbox.ru  </t>
  </si>
  <si>
    <t>https://vk.com/tecam</t>
  </si>
  <si>
    <t>ул. Чапаева, 15, корп. 1, Волжск</t>
  </si>
  <si>
    <t>48.383091 55.860458</t>
  </si>
  <si>
    <t>48.37433 55.855869</t>
  </si>
  <si>
    <t>Barber</t>
  </si>
  <si>
    <t>Одежда для будущих мам</t>
  </si>
  <si>
    <t>48.379071 55.861725</t>
  </si>
  <si>
    <t>+7 (83631) 6-20-22</t>
  </si>
  <si>
    <t>+7 (902) 100-50-00</t>
  </si>
  <si>
    <t xml:space="preserve">reklama@vottakieokna.ru, corporate@vottakieokna.ru, shop@vottakieokna.ru  </t>
  </si>
  <si>
    <t>https://vottakieokna.ru/</t>
  </si>
  <si>
    <t>пн-пт 09:00–18:00, перерыв 13:00–14:00; сб,вс 10:00–16:00, перерыв 13:00–14:00</t>
  </si>
  <si>
    <t>https://vk.com/vottakieokna</t>
  </si>
  <si>
    <t>https://www.facebook.com/vottakieokna</t>
  </si>
  <si>
    <t>https://www.instagram.com/vottakieokna</t>
  </si>
  <si>
    <t>48.349637 55.866819</t>
  </si>
  <si>
    <t>Правозащитник</t>
  </si>
  <si>
    <t>48.365944 55.863354</t>
  </si>
  <si>
    <t>48.378838 55.86056</t>
  </si>
  <si>
    <t>Канцфорум</t>
  </si>
  <si>
    <t>48.360104 55.864384</t>
  </si>
  <si>
    <t>Котельная № 9 ООО МТсК</t>
  </si>
  <si>
    <t>48.38527 55.860709</t>
  </si>
  <si>
    <t>Россия, Республика Марий Эл, Волжск, жилой район Северный</t>
  </si>
  <si>
    <t>48.353049 55.878927</t>
  </si>
  <si>
    <t>Afina</t>
  </si>
  <si>
    <t>48.359674 55.864357</t>
  </si>
  <si>
    <t>48.369 55.86461</t>
  </si>
  <si>
    <t>48.348354 55.86628</t>
  </si>
  <si>
    <t>+7 (906) 334-07-89</t>
  </si>
  <si>
    <t>ВКУСняшка</t>
  </si>
  <si>
    <t>ул. Ленина, 57В, Волжск</t>
  </si>
  <si>
    <t>+7 (917) 719-04-04, +7 (917) 719-01-01</t>
  </si>
  <si>
    <t>Кофейня, Столовая</t>
  </si>
  <si>
    <t>48.358077 55.864922</t>
  </si>
  <si>
    <t>ул. Матюшенко, 30Б, Волжск</t>
  </si>
  <si>
    <t>https://volzhsk.shoecareshop.ru/</t>
  </si>
  <si>
    <t>Интернет-магазин, Обувная косметика</t>
  </si>
  <si>
    <t>48.370559 55.868354</t>
  </si>
  <si>
    <t>Фотокопицентр</t>
  </si>
  <si>
    <t>Копировальный центр, Товары для мобильных телефонов</t>
  </si>
  <si>
    <t>Россия, Республика Марий Эл, Волжск, улица Леваневского</t>
  </si>
  <si>
    <t>48.378518 55.859969</t>
  </si>
  <si>
    <t>Пицца Мания</t>
  </si>
  <si>
    <t>ул. Ленина, 62А, Казань</t>
  </si>
  <si>
    <t>48.356704 55.866399</t>
  </si>
  <si>
    <t>48.34873 55.867349</t>
  </si>
  <si>
    <t>48.36211 55.864998</t>
  </si>
  <si>
    <t>Bosch service</t>
  </si>
  <si>
    <t>48.359751 55.864541</t>
  </si>
  <si>
    <t>48.347978 55.872202</t>
  </si>
  <si>
    <t>Отопление, теплый пол</t>
  </si>
  <si>
    <t>48.349 55.878082</t>
  </si>
  <si>
    <t>48.358211 55.865797</t>
  </si>
  <si>
    <t>48.381982 55.860201</t>
  </si>
  <si>
    <t>Интернациональная ул., 7, Волжск</t>
  </si>
  <si>
    <t>48.386363 55.859048</t>
  </si>
  <si>
    <t>Верхняя Луговая ул., 2В, Волжск</t>
  </si>
  <si>
    <t>48.293457 55.88611</t>
  </si>
  <si>
    <t>Октябрьская ул., 62Е, Волжск</t>
  </si>
  <si>
    <t>Двери, Кованые изделия, Металлические заборы и ограждения, Металлоизделия</t>
  </si>
  <si>
    <t>пн-пт 08:30–17:30; сб,вс 08:30–14:00</t>
  </si>
  <si>
    <t>Транспортная ул., 2, корп. 1, Волжск</t>
  </si>
  <si>
    <t>Котлы и котельное оборудование, Монтаж и обслуживание систем водоснабжения и канализации, Насосы, насосное оборудование, Системы водоснабжения, отопления, канализации, Трубы и трубопроводная арматура</t>
  </si>
  <si>
    <t>48.36162 55.887302</t>
  </si>
  <si>
    <t>Flora</t>
  </si>
  <si>
    <t>ул. Чапаева, 12, Волжск</t>
  </si>
  <si>
    <t>48.38365 55.859173</t>
  </si>
  <si>
    <t>48.353008 55.867668</t>
  </si>
  <si>
    <t>48.357633 55.865029</t>
  </si>
  <si>
    <t>Арака</t>
  </si>
  <si>
    <t>Вина и винные напитки оптом, Магазин алкогольных напитков</t>
  </si>
  <si>
    <t>48.386734 55.85255</t>
  </si>
  <si>
    <t>Йошкар-Олинское ш., 4, Волжск</t>
  </si>
  <si>
    <t>48.36001 55.878325</t>
  </si>
  <si>
    <t>ул. Ленина, 55Д, Волжск</t>
  </si>
  <si>
    <t>Супермаркет, Торговый центр</t>
  </si>
  <si>
    <t>48.361177 55.864184</t>
  </si>
  <si>
    <t>Студия цветов Ваш Букет</t>
  </si>
  <si>
    <t>+7 (906) 138-66-66, +7 (906) 138-88-79, +7 (962) 588-69-69</t>
  </si>
  <si>
    <t xml:space="preserve">tanyusha9449@mail.ru  </t>
  </si>
  <si>
    <t>https://vk.com/vashbuket12</t>
  </si>
  <si>
    <t>48.351993 55.867</t>
  </si>
  <si>
    <t>Художественная школа МЦБК</t>
  </si>
  <si>
    <t>48.373197 55.861579</t>
  </si>
  <si>
    <t>+7 (961) 336-79-29</t>
  </si>
  <si>
    <t>48.347997 55.867994</t>
  </si>
  <si>
    <t>48.3475 55.878952</t>
  </si>
  <si>
    <t>SkyElectronics</t>
  </si>
  <si>
    <t>8 (800) 555-12-18</t>
  </si>
  <si>
    <t>http://www.skyelectronics.ru/</t>
  </si>
  <si>
    <t>48.402543 55.844196</t>
  </si>
  <si>
    <t>+7 (960) 091-18-28</t>
  </si>
  <si>
    <t>48.333496 55.863285</t>
  </si>
  <si>
    <t>Автомагазин</t>
  </si>
  <si>
    <t>+7 (903) 326-80-02</t>
  </si>
  <si>
    <t>48.360776 55.879935</t>
  </si>
  <si>
    <t>№ 54</t>
  </si>
  <si>
    <t>ул. Матюшенко, 5А, Волжск</t>
  </si>
  <si>
    <t>48.371449 55.86568</t>
  </si>
  <si>
    <t>У Палыча</t>
  </si>
  <si>
    <t>48.337916 55.868227</t>
  </si>
  <si>
    <t>Микс мебель</t>
  </si>
  <si>
    <t>48.355114 55.866049</t>
  </si>
  <si>
    <t>Альтер</t>
  </si>
  <si>
    <t>+7 (83631) 4-02-78</t>
  </si>
  <si>
    <t>ул. Шестакова, 4, Волжск</t>
  </si>
  <si>
    <t>48.33282 55.867948</t>
  </si>
  <si>
    <t>48.338367 55.866302</t>
  </si>
  <si>
    <t>Институт профессионального развития, представительство</t>
  </si>
  <si>
    <t>+7 (967) 756-96-18</t>
  </si>
  <si>
    <t>Магазин зоотоваров</t>
  </si>
  <si>
    <t>48.332786 55.867955</t>
  </si>
  <si>
    <t>+7 (960) 095-18-76</t>
  </si>
  <si>
    <t>пн-пт 08:00–16:00; сб,вс 09:00–13:00</t>
  </si>
  <si>
    <t>48.359735 55.864594</t>
  </si>
  <si>
    <t>ArtSоюз</t>
  </si>
  <si>
    <t>+7 (905) 182-23-00</t>
  </si>
  <si>
    <t xml:space="preserve">drcorel@mail.ru, dreamcatcher-nk@mail.ru  </t>
  </si>
  <si>
    <t>http://artsouz.org/</t>
  </si>
  <si>
    <t>https://vk.com/artsouz_official</t>
  </si>
  <si>
    <t>https://www.facebook.com/%D0%A0%D0%B5%D0%BA%D0%BB%D0%B0%D0%BC%D0%BD%D0%BE-%D0%BF%D1%80%D0%BE%D0%B8%D0%B7%D0%B2%D0%BE%D0%B4%D1%81%D1%82%D0%B2%D0%B5%D0%BD%D0%BD%D0%B0%D1%8F-%D0%B3%D1%80%D1%83%D0%BF%D0%BF%D0%B0-ArtS%D0%BE%D1%8E%D0%B7-104785964461710</t>
  </si>
  <si>
    <t>48.386648 55.850772</t>
  </si>
  <si>
    <t>ул. Пугачёва, 4, Волжск</t>
  </si>
  <si>
    <t>48.342182 55.870407</t>
  </si>
  <si>
    <t>Aigul Ka Nail Shop</t>
  </si>
  <si>
    <t>Оборудование и материалы для салонов красоты, Средства гигиены</t>
  </si>
  <si>
    <t>48.384309 55.859138</t>
  </si>
  <si>
    <t>Лиза</t>
  </si>
  <si>
    <t>48.356979 55.865309</t>
  </si>
  <si>
    <t>Обувная косметика, Ремонт обуви</t>
  </si>
  <si>
    <t>48.360127 55.86495</t>
  </si>
  <si>
    <t>Детский городок</t>
  </si>
  <si>
    <t>48.36492 55.864304</t>
  </si>
  <si>
    <t>ул. Кузьмина, 13, Волжск</t>
  </si>
  <si>
    <t>+7 (963) 126-01-01</t>
  </si>
  <si>
    <t>48.342606 55.861374</t>
  </si>
  <si>
    <t>48.35697 55.86554</t>
  </si>
  <si>
    <t>Photo Shop</t>
  </si>
  <si>
    <t>Копировальный центр, Магазин подарков и сувениров, Полиграфические услуги, Рекламное агентство, Фотомагазин</t>
  </si>
  <si>
    <t>48.376206 55.883598</t>
  </si>
  <si>
    <t>Торгово-сервисная компания</t>
  </si>
  <si>
    <t>ул. Гоголя, 23, Волжск</t>
  </si>
  <si>
    <t>+7 (905) 379-58-12</t>
  </si>
  <si>
    <t>Промышленное холодильное оборудование, Ремонт климатических систем, Ремонт торгового оборудования</t>
  </si>
  <si>
    <t>48.37744 55.86495</t>
  </si>
  <si>
    <t>Ваш букет</t>
  </si>
  <si>
    <t>ул. Шестакова, 127, Волжск</t>
  </si>
  <si>
    <t>48.351456 55.879448</t>
  </si>
  <si>
    <t>Re: Service</t>
  </si>
  <si>
    <t>+7 (987) 703-90-95</t>
  </si>
  <si>
    <t>https://vk.com/re.service</t>
  </si>
  <si>
    <t>Йошкар-Олинское ш., 8, Волжск</t>
  </si>
  <si>
    <t>48.360036 55.878974</t>
  </si>
  <si>
    <t>48.401153 55.843002</t>
  </si>
  <si>
    <t>ул. Кузьмина, 31, Волжск</t>
  </si>
  <si>
    <t>48.345733 55.865325</t>
  </si>
  <si>
    <t>МебельДом</t>
  </si>
  <si>
    <t>48.357426 55.864808</t>
  </si>
  <si>
    <t>Pizza time</t>
  </si>
  <si>
    <t>ул. Чапаева, 12А, Волжск</t>
  </si>
  <si>
    <t>+7 (960) 092-36-57</t>
  </si>
  <si>
    <t>http://vk.com/club102161023</t>
  </si>
  <si>
    <t>48.383637 55.859224</t>
  </si>
  <si>
    <t>Зонты</t>
  </si>
  <si>
    <t>48.35698 55.86554</t>
  </si>
  <si>
    <t>ул. Ленина, 56В, Волжск</t>
  </si>
  <si>
    <t>http://1b.ru/</t>
  </si>
  <si>
    <t>Бытовая химия оптом, Магазин парфюмерии и косметики, Товары для дома</t>
  </si>
  <si>
    <t>48.360929 55.865344</t>
  </si>
  <si>
    <t>Заводская ул., 10, Волжск</t>
  </si>
  <si>
    <t>48.339809 55.860988</t>
  </si>
  <si>
    <t>Техно Молд</t>
  </si>
  <si>
    <t>+7 (903) 322-05-27</t>
  </si>
  <si>
    <t xml:space="preserve">info@rus-mould.ru  </t>
  </si>
  <si>
    <t>https://rus-mould.ru/</t>
  </si>
  <si>
    <t>Металлообрабатывающее оборудование, Металлообработка, Оборудование для переработки пластмасс</t>
  </si>
  <si>
    <t>Фейерверки</t>
  </si>
  <si>
    <t>48.37643 55.861208</t>
  </si>
  <si>
    <t>Московский кредитный банк</t>
  </si>
  <si>
    <t>8 (800) 775-51-52, 8 (800) 100-48-88</t>
  </si>
  <si>
    <t xml:space="preserve">info@mkb.ru  </t>
  </si>
  <si>
    <t>https://mkb.ru/</t>
  </si>
  <si>
    <t>https://vk.com/bankmkb</t>
  </si>
  <si>
    <t>https://ok.ru/bankmkb</t>
  </si>
  <si>
    <t>https://twitter.com/bankmkb</t>
  </si>
  <si>
    <t>https://www.facebook.com/mkb.ru</t>
  </si>
  <si>
    <t>https://www.instagram.com/bankmkb/</t>
  </si>
  <si>
    <t>Куриный дворик</t>
  </si>
  <si>
    <t>48.359043 55.865789</t>
  </si>
  <si>
    <t>Зеленая лавка, магазин</t>
  </si>
  <si>
    <t>+7 (906) 138-24-23</t>
  </si>
  <si>
    <t xml:space="preserve">z.lavka@yandex.ru  </t>
  </si>
  <si>
    <t>Диетические и диабетические продукты, Мед и продукты пчеловодства, Фитопродукция, БАДы</t>
  </si>
  <si>
    <t>https://vk.com/zelenaya_lavka_19</t>
  </si>
  <si>
    <t>48.352377 55.867692</t>
  </si>
  <si>
    <t>48.351471 55.879042</t>
  </si>
  <si>
    <t>ул. Матюшенко, 7А, Волжск</t>
  </si>
  <si>
    <t>48.370167 55.866889</t>
  </si>
  <si>
    <t>Мир техники</t>
  </si>
  <si>
    <t>48.378248 55.860769</t>
  </si>
  <si>
    <t>Керамическая плитка, Магазин сантехники, Мебель для ванных комнат, Напольные покрытия, Стройматериалы оптом</t>
  </si>
  <si>
    <t>48.361564 55.863433</t>
  </si>
  <si>
    <t>48.351685 55.868265</t>
  </si>
  <si>
    <t>Фабрика деда-Мороза</t>
  </si>
  <si>
    <t>48.378788 55.860625</t>
  </si>
  <si>
    <t>Строй двор</t>
  </si>
  <si>
    <t>48.377856 55.883127</t>
  </si>
  <si>
    <t>Гипер Ойл</t>
  </si>
  <si>
    <t>+7 (902) 104-79-61</t>
  </si>
  <si>
    <t>Автоаксессуары, Автокосметика, автохимия, Автосервис, автотехцентр, Смазочные материалы</t>
  </si>
  <si>
    <t>48.359147 55.888518</t>
  </si>
  <si>
    <t>Русский Дом им. А. С. Пушкина</t>
  </si>
  <si>
    <t>48.37917 55.86017</t>
  </si>
  <si>
    <t>ТСЖ Доверие г. Волжск</t>
  </si>
  <si>
    <t>ул. Кузьмина, 33, Волжск</t>
  </si>
  <si>
    <t>48.3452 55.866313</t>
  </si>
  <si>
    <t>ПромТехЭксперт</t>
  </si>
  <si>
    <t>+7 (83631) 6-00-66</t>
  </si>
  <si>
    <t>48.368114 55.86458</t>
  </si>
  <si>
    <t>Черепаха</t>
  </si>
  <si>
    <t>+7 (906) 139-60-32</t>
  </si>
  <si>
    <t xml:space="preserve">nat14.96@list.ru  </t>
  </si>
  <si>
    <t>https://vk.com/cherepakha16</t>
  </si>
  <si>
    <t>Хищники Маркетинга</t>
  </si>
  <si>
    <t>8 (800) 302-80-05</t>
  </si>
  <si>
    <t xml:space="preserve">info@adswild.com  </t>
  </si>
  <si>
    <t>https://adswild.com/volzhsk/</t>
  </si>
  <si>
    <t>https://vk.com/adswild</t>
  </si>
  <si>
    <t>https://ok.ru/group/57821702062299</t>
  </si>
  <si>
    <t>https://www.facebook.com/adswild</t>
  </si>
  <si>
    <t>https://www.youtube.com/channel/UCTzwunaAI-atKpBlu7aKb3Q?view_as=subscriber</t>
  </si>
  <si>
    <t>https://www.instagram.com/adswild</t>
  </si>
  <si>
    <t>48.384061 55.860489</t>
  </si>
  <si>
    <t>Магазин бижутерии, Тара и упаковочные материалы, Товары для творчества и рукоделия</t>
  </si>
  <si>
    <t>48.383873 55.881313</t>
  </si>
  <si>
    <t>48.382725 55.87956</t>
  </si>
  <si>
    <t>48.349907 55.867153</t>
  </si>
  <si>
    <t>ЛучШин</t>
  </si>
  <si>
    <t>+7 (961) 378-20-23</t>
  </si>
  <si>
    <t>48.359471 55.865501</t>
  </si>
  <si>
    <t>Твоя оптика</t>
  </si>
  <si>
    <t>+7 (999) 145-31-32, +7 (903) 050-25-02</t>
  </si>
  <si>
    <t>https://www.instagram.com/tvoya_optika_salon</t>
  </si>
  <si>
    <t>Золотой Бриз</t>
  </si>
  <si>
    <t>https://vk.com/id402121655</t>
  </si>
  <si>
    <t>48.384107 55.854225</t>
  </si>
  <si>
    <t>48.359402 55.866272</t>
  </si>
  <si>
    <t>48.380162 55.859599</t>
  </si>
  <si>
    <t>ул. Прохорова, 116, Волжск</t>
  </si>
  <si>
    <t>+7 (906) 336-61-47</t>
  </si>
  <si>
    <t>https://vk.com/sakura12rus</t>
  </si>
  <si>
    <t>48.354473 55.879537</t>
  </si>
  <si>
    <t>Услуги швеи</t>
  </si>
  <si>
    <t>+7 (917) 709-38-67</t>
  </si>
  <si>
    <t>48.337497 55.867005</t>
  </si>
  <si>
    <t>Россия, Республика Марий Эл, Волжск, улица Чкалова</t>
  </si>
  <si>
    <t>48.394381 55.854778</t>
  </si>
  <si>
    <t>Филипок</t>
  </si>
  <si>
    <t>48.35608 55.866759</t>
  </si>
  <si>
    <t>Зоосад</t>
  </si>
  <si>
    <t>Зоомагазин, Магазин семян</t>
  </si>
  <si>
    <t>48.33764 55.868244</t>
  </si>
  <si>
    <t>Бим строй</t>
  </si>
  <si>
    <t>48.35038 55.868153</t>
  </si>
  <si>
    <t>http://волжск.алко-наркоклиник.рус/</t>
  </si>
  <si>
    <t>Чих пых shop</t>
  </si>
  <si>
    <t>+7 (909) 366-35-42</t>
  </si>
  <si>
    <t>пн-пт 11:00–22:00; сб,вс 11:00–23:00</t>
  </si>
  <si>
    <t>https://instagram.com/chih_pyh_volzhsk</t>
  </si>
  <si>
    <t>48.348708 55.867083</t>
  </si>
  <si>
    <t>BEERлога</t>
  </si>
  <si>
    <t>+7 (961) 376-07-77</t>
  </si>
  <si>
    <t>пн-пт 10:00–22:00; сб,вс 09:00–22:00</t>
  </si>
  <si>
    <t>https://vk.com/clubbeerloga12</t>
  </si>
  <si>
    <t>48.38839 55.852213</t>
  </si>
  <si>
    <t>48.392076 55.882771</t>
  </si>
  <si>
    <t>+7 (927) 994-88-88</t>
  </si>
  <si>
    <t>+7 (999) 609-24-11</t>
  </si>
  <si>
    <t>48.329211 55.874142</t>
  </si>
  <si>
    <t>Волжский гидролизно-дрожжевой завод</t>
  </si>
  <si>
    <t>48.35447 55.862947</t>
  </si>
  <si>
    <t>ул. Гаврилова, 9, Волжск</t>
  </si>
  <si>
    <t>48.377957 55.879918</t>
  </si>
  <si>
    <t>Prime</t>
  </si>
  <si>
    <t>+7 (967) 755-05-00, +7 (967) 755-05-01</t>
  </si>
  <si>
    <t>http://primcafe.business.site/</t>
  </si>
  <si>
    <t>https://vk.com/primcafe</t>
  </si>
  <si>
    <t>Юл</t>
  </si>
  <si>
    <t>+7 (903) 050-74-08</t>
  </si>
  <si>
    <t>Автомобильные грузоперевозки, Курьерские услуги, Переезды</t>
  </si>
  <si>
    <t>48.378267 55.882939</t>
  </si>
  <si>
    <t>Магазин посуды, Магазин сантехники, Магазин хозтоваров и бытовой химии, Магазин электротоваров</t>
  </si>
  <si>
    <t>пн-пт 08:00–18:30; сб,вс 08:00–17:30</t>
  </si>
  <si>
    <t>3-я Промышленная ул., 7/1, Волжск</t>
  </si>
  <si>
    <t>+7 (960) 096-05-50, +7 (960) 098-05-50</t>
  </si>
  <si>
    <t>Кованые изделия, Металлические заборы и ограждения</t>
  </si>
  <si>
    <t>48.341445 55.917359</t>
  </si>
  <si>
    <t>48.356803 55.86538</t>
  </si>
  <si>
    <t>Билеты</t>
  </si>
  <si>
    <t>48.376349 55.861231</t>
  </si>
  <si>
    <t>48.361478 55.863863</t>
  </si>
  <si>
    <t>Triton</t>
  </si>
  <si>
    <t>48.33403 55.865578</t>
  </si>
  <si>
    <t>+7 (969) 627-15-19</t>
  </si>
  <si>
    <t>Швейная фабрика Ившвеймаш</t>
  </si>
  <si>
    <t>48.359408 55.878368</t>
  </si>
  <si>
    <t>Ашамлыклар</t>
  </si>
  <si>
    <t>Пролетарская ул., 18, Волжск</t>
  </si>
  <si>
    <t>48.389868 55.853503</t>
  </si>
  <si>
    <t>Россия, Республика Марий Эл, Волжск, Городской парк культуры и отдыха</t>
  </si>
  <si>
    <t>48.387808 55.860464</t>
  </si>
  <si>
    <t>Россия, Республика Марий Эл, Волжск, Интернациональная улица</t>
  </si>
  <si>
    <t>48.391226 55.857428</t>
  </si>
  <si>
    <t>48.387997 55.860562</t>
  </si>
  <si>
    <t>48.383227 55.882146</t>
  </si>
  <si>
    <t>48.370115 55.863668</t>
  </si>
  <si>
    <t>Заправка картриджей</t>
  </si>
  <si>
    <t>48.387134 55.850872</t>
  </si>
  <si>
    <t>48.337871 55.868227</t>
  </si>
  <si>
    <t>Дом и Сад</t>
  </si>
  <si>
    <t>ул. Шестакова, 6А, Волжск</t>
  </si>
  <si>
    <t>Садовый инвентарь и техника</t>
  </si>
  <si>
    <t>48.33541 55.86907</t>
  </si>
  <si>
    <t>Бактра</t>
  </si>
  <si>
    <t xml:space="preserve">strasnyhtatana@gmail.com  </t>
  </si>
  <si>
    <t>http://www.tdbaktra.ru/</t>
  </si>
  <si>
    <t>https://vk.com/tdbaktra</t>
  </si>
  <si>
    <t>https://ok.ru/group/53998583349338</t>
  </si>
  <si>
    <t>48.358238 55.865851</t>
  </si>
  <si>
    <t>Три-О</t>
  </si>
  <si>
    <t xml:space="preserve">belyuzov.i@yandex.ru </t>
  </si>
  <si>
    <t>48.37347 55.864576</t>
  </si>
  <si>
    <t>48.37891 55.86059</t>
  </si>
  <si>
    <t>Срубы</t>
  </si>
  <si>
    <t>48.372887 55.863926</t>
  </si>
  <si>
    <t>Центр изготовления ортопедических стелек</t>
  </si>
  <si>
    <t>+7 (999) 169-51-51</t>
  </si>
  <si>
    <t xml:space="preserve">kazan@fiziostep.ru  </t>
  </si>
  <si>
    <t>http://fiziostep.ru/kazan</t>
  </si>
  <si>
    <t>Изготовление протезно-ортопедических изделий</t>
  </si>
  <si>
    <t>https://instagram.com/fiziostep_lab</t>
  </si>
  <si>
    <t>48.359935 55.864453</t>
  </si>
  <si>
    <t>Родильное отделение</t>
  </si>
  <si>
    <t>Советская ул., 44Б, Волжск</t>
  </si>
  <si>
    <t>48.398374 55.852883</t>
  </si>
  <si>
    <t>48.377798 55.861128</t>
  </si>
  <si>
    <t>Двери, Жалюзи и рулонные шторы, Натяжные и подвесные потолки, Окна, Остекление балконов и лоджий</t>
  </si>
  <si>
    <t>48.337918 55.868234</t>
  </si>
  <si>
    <t>Расым</t>
  </si>
  <si>
    <t>48.356934 55.865496</t>
  </si>
  <si>
    <t>EPi</t>
  </si>
  <si>
    <t>ул. Гагарина, 19, Волжск</t>
  </si>
  <si>
    <t>48.371684 55.863713</t>
  </si>
  <si>
    <t>Туристическое агентство InstaTour</t>
  </si>
  <si>
    <t>+7 (903) 326-07-27</t>
  </si>
  <si>
    <t>https://vk.com/club129712454</t>
  </si>
  <si>
    <t>48.36916 55.86301</t>
  </si>
  <si>
    <t>Пирожковая</t>
  </si>
  <si>
    <t>+7 (961) 375-88-20</t>
  </si>
  <si>
    <t>48.333363 55.868268</t>
  </si>
  <si>
    <t>48.384747 55.860575</t>
  </si>
  <si>
    <t>Магазин электротоваров, Электромонтажные и электроустановочные изделия</t>
  </si>
  <si>
    <t>48.36811 55.86457</t>
  </si>
  <si>
    <t>Транспортная ул., 7, Волжск</t>
  </si>
  <si>
    <t>48.362366 55.886801</t>
  </si>
  <si>
    <t>ул. Ленина, 2, Волжск</t>
  </si>
  <si>
    <t>Лакокрасочные материалы, Строительный гипермаркет</t>
  </si>
  <si>
    <t>48.38619 55.859751</t>
  </si>
  <si>
    <t>Spirit tattoo studio</t>
  </si>
  <si>
    <t>48.333538 55.863194</t>
  </si>
  <si>
    <t>Спортклуб</t>
  </si>
  <si>
    <t>48.376499 55.854815</t>
  </si>
  <si>
    <t>Закон</t>
  </si>
  <si>
    <t>+7 (960) 098-38-38</t>
  </si>
  <si>
    <t>Защита прав потребителя, Юридические услуги</t>
  </si>
  <si>
    <t>48.377422 55.861022</t>
  </si>
  <si>
    <t>Прием Металлолома</t>
  </si>
  <si>
    <t>Россия, Республика Марий Эл, Волжск, улица Мамасево</t>
  </si>
  <si>
    <t>+7 (987) 175-17-70, +7 (987) 413-68-60</t>
  </si>
  <si>
    <t>Металлоизделия, Прием металлолома, Цветные металлы</t>
  </si>
  <si>
    <t>48.357012 55.90199</t>
  </si>
  <si>
    <t>48.361267 55.864249</t>
  </si>
  <si>
    <t>48.351618 55.868459</t>
  </si>
  <si>
    <t>48.352785 55.866633</t>
  </si>
  <si>
    <t>АвтоСервисВолжск</t>
  </si>
  <si>
    <t>+7 (962) 590-60-03</t>
  </si>
  <si>
    <t>https://vk.com/autoservicevolzhsk</t>
  </si>
  <si>
    <t>https://www.instagram.com/autoservicevolzhsk/</t>
  </si>
  <si>
    <t>48.35509 55.879715</t>
  </si>
  <si>
    <t>Зиг-заг</t>
  </si>
  <si>
    <t>ул. Ленина, 10А, Волжск</t>
  </si>
  <si>
    <t>48.381433 55.859967</t>
  </si>
  <si>
    <t>48.337459 55.870741</t>
  </si>
  <si>
    <t>48.365853 55.86419</t>
  </si>
  <si>
    <t>+7 (960) 090-60-12</t>
  </si>
  <si>
    <t>Зоомагазин, Магазин для садоводов, Магазин семян, Садовый инвентарь и техника, Садовый центр</t>
  </si>
  <si>
    <t>https://vk.com/public131386429</t>
  </si>
  <si>
    <t>48.355631 55.86689</t>
  </si>
  <si>
    <t>Магазин мяса, колбас, Магазин овощей и фруктов, Магазин продуктов</t>
  </si>
  <si>
    <t>48.38656 55.852486</t>
  </si>
  <si>
    <t>ул. Дружбы, 29, Волжск</t>
  </si>
  <si>
    <t>48.346023 55.86782</t>
  </si>
  <si>
    <t>Премиум Окна</t>
  </si>
  <si>
    <t>+7 (83631) 6-04-07</t>
  </si>
  <si>
    <t xml:space="preserve">info@okna-tat.ru </t>
  </si>
  <si>
    <t>http://www.okna-tat.ru/</t>
  </si>
  <si>
    <t>48.35214 55.866844</t>
  </si>
  <si>
    <t>+7 (917) 707-64-45</t>
  </si>
  <si>
    <t>http://memorial112.ru/</t>
  </si>
  <si>
    <t>пн-пт 08:00–17:00, перерыв 12:00–13:00; сб 08:00–14:00</t>
  </si>
  <si>
    <t>48.338278 55.868992</t>
  </si>
  <si>
    <t>+7 (83631) 4-03-69, +7 (8362) 25-23-53, +7 (83631) 4-79-75</t>
  </si>
  <si>
    <t xml:space="preserve">2dkaskad@mail.ru, cdo-kaskad@mail.ru, larisavanyukova@yandex.ru, volzhsk1@yandex.ru, avolzhsk@mail.ru  </t>
  </si>
  <si>
    <t>http://centrkaskad.ucoz.ru/</t>
  </si>
  <si>
    <t>48.374692 55.882359</t>
  </si>
  <si>
    <t>Лиг</t>
  </si>
  <si>
    <t>2-я Промышленная ул., 2, Волжск</t>
  </si>
  <si>
    <t>+7 (905) 182-80-45</t>
  </si>
  <si>
    <t>48.347013 55.913798</t>
  </si>
  <si>
    <t>Мир одежды и обуви</t>
  </si>
  <si>
    <t>48.348957 55.867523</t>
  </si>
  <si>
    <t>48.388313 55.860701</t>
  </si>
  <si>
    <t>Мицуба Рус</t>
  </si>
  <si>
    <t>3-я Промышленная ул., 1, Волжск</t>
  </si>
  <si>
    <t>+7 (83631) 4-02-88</t>
  </si>
  <si>
    <t>пн-пт 07:50–16:50, перерыв 12:10–12:50</t>
  </si>
  <si>
    <t>48.332075 55.91235</t>
  </si>
  <si>
    <t>48.376101 55.883647</t>
  </si>
  <si>
    <t>Советская ул., 44/1, Волжск</t>
  </si>
  <si>
    <t>48.39799 55.85245</t>
  </si>
  <si>
    <t>Россия, Республика Марий Эл, Волжск, жилой район Восточный</t>
  </si>
  <si>
    <t>48.40455 55.844714</t>
  </si>
  <si>
    <t>Мебельный салон Славная Мебель</t>
  </si>
  <si>
    <t>Юрист Рустем Зуфарович</t>
  </si>
  <si>
    <t>+7 (906) 334-39-45</t>
  </si>
  <si>
    <t xml:space="preserve">youlianna1985@mail.ru, dursunovrz@list.ru  </t>
  </si>
  <si>
    <t>https://vk.com/volzhskyurist</t>
  </si>
  <si>
    <t>48.377676 55.861377</t>
  </si>
  <si>
    <t>48.386477 55.855391</t>
  </si>
  <si>
    <t>Строительные покрытия</t>
  </si>
  <si>
    <t>48.37282 55.863907</t>
  </si>
  <si>
    <t>2-я Новая ул., 50Б, Волжск</t>
  </si>
  <si>
    <t>+7 (906) 139-88-71</t>
  </si>
  <si>
    <t>48.352647 55.86848</t>
  </si>
  <si>
    <t>48.359327 55.86626</t>
  </si>
  <si>
    <t>Пенсионный фонд Российской Федерации</t>
  </si>
  <si>
    <t>ул. Ленина, 14А, Волжск</t>
  </si>
  <si>
    <t>48.380525 55.860536</t>
  </si>
  <si>
    <t>Хорошее зрение</t>
  </si>
  <si>
    <t>48.360055 55.864467</t>
  </si>
  <si>
    <t>+7 (917) 870-19-81</t>
  </si>
  <si>
    <t>48.339295 55.871715</t>
  </si>
  <si>
    <t>Новый рынок</t>
  </si>
  <si>
    <t>48.35715 55.865302</t>
  </si>
  <si>
    <t>Бизнес центр Меркурий</t>
  </si>
  <si>
    <t>48.356042 55.862248</t>
  </si>
  <si>
    <t>48.354219 55.879788</t>
  </si>
  <si>
    <t>Мир шаров</t>
  </si>
  <si>
    <t>48.38355 55.881535</t>
  </si>
  <si>
    <t>ул. 107-й Бригады, 1, Волжск</t>
  </si>
  <si>
    <t>48.376037 55.884239</t>
  </si>
  <si>
    <t>Особняк</t>
  </si>
  <si>
    <t>ул. Кабанова, 12Б, Волжск</t>
  </si>
  <si>
    <t>+7 (906) 336-33-77</t>
  </si>
  <si>
    <t>48.38255 55.87519</t>
  </si>
  <si>
    <t>48.375547 55.862375</t>
  </si>
  <si>
    <t>ул. Прохорова, 79, Волжск</t>
  </si>
  <si>
    <t>48.36034 55.87598</t>
  </si>
  <si>
    <t>48.376138 55.883505</t>
  </si>
  <si>
    <t>48.360037 55.865617</t>
  </si>
  <si>
    <t>48.393776 55.854694</t>
  </si>
  <si>
    <t>Atmosfera</t>
  </si>
  <si>
    <t>ул. Федина, 5, Волжск</t>
  </si>
  <si>
    <t>48.332176 55.86617</t>
  </si>
  <si>
    <t>Помарское ш., 1А, Волжск</t>
  </si>
  <si>
    <t>48.357608 55.900577</t>
  </si>
  <si>
    <t>Ремонт</t>
  </si>
  <si>
    <t>48.339165 55.871655</t>
  </si>
  <si>
    <t>48.34731 55.86837</t>
  </si>
  <si>
    <t>СервисАвто</t>
  </si>
  <si>
    <t>ул. Орлова, 73, Волжск</t>
  </si>
  <si>
    <t>+7 (83631) 6-44-60</t>
  </si>
  <si>
    <t>Пункт техосмотра, Страхование автомобилей</t>
  </si>
  <si>
    <t>пн-пт 08:00–17:00, перерыв 12:00–13:00; сб 08:00–17:00</t>
  </si>
  <si>
    <t>48.331028 55.876842</t>
  </si>
  <si>
    <t>Россия, Республика Марий Эл, Волжск</t>
  </si>
  <si>
    <t>48.338608 55.91383</t>
  </si>
  <si>
    <t>Молодёжная ул., 2, Волжск</t>
  </si>
  <si>
    <t>48.344353 55.860203</t>
  </si>
  <si>
    <t>ул. Ленина, 57, Волжск</t>
  </si>
  <si>
    <t>48.358271 55.864965</t>
  </si>
  <si>
    <t>Хвост u0026 Чешуя</t>
  </si>
  <si>
    <t>https://vk.com/hvost_cheshuya12</t>
  </si>
  <si>
    <t>48.339649 55.866572</t>
  </si>
  <si>
    <t>48.361369 55.865157</t>
  </si>
  <si>
    <t>48.338333 55.866062</t>
  </si>
  <si>
    <t>48.340813 55.870102</t>
  </si>
  <si>
    <t>48.372768 55.86394</t>
  </si>
  <si>
    <t>Vioла</t>
  </si>
  <si>
    <t>пн-пт 07:00–19:00, перерыв 12:00–12:30; сб,вс 07:00–18:30</t>
  </si>
  <si>
    <t>48.375893 55.884457</t>
  </si>
  <si>
    <t>48.37612 55.883648</t>
  </si>
  <si>
    <t>48.357665 55.864675</t>
  </si>
  <si>
    <t>48.391474 55.853547</t>
  </si>
  <si>
    <t>48.382462 55.879316</t>
  </si>
  <si>
    <t>48.375197 55.862443</t>
  </si>
  <si>
    <t>Annet</t>
  </si>
  <si>
    <t>+7 (960) 095-79-99</t>
  </si>
  <si>
    <t>https://vk.com/club168043618</t>
  </si>
  <si>
    <t>48.340303 55.871946</t>
  </si>
  <si>
    <t>48.386323 55.858858</t>
  </si>
  <si>
    <t>АС-М</t>
  </si>
  <si>
    <t>3-я Промышленная ул., 5А, Волжск</t>
  </si>
  <si>
    <t>48.34413 55.917458</t>
  </si>
  <si>
    <t>8 (800) 200-01-22</t>
  </si>
  <si>
    <t>http://labirint-volzhsk.ru/</t>
  </si>
  <si>
    <t>48.343446 55.872969</t>
  </si>
  <si>
    <t>Чайхана</t>
  </si>
  <si>
    <t>48.359352 55.86566</t>
  </si>
  <si>
    <t>Ziprf</t>
  </si>
  <si>
    <t>8 (800) 511-09-74</t>
  </si>
  <si>
    <t xml:space="preserve">info@ziprf.ru  </t>
  </si>
  <si>
    <t>http://ziprf.com/</t>
  </si>
  <si>
    <t>Интернет-магазин, Кондиционеры, Оборудование для ресторанов, Промышленное холодильное оборудование</t>
  </si>
  <si>
    <t>https://www.instagram.com/zip_market112/</t>
  </si>
  <si>
    <t>Чайка</t>
  </si>
  <si>
    <t>ул. 107-й Бригады, 5Б, Волжск</t>
  </si>
  <si>
    <t>Быстрое питание, Магазин продуктов</t>
  </si>
  <si>
    <t>48.381429 55.883231</t>
  </si>
  <si>
    <t>48.377848 55.883078</t>
  </si>
  <si>
    <t>ул. Ленина, 58Б, Волжск</t>
  </si>
  <si>
    <t>48.35907 55.86599</t>
  </si>
  <si>
    <t>Три поросенка</t>
  </si>
  <si>
    <t>ул. Матюшенко, 5, Волжск</t>
  </si>
  <si>
    <t>48.37161 55.864838</t>
  </si>
  <si>
    <t>48.361384 55.865167</t>
  </si>
  <si>
    <t>Взрослые и дети</t>
  </si>
  <si>
    <t>+7 (961) 375-68-57</t>
  </si>
  <si>
    <t>48.339906 55.866561</t>
  </si>
  <si>
    <t>48.373198 55.862698</t>
  </si>
  <si>
    <t>Зеленая лавка</t>
  </si>
  <si>
    <t>Диетические и диабетические продукты, Мед и продукты пчеловодства, Ортопедический салон, Фитопродукция, БАДы</t>
  </si>
  <si>
    <t>48.333678 55.863286</t>
  </si>
  <si>
    <t>Электрическая подстанция Городская</t>
  </si>
  <si>
    <t>48.357292 55.862442</t>
  </si>
  <si>
    <t>Волжская епархия</t>
  </si>
  <si>
    <t>+7 (927) 888-89-98</t>
  </si>
  <si>
    <t>Воскресная школа, Общественная организация, Православный храм</t>
  </si>
  <si>
    <t>48.363072 55.864846</t>
  </si>
  <si>
    <t>Займы под залог</t>
  </si>
  <si>
    <t>Россия, Республика Марий Эл, Волжск, улица Ленина</t>
  </si>
  <si>
    <t>48.354958 55.866608</t>
  </si>
  <si>
    <t>Центр Эстетики Волос Blanzo</t>
  </si>
  <si>
    <t>+7 (905) 008-90-30</t>
  </si>
  <si>
    <t xml:space="preserve">volzhsk.blanzo@gmail.com  </t>
  </si>
  <si>
    <t>http://www.volzhsk.blanzo.ru/</t>
  </si>
  <si>
    <t>48.35086 55.87924</t>
  </si>
  <si>
    <t>+7 (987) 729-91-56</t>
  </si>
  <si>
    <t xml:space="preserve">info@sto12.ru  </t>
  </si>
  <si>
    <t>http://sto12.ru/</t>
  </si>
  <si>
    <t>Йошкар-Олинское ш., 12/2, Волжск</t>
  </si>
  <si>
    <t>+7 (843) 245-10-10, +7 (843) 212-09-61</t>
  </si>
  <si>
    <t xml:space="preserve">qulistore@mail.ru, qualistore@mail.ru, next_sale@mail.ru  </t>
  </si>
  <si>
    <t>http://www.qualistore.ru/</t>
  </si>
  <si>
    <t>Крепежные изделия, Мебельная фурнитура и комплектующие</t>
  </si>
  <si>
    <t>пн-пт 09:00–17:00, перерыв 12:30–13:30</t>
  </si>
  <si>
    <t>https://vk.com/public134405391</t>
  </si>
  <si>
    <t>48.360453 55.890133</t>
  </si>
  <si>
    <t>48.334721 55.871259</t>
  </si>
  <si>
    <t>Добрый</t>
  </si>
  <si>
    <t>ул. Свердлова, 25Б, Волжск</t>
  </si>
  <si>
    <t>48.34862 55.873249</t>
  </si>
  <si>
    <t>Цирюльник</t>
  </si>
  <si>
    <t>+7 (969) 627-27-32</t>
  </si>
  <si>
    <t>48.348007 55.867952</t>
  </si>
  <si>
    <t>Компьютерный ремонт и услуги, Ремонт оргтехники, Ремонт электрооборудования, Электро- и бензоинструмент</t>
  </si>
  <si>
    <t>48.378433 55.860729</t>
  </si>
  <si>
    <t>48.333267 55.86378</t>
  </si>
  <si>
    <t>Zr Premium</t>
  </si>
  <si>
    <t>+7 (937) 117-77-71</t>
  </si>
  <si>
    <t>48.355617 55.867166</t>
  </si>
  <si>
    <t>48.338905 55.869507</t>
  </si>
  <si>
    <t>Лесная ул., 2А, Волжск</t>
  </si>
  <si>
    <t>48.33611 55.861416</t>
  </si>
  <si>
    <t>Эксперт-Консал</t>
  </si>
  <si>
    <t>48.372931 55.863928</t>
  </si>
  <si>
    <t>48.37315 55.86287</t>
  </si>
  <si>
    <t>Россия, Республика Марий Эл, Волжск, Новая улица</t>
  </si>
  <si>
    <t>48.344673 55.869175</t>
  </si>
  <si>
    <t>СТО</t>
  </si>
  <si>
    <t>48.357647 55.900984</t>
  </si>
  <si>
    <t>ул. Шестакова, 103А, Волжск</t>
  </si>
  <si>
    <t>48.348817 55.880595</t>
  </si>
  <si>
    <t>48.33749 55.868254</t>
  </si>
  <si>
    <t>Сауна Индиго</t>
  </si>
  <si>
    <t>+7 (927) 684-02-22</t>
  </si>
  <si>
    <t>Сауна, Хостел</t>
  </si>
  <si>
    <t>48.387437 55.878063</t>
  </si>
  <si>
    <t>Автодром</t>
  </si>
  <si>
    <t>48.369398 55.880896</t>
  </si>
  <si>
    <t>48.392341 55.838825</t>
  </si>
  <si>
    <t>Видеонаблюдение, домофоны</t>
  </si>
  <si>
    <t>48.349022 55.878094</t>
  </si>
  <si>
    <t>Торговое холодильное оборудование Marketice</t>
  </si>
  <si>
    <t>8 (800) 250-40-59</t>
  </si>
  <si>
    <t xml:space="preserve">mail@marketice.ru  </t>
  </si>
  <si>
    <t>https://marketice.ru/</t>
  </si>
  <si>
    <t>Оборудование для ресторанов, Промышленное холодильное оборудование</t>
  </si>
  <si>
    <t>48.352747 55.901301</t>
  </si>
  <si>
    <t>48.356765 55.861462</t>
  </si>
  <si>
    <t>Вокзальная ул., 1/1, Волжск</t>
  </si>
  <si>
    <t>+7 (917) 716-65-69</t>
  </si>
  <si>
    <t>Оргстекло, поликарбонат, Тепличное оборудование, Цветные металлы</t>
  </si>
  <si>
    <t>48.36045 55.862658</t>
  </si>
  <si>
    <t>48.359204 55.866465</t>
  </si>
  <si>
    <t>ИП Строителева Г.С.</t>
  </si>
  <si>
    <t>+7 (905) 008-91-89</t>
  </si>
  <si>
    <t>https://vk.com/volgsk_12ru</t>
  </si>
  <si>
    <t>48.362279 55.886832</t>
  </si>
  <si>
    <t>Baby Boom</t>
  </si>
  <si>
    <t>+7 (960) 095-13-38</t>
  </si>
  <si>
    <t>https://www.instagram.com/baby_boom_12/</t>
  </si>
  <si>
    <t>48.35688 55.865173</t>
  </si>
  <si>
    <t>48.315459 55.878934</t>
  </si>
  <si>
    <t>Двери и плитка</t>
  </si>
  <si>
    <t>Двери, Напольные покрытия</t>
  </si>
  <si>
    <t>48.377612 55.860969</t>
  </si>
  <si>
    <t>Россия, Республика Марий Эл, Волжск, микрорайон ВДК</t>
  </si>
  <si>
    <t>48.340184 55.85966</t>
  </si>
  <si>
    <t>Товары для ремонта</t>
  </si>
  <si>
    <t>Магазин сантехники, Магазин электротоваров, Строительный инструмент</t>
  </si>
  <si>
    <t>48.359215 55.866453</t>
  </si>
  <si>
    <t>48.38785 55.880005</t>
  </si>
  <si>
    <t>Окна двери мебель</t>
  </si>
  <si>
    <t>48.35181 55.868122</t>
  </si>
  <si>
    <t>Автомойка и шиномонтаж</t>
  </si>
  <si>
    <t>+7 (83631) 6-83-85</t>
  </si>
  <si>
    <t>48.344106 55.876972</t>
  </si>
  <si>
    <t>Шары</t>
  </si>
  <si>
    <t>48.383644 55.85918</t>
  </si>
  <si>
    <t>+7 (960) 096-99-99, +7 (909) 369-22-22</t>
  </si>
  <si>
    <t>48.382422 55.882844</t>
  </si>
  <si>
    <t>48.367843 55.875506</t>
  </si>
  <si>
    <t>48.339423 55.862157</t>
  </si>
  <si>
    <t>Узи-диагностика</t>
  </si>
  <si>
    <t>48.371267 55.862645</t>
  </si>
  <si>
    <t>48.350137 55.867219</t>
  </si>
  <si>
    <t>№ 3</t>
  </si>
  <si>
    <t>48.360361 55.864924</t>
  </si>
  <si>
    <t>48.293197 55.886099</t>
  </si>
  <si>
    <t>48.352015 55.879916</t>
  </si>
  <si>
    <t>Pro Три Поросёнка</t>
  </si>
  <si>
    <t>ул. Матюшенко, 3, Волжск</t>
  </si>
  <si>
    <t>+7 (960) 099-03-03</t>
  </si>
  <si>
    <t>+7 (927) 665-06-17</t>
  </si>
  <si>
    <t>48.383936 55.881407</t>
  </si>
  <si>
    <t>48.33611 55.86143</t>
  </si>
  <si>
    <t>Твой магазинчик</t>
  </si>
  <si>
    <t>ул. Федина, 6А, Волжск</t>
  </si>
  <si>
    <t>48.333848 55.864175</t>
  </si>
  <si>
    <t>48.360036 55.864951</t>
  </si>
  <si>
    <t>+7 (83631) 4-35-70, +7 (83631) 4-45-44</t>
  </si>
  <si>
    <t>48.328987 55.874057</t>
  </si>
  <si>
    <t>Заимка на Пеньках</t>
  </si>
  <si>
    <t>ул. Мамасево, 1А, Волжск</t>
  </si>
  <si>
    <t>+7 (83631) 4-01-56, +7 (83631) 4-31-43</t>
  </si>
  <si>
    <t>+7 (961) 379-99-25, +7 (963) 126-35-12</t>
  </si>
  <si>
    <t xml:space="preserve">yanus0606@mail.ru  </t>
  </si>
  <si>
    <t>http://zaimka12.ru/</t>
  </si>
  <si>
    <t>https://vk.com/na_penkah</t>
  </si>
  <si>
    <t>https://www.instagram.com/na_penkah/</t>
  </si>
  <si>
    <t>48.350085 55.900426</t>
  </si>
  <si>
    <t>АСК-холод</t>
  </si>
  <si>
    <t>4-я Промышленная ул., 7А, Волжск</t>
  </si>
  <si>
    <t>+7 (843) 212-23-10</t>
  </si>
  <si>
    <t xml:space="preserve">info@askholod.ru  </t>
  </si>
  <si>
    <t>http://www.askholod.ru/</t>
  </si>
  <si>
    <t>Кондиционеры, Промышленное холодильное оборудование, Торговое оборудование</t>
  </si>
  <si>
    <t>Васелиса</t>
  </si>
  <si>
    <t>48.355271 55.866999</t>
  </si>
  <si>
    <t>ул. Ленина, 44Б, Волжск</t>
  </si>
  <si>
    <t>Багетные изделия, Художественная мастерская</t>
  </si>
  <si>
    <t>Арт Ремонт</t>
  </si>
  <si>
    <t>Натяжные и подвесные потолки, Окна, Светотехника, Строительные и отделочные работы</t>
  </si>
  <si>
    <t>48.356148 55.8622</t>
  </si>
  <si>
    <t>Zig24zag</t>
  </si>
  <si>
    <t>48.351546 55.879725</t>
  </si>
  <si>
    <t>Miart. Shop</t>
  </si>
  <si>
    <t>+7 (960) 090-29-68</t>
  </si>
  <si>
    <t>https://instagram.com/miart.shop</t>
  </si>
  <si>
    <t>48.359258 55.866477</t>
  </si>
  <si>
    <t>Охота и рыбалка</t>
  </si>
  <si>
    <t>48.347132 55.868414</t>
  </si>
  <si>
    <t>48.338284 55.8662</t>
  </si>
  <si>
    <t>Зайка</t>
  </si>
  <si>
    <t>пн-сб 08:00–20:00; вс 08:00–16:30</t>
  </si>
  <si>
    <t>48.348588 55.867164</t>
  </si>
  <si>
    <t>Оздоровительный комплекс Мцбк</t>
  </si>
  <si>
    <t>+7 (83631) 5-69-16</t>
  </si>
  <si>
    <t>http://www.yalchik.ru/</t>
  </si>
  <si>
    <t>http://vk.com/club49199054</t>
  </si>
  <si>
    <t>Торговый дом Волжский</t>
  </si>
  <si>
    <t>+7 (903) 050-22-27</t>
  </si>
  <si>
    <t>Продукты питания оптом, Яйцо и мясо птицы</t>
  </si>
  <si>
    <t>https://vk.com/maragro</t>
  </si>
  <si>
    <t>48.38848 55.879707</t>
  </si>
  <si>
    <t>ул. Федина, 8, Волжск</t>
  </si>
  <si>
    <t>48.333035 55.867141</t>
  </si>
  <si>
    <t>Бриз</t>
  </si>
  <si>
    <t>48.337419 55.866993</t>
  </si>
  <si>
    <t>СветлоеТемное</t>
  </si>
  <si>
    <t>+7 (961) 373-53-63</t>
  </si>
  <si>
    <t>Магазин алкогольных напитков, Магазин пива, Орехи, снеки, сухофрукты</t>
  </si>
  <si>
    <t>48.383184 55.882784</t>
  </si>
  <si>
    <t>48.360108 55.864556</t>
  </si>
  <si>
    <t>Россия, Республика Марий Эл, Волжск, Йошкар-Олинское шоссе</t>
  </si>
  <si>
    <t>48.35959 55.880913</t>
  </si>
  <si>
    <t>НИИ Проектный институт</t>
  </si>
  <si>
    <t>48.377132 55.861193</t>
  </si>
  <si>
    <t>Продмаг</t>
  </si>
  <si>
    <t>ул. Матюшенко, 7Б, Волжск</t>
  </si>
  <si>
    <t>48.37163 55.865828</t>
  </si>
  <si>
    <t>4-я Промышленная ул., 1, корп. 3, Волжск</t>
  </si>
  <si>
    <t>48.331178 55.919334</t>
  </si>
  <si>
    <t>Ант Медиа</t>
  </si>
  <si>
    <t>Хвойная ул., 2, Волжск</t>
  </si>
  <si>
    <t>+7 (960) 093-60-70</t>
  </si>
  <si>
    <t>PR-агентство, Системы безопасности и охраны</t>
  </si>
  <si>
    <t>https://vk.com/varaksin_a</t>
  </si>
  <si>
    <t>48.298694 55.88721</t>
  </si>
  <si>
    <t>48.361423 55.865147</t>
  </si>
  <si>
    <t>Волжская тура</t>
  </si>
  <si>
    <t>Магазин обуви, Магазин одежды, Трикотаж, трикотажные изделия</t>
  </si>
  <si>
    <t>48.376024 55.883641</t>
  </si>
  <si>
    <t>48.377183 55.861126</t>
  </si>
  <si>
    <t>+7 (937) 939-14-77</t>
  </si>
  <si>
    <t>Общественный пункт охраны порядка</t>
  </si>
  <si>
    <t>48.351469 55.879068</t>
  </si>
  <si>
    <t>остановочный пункт Марбумкомбинат</t>
  </si>
  <si>
    <t>Россия, Республика Марий Эл, Волжск, Советская улица</t>
  </si>
  <si>
    <t>48.3857 55.857306</t>
  </si>
  <si>
    <t>Пласт</t>
  </si>
  <si>
    <t>сквер Ариада</t>
  </si>
  <si>
    <t>48.371965 55.863393</t>
  </si>
  <si>
    <t>48.389841 55.847559</t>
  </si>
  <si>
    <t>Студия красоты Стрижка</t>
  </si>
  <si>
    <t>+7 (960) 097-08-00</t>
  </si>
  <si>
    <t>https://vk.com/svadba_volzhsk_zelenodolsk</t>
  </si>
  <si>
    <t>Булочная № 1</t>
  </si>
  <si>
    <t>48.349031 55.8673</t>
  </si>
  <si>
    <t>+7 (960) 099-50-20</t>
  </si>
  <si>
    <t>Компьютерный ремонт и услуги, Копировальный центр, Ремонт телефонов, Телекоммуникационное оборудование</t>
  </si>
  <si>
    <t>48.34885 55.878216</t>
  </si>
  <si>
    <t>48.34902 55.878094</t>
  </si>
  <si>
    <t>Korpusline</t>
  </si>
  <si>
    <t>ул. Ленина, 60/1, Волжск</t>
  </si>
  <si>
    <t>+7 (960) 098-40-70</t>
  </si>
  <si>
    <t xml:space="preserve">dizainer@korpusline.ru  </t>
  </si>
  <si>
    <t>ежедневно, 08:30–17:00, перерыв 13:00–14:00</t>
  </si>
  <si>
    <t>http://vk.com/korpusline_mebel</t>
  </si>
  <si>
    <t>48.35173 55.868066</t>
  </si>
  <si>
    <t>48.371728 55.863121</t>
  </si>
  <si>
    <t>Гостинный дом</t>
  </si>
  <si>
    <t>Крайняя ул., 39А, Волжск</t>
  </si>
  <si>
    <t>48.375443 55.873085</t>
  </si>
  <si>
    <t>Копировальный центр, Ремонт обуви</t>
  </si>
  <si>
    <t>48.33805 55.866917</t>
  </si>
  <si>
    <t>48.342639 55.861322</t>
  </si>
  <si>
    <t>Греция</t>
  </si>
  <si>
    <t>48.357625 55.864957</t>
  </si>
  <si>
    <t>Стетинг. Упаковка и фасовка чайного сырья</t>
  </si>
  <si>
    <t>+7 (960) 091-28-28</t>
  </si>
  <si>
    <t xml:space="preserve">info@steting.ru, noreplay@steting.ru  </t>
  </si>
  <si>
    <t>https://www.steting.ru/</t>
  </si>
  <si>
    <t>https://vk.com/public177100236</t>
  </si>
  <si>
    <t>ул. Комарова, 21А, Волжск</t>
  </si>
  <si>
    <t>Баня, Бассейн, Сауна</t>
  </si>
  <si>
    <t>48.337454 55.860307</t>
  </si>
  <si>
    <t>Шаурма&amp;Лепешки</t>
  </si>
  <si>
    <t>ул. Шестакова, 103Е, Волжск</t>
  </si>
  <si>
    <t>48.35131 55.87974</t>
  </si>
  <si>
    <t>Мебельный магазин</t>
  </si>
  <si>
    <t>https://vk.com/marina_batyanina</t>
  </si>
  <si>
    <t>48.33312 55.864697</t>
  </si>
  <si>
    <t>Каретный дворик</t>
  </si>
  <si>
    <t>Полевая ул., 85, Волжск</t>
  </si>
  <si>
    <t>+7 (960) 097-89-78</t>
  </si>
  <si>
    <t>48.360237 55.87746</t>
  </si>
  <si>
    <t>48.356674 55.865226</t>
  </si>
  <si>
    <t>48.37058 55.85907</t>
  </si>
  <si>
    <t>http://актив-деньги.рф/</t>
  </si>
  <si>
    <t>ежедневно, 08:30–19:00, перерыв 13:15–14:00</t>
  </si>
  <si>
    <t>48.382426 55.882474</t>
  </si>
  <si>
    <t>Марбум Арена</t>
  </si>
  <si>
    <t>48.368678 55.859749</t>
  </si>
  <si>
    <t>Склад кожсырья Вера</t>
  </si>
  <si>
    <t>48.360899 55.878372</t>
  </si>
  <si>
    <t>48.351233 55.866691</t>
  </si>
  <si>
    <t>Системы безопасности и охраны, Спутниковое телевидение</t>
  </si>
  <si>
    <t>48.349895 55.867157</t>
  </si>
  <si>
    <t>ул. Ленина, 62/1, Волжск</t>
  </si>
  <si>
    <t>48.357777 55.866047</t>
  </si>
  <si>
    <t>Сантехника электрика</t>
  </si>
  <si>
    <t>Магазин сантехники, Магазин электротоваров</t>
  </si>
  <si>
    <t>48.336647 55.86586</t>
  </si>
  <si>
    <t>Pro Manicure</t>
  </si>
  <si>
    <t>+7 (961) 336-88-44</t>
  </si>
  <si>
    <t>https://vk.com/mariya_promanicure</t>
  </si>
  <si>
    <t>48.342541 55.866113</t>
  </si>
  <si>
    <t>48.35622 55.86672</t>
  </si>
  <si>
    <t>48.349822 55.866186</t>
  </si>
  <si>
    <t>Гобелен</t>
  </si>
  <si>
    <t>48.364033 55.864742</t>
  </si>
  <si>
    <t>Городская Дезслужба</t>
  </si>
  <si>
    <t>+7 (921) 910-35-87</t>
  </si>
  <si>
    <t>+7 (917) 711-29-99</t>
  </si>
  <si>
    <t xml:space="preserve">vagonka-lipa-12@yandex.ru  </t>
  </si>
  <si>
    <t>Камины, печи, Окна, Товары для бани и сауны</t>
  </si>
  <si>
    <t>https://vk.com/banniymag</t>
  </si>
  <si>
    <t>https://www.instagram.com/pervyibannyi/?hl=ru</t>
  </si>
  <si>
    <t>48.350045 55.867091</t>
  </si>
  <si>
    <t>Эко-Мебель</t>
  </si>
  <si>
    <t>ул. 107-й Бригады, 10В, Волжск</t>
  </si>
  <si>
    <t>48.380312 55.880577</t>
  </si>
  <si>
    <t>ул. Энгельса, 1, Волжск</t>
  </si>
  <si>
    <t>48.375294 55.859395</t>
  </si>
  <si>
    <t>Церковь праведного Иоанна Кронштадтского</t>
  </si>
  <si>
    <t>ул. 107-й Бригады, 10, корп. 1, Волжск</t>
  </si>
  <si>
    <t>http://ioann-volzhsk.cerkov.ru/</t>
  </si>
  <si>
    <t>48.381032 55.881672</t>
  </si>
  <si>
    <t>Kosmos</t>
  </si>
  <si>
    <t>+7 (960) 092-66-85</t>
  </si>
  <si>
    <t>Визажисты, стилисты, Ногтевая студия, Обучение мастеров для салонов красоты, Салон красоты, Тату-салон</t>
  </si>
  <si>
    <t>https://vk.com/kosmos_beauty_studio</t>
  </si>
  <si>
    <t>48.356079 55.866678</t>
  </si>
  <si>
    <t>48.376115 55.856809</t>
  </si>
  <si>
    <t>Optima GSM</t>
  </si>
  <si>
    <t>48.342463 55.86499</t>
  </si>
  <si>
    <t>вт-сб 09:30–17:00; вс 10:00–16:00</t>
  </si>
  <si>
    <t>48.359313 55.866231</t>
  </si>
  <si>
    <t>Аккумуляторные батареи</t>
  </si>
  <si>
    <t>Йошкар-Олинское ш., 7Б, Волжск</t>
  </si>
  <si>
    <t>Аккумуляторы и зарядные устройства</t>
  </si>
  <si>
    <t>48.359455 55.879158</t>
  </si>
  <si>
    <t>48.391089 55.847153</t>
  </si>
  <si>
    <t>ул. Федина, 6/1, Волжск</t>
  </si>
  <si>
    <t>+7 (83631) 4-96-46, +7 (83636) 4-45-99</t>
  </si>
  <si>
    <t>Веломагазин, Мотосалон</t>
  </si>
  <si>
    <t>48.333495 55.865379</t>
  </si>
  <si>
    <t>Ярмарка выходного дня</t>
  </si>
  <si>
    <t>Магазин продуктов, Рынок</t>
  </si>
  <si>
    <t>пт-вс 06:00–15:00</t>
  </si>
  <si>
    <t>https://vk.com/yarmarka.volzhsk</t>
  </si>
  <si>
    <t>48.332146 55.865886</t>
  </si>
  <si>
    <t>48.357129 55.866234</t>
  </si>
  <si>
    <t>Podkre</t>
  </si>
  <si>
    <t>48.337547 55.867913</t>
  </si>
  <si>
    <t>Парковый пр., 1, Волжск</t>
  </si>
  <si>
    <t>48.386023 55.860428</t>
  </si>
  <si>
    <t>48.371284 55.862768</t>
  </si>
  <si>
    <t>Советская ул., 5, Волжск</t>
  </si>
  <si>
    <t>48.375936 55.860397</t>
  </si>
  <si>
    <t>48.338039 55.867011</t>
  </si>
  <si>
    <t>Наско, АО</t>
  </si>
  <si>
    <t>AGM-Consulting</t>
  </si>
  <si>
    <t>+7 (843) 258-26-28</t>
  </si>
  <si>
    <t>+7 (960) 048-26-28</t>
  </si>
  <si>
    <t xml:space="preserve">2582628@mail.ru  </t>
  </si>
  <si>
    <t>http://agm-consulting.ru/</t>
  </si>
  <si>
    <t>Кадровое агентство, Курсы и мастер-классы, Психологическая служба</t>
  </si>
  <si>
    <t>Дом быта</t>
  </si>
  <si>
    <t>48.337813 55.868194</t>
  </si>
  <si>
    <t>Шаурма и Лепешки</t>
  </si>
  <si>
    <t>ул. Кузьмина, 22А/1, Волжск</t>
  </si>
  <si>
    <t>48.349572 55.867093</t>
  </si>
  <si>
    <t>https://volzhsk.zlp-630.com/</t>
  </si>
  <si>
    <t>Демонтаж-строй</t>
  </si>
  <si>
    <t>Первомайская ул., 22, Волжск</t>
  </si>
  <si>
    <t>+7 (908) 825-97-40</t>
  </si>
  <si>
    <t>Вывоз мусора и отходов, Снос зданий</t>
  </si>
  <si>
    <t>48.386199 55.862434</t>
  </si>
  <si>
    <t>Продукты 24 часа</t>
  </si>
  <si>
    <t>Россия, Республика Марий Эл, Волжск, улица Кузьмина</t>
  </si>
  <si>
    <t>48.346187 55.865365</t>
  </si>
  <si>
    <t>Николаева А. Л.</t>
  </si>
  <si>
    <t>+7 (963) 239-89-39</t>
  </si>
  <si>
    <t>Страховая компания, Страховой брокер</t>
  </si>
  <si>
    <t>48.362343 55.886794</t>
  </si>
  <si>
    <t>Торггруз</t>
  </si>
  <si>
    <t>+7 (8362) 34-70-53</t>
  </si>
  <si>
    <t>Вокальная студия Чистый Голос</t>
  </si>
  <si>
    <t>+7 (960) 093-50-02</t>
  </si>
  <si>
    <t>https://вокал-волжск.рф/</t>
  </si>
  <si>
    <t>https://vk.com/uroki.vokala.volzhsk</t>
  </si>
  <si>
    <t>48.339073 55.86994</t>
  </si>
  <si>
    <t>Brutalauto.ru</t>
  </si>
  <si>
    <t>+7 (909) 367-29-29</t>
  </si>
  <si>
    <t>http://brutalauto.ru/</t>
  </si>
  <si>
    <t>48.382881 55.881718</t>
  </si>
  <si>
    <t>48.337798 55.868255</t>
  </si>
  <si>
    <t>Зелёная ул., 18, Волжск</t>
  </si>
  <si>
    <t>48.382477 55.86412</t>
  </si>
  <si>
    <t>Novattro</t>
  </si>
  <si>
    <t>Полимерные материалы, Тепличное оборудование</t>
  </si>
  <si>
    <t>48.36486 55.864296</t>
  </si>
  <si>
    <t>Tiande12</t>
  </si>
  <si>
    <t>+7 (960) 091-65-77</t>
  </si>
  <si>
    <t>https://vk.com/12tiande</t>
  </si>
  <si>
    <t>Ремонт бензопил</t>
  </si>
  <si>
    <t>48.359199 55.866459</t>
  </si>
  <si>
    <t>Венера</t>
  </si>
  <si>
    <t>48.33936 55.871555</t>
  </si>
  <si>
    <t>48.382728 55.883027</t>
  </si>
  <si>
    <t>Загородный клуб</t>
  </si>
  <si>
    <t>+7 (906) 334-01-73</t>
  </si>
  <si>
    <t xml:space="preserve">info@zagorodniy-club.ru  </t>
  </si>
  <si>
    <t>https://zagorodniy-club.ru/</t>
  </si>
  <si>
    <t>Пиломатериалы, Самогонное оборудование, Строительство бань и саун</t>
  </si>
  <si>
    <t>https://instagram.com/zagorodniy.club?igshid=1n6pt81mi8xq7</t>
  </si>
  <si>
    <t>ТЦ Забава</t>
  </si>
  <si>
    <t>48.337242 55.867951</t>
  </si>
  <si>
    <t>+7 (969) 779-69-40</t>
  </si>
  <si>
    <t>https://vk.com/club140117568</t>
  </si>
  <si>
    <t>48.379375 55.884636</t>
  </si>
  <si>
    <t>ул. Озерки, 2, Волжск</t>
  </si>
  <si>
    <t>+7 (906) 138-78-80, +7 (960) 095-87-81, +7 (965) 600-21-49, +7 (961) 376-08-30</t>
  </si>
  <si>
    <t>48.397559 55.846977</t>
  </si>
  <si>
    <t>Мир Недвижимости</t>
  </si>
  <si>
    <t>48.356198 55.862227</t>
  </si>
  <si>
    <t>Центр Экспресс</t>
  </si>
  <si>
    <t>Лоскуток</t>
  </si>
  <si>
    <t>48.33781 55.867821</t>
  </si>
  <si>
    <t>Круторум</t>
  </si>
  <si>
    <t>+7 (843) 249-44-00</t>
  </si>
  <si>
    <t>Мебель для кухни, Мебельная фурнитура и комплектующие</t>
  </si>
  <si>
    <t>https://instagram.com/krutoroom</t>
  </si>
  <si>
    <t>48.383902 55.881351</t>
  </si>
  <si>
    <t>Магазин посуды, Светильники</t>
  </si>
  <si>
    <t>48.359236 55.866468</t>
  </si>
  <si>
    <t>ул. Мира, 14, Волжск</t>
  </si>
  <si>
    <t>48.341773 55.862854</t>
  </si>
  <si>
    <t>48.332897 55.864483</t>
  </si>
  <si>
    <t>Пятница</t>
  </si>
  <si>
    <t>+7 (967) 465-22-74, +7 (906) 325-14-55</t>
  </si>
  <si>
    <t>пн-чт 12:00–00:00; пт,сб 12:00–02:00; вс 15:00–00:00</t>
  </si>
  <si>
    <t>https://www.instagram.com/piatnitsakafe/</t>
  </si>
  <si>
    <t>48.372242 55.861465</t>
  </si>
  <si>
    <t>November</t>
  </si>
  <si>
    <t>https://vk.com/november_coffee</t>
  </si>
  <si>
    <t>48.333755 55.862865</t>
  </si>
  <si>
    <t>Административный корпус ЗАО Ариада</t>
  </si>
  <si>
    <t>4-я Промышленная ул., 1, корп. 2, Волжск</t>
  </si>
  <si>
    <t>48.331796 55.919166</t>
  </si>
  <si>
    <t>48.371494 55.865536</t>
  </si>
  <si>
    <t>Центр юридических и риэлторских услуг Гарант</t>
  </si>
  <si>
    <t>+7 (961) 376-17-81</t>
  </si>
  <si>
    <t>8 (800) 100-55-05</t>
  </si>
  <si>
    <t>+7 (960) 095-15-20</t>
  </si>
  <si>
    <t xml:space="preserve">negabar@jde.ru, rybinsk@jde.ru  </t>
  </si>
  <si>
    <t>https://i.jde.ru/rq/?rnd=40594031</t>
  </si>
  <si>
    <t>Автомобильные грузоперевозки, Складские услуги, Экспедирование грузов</t>
  </si>
  <si>
    <t>https://ok.ru/profile/569297563011</t>
  </si>
  <si>
    <t>48.360291 55.862666</t>
  </si>
  <si>
    <t>Волжский домостроительный комбинат</t>
  </si>
  <si>
    <t>Юбилейная ул., 12/3, Волжск</t>
  </si>
  <si>
    <t>48.38486 55.884878</t>
  </si>
  <si>
    <t>ул. Прохорова, 120Б, Волжск</t>
  </si>
  <si>
    <t>48.349795 55.8811</t>
  </si>
  <si>
    <t>Бронз</t>
  </si>
  <si>
    <t>+7 (987) 707-48-06</t>
  </si>
  <si>
    <t>https://vk.com/bronze_volzhsk</t>
  </si>
  <si>
    <t>48.377603 55.861174</t>
  </si>
  <si>
    <t>Распродажа</t>
  </si>
  <si>
    <t>48.381809 55.859969</t>
  </si>
  <si>
    <t>Dental</t>
  </si>
  <si>
    <t>+7 (906) 139-33-33</t>
  </si>
  <si>
    <t xml:space="preserve">dental_12@mail.ru  </t>
  </si>
  <si>
    <t>http://dental12.ru/</t>
  </si>
  <si>
    <t>http://www.instagram.com/dental_volzhsk</t>
  </si>
  <si>
    <t>Nacta-credit</t>
  </si>
  <si>
    <t>8 (800) 333-58-05</t>
  </si>
  <si>
    <t>+7 (987) 709-09-81</t>
  </si>
  <si>
    <t xml:space="preserve">yourmail@domain.ru  </t>
  </si>
  <si>
    <t>https://www.nactacredit.com/</t>
  </si>
  <si>
    <t>48.364558 55.864333</t>
  </si>
  <si>
    <t>+7 (937) 930-08-78</t>
  </si>
  <si>
    <t>Лакокрасочные материалы, Мебельная фурнитура и комплектующие</t>
  </si>
  <si>
    <t>48.359555 55.889391</t>
  </si>
  <si>
    <t>48.348236 55.86621</t>
  </si>
  <si>
    <t>Fitness Dynamic</t>
  </si>
  <si>
    <t>+7 (987) 700-43-33</t>
  </si>
  <si>
    <t>пн-пт 07:00–22:00; сб,вс 08:00–22:00</t>
  </si>
  <si>
    <t>https://www.instagram.com/_fitnessdynamic/</t>
  </si>
  <si>
    <t>48.349458 55.866887</t>
  </si>
  <si>
    <t>48.359292 55.866257</t>
  </si>
  <si>
    <t>Юбилеи, торжества, банкеты</t>
  </si>
  <si>
    <t>48.38737 55.878105</t>
  </si>
  <si>
    <t>пн-пт 08:00–19:30; сб,вс 08:00–18:30</t>
  </si>
  <si>
    <t>48.352012 55.879915</t>
  </si>
  <si>
    <t>Салон Грация</t>
  </si>
  <si>
    <t>+7 (909) 366-56-47</t>
  </si>
  <si>
    <t>48.357635 55.86479</t>
  </si>
  <si>
    <t>48.33964 55.87194</t>
  </si>
  <si>
    <t>ул. Либкнехта, 2А, Волжск</t>
  </si>
  <si>
    <t>48.367002 55.869329</t>
  </si>
  <si>
    <t>Медицинское училище Старый корпус</t>
  </si>
  <si>
    <t>48.38833 55.857898</t>
  </si>
  <si>
    <t>Haze</t>
  </si>
  <si>
    <t>48.353054 55.867529</t>
  </si>
  <si>
    <t>48.338359 55.86616</t>
  </si>
  <si>
    <t>Первая Рекламная Компания</t>
  </si>
  <si>
    <t>+7 (961) 377-44-44</t>
  </si>
  <si>
    <t xml:space="preserve">14370afcdc17429f9e418d5ffbd0334a@sentry.wixpress.com, vizitki116@mail.ru, wixofday@wix.com  </t>
  </si>
  <si>
    <t>http://www.1prk.ru/</t>
  </si>
  <si>
    <t>Наружная реклама, Рекламная продукция, Рекламное агентство</t>
  </si>
  <si>
    <t>https://vk.com/reklama_prk</t>
  </si>
  <si>
    <t>Средняя общеобразовательная школа № 5 с углубленным изучением отдельных предметов</t>
  </si>
  <si>
    <t>48.385948 55.859142</t>
  </si>
  <si>
    <t>Мир детства</t>
  </si>
  <si>
    <t>+7 (961) 379-69-99</t>
  </si>
  <si>
    <t xml:space="preserve">test@test.ru </t>
  </si>
  <si>
    <t>http://mirdetstva-shop.ru/</t>
  </si>
  <si>
    <t>48.355342 55.866937</t>
  </si>
  <si>
    <t>Джинсомания</t>
  </si>
  <si>
    <t>48.359803 55.864484</t>
  </si>
  <si>
    <t>48.379678 55.878815</t>
  </si>
  <si>
    <t>Доставка цветов и букетов, Магазин семян, Магазин цветов</t>
  </si>
  <si>
    <t>48.340108 55.872011</t>
  </si>
  <si>
    <t>48.387151 55.880157</t>
  </si>
  <si>
    <t>Студия цветов Ваш букет</t>
  </si>
  <si>
    <t>ул. Шестакова, 103, Волжск</t>
  </si>
  <si>
    <t>48.350545 55.879758</t>
  </si>
  <si>
    <t>48.381466 55.86001</t>
  </si>
  <si>
    <t>http://www.katalizator12.ru/</t>
  </si>
  <si>
    <t>Автосервис, автотехцентр, Прием вторсырья, Утилизация отходов</t>
  </si>
  <si>
    <t>48.359145 55.888915</t>
  </si>
  <si>
    <t>Elektro-mall в Волжске</t>
  </si>
  <si>
    <t xml:space="preserve">info@elektro-mall.ru, volzhsk@elektro-mall.ru  </t>
  </si>
  <si>
    <t>https://volzhsk.elektro-mall.ru/</t>
  </si>
  <si>
    <t>Россия, Республика Марий Эл, Волжск, улица Прохорова</t>
  </si>
  <si>
    <t>+7 (960) 099-65-07, +7 (999) 145-44-54</t>
  </si>
  <si>
    <t>Кузовной ремонт, Сварочные работы</t>
  </si>
  <si>
    <t>48.348681 55.884128</t>
  </si>
  <si>
    <t>48.350517 55.868153</t>
  </si>
  <si>
    <t>Коммунистическая ул., 3А, Волжск</t>
  </si>
  <si>
    <t>+7 (909) 366-73-43</t>
  </si>
  <si>
    <t>48.387109 55.854607</t>
  </si>
  <si>
    <t>48.392316 55.85458</t>
  </si>
  <si>
    <t>48.346718 55.868405</t>
  </si>
  <si>
    <t>Хирургическое отделение</t>
  </si>
  <si>
    <t>Советская ул., 44А, Волжск</t>
  </si>
  <si>
    <t>48.397071 55.853188</t>
  </si>
  <si>
    <t>48.377907 55.884181</t>
  </si>
  <si>
    <t>48.364033 55.864735</t>
  </si>
  <si>
    <t>48.35205 55.879958</t>
  </si>
  <si>
    <t>ул. Матюшенко, 9А, Волжск</t>
  </si>
  <si>
    <t>48.369198 55.86736</t>
  </si>
  <si>
    <t>48.358307 55.864986</t>
  </si>
  <si>
    <t>48.34642 55.909481</t>
  </si>
  <si>
    <t>Лесозаводская ул., 1А, Волжск</t>
  </si>
  <si>
    <t>48.38872 55.846317</t>
  </si>
  <si>
    <t>У парка</t>
  </si>
  <si>
    <t>Парковый пр., 1А, Волжск</t>
  </si>
  <si>
    <t>+7 (906) 334-18-88</t>
  </si>
  <si>
    <t>48.387059 55.859714</t>
  </si>
  <si>
    <t>Альфа Мастер+</t>
  </si>
  <si>
    <t>+7 (83631) 5-11-15</t>
  </si>
  <si>
    <t xml:space="preserve">info@st-kvart.ru  </t>
  </si>
  <si>
    <t>http://st-kvart.ru/</t>
  </si>
  <si>
    <t>Кровля и кровельные материалы, Напольные покрытия, Теплоизоляционные материалы, Фасады и фасадные системы</t>
  </si>
  <si>
    <t>48.337793 55.864975</t>
  </si>
  <si>
    <t>Кодак</t>
  </si>
  <si>
    <t>48.373717 55.861299</t>
  </si>
  <si>
    <t>Арендная компания</t>
  </si>
  <si>
    <t>+7 (83631) 6-09-35</t>
  </si>
  <si>
    <t>48.377502 55.86062</t>
  </si>
  <si>
    <t>Ремонт окон Волжск</t>
  </si>
  <si>
    <t>ул. Матюшенко, 2Б, Волжск</t>
  </si>
  <si>
    <t>http://remontokonvolzhsk.remontokonnedorogo.ru/</t>
  </si>
  <si>
    <t>48.373308 55.863338</t>
  </si>
  <si>
    <t>Серёжка</t>
  </si>
  <si>
    <t>48.341922 55.866885</t>
  </si>
  <si>
    <t>Мив авто</t>
  </si>
  <si>
    <t>Транспортная ул., 1А, Волжск</t>
  </si>
  <si>
    <t>+7 (905) 379-58-33</t>
  </si>
  <si>
    <t>вт-сб 08:00–17:00</t>
  </si>
  <si>
    <t>48.360893 55.887281</t>
  </si>
  <si>
    <t>+7 (961) 374-48-84</t>
  </si>
  <si>
    <t>48.386154 55.876442</t>
  </si>
  <si>
    <t>Выпускныефотоальбомы.рф</t>
  </si>
  <si>
    <t>+7 (960) 097-49-73</t>
  </si>
  <si>
    <t>Строй Комплект</t>
  </si>
  <si>
    <t>+7 (905) 379-11-19</t>
  </si>
  <si>
    <t>Металлоизделия, Строительная компания, Стройматериалы оптом</t>
  </si>
  <si>
    <t>48.362119 55.887855</t>
  </si>
  <si>
    <t>48.359676 55.864499</t>
  </si>
  <si>
    <t>Simadent</t>
  </si>
  <si>
    <t>пн-пт 08:00–18:00; вс 10:00–17:00</t>
  </si>
  <si>
    <t>48.378014 55.861328</t>
  </si>
  <si>
    <t>48.348854 55.878199</t>
  </si>
  <si>
    <t>Your time</t>
  </si>
  <si>
    <t>48.360136 55.878391</t>
  </si>
  <si>
    <t>Тыква</t>
  </si>
  <si>
    <t>+7 (902) 739-99-94</t>
  </si>
  <si>
    <t>пн-чт 11:00–23:00; пт,сб 12:00–00:00; вс 11:00–23:00</t>
  </si>
  <si>
    <t>https://vk.com/pizza_rooll</t>
  </si>
  <si>
    <t>МиДи</t>
  </si>
  <si>
    <t>3-я Промышленная ул., 7, Волжск</t>
  </si>
  <si>
    <t>+7 (83631) 4-10-00</t>
  </si>
  <si>
    <t>48.341301 55.917301</t>
  </si>
  <si>
    <t>Жданова</t>
  </si>
  <si>
    <t>48.360099 55.878391</t>
  </si>
  <si>
    <t>48.38298 55.88145</t>
  </si>
  <si>
    <t>Котельная № 3 ООО МТсК</t>
  </si>
  <si>
    <t>48.36684 55.865262</t>
  </si>
  <si>
    <t>ул. Гагарина, 107, Волжск</t>
  </si>
  <si>
    <t>48.352268 55.87252</t>
  </si>
  <si>
    <t>48.383275 55.882219</t>
  </si>
  <si>
    <t>Ваши деньги</t>
  </si>
  <si>
    <t>48.38027 55.859848</t>
  </si>
  <si>
    <t>Молодёжная ул., 4А, Волжск</t>
  </si>
  <si>
    <t>48.346738 55.861661</t>
  </si>
  <si>
    <t>48.359269 55.866489</t>
  </si>
  <si>
    <t>+7 (902) 438-07-39, +7 (960) 095-16-83</t>
  </si>
  <si>
    <t>Металлоремонт, Ремонт часов</t>
  </si>
  <si>
    <t>https://www.instagram.com/master_kluch23/</t>
  </si>
  <si>
    <t>48.35086 55.868216</t>
  </si>
  <si>
    <t>Профхолодсистемс</t>
  </si>
  <si>
    <t>+7 (495) 763-63-93</t>
  </si>
  <si>
    <t xml:space="preserve">mail@gmail.com, info@askholod.ru, illarionov@leader-cool.ru, info@scanref.ru, info@mmmontage.by  </t>
  </si>
  <si>
    <t>https://profholodsystems.ru/</t>
  </si>
  <si>
    <t>Кредо</t>
  </si>
  <si>
    <t>48.340989 55.860895</t>
  </si>
  <si>
    <t>48.372551 55.861786</t>
  </si>
  <si>
    <t>Lakshmi</t>
  </si>
  <si>
    <t>48.359335 55.866227</t>
  </si>
  <si>
    <t>Вгдз Комбикорм</t>
  </si>
  <si>
    <t>48.35601 55.86221</t>
  </si>
  <si>
    <t>48.360029 55.879038</t>
  </si>
  <si>
    <t>Вторцветмет</t>
  </si>
  <si>
    <t>Горная ул., 1А, Волжск</t>
  </si>
  <si>
    <t>+7 (905) 318-76-92</t>
  </si>
  <si>
    <t>48.387038 55.848564</t>
  </si>
  <si>
    <t>48.383316 55.882168</t>
  </si>
  <si>
    <t>Мотодром</t>
  </si>
  <si>
    <t>48.382415 55.876845</t>
  </si>
  <si>
    <t>Булочная № 5</t>
  </si>
  <si>
    <t>48.372579 55.861686</t>
  </si>
  <si>
    <t>Emex</t>
  </si>
  <si>
    <t>+7 (843) 528-06-05</t>
  </si>
  <si>
    <t>+7 (961) 377-99-66, +7 (909) 369-66-69</t>
  </si>
  <si>
    <t xml:space="preserve">msk@emex.ru, co@emex.ru, sp@emex.ru, cv@emex.ru, tk@emex.ru </t>
  </si>
  <si>
    <t>https://emex.ru/</t>
  </si>
  <si>
    <t>Магазин автозапчастей и автотоваров, Фейерверки и пиротехника, Электродвигатели</t>
  </si>
  <si>
    <t>https://www.instagram.com/autozapchastivovremya</t>
  </si>
  <si>
    <t>48.372703 55.861683</t>
  </si>
  <si>
    <t>ДоброВет</t>
  </si>
  <si>
    <t>+7 (960) 097-69-93</t>
  </si>
  <si>
    <t>https://vk.com/veterinar_volzhsk</t>
  </si>
  <si>
    <t>https://www.instagram.com/dobro_vet_</t>
  </si>
  <si>
    <t>48.381635 55.882894</t>
  </si>
  <si>
    <t>Клуб робототехники</t>
  </si>
  <si>
    <t>Детский сад, Дополнительное образование, Клуб для детей и подростков, Центр развития ребенка</t>
  </si>
  <si>
    <t>ул. Свердлова, 53, Волжск</t>
  </si>
  <si>
    <t>+7 (965) 595-53-00</t>
  </si>
  <si>
    <t>48.344794 55.870997</t>
  </si>
  <si>
    <t>48.360189 55.86455</t>
  </si>
  <si>
    <t>Россия, Республика Марий Эл, Волжск, улица Гаврилова</t>
  </si>
  <si>
    <t>48.388489 55.876706</t>
  </si>
  <si>
    <t>BeerЛога</t>
  </si>
  <si>
    <t>48.383666 55.859288</t>
  </si>
  <si>
    <t>Волжский трикотаж</t>
  </si>
  <si>
    <t>48.380002 55.859879</t>
  </si>
  <si>
    <t>Главное отделение</t>
  </si>
  <si>
    <t>48.398506 55.852204</t>
  </si>
  <si>
    <t>Мария Рафаил</t>
  </si>
  <si>
    <t>+7 (961) 374-87-40</t>
  </si>
  <si>
    <t>48.347469 55.86805</t>
  </si>
  <si>
    <t>Шаурмаu0026Лепешки</t>
  </si>
  <si>
    <t>48.348454 55.866337</t>
  </si>
  <si>
    <t>48.338379 55.866298</t>
  </si>
  <si>
    <t>+7 (960) 096-61-71, +7 (909) 368-97-55</t>
  </si>
  <si>
    <t xml:space="preserve">chistyulya_klining@mail.ru, info@rucliningv.ru  </t>
  </si>
  <si>
    <t>http://rucliningv.ru/</t>
  </si>
  <si>
    <t>https://vk.com/club153831378</t>
  </si>
  <si>
    <t>Йошкар-Олинское ш., 10/1, Волжск</t>
  </si>
  <si>
    <t>+7 (960) 099-43-34</t>
  </si>
  <si>
    <t>Автомойка, Автосервис, автотехцентр, Кафе</t>
  </si>
  <si>
    <t>48.360264 55.879502</t>
  </si>
  <si>
    <t>Пивко</t>
  </si>
  <si>
    <t>48.340423 55.861036</t>
  </si>
  <si>
    <t>48.377239 55.861062</t>
  </si>
  <si>
    <t>Подготовительный детский сад</t>
  </si>
  <si>
    <t>48.38595 55.858964</t>
  </si>
  <si>
    <t>Pyramiда</t>
  </si>
  <si>
    <t>48.372486 55.861713</t>
  </si>
  <si>
    <t>48.382246 55.882506</t>
  </si>
  <si>
    <t>48.336121 55.86931</t>
  </si>
  <si>
    <t>+7 (987) 719-19-78</t>
  </si>
  <si>
    <t xml:space="preserve">technoklass.volzhsk@gmail.com  </t>
  </si>
  <si>
    <t>http://technoklass.org/volzhsk/</t>
  </si>
  <si>
    <t>пн-пт 16:00–20:00; сб,вс 10:00–16:00</t>
  </si>
  <si>
    <t>https://vk.com/technoklassvolzhsk</t>
  </si>
  <si>
    <t>https://www.instagram.com/technoklass_volzhsk/</t>
  </si>
  <si>
    <t>48.356848 55.865515</t>
  </si>
  <si>
    <t>+7 (905) 008-67-06</t>
  </si>
  <si>
    <t>48.355807 55.866841</t>
  </si>
  <si>
    <t>Прием платежей</t>
  </si>
  <si>
    <t>ул. Ленина, 37Б, Волжск</t>
  </si>
  <si>
    <t>48.37136 55.861988</t>
  </si>
  <si>
    <t>48.340289 55.86104</t>
  </si>
  <si>
    <t>48.377016 55.860697</t>
  </si>
  <si>
    <t>ул. Шестакова, 9, Волжск</t>
  </si>
  <si>
    <t>48.334097 55.869093</t>
  </si>
  <si>
    <t>ЧихПых</t>
  </si>
  <si>
    <t>ул. Дружбы, 23А, Волжск, Россия</t>
  </si>
  <si>
    <t>+7 (991) 463-12-51</t>
  </si>
  <si>
    <t>пн-пт 11:00–22:00; сб,вс 11:00–02:00</t>
  </si>
  <si>
    <t>https://instagram.com/chih_pyh_lounge?igshid=zn453h5g9qkc</t>
  </si>
  <si>
    <t>48.339842 55.866554</t>
  </si>
  <si>
    <t>Центр здоровья</t>
  </si>
  <si>
    <t>ул. Грибоедова, 2А, Волжск</t>
  </si>
  <si>
    <t>+7 (909) 366-28-19</t>
  </si>
  <si>
    <t>пн-пт 08:00–16:18</t>
  </si>
  <si>
    <t>48.324478 55.875751</t>
  </si>
  <si>
    <t>Алирам</t>
  </si>
  <si>
    <t>48.385969 55.85802</t>
  </si>
  <si>
    <t>ул. Шестакова, 78, Волжск</t>
  </si>
  <si>
    <t>48.350758 55.878193</t>
  </si>
  <si>
    <t>48.382931 55.860235</t>
  </si>
  <si>
    <t>Gj</t>
  </si>
  <si>
    <t>ул. Ленина, 55В, Волжск</t>
  </si>
  <si>
    <t>48.360794 55.86449</t>
  </si>
  <si>
    <t>Вокзальная ул., 5, Волжск</t>
  </si>
  <si>
    <t>8 (800) 600-05-99, +7 (83631) 6-20-58, +7 (83631) 6-20-09</t>
  </si>
  <si>
    <t xml:space="preserve">info@matrix-matrasi.ru  </t>
  </si>
  <si>
    <t>https://www.matrix-matrasi.ru/</t>
  </si>
  <si>
    <t>Корпусная мебель, Мебель для кухни, Мебельная фабрика, Оптовая компания</t>
  </si>
  <si>
    <t>48.350415 55.855844</t>
  </si>
  <si>
    <t>Автоломбард-Залог. Волжское отделение</t>
  </si>
  <si>
    <t>ул. Мира, 11, Волжск</t>
  </si>
  <si>
    <t>http://volzhskiy.autolombard-zalog.ru/</t>
  </si>
  <si>
    <t>48.340924 55.862222</t>
  </si>
  <si>
    <t>48.374332 55.861986</t>
  </si>
  <si>
    <t>Волжский</t>
  </si>
  <si>
    <t>ул. Прохорова, 17, Волжск</t>
  </si>
  <si>
    <t>48.350225 55.880905</t>
  </si>
  <si>
    <t>Дары Алтая</t>
  </si>
  <si>
    <t>Магазин парфюмерии и косметики, Оборудование и материалы для салонов красоты, Средства гигиены</t>
  </si>
  <si>
    <t>48.334977 55.868677</t>
  </si>
  <si>
    <t>48.356477 55.878788</t>
  </si>
  <si>
    <t>https://volzhsk.po-expotech.ru/</t>
  </si>
  <si>
    <t>Строительный двор</t>
  </si>
  <si>
    <t>Центральная ул., 1Д, д. Малые Параты</t>
  </si>
  <si>
    <t>+7 (83631) 4-07-77</t>
  </si>
  <si>
    <t xml:space="preserve">info@stroydvor21.ru, stroydvorcheb@yandex.ru, stroydvorcheb@ya.ru, shadrina@stroydvor21.ru, nikitina@stroydvor21.ru  </t>
  </si>
  <si>
    <t>https://stroydvor21.ru/</t>
  </si>
  <si>
    <t>Матрасы, Мебельная фурнитура и комплектующие, Стройматериалы оптом</t>
  </si>
  <si>
    <t>48.364127 55.904473</t>
  </si>
  <si>
    <t>+7 (962) 590-88-88</t>
  </si>
  <si>
    <t>48.35447 55.866192</t>
  </si>
  <si>
    <t>Бельё</t>
  </si>
  <si>
    <t>Магазин белья и купальников, Магазин постельных принадлежностей, Магазин чулок и колготок</t>
  </si>
  <si>
    <t>48.359313 55.866251</t>
  </si>
  <si>
    <t>ул. Федина, 2Г, Волжск</t>
  </si>
  <si>
    <t>48.334546 55.863651</t>
  </si>
  <si>
    <t>Булочная № 4</t>
  </si>
  <si>
    <t>48.38316 55.88216</t>
  </si>
  <si>
    <t>Региональный центр Финанс+</t>
  </si>
  <si>
    <t>+7 (961) 376-85-60</t>
  </si>
  <si>
    <t>Промышленное строительство, Строительство дачных домов и коттеджей</t>
  </si>
  <si>
    <t>Студент</t>
  </si>
  <si>
    <t>48.368805 55.863153</t>
  </si>
  <si>
    <t>48.391457 55.880863</t>
  </si>
  <si>
    <t>У рыбака</t>
  </si>
  <si>
    <t>48.360229 55.864435</t>
  </si>
  <si>
    <t>+7 (83631) 6-09-84</t>
  </si>
  <si>
    <t>48.360273 55.877395</t>
  </si>
  <si>
    <t>48.382922 55.86193</t>
  </si>
  <si>
    <t>48.373953 55.861335</t>
  </si>
  <si>
    <t>48.334117 55.863808</t>
  </si>
  <si>
    <t>Мир Тепла и Холода</t>
  </si>
  <si>
    <t>+7 (905) 008-75-55</t>
  </si>
  <si>
    <t xml:space="preserve">zakaz@mirtx.ru  </t>
  </si>
  <si>
    <t>http://mirtx.ru/</t>
  </si>
  <si>
    <t>https://vk.com/mirtx</t>
  </si>
  <si>
    <t>Мастерская по ремонту сотовых</t>
  </si>
  <si>
    <t>48.351986 55.86701</t>
  </si>
  <si>
    <t>48.360146 55.865883</t>
  </si>
  <si>
    <t>Ито-г</t>
  </si>
  <si>
    <t>+7 (83631) 6-07-27</t>
  </si>
  <si>
    <t>+7 (902) 100-88-11, +7 (902) 100-22-62, +7 (960) 091-87-87</t>
  </si>
  <si>
    <t xml:space="preserve">info@gkitog.ru  </t>
  </si>
  <si>
    <t>http://gkitog.ru/</t>
  </si>
  <si>
    <t>Промышленное холодильное оборудование, Стеллажи, Торговое оборудование</t>
  </si>
  <si>
    <t>48.367263 55.85688</t>
  </si>
  <si>
    <t>48.371147 55.86213</t>
  </si>
  <si>
    <t>Автодетали Камаз</t>
  </si>
  <si>
    <t>Йошкар-Олинское ш., 4Б, Волжск</t>
  </si>
  <si>
    <t>+7 (961) 374-56-50</t>
  </si>
  <si>
    <t>ежедневно, 08:00–18:30</t>
  </si>
  <si>
    <t>48.360002 55.877796</t>
  </si>
  <si>
    <t>48.386632 55.860428</t>
  </si>
  <si>
    <t>48.335426 55.865728</t>
  </si>
  <si>
    <t>Народный кредит, КПК</t>
  </si>
  <si>
    <t>48.352381 55.8677</t>
  </si>
  <si>
    <t>Акто</t>
  </si>
  <si>
    <t>ул. Щорса, 39, Волжск</t>
  </si>
  <si>
    <t>+7 (962) 589-55-04, +7 (967) 753-81-80</t>
  </si>
  <si>
    <t xml:space="preserve">aktodoc@gmail.com </t>
  </si>
  <si>
    <t>48.388498 55.852496</t>
  </si>
  <si>
    <t>ул. Ленина, 52/1, Волжск</t>
  </si>
  <si>
    <t>48.36477 55.864639</t>
  </si>
  <si>
    <t>48.380238 55.859705</t>
  </si>
  <si>
    <t>48.365781 55.86164</t>
  </si>
  <si>
    <t>https://vk.com/avtodraiver</t>
  </si>
  <si>
    <t>48.365063 55.863711</t>
  </si>
  <si>
    <t>Капризуля</t>
  </si>
  <si>
    <t>48.359824 55.86454</t>
  </si>
  <si>
    <t>Магазин автодетали</t>
  </si>
  <si>
    <t>+7 (909) 366-53-92</t>
  </si>
  <si>
    <t>48.373108 55.864328</t>
  </si>
  <si>
    <t>48.344637 55.898849</t>
  </si>
  <si>
    <t>Комбинат благоуйстройства</t>
  </si>
  <si>
    <t>Транспортная ул., 9, Волжск</t>
  </si>
  <si>
    <t>48.36374 55.887034</t>
  </si>
  <si>
    <t>Светлое-небо.рф</t>
  </si>
  <si>
    <t>+7 (960) 039-33-99</t>
  </si>
  <si>
    <t xml:space="preserve">nebozd@yandex.ru  </t>
  </si>
  <si>
    <t>https://светлое-небо.рф/volzhsk</t>
  </si>
  <si>
    <t>пн-сб 09:00–17:00, перерыв 12:00–13:00</t>
  </si>
  <si>
    <t>https://vk.com/potolokzd</t>
  </si>
  <si>
    <t>https://ok.ru/potolokzd</t>
  </si>
  <si>
    <t>https://www.facebook.com/potolokZELENODOLSK</t>
  </si>
  <si>
    <t>https://www.instagram.com/potolok_zelenodolsk</t>
  </si>
  <si>
    <t>48.386914 55.851021</t>
  </si>
  <si>
    <t>Детский игровой центр M-Kids</t>
  </si>
  <si>
    <t>+7 (964) 861-07-38</t>
  </si>
  <si>
    <t>48.358028 55.866819</t>
  </si>
  <si>
    <t>+7 (969) 627-17-98</t>
  </si>
  <si>
    <t>Бетон, бетонные изделия, Стройматериалы оптом</t>
  </si>
  <si>
    <t>ежедневно, 08:00–18:30, перерыв 12:30–13:00</t>
  </si>
  <si>
    <t>Арт Грес</t>
  </si>
  <si>
    <t>8 (800) 775-95-49</t>
  </si>
  <si>
    <t xml:space="preserve">info@art-gres.com  </t>
  </si>
  <si>
    <t>http://art-gres.com/</t>
  </si>
  <si>
    <t>Керамическая плитка</t>
  </si>
  <si>
    <t>48.357635 55.900601</t>
  </si>
  <si>
    <t>48.387696 55.851378</t>
  </si>
  <si>
    <t>48.389976 55.855149</t>
  </si>
  <si>
    <t>48.365138 55.863683</t>
  </si>
  <si>
    <t>Dunham-Bush</t>
  </si>
  <si>
    <t>8 (800) 600-00-58, +7 (83631) 4-45-45</t>
  </si>
  <si>
    <t xml:space="preserve">info@yantaimoon.com.ru  </t>
  </si>
  <si>
    <t>http://volzhsk.yantaimoon.com.ru/</t>
  </si>
  <si>
    <t>Нефтегазовое оборудование, Промышленное холодильное оборудование, Системы вентиляции</t>
  </si>
  <si>
    <t>48.388015 55.852496</t>
  </si>
  <si>
    <t>Infinity</t>
  </si>
  <si>
    <t>48.35702 55.865524</t>
  </si>
  <si>
    <t>48.333117 55.868066</t>
  </si>
  <si>
    <t>ВиноКур</t>
  </si>
  <si>
    <t>Самогонное оборудование</t>
  </si>
  <si>
    <t>48.386738 55.852554</t>
  </si>
  <si>
    <t>Мишутка</t>
  </si>
  <si>
    <t>48.35688 55.865439</t>
  </si>
  <si>
    <t>Транспортная ул., 2М, Волжск</t>
  </si>
  <si>
    <t>+7 (902) 101-55-56, +7 (902) 101-60-06</t>
  </si>
  <si>
    <t>http://visa-rf.ru/vlsk/, https://visa-prosto.com/vlsk/</t>
  </si>
  <si>
    <t>Бронирование гостиниц, Железнодорожные и авиабилеты, Помощь в оформлении виз и загранпаспортов</t>
  </si>
  <si>
    <t>https://vk.com/pvc_vlsk</t>
  </si>
  <si>
    <t>48.36125 55.887362</t>
  </si>
  <si>
    <t>Автокосметика, автохимия, Аккумуляторы и зарядные устройства, Экспресс-пункт замены масла</t>
  </si>
  <si>
    <t>https://vk.com/club143894048</t>
  </si>
  <si>
    <t>48.359074 55.878799</t>
  </si>
  <si>
    <t>Цветочный блюз</t>
  </si>
  <si>
    <t>+7 (964) 861-23-70</t>
  </si>
  <si>
    <t>Фортуна креп</t>
  </si>
  <si>
    <t>Герметики, Клеящие вещества и материалы, Крепежные изделия</t>
  </si>
  <si>
    <t>48.396787 55.846551</t>
  </si>
  <si>
    <t>48.29317 55.88606</t>
  </si>
  <si>
    <t>48.383599 55.859735</t>
  </si>
  <si>
    <t>48.350372 55.866977</t>
  </si>
  <si>
    <t>48.349606 55.881219</t>
  </si>
  <si>
    <t>Дворец спорта</t>
  </si>
  <si>
    <t>ул. Ленина, 37А, Волжск</t>
  </si>
  <si>
    <t>48.371349 55.861504</t>
  </si>
  <si>
    <t>Обучение за рубежом, Турагентство</t>
  </si>
  <si>
    <t>48.370785 55.862753</t>
  </si>
  <si>
    <t>Средняя школа № 5, начальный корпус</t>
  </si>
  <si>
    <t>48.385949 55.859139</t>
  </si>
  <si>
    <t>48.371305 55.862046</t>
  </si>
  <si>
    <t>ЛиК</t>
  </si>
  <si>
    <t>48.354977 55.868458</t>
  </si>
  <si>
    <t>ПромСтрой</t>
  </si>
  <si>
    <t>ул. Пушкина, 27, Волжск</t>
  </si>
  <si>
    <t>48.379443 55.864748</t>
  </si>
  <si>
    <t>48.392021 55.854693</t>
  </si>
  <si>
    <t>Детские игрушки и игры, Детский магазин, Спортивный инвентарь и оборудование</t>
  </si>
  <si>
    <t>48.361622 55.864168</t>
  </si>
  <si>
    <t>48.346796 55.861945</t>
  </si>
  <si>
    <t>48.349206 55.88045</t>
  </si>
  <si>
    <t>Россия, Республика Марий Эл, Волжск, Набережная улица</t>
  </si>
  <si>
    <t>48.392137 55.839689</t>
  </si>
  <si>
    <t>+7 (960) 090-84-27</t>
  </si>
  <si>
    <t>Наружная реклама, Полиграфические услуги, Широкоформатная печать</t>
  </si>
  <si>
    <t>ул. Мамасево, 95А, Волжск</t>
  </si>
  <si>
    <t>48.35535 55.901015</t>
  </si>
  <si>
    <t>Золотая Миля</t>
  </si>
  <si>
    <t>48.344445 55.86016</t>
  </si>
  <si>
    <t>ГОСТ-строй</t>
  </si>
  <si>
    <t>+7 (960) 093-93-90</t>
  </si>
  <si>
    <t>Двери, Жалюзи и рулонные шторы, Магазин мебели, Натяжные и подвесные потолки, Окна, Шкафы-купе</t>
  </si>
  <si>
    <t>48.383259 55.882198</t>
  </si>
  <si>
    <t>Учебный корпус</t>
  </si>
  <si>
    <t>Строительная ул., 6, Волжск</t>
  </si>
  <si>
    <t>48.3664 55.863156</t>
  </si>
  <si>
    <t>Доктор Стим</t>
  </si>
  <si>
    <t>+7 (903) 050-66-88</t>
  </si>
  <si>
    <t xml:space="preserve">bar-drsteam@yandex.ru  </t>
  </si>
  <si>
    <t>http://www.drsteam.ru/</t>
  </si>
  <si>
    <t>Бар безалкогольных напитков, Вейп шоп, Магазин табака и курительных принадлежностей</t>
  </si>
  <si>
    <t>пн-чт 12:00–23:00; пт,сб 12:00–01:00; вс 12:00–23:00</t>
  </si>
  <si>
    <t>http://vk.com/drsteam_ru</t>
  </si>
  <si>
    <t>http://instagram.com/drsteam.ru</t>
  </si>
  <si>
    <t>Волжские Страницы</t>
  </si>
  <si>
    <t>+7 (84371) 4-24-65</t>
  </si>
  <si>
    <t>http://zdreklama.ru/</t>
  </si>
  <si>
    <t>48.348676 55.872504</t>
  </si>
  <si>
    <t>ООО Крокус</t>
  </si>
  <si>
    <t>Вокзальный пр., 8, Волжск</t>
  </si>
  <si>
    <t>+7 (905) 008-80-03, +7 (969) 778-21-80, +7 (939) 725-10-31</t>
  </si>
  <si>
    <t xml:space="preserve">k257257257@yandex.ru, 257257257@mail.ru  </t>
  </si>
  <si>
    <t>http://mebel-krokus.ru/</t>
  </si>
  <si>
    <t>Детская мебель, Корпусная мебель, Мебельная фабрика</t>
  </si>
  <si>
    <t>https://vk.com/krokusmebel</t>
  </si>
  <si>
    <t>https://www.instagram.com/mebel.krokus.ru/</t>
  </si>
  <si>
    <t>48.355315 55.859648</t>
  </si>
  <si>
    <t>Хозстрой маркет</t>
  </si>
  <si>
    <t>ул. Кошкина, 21Б, Волжск</t>
  </si>
  <si>
    <t>48.396037 55.847193</t>
  </si>
  <si>
    <t>Оранж Кидс</t>
  </si>
  <si>
    <t>+7 (906) 334-65-95, +7 (906) 334-08-34</t>
  </si>
  <si>
    <t xml:space="preserve">ooo.ok12@mail.ru, donate@opencart.com  </t>
  </si>
  <si>
    <t>http://12ok.ru/</t>
  </si>
  <si>
    <t>Индюшкин двор</t>
  </si>
  <si>
    <t>48.383908 55.881378</t>
  </si>
  <si>
    <t>Mobi Luxe</t>
  </si>
  <si>
    <t>48.36009 55.864561</t>
  </si>
  <si>
    <t>48.338175 55.868638</t>
  </si>
  <si>
    <t>Шаурма-пицца</t>
  </si>
  <si>
    <t>ул. Ленина, 57/1, Волжск</t>
  </si>
  <si>
    <t>48.358651 55.864944</t>
  </si>
  <si>
    <t>ул. Авиации, 50Б, Волжск</t>
  </si>
  <si>
    <t>48.351612 55.869558</t>
  </si>
  <si>
    <t>48.365437 55.863567</t>
  </si>
  <si>
    <t>Дентал-С</t>
  </si>
  <si>
    <t>+7 (83631) 6-08-75</t>
  </si>
  <si>
    <t>+7 (937) 112-81-05</t>
  </si>
  <si>
    <t>пн-пт 07:00–17:00; сб 07:00–13:00</t>
  </si>
  <si>
    <t>48.362577 55.861529</t>
  </si>
  <si>
    <t>Компания мебели для дома</t>
  </si>
  <si>
    <t>48.35783 55.865293</t>
  </si>
  <si>
    <t>48.349857 55.86658</t>
  </si>
  <si>
    <t>№ 4</t>
  </si>
  <si>
    <t>48.37134 55.861993</t>
  </si>
  <si>
    <t>Мистер Хенк</t>
  </si>
  <si>
    <t>48.373047 55.863908</t>
  </si>
  <si>
    <t>48.371519 55.862714</t>
  </si>
  <si>
    <t>48.346907 55.865355</t>
  </si>
  <si>
    <t>48.374453 55.861714</t>
  </si>
  <si>
    <t>Россия, Республика Марий Эл, Волжск, Коммунистическая улица</t>
  </si>
  <si>
    <t>48.383292 55.852162</t>
  </si>
  <si>
    <t>Советская ул., 15А, Волжск</t>
  </si>
  <si>
    <t>48.382199 55.859111</t>
  </si>
  <si>
    <t>48.341761 55.866498</t>
  </si>
  <si>
    <t>Россия, Республика Марий Эл, Волжск, Пролетарская улица</t>
  </si>
  <si>
    <t>48.390101 55.853836</t>
  </si>
  <si>
    <t>ул. Мира, 6, Волжск</t>
  </si>
  <si>
    <t>48.341032 55.861179</t>
  </si>
  <si>
    <t>48.377615 55.883121</t>
  </si>
  <si>
    <t>ММЦ</t>
  </si>
  <si>
    <t>48.352785 55.866637</t>
  </si>
  <si>
    <t>Домком</t>
  </si>
  <si>
    <t>ул. Гагарина, 138, Волжск</t>
  </si>
  <si>
    <t>+7 (961) 376-20-03</t>
  </si>
  <si>
    <t>https://vk.com/club144361130</t>
  </si>
  <si>
    <t>48.3459 55.876753</t>
  </si>
  <si>
    <t>48.389953 55.853531</t>
  </si>
  <si>
    <t>48.365095 55.864207</t>
  </si>
  <si>
    <t>ул. Кошкина, 22, Волжск</t>
  </si>
  <si>
    <t>48.395379 55.846815</t>
  </si>
  <si>
    <t>Milano Bar</t>
  </si>
  <si>
    <t>48.350684 55.868322</t>
  </si>
  <si>
    <t>MirandA</t>
  </si>
  <si>
    <t>48.372973 55.863988</t>
  </si>
  <si>
    <t>Быстропит</t>
  </si>
  <si>
    <t>48.360319 55.864482</t>
  </si>
  <si>
    <t>ул. Кузьмина, 22/2, Волжск</t>
  </si>
  <si>
    <t>48.35026 55.867152</t>
  </si>
  <si>
    <t>Опторг</t>
  </si>
  <si>
    <t>48.381656 55.860697</t>
  </si>
  <si>
    <t>Общественная организация Федерация спортивной борьбы РМЭ</t>
  </si>
  <si>
    <t>48.386703 55.860058</t>
  </si>
  <si>
    <t>ЕвроСвет</t>
  </si>
  <si>
    <t>48.361277 55.86515</t>
  </si>
  <si>
    <t>BigBlin</t>
  </si>
  <si>
    <t>48.357945 55.86638</t>
  </si>
  <si>
    <t>Жилой дом по ул. Мира, 12</t>
  </si>
  <si>
    <t>ул. Мира, 12А, Волжск</t>
  </si>
  <si>
    <t>+7 (83631) 4-39-67</t>
  </si>
  <si>
    <t>http://волжскпромстрой.рф/services/12/</t>
  </si>
  <si>
    <t>48.341843 55.862461</t>
  </si>
  <si>
    <t>Россия, Республика Марий Эл, Волжск, садовое товарищество Заря</t>
  </si>
  <si>
    <t>48.35894 55.887093</t>
  </si>
  <si>
    <t>Советская ул., 37А, Волжск</t>
  </si>
  <si>
    <t>48.391428 55.85459</t>
  </si>
  <si>
    <t>Энергосберегающее отопительное оборудование</t>
  </si>
  <si>
    <t>48.340948 55.860853</t>
  </si>
  <si>
    <t>48.333363 55.866369</t>
  </si>
  <si>
    <t>48.364607 55.859416</t>
  </si>
  <si>
    <t xml:space="preserve">sale@kredo12.ru  </t>
  </si>
  <si>
    <t>http://kredo12.ru/</t>
  </si>
  <si>
    <t>48.378883 55.860593</t>
  </si>
  <si>
    <t>http://volzhsk.potolkinatyazhnye-vsem.ru/</t>
  </si>
  <si>
    <t>https://twitter.com/OstekluVolzhsk</t>
  </si>
  <si>
    <t>48.383069 55.881652</t>
  </si>
  <si>
    <t>Продукты 24</t>
  </si>
  <si>
    <t>Пiлка</t>
  </si>
  <si>
    <t>+7 (961) 334-12-98</t>
  </si>
  <si>
    <t>Ногтевая студия, Солярий</t>
  </si>
  <si>
    <t>https://vk.com/club130490437</t>
  </si>
  <si>
    <t>Набережная ул., 2, Волжск</t>
  </si>
  <si>
    <t>+7 (961) 377-91-67</t>
  </si>
  <si>
    <t>Яхт-клуб</t>
  </si>
  <si>
    <t>48.399789 55.834174</t>
  </si>
  <si>
    <t>Социальная</t>
  </si>
  <si>
    <t>48.382961 55.860564</t>
  </si>
  <si>
    <t>Минирынок</t>
  </si>
  <si>
    <t>48.38346 55.881539</t>
  </si>
  <si>
    <t>Россия, Республика Марий Эл, Волжск, улица Шестакова</t>
  </si>
  <si>
    <t>48.335926 55.86972</t>
  </si>
  <si>
    <t>Грузовой двор Волжск</t>
  </si>
  <si>
    <t>Россия, Горьковская железная дорога, станция Волжск</t>
  </si>
  <si>
    <t xml:space="preserve">info@rzd.ru, dm_secretar@grw.ru </t>
  </si>
  <si>
    <t>48.363065 55.861357</t>
  </si>
  <si>
    <t>48.356861 55.865227</t>
  </si>
  <si>
    <t>Промышленные ряды УППВОС</t>
  </si>
  <si>
    <t>48.38518 55.861033</t>
  </si>
  <si>
    <t>Турфирма Бора-Бора</t>
  </si>
  <si>
    <t xml:space="preserve">79063361609@yandex.ru, bora-tourism@mail.ru  </t>
  </si>
  <si>
    <t>https://vk.com/club160446082</t>
  </si>
  <si>
    <t>48.365906 55.863333</t>
  </si>
  <si>
    <t>48.364055 55.877268</t>
  </si>
  <si>
    <t>Дубликаты номеров</t>
  </si>
  <si>
    <t>+7 (952) 041-16-66</t>
  </si>
  <si>
    <t>Общежитие ВИТТ</t>
  </si>
  <si>
    <t>48.383497 55.853805</t>
  </si>
  <si>
    <t>+7 (917) 904-90-84</t>
  </si>
  <si>
    <t>https://vk.com/rio_volzhsk</t>
  </si>
  <si>
    <t>https://instagram.com/rio_volzhsk</t>
  </si>
  <si>
    <t>Teklas</t>
  </si>
  <si>
    <t>48.332072 55.912411</t>
  </si>
  <si>
    <t>БЦ</t>
  </si>
  <si>
    <t>РКО Брокер</t>
  </si>
  <si>
    <t>+7 (843) 280-08-70</t>
  </si>
  <si>
    <t xml:space="preserve">partners@rko-broker.ru  </t>
  </si>
  <si>
    <t>http://rko-broker.ru/</t>
  </si>
  <si>
    <t>https://vk.com/rkobroker</t>
  </si>
  <si>
    <t>https://www.instagram.com/rko.broker</t>
  </si>
  <si>
    <t>Парковая ул., 19, Волжск</t>
  </si>
  <si>
    <t>+7 (960) 091-49-90</t>
  </si>
  <si>
    <t>Кальян-бар, Кафе, Ресторан</t>
  </si>
  <si>
    <t>пн-чт 12:00–22:00; пт,сб 12:00–23:00; вс 12:00–22:00</t>
  </si>
  <si>
    <t>http://vk.com/omar_hayam_volzhsk</t>
  </si>
  <si>
    <t>48.331833 55.859417</t>
  </si>
  <si>
    <t>Россия, Республика Марий Эл, Волжск, жилой район Западный</t>
  </si>
  <si>
    <t>48.296992 55.88562</t>
  </si>
  <si>
    <t>Цифрател</t>
  </si>
  <si>
    <t>+7 (906) 336-07-07</t>
  </si>
  <si>
    <t xml:space="preserve">cifratel@yandex.ru  </t>
  </si>
  <si>
    <t>http://vk.com/cifratel</t>
  </si>
  <si>
    <t>http://instagram.com/cifratell</t>
  </si>
  <si>
    <t>48.369285 55.864844</t>
  </si>
  <si>
    <t>МКК Вижинард</t>
  </si>
  <si>
    <t>+7 (495) 178-00-46</t>
  </si>
  <si>
    <t>48.36048 55.864864</t>
  </si>
  <si>
    <t>48.359297 55.866135</t>
  </si>
  <si>
    <t>48.358948 55.865789</t>
  </si>
  <si>
    <t>48.356996 55.865411</t>
  </si>
  <si>
    <t>Электрическая подстанция Волжская</t>
  </si>
  <si>
    <t>48.361769 55.913177</t>
  </si>
  <si>
    <t>Эгоист</t>
  </si>
  <si>
    <t>ул. 107-й Бригады, 4/2, Волжск</t>
  </si>
  <si>
    <t>48.377083 55.88304</t>
  </si>
  <si>
    <t xml:space="preserve">versal-mk@yandex.ru  </t>
  </si>
  <si>
    <t>https://www.versal-mk.ru/</t>
  </si>
  <si>
    <t>Мебельная фабрика, Производственное предприятие</t>
  </si>
  <si>
    <t>48.345119 55.911088</t>
  </si>
  <si>
    <t>Автозапчасти - ИП Киселева</t>
  </si>
  <si>
    <t>Zetta</t>
  </si>
  <si>
    <t>ул. Ленина, 26, Волжск</t>
  </si>
  <si>
    <t>48.375324 55.861696</t>
  </si>
  <si>
    <t>48.344782 55.859446</t>
  </si>
  <si>
    <t>За Родиной</t>
  </si>
  <si>
    <t>48.387468 55.854333</t>
  </si>
  <si>
    <t>48.38439 55.859106</t>
  </si>
  <si>
    <t>Юнга</t>
  </si>
  <si>
    <t>48.387317 55.860736</t>
  </si>
  <si>
    <t>ул. Ленина, 18Б, Волжск</t>
  </si>
  <si>
    <t>48.378689 55.860675</t>
  </si>
  <si>
    <t>Стэп</t>
  </si>
  <si>
    <t>+7 (8362) 42-67-37</t>
  </si>
  <si>
    <t>48.343816 55.865935</t>
  </si>
  <si>
    <t>+7 (961) 333-94-96</t>
  </si>
  <si>
    <t>48.354958 55.866642</t>
  </si>
  <si>
    <t>ул. Ленина, 57Б, Волжск</t>
  </si>
  <si>
    <t>48.359307 55.864954</t>
  </si>
  <si>
    <t>48.376466 55.884115</t>
  </si>
  <si>
    <t>48.377732 55.861047</t>
  </si>
  <si>
    <t>+7 (903) 050-37-77</t>
  </si>
  <si>
    <t>48.351334 55.879787</t>
  </si>
  <si>
    <t>Магазин хозтоваров и бытовой химии, Строительный магазин, Товары для дома</t>
  </si>
  <si>
    <t>48.371115 55.865591</t>
  </si>
  <si>
    <t>Материалы для ремонта обуви</t>
  </si>
  <si>
    <t>Оборудование для легкой промышленности</t>
  </si>
  <si>
    <t>Обувные материалы и фурнитура</t>
  </si>
  <si>
    <t>48.36014 55.864541</t>
  </si>
  <si>
    <t>СМК Компания 27</t>
  </si>
  <si>
    <t>+7 (961) 333-45-95</t>
  </si>
  <si>
    <t>http://company27.ru/, http://balkoni.company27.ru/, http://okna.company27.ru/</t>
  </si>
  <si>
    <t>Двери, Окна, Строительная компания</t>
  </si>
  <si>
    <t>https://ok.ru/company27.89613334595</t>
  </si>
  <si>
    <t>48.333457 55.863174</t>
  </si>
  <si>
    <t>МЭФК</t>
  </si>
  <si>
    <t>+7 (83631) 6-27-59</t>
  </si>
  <si>
    <t>48.360483 55.879956</t>
  </si>
  <si>
    <t>ИМПЕРИЯ</t>
  </si>
  <si>
    <t>https://vk.com/imperiamebelvolshsk</t>
  </si>
  <si>
    <t>ул. Федина, 4, Волжск</t>
  </si>
  <si>
    <t>Магазин хозтоваров и бытовой химии, Товары для дома</t>
  </si>
  <si>
    <t>https://vk.com/dom_vsk</t>
  </si>
  <si>
    <t>48.334302 55.86423</t>
  </si>
  <si>
    <t>48.360107 55.881494</t>
  </si>
  <si>
    <t>Металлстройкомплект</t>
  </si>
  <si>
    <t>ул. Прохорова, 94, корп. 1, Волжск</t>
  </si>
  <si>
    <t>Кровля и кровельные материалы, Металлические заборы и ограждения, Металлопрокат</t>
  </si>
  <si>
    <t>48.35801 55.877617</t>
  </si>
  <si>
    <t>48.383063 55.881703</t>
  </si>
  <si>
    <t>48.386387 55.859253</t>
  </si>
  <si>
    <t>48.38251 55.85999</t>
  </si>
  <si>
    <t>Страховка-12</t>
  </si>
  <si>
    <t>Автомобильные тахографы, Страхование автомобилей</t>
  </si>
  <si>
    <t>пн-пт 08:30–17:00; сб 09:00–12:00</t>
  </si>
  <si>
    <t>48.362356 55.886836</t>
  </si>
  <si>
    <t>Клёвое Место</t>
  </si>
  <si>
    <t>+7 (960) 095-71-91</t>
  </si>
  <si>
    <t>Офис Avon</t>
  </si>
  <si>
    <t>+7 (909) 366-01-29</t>
  </si>
  <si>
    <t>https://my.avon.ru/</t>
  </si>
  <si>
    <t>пн-сб 14:00–18:00</t>
  </si>
  <si>
    <t>48.376143 55.883432</t>
  </si>
  <si>
    <t>Корд</t>
  </si>
  <si>
    <t>48.339501 55.858995</t>
  </si>
  <si>
    <t>Игрушки канцтовары</t>
  </si>
  <si>
    <t>48.355213 55.866196</t>
  </si>
  <si>
    <t>ул. Шестакова, 10А, Волжск</t>
  </si>
  <si>
    <t>48.337387 55.870634</t>
  </si>
  <si>
    <t>Иконописная мастерская, Религиозные товары</t>
  </si>
  <si>
    <t>48.379118 55.860195</t>
  </si>
  <si>
    <t>Nugabest</t>
  </si>
  <si>
    <t>Магазин медицинских товаров</t>
  </si>
  <si>
    <t>48.357705 55.864773</t>
  </si>
  <si>
    <t>Сосновая ул., 52, Волжск</t>
  </si>
  <si>
    <t>+7 (927) 875-59-84</t>
  </si>
  <si>
    <t xml:space="preserve">e333av@yandex.ru </t>
  </si>
  <si>
    <t>Заказ автомобилей, Оператор каршеринга, Прокат автомобилей</t>
  </si>
  <si>
    <t>https://vk.com/volzhskcar</t>
  </si>
  <si>
    <t>48.329856 55.8665</t>
  </si>
  <si>
    <t>Новый Дом</t>
  </si>
  <si>
    <t>+7 (906) 336-65-76</t>
  </si>
  <si>
    <t>48.339527 55.913802</t>
  </si>
  <si>
    <t>Желтые ворота</t>
  </si>
  <si>
    <t>+7 (909) 367-46-57</t>
  </si>
  <si>
    <t>48.371219 55.886088</t>
  </si>
  <si>
    <t>48.382917 55.854932</t>
  </si>
  <si>
    <t>48.29345 55.886093</t>
  </si>
  <si>
    <t>48.383908 55.881379</t>
  </si>
  <si>
    <t>48.33326 55.8638</t>
  </si>
  <si>
    <t>Love Story</t>
  </si>
  <si>
    <t>+7 (962) 590-59-82</t>
  </si>
  <si>
    <t>48.349746 55.881174</t>
  </si>
  <si>
    <t>48.384157 55.881379</t>
  </si>
  <si>
    <t>Россия, Республика Марий Эл, Волжск, Дубовая роща</t>
  </si>
  <si>
    <t>48.334401 55.859726</t>
  </si>
  <si>
    <t>Магазин украшений ручной работы</t>
  </si>
  <si>
    <t>48.35206 55.879944</t>
  </si>
  <si>
    <t>Monaco</t>
  </si>
  <si>
    <t>48.349949 55.867183</t>
  </si>
  <si>
    <t>48.342609 55.864991</t>
  </si>
  <si>
    <t>Открытая школа</t>
  </si>
  <si>
    <t>+7 (83631) 6-82-62, +7 (83631) 4-79-75, +7 (83631) 4-61-75</t>
  </si>
  <si>
    <t xml:space="preserve">vecherkavolgsk2008@yandex.ru </t>
  </si>
  <si>
    <t>http://vecherka.org.ru/</t>
  </si>
  <si>
    <t>Strong Fit</t>
  </si>
  <si>
    <t>+7 (919) 630-12-36, +7 (906) 321-64-88</t>
  </si>
  <si>
    <t xml:space="preserve">strong-fit@yandex.ru  </t>
  </si>
  <si>
    <t>http://strongfit.ru/</t>
  </si>
  <si>
    <t>https://vk.com/strongfit_116</t>
  </si>
  <si>
    <t>Волжсктелеком</t>
  </si>
  <si>
    <t>ул. Шестакова, 39, Волжск</t>
  </si>
  <si>
    <t>+7 (969) 778-93-37</t>
  </si>
  <si>
    <t>http://volzhsktelekom.ru/</t>
  </si>
  <si>
    <t>Интернет-провайдер, Кабельное телевидение</t>
  </si>
  <si>
    <t>вт-пт 09:30–18:00, перерыв 13:00–15:30; сб 09:30–13:00</t>
  </si>
  <si>
    <t>48.340447 55.873031</t>
  </si>
  <si>
    <t>АвтоВавилон</t>
  </si>
  <si>
    <t>+7 (960) 091-05-55</t>
  </si>
  <si>
    <t>https://www.instagram.com/avtovavilon12</t>
  </si>
  <si>
    <t>48.371766 55.863025</t>
  </si>
  <si>
    <t>48.388893 55.882785</t>
  </si>
  <si>
    <t>48.383197 55.882782</t>
  </si>
  <si>
    <t>+7 (999) 609-51-55, +7 (960) 099-43-34</t>
  </si>
  <si>
    <t xml:space="preserve">i.magazin@navigator-63.ru, example@mail.ru, magazin1@navigator-63.ru, magazin12@navigator-63.ru, magazin5@navigator-63.ru  </t>
  </si>
  <si>
    <t>http://www.navigator-63.ru/</t>
  </si>
  <si>
    <t>https://vk.com/id620433439</t>
  </si>
  <si>
    <t>https://www.instagram.com/mefk_kompleks</t>
  </si>
  <si>
    <t>48.360312 55.879517</t>
  </si>
  <si>
    <t>48.340336 55.871895</t>
  </si>
  <si>
    <t>Стоматологическая поликлиника, детское отделение</t>
  </si>
  <si>
    <t>пн-пт 07:00–15:00</t>
  </si>
  <si>
    <t>48.38146 55.86002</t>
  </si>
  <si>
    <t>Кот Бегемот</t>
  </si>
  <si>
    <t>48.364937 55.864203</t>
  </si>
  <si>
    <t>ул. 107-й Бригады, 4А, Волжск</t>
  </si>
  <si>
    <t>48.377132 55.883442</t>
  </si>
  <si>
    <t>+7 (917) 712-92-33</t>
  </si>
  <si>
    <t>http://andelta.ru/</t>
  </si>
  <si>
    <t>Gree Car</t>
  </si>
  <si>
    <t>+7 (961) 373-70-70</t>
  </si>
  <si>
    <t>http://green-car.pro/</t>
  </si>
  <si>
    <t>48.348821 55.86716</t>
  </si>
  <si>
    <t>Кондиционеры, Натяжные и подвесные потолки, Ремонт климатических систем, Установка кондиционеров</t>
  </si>
  <si>
    <t>48.359104 55.878843</t>
  </si>
  <si>
    <t>Сладкоежка</t>
  </si>
  <si>
    <t>48.38353 55.881535</t>
  </si>
  <si>
    <t>Автодром Автомобилист</t>
  </si>
  <si>
    <t>48.346513 55.909451</t>
  </si>
  <si>
    <t>+7 (83631) 6-05-50</t>
  </si>
  <si>
    <t>http://berezkazd.ru/</t>
  </si>
  <si>
    <t>Магазин сантехники, Магазин электротоваров, Строительный магазин</t>
  </si>
  <si>
    <t>ежедневно, 07:55–20:05</t>
  </si>
  <si>
    <t>https://vk.com/berezkazd13</t>
  </si>
  <si>
    <t>48.359097 55.878107</t>
  </si>
  <si>
    <t>Автокомплекс 24</t>
  </si>
  <si>
    <t>Советская ул., 27, Волжск</t>
  </si>
  <si>
    <t>48.386801 55.857372</t>
  </si>
  <si>
    <t>48.355703 55.864544</t>
  </si>
  <si>
    <t>48.332497 55.868343</t>
  </si>
  <si>
    <t>ул. Белинского, 9, Волжск</t>
  </si>
  <si>
    <t>48.3739 55.865547</t>
  </si>
  <si>
    <t>48.383675 55.859412</t>
  </si>
  <si>
    <t>МарСтройГаз</t>
  </si>
  <si>
    <t>48.359473 55.863995</t>
  </si>
  <si>
    <t>48.351475 55.879955</t>
  </si>
  <si>
    <t>ул. Ленина, 13, Волжск</t>
  </si>
  <si>
    <t>48.382224 55.859244</t>
  </si>
  <si>
    <t>Россия, Республика Марий Эл, Волжск, улица Фрунзе</t>
  </si>
  <si>
    <t>48.32671 55.872584</t>
  </si>
  <si>
    <t>Россия, Республика Марий Эл, Волжск, улица Халтурина</t>
  </si>
  <si>
    <t>48.371487 55.868168</t>
  </si>
  <si>
    <t>48.399638 55.852545</t>
  </si>
  <si>
    <t>Ariada Gym</t>
  </si>
  <si>
    <t>+7 (909) 366-53-54</t>
  </si>
  <si>
    <t>пн-пт 07:00–21:00; сб,вс 08:00–18:00</t>
  </si>
  <si>
    <t>https://vk.com/ariadagym</t>
  </si>
  <si>
    <t>https://instagram.com/ariadagym</t>
  </si>
  <si>
    <t>48.371483 55.862872</t>
  </si>
  <si>
    <t>Стройка</t>
  </si>
  <si>
    <t>ул. Кузьмина, 20, Волжск</t>
  </si>
  <si>
    <t>+7 (83631) 6-40-44</t>
  </si>
  <si>
    <t>Кровля и кровельные материалы, Металлопрокат, Стройматериалы оптом, Сухие строительные смеси</t>
  </si>
  <si>
    <t>48.348687 55.866489</t>
  </si>
  <si>
    <t>48.379397 55.878773</t>
  </si>
  <si>
    <t>48.359831 55.865557</t>
  </si>
  <si>
    <t>ул. Щербакова, 4/1, Волжск</t>
  </si>
  <si>
    <t>48.330814 55.869885</t>
  </si>
  <si>
    <t>48.383254 55.882745</t>
  </si>
  <si>
    <t>Россия, Республика Марий Эл, Волжск, бульвар Добра и Мира</t>
  </si>
  <si>
    <t>48.372041 55.862267</t>
  </si>
  <si>
    <t>+7 (917) 702-64-43</t>
  </si>
  <si>
    <t>48.383385 55.854534</t>
  </si>
  <si>
    <t>48.35699 55.86554</t>
  </si>
  <si>
    <t>Kinder club</t>
  </si>
  <si>
    <t>+7 (960) 097-70-07</t>
  </si>
  <si>
    <t>https://vk.com/k.club2016</t>
  </si>
  <si>
    <t>48.339206 55.871465</t>
  </si>
  <si>
    <t>Наш шиномонтаж</t>
  </si>
  <si>
    <t>+7 (903) 050-82-84</t>
  </si>
  <si>
    <t>48.371745 55.863666</t>
  </si>
  <si>
    <t>ДОСААФ</t>
  </si>
  <si>
    <t>48.327749 55.880087</t>
  </si>
  <si>
    <t>Исида</t>
  </si>
  <si>
    <t>48.349754 55.878612</t>
  </si>
  <si>
    <t>Ушастик</t>
  </si>
  <si>
    <t>48.360704 55.864476</t>
  </si>
  <si>
    <t>+7 (961) 378-29-92</t>
  </si>
  <si>
    <t>48.338341 55.86623</t>
  </si>
  <si>
    <t>48.35204 55.879932</t>
  </si>
  <si>
    <t>48.350419 55.879057</t>
  </si>
  <si>
    <t>Волжск-Авто</t>
  </si>
  <si>
    <t>Транспортная ул., 1, корп. 1, Волжск</t>
  </si>
  <si>
    <t>+7 (909) 366-82-26</t>
  </si>
  <si>
    <t>Автосалон, Магазин автозапчастей и автотоваров, Производство и оптовая продажа автозапчастей</t>
  </si>
  <si>
    <t>48.360255 55.88765</t>
  </si>
  <si>
    <t>48.338111 55.866993</t>
  </si>
  <si>
    <t>Стронг</t>
  </si>
  <si>
    <t>+7 (927) 670-48-03</t>
  </si>
  <si>
    <t xml:space="preserve">strongrt@yandex.ru, strong@1vat.ru, info@strong16.ru  </t>
  </si>
  <si>
    <t>http://www.strong16.ru/</t>
  </si>
  <si>
    <t>ПринтФото</t>
  </si>
  <si>
    <t>Йошкар-Олинское ш., 18, Волжск</t>
  </si>
  <si>
    <t>+7 (902) 106-71-55</t>
  </si>
  <si>
    <t>Полиграфические услуги, Рекламная продукция</t>
  </si>
  <si>
    <t>48.358734 55.889476</t>
  </si>
  <si>
    <t>ул. Матюшенко, 1А, Волжск</t>
  </si>
  <si>
    <t>+7 (960) 090-33-37</t>
  </si>
  <si>
    <t>48.372535 55.863035</t>
  </si>
  <si>
    <t>48.335507 55.865318</t>
  </si>
  <si>
    <t>48.350849 55.868243</t>
  </si>
  <si>
    <t>48.332356 55.86854</t>
  </si>
  <si>
    <t>БусинКи</t>
  </si>
  <si>
    <t>Магазин канцтоваров, Нитки, пряжа, Товары для творчества и рукоделия</t>
  </si>
  <si>
    <t>48.334114 55.863811</t>
  </si>
  <si>
    <t>ул. 107-й Бригады, 10А, Волжск</t>
  </si>
  <si>
    <t>48.381333 55.880662</t>
  </si>
  <si>
    <t>Центрснаб</t>
  </si>
  <si>
    <t>+7 (937) 776-91-16</t>
  </si>
  <si>
    <t>48.360965 55.863909</t>
  </si>
  <si>
    <t>48.337956 55.867439</t>
  </si>
  <si>
    <t>48.371015 55.86546</t>
  </si>
  <si>
    <t>+7 (906) 335-29-29</t>
  </si>
  <si>
    <t>48.35749 55.900593</t>
  </si>
  <si>
    <t>Z-texволжск</t>
  </si>
  <si>
    <t>48.338232 55.860405</t>
  </si>
  <si>
    <t>48.3351 55.869255</t>
  </si>
  <si>
    <t>ZOOмир</t>
  </si>
  <si>
    <t>https://www.instagram.com/zoomir2011/</t>
  </si>
  <si>
    <t>48.378946 55.860549</t>
  </si>
  <si>
    <t>Алексеевское Лесничество</t>
  </si>
  <si>
    <t>+7 (83631) 4-90-00</t>
  </si>
  <si>
    <t xml:space="preserve">ela_les@mail.ru </t>
  </si>
  <si>
    <t>http://alekseevskoe.wordpress.com/</t>
  </si>
  <si>
    <t>Парикмахерская Локон</t>
  </si>
  <si>
    <t>ул. 107-й Бригады, 9, Волжск</t>
  </si>
  <si>
    <t>+7 (83631) 4-15-41</t>
  </si>
  <si>
    <t>48.384921 55.881703</t>
  </si>
  <si>
    <t>Металопрокат</t>
  </si>
  <si>
    <t>ул. Прохорова, 96, Волжск</t>
  </si>
  <si>
    <t>Металлические заборы и ограждения, Металлопрокат, Теплоизоляционные материалы, Трубы и трубопроводная арматура</t>
  </si>
  <si>
    <t>48.358337 55.877644</t>
  </si>
  <si>
    <t>Пункт приёма металлов</t>
  </si>
  <si>
    <t>+7 (960) 033-21-11</t>
  </si>
  <si>
    <t>https://vk.com/metallicom</t>
  </si>
  <si>
    <t>48.354434 55.864777</t>
  </si>
  <si>
    <t>Автоэлектрика 12 24 +</t>
  </si>
  <si>
    <t>+7 (963) 127-80-00</t>
  </si>
  <si>
    <t>48.360327 55.877592</t>
  </si>
  <si>
    <t>ул. Прохорова, 118, Волжск</t>
  </si>
  <si>
    <t>+7 (967) 756-44-86</t>
  </si>
  <si>
    <t>48.352533 55.880276</t>
  </si>
  <si>
    <t xml:space="preserve">info@graniholoda.ru  </t>
  </si>
  <si>
    <t>http://www.graniholoda.ru/</t>
  </si>
  <si>
    <t>Промышленное холодильное оборудование, Системы вентиляции</t>
  </si>
  <si>
    <t>https://www.youtube.com/channel/UCc4vAAVYFIWxpjFHWj2CPfg/featured</t>
  </si>
  <si>
    <t>https://www.instagram.com/expertholod/</t>
  </si>
  <si>
    <t>48.352417 55.867663</t>
  </si>
  <si>
    <t>Меридиан Плюс</t>
  </si>
  <si>
    <t xml:space="preserve">ooomeridian-mebel@rambler.ru  </t>
  </si>
  <si>
    <t>http://meridian-mebel.ru/</t>
  </si>
  <si>
    <t>48.395863 55.847229</t>
  </si>
  <si>
    <t>Дом мебели</t>
  </si>
  <si>
    <t>+7 (906) 335-20-05, +7 (939) 725-10-31</t>
  </si>
  <si>
    <t>Детская мебель, Мебель на заказ, Товары для дома</t>
  </si>
  <si>
    <t>пн-пт 10:00–19:00, перерыв 12:00–13:00; сб,вс 09:00–17:00, перерыв 12:00–13:00</t>
  </si>
  <si>
    <t>https://www.instagram.com/dom_mebeli12</t>
  </si>
  <si>
    <t>48.351701 55.868521</t>
  </si>
  <si>
    <t>Товары для Виноделия</t>
  </si>
  <si>
    <t>+7 (902) 433-67-22</t>
  </si>
  <si>
    <t>Самогонное оборудование, Товары для дома, Хозтовары оптом</t>
  </si>
  <si>
    <t>https://www.instagram.com/samogonovareniye</t>
  </si>
  <si>
    <t>48.346386 55.86501</t>
  </si>
  <si>
    <t>Отдел верхней женской одежды</t>
  </si>
  <si>
    <t>+7 (963) 127-98-58</t>
  </si>
  <si>
    <t>https://ok.ru/profile/577774484935</t>
  </si>
  <si>
    <t>Недвижимость г. Волжска</t>
  </si>
  <si>
    <t>+7 (963) 127-98-73</t>
  </si>
  <si>
    <t>https://vk.com/leeder12</t>
  </si>
  <si>
    <t>Городская поликлиника № 3</t>
  </si>
  <si>
    <t>ул. Карла Маркса, 6, Волжск</t>
  </si>
  <si>
    <t>+7 (83631) 6-94-94, +7 (83631) 4-61-09</t>
  </si>
  <si>
    <t>http://km6.polzdv.ru/</t>
  </si>
  <si>
    <t>48.369024 55.858331</t>
  </si>
  <si>
    <t>Мареми</t>
  </si>
  <si>
    <t>+7 (903) 326-11-90</t>
  </si>
  <si>
    <t xml:space="preserve">aremirf@yandex.ru  </t>
  </si>
  <si>
    <t>https://maremi-opt.ru/</t>
  </si>
  <si>
    <t>ул. Комарова, 24, Волжск</t>
  </si>
  <si>
    <t>48.338229 55.86158</t>
  </si>
  <si>
    <t>Единый финансово-страховой центр ОСАГО</t>
  </si>
  <si>
    <t>ул. Ленина, 63Б, Волжск</t>
  </si>
  <si>
    <t>+7 (961) 375-70-00</t>
  </si>
  <si>
    <t>Кредитный брокер, Страхование автомобилей, Страховая компания</t>
  </si>
  <si>
    <t>48.353463 55.866689</t>
  </si>
  <si>
    <t>Платежи</t>
  </si>
  <si>
    <t>48.392647 55.854275</t>
  </si>
  <si>
    <t>+7 (906) 334-01-73, +7 (967) 755-23-09</t>
  </si>
  <si>
    <t>http://zagorodniy-club.ru/</t>
  </si>
  <si>
    <t>Магазин подарков и сувениров, Товары для отдыха и туризма</t>
  </si>
  <si>
    <t>https://www.facebook.com/zagorodniy.club</t>
  </si>
  <si>
    <t>Панарама</t>
  </si>
  <si>
    <t>Детский городок аттракционов</t>
  </si>
  <si>
    <t>48.387569 55.860598</t>
  </si>
  <si>
    <t>Россия, Республика Марий Эл, Волжск, Дубовая улица</t>
  </si>
  <si>
    <t>48.388879 55.848391</t>
  </si>
  <si>
    <t>Атовокзал</t>
  </si>
  <si>
    <t>48.359682 55.864494</t>
  </si>
  <si>
    <t>ул. 107-й Бригады, 14Д, Волжск</t>
  </si>
  <si>
    <t>http://shop.mts.ru/</t>
  </si>
  <si>
    <t>48.360095 55.864541</t>
  </si>
  <si>
    <t>Ворота, шлагбаумы</t>
  </si>
  <si>
    <t>48.349003 55.87808</t>
  </si>
  <si>
    <t>Ломбарd</t>
  </si>
  <si>
    <t>48.361412 55.86508</t>
  </si>
  <si>
    <t>+7 (987) 703-05-85</t>
  </si>
  <si>
    <t>48.348388 55.867738</t>
  </si>
  <si>
    <t>+7 (961) 375-16-87, +7 (909) 368-07-41</t>
  </si>
  <si>
    <t>Бизнес-консалтинг, Рекламное агентство</t>
  </si>
  <si>
    <t>Караоке-бар</t>
  </si>
  <si>
    <t>48.372631 55.861684</t>
  </si>
  <si>
    <t>ул. Авиации, 30, Волжск</t>
  </si>
  <si>
    <t>+7 (963) 127-57-84</t>
  </si>
  <si>
    <t>48.354767 55.870915</t>
  </si>
  <si>
    <t>Волжск. Онлайн</t>
  </si>
  <si>
    <t>ул. Ленина, 5, Волжск</t>
  </si>
  <si>
    <t xml:space="preserve">mebel-meon-m1@mail.ru, volspk@yandex.ru, mtt-82@mail.ru, hotelariada@mail.ru, btivolrai@inbox.ru, fant-mebel@bk.ru, sh-int-v@mail.ru, volcqb@minzdrav12.ru, box070@yandex.ru, ooo-chonah@rambler.ru </t>
  </si>
  <si>
    <t>48.366517 55.86352</t>
  </si>
  <si>
    <t>48.34265 55.861187</t>
  </si>
  <si>
    <t>Чудо пончик</t>
  </si>
  <si>
    <t>ул. Щорса, 27А, Волжск</t>
  </si>
  <si>
    <t>48.383813 55.854375</t>
  </si>
  <si>
    <t>48.351398 55.868859</t>
  </si>
  <si>
    <t>48.352055 55.879944</t>
  </si>
  <si>
    <t>Гофра</t>
  </si>
  <si>
    <t>48.326393 55.875359</t>
  </si>
  <si>
    <t>Мастер Шина</t>
  </si>
  <si>
    <t>Йошкар-Олинское ш., 10В, Волжск</t>
  </si>
  <si>
    <t>+7 (903) 050-57-75</t>
  </si>
  <si>
    <t>48.360403 55.880496</t>
  </si>
  <si>
    <t>Фермерская птичка</t>
  </si>
  <si>
    <t>48.37732 55.860546</t>
  </si>
  <si>
    <t>48.361422 55.865182</t>
  </si>
  <si>
    <t>Загадка</t>
  </si>
  <si>
    <t>ул. Грибоедова, 3Б, Волжск</t>
  </si>
  <si>
    <t>48.331681 55.870806</t>
  </si>
  <si>
    <t>Вирт</t>
  </si>
  <si>
    <t>48.359524 55.86443</t>
  </si>
  <si>
    <t>Одежда Текстиль для дома</t>
  </si>
  <si>
    <t>48.33901 55.871532</t>
  </si>
  <si>
    <t>48.37672 55.86116</t>
  </si>
  <si>
    <t>48.359285 55.879501</t>
  </si>
  <si>
    <t>Салон Омега</t>
  </si>
  <si>
    <t>+7 (961) 376-70-80, +7 (906) 139-69-30</t>
  </si>
  <si>
    <t xml:space="preserve">kovalenko-danila@mail.ru  </t>
  </si>
  <si>
    <t>http://www.omegasalon.ru/</t>
  </si>
  <si>
    <t>48.365592 55.863444</t>
  </si>
  <si>
    <t>48.347473 55.868279</t>
  </si>
  <si>
    <t>Шины-диски</t>
  </si>
  <si>
    <t>48.3591 55.888511</t>
  </si>
  <si>
    <t>Коника. Изумруд</t>
  </si>
  <si>
    <t>ул. Ленина, 61А, Волжск</t>
  </si>
  <si>
    <t>48.353853 55.866477</t>
  </si>
  <si>
    <t>Молинари Рус</t>
  </si>
  <si>
    <t>48.325547 55.919149</t>
  </si>
  <si>
    <t>Мастер Плюс</t>
  </si>
  <si>
    <t>Вывоз мусора и отходов, Земляные работы, Строительные и отделочные работы, Услуги грузчиков</t>
  </si>
  <si>
    <t>Ключ здоровья</t>
  </si>
  <si>
    <t>48.387194 55.880216</t>
  </si>
  <si>
    <t>ул. Орлова, 71, Волжск</t>
  </si>
  <si>
    <t>48.332108 55.875988</t>
  </si>
  <si>
    <t>48.337876 55.868255</t>
  </si>
  <si>
    <t>Инвалиды войны</t>
  </si>
  <si>
    <t>Первомайская ул., 2А, Волжск</t>
  </si>
  <si>
    <t>48.378699 55.863501</t>
  </si>
  <si>
    <t>Мцбк</t>
  </si>
  <si>
    <t>48.366886 55.85657</t>
  </si>
  <si>
    <t>Tt House</t>
  </si>
  <si>
    <t>ул. Шестакова, 80А, Волжск</t>
  </si>
  <si>
    <t>+7 (909) 369-90-90</t>
  </si>
  <si>
    <t>https://vk.com/tthouse_loungebar</t>
  </si>
  <si>
    <t>https://www.instagram.com/tt_house_</t>
  </si>
  <si>
    <t>48.352201 55.879066</t>
  </si>
  <si>
    <t>48.382889 55.860293</t>
  </si>
  <si>
    <t>48.371365 55.861988</t>
  </si>
  <si>
    <t>Волжская ул., 1, Волжск</t>
  </si>
  <si>
    <t>48.352364 55.876129</t>
  </si>
  <si>
    <t>Отдел по продаже духов и концентрированных масел</t>
  </si>
  <si>
    <t>48.357635 55.864777</t>
  </si>
  <si>
    <t>Медфармсервис клиник</t>
  </si>
  <si>
    <t>+7 (903) 050-77-88</t>
  </si>
  <si>
    <t>Диагностический центр, Массажный салон, Медцентр, клиника</t>
  </si>
  <si>
    <t>пн-пт 07:00–19:00; сб 08:00–17:00</t>
  </si>
  <si>
    <t>https://vk.com/medfarmservisclinic</t>
  </si>
  <si>
    <t>48.356396 55.866999</t>
  </si>
  <si>
    <t>Росплазма</t>
  </si>
  <si>
    <t>+7 (83631) 4-72-44</t>
  </si>
  <si>
    <t xml:space="preserve">center@rosplasma.ru, gusevskaya-lv@rosplasma.ru, personal@rosplasma.ru, stepanova@rosplasma.ru, glotova@rosplasma.ru  </t>
  </si>
  <si>
    <t>http://rosplasma.ru/</t>
  </si>
  <si>
    <t>пн-чт 08:00–16:00; пт 08:00–14:30</t>
  </si>
  <si>
    <t>ул. Либкнехта, 2, Волжск</t>
  </si>
  <si>
    <t>48.35384 55.87916</t>
  </si>
  <si>
    <t>Студия Йоги</t>
  </si>
  <si>
    <t xml:space="preserve">alventina@mail.ru  </t>
  </si>
  <si>
    <t>https://vk.com/yogainvolzhsk</t>
  </si>
  <si>
    <t>Оптовая база Вгдз</t>
  </si>
  <si>
    <t>+7 (906) 322-44-94</t>
  </si>
  <si>
    <t>Комбикорма и кормовые добавки, Оптовая компания</t>
  </si>
  <si>
    <t>48.389181 55.851894</t>
  </si>
  <si>
    <t>Нино</t>
  </si>
  <si>
    <t>ул. Щорса, 20Б, Волжск</t>
  </si>
  <si>
    <t>+7 (83631) 4-52-69</t>
  </si>
  <si>
    <t>48.384687 55.853278</t>
  </si>
  <si>
    <t>Интернациональная ул., 10, Волжск</t>
  </si>
  <si>
    <t>48.387163 55.858145</t>
  </si>
  <si>
    <t>48.384692 55.86027</t>
  </si>
  <si>
    <t>Kavaly</t>
  </si>
  <si>
    <t>Ателье по пошиву одежды, Курсы и мастер-классы, Меховое ателье</t>
  </si>
  <si>
    <t>Магазин алкогольных напитков, Магазин пива, Магазин рыбы и морепродуктов</t>
  </si>
  <si>
    <t>48.384701 55.881724</t>
  </si>
  <si>
    <t>Школа № 5</t>
  </si>
  <si>
    <t>48.386246 55.85933</t>
  </si>
  <si>
    <t>PrintStorm.Ru</t>
  </si>
  <si>
    <t>+7 (905) 379-22-55</t>
  </si>
  <si>
    <t>https://printstorm.ru/</t>
  </si>
  <si>
    <t>48.386621 55.850787</t>
  </si>
  <si>
    <t>48.383819 55.881275</t>
  </si>
  <si>
    <t>Госавтополис - сеть страховых агентств</t>
  </si>
  <si>
    <t>+7 (961) 373-67-71, +7 (960) 092-32-28</t>
  </si>
  <si>
    <t xml:space="preserve">mail@gosavtopolis.ru </t>
  </si>
  <si>
    <t>https://gosavtopolis.ru/o-kompanii/kontakty/volzhsk/</t>
  </si>
  <si>
    <t>48.335595 55.865467</t>
  </si>
  <si>
    <t>48.356985 55.865359</t>
  </si>
  <si>
    <t>+7 (961) 337-77-55</t>
  </si>
  <si>
    <t>Автокосметика, автохимия, Магазин автозапчастей и автотоваров, Смазочные материалы, Шины и диски</t>
  </si>
  <si>
    <t>48.352214 55.868001</t>
  </si>
  <si>
    <t>+7 (906) 335-34-75</t>
  </si>
  <si>
    <t>https://vk.com/lakshmi_volzsk</t>
  </si>
  <si>
    <t>48.358337 55.86487</t>
  </si>
  <si>
    <t>48.340424 55.8719</t>
  </si>
  <si>
    <t>48.383594 55.858913</t>
  </si>
  <si>
    <t>ул. Люксембург, 2А, Волжск</t>
  </si>
  <si>
    <t>+7 (961) 336-35-51</t>
  </si>
  <si>
    <t>Металлопрокат, Металлургическое предприятие</t>
  </si>
  <si>
    <t>48.36281 55.873262</t>
  </si>
  <si>
    <t>48.352554 55.866957</t>
  </si>
  <si>
    <t>48.368884 55.862581</t>
  </si>
  <si>
    <t>Горпечать</t>
  </si>
  <si>
    <t>+7 (927) 680-30-30, +7 (909) 369-55-99</t>
  </si>
  <si>
    <t>Копировальный центр, Рекламная продукция, Рекламное агентство</t>
  </si>
  <si>
    <t>https://www.instagram.com/gorpechat_volzhsk/</t>
  </si>
  <si>
    <t>48.376536 55.861182</t>
  </si>
  <si>
    <t>Принцесса</t>
  </si>
  <si>
    <t>48.364627 55.864286</t>
  </si>
  <si>
    <t>Склад Росхолод</t>
  </si>
  <si>
    <t>48.359468 55.903586</t>
  </si>
  <si>
    <t>Тохорека</t>
  </si>
  <si>
    <t>8 (800) 550-97-25, +7 (831) 423-97-25</t>
  </si>
  <si>
    <t>+7 (929) 053-97-25</t>
  </si>
  <si>
    <t xml:space="preserve">info@tohoreca.ru  </t>
  </si>
  <si>
    <t>http://volzhsk.tohoreca.ru/</t>
  </si>
  <si>
    <t>Оборудование для ресторанов, Пищевое оборудование, Промышленное холодильное оборудование</t>
  </si>
  <si>
    <t>48.353307 55.901313</t>
  </si>
  <si>
    <t>Аллея Трудовой Славы</t>
  </si>
  <si>
    <t>Россия, Республика Марий Эл, Волжск, аллея Трудовой Славы</t>
  </si>
  <si>
    <t>48.36422 55.856912</t>
  </si>
  <si>
    <t>Восточная столовая</t>
  </si>
  <si>
    <t>48.356667 55.866413</t>
  </si>
  <si>
    <t>Магазин № 42</t>
  </si>
  <si>
    <t>48.344901 55.864834</t>
  </si>
  <si>
    <t>48.38686 55.84895</t>
  </si>
  <si>
    <t>48.34037 55.87187</t>
  </si>
  <si>
    <t>Пионерская ул., 5А, Волжск</t>
  </si>
  <si>
    <t>48.354551 55.865859</t>
  </si>
  <si>
    <t>Рыбалка и туризм</t>
  </si>
  <si>
    <t>Россия, Республика Марий Эл, Волжск, улица Озерки</t>
  </si>
  <si>
    <t>48.396104 55.847185</t>
  </si>
  <si>
    <t>Хлеб-Булочки</t>
  </si>
  <si>
    <t>48.360286 55.864526</t>
  </si>
  <si>
    <t>Языковой центр Inter Best</t>
  </si>
  <si>
    <t>ул. Ленина, 40, Волжск</t>
  </si>
  <si>
    <t>+7 (906) 335-91-86, +7 (909) 366-07-08</t>
  </si>
  <si>
    <t>Курсы иностранных языков, Обучение за рубежом</t>
  </si>
  <si>
    <t>48.370169 55.863028</t>
  </si>
  <si>
    <t>48.349887 55.867164</t>
  </si>
  <si>
    <t>+7 (960) 097-35-43</t>
  </si>
  <si>
    <t xml:space="preserve">turok74@yandex.ru  </t>
  </si>
  <si>
    <t>https://vk.com/bm.malevich</t>
  </si>
  <si>
    <t>48.359719 55.864422</t>
  </si>
  <si>
    <t>+7 (962) 590-81-91</t>
  </si>
  <si>
    <t>48.340289 55.860965</t>
  </si>
  <si>
    <t>Россия, Республика Марий Эл, Волжск, улица Парижской Коммуны</t>
  </si>
  <si>
    <t>48.373395 55.858689</t>
  </si>
  <si>
    <t>48.33978 55.86658</t>
  </si>
  <si>
    <t>Песочная ул., 33, Волжск</t>
  </si>
  <si>
    <t>48.35045 55.86909</t>
  </si>
  <si>
    <t>Свадебные прически украшения</t>
  </si>
  <si>
    <t>48.352015 55.879915</t>
  </si>
  <si>
    <t>Росхолод</t>
  </si>
  <si>
    <t>48.35893 55.903194</t>
  </si>
  <si>
    <t>Автобаза ЖКХ</t>
  </si>
  <si>
    <t>48.382594 55.882411</t>
  </si>
  <si>
    <t>Промышленная улица, 3</t>
  </si>
  <si>
    <t>Промышленная ул., 3, Рязань</t>
  </si>
  <si>
    <t>Мебель на заказ, Мебельная фабрика, Металлоизделия</t>
  </si>
  <si>
    <t>48.325571 55.919201</t>
  </si>
  <si>
    <t>Детское отделение</t>
  </si>
  <si>
    <t>Советская ул., 44В, Волжск</t>
  </si>
  <si>
    <t>48.399304 55.851938</t>
  </si>
  <si>
    <t>Отделение флюорографии</t>
  </si>
  <si>
    <t>48.385231 55.855059</t>
  </si>
  <si>
    <t>48.401514 55.843308</t>
  </si>
  <si>
    <t>48.401118 55.835074</t>
  </si>
  <si>
    <t>48.352463 55.880234</t>
  </si>
  <si>
    <t>Comedy Radio, FM 103.7</t>
  </si>
  <si>
    <t>+7 (84371) 7-25-25</t>
  </si>
  <si>
    <t>48.36394 55.864727</t>
  </si>
  <si>
    <t>Покров</t>
  </si>
  <si>
    <t>48.363139 55.864869</t>
  </si>
  <si>
    <t>48.3336 55.863052</t>
  </si>
  <si>
    <t>Головные уборы</t>
  </si>
  <si>
    <t>48.358892 55.865986</t>
  </si>
  <si>
    <t>ул. 107-й Бригады, 3/2, Волжск</t>
  </si>
  <si>
    <t>48.378779 55.885582</t>
  </si>
  <si>
    <t>Окна, потолки, двери, жалюзи</t>
  </si>
  <si>
    <t>48.348848 55.878217</t>
  </si>
  <si>
    <t>сквер Победы МЦБК</t>
  </si>
  <si>
    <t>Россия, Республика Марий Эл, Волжск, аллея Победы</t>
  </si>
  <si>
    <t>48.369397 55.857271</t>
  </si>
  <si>
    <t>+7 (917) 880-36-37, +7 (960) 097-60-47</t>
  </si>
  <si>
    <t>http://stroycombinat.ru/</t>
  </si>
  <si>
    <t>48.346325 55.864887</t>
  </si>
  <si>
    <t>48.359746 55.86463</t>
  </si>
  <si>
    <t>Sofia Kondrateva</t>
  </si>
  <si>
    <t>+7 (960) 096-55-59</t>
  </si>
  <si>
    <t>Обучение мастеров для салонов красоты, Салон бровей и ресниц, Салон красоты</t>
  </si>
  <si>
    <t>https://instagram.com/beauty_studio_sofia_kondrateva</t>
  </si>
  <si>
    <t>48.375139 55.861497</t>
  </si>
  <si>
    <t>Йошкар-Олинское ш., 5А, Волжск</t>
  </si>
  <si>
    <t>48.358547 55.877273</t>
  </si>
  <si>
    <t>48.379333 55.85977</t>
  </si>
  <si>
    <t>HollyWood</t>
  </si>
  <si>
    <t>+7 (904) 762-07-07</t>
  </si>
  <si>
    <t>Граверные работы, Лазерная резка и гравировка</t>
  </si>
  <si>
    <t>https://vk.com/hollywoodlaser</t>
  </si>
  <si>
    <t>48.377883 55.861567</t>
  </si>
  <si>
    <t>Удаление тату и татуажа</t>
  </si>
  <si>
    <t>48.33793 55.868233</t>
  </si>
  <si>
    <t>Мимино</t>
  </si>
  <si>
    <t>+7 (960) 073-22-22</t>
  </si>
  <si>
    <t>http://cafe-mimino-volzhsk.business.site/</t>
  </si>
  <si>
    <t>48.373128 55.883939</t>
  </si>
  <si>
    <t>Заимка на пеньках</t>
  </si>
  <si>
    <t>+7 (83631) 4-01-56</t>
  </si>
  <si>
    <t>48.350284 55.900617</t>
  </si>
  <si>
    <t>Мать и дитя</t>
  </si>
  <si>
    <t>+7 (960) 097-21-10</t>
  </si>
  <si>
    <t>Гинекологическая клиника, Диагностический центр, Медицинская лаборатория</t>
  </si>
  <si>
    <t>48.336485 55.869902</t>
  </si>
  <si>
    <t>Шарик-смешарик</t>
  </si>
  <si>
    <t>48.356872 55.865334</t>
  </si>
  <si>
    <t>Клумба</t>
  </si>
  <si>
    <t>8 (800) 220-55-55</t>
  </si>
  <si>
    <t xml:space="preserve">consultant@klumba.ru  </t>
  </si>
  <si>
    <t>http://www.klumba.ru/</t>
  </si>
  <si>
    <t>https://vk.com/klumbaofficial</t>
  </si>
  <si>
    <t>48.351376 55.868618</t>
  </si>
  <si>
    <t>48.343529 55.866849</t>
  </si>
  <si>
    <t>48.355396 55.900935</t>
  </si>
  <si>
    <t>Доп</t>
  </si>
  <si>
    <t>+7 (83631) 4-21-94, +7 (83631) 4-01-55</t>
  </si>
  <si>
    <t>48.359363 55.889388</t>
  </si>
  <si>
    <t>Управление социальной защиты населения и труда</t>
  </si>
  <si>
    <t>+7 (83631) 4-97-43, +7 (83631) 6-25-63, +7 (83631) 4-97-53, +7 (83631) 4-97-10, +7 (83631) 6-05-95, +7 (83631) 6-27-35</t>
  </si>
  <si>
    <t>Пилорама</t>
  </si>
  <si>
    <t>48.347417 55.899223</t>
  </si>
  <si>
    <t>ул. Либкнехта, 2Б, Волжск</t>
  </si>
  <si>
    <t>48.368697 55.86764</t>
  </si>
  <si>
    <t>Торговый центр Xl</t>
  </si>
  <si>
    <t>48.357386 55.864751</t>
  </si>
  <si>
    <t>8 (800) 200-31-30, +7 (83631) 4-30-02, +7 (812) 642-33-84, +7 (495) 137-53-75</t>
  </si>
  <si>
    <t>+7 (83631) 4-30-02</t>
  </si>
  <si>
    <t xml:space="preserve">info@rosholod.org  </t>
  </si>
  <si>
    <t>http://rosholod.org/</t>
  </si>
  <si>
    <t>http://vk.com/rosholod</t>
  </si>
  <si>
    <t>http://twitter.com/rosholod</t>
  </si>
  <si>
    <t>http://facebook.com/rosholod</t>
  </si>
  <si>
    <t>48.352234 55.901341</t>
  </si>
  <si>
    <t>48.339406 55.861046</t>
  </si>
  <si>
    <t>48.345199 55.859407</t>
  </si>
  <si>
    <t>48.338284 55.866196</t>
  </si>
  <si>
    <t>+7 (83631) 4-65-35, +7 (83631) 4-68-79</t>
  </si>
  <si>
    <t>48.359364 55.866254</t>
  </si>
  <si>
    <t>48.340009 55.860985</t>
  </si>
  <si>
    <t>48.337338 55.870653</t>
  </si>
  <si>
    <t>48.384992 55.861936</t>
  </si>
  <si>
    <t>48.353395 55.867353</t>
  </si>
  <si>
    <t>Shato Rich</t>
  </si>
  <si>
    <t>+7 (83631) 6-01-41</t>
  </si>
  <si>
    <t>48.359365 55.86387</t>
  </si>
  <si>
    <t>Бар-СССР</t>
  </si>
  <si>
    <t>+7 (961) 335-35-53</t>
  </si>
  <si>
    <t>пн-чт 12:00–00:00; пт,сб 12:00–03:00; вс 12:00–00:00</t>
  </si>
  <si>
    <t>48.382904 55.88266</t>
  </si>
  <si>
    <t>48.355138 55.866975</t>
  </si>
  <si>
    <t>48.378637 55.861216</t>
  </si>
  <si>
    <t>Голасо</t>
  </si>
  <si>
    <t>ул. Ленина, 37, корп. 1, Волжск</t>
  </si>
  <si>
    <t>+7 (960) 043-00-45</t>
  </si>
  <si>
    <t>http://fcgolaso.ru/</t>
  </si>
  <si>
    <t>https://vk.com/club129891641</t>
  </si>
  <si>
    <t>https://instagram.com/golaso_kazan</t>
  </si>
  <si>
    <t>48.371331 55.861582</t>
  </si>
  <si>
    <t>+7 (961) 375-84-48</t>
  </si>
  <si>
    <t>пн-пт 07:30–19:00; сб,вс 07:30–18:00</t>
  </si>
  <si>
    <t>48.360214 55.878544</t>
  </si>
  <si>
    <t>48.357 55.865536</t>
  </si>
  <si>
    <t>парк Дружба</t>
  </si>
  <si>
    <t>48.341767 55.868482</t>
  </si>
  <si>
    <t>https://skzicard.ru/karta-voditelya-tahografa-v-volzhske-marij-ehl/</t>
  </si>
  <si>
    <t>https://www.instagram.com/avtooko_</t>
  </si>
  <si>
    <t>48.351762 55.878969</t>
  </si>
  <si>
    <t>48.360356 55.878899</t>
  </si>
  <si>
    <t>48.337852 55.864888</t>
  </si>
  <si>
    <t>Элит мебель</t>
  </si>
  <si>
    <t>Дизайн интерьеров, Товары для интерьера</t>
  </si>
  <si>
    <t>48.365036 55.863705</t>
  </si>
  <si>
    <t>+7 (83631) 5-10-00</t>
  </si>
  <si>
    <t>+7 (905) 379-88-55</t>
  </si>
  <si>
    <t>Массажный салон, Медицинская лаборатория, Медцентр, клиника</t>
  </si>
  <si>
    <t>пн-пт 08:00–19:00; сб 08:00–17:00; вс 09:00–17:00</t>
  </si>
  <si>
    <t>https://vk.com/club148581663</t>
  </si>
  <si>
    <t>Гранд Маркет</t>
  </si>
  <si>
    <t>48.352449 55.901253</t>
  </si>
  <si>
    <t>48.335072 55.867721</t>
  </si>
  <si>
    <t>ПолиЭкоПласт</t>
  </si>
  <si>
    <t>+7 (906) 112-08-33</t>
  </si>
  <si>
    <t>Андройд Айфонович</t>
  </si>
  <si>
    <t>48.377065 55.883441</t>
  </si>
  <si>
    <t>48.351826 55.87977</t>
  </si>
  <si>
    <t>48.340525 55.863939</t>
  </si>
  <si>
    <t>Уралочка</t>
  </si>
  <si>
    <t>пр. Марата, 6, Волжск</t>
  </si>
  <si>
    <t>48.373712 55.858028</t>
  </si>
  <si>
    <t>Diva</t>
  </si>
  <si>
    <t>48.354014 55.866445</t>
  </si>
  <si>
    <t>48.338376 55.866196</t>
  </si>
  <si>
    <t>Аджио-Мебель</t>
  </si>
  <si>
    <t>48.334552 55.913631</t>
  </si>
  <si>
    <t>парк Победы</t>
  </si>
  <si>
    <t>Россия, Республика Марий Эл, Волжск, аллея Героев</t>
  </si>
  <si>
    <t>48.380355 55.858104</t>
  </si>
  <si>
    <t>48.337394 55.867052</t>
  </si>
  <si>
    <t>48.36082 55.87843</t>
  </si>
  <si>
    <t>Интерком</t>
  </si>
  <si>
    <t>48.386452 55.880601</t>
  </si>
  <si>
    <t>ул. Кошкина, 19А, Волжск</t>
  </si>
  <si>
    <t>48.393278 55.847642</t>
  </si>
  <si>
    <t>ул. Фрунзе, 1/2, Волжск</t>
  </si>
  <si>
    <t>+7 (969) 627-11-11</t>
  </si>
  <si>
    <t>Автосервис, автотехцентр, Магазин автозапчастей и автотоваров, Ремонт двигателей, Сварочные работы, Шиномонтаж</t>
  </si>
  <si>
    <t>пн-пт 08:00–18:00; сб 08:00–17:00; вс 08:00–12:00</t>
  </si>
  <si>
    <t>48.330617 55.875269</t>
  </si>
  <si>
    <t>Astoria</t>
  </si>
  <si>
    <t>ул. Гаврилова, 1А, Волжск</t>
  </si>
  <si>
    <t>48.386337 55.876663</t>
  </si>
  <si>
    <t>Малибу</t>
  </si>
  <si>
    <t>48.373075 55.863957</t>
  </si>
  <si>
    <t>48.382095 55.882662</t>
  </si>
  <si>
    <t>+7 (961) 337-68-88</t>
  </si>
  <si>
    <t>https://vk.com/sunrise_volzhsk</t>
  </si>
  <si>
    <t>48.385166 55.881667</t>
  </si>
  <si>
    <t>48.35537 55.86678</t>
  </si>
  <si>
    <t>48.383315 55.854688</t>
  </si>
  <si>
    <t>Dream lounge</t>
  </si>
  <si>
    <t>+7 (905) 008-91-91</t>
  </si>
  <si>
    <t>Антикафе, Кальян-бар, Магазин табака и курительных принадлежностей</t>
  </si>
  <si>
    <t>пн-чт 16:00–02:00; пт 16:00–04:00; сб 14:00–04:00; вс 14:00–02:00</t>
  </si>
  <si>
    <t>https://vk.com/dream_lounge_hookah</t>
  </si>
  <si>
    <t>48.365016 55.863678</t>
  </si>
  <si>
    <t>Бетон, бетонные изделия, Кирпич</t>
  </si>
  <si>
    <t>48.344284 55.87698</t>
  </si>
  <si>
    <t>Мини-рынок</t>
  </si>
  <si>
    <t>48.383658 55.859478</t>
  </si>
  <si>
    <t>Росинтер</t>
  </si>
  <si>
    <t>ул. Фрунзе, 1Г, Волжск</t>
  </si>
  <si>
    <t>+7 (843) 258-32-54</t>
  </si>
  <si>
    <t>+7 (960) 048-32-54</t>
  </si>
  <si>
    <t>48.325491 55.87487</t>
  </si>
  <si>
    <t>Ночной клуб Mirage</t>
  </si>
  <si>
    <t>48.358849 55.879292</t>
  </si>
  <si>
    <t>48.344833 55.860851</t>
  </si>
  <si>
    <t>+7 (961) 337-71-71</t>
  </si>
  <si>
    <t>48.34462 55.874406</t>
  </si>
  <si>
    <t>48.359085 55.879215</t>
  </si>
  <si>
    <t>Алсу</t>
  </si>
  <si>
    <t>48.361422 55.865131</t>
  </si>
  <si>
    <t>48.359736 55.864604</t>
  </si>
  <si>
    <t>ул. Шестакова, 7, Волжск</t>
  </si>
  <si>
    <t>48.333642 55.868899</t>
  </si>
  <si>
    <t>Агентство юридических услуг Триумф</t>
  </si>
  <si>
    <t>+7 (906) 335-85-40, +7 (995) 914-79-75</t>
  </si>
  <si>
    <t>Россия, Республика Марий Эл, Волжск, Лесозаводская улица</t>
  </si>
  <si>
    <t>48.392302 55.846163</t>
  </si>
  <si>
    <t>48.360836 55.86525</t>
  </si>
  <si>
    <t>пн-сб 09:00–21:00; вс 10:00–20:00</t>
  </si>
  <si>
    <t>48.360123 55.878464</t>
  </si>
  <si>
    <t>Центр кузовного ремонта</t>
  </si>
  <si>
    <t>48.35201 55.901628</t>
  </si>
  <si>
    <t>48.345352 55.865081</t>
  </si>
  <si>
    <t>48.392666 55.85429</t>
  </si>
  <si>
    <t>48.381835 55.882729</t>
  </si>
  <si>
    <t>48.377445 55.860441</t>
  </si>
  <si>
    <t>48.392662 55.85428</t>
  </si>
  <si>
    <t>48.360316 55.880748</t>
  </si>
  <si>
    <t>Фортуна Креп</t>
  </si>
  <si>
    <t>ул. Пушкина, 26, Волжск</t>
  </si>
  <si>
    <t>+7 (903) 061-00-06</t>
  </si>
  <si>
    <t>https://vk.com/id517369342</t>
  </si>
  <si>
    <t>48.380593 55.864985</t>
  </si>
  <si>
    <t>Лингвистический центр Globus</t>
  </si>
  <si>
    <t>+7 (963) 126-68-90</t>
  </si>
  <si>
    <t xml:space="preserve">globusvolzhsk@gmail.com  </t>
  </si>
  <si>
    <t>Бюро переводов, Курсы иностранных языков</t>
  </si>
  <si>
    <t>https://vk.com/globusvolzhsk</t>
  </si>
  <si>
    <t>https://www.instagram.com/globusvolzhsk</t>
  </si>
  <si>
    <t>48.358259 55.864919</t>
  </si>
  <si>
    <t>48.357296 55.865552</t>
  </si>
  <si>
    <t>EuroMix</t>
  </si>
  <si>
    <t>48.360977 55.863868</t>
  </si>
  <si>
    <t>Стар системс</t>
  </si>
  <si>
    <t>+7 (905) 008-19-99</t>
  </si>
  <si>
    <t>Трикотажница</t>
  </si>
  <si>
    <t>48.348338 55.867801</t>
  </si>
  <si>
    <t>ул. Ленина, 58Д, Волжск</t>
  </si>
  <si>
    <t>48.360677 55.865174</t>
  </si>
  <si>
    <t>48.374439 55.8617</t>
  </si>
  <si>
    <t>+7 (960) 098-44-32</t>
  </si>
  <si>
    <t>Компьютерный ремонт и услуги, Ремонт бытовой техники, Ремонт телефонов, Ремонт часов</t>
  </si>
  <si>
    <t>48.352 55.87996</t>
  </si>
  <si>
    <t>ул. Леваневского, 30, Волжск</t>
  </si>
  <si>
    <t>48.3785 55.85978</t>
  </si>
  <si>
    <t>48.362207 55.863567</t>
  </si>
  <si>
    <t>Орт союз</t>
  </si>
  <si>
    <t>48.351765 55.879898</t>
  </si>
  <si>
    <t>48.362676 55.864815</t>
  </si>
  <si>
    <t>+7 (962) 590-58-06</t>
  </si>
  <si>
    <t>48.384026 55.860527</t>
  </si>
  <si>
    <t>48.378853 55.863582</t>
  </si>
  <si>
    <t>Дарадо</t>
  </si>
  <si>
    <t>48.365508 55.86349</t>
  </si>
  <si>
    <t>48.383751 55.859913</t>
  </si>
  <si>
    <t>+7 (906) 321-43-44</t>
  </si>
  <si>
    <t>ежедневно, 11:00–23:30</t>
  </si>
  <si>
    <t>https://vk.com/lime_cafe_12</t>
  </si>
  <si>
    <t>https://instagram.com/lime_lounge</t>
  </si>
  <si>
    <t>48.354538 55.866243</t>
  </si>
  <si>
    <t>Эко дом</t>
  </si>
  <si>
    <t>+7 (927) 680-28-88</t>
  </si>
  <si>
    <t>48.334281 55.864313</t>
  </si>
  <si>
    <t>Магазин Лавка старины</t>
  </si>
  <si>
    <t>+7 (960) 091-30-11</t>
  </si>
  <si>
    <t>Антикварный магазин, Музей</t>
  </si>
  <si>
    <t>вт,ср,чт,пт,вс 09:00–18:00</t>
  </si>
  <si>
    <t>https://vk.com/lavka.stariny</t>
  </si>
  <si>
    <t>Двери, Крепежные изделия, Окна</t>
  </si>
  <si>
    <t>48.33326 55.863808</t>
  </si>
  <si>
    <t>Кузовная мастерская</t>
  </si>
  <si>
    <t>ул. Матросова, 54, Волжск</t>
  </si>
  <si>
    <t>48.34029 55.87639</t>
  </si>
  <si>
    <t>48.3381 55.86711</t>
  </si>
  <si>
    <t>Канцблок-волжск</t>
  </si>
  <si>
    <t>+7 (83631) 6-32-92</t>
  </si>
  <si>
    <t>48.384013 55.861069</t>
  </si>
  <si>
    <t>Принтфото.рф</t>
  </si>
  <si>
    <t>Полиграфические услуги, Товары для мобильных телефонов</t>
  </si>
  <si>
    <t>https://vk.com/printfoto_rf</t>
  </si>
  <si>
    <t>48.377733 55.883124</t>
  </si>
  <si>
    <t>48.353357 55.86752</t>
  </si>
  <si>
    <t>Общежитие ГОУ СПО СПК</t>
  </si>
  <si>
    <t>48.338653 55.869505</t>
  </si>
  <si>
    <t>Йошкар-Олинское ш., 4/2, Волжск</t>
  </si>
  <si>
    <t>48.361415 55.878464</t>
  </si>
  <si>
    <t>Визит эконом</t>
  </si>
  <si>
    <t>48.392403 55.854332</t>
  </si>
  <si>
    <t>Домостройка</t>
  </si>
  <si>
    <t>+7 (83631) 4-37-75</t>
  </si>
  <si>
    <t>http://домостройка12.рф/</t>
  </si>
  <si>
    <t>Двери, Магазин обоев, Магазин сантехники, Строительный инструмент, Строительный магазин, Стройматериалы оптом</t>
  </si>
  <si>
    <t>48.337032 55.860625</t>
  </si>
  <si>
    <t>Поволжский Государственный технологический университет</t>
  </si>
  <si>
    <t>48.366177 55.86296</t>
  </si>
  <si>
    <t>Автодром Волжской автомобильной школы ДОСААФ</t>
  </si>
  <si>
    <t>ул. Орлова, 77, Волжск</t>
  </si>
  <si>
    <t>48.329105 55.87784</t>
  </si>
  <si>
    <t>48.378392 55.859807</t>
  </si>
  <si>
    <t>48.347329 55.868252</t>
  </si>
  <si>
    <t>48.334851 55.872815</t>
  </si>
  <si>
    <t>48.381983 55.85641</t>
  </si>
  <si>
    <t>Студия красоты Konstanta</t>
  </si>
  <si>
    <t>+7 (960) 098-32-78</t>
  </si>
  <si>
    <t>48.340358 55.871819</t>
  </si>
  <si>
    <t>Лотерея</t>
  </si>
  <si>
    <t>48.372272 55.861672</t>
  </si>
  <si>
    <t>48.35387 55.86649</t>
  </si>
  <si>
    <t>48.355573 55.866584</t>
  </si>
  <si>
    <t>Verona</t>
  </si>
  <si>
    <t>48.382301 55.860058</t>
  </si>
  <si>
    <t>Sheldi</t>
  </si>
  <si>
    <t>8 (800) 333-14-51</t>
  </si>
  <si>
    <t xml:space="preserve">sheldi@sheldi.com  </t>
  </si>
  <si>
    <t>http://www.sheldi.com/</t>
  </si>
  <si>
    <t>https://vk.com/sheldicom</t>
  </si>
  <si>
    <t>ул. Прохорова, 129А, Волжск</t>
  </si>
  <si>
    <t>48.351016 55.880113</t>
  </si>
  <si>
    <t>Домашний трикотаж</t>
  </si>
  <si>
    <t>48.382454 55.882443</t>
  </si>
  <si>
    <t>48.356763 55.865248</t>
  </si>
  <si>
    <t>+7 (905) 379-98-48</t>
  </si>
  <si>
    <t>48.383167 55.882209</t>
  </si>
  <si>
    <t>48.36204 55.864351</t>
  </si>
  <si>
    <t>48.389679 55.878158</t>
  </si>
  <si>
    <t>Bikton</t>
  </si>
  <si>
    <t>5-я Промышленная ул., 6, Волжск</t>
  </si>
  <si>
    <t xml:space="preserve">zarina@bikton.ru, office@bikton.ru  </t>
  </si>
  <si>
    <t>http://www.bikton.ru/</t>
  </si>
  <si>
    <t>Бетон, бетонные изделия, Нерудные материалы</t>
  </si>
  <si>
    <t>https://vk.com/bikton_kazan</t>
  </si>
  <si>
    <t>https://youtube.com/user/biktonvzsm</t>
  </si>
  <si>
    <t>https://instagram.com/bikton.ru</t>
  </si>
  <si>
    <t>48.334959 55.922222</t>
  </si>
  <si>
    <t>48.337875 55.86823</t>
  </si>
  <si>
    <t>Автомагазин запчастей ВАЗ</t>
  </si>
  <si>
    <t>48.339998 55.860943</t>
  </si>
  <si>
    <t>СалонЧИК</t>
  </si>
  <si>
    <t>48.337919 55.868252</t>
  </si>
  <si>
    <t>Крепежные изделия, Магазин сантехники, Магазин электротоваров</t>
  </si>
  <si>
    <t>48.348891 55.86717</t>
  </si>
  <si>
    <t>Россия, Республика Марий Эл, Волжск, улица Карла Маркса</t>
  </si>
  <si>
    <t>48.371304 55.859497</t>
  </si>
  <si>
    <t>Северный</t>
  </si>
  <si>
    <t>48.348615 55.880815</t>
  </si>
  <si>
    <t>48.367929 55.856229</t>
  </si>
  <si>
    <t>Радуга камня</t>
  </si>
  <si>
    <t>48.373122 55.861324</t>
  </si>
  <si>
    <t>Мечел</t>
  </si>
  <si>
    <t>Транспортная ул., 1, корп. 2, Волжск</t>
  </si>
  <si>
    <t>+7 (919) 413-40-07</t>
  </si>
  <si>
    <t>Магазин мяса, колбас, Мясная продукция оптом, Яйцо и мясо птицы</t>
  </si>
  <si>
    <t>48.361252 55.8877</t>
  </si>
  <si>
    <t>48.360191 55.86452</t>
  </si>
  <si>
    <t>ВолжскМеталлСтрой</t>
  </si>
  <si>
    <t>48.353548 55.879896</t>
  </si>
  <si>
    <t>Автоспец</t>
  </si>
  <si>
    <t>+7 (906) 138-94-81</t>
  </si>
  <si>
    <t xml:space="preserve">14370afcdc17429f9e418d5ffbd0334a@sentry.wixpress.com, wixofday@wix.com, gumar-vol1983@mail.ru  </t>
  </si>
  <si>
    <t>https://gumar-vol1983.wixsite.com/rusgum</t>
  </si>
  <si>
    <t>https://vk.com/luxavtospeclub14377316</t>
  </si>
  <si>
    <t>48.378142 55.853767</t>
  </si>
  <si>
    <t>48.34472 55.860733</t>
  </si>
  <si>
    <t>48.360059 55.864542</t>
  </si>
  <si>
    <t>+7 (843) 245-35-50</t>
  </si>
  <si>
    <t>Строительство и ремонт железнодорожных путей</t>
  </si>
  <si>
    <t>48.39365 55.847054</t>
  </si>
  <si>
    <t>Авоська</t>
  </si>
  <si>
    <t>Россия, Республика Марий Эл, Волжск, 2-я Новая улица</t>
  </si>
  <si>
    <t>48.355536 55.867964</t>
  </si>
  <si>
    <t>Zurich</t>
  </si>
  <si>
    <t xml:space="preserve">info@ru.zurich.com </t>
  </si>
  <si>
    <t>48.375145 55.861556</t>
  </si>
  <si>
    <t>+7 (960) 096-61-91</t>
  </si>
  <si>
    <t>Быстрое питание, Доставка еды и обедов, Кафе</t>
  </si>
  <si>
    <t>48.350697 55.866677</t>
  </si>
  <si>
    <t>48.352959 55.866809</t>
  </si>
  <si>
    <t>ул. Ленина, 70А, Волжск</t>
  </si>
  <si>
    <t>48.349835 55.868617</t>
  </si>
  <si>
    <t>РостСайт — Волжск</t>
  </si>
  <si>
    <t>https://volzhsk.rostsayt.ru/</t>
  </si>
  <si>
    <t>https://www.facebook.com/rostsayt</t>
  </si>
  <si>
    <t>https://www.youtube.com/channel/UCXPFITkc3jTbMOgjP4NnAXQ?view_as=subscriber</t>
  </si>
  <si>
    <t>Россия, Республика Марий Эл, Волжск, проезд Марата</t>
  </si>
  <si>
    <t>+7 (902) 466-25-65</t>
  </si>
  <si>
    <t>48.370826 55.858637</t>
  </si>
  <si>
    <t>48.3522 55.86683</t>
  </si>
  <si>
    <t>48.37923 55.861759</t>
  </si>
  <si>
    <t>Россия, Республика Марий Эл, Волжск, садовое товарищество Волгарь</t>
  </si>
  <si>
    <t>48.401869 55.83648</t>
  </si>
  <si>
    <t>48.334032 55.865765</t>
  </si>
  <si>
    <t>Автостиль</t>
  </si>
  <si>
    <t>+7 (909) 369-00-10, +7 (963) 239-10-15</t>
  </si>
  <si>
    <t>Автоаксессуары, Автоакустика, Магазин автозапчастей и автотоваров</t>
  </si>
  <si>
    <t>https://vk.com/autostylevolghsk</t>
  </si>
  <si>
    <t>48.356516 55.867045</t>
  </si>
  <si>
    <t>Магазин комбикорма</t>
  </si>
  <si>
    <t>48.363956 55.86469</t>
  </si>
  <si>
    <t>Ритуал-сервис</t>
  </si>
  <si>
    <t>48.36652 55.885666</t>
  </si>
  <si>
    <t>ул. Кошкина, 21В, Волжск</t>
  </si>
  <si>
    <t>48.404833 55.845783</t>
  </si>
  <si>
    <t>Konica</t>
  </si>
  <si>
    <t>+7 (960) 092-58-68</t>
  </si>
  <si>
    <t>Копировальный центр, Фотомагазин, Фотоуслуги</t>
  </si>
  <si>
    <t>пн-пт 09:00–18:00, перерыв 12:30–13:30; сб,вс 09:00–16:00</t>
  </si>
  <si>
    <t>48.353899 55.866482</t>
  </si>
  <si>
    <t>InterCold</t>
  </si>
  <si>
    <t>+7 (499) 649-94-98</t>
  </si>
  <si>
    <t xml:space="preserve">info@intercold.ru, snab@intercold.ru  </t>
  </si>
  <si>
    <t>https://intercold.ru/</t>
  </si>
  <si>
    <t>https://instagram.com/pk_intercold</t>
  </si>
  <si>
    <t>Табачная продукция</t>
  </si>
  <si>
    <t>48.345352 55.86508</t>
  </si>
  <si>
    <t>Avtorelax</t>
  </si>
  <si>
    <t>ул. Прохорова, 116Б, корп. 2, Волжск</t>
  </si>
  <si>
    <t>+7 (960) 091-29-39</t>
  </si>
  <si>
    <t>48.354063 55.880661</t>
  </si>
  <si>
    <t>Магазин автозапчастей AutoGraf</t>
  </si>
  <si>
    <t>Россия, Республика Марий Эл, Волжск, улица Кабанова</t>
  </si>
  <si>
    <t>48.382435 55.87519</t>
  </si>
  <si>
    <t>48.384209 55.857133</t>
  </si>
  <si>
    <t>ЖК на ул. Чкалова</t>
  </si>
  <si>
    <t>+7 (960) 091-93-99</t>
  </si>
  <si>
    <t xml:space="preserve">renova.12@mail.ru </t>
  </si>
  <si>
    <t>http://ренова12.рф/obekty/</t>
  </si>
  <si>
    <t>48.392643 55.854534</t>
  </si>
  <si>
    <t>Кудри</t>
  </si>
  <si>
    <t>2-я Новая ул., 68, Волжск</t>
  </si>
  <si>
    <t>+7 (903) 050-81-44</t>
  </si>
  <si>
    <t>48.354996 55.867982</t>
  </si>
  <si>
    <t>48.36124 55.862934</t>
  </si>
  <si>
    <t>Шторы Ткани</t>
  </si>
  <si>
    <t>48.337911 55.868253</t>
  </si>
  <si>
    <t>+7 (960) 091-06-80</t>
  </si>
  <si>
    <t>48.359 55.866116</t>
  </si>
  <si>
    <t>Магазин окон, потолков</t>
  </si>
  <si>
    <t>48.352836 55.866677</t>
  </si>
  <si>
    <t>48.378833 55.863572</t>
  </si>
  <si>
    <t>48.392406 55.854347</t>
  </si>
  <si>
    <t>Изоляционные работы, Промышленное строительство</t>
  </si>
  <si>
    <t>48.342429 55.864571</t>
  </si>
  <si>
    <t>+7 (906) 137-59-99</t>
  </si>
  <si>
    <t>Светильники, Светотехника, Фейерверки и пиротехника</t>
  </si>
  <si>
    <t>https://instagram.com/tanyushka_evrosvet?igshid=1hurokcdezo5u</t>
  </si>
  <si>
    <t>48.358074 55.864917</t>
  </si>
  <si>
    <t>Lady</t>
  </si>
  <si>
    <t>48.344058 55.877078</t>
  </si>
  <si>
    <t>Поволжский государственный технологический университет</t>
  </si>
  <si>
    <t>ул. Кузьмина, 1, Волжск</t>
  </si>
  <si>
    <t>+7 (83631) 6-97-95, +7 (83631) 4-99-96</t>
  </si>
  <si>
    <t>48.366087 55.862051</t>
  </si>
  <si>
    <t>Хочу Есть</t>
  </si>
  <si>
    <t>+7 (967) 755-05-00</t>
  </si>
  <si>
    <t>Двери Окна Канцтовары</t>
  </si>
  <si>
    <t>Двери, Магазин мебели, Мебельная фабрика, Окна</t>
  </si>
  <si>
    <t>48.377749 55.883167</t>
  </si>
  <si>
    <t>48.336147 55.86143</t>
  </si>
  <si>
    <t>48.376578 55.88348</t>
  </si>
  <si>
    <t>48.338201 55.867363</t>
  </si>
  <si>
    <t>ул. Ленина, 60Г, Волжск</t>
  </si>
  <si>
    <t>+7 (917) 700-95-31</t>
  </si>
  <si>
    <t>пн-сб 07:00–19:00, перерыв 13:30–14:00; вс 07:00–18:30, перерыв 13:30–14:00</t>
  </si>
  <si>
    <t>48.358165 55.865814</t>
  </si>
  <si>
    <t>Сильва</t>
  </si>
  <si>
    <t>+7 (905) 379-73-10</t>
  </si>
  <si>
    <t>48.355153 55.866076</t>
  </si>
  <si>
    <t>48.332813 55.868492</t>
  </si>
  <si>
    <t>48.358277 55.866362</t>
  </si>
  <si>
    <t>Студия детейлинга Almaz</t>
  </si>
  <si>
    <t>Заводская ул., 1Д, Волжск</t>
  </si>
  <si>
    <t>+7 (905) 008-70-87</t>
  </si>
  <si>
    <t>Автомойка, Автосервис, автотехцентр, Кузовной ремонт, Студия автотюнинга</t>
  </si>
  <si>
    <t>http://vk.com/almaz_detailing</t>
  </si>
  <si>
    <t>http://instagram.com/almazdetailing</t>
  </si>
  <si>
    <t>48.344298 55.859565</t>
  </si>
  <si>
    <t>Экононом</t>
  </si>
  <si>
    <t>48.386105 55.853863</t>
  </si>
  <si>
    <t>Гора</t>
  </si>
  <si>
    <t>48.375971 55.883582</t>
  </si>
  <si>
    <t>Курсы кройки и шитья</t>
  </si>
  <si>
    <t>48.382656 55.859837</t>
  </si>
  <si>
    <t>Мбк-1</t>
  </si>
  <si>
    <t>48.359573 55.884007</t>
  </si>
  <si>
    <t>Отдел ЗАГС Администрации Волжского муниципального района</t>
  </si>
  <si>
    <t>+7 (83631) 6-23-01</t>
  </si>
  <si>
    <t>48.388193 55.857432</t>
  </si>
  <si>
    <t>Волжское отделение ТНС энерго Марий Эл</t>
  </si>
  <si>
    <t>Советская ул., 15, Волжск</t>
  </si>
  <si>
    <t>+7 (8362) 34-71-27, +7 (83631) 6-33-94, +7 (83631) 6-98-41</t>
  </si>
  <si>
    <t>+7 (83631) 6-98-41</t>
  </si>
  <si>
    <t>48.381114 55.858817</t>
  </si>
  <si>
    <t>Волжская мебель</t>
  </si>
  <si>
    <t>48.359118 55.878862</t>
  </si>
  <si>
    <t>МУДО Волжский экологический центр, филиал</t>
  </si>
  <si>
    <t>+7 (83631) 6-82-66</t>
  </si>
  <si>
    <t>+7 (909) 367-23-74</t>
  </si>
  <si>
    <t xml:space="preserve">orgmassekocentr@yandex.ru, debc_metodotdel@inbox.ru  </t>
  </si>
  <si>
    <t>http://vdec.org.ru/</t>
  </si>
  <si>
    <t>https://vk.com/vdec1</t>
  </si>
  <si>
    <t>48.351016 55.882063</t>
  </si>
  <si>
    <t>48.373895 55.861345</t>
  </si>
  <si>
    <t>48.359893 55.864817</t>
  </si>
  <si>
    <t>48.396168 55.847172</t>
  </si>
  <si>
    <t>Красотка Профи</t>
  </si>
  <si>
    <t>48.36516 55.864098</t>
  </si>
  <si>
    <t>48.379553 55.861405</t>
  </si>
  <si>
    <t>У Инны</t>
  </si>
  <si>
    <t>48.339573 55.871696</t>
  </si>
  <si>
    <t>Васильевские сладости</t>
  </si>
  <si>
    <t>48.340359 55.86104</t>
  </si>
  <si>
    <t>48.383952 55.881356</t>
  </si>
  <si>
    <t>48.360087 55.864535</t>
  </si>
  <si>
    <t>Elle</t>
  </si>
  <si>
    <t>48.359623 55.864497</t>
  </si>
  <si>
    <t>Магия Света</t>
  </si>
  <si>
    <t>+7 (960) 092-78-22</t>
  </si>
  <si>
    <t xml:space="preserve">ya.comfortech@yandex.ru  </t>
  </si>
  <si>
    <t>https://vk.com/magya_sveta</t>
  </si>
  <si>
    <t>https://www.instagram.com/magiya_sveta_12rus/?hl=ru</t>
  </si>
  <si>
    <t>48.350156 55.867168</t>
  </si>
  <si>
    <t>48.348278 55.867869</t>
  </si>
  <si>
    <t>48.376201 55.884048</t>
  </si>
  <si>
    <t>ГБУЗ Вцгб, инфекционное отделение</t>
  </si>
  <si>
    <t>+7 (83631) 4-61-49</t>
  </si>
  <si>
    <t>http://su44v.polzdv.ru/</t>
  </si>
  <si>
    <t>48.399774 55.851543</t>
  </si>
  <si>
    <t>Сеть</t>
  </si>
  <si>
    <t>ул. 107-й Бригады, 2, Волжск</t>
  </si>
  <si>
    <t>48.378359 55.886135</t>
  </si>
  <si>
    <t>Россия, Республика Марий Эл, Волжск, улица Воложка</t>
  </si>
  <si>
    <t>48.398471 55.850606</t>
  </si>
  <si>
    <t>ПолиМикс</t>
  </si>
  <si>
    <t>+7 (843) 298-56-97</t>
  </si>
  <si>
    <t xml:space="preserve">ivan@mail.ru  </t>
  </si>
  <si>
    <t>http://polymix.pro/</t>
  </si>
  <si>
    <t>Герметики, Полимерные материалы, Стройматериалы оптом</t>
  </si>
  <si>
    <t>Магазин № 23</t>
  </si>
  <si>
    <t>ул. Мухина, 30, Волжск</t>
  </si>
  <si>
    <t>48.319965 55.88616</t>
  </si>
  <si>
    <t>48.33767 55.867153</t>
  </si>
  <si>
    <t>+7 (843) 240-00-09</t>
  </si>
  <si>
    <t>+7 (960) 099-54-82</t>
  </si>
  <si>
    <t xml:space="preserve">ldsp2@mail.ru  </t>
  </si>
  <si>
    <t>http://shell-wood.ru/</t>
  </si>
  <si>
    <t>Строительный магазин, Фанера</t>
  </si>
  <si>
    <t>https://www.instagram.com/shelvud9</t>
  </si>
  <si>
    <t>48.384111 55.860903</t>
  </si>
  <si>
    <t>48.383682 55.859161</t>
  </si>
  <si>
    <t>Финанс+</t>
  </si>
  <si>
    <t>Коммунистическая ул., 7А, Волжск</t>
  </si>
  <si>
    <t>48.387143 55.853356</t>
  </si>
  <si>
    <t>Здоровый сон</t>
  </si>
  <si>
    <t>Бытовые услуги, Реставрационная мастерская</t>
  </si>
  <si>
    <t>48.337908 55.868256</t>
  </si>
  <si>
    <t>+7 (83631) 6-12-55</t>
  </si>
  <si>
    <t>http://www.shvc.ru/</t>
  </si>
  <si>
    <t>48.360472 55.865359</t>
  </si>
  <si>
    <t>Древесная мука ЭверБест</t>
  </si>
  <si>
    <t>Полевая ул., 74, Волжск</t>
  </si>
  <si>
    <t>+7 (902) 105-93-00</t>
  </si>
  <si>
    <t>https://древеснаямукаоптом.рф/</t>
  </si>
  <si>
    <t>48.361836 55.877208</t>
  </si>
  <si>
    <t>Автотонировка</t>
  </si>
  <si>
    <t>Песочная ул., 5, Волжск</t>
  </si>
  <si>
    <t>48.354233 55.871376</t>
  </si>
  <si>
    <t>Мир чая и кофе</t>
  </si>
  <si>
    <t>48.365104 55.863621</t>
  </si>
  <si>
    <t>+7 (906) 334-79-75</t>
  </si>
  <si>
    <t>48.38683 55.849385</t>
  </si>
  <si>
    <t>ул. Ленина, 27, Волжск</t>
  </si>
  <si>
    <t>48.374867 55.861246</t>
  </si>
  <si>
    <t>48.383275 55.882289</t>
  </si>
  <si>
    <t>+7 (960) 096-96-95</t>
  </si>
  <si>
    <t>48.354589 55.865874</t>
  </si>
  <si>
    <t>Вареники</t>
  </si>
  <si>
    <t>48.350506 55.868156</t>
  </si>
  <si>
    <t>Дисконтные системы и купонаторы</t>
  </si>
  <si>
    <t>48.348602 55.86771</t>
  </si>
  <si>
    <t>48.376057 55.884444</t>
  </si>
  <si>
    <t>Аренда строительной техники</t>
  </si>
  <si>
    <t>48.35977 55.864539</t>
  </si>
  <si>
    <t>Островок Казахстана</t>
  </si>
  <si>
    <t>48.374287 55.857908</t>
  </si>
  <si>
    <t>Строительство бань и саун</t>
  </si>
  <si>
    <t>48.351146 55.868849</t>
  </si>
  <si>
    <t>Территория смартфонов</t>
  </si>
  <si>
    <t>Магазин электроники, Салон связи</t>
  </si>
  <si>
    <t>48.350883 55.868126</t>
  </si>
  <si>
    <t>48.374588 55.861657</t>
  </si>
  <si>
    <t>Волжский городской краеведческий музей</t>
  </si>
  <si>
    <t>Коммунистическая ул., 2, Волжск</t>
  </si>
  <si>
    <t>+7 (83631) 6-23-38</t>
  </si>
  <si>
    <t>+7 (906) 138-52-88</t>
  </si>
  <si>
    <t xml:space="preserve">mbu_vkm@mail.ru  </t>
  </si>
  <si>
    <t>http://vkm.mari-el.muzkult.ru/</t>
  </si>
  <si>
    <t>пн-пт 10:00–18:00, перерыв 12:00–13:00; сб 09:00–16:00</t>
  </si>
  <si>
    <t>48.38856 55.857447</t>
  </si>
  <si>
    <t>Торговый центр Кольцо</t>
  </si>
  <si>
    <t>48.339727 55.866563</t>
  </si>
  <si>
    <t>Молодежное общежитие МБК</t>
  </si>
  <si>
    <t>48.382927 55.860153</t>
  </si>
  <si>
    <t>48.349706 55.868641</t>
  </si>
  <si>
    <t>ул. Белинского, 1, Волжск</t>
  </si>
  <si>
    <t>+7 (963) 126-83-57</t>
  </si>
  <si>
    <t>48.373038 55.865152</t>
  </si>
  <si>
    <t>Секрет</t>
  </si>
  <si>
    <t>+7 (961) 337-97-68</t>
  </si>
  <si>
    <t>48.377958 55.883082</t>
  </si>
  <si>
    <t>48.360302 55.864387</t>
  </si>
  <si>
    <t>Лесопродукт</t>
  </si>
  <si>
    <t>Вокзальный пр., 4В, Волжск</t>
  </si>
  <si>
    <t>+7 (996) 115-22-88</t>
  </si>
  <si>
    <t>http://лесопродукт.рф/</t>
  </si>
  <si>
    <t>Детская мебель, Матрасы, Мебель для спальни, Мебельная фабрика</t>
  </si>
  <si>
    <t>48.353386 55.854424</t>
  </si>
  <si>
    <t>Отрада</t>
  </si>
  <si>
    <t>48.388463 55.883089</t>
  </si>
  <si>
    <t>Вино-водка</t>
  </si>
  <si>
    <t>48.33844 55.866148</t>
  </si>
  <si>
    <t>+7 (961) 373-38-08, +7 (961) 374-33-89</t>
  </si>
  <si>
    <t>48.359132 55.878864</t>
  </si>
  <si>
    <t>48.379132 55.854701</t>
  </si>
  <si>
    <t>ул. Чкалова, 7, Волжск</t>
  </si>
  <si>
    <t>пт-вс 09:00–21:00</t>
  </si>
  <si>
    <t>48.388485 55.85155</t>
  </si>
  <si>
    <t>48.34256 55.861336</t>
  </si>
  <si>
    <t>48.360097 55.864506</t>
  </si>
  <si>
    <t>+7 (953) 402-01-49, +7 (902) 432-37-67</t>
  </si>
  <si>
    <t>https://vk.com/avtopravo</t>
  </si>
  <si>
    <t>48.359569 55.864358</t>
  </si>
  <si>
    <t>Бим Строй</t>
  </si>
  <si>
    <t>+7 (83631) 4-82-55, +7 (83631) 4-80-11</t>
  </si>
  <si>
    <t>+7 (960) 098-12-88</t>
  </si>
  <si>
    <t xml:space="preserve">bimstroy12@bk.ru  </t>
  </si>
  <si>
    <t>http://bimstroy12.ru/</t>
  </si>
  <si>
    <t>Кирпич, Кровля и кровельные материалы, Строительный магазин</t>
  </si>
  <si>
    <t>https://www.instagram.com/bimstroi12/</t>
  </si>
  <si>
    <t>48.385068 55.855259</t>
  </si>
  <si>
    <t>Капельный полив</t>
  </si>
  <si>
    <t>48.37136 55.859528</t>
  </si>
  <si>
    <t>48.357108 55.865505</t>
  </si>
  <si>
    <t>+7 (953) 482-06-11</t>
  </si>
  <si>
    <t>48.361666 55.864155</t>
  </si>
  <si>
    <t>48.339026 55.871565</t>
  </si>
  <si>
    <t>48.383592 55.882106</t>
  </si>
  <si>
    <t>АлиЭкспресс</t>
  </si>
  <si>
    <t>Автоаксессуары, Магазин электроники, Товары для мобильных телефонов</t>
  </si>
  <si>
    <t>48.361399 55.865169</t>
  </si>
  <si>
    <t>48.383597 55.879316</t>
  </si>
  <si>
    <t>48.363921 55.889956</t>
  </si>
  <si>
    <t>Маки</t>
  </si>
  <si>
    <t>48.352017 55.879914</t>
  </si>
  <si>
    <t>Производственные мастерские</t>
  </si>
  <si>
    <t>Строительная ул., 8, Волжск</t>
  </si>
  <si>
    <t>48.365901 55.862683</t>
  </si>
  <si>
    <t>48.339897 55.861267</t>
  </si>
  <si>
    <t>Пивомаг</t>
  </si>
  <si>
    <t>48.371136 55.865576</t>
  </si>
  <si>
    <t>4-я Кленовая ул., 10, поселок Мамасево, Волжск</t>
  </si>
  <si>
    <t>+7 (960) 092-23-91</t>
  </si>
  <si>
    <t>Шинсервис</t>
  </si>
  <si>
    <t>48.351737 55.879885</t>
  </si>
  <si>
    <t>ул. Кабанова, 10Б, Волжск</t>
  </si>
  <si>
    <t>48.384906 55.87974</t>
  </si>
  <si>
    <t>ул. Мира, 10, Волжск</t>
  </si>
  <si>
    <t>48.341467 55.862027</t>
  </si>
  <si>
    <t>48.360159 55.864499</t>
  </si>
  <si>
    <t>48.377106 55.860012</t>
  </si>
  <si>
    <t>Батарейки</t>
  </si>
  <si>
    <t>48.338303 55.866123</t>
  </si>
  <si>
    <t>48.378881 55.86059</t>
  </si>
  <si>
    <t>Россия, Республика Марий Эл, Волжск, улица Белинского</t>
  </si>
  <si>
    <t>48.372772 55.864765</t>
  </si>
  <si>
    <t>Современные системы</t>
  </si>
  <si>
    <t>ул. Щорса, 7, Волжск</t>
  </si>
  <si>
    <t>48.375051 55.856598</t>
  </si>
  <si>
    <t>48.38355 55.88153</t>
  </si>
  <si>
    <t>ул. Грибоедова, 1, Волжск</t>
  </si>
  <si>
    <t>48.313161 55.880016</t>
  </si>
  <si>
    <t>Fashion collection</t>
  </si>
  <si>
    <t>48.356983 55.865536</t>
  </si>
  <si>
    <t>48.35528 55.866905</t>
  </si>
  <si>
    <t>Плитка бордюр черепица</t>
  </si>
  <si>
    <t>48.352135 55.879993</t>
  </si>
  <si>
    <t>48.358058 55.864556</t>
  </si>
  <si>
    <t>Спринт</t>
  </si>
  <si>
    <t>48.34996 55.86716</t>
  </si>
  <si>
    <t>Sport city</t>
  </si>
  <si>
    <t>пн-пт 10:00–19:00; сб,вс 09:00–18:00</t>
  </si>
  <si>
    <t>48.35068 55.868156</t>
  </si>
  <si>
    <t>48.389874 55.8529</t>
  </si>
  <si>
    <t>48.376742 55.860379</t>
  </si>
  <si>
    <t>48.360546 55.865868</t>
  </si>
  <si>
    <t>48.35933 55.866233</t>
  </si>
  <si>
    <t>Белта</t>
  </si>
  <si>
    <t>48.386569 55.860203</t>
  </si>
  <si>
    <t>48.360904 55.863926</t>
  </si>
  <si>
    <t>48.380108 55.854813</t>
  </si>
  <si>
    <t>Похоронное бюро</t>
  </si>
  <si>
    <t>ул. Кошкина, 12, Волжск</t>
  </si>
  <si>
    <t>48.39034 55.847435</t>
  </si>
  <si>
    <t>48.360252 55.87847</t>
  </si>
  <si>
    <t>48.333668 55.864616</t>
  </si>
  <si>
    <t>+7 (83631) 6-01-00</t>
  </si>
  <si>
    <t>48.363195 55.864112</t>
  </si>
  <si>
    <t>Морг Волжская Центральная Районная больница</t>
  </si>
  <si>
    <t>Советская ул., 52, корп. 3, Волжск</t>
  </si>
  <si>
    <t>http://su52k3.polzdv.ru/</t>
  </si>
  <si>
    <t>Больница для взрослых, Морг</t>
  </si>
  <si>
    <t>48.333572 55.863113</t>
  </si>
  <si>
    <t>Дрим</t>
  </si>
  <si>
    <t>48.36503 55.863819</t>
  </si>
  <si>
    <t>Ярад</t>
  </si>
  <si>
    <t>48.35764 55.86478</t>
  </si>
  <si>
    <t>ЛДПР</t>
  </si>
  <si>
    <t>48.365896 55.863333</t>
  </si>
  <si>
    <t>+7 (962) 588-23-47, +7 (962) 588-23-48</t>
  </si>
  <si>
    <t>Real Svc</t>
  </si>
  <si>
    <t>+7 (965) 582-87-77, +7 (906) 335-67-17</t>
  </si>
  <si>
    <t>48.360342 55.864432</t>
  </si>
  <si>
    <t>+7 (961) 335-22-22</t>
  </si>
  <si>
    <t>http://vk.com/club26937365</t>
  </si>
  <si>
    <t>48.370111 55.863048</t>
  </si>
  <si>
    <t>48.384836 55.853982</t>
  </si>
  <si>
    <t>48.397901 55.845751</t>
  </si>
  <si>
    <t>Примула</t>
  </si>
  <si>
    <t>48.33415 55.865515</t>
  </si>
  <si>
    <t>48.351677 55.868183</t>
  </si>
  <si>
    <t>Комсомольская ул., 35А, Волжск</t>
  </si>
  <si>
    <t>48.3617 55.86491</t>
  </si>
  <si>
    <t>Старое городское кладбище</t>
  </si>
  <si>
    <t>Россия, Республика Марий Эл, Старое городское кладбище</t>
  </si>
  <si>
    <t>48.368755 55.887443</t>
  </si>
  <si>
    <t>Строительная ул., 13, Волжск</t>
  </si>
  <si>
    <t>48.367493 55.86608</t>
  </si>
  <si>
    <t>48.365025 55.863672</t>
  </si>
  <si>
    <t>48.349885 55.867164</t>
  </si>
  <si>
    <t>48.387119 55.880159</t>
  </si>
  <si>
    <t>Авто Pizza</t>
  </si>
  <si>
    <t>48.353455 55.86656</t>
  </si>
  <si>
    <t>Комфорт Автосервис</t>
  </si>
  <si>
    <t>+7 (917) 718-53-00</t>
  </si>
  <si>
    <t>Автосервис, автотехцентр, Автосервисное и гаражное оборудование, Шиномонтаж</t>
  </si>
  <si>
    <t>48.361708 55.887726</t>
  </si>
  <si>
    <t>Мебель г. Волжск РМЭ</t>
  </si>
  <si>
    <t>48.360259 55.864342</t>
  </si>
  <si>
    <t>48.337873 55.867663</t>
  </si>
  <si>
    <t>Корпусная мебель, Матрасы</t>
  </si>
  <si>
    <t>48.384409 55.860421</t>
  </si>
  <si>
    <t>ул. Комарова, 12, Волжск</t>
  </si>
  <si>
    <t>48.339184 55.858609</t>
  </si>
  <si>
    <t>Smoke Lab</t>
  </si>
  <si>
    <t>48.370295 55.862796</t>
  </si>
  <si>
    <t>Романцевские полуфабрикаты</t>
  </si>
  <si>
    <t>48.382313 55.859986</t>
  </si>
  <si>
    <t>Юнайт</t>
  </si>
  <si>
    <t>48.360077 55.881496</t>
  </si>
  <si>
    <t>Розовая пантера</t>
  </si>
  <si>
    <t>48.352279 55.867696</t>
  </si>
  <si>
    <t>Салон художественной ковки Долгачевъ</t>
  </si>
  <si>
    <t>48.359103 55.865798</t>
  </si>
  <si>
    <t>48.378698 55.860158</t>
  </si>
  <si>
    <t>48.36006 55.864527</t>
  </si>
  <si>
    <t>Куранты</t>
  </si>
  <si>
    <t>48.360041 55.864527</t>
  </si>
  <si>
    <t>Студия загара и красоты Sunrise</t>
  </si>
  <si>
    <t>Россия, Республика Марий Эл, Волжск, улица 107-й Бригады</t>
  </si>
  <si>
    <t>48.377638 55.883489</t>
  </si>
  <si>
    <t>Мясной мир</t>
  </si>
  <si>
    <t>48.383747 55.859879</t>
  </si>
  <si>
    <t>48.396368 55.847437</t>
  </si>
  <si>
    <t>48.340329 55.871891</t>
  </si>
  <si>
    <t>48.336795 55.866493</t>
  </si>
  <si>
    <t>48.342442 55.864907</t>
  </si>
  <si>
    <t>48.340359 55.871404</t>
  </si>
  <si>
    <t>48.337922 55.86824</t>
  </si>
  <si>
    <t>Жилищно-эксплуатационный участок</t>
  </si>
  <si>
    <t>48.39365 55.847096</t>
  </si>
  <si>
    <t>Бериляка</t>
  </si>
  <si>
    <t>48.360159 55.864445</t>
  </si>
  <si>
    <t>48.360159 55.864497</t>
  </si>
  <si>
    <t>ул. 107-й Бригады, 2/1, Волжск</t>
  </si>
  <si>
    <t>48.375505 55.883625</t>
  </si>
  <si>
    <t>+7 (961) 376-91-30</t>
  </si>
  <si>
    <t>48.350737 55.868262</t>
  </si>
  <si>
    <t>Всё для</t>
  </si>
  <si>
    <t>48.33413 55.86381</t>
  </si>
  <si>
    <t>ул. Шестакова, 29, Волжск</t>
  </si>
  <si>
    <t>+7 (917) 704-08-91</t>
  </si>
  <si>
    <t>https://www.yola-agro.ru/, http://www.yola-mkt.ru/, http://йола.рф/</t>
  </si>
  <si>
    <t>ежедневно, 08:00–21:00, перерыв 13:00–13:30</t>
  </si>
  <si>
    <t>48.338892 55.872127</t>
  </si>
  <si>
    <t>Одежда для детей</t>
  </si>
  <si>
    <t>48.375908 55.883482</t>
  </si>
  <si>
    <t>48.353539 55.867313</t>
  </si>
  <si>
    <t>48.378033 55.861323</t>
  </si>
  <si>
    <t>РоСТфинанс</t>
  </si>
  <si>
    <t>8 (800) 250-72-71</t>
  </si>
  <si>
    <t>+7 (919) 418-78-09</t>
  </si>
  <si>
    <t xml:space="preserve">usurer2012@bk.ru, zayavleniya@rostfinance.com  </t>
  </si>
  <si>
    <t>http://rostfinance.com/</t>
  </si>
  <si>
    <t>пн-пт 09:00–19:00, перерыв 14:00–15:00; сб,вс 10:00–18:00, перерыв 14:00–15:00</t>
  </si>
  <si>
    <t>https://vk.com/rostfinancecom</t>
  </si>
  <si>
    <t>Арго Казань, по</t>
  </si>
  <si>
    <t>48.377278 55.860227</t>
  </si>
  <si>
    <t>48.386026 55.887603</t>
  </si>
  <si>
    <t>Книги канцтовары</t>
  </si>
  <si>
    <t>48.337314 55.867914</t>
  </si>
  <si>
    <t>48.337762 55.870572</t>
  </si>
  <si>
    <t>8 (800) 333-22-44, +7 (83631) 6-29-45</t>
  </si>
  <si>
    <t>48.379901 55.853852</t>
  </si>
  <si>
    <t>48.349697 55.868268</t>
  </si>
  <si>
    <t>48.318011 55.878189</t>
  </si>
  <si>
    <t>48.354424 55.866264</t>
  </si>
  <si>
    <t>48.333034 55.864063</t>
  </si>
  <si>
    <t>48.33257 55.86846</t>
  </si>
  <si>
    <t>48.4012 55.845984</t>
  </si>
  <si>
    <t>48.337303 55.867944</t>
  </si>
  <si>
    <t>48.35991 55.864475</t>
  </si>
  <si>
    <t>http://voljsk.autolombard-zalog.ru/</t>
  </si>
  <si>
    <t>МСЦ-3 Гран</t>
  </si>
  <si>
    <t>3-я Промышленная ул., 3, Волжск</t>
  </si>
  <si>
    <t>48.342977 55.916025</t>
  </si>
  <si>
    <t>ДеткиLife</t>
  </si>
  <si>
    <t>Россия, Республика Марий Эл, Волжск, Заводская улица</t>
  </si>
  <si>
    <t>48.338205 55.860697</t>
  </si>
  <si>
    <t>Волжский центр недвижимости</t>
  </si>
  <si>
    <t>+7 (905) 182-05-25</t>
  </si>
  <si>
    <t>48.371305 55.862663</t>
  </si>
  <si>
    <t>Единый центр залогов</t>
  </si>
  <si>
    <t>8 (800) 222-74-64</t>
  </si>
  <si>
    <t xml:space="preserve">info@center-zalog.ru  </t>
  </si>
  <si>
    <t>https://center-zalog.ru/, https://center-zalog.ru/volzhsk/</t>
  </si>
  <si>
    <t>Автоломбард, Кредитный брокер, Небанковская кредитная организация</t>
  </si>
  <si>
    <t>Спасатель</t>
  </si>
  <si>
    <t>48.330638 55.876935</t>
  </si>
  <si>
    <t>48.360225 55.877434</t>
  </si>
  <si>
    <t>48.331241 55.876668</t>
  </si>
  <si>
    <t>Мир ключей</t>
  </si>
  <si>
    <t>48.378683 55.860669</t>
  </si>
  <si>
    <t>Родник</t>
  </si>
  <si>
    <t>48.341438 55.861863</t>
  </si>
  <si>
    <t>48.36132 55.865105</t>
  </si>
  <si>
    <t>48.336555 55.865922</t>
  </si>
  <si>
    <t>ул. Гагарина, 6А, Волжск</t>
  </si>
  <si>
    <t>48.384243 55.861397</t>
  </si>
  <si>
    <t>48.352295 55.88003</t>
  </si>
  <si>
    <t>Ваши денЬги!</t>
  </si>
  <si>
    <t>48.360046 55.864508</t>
  </si>
  <si>
    <t>48.378341 55.860672</t>
  </si>
  <si>
    <t>Ice cream</t>
  </si>
  <si>
    <t>+7 (987) 703-07-41</t>
  </si>
  <si>
    <t>https://vk.com/icecreamprof</t>
  </si>
  <si>
    <t>https://www.instagram.com/icecreamprof/</t>
  </si>
  <si>
    <t>48.357476 55.864801</t>
  </si>
  <si>
    <t>Зоомагазин Не Проходите Мимо</t>
  </si>
  <si>
    <t>Металлоконструкции, Промышленное строительство, Промышленный альпинизм, Трубы и трубопроводная арматура</t>
  </si>
  <si>
    <t>Все для стройки</t>
  </si>
  <si>
    <t>48.34656 55.8651</t>
  </si>
  <si>
    <t>Кларисса</t>
  </si>
  <si>
    <t>48.359843 55.864601</t>
  </si>
  <si>
    <t>48.383756 55.859502</t>
  </si>
  <si>
    <t>+7 (962) 590-30-76</t>
  </si>
  <si>
    <t>Корпусная мебель, Матрасы, Мебель для кухни, Мягкая мебель</t>
  </si>
  <si>
    <t>48.350844 55.868245</t>
  </si>
  <si>
    <t>48.389435 55.859327</t>
  </si>
  <si>
    <t>Магазин подарков и сувениров, Магазин посуды, Магазин хозтоваров и бытовой химии</t>
  </si>
  <si>
    <t>48.383318 55.882138</t>
  </si>
  <si>
    <t>ИП Королев С. Ю.</t>
  </si>
  <si>
    <t>+7 (961) 374-05-24, +7 (963) 239-26-53</t>
  </si>
  <si>
    <t>Металлоизделия, Производственное предприятие</t>
  </si>
  <si>
    <t>48.356296 55.866813</t>
  </si>
  <si>
    <t>Слуховые Аппараты</t>
  </si>
  <si>
    <t>+7 (902) 672-15-60</t>
  </si>
  <si>
    <t>http://аппараты.рус/</t>
  </si>
  <si>
    <t>Аккумуляторы и зарядные устройства, Медицинское оборудование, медтехника, Слуховые аппараты</t>
  </si>
  <si>
    <t>ежедневно, 12:00–16:00</t>
  </si>
  <si>
    <t>48.377747 55.861512</t>
  </si>
  <si>
    <t>Детская поликлиника, филиал № 2</t>
  </si>
  <si>
    <t>48.383434 55.858162</t>
  </si>
  <si>
    <t>Марийский трактир</t>
  </si>
  <si>
    <t>48.369053 55.863266</t>
  </si>
  <si>
    <t>48.339147 55.871645</t>
  </si>
  <si>
    <t>парк Машиностроитель</t>
  </si>
  <si>
    <t>Россия, Республика Марий Эл, Волжск, парк Машиностроитель</t>
  </si>
  <si>
    <t>48.379685 55.883472</t>
  </si>
  <si>
    <t>ID</t>
  </si>
  <si>
    <t>Название</t>
  </si>
  <si>
    <t>Индекс</t>
  </si>
  <si>
    <t>Город</t>
  </si>
  <si>
    <t>Адрес</t>
  </si>
  <si>
    <t>Телефон</t>
  </si>
  <si>
    <t>Мобильный телефон</t>
  </si>
  <si>
    <t>Факс</t>
  </si>
  <si>
    <t>Email</t>
  </si>
  <si>
    <t>Сайт</t>
  </si>
  <si>
    <t>Рубрика</t>
  </si>
  <si>
    <t>Подрубрика</t>
  </si>
  <si>
    <t>Время работы</t>
  </si>
  <si>
    <t>vkontakte</t>
  </si>
  <si>
    <t>odnoklassniki</t>
  </si>
  <si>
    <t>twitter</t>
  </si>
  <si>
    <t>facebook</t>
  </si>
  <si>
    <t>youtube</t>
  </si>
  <si>
    <t>instagram</t>
  </si>
  <si>
    <t>foursquare</t>
  </si>
  <si>
    <t>livejournal</t>
  </si>
  <si>
    <t>Координаты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</si>
</sst>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9" fontId="0" fillId="0" borderId="0" xfId="0" applyNumberFormat="1"/>
    <xf numFmtId="0" fontId="16" fillId="0" borderId="0" xfId="0" applyFont="1" applyAlignment="1">
      <alignment horizont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7909"/>
  <sheetViews>
    <sheetView tabSelected="1" workbookViewId="0">
      <selection activeCell="C8" sqref="C8"/>
    </sheetView>
  </sheetViews>
  <sheetFormatPr defaultColWidth="30.7109375" defaultRowHeight="15" x14ac:dyDescent="0.25"/>
  <cols>
    <col min="1" max="1" width="13.140625" bestFit="1" customWidth="1"/>
    <col min="5" max="5" width="7.85546875" bestFit="1" customWidth="1"/>
    <col min="6" max="6" width="21.42578125" bestFit="1" customWidth="1"/>
    <col min="7" max="7" width="16.5703125" bestFit="1" customWidth="1"/>
    <col min="25" max="25" width="18.85546875" bestFit="1" customWidth="1"/>
  </cols>
  <sheetData>
    <row r="1" spans="1:25" s="2" customFormat="1" x14ac:dyDescent="0.25">
      <c r="A1" s="2" t="s">
        <v>58954</v>
      </c>
      <c r="B1" s="2" t="s">
        <v>58964</v>
      </c>
      <c r="C1" s="2" t="s">
        <v>58965</v>
      </c>
      <c r="D1" s="2" t="s">
        <v>58955</v>
      </c>
      <c r="E1" s="2" t="s">
        <v>58956</v>
      </c>
      <c r="F1" s="2" t="s">
        <v>6924</v>
      </c>
      <c r="G1" s="2" t="s">
        <v>58957</v>
      </c>
      <c r="H1" s="2" t="s">
        <v>58958</v>
      </c>
      <c r="I1" s="2" t="s">
        <v>58959</v>
      </c>
      <c r="J1" s="2" t="s">
        <v>58960</v>
      </c>
      <c r="K1" s="2" t="s">
        <v>58961</v>
      </c>
      <c r="L1" s="2" t="s">
        <v>58962</v>
      </c>
      <c r="M1" s="2" t="s">
        <v>58963</v>
      </c>
      <c r="P1" s="2" t="s">
        <v>58966</v>
      </c>
      <c r="Q1" s="2" t="s">
        <v>58967</v>
      </c>
      <c r="R1" s="2" t="s">
        <v>58968</v>
      </c>
      <c r="S1" s="2" t="s">
        <v>58969</v>
      </c>
      <c r="T1" s="2" t="s">
        <v>58970</v>
      </c>
      <c r="U1" s="2" t="s">
        <v>58971</v>
      </c>
      <c r="V1" s="2" t="s">
        <v>58972</v>
      </c>
      <c r="W1" s="2" t="s">
        <v>58973</v>
      </c>
      <c r="X1" s="2" t="s">
        <v>58974</v>
      </c>
      <c r="Y1" s="2" t="s">
        <v>58975</v>
      </c>
    </row>
    <row r="2" spans="1:25" x14ac:dyDescent="0.25">
      <c r="A2" t="str">
        <f>"1000044452"</f>
        <v>1000044452</v>
      </c>
      <c r="B2" t="s">
        <v>7</v>
      </c>
      <c r="C2" t="s">
        <v>8</v>
      </c>
      <c r="D2" t="s">
        <v>0</v>
      </c>
      <c r="E2">
        <v>424020</v>
      </c>
      <c r="F2" t="s">
        <v>1</v>
      </c>
      <c r="G2" t="s">
        <v>2</v>
      </c>
      <c r="H2" t="s">
        <v>3</v>
      </c>
      <c r="I2" t="s">
        <v>4</v>
      </c>
      <c r="L2" t="s">
        <v>5</v>
      </c>
      <c r="M2" t="s">
        <v>6</v>
      </c>
      <c r="P2" t="s">
        <v>9</v>
      </c>
      <c r="Q2" t="s">
        <v>10</v>
      </c>
      <c r="Y2" t="s">
        <v>11</v>
      </c>
    </row>
    <row r="3" spans="1:25" x14ac:dyDescent="0.25">
      <c r="A3" t="str">
        <f>"1000086396"</f>
        <v>1000086396</v>
      </c>
      <c r="B3" t="s">
        <v>18</v>
      </c>
      <c r="C3" t="s">
        <v>19</v>
      </c>
      <c r="D3" t="s">
        <v>12</v>
      </c>
      <c r="E3">
        <v>424005</v>
      </c>
      <c r="F3" t="s">
        <v>1</v>
      </c>
      <c r="G3" t="s">
        <v>2</v>
      </c>
      <c r="H3" t="s">
        <v>13</v>
      </c>
      <c r="I3" t="s">
        <v>14</v>
      </c>
      <c r="J3" t="s">
        <v>15</v>
      </c>
      <c r="L3" t="s">
        <v>16</v>
      </c>
      <c r="M3" t="s">
        <v>17</v>
      </c>
      <c r="P3" t="s">
        <v>20</v>
      </c>
      <c r="Y3" t="s">
        <v>21</v>
      </c>
    </row>
    <row r="4" spans="1:25" x14ac:dyDescent="0.25">
      <c r="A4" t="str">
        <f>"1000274485"</f>
        <v>1000274485</v>
      </c>
      <c r="B4" t="s">
        <v>25</v>
      </c>
      <c r="C4" t="s">
        <v>26</v>
      </c>
      <c r="D4" t="s">
        <v>22</v>
      </c>
      <c r="E4">
        <v>424020</v>
      </c>
      <c r="F4" t="s">
        <v>1</v>
      </c>
      <c r="G4" t="s">
        <v>2</v>
      </c>
      <c r="H4" t="s">
        <v>23</v>
      </c>
      <c r="I4" t="s">
        <v>24</v>
      </c>
      <c r="P4" t="s">
        <v>27</v>
      </c>
      <c r="Y4" t="s">
        <v>28</v>
      </c>
    </row>
    <row r="5" spans="1:25" x14ac:dyDescent="0.25">
      <c r="A5" t="str">
        <f>"1000324558"</f>
        <v>1000324558</v>
      </c>
      <c r="B5" t="s">
        <v>32</v>
      </c>
      <c r="C5" t="s">
        <v>33</v>
      </c>
      <c r="D5" t="s">
        <v>29</v>
      </c>
      <c r="E5">
        <v>424037</v>
      </c>
      <c r="F5" t="s">
        <v>1</v>
      </c>
      <c r="G5" t="s">
        <v>2</v>
      </c>
      <c r="H5" t="s">
        <v>30</v>
      </c>
      <c r="I5" t="s">
        <v>31</v>
      </c>
      <c r="P5" t="s">
        <v>34</v>
      </c>
      <c r="Q5" t="s">
        <v>35</v>
      </c>
      <c r="Y5" t="s">
        <v>36</v>
      </c>
    </row>
    <row r="6" spans="1:25" x14ac:dyDescent="0.25">
      <c r="A6" t="str">
        <f>"1000336544"</f>
        <v>1000336544</v>
      </c>
      <c r="B6" t="s">
        <v>32</v>
      </c>
      <c r="C6" t="s">
        <v>40</v>
      </c>
      <c r="D6" t="s">
        <v>37</v>
      </c>
      <c r="E6">
        <v>424003</v>
      </c>
      <c r="F6" t="s">
        <v>1</v>
      </c>
      <c r="G6" t="s">
        <v>2</v>
      </c>
      <c r="H6" t="s">
        <v>38</v>
      </c>
      <c r="I6" t="s">
        <v>39</v>
      </c>
      <c r="P6" t="s">
        <v>41</v>
      </c>
      <c r="Y6" t="s">
        <v>42</v>
      </c>
    </row>
    <row r="7" spans="1:25" x14ac:dyDescent="0.25">
      <c r="A7" t="str">
        <f>"1000447162"</f>
        <v>1000447162</v>
      </c>
      <c r="B7" t="s">
        <v>48</v>
      </c>
      <c r="C7" t="s">
        <v>49</v>
      </c>
      <c r="D7" t="s">
        <v>43</v>
      </c>
      <c r="E7">
        <v>424003</v>
      </c>
      <c r="F7" t="s">
        <v>1</v>
      </c>
      <c r="G7" t="s">
        <v>2</v>
      </c>
      <c r="H7" t="s">
        <v>44</v>
      </c>
      <c r="I7" t="s">
        <v>45</v>
      </c>
      <c r="L7" t="s">
        <v>46</v>
      </c>
      <c r="M7" t="s">
        <v>47</v>
      </c>
      <c r="P7" t="s">
        <v>50</v>
      </c>
      <c r="Q7" t="s">
        <v>51</v>
      </c>
      <c r="T7" t="s">
        <v>52</v>
      </c>
      <c r="U7" t="s">
        <v>53</v>
      </c>
      <c r="V7" t="s">
        <v>54</v>
      </c>
      <c r="Y7" t="s">
        <v>55</v>
      </c>
    </row>
    <row r="8" spans="1:25" x14ac:dyDescent="0.25">
      <c r="A8" t="str">
        <f>"1000460683"</f>
        <v>1000460683</v>
      </c>
      <c r="B8" t="s">
        <v>25</v>
      </c>
      <c r="C8" t="s">
        <v>59</v>
      </c>
      <c r="D8" t="s">
        <v>56</v>
      </c>
      <c r="E8">
        <v>424002</v>
      </c>
      <c r="F8" t="s">
        <v>1</v>
      </c>
      <c r="G8" t="s">
        <v>2</v>
      </c>
      <c r="H8" t="s">
        <v>57</v>
      </c>
      <c r="I8" t="s">
        <v>58</v>
      </c>
      <c r="P8" t="s">
        <v>60</v>
      </c>
      <c r="Y8" t="s">
        <v>61</v>
      </c>
    </row>
    <row r="9" spans="1:25" x14ac:dyDescent="0.25">
      <c r="A9" t="str">
        <f>"1000467493"</f>
        <v>1000467493</v>
      </c>
      <c r="B9" t="s">
        <v>67</v>
      </c>
      <c r="C9" t="s">
        <v>68</v>
      </c>
      <c r="D9" t="s">
        <v>62</v>
      </c>
      <c r="E9">
        <v>424039</v>
      </c>
      <c r="F9" t="s">
        <v>1</v>
      </c>
      <c r="G9" t="s">
        <v>2</v>
      </c>
      <c r="H9" t="s">
        <v>63</v>
      </c>
      <c r="I9" t="s">
        <v>64</v>
      </c>
      <c r="L9" t="s">
        <v>65</v>
      </c>
      <c r="M9" t="s">
        <v>66</v>
      </c>
      <c r="P9" t="s">
        <v>69</v>
      </c>
      <c r="Q9" t="s">
        <v>70</v>
      </c>
      <c r="S9" t="s">
        <v>71</v>
      </c>
      <c r="T9" t="s">
        <v>72</v>
      </c>
      <c r="V9" t="s">
        <v>73</v>
      </c>
      <c r="Y9" t="s">
        <v>74</v>
      </c>
    </row>
    <row r="10" spans="1:25" x14ac:dyDescent="0.25">
      <c r="A10" t="str">
        <f>"1000515412"</f>
        <v>1000515412</v>
      </c>
      <c r="B10" t="s">
        <v>80</v>
      </c>
      <c r="C10" t="s">
        <v>81</v>
      </c>
      <c r="D10" t="s">
        <v>75</v>
      </c>
      <c r="E10">
        <v>424033</v>
      </c>
      <c r="F10" t="s">
        <v>1</v>
      </c>
      <c r="G10" t="s">
        <v>2</v>
      </c>
      <c r="H10" t="s">
        <v>76</v>
      </c>
      <c r="I10" t="s">
        <v>77</v>
      </c>
      <c r="L10" t="s">
        <v>78</v>
      </c>
      <c r="M10" t="s">
        <v>79</v>
      </c>
      <c r="P10" t="s">
        <v>82</v>
      </c>
      <c r="Q10" t="s">
        <v>83</v>
      </c>
      <c r="Y10" t="s">
        <v>84</v>
      </c>
    </row>
    <row r="11" spans="1:25" x14ac:dyDescent="0.25">
      <c r="A11" t="str">
        <f>"1000866231"</f>
        <v>1000866231</v>
      </c>
      <c r="B11" t="s">
        <v>88</v>
      </c>
      <c r="C11" t="s">
        <v>89</v>
      </c>
      <c r="D11" t="s">
        <v>85</v>
      </c>
      <c r="E11">
        <v>424000</v>
      </c>
      <c r="F11" t="s">
        <v>1</v>
      </c>
      <c r="G11" t="s">
        <v>2</v>
      </c>
      <c r="H11" t="s">
        <v>86</v>
      </c>
      <c r="I11" t="s">
        <v>87</v>
      </c>
      <c r="Y11" t="s">
        <v>90</v>
      </c>
    </row>
    <row r="12" spans="1:25" x14ac:dyDescent="0.25">
      <c r="A12" t="str">
        <f>"1000925938"</f>
        <v>1000925938</v>
      </c>
      <c r="B12" t="s">
        <v>96</v>
      </c>
      <c r="C12" t="s">
        <v>97</v>
      </c>
      <c r="D12" t="s">
        <v>91</v>
      </c>
      <c r="E12">
        <v>424000</v>
      </c>
      <c r="F12" t="s">
        <v>1</v>
      </c>
      <c r="G12" t="s">
        <v>2</v>
      </c>
      <c r="H12" t="s">
        <v>92</v>
      </c>
      <c r="I12" t="s">
        <v>93</v>
      </c>
      <c r="L12" t="s">
        <v>94</v>
      </c>
      <c r="M12" t="s">
        <v>95</v>
      </c>
      <c r="P12" t="s">
        <v>98</v>
      </c>
      <c r="Q12" t="s">
        <v>99</v>
      </c>
      <c r="R12" t="s">
        <v>100</v>
      </c>
      <c r="T12" t="s">
        <v>101</v>
      </c>
      <c r="U12" t="s">
        <v>102</v>
      </c>
      <c r="V12" t="s">
        <v>103</v>
      </c>
      <c r="Y12" t="s">
        <v>104</v>
      </c>
    </row>
    <row r="13" spans="1:25" x14ac:dyDescent="0.25">
      <c r="A13" t="str">
        <f>"1000927991"</f>
        <v>1000927991</v>
      </c>
      <c r="B13" t="s">
        <v>110</v>
      </c>
      <c r="C13" t="s">
        <v>111</v>
      </c>
      <c r="D13" t="s">
        <v>105</v>
      </c>
      <c r="E13">
        <v>424031</v>
      </c>
      <c r="F13" t="s">
        <v>1</v>
      </c>
      <c r="G13" t="s">
        <v>2</v>
      </c>
      <c r="H13" t="s">
        <v>106</v>
      </c>
      <c r="I13" t="s">
        <v>107</v>
      </c>
      <c r="L13" t="s">
        <v>108</v>
      </c>
      <c r="M13" t="s">
        <v>109</v>
      </c>
      <c r="P13" t="s">
        <v>112</v>
      </c>
      <c r="Q13" t="s">
        <v>113</v>
      </c>
      <c r="Y13" t="s">
        <v>114</v>
      </c>
    </row>
    <row r="14" spans="1:25" x14ac:dyDescent="0.25">
      <c r="A14" t="str">
        <f>"1000973850"</f>
        <v>1000973850</v>
      </c>
      <c r="B14" t="s">
        <v>117</v>
      </c>
      <c r="C14" t="s">
        <v>118</v>
      </c>
      <c r="D14" t="s">
        <v>115</v>
      </c>
      <c r="F14" t="s">
        <v>1</v>
      </c>
      <c r="G14" t="s">
        <v>2</v>
      </c>
      <c r="H14" t="s">
        <v>116</v>
      </c>
      <c r="Y14" t="s">
        <v>119</v>
      </c>
    </row>
    <row r="15" spans="1:25" x14ac:dyDescent="0.25">
      <c r="A15" t="str">
        <f>"1001034632"</f>
        <v>1001034632</v>
      </c>
      <c r="B15" t="s">
        <v>123</v>
      </c>
      <c r="C15" t="s">
        <v>124</v>
      </c>
      <c r="D15" t="s">
        <v>120</v>
      </c>
      <c r="E15">
        <v>424020</v>
      </c>
      <c r="F15" t="s">
        <v>1</v>
      </c>
      <c r="G15" t="s">
        <v>2</v>
      </c>
      <c r="H15" t="s">
        <v>121</v>
      </c>
      <c r="I15" t="s">
        <v>122</v>
      </c>
      <c r="P15" t="s">
        <v>125</v>
      </c>
      <c r="Y15" t="s">
        <v>126</v>
      </c>
    </row>
    <row r="16" spans="1:25" x14ac:dyDescent="0.25">
      <c r="A16" t="str">
        <f>"1001125168"</f>
        <v>1001125168</v>
      </c>
      <c r="B16" t="s">
        <v>131</v>
      </c>
      <c r="C16" t="s">
        <v>132</v>
      </c>
      <c r="D16" t="s">
        <v>127</v>
      </c>
      <c r="E16">
        <v>424000</v>
      </c>
      <c r="F16" t="s">
        <v>1</v>
      </c>
      <c r="G16" t="s">
        <v>2</v>
      </c>
      <c r="H16" t="s">
        <v>128</v>
      </c>
      <c r="I16" t="s">
        <v>129</v>
      </c>
      <c r="M16" t="s">
        <v>130</v>
      </c>
      <c r="P16" t="s">
        <v>133</v>
      </c>
      <c r="Q16" t="s">
        <v>134</v>
      </c>
      <c r="T16" t="s">
        <v>135</v>
      </c>
      <c r="Y16" t="s">
        <v>136</v>
      </c>
    </row>
    <row r="17" spans="1:25" x14ac:dyDescent="0.25">
      <c r="A17" t="str">
        <f>"1001179245"</f>
        <v>1001179245</v>
      </c>
      <c r="B17" t="s">
        <v>18</v>
      </c>
      <c r="C17" t="s">
        <v>143</v>
      </c>
      <c r="D17" t="s">
        <v>137</v>
      </c>
      <c r="F17" t="s">
        <v>1</v>
      </c>
      <c r="G17" t="s">
        <v>2</v>
      </c>
      <c r="H17" t="s">
        <v>138</v>
      </c>
      <c r="I17" t="s">
        <v>139</v>
      </c>
      <c r="J17" t="s">
        <v>140</v>
      </c>
      <c r="L17" t="s">
        <v>141</v>
      </c>
      <c r="M17" t="s">
        <v>142</v>
      </c>
      <c r="P17" t="s">
        <v>144</v>
      </c>
      <c r="V17" t="s">
        <v>145</v>
      </c>
      <c r="Y17" t="s">
        <v>146</v>
      </c>
    </row>
    <row r="18" spans="1:25" x14ac:dyDescent="0.25">
      <c r="A18" t="str">
        <f>"1001184319"</f>
        <v>1001184319</v>
      </c>
      <c r="B18" t="s">
        <v>151</v>
      </c>
      <c r="C18" t="s">
        <v>151</v>
      </c>
      <c r="D18" t="s">
        <v>147</v>
      </c>
      <c r="E18">
        <v>424039</v>
      </c>
      <c r="F18" t="s">
        <v>1</v>
      </c>
      <c r="G18" t="s">
        <v>2</v>
      </c>
      <c r="H18" t="s">
        <v>148</v>
      </c>
      <c r="I18" t="s">
        <v>149</v>
      </c>
      <c r="K18" t="s">
        <v>150</v>
      </c>
      <c r="P18" t="s">
        <v>152</v>
      </c>
      <c r="Y18" t="s">
        <v>153</v>
      </c>
    </row>
    <row r="19" spans="1:25" x14ac:dyDescent="0.25">
      <c r="A19" t="str">
        <f>"1001186659"</f>
        <v>1001186659</v>
      </c>
      <c r="B19" t="s">
        <v>160</v>
      </c>
      <c r="C19" t="s">
        <v>161</v>
      </c>
      <c r="D19" t="s">
        <v>154</v>
      </c>
      <c r="E19">
        <v>424006</v>
      </c>
      <c r="F19" t="s">
        <v>1</v>
      </c>
      <c r="G19" t="s">
        <v>2</v>
      </c>
      <c r="H19" t="s">
        <v>155</v>
      </c>
      <c r="I19" t="s">
        <v>156</v>
      </c>
      <c r="K19" t="s">
        <v>157</v>
      </c>
      <c r="L19" t="s">
        <v>158</v>
      </c>
      <c r="M19" t="s">
        <v>159</v>
      </c>
      <c r="Y19" t="s">
        <v>162</v>
      </c>
    </row>
    <row r="20" spans="1:25" x14ac:dyDescent="0.25">
      <c r="A20" t="str">
        <f>"1001195642"</f>
        <v>1001195642</v>
      </c>
      <c r="B20" t="s">
        <v>88</v>
      </c>
      <c r="C20" t="s">
        <v>168</v>
      </c>
      <c r="D20" t="s">
        <v>163</v>
      </c>
      <c r="E20">
        <v>424000</v>
      </c>
      <c r="F20" t="s">
        <v>1</v>
      </c>
      <c r="G20" t="s">
        <v>2</v>
      </c>
      <c r="H20" t="s">
        <v>164</v>
      </c>
      <c r="I20" t="s">
        <v>165</v>
      </c>
      <c r="L20" t="s">
        <v>166</v>
      </c>
      <c r="M20" t="s">
        <v>167</v>
      </c>
      <c r="P20" t="s">
        <v>169</v>
      </c>
      <c r="Q20" t="s">
        <v>170</v>
      </c>
      <c r="V20" t="s">
        <v>171</v>
      </c>
      <c r="Y20" t="s">
        <v>172</v>
      </c>
    </row>
    <row r="21" spans="1:25" x14ac:dyDescent="0.25">
      <c r="A21" t="str">
        <f>"1001497547"</f>
        <v>1001497547</v>
      </c>
      <c r="B21" t="s">
        <v>176</v>
      </c>
      <c r="C21" t="s">
        <v>177</v>
      </c>
      <c r="D21" t="s">
        <v>173</v>
      </c>
      <c r="E21">
        <v>424019</v>
      </c>
      <c r="F21" t="s">
        <v>1</v>
      </c>
      <c r="G21" t="s">
        <v>2</v>
      </c>
      <c r="H21" t="s">
        <v>174</v>
      </c>
      <c r="I21" t="s">
        <v>175</v>
      </c>
      <c r="P21" t="s">
        <v>152</v>
      </c>
      <c r="Y21" t="s">
        <v>178</v>
      </c>
    </row>
    <row r="22" spans="1:25" x14ac:dyDescent="0.25">
      <c r="A22" t="str">
        <f>"1001786736"</f>
        <v>1001786736</v>
      </c>
      <c r="B22" t="s">
        <v>32</v>
      </c>
      <c r="C22" t="s">
        <v>182</v>
      </c>
      <c r="D22" t="s">
        <v>179</v>
      </c>
      <c r="E22">
        <v>424036</v>
      </c>
      <c r="F22" t="s">
        <v>1</v>
      </c>
      <c r="G22" t="s">
        <v>2</v>
      </c>
      <c r="H22" t="s">
        <v>180</v>
      </c>
      <c r="I22" t="s">
        <v>181</v>
      </c>
      <c r="P22" t="s">
        <v>183</v>
      </c>
      <c r="Y22" t="s">
        <v>184</v>
      </c>
    </row>
    <row r="23" spans="1:25" x14ac:dyDescent="0.25">
      <c r="A23" t="str">
        <f>"1001795734"</f>
        <v>1001795734</v>
      </c>
      <c r="B23" t="s">
        <v>188</v>
      </c>
      <c r="C23" t="s">
        <v>189</v>
      </c>
      <c r="D23" t="s">
        <v>185</v>
      </c>
      <c r="E23">
        <v>424004</v>
      </c>
      <c r="F23" t="s">
        <v>1</v>
      </c>
      <c r="G23" t="s">
        <v>2</v>
      </c>
      <c r="H23" t="s">
        <v>186</v>
      </c>
      <c r="I23" t="s">
        <v>187</v>
      </c>
      <c r="Y23" t="s">
        <v>190</v>
      </c>
    </row>
    <row r="24" spans="1:25" x14ac:dyDescent="0.25">
      <c r="A24" t="str">
        <f>"1001863225"</f>
        <v>1001863225</v>
      </c>
      <c r="B24" t="s">
        <v>123</v>
      </c>
      <c r="C24" t="s">
        <v>196</v>
      </c>
      <c r="D24" t="s">
        <v>191</v>
      </c>
      <c r="E24">
        <v>424038</v>
      </c>
      <c r="F24" t="s">
        <v>1</v>
      </c>
      <c r="G24" t="s">
        <v>2</v>
      </c>
      <c r="H24" t="s">
        <v>192</v>
      </c>
      <c r="I24" t="s">
        <v>193</v>
      </c>
      <c r="L24" t="s">
        <v>194</v>
      </c>
      <c r="M24" t="s">
        <v>195</v>
      </c>
      <c r="P24" t="s">
        <v>197</v>
      </c>
      <c r="Y24" t="s">
        <v>198</v>
      </c>
    </row>
    <row r="25" spans="1:25" x14ac:dyDescent="0.25">
      <c r="A25" t="str">
        <f>"1001864416"</f>
        <v>1001864416</v>
      </c>
      <c r="B25" t="s">
        <v>204</v>
      </c>
      <c r="C25" t="s">
        <v>205</v>
      </c>
      <c r="D25" t="s">
        <v>199</v>
      </c>
      <c r="E25">
        <v>424000</v>
      </c>
      <c r="F25" t="s">
        <v>1</v>
      </c>
      <c r="G25" t="s">
        <v>2</v>
      </c>
      <c r="H25" t="s">
        <v>128</v>
      </c>
      <c r="I25" t="s">
        <v>200</v>
      </c>
      <c r="J25" t="s">
        <v>201</v>
      </c>
      <c r="L25" t="s">
        <v>202</v>
      </c>
      <c r="M25" t="s">
        <v>203</v>
      </c>
      <c r="P25" t="s">
        <v>206</v>
      </c>
      <c r="Q25" t="s">
        <v>207</v>
      </c>
      <c r="T25" t="s">
        <v>208</v>
      </c>
      <c r="Y25" t="s">
        <v>209</v>
      </c>
    </row>
    <row r="26" spans="1:25" x14ac:dyDescent="0.25">
      <c r="A26" t="str">
        <f>"1001886651"</f>
        <v>1001886651</v>
      </c>
      <c r="B26" t="s">
        <v>80</v>
      </c>
      <c r="C26" t="s">
        <v>215</v>
      </c>
      <c r="D26" t="s">
        <v>210</v>
      </c>
      <c r="E26">
        <v>424000</v>
      </c>
      <c r="F26" t="s">
        <v>1</v>
      </c>
      <c r="G26" t="s">
        <v>2</v>
      </c>
      <c r="H26" t="s">
        <v>211</v>
      </c>
      <c r="I26" t="s">
        <v>212</v>
      </c>
      <c r="L26" t="s">
        <v>213</v>
      </c>
      <c r="M26" t="s">
        <v>214</v>
      </c>
      <c r="P26" t="s">
        <v>216</v>
      </c>
      <c r="Q26" t="s">
        <v>217</v>
      </c>
      <c r="Y26" t="s">
        <v>218</v>
      </c>
    </row>
    <row r="27" spans="1:25" x14ac:dyDescent="0.25">
      <c r="A27" t="str">
        <f>"1001964126"</f>
        <v>1001964126</v>
      </c>
      <c r="B27" t="s">
        <v>224</v>
      </c>
      <c r="C27" t="s">
        <v>225</v>
      </c>
      <c r="D27" t="s">
        <v>219</v>
      </c>
      <c r="E27">
        <v>424007</v>
      </c>
      <c r="F27" t="s">
        <v>1</v>
      </c>
      <c r="G27" t="s">
        <v>2</v>
      </c>
      <c r="H27" t="s">
        <v>220</v>
      </c>
      <c r="I27" t="s">
        <v>221</v>
      </c>
      <c r="L27" t="s">
        <v>222</v>
      </c>
      <c r="M27" t="s">
        <v>223</v>
      </c>
      <c r="P27" t="s">
        <v>226</v>
      </c>
      <c r="Y27" t="s">
        <v>227</v>
      </c>
    </row>
    <row r="28" spans="1:25" x14ac:dyDescent="0.25">
      <c r="A28" t="str">
        <f>"1001983252"</f>
        <v>1001983252</v>
      </c>
      <c r="B28" t="s">
        <v>233</v>
      </c>
      <c r="C28" t="s">
        <v>234</v>
      </c>
      <c r="D28" t="s">
        <v>228</v>
      </c>
      <c r="E28">
        <v>424004</v>
      </c>
      <c r="F28" t="s">
        <v>1</v>
      </c>
      <c r="G28" t="s">
        <v>2</v>
      </c>
      <c r="H28" t="s">
        <v>229</v>
      </c>
      <c r="I28" t="s">
        <v>230</v>
      </c>
      <c r="L28" t="s">
        <v>231</v>
      </c>
      <c r="M28" t="s">
        <v>232</v>
      </c>
      <c r="P28" t="s">
        <v>235</v>
      </c>
      <c r="U28" t="s">
        <v>236</v>
      </c>
      <c r="Y28" t="s">
        <v>237</v>
      </c>
    </row>
    <row r="29" spans="1:25" x14ac:dyDescent="0.25">
      <c r="A29" t="str">
        <f>"1002005294"</f>
        <v>1002005294</v>
      </c>
      <c r="B29" t="s">
        <v>243</v>
      </c>
      <c r="C29" t="s">
        <v>244</v>
      </c>
      <c r="D29" t="s">
        <v>238</v>
      </c>
      <c r="E29">
        <v>424031</v>
      </c>
      <c r="F29" t="s">
        <v>1</v>
      </c>
      <c r="G29" t="s">
        <v>2</v>
      </c>
      <c r="H29" t="s">
        <v>239</v>
      </c>
      <c r="I29" t="s">
        <v>240</v>
      </c>
      <c r="L29" t="s">
        <v>241</v>
      </c>
      <c r="M29" t="s">
        <v>242</v>
      </c>
      <c r="P29" t="s">
        <v>245</v>
      </c>
      <c r="Y29" t="s">
        <v>246</v>
      </c>
    </row>
    <row r="30" spans="1:25" x14ac:dyDescent="0.25">
      <c r="A30" t="str">
        <f>"1002025050"</f>
        <v>1002025050</v>
      </c>
      <c r="B30" t="s">
        <v>176</v>
      </c>
      <c r="C30" t="s">
        <v>250</v>
      </c>
      <c r="D30" t="s">
        <v>247</v>
      </c>
      <c r="E30">
        <v>424003</v>
      </c>
      <c r="F30" t="s">
        <v>1</v>
      </c>
      <c r="G30" t="s">
        <v>2</v>
      </c>
      <c r="H30" t="s">
        <v>248</v>
      </c>
      <c r="I30" t="s">
        <v>249</v>
      </c>
      <c r="P30" t="s">
        <v>251</v>
      </c>
      <c r="Y30" t="s">
        <v>252</v>
      </c>
    </row>
    <row r="31" spans="1:25" x14ac:dyDescent="0.25">
      <c r="A31" t="str">
        <f>"1002293510"</f>
        <v>1002293510</v>
      </c>
      <c r="B31" t="s">
        <v>243</v>
      </c>
      <c r="C31" t="s">
        <v>259</v>
      </c>
      <c r="D31" t="s">
        <v>253</v>
      </c>
      <c r="F31" t="s">
        <v>1</v>
      </c>
      <c r="G31" t="s">
        <v>2</v>
      </c>
      <c r="H31" t="s">
        <v>254</v>
      </c>
      <c r="I31" t="s">
        <v>255</v>
      </c>
      <c r="K31" t="s">
        <v>256</v>
      </c>
      <c r="L31" t="s">
        <v>257</v>
      </c>
      <c r="M31" t="s">
        <v>258</v>
      </c>
      <c r="P31" t="s">
        <v>260</v>
      </c>
      <c r="Q31" t="s">
        <v>261</v>
      </c>
      <c r="S31" t="s">
        <v>262</v>
      </c>
      <c r="Y31" t="s">
        <v>263</v>
      </c>
    </row>
    <row r="32" spans="1:25" x14ac:dyDescent="0.25">
      <c r="A32" t="str">
        <f>"1002375344"</f>
        <v>1002375344</v>
      </c>
      <c r="B32" t="s">
        <v>67</v>
      </c>
      <c r="C32" t="s">
        <v>269</v>
      </c>
      <c r="D32" t="s">
        <v>264</v>
      </c>
      <c r="E32">
        <v>424000</v>
      </c>
      <c r="F32" t="s">
        <v>1</v>
      </c>
      <c r="G32" t="s">
        <v>2</v>
      </c>
      <c r="H32" t="s">
        <v>265</v>
      </c>
      <c r="I32" t="s">
        <v>266</v>
      </c>
      <c r="L32" t="s">
        <v>267</v>
      </c>
      <c r="M32" t="s">
        <v>268</v>
      </c>
      <c r="P32" t="s">
        <v>60</v>
      </c>
      <c r="Q32" t="s">
        <v>270</v>
      </c>
      <c r="R32" t="s">
        <v>271</v>
      </c>
      <c r="S32" t="s">
        <v>272</v>
      </c>
      <c r="T32" t="s">
        <v>273</v>
      </c>
      <c r="V32" t="s">
        <v>274</v>
      </c>
      <c r="Y32" t="s">
        <v>275</v>
      </c>
    </row>
    <row r="33" spans="1:25" x14ac:dyDescent="0.25">
      <c r="A33" t="str">
        <f>"1002426809"</f>
        <v>1002426809</v>
      </c>
      <c r="B33" t="s">
        <v>176</v>
      </c>
      <c r="C33" t="s">
        <v>279</v>
      </c>
      <c r="D33" t="s">
        <v>276</v>
      </c>
      <c r="E33">
        <v>424030</v>
      </c>
      <c r="F33" t="s">
        <v>1</v>
      </c>
      <c r="G33" t="s">
        <v>2</v>
      </c>
      <c r="H33" t="s">
        <v>277</v>
      </c>
      <c r="I33" t="s">
        <v>278</v>
      </c>
      <c r="P33" t="s">
        <v>280</v>
      </c>
      <c r="Y33" t="s">
        <v>281</v>
      </c>
    </row>
    <row r="34" spans="1:25" x14ac:dyDescent="0.25">
      <c r="A34" t="str">
        <f>"1002453416"</f>
        <v>1002453416</v>
      </c>
      <c r="B34" t="s">
        <v>284</v>
      </c>
      <c r="C34" t="s">
        <v>285</v>
      </c>
      <c r="D34" t="s">
        <v>282</v>
      </c>
      <c r="E34">
        <v>424007</v>
      </c>
      <c r="F34" t="s">
        <v>1</v>
      </c>
      <c r="G34" t="s">
        <v>2</v>
      </c>
      <c r="H34" t="s">
        <v>283</v>
      </c>
      <c r="P34" t="s">
        <v>27</v>
      </c>
      <c r="Y34" t="s">
        <v>286</v>
      </c>
    </row>
    <row r="35" spans="1:25" x14ac:dyDescent="0.25">
      <c r="A35" t="str">
        <f>"1002554173"</f>
        <v>1002554173</v>
      </c>
      <c r="B35" t="s">
        <v>290</v>
      </c>
      <c r="C35" t="s">
        <v>291</v>
      </c>
      <c r="D35" t="s">
        <v>287</v>
      </c>
      <c r="E35">
        <v>424020</v>
      </c>
      <c r="F35" t="s">
        <v>1</v>
      </c>
      <c r="G35" t="s">
        <v>2</v>
      </c>
      <c r="H35" t="s">
        <v>288</v>
      </c>
      <c r="I35" t="s">
        <v>289</v>
      </c>
      <c r="P35" t="s">
        <v>292</v>
      </c>
      <c r="Q35" t="s">
        <v>293</v>
      </c>
      <c r="Y35" t="s">
        <v>294</v>
      </c>
    </row>
    <row r="36" spans="1:25" x14ac:dyDescent="0.25">
      <c r="A36" t="str">
        <f>"1002563925"</f>
        <v>1002563925</v>
      </c>
      <c r="B36" t="s">
        <v>300</v>
      </c>
      <c r="C36" t="s">
        <v>301</v>
      </c>
      <c r="D36" t="s">
        <v>295</v>
      </c>
      <c r="E36">
        <v>424002</v>
      </c>
      <c r="F36" t="s">
        <v>1</v>
      </c>
      <c r="G36" t="s">
        <v>2</v>
      </c>
      <c r="H36" t="s">
        <v>296</v>
      </c>
      <c r="I36" t="s">
        <v>297</v>
      </c>
      <c r="L36" t="s">
        <v>298</v>
      </c>
      <c r="M36" t="s">
        <v>299</v>
      </c>
      <c r="P36" t="s">
        <v>302</v>
      </c>
      <c r="Q36" t="s">
        <v>303</v>
      </c>
      <c r="S36" t="s">
        <v>304</v>
      </c>
      <c r="T36" t="s">
        <v>305</v>
      </c>
      <c r="V36" t="s">
        <v>306</v>
      </c>
      <c r="Y36" t="s">
        <v>307</v>
      </c>
    </row>
    <row r="37" spans="1:25" x14ac:dyDescent="0.25">
      <c r="A37" t="str">
        <f>"1002661581"</f>
        <v>1002661581</v>
      </c>
      <c r="B37" t="s">
        <v>96</v>
      </c>
      <c r="C37" t="s">
        <v>311</v>
      </c>
      <c r="D37" t="s">
        <v>308</v>
      </c>
      <c r="E37">
        <v>424002</v>
      </c>
      <c r="F37" t="s">
        <v>1</v>
      </c>
      <c r="G37" t="s">
        <v>2</v>
      </c>
      <c r="H37" t="s">
        <v>309</v>
      </c>
      <c r="I37" t="s">
        <v>310</v>
      </c>
      <c r="P37" t="s">
        <v>312</v>
      </c>
      <c r="Y37" t="s">
        <v>313</v>
      </c>
    </row>
    <row r="38" spans="1:25" x14ac:dyDescent="0.25">
      <c r="A38" t="str">
        <f>"1002864328"</f>
        <v>1002864328</v>
      </c>
      <c r="B38" t="s">
        <v>319</v>
      </c>
      <c r="C38" t="s">
        <v>320</v>
      </c>
      <c r="D38" t="s">
        <v>314</v>
      </c>
      <c r="E38">
        <v>424037</v>
      </c>
      <c r="F38" t="s">
        <v>1</v>
      </c>
      <c r="G38" t="s">
        <v>2</v>
      </c>
      <c r="H38" t="s">
        <v>315</v>
      </c>
      <c r="I38" t="s">
        <v>316</v>
      </c>
      <c r="L38" t="s">
        <v>317</v>
      </c>
      <c r="M38" t="s">
        <v>318</v>
      </c>
      <c r="P38" t="s">
        <v>321</v>
      </c>
      <c r="Q38" t="s">
        <v>322</v>
      </c>
      <c r="Y38" t="s">
        <v>323</v>
      </c>
    </row>
    <row r="39" spans="1:25" x14ac:dyDescent="0.25">
      <c r="A39" t="str">
        <f>"1002954065"</f>
        <v>1002954065</v>
      </c>
      <c r="B39" t="s">
        <v>328</v>
      </c>
      <c r="C39" t="s">
        <v>329</v>
      </c>
      <c r="D39" t="s">
        <v>324</v>
      </c>
      <c r="E39">
        <v>424032</v>
      </c>
      <c r="F39" t="s">
        <v>1</v>
      </c>
      <c r="G39" t="s">
        <v>2</v>
      </c>
      <c r="H39" t="s">
        <v>325</v>
      </c>
      <c r="I39" t="s">
        <v>326</v>
      </c>
      <c r="M39" t="s">
        <v>327</v>
      </c>
      <c r="P39" t="s">
        <v>330</v>
      </c>
      <c r="Y39" t="s">
        <v>331</v>
      </c>
    </row>
    <row r="40" spans="1:25" x14ac:dyDescent="0.25">
      <c r="A40" t="str">
        <f>"1003036003"</f>
        <v>1003036003</v>
      </c>
      <c r="B40" t="s">
        <v>334</v>
      </c>
      <c r="C40" t="s">
        <v>334</v>
      </c>
      <c r="D40" t="s">
        <v>332</v>
      </c>
      <c r="E40">
        <v>424000</v>
      </c>
      <c r="F40" t="s">
        <v>1</v>
      </c>
      <c r="G40" t="s">
        <v>2</v>
      </c>
      <c r="H40" t="s">
        <v>333</v>
      </c>
      <c r="Y40" t="s">
        <v>335</v>
      </c>
    </row>
    <row r="41" spans="1:25" x14ac:dyDescent="0.25">
      <c r="A41" t="str">
        <f>"1003126484"</f>
        <v>1003126484</v>
      </c>
      <c r="B41" t="s">
        <v>18</v>
      </c>
      <c r="C41" t="s">
        <v>339</v>
      </c>
      <c r="D41" t="s">
        <v>336</v>
      </c>
      <c r="E41">
        <v>424008</v>
      </c>
      <c r="F41" t="s">
        <v>1</v>
      </c>
      <c r="G41" t="s">
        <v>2</v>
      </c>
      <c r="H41" t="s">
        <v>337</v>
      </c>
      <c r="I41" t="s">
        <v>338</v>
      </c>
      <c r="P41" t="s">
        <v>340</v>
      </c>
      <c r="Y41" t="s">
        <v>341</v>
      </c>
    </row>
    <row r="42" spans="1:25" x14ac:dyDescent="0.25">
      <c r="A42" t="str">
        <f>"1003204066"</f>
        <v>1003204066</v>
      </c>
      <c r="B42" t="s">
        <v>18</v>
      </c>
      <c r="C42" t="s">
        <v>143</v>
      </c>
      <c r="D42" t="s">
        <v>342</v>
      </c>
      <c r="F42" t="s">
        <v>1</v>
      </c>
      <c r="G42" t="s">
        <v>2</v>
      </c>
      <c r="H42" t="s">
        <v>343</v>
      </c>
      <c r="M42" t="s">
        <v>344</v>
      </c>
      <c r="P42" t="s">
        <v>280</v>
      </c>
      <c r="Y42" t="s">
        <v>345</v>
      </c>
    </row>
    <row r="43" spans="1:25" x14ac:dyDescent="0.25">
      <c r="A43" t="str">
        <f>"1003244793"</f>
        <v>1003244793</v>
      </c>
      <c r="B43" t="s">
        <v>348</v>
      </c>
      <c r="C43" t="s">
        <v>349</v>
      </c>
      <c r="D43" t="s">
        <v>346</v>
      </c>
      <c r="E43">
        <v>424031</v>
      </c>
      <c r="F43" t="s">
        <v>1</v>
      </c>
      <c r="G43" t="s">
        <v>2</v>
      </c>
      <c r="H43" t="s">
        <v>239</v>
      </c>
      <c r="J43" t="s">
        <v>347</v>
      </c>
      <c r="P43" t="s">
        <v>340</v>
      </c>
      <c r="Y43" t="s">
        <v>246</v>
      </c>
    </row>
    <row r="44" spans="1:25" x14ac:dyDescent="0.25">
      <c r="A44" t="str">
        <f>"1003331746"</f>
        <v>1003331746</v>
      </c>
      <c r="B44" t="s">
        <v>352</v>
      </c>
      <c r="C44" t="s">
        <v>353</v>
      </c>
      <c r="D44" t="s">
        <v>350</v>
      </c>
      <c r="E44">
        <v>424004</v>
      </c>
      <c r="F44" t="s">
        <v>1</v>
      </c>
      <c r="G44" t="s">
        <v>2</v>
      </c>
      <c r="H44" t="s">
        <v>351</v>
      </c>
      <c r="Y44" t="s">
        <v>354</v>
      </c>
    </row>
    <row r="45" spans="1:25" x14ac:dyDescent="0.25">
      <c r="A45" t="str">
        <f>"1003581545"</f>
        <v>1003581545</v>
      </c>
      <c r="B45" t="s">
        <v>18</v>
      </c>
      <c r="C45" t="s">
        <v>361</v>
      </c>
      <c r="D45" t="s">
        <v>355</v>
      </c>
      <c r="E45">
        <v>424007</v>
      </c>
      <c r="F45" t="s">
        <v>1</v>
      </c>
      <c r="G45" t="s">
        <v>2</v>
      </c>
      <c r="H45" t="s">
        <v>356</v>
      </c>
      <c r="I45" t="s">
        <v>357</v>
      </c>
      <c r="K45" t="s">
        <v>358</v>
      </c>
      <c r="L45" t="s">
        <v>359</v>
      </c>
      <c r="M45" t="s">
        <v>360</v>
      </c>
      <c r="P45" t="s">
        <v>362</v>
      </c>
      <c r="Q45" t="s">
        <v>363</v>
      </c>
      <c r="R45" t="s">
        <v>364</v>
      </c>
      <c r="T45" t="s">
        <v>365</v>
      </c>
      <c r="Y45" t="s">
        <v>366</v>
      </c>
    </row>
    <row r="46" spans="1:25" x14ac:dyDescent="0.25">
      <c r="A46" t="str">
        <f>"1003591452"</f>
        <v>1003591452</v>
      </c>
      <c r="B46" t="s">
        <v>371</v>
      </c>
      <c r="C46" t="s">
        <v>372</v>
      </c>
      <c r="D46" t="s">
        <v>367</v>
      </c>
      <c r="E46">
        <v>424038</v>
      </c>
      <c r="F46" t="s">
        <v>1</v>
      </c>
      <c r="G46" t="s">
        <v>2</v>
      </c>
      <c r="H46" t="s">
        <v>368</v>
      </c>
      <c r="J46" t="s">
        <v>369</v>
      </c>
      <c r="M46" t="s">
        <v>370</v>
      </c>
      <c r="P46" t="s">
        <v>152</v>
      </c>
      <c r="Y46" t="s">
        <v>373</v>
      </c>
    </row>
    <row r="47" spans="1:25" x14ac:dyDescent="0.25">
      <c r="A47" t="str">
        <f>"1003672108"</f>
        <v>1003672108</v>
      </c>
      <c r="B47" t="s">
        <v>379</v>
      </c>
      <c r="C47" t="s">
        <v>380</v>
      </c>
      <c r="D47" t="s">
        <v>374</v>
      </c>
      <c r="E47">
        <v>424036</v>
      </c>
      <c r="F47" t="s">
        <v>1</v>
      </c>
      <c r="G47" t="s">
        <v>2</v>
      </c>
      <c r="H47" t="s">
        <v>375</v>
      </c>
      <c r="I47" t="s">
        <v>376</v>
      </c>
      <c r="L47" t="s">
        <v>377</v>
      </c>
      <c r="M47" t="s">
        <v>378</v>
      </c>
      <c r="P47" t="s">
        <v>381</v>
      </c>
      <c r="Q47" t="s">
        <v>382</v>
      </c>
      <c r="T47" t="s">
        <v>383</v>
      </c>
      <c r="Y47" t="s">
        <v>384</v>
      </c>
    </row>
    <row r="48" spans="1:25" x14ac:dyDescent="0.25">
      <c r="A48" t="str">
        <f>"1003757215"</f>
        <v>1003757215</v>
      </c>
      <c r="B48" t="s">
        <v>388</v>
      </c>
      <c r="C48" t="s">
        <v>389</v>
      </c>
      <c r="D48" t="s">
        <v>385</v>
      </c>
      <c r="E48">
        <v>424038</v>
      </c>
      <c r="F48" t="s">
        <v>1</v>
      </c>
      <c r="G48" t="s">
        <v>2</v>
      </c>
      <c r="H48" t="s">
        <v>386</v>
      </c>
      <c r="I48" t="s">
        <v>387</v>
      </c>
      <c r="P48" t="s">
        <v>390</v>
      </c>
      <c r="Y48" t="s">
        <v>391</v>
      </c>
    </row>
    <row r="49" spans="1:25" x14ac:dyDescent="0.25">
      <c r="A49" t="str">
        <f>"1003788430"</f>
        <v>1003788430</v>
      </c>
      <c r="B49" t="s">
        <v>397</v>
      </c>
      <c r="C49" t="s">
        <v>398</v>
      </c>
      <c r="D49" t="s">
        <v>392</v>
      </c>
      <c r="E49">
        <v>424006</v>
      </c>
      <c r="F49" t="s">
        <v>1</v>
      </c>
      <c r="G49" t="s">
        <v>2</v>
      </c>
      <c r="H49" t="s">
        <v>393</v>
      </c>
      <c r="I49" t="s">
        <v>394</v>
      </c>
      <c r="L49" t="s">
        <v>395</v>
      </c>
      <c r="M49" t="s">
        <v>396</v>
      </c>
      <c r="P49" t="s">
        <v>399</v>
      </c>
      <c r="Q49" t="s">
        <v>400</v>
      </c>
      <c r="S49" t="s">
        <v>401</v>
      </c>
      <c r="Y49" t="s">
        <v>402</v>
      </c>
    </row>
    <row r="50" spans="1:25" x14ac:dyDescent="0.25">
      <c r="A50" t="str">
        <f>"1003822339"</f>
        <v>1003822339</v>
      </c>
      <c r="B50" t="s">
        <v>408</v>
      </c>
      <c r="C50" t="s">
        <v>409</v>
      </c>
      <c r="D50" t="s">
        <v>403</v>
      </c>
      <c r="E50">
        <v>424000</v>
      </c>
      <c r="F50" t="s">
        <v>1</v>
      </c>
      <c r="G50" t="s">
        <v>2</v>
      </c>
      <c r="H50" t="s">
        <v>404</v>
      </c>
      <c r="I50" t="s">
        <v>405</v>
      </c>
      <c r="L50" t="s">
        <v>406</v>
      </c>
      <c r="M50" t="s">
        <v>407</v>
      </c>
      <c r="P50" t="s">
        <v>410</v>
      </c>
      <c r="Y50" t="s">
        <v>411</v>
      </c>
    </row>
    <row r="51" spans="1:25" x14ac:dyDescent="0.25">
      <c r="A51" t="str">
        <f>"1003940852"</f>
        <v>1003940852</v>
      </c>
      <c r="B51" t="s">
        <v>417</v>
      </c>
      <c r="C51" t="s">
        <v>418</v>
      </c>
      <c r="D51" t="s">
        <v>412</v>
      </c>
      <c r="E51">
        <v>424031</v>
      </c>
      <c r="F51" t="s">
        <v>1</v>
      </c>
      <c r="G51" t="s">
        <v>2</v>
      </c>
      <c r="H51" t="s">
        <v>413</v>
      </c>
      <c r="I51" t="s">
        <v>414</v>
      </c>
      <c r="L51" t="s">
        <v>415</v>
      </c>
      <c r="M51" t="s">
        <v>416</v>
      </c>
      <c r="P51" t="s">
        <v>419</v>
      </c>
      <c r="Y51" t="s">
        <v>420</v>
      </c>
    </row>
    <row r="52" spans="1:25" x14ac:dyDescent="0.25">
      <c r="A52" t="str">
        <f>"1003992885"</f>
        <v>1003992885</v>
      </c>
      <c r="B52" t="s">
        <v>123</v>
      </c>
      <c r="C52" t="s">
        <v>424</v>
      </c>
      <c r="D52" t="s">
        <v>421</v>
      </c>
      <c r="E52">
        <v>424028</v>
      </c>
      <c r="F52" t="s">
        <v>1</v>
      </c>
      <c r="G52" t="s">
        <v>2</v>
      </c>
      <c r="H52" t="s">
        <v>422</v>
      </c>
      <c r="I52" t="s">
        <v>423</v>
      </c>
      <c r="P52" t="s">
        <v>425</v>
      </c>
      <c r="Y52" t="s">
        <v>426</v>
      </c>
    </row>
    <row r="53" spans="1:25" x14ac:dyDescent="0.25">
      <c r="A53" t="str">
        <f>"1004180102"</f>
        <v>1004180102</v>
      </c>
      <c r="B53" t="s">
        <v>430</v>
      </c>
      <c r="C53" t="s">
        <v>431</v>
      </c>
      <c r="D53" t="s">
        <v>427</v>
      </c>
      <c r="E53">
        <v>424006</v>
      </c>
      <c r="F53" t="s">
        <v>1</v>
      </c>
      <c r="G53" t="s">
        <v>2</v>
      </c>
      <c r="H53" t="s">
        <v>428</v>
      </c>
      <c r="I53" t="s">
        <v>429</v>
      </c>
      <c r="P53" t="s">
        <v>410</v>
      </c>
      <c r="Y53" t="s">
        <v>432</v>
      </c>
    </row>
    <row r="54" spans="1:25" x14ac:dyDescent="0.25">
      <c r="A54" t="str">
        <f>"1004180686"</f>
        <v>1004180686</v>
      </c>
      <c r="B54" t="s">
        <v>18</v>
      </c>
      <c r="C54" t="s">
        <v>437</v>
      </c>
      <c r="D54" t="s">
        <v>433</v>
      </c>
      <c r="E54">
        <v>424007</v>
      </c>
      <c r="F54" t="s">
        <v>1</v>
      </c>
      <c r="G54" t="s">
        <v>2</v>
      </c>
      <c r="H54" t="s">
        <v>434</v>
      </c>
      <c r="I54" t="s">
        <v>435</v>
      </c>
      <c r="L54" t="s">
        <v>436</v>
      </c>
      <c r="P54" t="s">
        <v>390</v>
      </c>
      <c r="Y54" t="s">
        <v>438</v>
      </c>
    </row>
    <row r="55" spans="1:25" x14ac:dyDescent="0.25">
      <c r="A55" t="str">
        <f>"1004329077"</f>
        <v>1004329077</v>
      </c>
      <c r="B55" t="s">
        <v>430</v>
      </c>
      <c r="C55" t="s">
        <v>442</v>
      </c>
      <c r="D55" t="s">
        <v>439</v>
      </c>
      <c r="E55">
        <v>424030</v>
      </c>
      <c r="F55" t="s">
        <v>1</v>
      </c>
      <c r="G55" t="s">
        <v>2</v>
      </c>
      <c r="H55" t="s">
        <v>440</v>
      </c>
      <c r="J55" t="s">
        <v>441</v>
      </c>
      <c r="P55" t="s">
        <v>27</v>
      </c>
      <c r="Y55" t="s">
        <v>443</v>
      </c>
    </row>
    <row r="56" spans="1:25" x14ac:dyDescent="0.25">
      <c r="A56" t="str">
        <f>"1004359747"</f>
        <v>1004359747</v>
      </c>
      <c r="B56" t="s">
        <v>447</v>
      </c>
      <c r="C56" t="s">
        <v>448</v>
      </c>
      <c r="D56" t="s">
        <v>444</v>
      </c>
      <c r="E56">
        <v>424006</v>
      </c>
      <c r="F56" t="s">
        <v>1</v>
      </c>
      <c r="G56" t="s">
        <v>2</v>
      </c>
      <c r="H56" t="s">
        <v>445</v>
      </c>
      <c r="I56" t="s">
        <v>446</v>
      </c>
      <c r="P56" t="s">
        <v>34</v>
      </c>
      <c r="Y56" t="s">
        <v>449</v>
      </c>
    </row>
    <row r="57" spans="1:25" x14ac:dyDescent="0.25">
      <c r="A57" t="str">
        <f>"1004589657"</f>
        <v>1004589657</v>
      </c>
      <c r="B57" t="s">
        <v>456</v>
      </c>
      <c r="C57" t="s">
        <v>457</v>
      </c>
      <c r="D57" t="s">
        <v>450</v>
      </c>
      <c r="E57">
        <v>424006</v>
      </c>
      <c r="F57" t="s">
        <v>1</v>
      </c>
      <c r="G57" t="s">
        <v>2</v>
      </c>
      <c r="H57" t="s">
        <v>451</v>
      </c>
      <c r="I57" t="s">
        <v>452</v>
      </c>
      <c r="K57" t="s">
        <v>453</v>
      </c>
      <c r="L57" t="s">
        <v>454</v>
      </c>
      <c r="M57" t="s">
        <v>455</v>
      </c>
      <c r="P57" t="s">
        <v>458</v>
      </c>
      <c r="Y57" t="s">
        <v>459</v>
      </c>
    </row>
    <row r="58" spans="1:25" x14ac:dyDescent="0.25">
      <c r="A58" t="str">
        <f>"1004635682"</f>
        <v>1004635682</v>
      </c>
      <c r="B58" t="s">
        <v>462</v>
      </c>
      <c r="C58" t="s">
        <v>463</v>
      </c>
      <c r="D58" t="s">
        <v>460</v>
      </c>
      <c r="E58">
        <v>424006</v>
      </c>
      <c r="F58" t="s">
        <v>1</v>
      </c>
      <c r="G58" t="s">
        <v>2</v>
      </c>
      <c r="H58" t="s">
        <v>155</v>
      </c>
      <c r="I58" t="s">
        <v>461</v>
      </c>
      <c r="Y58" t="s">
        <v>162</v>
      </c>
    </row>
    <row r="59" spans="1:25" x14ac:dyDescent="0.25">
      <c r="A59" t="str">
        <f>"1004855149"</f>
        <v>1004855149</v>
      </c>
      <c r="B59" t="s">
        <v>469</v>
      </c>
      <c r="C59" t="s">
        <v>470</v>
      </c>
      <c r="D59" t="s">
        <v>464</v>
      </c>
      <c r="E59">
        <v>424038</v>
      </c>
      <c r="F59" t="s">
        <v>1</v>
      </c>
      <c r="G59" t="s">
        <v>2</v>
      </c>
      <c r="H59" t="s">
        <v>465</v>
      </c>
      <c r="I59" t="s">
        <v>466</v>
      </c>
      <c r="L59" t="s">
        <v>467</v>
      </c>
      <c r="M59" t="s">
        <v>468</v>
      </c>
      <c r="P59" t="s">
        <v>471</v>
      </c>
      <c r="Q59" t="s">
        <v>472</v>
      </c>
      <c r="S59" t="s">
        <v>473</v>
      </c>
      <c r="T59" t="s">
        <v>474</v>
      </c>
      <c r="V59" t="s">
        <v>475</v>
      </c>
      <c r="Y59" t="s">
        <v>476</v>
      </c>
    </row>
    <row r="60" spans="1:25" x14ac:dyDescent="0.25">
      <c r="A60" t="str">
        <f>"1004911003"</f>
        <v>1004911003</v>
      </c>
      <c r="B60" t="s">
        <v>482</v>
      </c>
      <c r="C60" t="s">
        <v>483</v>
      </c>
      <c r="D60" t="s">
        <v>477</v>
      </c>
      <c r="E60">
        <v>424006</v>
      </c>
      <c r="F60" t="s">
        <v>1</v>
      </c>
      <c r="G60" t="s">
        <v>2</v>
      </c>
      <c r="H60" t="s">
        <v>478</v>
      </c>
      <c r="I60" t="s">
        <v>479</v>
      </c>
      <c r="L60" t="s">
        <v>480</v>
      </c>
      <c r="M60" t="s">
        <v>481</v>
      </c>
      <c r="P60" t="s">
        <v>9</v>
      </c>
      <c r="Y60" t="s">
        <v>484</v>
      </c>
    </row>
    <row r="61" spans="1:25" x14ac:dyDescent="0.25">
      <c r="A61" t="str">
        <f>"1004926328"</f>
        <v>1004926328</v>
      </c>
      <c r="B61" t="s">
        <v>123</v>
      </c>
      <c r="C61" t="s">
        <v>424</v>
      </c>
      <c r="D61" t="s">
        <v>485</v>
      </c>
      <c r="E61">
        <v>424038</v>
      </c>
      <c r="F61" t="s">
        <v>1</v>
      </c>
      <c r="G61" t="s">
        <v>2</v>
      </c>
      <c r="H61" t="s">
        <v>486</v>
      </c>
      <c r="I61" t="s">
        <v>487</v>
      </c>
      <c r="L61" t="s">
        <v>488</v>
      </c>
      <c r="M61" t="s">
        <v>489</v>
      </c>
      <c r="P61" t="s">
        <v>425</v>
      </c>
      <c r="Y61" t="s">
        <v>490</v>
      </c>
    </row>
    <row r="62" spans="1:25" x14ac:dyDescent="0.25">
      <c r="A62" t="str">
        <f>"1005062914"</f>
        <v>1005062914</v>
      </c>
      <c r="B62" t="s">
        <v>67</v>
      </c>
      <c r="C62" t="s">
        <v>496</v>
      </c>
      <c r="D62" t="s">
        <v>491</v>
      </c>
      <c r="E62">
        <v>424006</v>
      </c>
      <c r="F62" t="s">
        <v>1</v>
      </c>
      <c r="G62" t="s">
        <v>2</v>
      </c>
      <c r="H62" t="s">
        <v>492</v>
      </c>
      <c r="I62" t="s">
        <v>493</v>
      </c>
      <c r="L62" t="s">
        <v>494</v>
      </c>
      <c r="M62" t="s">
        <v>495</v>
      </c>
      <c r="P62" t="s">
        <v>497</v>
      </c>
      <c r="Y62" t="s">
        <v>498</v>
      </c>
    </row>
    <row r="63" spans="1:25" x14ac:dyDescent="0.25">
      <c r="A63" t="str">
        <f>"1005347548"</f>
        <v>1005347548</v>
      </c>
      <c r="B63" t="s">
        <v>482</v>
      </c>
      <c r="C63" t="s">
        <v>483</v>
      </c>
      <c r="D63" t="s">
        <v>2</v>
      </c>
      <c r="E63">
        <v>424007</v>
      </c>
      <c r="F63" t="s">
        <v>1</v>
      </c>
      <c r="G63" t="s">
        <v>2</v>
      </c>
      <c r="H63" t="s">
        <v>499</v>
      </c>
      <c r="I63" t="s">
        <v>500</v>
      </c>
      <c r="L63" t="s">
        <v>501</v>
      </c>
      <c r="M63" t="s">
        <v>502</v>
      </c>
      <c r="P63" t="s">
        <v>9</v>
      </c>
      <c r="Y63" t="s">
        <v>503</v>
      </c>
    </row>
    <row r="64" spans="1:25" x14ac:dyDescent="0.25">
      <c r="A64" t="str">
        <f>"1005378727"</f>
        <v>1005378727</v>
      </c>
      <c r="B64" t="s">
        <v>96</v>
      </c>
      <c r="C64" t="s">
        <v>507</v>
      </c>
      <c r="D64" t="s">
        <v>504</v>
      </c>
      <c r="E64">
        <v>424031</v>
      </c>
      <c r="F64" t="s">
        <v>1</v>
      </c>
      <c r="G64" t="s">
        <v>2</v>
      </c>
      <c r="H64" t="s">
        <v>505</v>
      </c>
      <c r="I64" t="s">
        <v>506</v>
      </c>
      <c r="P64" t="s">
        <v>508</v>
      </c>
      <c r="Y64" t="s">
        <v>509</v>
      </c>
    </row>
    <row r="65" spans="1:25" x14ac:dyDescent="0.25">
      <c r="A65" t="str">
        <f>"1005449983"</f>
        <v>1005449983</v>
      </c>
      <c r="B65" t="s">
        <v>160</v>
      </c>
      <c r="C65" t="s">
        <v>515</v>
      </c>
      <c r="D65" t="s">
        <v>510</v>
      </c>
      <c r="E65">
        <v>424003</v>
      </c>
      <c r="F65" t="s">
        <v>1</v>
      </c>
      <c r="G65" t="s">
        <v>2</v>
      </c>
      <c r="H65" t="s">
        <v>511</v>
      </c>
      <c r="I65" t="s">
        <v>512</v>
      </c>
      <c r="L65" t="s">
        <v>513</v>
      </c>
      <c r="M65" t="s">
        <v>514</v>
      </c>
      <c r="P65" t="s">
        <v>20</v>
      </c>
      <c r="Y65" t="s">
        <v>516</v>
      </c>
    </row>
    <row r="66" spans="1:25" x14ac:dyDescent="0.25">
      <c r="A66" t="str">
        <f>"1005581960"</f>
        <v>1005581960</v>
      </c>
      <c r="B66" t="s">
        <v>519</v>
      </c>
      <c r="C66" t="s">
        <v>520</v>
      </c>
      <c r="D66" t="s">
        <v>517</v>
      </c>
      <c r="E66">
        <v>424028</v>
      </c>
      <c r="F66" t="s">
        <v>1</v>
      </c>
      <c r="G66" t="s">
        <v>2</v>
      </c>
      <c r="H66" t="s">
        <v>518</v>
      </c>
      <c r="Y66" t="s">
        <v>521</v>
      </c>
    </row>
    <row r="67" spans="1:25" x14ac:dyDescent="0.25">
      <c r="A67" t="str">
        <f>"1005640762"</f>
        <v>1005640762</v>
      </c>
      <c r="B67" t="s">
        <v>462</v>
      </c>
      <c r="C67" t="s">
        <v>525</v>
      </c>
      <c r="D67" t="s">
        <v>522</v>
      </c>
      <c r="E67">
        <v>424000</v>
      </c>
      <c r="F67" t="s">
        <v>1</v>
      </c>
      <c r="G67" t="s">
        <v>2</v>
      </c>
      <c r="H67" t="s">
        <v>523</v>
      </c>
      <c r="L67" t="s">
        <v>524</v>
      </c>
      <c r="Y67" t="s">
        <v>526</v>
      </c>
    </row>
    <row r="68" spans="1:25" x14ac:dyDescent="0.25">
      <c r="A68" t="str">
        <f>"1005712716"</f>
        <v>1005712716</v>
      </c>
      <c r="B68" t="s">
        <v>530</v>
      </c>
      <c r="C68" t="s">
        <v>531</v>
      </c>
      <c r="D68" t="s">
        <v>527</v>
      </c>
      <c r="E68">
        <v>424008</v>
      </c>
      <c r="F68" t="s">
        <v>1</v>
      </c>
      <c r="G68" t="s">
        <v>2</v>
      </c>
      <c r="H68" t="s">
        <v>528</v>
      </c>
      <c r="I68" t="s">
        <v>529</v>
      </c>
      <c r="P68" t="s">
        <v>20</v>
      </c>
      <c r="Y68" t="s">
        <v>532</v>
      </c>
    </row>
    <row r="69" spans="1:25" x14ac:dyDescent="0.25">
      <c r="A69" t="str">
        <f>"1005727225"</f>
        <v>1005727225</v>
      </c>
      <c r="B69" t="s">
        <v>538</v>
      </c>
      <c r="C69" t="s">
        <v>539</v>
      </c>
      <c r="D69" t="s">
        <v>533</v>
      </c>
      <c r="E69">
        <v>424000</v>
      </c>
      <c r="F69" t="s">
        <v>1</v>
      </c>
      <c r="G69" t="s">
        <v>2</v>
      </c>
      <c r="H69" t="s">
        <v>534</v>
      </c>
      <c r="I69" t="s">
        <v>535</v>
      </c>
      <c r="L69" t="s">
        <v>536</v>
      </c>
      <c r="M69" t="s">
        <v>537</v>
      </c>
      <c r="P69" t="s">
        <v>540</v>
      </c>
      <c r="Q69" t="s">
        <v>541</v>
      </c>
      <c r="T69" t="s">
        <v>542</v>
      </c>
      <c r="V69" t="s">
        <v>543</v>
      </c>
      <c r="Y69" t="s">
        <v>544</v>
      </c>
    </row>
    <row r="70" spans="1:25" x14ac:dyDescent="0.25">
      <c r="A70" t="str">
        <f>"1005730393"</f>
        <v>1005730393</v>
      </c>
      <c r="B70" t="s">
        <v>284</v>
      </c>
      <c r="C70" t="s">
        <v>548</v>
      </c>
      <c r="D70" t="s">
        <v>545</v>
      </c>
      <c r="E70">
        <v>424038</v>
      </c>
      <c r="F70" t="s">
        <v>1</v>
      </c>
      <c r="G70" t="s">
        <v>2</v>
      </c>
      <c r="H70" t="s">
        <v>546</v>
      </c>
      <c r="I70" t="s">
        <v>547</v>
      </c>
      <c r="Y70" t="s">
        <v>549</v>
      </c>
    </row>
    <row r="71" spans="1:25" x14ac:dyDescent="0.25">
      <c r="A71" t="str">
        <f>"1005837549"</f>
        <v>1005837549</v>
      </c>
      <c r="B71" t="s">
        <v>553</v>
      </c>
      <c r="C71" t="s">
        <v>554</v>
      </c>
      <c r="D71" t="s">
        <v>550</v>
      </c>
      <c r="E71">
        <v>424000</v>
      </c>
      <c r="F71" t="s">
        <v>1</v>
      </c>
      <c r="G71" t="s">
        <v>2</v>
      </c>
      <c r="H71" t="s">
        <v>551</v>
      </c>
      <c r="J71" t="s">
        <v>552</v>
      </c>
      <c r="Y71" t="s">
        <v>555</v>
      </c>
    </row>
    <row r="72" spans="1:25" x14ac:dyDescent="0.25">
      <c r="A72" t="str">
        <f>"1005843684"</f>
        <v>1005843684</v>
      </c>
      <c r="B72" t="s">
        <v>558</v>
      </c>
      <c r="C72" t="s">
        <v>559</v>
      </c>
      <c r="D72" t="s">
        <v>556</v>
      </c>
      <c r="E72">
        <v>424039</v>
      </c>
      <c r="F72" t="s">
        <v>1</v>
      </c>
      <c r="G72" t="s">
        <v>2</v>
      </c>
      <c r="H72" t="s">
        <v>557</v>
      </c>
      <c r="Y72" t="s">
        <v>560</v>
      </c>
    </row>
    <row r="73" spans="1:25" x14ac:dyDescent="0.25">
      <c r="A73" t="str">
        <f>"1005921990"</f>
        <v>1005921990</v>
      </c>
      <c r="B73" t="s">
        <v>176</v>
      </c>
      <c r="C73" t="s">
        <v>566</v>
      </c>
      <c r="D73" t="s">
        <v>561</v>
      </c>
      <c r="E73">
        <v>424003</v>
      </c>
      <c r="F73" t="s">
        <v>1</v>
      </c>
      <c r="G73" t="s">
        <v>2</v>
      </c>
      <c r="H73" t="s">
        <v>562</v>
      </c>
      <c r="I73" t="s">
        <v>563</v>
      </c>
      <c r="L73" t="s">
        <v>564</v>
      </c>
      <c r="M73" t="s">
        <v>565</v>
      </c>
      <c r="P73" t="s">
        <v>330</v>
      </c>
      <c r="Q73" t="s">
        <v>567</v>
      </c>
      <c r="Y73" t="s">
        <v>568</v>
      </c>
    </row>
    <row r="74" spans="1:25" x14ac:dyDescent="0.25">
      <c r="A74" t="str">
        <f>"1005984140"</f>
        <v>1005984140</v>
      </c>
      <c r="B74" t="s">
        <v>574</v>
      </c>
      <c r="C74" t="s">
        <v>575</v>
      </c>
      <c r="D74" t="s">
        <v>569</v>
      </c>
      <c r="E74">
        <v>424002</v>
      </c>
      <c r="F74" t="s">
        <v>1</v>
      </c>
      <c r="G74" t="s">
        <v>2</v>
      </c>
      <c r="H74" t="s">
        <v>570</v>
      </c>
      <c r="I74" t="s">
        <v>571</v>
      </c>
      <c r="L74" t="s">
        <v>572</v>
      </c>
      <c r="M74" t="s">
        <v>573</v>
      </c>
      <c r="P74" t="s">
        <v>410</v>
      </c>
      <c r="Y74" t="s">
        <v>576</v>
      </c>
    </row>
    <row r="75" spans="1:25" x14ac:dyDescent="0.25">
      <c r="A75" t="str">
        <f>"1006023464"</f>
        <v>1006023464</v>
      </c>
      <c r="B75" t="s">
        <v>519</v>
      </c>
      <c r="C75" t="s">
        <v>583</v>
      </c>
      <c r="D75" t="s">
        <v>577</v>
      </c>
      <c r="E75">
        <v>424007</v>
      </c>
      <c r="F75" t="s">
        <v>1</v>
      </c>
      <c r="G75" t="s">
        <v>2</v>
      </c>
      <c r="H75" t="s">
        <v>578</v>
      </c>
      <c r="I75" t="s">
        <v>579</v>
      </c>
      <c r="K75" t="s">
        <v>580</v>
      </c>
      <c r="L75" t="s">
        <v>581</v>
      </c>
      <c r="M75" t="s">
        <v>582</v>
      </c>
      <c r="P75" t="s">
        <v>584</v>
      </c>
      <c r="Y75" t="s">
        <v>585</v>
      </c>
    </row>
    <row r="76" spans="1:25" x14ac:dyDescent="0.25">
      <c r="A76" t="str">
        <f>"1006038120"</f>
        <v>1006038120</v>
      </c>
      <c r="B76" t="s">
        <v>176</v>
      </c>
      <c r="C76" t="s">
        <v>250</v>
      </c>
      <c r="D76" t="s">
        <v>586</v>
      </c>
      <c r="E76">
        <v>424000</v>
      </c>
      <c r="F76" t="s">
        <v>1</v>
      </c>
      <c r="G76" t="s">
        <v>2</v>
      </c>
      <c r="H76" t="s">
        <v>523</v>
      </c>
      <c r="I76" t="s">
        <v>587</v>
      </c>
      <c r="P76" t="s">
        <v>340</v>
      </c>
      <c r="Y76" t="s">
        <v>526</v>
      </c>
    </row>
    <row r="77" spans="1:25" x14ac:dyDescent="0.25">
      <c r="A77" t="str">
        <f>"1006063620"</f>
        <v>1006063620</v>
      </c>
      <c r="B77" t="s">
        <v>591</v>
      </c>
      <c r="C77" t="s">
        <v>592</v>
      </c>
      <c r="D77" t="s">
        <v>588</v>
      </c>
      <c r="E77">
        <v>424028</v>
      </c>
      <c r="F77" t="s">
        <v>1</v>
      </c>
      <c r="G77" t="s">
        <v>2</v>
      </c>
      <c r="H77" t="s">
        <v>589</v>
      </c>
      <c r="I77" t="s">
        <v>590</v>
      </c>
      <c r="Y77" t="s">
        <v>593</v>
      </c>
    </row>
    <row r="78" spans="1:25" x14ac:dyDescent="0.25">
      <c r="A78" t="str">
        <f>"1006066210"</f>
        <v>1006066210</v>
      </c>
      <c r="B78" t="s">
        <v>352</v>
      </c>
      <c r="C78" t="s">
        <v>599</v>
      </c>
      <c r="D78" t="s">
        <v>594</v>
      </c>
      <c r="E78">
        <v>424033</v>
      </c>
      <c r="F78" t="s">
        <v>1</v>
      </c>
      <c r="G78" t="s">
        <v>2</v>
      </c>
      <c r="H78" t="s">
        <v>595</v>
      </c>
      <c r="I78" t="s">
        <v>596</v>
      </c>
      <c r="L78" t="s">
        <v>597</v>
      </c>
      <c r="M78" t="s">
        <v>598</v>
      </c>
      <c r="P78" t="s">
        <v>9</v>
      </c>
      <c r="Y78" t="s">
        <v>600</v>
      </c>
    </row>
    <row r="79" spans="1:25" x14ac:dyDescent="0.25">
      <c r="A79" t="str">
        <f>"1006165191"</f>
        <v>1006165191</v>
      </c>
      <c r="B79" t="s">
        <v>18</v>
      </c>
      <c r="C79" t="s">
        <v>604</v>
      </c>
      <c r="D79" t="s">
        <v>601</v>
      </c>
      <c r="E79">
        <v>424006</v>
      </c>
      <c r="F79" t="s">
        <v>1</v>
      </c>
      <c r="G79" t="s">
        <v>2</v>
      </c>
      <c r="H79" t="s">
        <v>602</v>
      </c>
      <c r="I79" t="s">
        <v>603</v>
      </c>
      <c r="P79" t="s">
        <v>605</v>
      </c>
      <c r="Y79" t="s">
        <v>606</v>
      </c>
    </row>
    <row r="80" spans="1:25" x14ac:dyDescent="0.25">
      <c r="A80" t="str">
        <f>"1006502212"</f>
        <v>1006502212</v>
      </c>
      <c r="B80" t="s">
        <v>430</v>
      </c>
      <c r="C80" t="s">
        <v>612</v>
      </c>
      <c r="D80" t="s">
        <v>607</v>
      </c>
      <c r="E80">
        <v>424000</v>
      </c>
      <c r="F80" t="s">
        <v>1</v>
      </c>
      <c r="G80" t="s">
        <v>2</v>
      </c>
      <c r="H80" t="s">
        <v>608</v>
      </c>
      <c r="I80" t="s">
        <v>609</v>
      </c>
      <c r="L80" t="s">
        <v>610</v>
      </c>
      <c r="M80" t="s">
        <v>611</v>
      </c>
      <c r="P80" t="s">
        <v>216</v>
      </c>
      <c r="Y80" t="s">
        <v>613</v>
      </c>
    </row>
    <row r="81" spans="1:25" x14ac:dyDescent="0.25">
      <c r="A81" t="str">
        <f>"1006597297"</f>
        <v>1006597297</v>
      </c>
      <c r="B81" t="s">
        <v>117</v>
      </c>
      <c r="C81" t="s">
        <v>118</v>
      </c>
      <c r="D81" t="s">
        <v>614</v>
      </c>
      <c r="E81">
        <v>424037</v>
      </c>
      <c r="F81" t="s">
        <v>1</v>
      </c>
      <c r="G81" t="s">
        <v>2</v>
      </c>
      <c r="H81" t="s">
        <v>615</v>
      </c>
      <c r="I81" t="s">
        <v>616</v>
      </c>
      <c r="P81" t="s">
        <v>617</v>
      </c>
      <c r="Y81" t="s">
        <v>618</v>
      </c>
    </row>
    <row r="82" spans="1:25" x14ac:dyDescent="0.25">
      <c r="A82" t="str">
        <f>"1006656137"</f>
        <v>1006656137</v>
      </c>
      <c r="B82" t="s">
        <v>624</v>
      </c>
      <c r="C82" t="s">
        <v>625</v>
      </c>
      <c r="D82" t="s">
        <v>619</v>
      </c>
      <c r="E82">
        <v>424016</v>
      </c>
      <c r="F82" t="s">
        <v>1</v>
      </c>
      <c r="G82" t="s">
        <v>2</v>
      </c>
      <c r="H82" t="s">
        <v>620</v>
      </c>
      <c r="I82" t="s">
        <v>621</v>
      </c>
      <c r="L82" t="s">
        <v>622</v>
      </c>
      <c r="M82" t="s">
        <v>623</v>
      </c>
      <c r="P82" t="s">
        <v>626</v>
      </c>
      <c r="Y82" t="s">
        <v>627</v>
      </c>
    </row>
    <row r="83" spans="1:25" x14ac:dyDescent="0.25">
      <c r="A83" t="str">
        <f>"1006736294"</f>
        <v>1006736294</v>
      </c>
      <c r="B83" t="s">
        <v>96</v>
      </c>
      <c r="C83" t="s">
        <v>311</v>
      </c>
      <c r="D83" t="s">
        <v>628</v>
      </c>
      <c r="E83">
        <v>424918</v>
      </c>
      <c r="F83" t="s">
        <v>1</v>
      </c>
      <c r="G83" t="s">
        <v>2</v>
      </c>
      <c r="H83" t="s">
        <v>629</v>
      </c>
      <c r="P83" t="s">
        <v>630</v>
      </c>
      <c r="Y83" t="s">
        <v>631</v>
      </c>
    </row>
    <row r="84" spans="1:25" x14ac:dyDescent="0.25">
      <c r="A84" t="str">
        <f>"1006771258"</f>
        <v>1006771258</v>
      </c>
      <c r="B84" t="s">
        <v>96</v>
      </c>
      <c r="C84" t="s">
        <v>635</v>
      </c>
      <c r="D84" t="s">
        <v>632</v>
      </c>
      <c r="F84" t="s">
        <v>1</v>
      </c>
      <c r="G84" t="s">
        <v>2</v>
      </c>
      <c r="H84" t="s">
        <v>633</v>
      </c>
      <c r="I84" t="s">
        <v>634</v>
      </c>
      <c r="P84" t="s">
        <v>280</v>
      </c>
      <c r="Y84" t="s">
        <v>636</v>
      </c>
    </row>
    <row r="85" spans="1:25" x14ac:dyDescent="0.25">
      <c r="A85" t="str">
        <f>"1006799684"</f>
        <v>1006799684</v>
      </c>
      <c r="B85" t="s">
        <v>640</v>
      </c>
      <c r="C85" t="s">
        <v>641</v>
      </c>
      <c r="D85" t="s">
        <v>637</v>
      </c>
      <c r="E85">
        <v>424031</v>
      </c>
      <c r="F85" t="s">
        <v>1</v>
      </c>
      <c r="G85" t="s">
        <v>2</v>
      </c>
      <c r="H85" t="s">
        <v>413</v>
      </c>
      <c r="I85" t="s">
        <v>638</v>
      </c>
      <c r="J85" t="s">
        <v>639</v>
      </c>
      <c r="P85" t="s">
        <v>642</v>
      </c>
      <c r="Y85" t="s">
        <v>643</v>
      </c>
    </row>
    <row r="86" spans="1:25" x14ac:dyDescent="0.25">
      <c r="A86" t="str">
        <f>"1006834724"</f>
        <v>1006834724</v>
      </c>
      <c r="B86" t="s">
        <v>574</v>
      </c>
      <c r="C86" t="s">
        <v>646</v>
      </c>
      <c r="D86" t="s">
        <v>644</v>
      </c>
      <c r="E86">
        <v>424003</v>
      </c>
      <c r="F86" t="s">
        <v>1</v>
      </c>
      <c r="G86" t="s">
        <v>2</v>
      </c>
      <c r="H86" t="s">
        <v>645</v>
      </c>
      <c r="P86" t="s">
        <v>647</v>
      </c>
      <c r="Y86" t="s">
        <v>648</v>
      </c>
    </row>
    <row r="87" spans="1:25" x14ac:dyDescent="0.25">
      <c r="A87" t="str">
        <f>"1006853448"</f>
        <v>1006853448</v>
      </c>
      <c r="B87" t="s">
        <v>654</v>
      </c>
      <c r="C87" t="s">
        <v>655</v>
      </c>
      <c r="D87" t="s">
        <v>649</v>
      </c>
      <c r="E87">
        <v>424006</v>
      </c>
      <c r="F87" t="s">
        <v>1</v>
      </c>
      <c r="G87" t="s">
        <v>2</v>
      </c>
      <c r="H87" t="s">
        <v>650</v>
      </c>
      <c r="I87" t="s">
        <v>651</v>
      </c>
      <c r="L87" t="s">
        <v>652</v>
      </c>
      <c r="M87" t="s">
        <v>653</v>
      </c>
      <c r="P87" t="s">
        <v>20</v>
      </c>
      <c r="Y87" t="s">
        <v>656</v>
      </c>
    </row>
    <row r="88" spans="1:25" x14ac:dyDescent="0.25">
      <c r="A88" t="str">
        <f>"1006949328"</f>
        <v>1006949328</v>
      </c>
      <c r="B88" t="s">
        <v>96</v>
      </c>
      <c r="C88" t="s">
        <v>659</v>
      </c>
      <c r="D88" t="s">
        <v>657</v>
      </c>
      <c r="E88">
        <v>424918</v>
      </c>
      <c r="F88" t="s">
        <v>1</v>
      </c>
      <c r="G88" t="s">
        <v>2</v>
      </c>
      <c r="H88" t="s">
        <v>629</v>
      </c>
      <c r="I88" t="s">
        <v>658</v>
      </c>
      <c r="P88" t="s">
        <v>630</v>
      </c>
      <c r="Y88" t="s">
        <v>660</v>
      </c>
    </row>
    <row r="89" spans="1:25" x14ac:dyDescent="0.25">
      <c r="A89" t="str">
        <f>"1007024633"</f>
        <v>1007024633</v>
      </c>
      <c r="B89" t="s">
        <v>640</v>
      </c>
      <c r="C89" t="s">
        <v>663</v>
      </c>
      <c r="D89" t="s">
        <v>661</v>
      </c>
      <c r="E89">
        <v>424002</v>
      </c>
      <c r="F89" t="s">
        <v>1</v>
      </c>
      <c r="G89" t="s">
        <v>2</v>
      </c>
      <c r="H89" t="s">
        <v>662</v>
      </c>
      <c r="Y89" t="s">
        <v>664</v>
      </c>
    </row>
    <row r="90" spans="1:25" x14ac:dyDescent="0.25">
      <c r="A90" t="str">
        <f>"1007070487"</f>
        <v>1007070487</v>
      </c>
      <c r="B90" t="s">
        <v>669</v>
      </c>
      <c r="C90" t="s">
        <v>670</v>
      </c>
      <c r="D90" t="s">
        <v>665</v>
      </c>
      <c r="E90">
        <v>424019</v>
      </c>
      <c r="F90" t="s">
        <v>1</v>
      </c>
      <c r="G90" t="s">
        <v>2</v>
      </c>
      <c r="H90" t="s">
        <v>666</v>
      </c>
      <c r="I90" t="s">
        <v>667</v>
      </c>
      <c r="K90" t="s">
        <v>668</v>
      </c>
      <c r="Y90" t="s">
        <v>671</v>
      </c>
    </row>
    <row r="91" spans="1:25" x14ac:dyDescent="0.25">
      <c r="A91" t="str">
        <f>"1007512770"</f>
        <v>1007512770</v>
      </c>
      <c r="B91" t="s">
        <v>18</v>
      </c>
      <c r="C91" t="s">
        <v>676</v>
      </c>
      <c r="D91" t="s">
        <v>672</v>
      </c>
      <c r="E91">
        <v>424016</v>
      </c>
      <c r="F91" t="s">
        <v>1</v>
      </c>
      <c r="G91" t="s">
        <v>2</v>
      </c>
      <c r="H91" t="s">
        <v>673</v>
      </c>
      <c r="I91" t="s">
        <v>674</v>
      </c>
      <c r="K91" t="s">
        <v>675</v>
      </c>
      <c r="P91" t="s">
        <v>677</v>
      </c>
      <c r="Y91" t="s">
        <v>678</v>
      </c>
    </row>
    <row r="92" spans="1:25" x14ac:dyDescent="0.25">
      <c r="A92" t="str">
        <f>"1007543700"</f>
        <v>1007543700</v>
      </c>
      <c r="B92" t="s">
        <v>681</v>
      </c>
      <c r="C92" t="s">
        <v>682</v>
      </c>
      <c r="D92" t="s">
        <v>679</v>
      </c>
      <c r="E92">
        <v>424000</v>
      </c>
      <c r="F92" t="s">
        <v>1</v>
      </c>
      <c r="G92" t="s">
        <v>2</v>
      </c>
      <c r="H92" t="s">
        <v>551</v>
      </c>
      <c r="I92" t="s">
        <v>680</v>
      </c>
      <c r="Y92" t="s">
        <v>555</v>
      </c>
    </row>
    <row r="93" spans="1:25" x14ac:dyDescent="0.25">
      <c r="A93" t="str">
        <f>"1007611369"</f>
        <v>1007611369</v>
      </c>
      <c r="B93" t="s">
        <v>687</v>
      </c>
      <c r="C93" t="s">
        <v>688</v>
      </c>
      <c r="D93" t="s">
        <v>683</v>
      </c>
      <c r="F93" t="s">
        <v>1</v>
      </c>
      <c r="G93" t="s">
        <v>2</v>
      </c>
      <c r="H93" t="s">
        <v>684</v>
      </c>
      <c r="I93" t="s">
        <v>685</v>
      </c>
      <c r="K93" t="s">
        <v>686</v>
      </c>
      <c r="P93" t="s">
        <v>689</v>
      </c>
      <c r="Y93" t="s">
        <v>690</v>
      </c>
    </row>
    <row r="94" spans="1:25" x14ac:dyDescent="0.25">
      <c r="A94" t="str">
        <f>"1007691499"</f>
        <v>1007691499</v>
      </c>
      <c r="B94" t="s">
        <v>96</v>
      </c>
      <c r="C94" t="s">
        <v>695</v>
      </c>
      <c r="D94" t="s">
        <v>691</v>
      </c>
      <c r="E94">
        <v>424006</v>
      </c>
      <c r="F94" t="s">
        <v>1</v>
      </c>
      <c r="G94" t="s">
        <v>2</v>
      </c>
      <c r="H94" t="s">
        <v>692</v>
      </c>
      <c r="I94" t="s">
        <v>693</v>
      </c>
      <c r="J94" t="s">
        <v>694</v>
      </c>
      <c r="P94" t="s">
        <v>696</v>
      </c>
      <c r="Y94" t="s">
        <v>697</v>
      </c>
    </row>
    <row r="95" spans="1:25" x14ac:dyDescent="0.25">
      <c r="A95" t="str">
        <f>"1007717606"</f>
        <v>1007717606</v>
      </c>
      <c r="B95" t="s">
        <v>703</v>
      </c>
      <c r="C95" t="s">
        <v>704</v>
      </c>
      <c r="D95" t="s">
        <v>698</v>
      </c>
      <c r="E95">
        <v>424006</v>
      </c>
      <c r="F95" t="s">
        <v>1</v>
      </c>
      <c r="G95" t="s">
        <v>2</v>
      </c>
      <c r="H95" t="s">
        <v>699</v>
      </c>
      <c r="I95" t="s">
        <v>700</v>
      </c>
      <c r="L95" t="s">
        <v>701</v>
      </c>
      <c r="M95" t="s">
        <v>702</v>
      </c>
      <c r="P95" t="s">
        <v>27</v>
      </c>
      <c r="Q95" t="s">
        <v>705</v>
      </c>
      <c r="S95" t="s">
        <v>706</v>
      </c>
      <c r="T95" t="s">
        <v>707</v>
      </c>
      <c r="Y95" t="s">
        <v>708</v>
      </c>
    </row>
    <row r="96" spans="1:25" x14ac:dyDescent="0.25">
      <c r="A96" t="str">
        <f>"1007817193"</f>
        <v>1007817193</v>
      </c>
      <c r="B96" t="s">
        <v>284</v>
      </c>
      <c r="C96" t="s">
        <v>711</v>
      </c>
      <c r="D96" t="s">
        <v>709</v>
      </c>
      <c r="E96">
        <v>424006</v>
      </c>
      <c r="F96" t="s">
        <v>1</v>
      </c>
      <c r="G96" t="s">
        <v>2</v>
      </c>
      <c r="H96" t="s">
        <v>710</v>
      </c>
      <c r="Y96" t="s">
        <v>712</v>
      </c>
    </row>
    <row r="97" spans="1:25" x14ac:dyDescent="0.25">
      <c r="A97" t="str">
        <f>"1007870253"</f>
        <v>1007870253</v>
      </c>
      <c r="B97" t="s">
        <v>716</v>
      </c>
      <c r="C97" t="s">
        <v>717</v>
      </c>
      <c r="D97" t="s">
        <v>713</v>
      </c>
      <c r="F97" t="s">
        <v>1</v>
      </c>
      <c r="G97" t="s">
        <v>2</v>
      </c>
      <c r="H97" t="s">
        <v>714</v>
      </c>
      <c r="I97" t="s">
        <v>715</v>
      </c>
      <c r="P97" t="s">
        <v>330</v>
      </c>
      <c r="Y97" t="s">
        <v>718</v>
      </c>
    </row>
    <row r="98" spans="1:25" x14ac:dyDescent="0.25">
      <c r="A98" t="str">
        <f>"1007961109"</f>
        <v>1007961109</v>
      </c>
      <c r="B98" t="s">
        <v>18</v>
      </c>
      <c r="C98" t="s">
        <v>723</v>
      </c>
      <c r="D98" t="s">
        <v>719</v>
      </c>
      <c r="E98">
        <v>424003</v>
      </c>
      <c r="F98" t="s">
        <v>1</v>
      </c>
      <c r="G98" t="s">
        <v>2</v>
      </c>
      <c r="H98" t="s">
        <v>720</v>
      </c>
      <c r="I98" t="s">
        <v>721</v>
      </c>
      <c r="L98" t="s">
        <v>597</v>
      </c>
      <c r="M98" t="s">
        <v>722</v>
      </c>
      <c r="P98" t="s">
        <v>724</v>
      </c>
      <c r="Y98" t="s">
        <v>725</v>
      </c>
    </row>
    <row r="99" spans="1:25" x14ac:dyDescent="0.25">
      <c r="A99" t="str">
        <f>"1007962814"</f>
        <v>1007962814</v>
      </c>
      <c r="B99" t="s">
        <v>123</v>
      </c>
      <c r="C99" t="s">
        <v>731</v>
      </c>
      <c r="D99" t="s">
        <v>726</v>
      </c>
      <c r="E99">
        <v>424030</v>
      </c>
      <c r="F99" t="s">
        <v>1</v>
      </c>
      <c r="G99" t="s">
        <v>2</v>
      </c>
      <c r="H99" t="s">
        <v>727</v>
      </c>
      <c r="I99" t="s">
        <v>728</v>
      </c>
      <c r="L99" t="s">
        <v>729</v>
      </c>
      <c r="M99" t="s">
        <v>730</v>
      </c>
      <c r="P99" t="s">
        <v>425</v>
      </c>
      <c r="Y99" t="s">
        <v>732</v>
      </c>
    </row>
    <row r="100" spans="1:25" x14ac:dyDescent="0.25">
      <c r="A100" t="str">
        <f>"1008144765"</f>
        <v>1008144765</v>
      </c>
      <c r="B100" t="s">
        <v>738</v>
      </c>
      <c r="C100" t="s">
        <v>739</v>
      </c>
      <c r="D100" t="s">
        <v>733</v>
      </c>
      <c r="E100">
        <v>424003</v>
      </c>
      <c r="F100" t="s">
        <v>1</v>
      </c>
      <c r="G100" t="s">
        <v>2</v>
      </c>
      <c r="H100" t="s">
        <v>734</v>
      </c>
      <c r="I100" t="s">
        <v>735</v>
      </c>
      <c r="L100" t="s">
        <v>736</v>
      </c>
      <c r="M100" t="s">
        <v>737</v>
      </c>
      <c r="P100" t="s">
        <v>740</v>
      </c>
      <c r="Q100" t="s">
        <v>741</v>
      </c>
      <c r="Y100" t="s">
        <v>742</v>
      </c>
    </row>
    <row r="101" spans="1:25" x14ac:dyDescent="0.25">
      <c r="A101" t="str">
        <f>"1008272485"</f>
        <v>1008272485</v>
      </c>
      <c r="B101" t="s">
        <v>746</v>
      </c>
      <c r="C101" t="s">
        <v>747</v>
      </c>
      <c r="D101" t="s">
        <v>743</v>
      </c>
      <c r="E101">
        <v>424002</v>
      </c>
      <c r="F101" t="s">
        <v>1</v>
      </c>
      <c r="G101" t="s">
        <v>2</v>
      </c>
      <c r="H101" t="s">
        <v>744</v>
      </c>
      <c r="I101" t="s">
        <v>745</v>
      </c>
      <c r="P101" t="s">
        <v>748</v>
      </c>
      <c r="Y101" t="s">
        <v>749</v>
      </c>
    </row>
    <row r="102" spans="1:25" x14ac:dyDescent="0.25">
      <c r="A102" t="str">
        <f>"1008550482"</f>
        <v>1008550482</v>
      </c>
      <c r="B102" t="s">
        <v>18</v>
      </c>
      <c r="C102" t="s">
        <v>754</v>
      </c>
      <c r="D102" t="s">
        <v>750</v>
      </c>
      <c r="E102">
        <v>424006</v>
      </c>
      <c r="F102" t="s">
        <v>1</v>
      </c>
      <c r="G102" t="s">
        <v>2</v>
      </c>
      <c r="H102" t="s">
        <v>751</v>
      </c>
      <c r="I102" t="s">
        <v>752</v>
      </c>
      <c r="J102" t="s">
        <v>753</v>
      </c>
      <c r="K102" t="s">
        <v>752</v>
      </c>
      <c r="P102" t="s">
        <v>152</v>
      </c>
      <c r="Y102" t="s">
        <v>755</v>
      </c>
    </row>
    <row r="103" spans="1:25" x14ac:dyDescent="0.25">
      <c r="A103" t="str">
        <f>"1008642534"</f>
        <v>1008642534</v>
      </c>
      <c r="B103" t="s">
        <v>25</v>
      </c>
      <c r="C103" t="s">
        <v>59</v>
      </c>
      <c r="D103" t="s">
        <v>756</v>
      </c>
      <c r="F103" t="s">
        <v>1</v>
      </c>
      <c r="G103" t="s">
        <v>2</v>
      </c>
      <c r="H103" t="s">
        <v>757</v>
      </c>
      <c r="I103" t="s">
        <v>758</v>
      </c>
      <c r="L103" t="s">
        <v>759</v>
      </c>
      <c r="P103" t="s">
        <v>27</v>
      </c>
      <c r="Y103" t="s">
        <v>760</v>
      </c>
    </row>
    <row r="104" spans="1:25" x14ac:dyDescent="0.25">
      <c r="A104" t="str">
        <f>"1008729363"</f>
        <v>1008729363</v>
      </c>
      <c r="B104" t="s">
        <v>379</v>
      </c>
      <c r="C104" t="s">
        <v>766</v>
      </c>
      <c r="D104" t="s">
        <v>761</v>
      </c>
      <c r="E104">
        <v>424038</v>
      </c>
      <c r="F104" t="s">
        <v>1</v>
      </c>
      <c r="G104" t="s">
        <v>2</v>
      </c>
      <c r="H104" t="s">
        <v>762</v>
      </c>
      <c r="I104" t="s">
        <v>763</v>
      </c>
      <c r="L104" t="s">
        <v>764</v>
      </c>
      <c r="M104" t="s">
        <v>765</v>
      </c>
      <c r="P104" t="s">
        <v>767</v>
      </c>
      <c r="Q104" t="s">
        <v>768</v>
      </c>
      <c r="R104" t="s">
        <v>769</v>
      </c>
      <c r="S104" t="s">
        <v>770</v>
      </c>
      <c r="T104" t="s">
        <v>771</v>
      </c>
      <c r="V104" t="s">
        <v>772</v>
      </c>
      <c r="Y104" t="s">
        <v>773</v>
      </c>
    </row>
    <row r="105" spans="1:25" x14ac:dyDescent="0.25">
      <c r="A105" t="str">
        <f>"1008854641"</f>
        <v>1008854641</v>
      </c>
      <c r="B105" t="s">
        <v>32</v>
      </c>
      <c r="C105" t="s">
        <v>777</v>
      </c>
      <c r="D105" t="s">
        <v>774</v>
      </c>
      <c r="E105">
        <v>424003</v>
      </c>
      <c r="F105" t="s">
        <v>1</v>
      </c>
      <c r="G105" t="s">
        <v>2</v>
      </c>
      <c r="H105" t="s">
        <v>775</v>
      </c>
      <c r="I105" t="s">
        <v>776</v>
      </c>
      <c r="P105" t="s">
        <v>778</v>
      </c>
      <c r="Y105" t="s">
        <v>779</v>
      </c>
    </row>
    <row r="106" spans="1:25" x14ac:dyDescent="0.25">
      <c r="A106" t="str">
        <f>"1009187779"</f>
        <v>1009187779</v>
      </c>
      <c r="B106" t="s">
        <v>110</v>
      </c>
      <c r="C106" t="s">
        <v>784</v>
      </c>
      <c r="D106" t="s">
        <v>780</v>
      </c>
      <c r="E106">
        <v>424002</v>
      </c>
      <c r="F106" t="s">
        <v>1</v>
      </c>
      <c r="G106" t="s">
        <v>2</v>
      </c>
      <c r="H106" t="s">
        <v>781</v>
      </c>
      <c r="I106" t="s">
        <v>782</v>
      </c>
      <c r="J106" t="s">
        <v>783</v>
      </c>
      <c r="P106" t="s">
        <v>785</v>
      </c>
      <c r="Y106" t="s">
        <v>786</v>
      </c>
    </row>
    <row r="107" spans="1:25" x14ac:dyDescent="0.25">
      <c r="A107" t="str">
        <f>"1009517122"</f>
        <v>1009517122</v>
      </c>
      <c r="B107" t="s">
        <v>790</v>
      </c>
      <c r="C107" t="s">
        <v>791</v>
      </c>
      <c r="D107" t="s">
        <v>787</v>
      </c>
      <c r="E107">
        <v>424031</v>
      </c>
      <c r="F107" t="s">
        <v>1</v>
      </c>
      <c r="G107" t="s">
        <v>2</v>
      </c>
      <c r="H107" t="s">
        <v>239</v>
      </c>
      <c r="I107" t="s">
        <v>788</v>
      </c>
      <c r="K107" t="s">
        <v>789</v>
      </c>
      <c r="L107" t="s">
        <v>241</v>
      </c>
      <c r="M107" t="s">
        <v>242</v>
      </c>
      <c r="P107" t="s">
        <v>245</v>
      </c>
      <c r="Y107" t="s">
        <v>792</v>
      </c>
    </row>
    <row r="108" spans="1:25" x14ac:dyDescent="0.25">
      <c r="A108" t="str">
        <f>"1009519283"</f>
        <v>1009519283</v>
      </c>
      <c r="B108" t="s">
        <v>797</v>
      </c>
      <c r="C108" t="s">
        <v>798</v>
      </c>
      <c r="D108" t="s">
        <v>793</v>
      </c>
      <c r="F108" t="s">
        <v>1</v>
      </c>
      <c r="G108" t="s">
        <v>2</v>
      </c>
      <c r="H108" t="s">
        <v>794</v>
      </c>
      <c r="I108" t="s">
        <v>795</v>
      </c>
      <c r="J108" t="s">
        <v>796</v>
      </c>
      <c r="P108" t="s">
        <v>799</v>
      </c>
      <c r="Y108" t="s">
        <v>800</v>
      </c>
    </row>
    <row r="109" spans="1:25" x14ac:dyDescent="0.25">
      <c r="A109" t="str">
        <f>"1009565808"</f>
        <v>1009565808</v>
      </c>
      <c r="B109" t="s">
        <v>803</v>
      </c>
      <c r="C109" t="s">
        <v>804</v>
      </c>
      <c r="D109" t="s">
        <v>801</v>
      </c>
      <c r="E109">
        <v>424020</v>
      </c>
      <c r="F109" t="s">
        <v>1</v>
      </c>
      <c r="G109" t="s">
        <v>2</v>
      </c>
      <c r="H109" t="s">
        <v>802</v>
      </c>
      <c r="P109" t="s">
        <v>390</v>
      </c>
      <c r="Y109" t="s">
        <v>805</v>
      </c>
    </row>
    <row r="110" spans="1:25" x14ac:dyDescent="0.25">
      <c r="A110" t="str">
        <f>"1009777722"</f>
        <v>1009777722</v>
      </c>
      <c r="B110" t="s">
        <v>746</v>
      </c>
      <c r="C110" t="s">
        <v>809</v>
      </c>
      <c r="D110" t="s">
        <v>806</v>
      </c>
      <c r="E110">
        <v>424016</v>
      </c>
      <c r="F110" t="s">
        <v>1</v>
      </c>
      <c r="G110" t="s">
        <v>2</v>
      </c>
      <c r="H110" t="s">
        <v>807</v>
      </c>
      <c r="I110" t="s">
        <v>808</v>
      </c>
      <c r="Y110" t="s">
        <v>810</v>
      </c>
    </row>
    <row r="111" spans="1:25" x14ac:dyDescent="0.25">
      <c r="A111" t="str">
        <f>"1010018442"</f>
        <v>1010018442</v>
      </c>
      <c r="B111" t="s">
        <v>224</v>
      </c>
      <c r="C111" t="s">
        <v>815</v>
      </c>
      <c r="D111" t="s">
        <v>811</v>
      </c>
      <c r="E111">
        <v>424031</v>
      </c>
      <c r="F111" t="s">
        <v>1</v>
      </c>
      <c r="G111" t="s">
        <v>2</v>
      </c>
      <c r="H111" t="s">
        <v>812</v>
      </c>
      <c r="I111" t="s">
        <v>813</v>
      </c>
      <c r="K111" t="s">
        <v>814</v>
      </c>
      <c r="P111" t="s">
        <v>816</v>
      </c>
      <c r="Y111" t="s">
        <v>817</v>
      </c>
    </row>
    <row r="112" spans="1:25" x14ac:dyDescent="0.25">
      <c r="A112" t="str">
        <f>"1010067755"</f>
        <v>1010067755</v>
      </c>
      <c r="B112" t="s">
        <v>462</v>
      </c>
      <c r="C112" t="s">
        <v>463</v>
      </c>
      <c r="D112" t="s">
        <v>818</v>
      </c>
      <c r="E112">
        <v>424007</v>
      </c>
      <c r="F112" t="s">
        <v>1</v>
      </c>
      <c r="G112" t="s">
        <v>2</v>
      </c>
      <c r="H112" t="s">
        <v>819</v>
      </c>
      <c r="I112" t="s">
        <v>820</v>
      </c>
      <c r="Y112" t="s">
        <v>821</v>
      </c>
    </row>
    <row r="113" spans="1:25" x14ac:dyDescent="0.25">
      <c r="A113" t="str">
        <f>"1010095258"</f>
        <v>1010095258</v>
      </c>
      <c r="B113" t="s">
        <v>151</v>
      </c>
      <c r="C113" t="s">
        <v>151</v>
      </c>
      <c r="D113" t="s">
        <v>822</v>
      </c>
      <c r="E113">
        <v>424002</v>
      </c>
      <c r="F113" t="s">
        <v>1</v>
      </c>
      <c r="G113" t="s">
        <v>2</v>
      </c>
      <c r="H113" t="s">
        <v>823</v>
      </c>
      <c r="I113" t="s">
        <v>824</v>
      </c>
      <c r="J113" t="s">
        <v>825</v>
      </c>
      <c r="K113" t="s">
        <v>826</v>
      </c>
      <c r="P113" t="s">
        <v>827</v>
      </c>
      <c r="Y113" t="s">
        <v>828</v>
      </c>
    </row>
    <row r="114" spans="1:25" x14ac:dyDescent="0.25">
      <c r="A114" t="str">
        <f>"1010122193"</f>
        <v>1010122193</v>
      </c>
      <c r="B114" t="s">
        <v>67</v>
      </c>
      <c r="C114" t="s">
        <v>832</v>
      </c>
      <c r="D114" t="s">
        <v>829</v>
      </c>
      <c r="E114">
        <v>424006</v>
      </c>
      <c r="F114" t="s">
        <v>1</v>
      </c>
      <c r="G114" t="s">
        <v>2</v>
      </c>
      <c r="H114" t="s">
        <v>830</v>
      </c>
      <c r="I114" t="s">
        <v>266</v>
      </c>
      <c r="L114" t="s">
        <v>267</v>
      </c>
      <c r="M114" t="s">
        <v>831</v>
      </c>
      <c r="P114" t="s">
        <v>833</v>
      </c>
      <c r="Q114" t="s">
        <v>270</v>
      </c>
      <c r="R114" t="s">
        <v>271</v>
      </c>
      <c r="S114" t="s">
        <v>272</v>
      </c>
      <c r="T114" t="s">
        <v>273</v>
      </c>
      <c r="U114" t="s">
        <v>834</v>
      </c>
      <c r="V114" t="s">
        <v>274</v>
      </c>
      <c r="Y114" t="s">
        <v>835</v>
      </c>
    </row>
    <row r="115" spans="1:25" x14ac:dyDescent="0.25">
      <c r="A115" t="str">
        <f>"1010633330"</f>
        <v>1010633330</v>
      </c>
      <c r="B115" t="s">
        <v>841</v>
      </c>
      <c r="C115" t="s">
        <v>842</v>
      </c>
      <c r="D115" t="s">
        <v>836</v>
      </c>
      <c r="E115">
        <v>424000</v>
      </c>
      <c r="F115" t="s">
        <v>1</v>
      </c>
      <c r="G115" t="s">
        <v>2</v>
      </c>
      <c r="H115" t="s">
        <v>837</v>
      </c>
      <c r="I115" t="s">
        <v>838</v>
      </c>
      <c r="L115" t="s">
        <v>839</v>
      </c>
      <c r="M115" t="s">
        <v>840</v>
      </c>
      <c r="P115" t="s">
        <v>843</v>
      </c>
      <c r="T115" t="s">
        <v>844</v>
      </c>
      <c r="V115" t="s">
        <v>845</v>
      </c>
      <c r="Y115" t="s">
        <v>846</v>
      </c>
    </row>
    <row r="116" spans="1:25" x14ac:dyDescent="0.25">
      <c r="A116" t="str">
        <f>"1010635879"</f>
        <v>1010635879</v>
      </c>
      <c r="B116" t="s">
        <v>624</v>
      </c>
      <c r="C116" t="s">
        <v>852</v>
      </c>
      <c r="D116" t="s">
        <v>847</v>
      </c>
      <c r="E116">
        <v>424016</v>
      </c>
      <c r="F116" t="s">
        <v>1</v>
      </c>
      <c r="G116" t="s">
        <v>2</v>
      </c>
      <c r="H116" t="s">
        <v>848</v>
      </c>
      <c r="I116" t="s">
        <v>849</v>
      </c>
      <c r="L116" t="s">
        <v>850</v>
      </c>
      <c r="M116" t="s">
        <v>851</v>
      </c>
      <c r="P116" t="s">
        <v>853</v>
      </c>
      <c r="Q116" t="s">
        <v>854</v>
      </c>
      <c r="Y116" t="s">
        <v>855</v>
      </c>
    </row>
    <row r="117" spans="1:25" x14ac:dyDescent="0.25">
      <c r="A117" t="str">
        <f>"1010686158"</f>
        <v>1010686158</v>
      </c>
      <c r="B117" t="s">
        <v>417</v>
      </c>
      <c r="C117" t="s">
        <v>418</v>
      </c>
      <c r="D117" t="s">
        <v>856</v>
      </c>
      <c r="E117">
        <v>424020</v>
      </c>
      <c r="F117" t="s">
        <v>1</v>
      </c>
      <c r="G117" t="s">
        <v>2</v>
      </c>
      <c r="H117" t="s">
        <v>288</v>
      </c>
      <c r="I117" t="s">
        <v>857</v>
      </c>
      <c r="L117" t="s">
        <v>858</v>
      </c>
      <c r="M117" t="s">
        <v>859</v>
      </c>
      <c r="P117" t="s">
        <v>390</v>
      </c>
      <c r="Y117" t="s">
        <v>860</v>
      </c>
    </row>
    <row r="118" spans="1:25" x14ac:dyDescent="0.25">
      <c r="A118" t="str">
        <f>"1010690574"</f>
        <v>1010690574</v>
      </c>
      <c r="B118" t="s">
        <v>379</v>
      </c>
      <c r="C118" t="s">
        <v>864</v>
      </c>
      <c r="D118" t="s">
        <v>861</v>
      </c>
      <c r="E118">
        <v>424003</v>
      </c>
      <c r="F118" t="s">
        <v>1</v>
      </c>
      <c r="G118" t="s">
        <v>2</v>
      </c>
      <c r="H118" t="s">
        <v>862</v>
      </c>
      <c r="I118" t="s">
        <v>863</v>
      </c>
      <c r="Y118" t="s">
        <v>865</v>
      </c>
    </row>
    <row r="119" spans="1:25" x14ac:dyDescent="0.25">
      <c r="A119" t="str">
        <f>"1010739641"</f>
        <v>1010739641</v>
      </c>
      <c r="B119" t="s">
        <v>462</v>
      </c>
      <c r="C119" t="s">
        <v>868</v>
      </c>
      <c r="D119" t="s">
        <v>866</v>
      </c>
      <c r="E119">
        <v>424002</v>
      </c>
      <c r="F119" t="s">
        <v>1</v>
      </c>
      <c r="G119" t="s">
        <v>2</v>
      </c>
      <c r="H119" t="s">
        <v>57</v>
      </c>
      <c r="I119" t="s">
        <v>867</v>
      </c>
      <c r="P119" t="s">
        <v>869</v>
      </c>
      <c r="Y119" t="s">
        <v>61</v>
      </c>
    </row>
    <row r="120" spans="1:25" x14ac:dyDescent="0.25">
      <c r="A120" t="str">
        <f>"1010761518"</f>
        <v>1010761518</v>
      </c>
      <c r="B120" t="s">
        <v>117</v>
      </c>
      <c r="C120" t="s">
        <v>873</v>
      </c>
      <c r="D120" t="s">
        <v>870</v>
      </c>
      <c r="F120" t="s">
        <v>1</v>
      </c>
      <c r="G120" t="s">
        <v>2</v>
      </c>
      <c r="H120" t="s">
        <v>871</v>
      </c>
      <c r="I120" t="s">
        <v>872</v>
      </c>
      <c r="P120" t="s">
        <v>874</v>
      </c>
      <c r="Y120" t="s">
        <v>875</v>
      </c>
    </row>
    <row r="121" spans="1:25" x14ac:dyDescent="0.25">
      <c r="A121" t="str">
        <f>"1010839923"</f>
        <v>1010839923</v>
      </c>
      <c r="B121" t="s">
        <v>151</v>
      </c>
      <c r="C121" t="s">
        <v>881</v>
      </c>
      <c r="D121" t="s">
        <v>876</v>
      </c>
      <c r="E121">
        <v>424000</v>
      </c>
      <c r="F121" t="s">
        <v>1</v>
      </c>
      <c r="G121" t="s">
        <v>2</v>
      </c>
      <c r="H121" t="s">
        <v>523</v>
      </c>
      <c r="I121" t="s">
        <v>877</v>
      </c>
      <c r="J121" t="s">
        <v>878</v>
      </c>
      <c r="L121" t="s">
        <v>879</v>
      </c>
      <c r="M121" t="s">
        <v>880</v>
      </c>
      <c r="P121" t="s">
        <v>27</v>
      </c>
      <c r="Q121" t="s">
        <v>882</v>
      </c>
      <c r="R121" t="s">
        <v>883</v>
      </c>
      <c r="S121" t="s">
        <v>884</v>
      </c>
      <c r="V121" t="s">
        <v>885</v>
      </c>
      <c r="Y121" t="s">
        <v>526</v>
      </c>
    </row>
    <row r="122" spans="1:25" x14ac:dyDescent="0.25">
      <c r="A122" t="str">
        <f>"1010916247"</f>
        <v>1010916247</v>
      </c>
      <c r="B122" t="s">
        <v>888</v>
      </c>
      <c r="C122" t="s">
        <v>888</v>
      </c>
      <c r="D122" t="s">
        <v>886</v>
      </c>
      <c r="E122">
        <v>424031</v>
      </c>
      <c r="F122" t="s">
        <v>1</v>
      </c>
      <c r="G122" t="s">
        <v>2</v>
      </c>
      <c r="H122" t="s">
        <v>887</v>
      </c>
      <c r="U122" t="s">
        <v>889</v>
      </c>
      <c r="Y122" t="s">
        <v>890</v>
      </c>
    </row>
    <row r="123" spans="1:25" x14ac:dyDescent="0.25">
      <c r="A123" t="str">
        <f>"1011113938"</f>
        <v>1011113938</v>
      </c>
      <c r="B123" t="s">
        <v>96</v>
      </c>
      <c r="C123" t="s">
        <v>893</v>
      </c>
      <c r="D123" t="s">
        <v>891</v>
      </c>
      <c r="E123">
        <v>424918</v>
      </c>
      <c r="F123" t="s">
        <v>1</v>
      </c>
      <c r="G123" t="s">
        <v>2</v>
      </c>
      <c r="H123" t="s">
        <v>629</v>
      </c>
      <c r="I123" t="s">
        <v>892</v>
      </c>
      <c r="P123" t="s">
        <v>894</v>
      </c>
      <c r="Y123" t="s">
        <v>895</v>
      </c>
    </row>
    <row r="124" spans="1:25" x14ac:dyDescent="0.25">
      <c r="A124" t="str">
        <f>"1011187903"</f>
        <v>1011187903</v>
      </c>
      <c r="B124" t="s">
        <v>176</v>
      </c>
      <c r="C124" t="s">
        <v>566</v>
      </c>
      <c r="D124" t="s">
        <v>896</v>
      </c>
      <c r="E124">
        <v>424031</v>
      </c>
      <c r="F124" t="s">
        <v>1</v>
      </c>
      <c r="G124" t="s">
        <v>2</v>
      </c>
      <c r="H124" t="s">
        <v>897</v>
      </c>
      <c r="I124" t="s">
        <v>898</v>
      </c>
      <c r="J124" t="s">
        <v>899</v>
      </c>
      <c r="K124" t="s">
        <v>900</v>
      </c>
      <c r="L124" t="s">
        <v>901</v>
      </c>
      <c r="M124" t="s">
        <v>902</v>
      </c>
      <c r="P124" t="s">
        <v>330</v>
      </c>
      <c r="Q124" t="s">
        <v>903</v>
      </c>
      <c r="Y124" t="s">
        <v>904</v>
      </c>
    </row>
    <row r="125" spans="1:25" x14ac:dyDescent="0.25">
      <c r="A125" t="str">
        <f>"1011197663"</f>
        <v>1011197663</v>
      </c>
      <c r="B125" t="s">
        <v>352</v>
      </c>
      <c r="C125" t="s">
        <v>910</v>
      </c>
      <c r="D125" t="s">
        <v>905</v>
      </c>
      <c r="E125">
        <v>424004</v>
      </c>
      <c r="F125" t="s">
        <v>1</v>
      </c>
      <c r="G125" t="s">
        <v>2</v>
      </c>
      <c r="H125" t="s">
        <v>906</v>
      </c>
      <c r="I125" t="s">
        <v>907</v>
      </c>
      <c r="L125" t="s">
        <v>908</v>
      </c>
      <c r="M125" t="s">
        <v>909</v>
      </c>
      <c r="P125" t="s">
        <v>911</v>
      </c>
      <c r="Q125" t="s">
        <v>912</v>
      </c>
      <c r="Y125" t="s">
        <v>913</v>
      </c>
    </row>
    <row r="126" spans="1:25" x14ac:dyDescent="0.25">
      <c r="A126" t="str">
        <f>"1011302316"</f>
        <v>1011302316</v>
      </c>
      <c r="B126" t="s">
        <v>334</v>
      </c>
      <c r="C126" t="s">
        <v>334</v>
      </c>
      <c r="D126" t="s">
        <v>914</v>
      </c>
      <c r="E126">
        <v>424002</v>
      </c>
      <c r="F126" t="s">
        <v>1</v>
      </c>
      <c r="G126" t="s">
        <v>2</v>
      </c>
      <c r="H126" t="s">
        <v>915</v>
      </c>
      <c r="I126" t="s">
        <v>916</v>
      </c>
      <c r="Y126" t="s">
        <v>917</v>
      </c>
    </row>
    <row r="127" spans="1:25" x14ac:dyDescent="0.25">
      <c r="A127" t="str">
        <f>"1011330224"</f>
        <v>1011330224</v>
      </c>
      <c r="B127" t="s">
        <v>371</v>
      </c>
      <c r="C127" t="s">
        <v>372</v>
      </c>
      <c r="D127" t="s">
        <v>918</v>
      </c>
      <c r="E127">
        <v>424001</v>
      </c>
      <c r="F127" t="s">
        <v>1</v>
      </c>
      <c r="G127" t="s">
        <v>2</v>
      </c>
      <c r="H127" t="s">
        <v>919</v>
      </c>
      <c r="I127" t="s">
        <v>920</v>
      </c>
      <c r="L127" t="s">
        <v>921</v>
      </c>
      <c r="M127" t="s">
        <v>922</v>
      </c>
      <c r="P127" t="s">
        <v>20</v>
      </c>
      <c r="Y127" t="s">
        <v>923</v>
      </c>
    </row>
    <row r="128" spans="1:25" x14ac:dyDescent="0.25">
      <c r="A128" t="str">
        <f>"1011384922"</f>
        <v>1011384922</v>
      </c>
      <c r="B128" t="s">
        <v>7</v>
      </c>
      <c r="C128" t="s">
        <v>925</v>
      </c>
      <c r="D128" t="s">
        <v>924</v>
      </c>
      <c r="E128">
        <v>424006</v>
      </c>
      <c r="F128" t="s">
        <v>1</v>
      </c>
      <c r="G128" t="s">
        <v>2</v>
      </c>
      <c r="H128" t="s">
        <v>478</v>
      </c>
      <c r="Y128" t="s">
        <v>926</v>
      </c>
    </row>
    <row r="129" spans="1:25" x14ac:dyDescent="0.25">
      <c r="A129" t="str">
        <f>"1011460958"</f>
        <v>1011460958</v>
      </c>
      <c r="B129" t="s">
        <v>930</v>
      </c>
      <c r="C129" t="s">
        <v>927</v>
      </c>
      <c r="D129" t="s">
        <v>927</v>
      </c>
      <c r="E129">
        <v>424006</v>
      </c>
      <c r="F129" t="s">
        <v>1</v>
      </c>
      <c r="G129" t="s">
        <v>2</v>
      </c>
      <c r="H129" t="s">
        <v>928</v>
      </c>
      <c r="I129" t="s">
        <v>929</v>
      </c>
      <c r="P129" t="s">
        <v>410</v>
      </c>
      <c r="Y129" t="s">
        <v>931</v>
      </c>
    </row>
    <row r="130" spans="1:25" x14ac:dyDescent="0.25">
      <c r="A130" t="str">
        <f>"1011573771"</f>
        <v>1011573771</v>
      </c>
      <c r="B130" t="s">
        <v>117</v>
      </c>
      <c r="C130" t="s">
        <v>118</v>
      </c>
      <c r="D130" t="s">
        <v>932</v>
      </c>
      <c r="E130">
        <v>424039</v>
      </c>
      <c r="F130" t="s">
        <v>1</v>
      </c>
      <c r="G130" t="s">
        <v>2</v>
      </c>
      <c r="H130" t="s">
        <v>933</v>
      </c>
      <c r="I130" t="s">
        <v>934</v>
      </c>
      <c r="P130" t="s">
        <v>330</v>
      </c>
      <c r="Y130" t="s">
        <v>935</v>
      </c>
    </row>
    <row r="131" spans="1:25" x14ac:dyDescent="0.25">
      <c r="A131" t="str">
        <f>"1011681392"</f>
        <v>1011681392</v>
      </c>
      <c r="B131" t="s">
        <v>430</v>
      </c>
      <c r="C131" t="s">
        <v>940</v>
      </c>
      <c r="D131" t="s">
        <v>936</v>
      </c>
      <c r="E131">
        <v>424000</v>
      </c>
      <c r="F131" t="s">
        <v>1</v>
      </c>
      <c r="G131" t="s">
        <v>2</v>
      </c>
      <c r="H131" t="s">
        <v>937</v>
      </c>
      <c r="I131" t="s">
        <v>938</v>
      </c>
      <c r="J131" t="s">
        <v>939</v>
      </c>
      <c r="P131" t="s">
        <v>941</v>
      </c>
      <c r="Y131" t="s">
        <v>942</v>
      </c>
    </row>
    <row r="132" spans="1:25" x14ac:dyDescent="0.25">
      <c r="A132" t="str">
        <f>"1011754030"</f>
        <v>1011754030</v>
      </c>
      <c r="B132" t="s">
        <v>123</v>
      </c>
      <c r="C132" t="s">
        <v>424</v>
      </c>
      <c r="D132" t="s">
        <v>943</v>
      </c>
      <c r="E132">
        <v>424002</v>
      </c>
      <c r="F132" t="s">
        <v>1</v>
      </c>
      <c r="G132" t="s">
        <v>2</v>
      </c>
      <c r="H132" t="s">
        <v>944</v>
      </c>
      <c r="I132" t="s">
        <v>945</v>
      </c>
      <c r="L132" t="s">
        <v>946</v>
      </c>
      <c r="M132" t="s">
        <v>947</v>
      </c>
      <c r="P132" t="s">
        <v>425</v>
      </c>
      <c r="Y132" t="s">
        <v>948</v>
      </c>
    </row>
    <row r="133" spans="1:25" x14ac:dyDescent="0.25">
      <c r="A133" t="str">
        <f>"1011909941"</f>
        <v>1011909941</v>
      </c>
      <c r="B133" t="s">
        <v>574</v>
      </c>
      <c r="C133" t="s">
        <v>952</v>
      </c>
      <c r="D133" t="s">
        <v>949</v>
      </c>
      <c r="E133">
        <v>424007</v>
      </c>
      <c r="F133" t="s">
        <v>1</v>
      </c>
      <c r="G133" t="s">
        <v>2</v>
      </c>
      <c r="H133" t="s">
        <v>950</v>
      </c>
      <c r="I133" t="s">
        <v>951</v>
      </c>
      <c r="Y133" t="s">
        <v>953</v>
      </c>
    </row>
    <row r="134" spans="1:25" x14ac:dyDescent="0.25">
      <c r="A134" t="str">
        <f>"1012031035"</f>
        <v>1012031035</v>
      </c>
      <c r="B134" t="s">
        <v>117</v>
      </c>
      <c r="C134" t="s">
        <v>118</v>
      </c>
      <c r="D134" t="s">
        <v>954</v>
      </c>
      <c r="E134">
        <v>424007</v>
      </c>
      <c r="F134" t="s">
        <v>1</v>
      </c>
      <c r="G134" t="s">
        <v>2</v>
      </c>
      <c r="H134" t="s">
        <v>955</v>
      </c>
      <c r="I134" t="s">
        <v>956</v>
      </c>
      <c r="P134" t="s">
        <v>133</v>
      </c>
      <c r="Y134" t="s">
        <v>957</v>
      </c>
    </row>
    <row r="135" spans="1:25" x14ac:dyDescent="0.25">
      <c r="A135" t="str">
        <f>"1012101173"</f>
        <v>1012101173</v>
      </c>
      <c r="B135" t="s">
        <v>18</v>
      </c>
      <c r="C135" t="s">
        <v>959</v>
      </c>
      <c r="D135" t="s">
        <v>958</v>
      </c>
      <c r="E135">
        <v>424020</v>
      </c>
      <c r="F135" t="s">
        <v>1</v>
      </c>
      <c r="G135" t="s">
        <v>2</v>
      </c>
      <c r="H135" t="s">
        <v>23</v>
      </c>
      <c r="Y135" t="s">
        <v>960</v>
      </c>
    </row>
    <row r="136" spans="1:25" x14ac:dyDescent="0.25">
      <c r="A136" t="str">
        <f>"1012282458"</f>
        <v>1012282458</v>
      </c>
      <c r="B136" t="s">
        <v>18</v>
      </c>
      <c r="C136" t="s">
        <v>964</v>
      </c>
      <c r="D136" t="s">
        <v>961</v>
      </c>
      <c r="E136">
        <v>424039</v>
      </c>
      <c r="F136" t="s">
        <v>1</v>
      </c>
      <c r="G136" t="s">
        <v>2</v>
      </c>
      <c r="H136" t="s">
        <v>962</v>
      </c>
      <c r="I136" t="s">
        <v>963</v>
      </c>
      <c r="Y136" t="s">
        <v>965</v>
      </c>
    </row>
    <row r="137" spans="1:25" x14ac:dyDescent="0.25">
      <c r="A137" t="str">
        <f>"1012391632"</f>
        <v>1012391632</v>
      </c>
      <c r="B137" t="s">
        <v>123</v>
      </c>
      <c r="C137" t="s">
        <v>424</v>
      </c>
      <c r="D137" t="s">
        <v>966</v>
      </c>
      <c r="E137">
        <v>424003</v>
      </c>
      <c r="F137" t="s">
        <v>1</v>
      </c>
      <c r="G137" t="s">
        <v>2</v>
      </c>
      <c r="H137" t="s">
        <v>967</v>
      </c>
      <c r="I137" t="s">
        <v>968</v>
      </c>
      <c r="J137" t="s">
        <v>969</v>
      </c>
      <c r="L137" t="s">
        <v>970</v>
      </c>
      <c r="M137" t="s">
        <v>971</v>
      </c>
      <c r="P137" t="s">
        <v>425</v>
      </c>
      <c r="Y137" t="s">
        <v>972</v>
      </c>
    </row>
    <row r="138" spans="1:25" x14ac:dyDescent="0.25">
      <c r="A138" t="str">
        <f>"1012454561"</f>
        <v>1012454561</v>
      </c>
      <c r="B138" t="s">
        <v>978</v>
      </c>
      <c r="C138" t="s">
        <v>979</v>
      </c>
      <c r="D138" t="s">
        <v>973</v>
      </c>
      <c r="E138">
        <v>424002</v>
      </c>
      <c r="F138" t="s">
        <v>1</v>
      </c>
      <c r="G138" t="s">
        <v>2</v>
      </c>
      <c r="H138" t="s">
        <v>974</v>
      </c>
      <c r="I138" t="s">
        <v>975</v>
      </c>
      <c r="L138" t="s">
        <v>976</v>
      </c>
      <c r="M138" t="s">
        <v>977</v>
      </c>
      <c r="P138" t="s">
        <v>980</v>
      </c>
      <c r="T138" t="s">
        <v>981</v>
      </c>
      <c r="Y138" t="s">
        <v>982</v>
      </c>
    </row>
    <row r="139" spans="1:25" x14ac:dyDescent="0.25">
      <c r="A139" t="str">
        <f>"1012540719"</f>
        <v>1012540719</v>
      </c>
      <c r="B139" t="s">
        <v>985</v>
      </c>
      <c r="C139" t="s">
        <v>986</v>
      </c>
      <c r="D139" t="s">
        <v>983</v>
      </c>
      <c r="E139">
        <v>424008</v>
      </c>
      <c r="F139" t="s">
        <v>1</v>
      </c>
      <c r="G139" t="s">
        <v>2</v>
      </c>
      <c r="H139" t="s">
        <v>528</v>
      </c>
      <c r="I139" t="s">
        <v>984</v>
      </c>
      <c r="P139" t="s">
        <v>987</v>
      </c>
      <c r="Y139" t="s">
        <v>988</v>
      </c>
    </row>
    <row r="140" spans="1:25" x14ac:dyDescent="0.25">
      <c r="A140" t="str">
        <f>"1012581006"</f>
        <v>1012581006</v>
      </c>
      <c r="B140" t="s">
        <v>96</v>
      </c>
      <c r="C140" t="s">
        <v>695</v>
      </c>
      <c r="D140" t="s">
        <v>989</v>
      </c>
      <c r="F140" t="s">
        <v>1</v>
      </c>
      <c r="G140" t="s">
        <v>2</v>
      </c>
      <c r="H140" t="s">
        <v>990</v>
      </c>
      <c r="I140" t="s">
        <v>991</v>
      </c>
      <c r="M140" t="s">
        <v>992</v>
      </c>
      <c r="P140" t="s">
        <v>27</v>
      </c>
      <c r="Y140" t="s">
        <v>993</v>
      </c>
    </row>
    <row r="141" spans="1:25" x14ac:dyDescent="0.25">
      <c r="A141" t="str">
        <f>"1012667771"</f>
        <v>1012667771</v>
      </c>
      <c r="B141" t="s">
        <v>930</v>
      </c>
      <c r="C141" t="s">
        <v>999</v>
      </c>
      <c r="D141" t="s">
        <v>994</v>
      </c>
      <c r="E141">
        <v>424913</v>
      </c>
      <c r="F141" t="s">
        <v>1</v>
      </c>
      <c r="G141" t="s">
        <v>2</v>
      </c>
      <c r="H141" t="s">
        <v>995</v>
      </c>
      <c r="I141" t="s">
        <v>996</v>
      </c>
      <c r="L141" t="s">
        <v>997</v>
      </c>
      <c r="M141" t="s">
        <v>998</v>
      </c>
      <c r="P141" t="s">
        <v>1000</v>
      </c>
      <c r="Y141" t="s">
        <v>1001</v>
      </c>
    </row>
    <row r="142" spans="1:25" x14ac:dyDescent="0.25">
      <c r="A142" t="str">
        <f>"1012752816"</f>
        <v>1012752816</v>
      </c>
      <c r="B142" t="s">
        <v>25</v>
      </c>
      <c r="C142" t="s">
        <v>1005</v>
      </c>
      <c r="D142" t="s">
        <v>1002</v>
      </c>
      <c r="F142" t="s">
        <v>1</v>
      </c>
      <c r="G142" t="s">
        <v>2</v>
      </c>
      <c r="H142" t="s">
        <v>1003</v>
      </c>
      <c r="I142" t="s">
        <v>1004</v>
      </c>
      <c r="P142" t="s">
        <v>27</v>
      </c>
      <c r="Y142" t="s">
        <v>1006</v>
      </c>
    </row>
    <row r="143" spans="1:25" x14ac:dyDescent="0.25">
      <c r="A143" t="str">
        <f>"1012834696"</f>
        <v>1012834696</v>
      </c>
      <c r="B143" t="s">
        <v>558</v>
      </c>
      <c r="C143" t="s">
        <v>559</v>
      </c>
      <c r="D143" t="s">
        <v>1007</v>
      </c>
      <c r="E143">
        <v>424002</v>
      </c>
      <c r="F143" t="s">
        <v>1</v>
      </c>
      <c r="G143" t="s">
        <v>2</v>
      </c>
      <c r="H143" t="s">
        <v>1008</v>
      </c>
      <c r="I143" t="s">
        <v>1009</v>
      </c>
      <c r="Y143" t="s">
        <v>1010</v>
      </c>
    </row>
    <row r="144" spans="1:25" x14ac:dyDescent="0.25">
      <c r="A144" t="str">
        <f>"1012906348"</f>
        <v>1012906348</v>
      </c>
      <c r="B144" t="s">
        <v>654</v>
      </c>
      <c r="C144" t="s">
        <v>1015</v>
      </c>
      <c r="D144" t="s">
        <v>1011</v>
      </c>
      <c r="E144">
        <v>424008</v>
      </c>
      <c r="F144" t="s">
        <v>1</v>
      </c>
      <c r="G144" t="s">
        <v>2</v>
      </c>
      <c r="H144" t="s">
        <v>1012</v>
      </c>
      <c r="I144" t="s">
        <v>1013</v>
      </c>
      <c r="L144" t="s">
        <v>1014</v>
      </c>
      <c r="P144" t="s">
        <v>689</v>
      </c>
      <c r="Y144" t="s">
        <v>1016</v>
      </c>
    </row>
    <row r="145" spans="1:25" x14ac:dyDescent="0.25">
      <c r="A145" t="str">
        <f>"1012909572"</f>
        <v>1012909572</v>
      </c>
      <c r="B145" t="s">
        <v>462</v>
      </c>
      <c r="C145" t="s">
        <v>1019</v>
      </c>
      <c r="D145" t="s">
        <v>1017</v>
      </c>
      <c r="E145">
        <v>424003</v>
      </c>
      <c r="F145" t="s">
        <v>1</v>
      </c>
      <c r="G145" t="s">
        <v>2</v>
      </c>
      <c r="H145" t="s">
        <v>38</v>
      </c>
      <c r="I145" t="s">
        <v>1018</v>
      </c>
      <c r="P145" t="s">
        <v>1020</v>
      </c>
      <c r="Y145" t="s">
        <v>1021</v>
      </c>
    </row>
    <row r="146" spans="1:25" x14ac:dyDescent="0.25">
      <c r="A146" t="str">
        <f>"1013043621"</f>
        <v>1013043621</v>
      </c>
      <c r="B146" t="s">
        <v>1025</v>
      </c>
      <c r="C146" t="s">
        <v>1026</v>
      </c>
      <c r="D146" t="s">
        <v>1022</v>
      </c>
      <c r="E146">
        <v>424007</v>
      </c>
      <c r="F146" t="s">
        <v>1</v>
      </c>
      <c r="G146" t="s">
        <v>2</v>
      </c>
      <c r="H146" t="s">
        <v>1023</v>
      </c>
      <c r="J146" t="s">
        <v>1024</v>
      </c>
      <c r="P146" t="s">
        <v>1027</v>
      </c>
      <c r="Q146" t="s">
        <v>1028</v>
      </c>
      <c r="Y146" t="s">
        <v>1029</v>
      </c>
    </row>
    <row r="147" spans="1:25" x14ac:dyDescent="0.25">
      <c r="A147" t="str">
        <f>"1013143744"</f>
        <v>1013143744</v>
      </c>
      <c r="B147" t="s">
        <v>151</v>
      </c>
      <c r="C147" t="s">
        <v>1034</v>
      </c>
      <c r="D147" t="s">
        <v>1030</v>
      </c>
      <c r="E147">
        <v>424008</v>
      </c>
      <c r="F147" t="s">
        <v>1</v>
      </c>
      <c r="G147" t="s">
        <v>2</v>
      </c>
      <c r="H147" t="s">
        <v>1031</v>
      </c>
      <c r="I147" t="s">
        <v>1032</v>
      </c>
      <c r="J147" t="s">
        <v>1033</v>
      </c>
      <c r="P147" t="s">
        <v>1035</v>
      </c>
      <c r="Y147" t="s">
        <v>1036</v>
      </c>
    </row>
    <row r="148" spans="1:25" x14ac:dyDescent="0.25">
      <c r="A148" t="str">
        <f>"1013172764"</f>
        <v>1013172764</v>
      </c>
      <c r="B148" t="s">
        <v>18</v>
      </c>
      <c r="C148" t="s">
        <v>143</v>
      </c>
      <c r="D148" t="s">
        <v>1037</v>
      </c>
      <c r="E148">
        <v>424038</v>
      </c>
      <c r="F148" t="s">
        <v>1</v>
      </c>
      <c r="G148" t="s">
        <v>2</v>
      </c>
      <c r="H148" t="s">
        <v>1038</v>
      </c>
      <c r="P148" t="s">
        <v>1039</v>
      </c>
      <c r="Y148" t="s">
        <v>1040</v>
      </c>
    </row>
    <row r="149" spans="1:25" x14ac:dyDescent="0.25">
      <c r="A149" t="str">
        <f>"1013299734"</f>
        <v>1013299734</v>
      </c>
      <c r="B149" t="s">
        <v>1046</v>
      </c>
      <c r="C149" t="s">
        <v>1047</v>
      </c>
      <c r="D149" t="s">
        <v>1041</v>
      </c>
      <c r="E149">
        <v>424003</v>
      </c>
      <c r="F149" t="s">
        <v>1</v>
      </c>
      <c r="G149" t="s">
        <v>2</v>
      </c>
      <c r="H149" t="s">
        <v>1042</v>
      </c>
      <c r="I149" t="s">
        <v>1043</v>
      </c>
      <c r="L149" t="s">
        <v>1044</v>
      </c>
      <c r="M149" t="s">
        <v>1045</v>
      </c>
      <c r="P149" t="s">
        <v>60</v>
      </c>
      <c r="Q149" t="s">
        <v>1048</v>
      </c>
      <c r="Y149" t="s">
        <v>1049</v>
      </c>
    </row>
    <row r="150" spans="1:25" x14ac:dyDescent="0.25">
      <c r="A150" t="str">
        <f>"1013358677"</f>
        <v>1013358677</v>
      </c>
      <c r="B150" t="s">
        <v>1053</v>
      </c>
      <c r="C150" t="s">
        <v>1054</v>
      </c>
      <c r="D150" t="s">
        <v>1050</v>
      </c>
      <c r="E150">
        <v>424008</v>
      </c>
      <c r="F150" t="s">
        <v>1</v>
      </c>
      <c r="G150" t="s">
        <v>2</v>
      </c>
      <c r="H150" t="s">
        <v>1012</v>
      </c>
      <c r="I150" t="s">
        <v>1051</v>
      </c>
      <c r="J150" t="s">
        <v>1052</v>
      </c>
      <c r="P150" t="s">
        <v>280</v>
      </c>
      <c r="Y150" t="s">
        <v>1016</v>
      </c>
    </row>
    <row r="151" spans="1:25" x14ac:dyDescent="0.25">
      <c r="A151" t="str">
        <f>"1013366430"</f>
        <v>1013366430</v>
      </c>
      <c r="B151" t="s">
        <v>1061</v>
      </c>
      <c r="C151" t="s">
        <v>1062</v>
      </c>
      <c r="D151" t="s">
        <v>1055</v>
      </c>
      <c r="E151">
        <v>424032</v>
      </c>
      <c r="F151" t="s">
        <v>1</v>
      </c>
      <c r="G151" t="s">
        <v>2</v>
      </c>
      <c r="H151" t="s">
        <v>1056</v>
      </c>
      <c r="I151" t="s">
        <v>1057</v>
      </c>
      <c r="K151" t="s">
        <v>1058</v>
      </c>
      <c r="L151" t="s">
        <v>1059</v>
      </c>
      <c r="M151" t="s">
        <v>1060</v>
      </c>
      <c r="P151" t="s">
        <v>20</v>
      </c>
      <c r="Q151" t="s">
        <v>1063</v>
      </c>
      <c r="Y151" t="s">
        <v>1064</v>
      </c>
    </row>
    <row r="152" spans="1:25" x14ac:dyDescent="0.25">
      <c r="A152" t="str">
        <f>"1013459937"</f>
        <v>1013459937</v>
      </c>
      <c r="B152" t="s">
        <v>18</v>
      </c>
      <c r="C152" t="s">
        <v>1070</v>
      </c>
      <c r="D152" t="s">
        <v>1065</v>
      </c>
      <c r="E152">
        <v>424016</v>
      </c>
      <c r="F152" t="s">
        <v>1</v>
      </c>
      <c r="G152" t="s">
        <v>2</v>
      </c>
      <c r="H152" t="s">
        <v>673</v>
      </c>
      <c r="I152" t="s">
        <v>1066</v>
      </c>
      <c r="J152" t="s">
        <v>1067</v>
      </c>
      <c r="L152" t="s">
        <v>1068</v>
      </c>
      <c r="M152" t="s">
        <v>1069</v>
      </c>
      <c r="P152" t="s">
        <v>1071</v>
      </c>
      <c r="Y152" t="s">
        <v>1072</v>
      </c>
    </row>
    <row r="153" spans="1:25" x14ac:dyDescent="0.25">
      <c r="A153" t="str">
        <f>"1013556849"</f>
        <v>1013556849</v>
      </c>
      <c r="B153" t="s">
        <v>1078</v>
      </c>
      <c r="C153" t="s">
        <v>1079</v>
      </c>
      <c r="D153" t="s">
        <v>1073</v>
      </c>
      <c r="E153">
        <v>424002</v>
      </c>
      <c r="F153" t="s">
        <v>1</v>
      </c>
      <c r="G153" t="s">
        <v>2</v>
      </c>
      <c r="H153" t="s">
        <v>744</v>
      </c>
      <c r="I153" t="s">
        <v>1074</v>
      </c>
      <c r="J153" t="s">
        <v>1075</v>
      </c>
      <c r="L153" t="s">
        <v>1076</v>
      </c>
      <c r="M153" t="s">
        <v>1077</v>
      </c>
      <c r="P153" t="s">
        <v>1080</v>
      </c>
      <c r="Q153" t="s">
        <v>1081</v>
      </c>
      <c r="V153" t="s">
        <v>1082</v>
      </c>
      <c r="Y153" t="s">
        <v>1083</v>
      </c>
    </row>
    <row r="154" spans="1:25" x14ac:dyDescent="0.25">
      <c r="A154" t="str">
        <f>"1013564534"</f>
        <v>1013564534</v>
      </c>
      <c r="B154" t="s">
        <v>348</v>
      </c>
      <c r="C154" t="s">
        <v>1091</v>
      </c>
      <c r="D154" t="s">
        <v>1084</v>
      </c>
      <c r="E154">
        <v>424007</v>
      </c>
      <c r="F154" t="s">
        <v>1</v>
      </c>
      <c r="G154" t="s">
        <v>2</v>
      </c>
      <c r="H154" t="s">
        <v>1085</v>
      </c>
      <c r="I154" t="s">
        <v>1086</v>
      </c>
      <c r="J154" t="s">
        <v>1087</v>
      </c>
      <c r="K154" t="s">
        <v>1088</v>
      </c>
      <c r="L154" t="s">
        <v>1089</v>
      </c>
      <c r="M154" t="s">
        <v>1090</v>
      </c>
      <c r="P154" t="s">
        <v>20</v>
      </c>
      <c r="Q154" t="s">
        <v>1092</v>
      </c>
      <c r="Y154" t="s">
        <v>1093</v>
      </c>
    </row>
    <row r="155" spans="1:25" x14ac:dyDescent="0.25">
      <c r="A155" t="str">
        <f>"1013643602"</f>
        <v>1013643602</v>
      </c>
      <c r="B155" t="s">
        <v>930</v>
      </c>
      <c r="C155" t="s">
        <v>1096</v>
      </c>
      <c r="D155" t="s">
        <v>1094</v>
      </c>
      <c r="E155">
        <v>424026</v>
      </c>
      <c r="F155" t="s">
        <v>1</v>
      </c>
      <c r="G155" t="s">
        <v>2</v>
      </c>
      <c r="H155" t="s">
        <v>1095</v>
      </c>
      <c r="Y155" t="s">
        <v>1097</v>
      </c>
    </row>
    <row r="156" spans="1:25" x14ac:dyDescent="0.25">
      <c r="A156" t="str">
        <f>"1013731574"</f>
        <v>1013731574</v>
      </c>
      <c r="B156" t="s">
        <v>930</v>
      </c>
      <c r="C156" t="s">
        <v>1103</v>
      </c>
      <c r="D156" t="s">
        <v>1098</v>
      </c>
      <c r="E156">
        <v>424020</v>
      </c>
      <c r="F156" t="s">
        <v>1</v>
      </c>
      <c r="G156" t="s">
        <v>2</v>
      </c>
      <c r="H156" t="s">
        <v>23</v>
      </c>
      <c r="I156" t="s">
        <v>1099</v>
      </c>
      <c r="J156" t="s">
        <v>1100</v>
      </c>
      <c r="L156" t="s">
        <v>1101</v>
      </c>
      <c r="M156" t="s">
        <v>1102</v>
      </c>
      <c r="P156" t="s">
        <v>330</v>
      </c>
      <c r="Y156" t="s">
        <v>1104</v>
      </c>
    </row>
    <row r="157" spans="1:25" x14ac:dyDescent="0.25">
      <c r="A157" t="str">
        <f>"1013783842"</f>
        <v>1013783842</v>
      </c>
      <c r="B157" t="s">
        <v>348</v>
      </c>
      <c r="C157" t="s">
        <v>1106</v>
      </c>
      <c r="D157" t="s">
        <v>1105</v>
      </c>
      <c r="F157" t="s">
        <v>1</v>
      </c>
      <c r="G157" t="s">
        <v>2</v>
      </c>
      <c r="H157" t="s">
        <v>757</v>
      </c>
      <c r="P157" t="s">
        <v>1107</v>
      </c>
      <c r="Y157" t="s">
        <v>760</v>
      </c>
    </row>
    <row r="158" spans="1:25" x14ac:dyDescent="0.25">
      <c r="A158" t="str">
        <f>"1013840756"</f>
        <v>1013840756</v>
      </c>
      <c r="B158" t="s">
        <v>930</v>
      </c>
      <c r="C158" t="s">
        <v>1113</v>
      </c>
      <c r="D158" t="s">
        <v>1108</v>
      </c>
      <c r="F158" t="s">
        <v>1</v>
      </c>
      <c r="G158" t="s">
        <v>2</v>
      </c>
      <c r="H158" t="s">
        <v>1109</v>
      </c>
      <c r="I158" t="s">
        <v>1110</v>
      </c>
      <c r="L158" t="s">
        <v>1111</v>
      </c>
      <c r="M158" t="s">
        <v>1112</v>
      </c>
      <c r="P158" t="s">
        <v>280</v>
      </c>
      <c r="Y158" t="s">
        <v>1114</v>
      </c>
    </row>
    <row r="159" spans="1:25" x14ac:dyDescent="0.25">
      <c r="A159" t="str">
        <f>"1013868940"</f>
        <v>1013868940</v>
      </c>
      <c r="B159" t="s">
        <v>110</v>
      </c>
      <c r="C159" t="s">
        <v>111</v>
      </c>
      <c r="D159" t="s">
        <v>1115</v>
      </c>
      <c r="E159">
        <v>424037</v>
      </c>
      <c r="F159" t="s">
        <v>1</v>
      </c>
      <c r="G159" t="s">
        <v>2</v>
      </c>
      <c r="H159" t="s">
        <v>1116</v>
      </c>
      <c r="I159" t="s">
        <v>1117</v>
      </c>
      <c r="L159" t="s">
        <v>1118</v>
      </c>
      <c r="M159" t="s">
        <v>1119</v>
      </c>
      <c r="P159" t="s">
        <v>1120</v>
      </c>
      <c r="Q159" t="s">
        <v>1121</v>
      </c>
      <c r="Y159" t="s">
        <v>1122</v>
      </c>
    </row>
    <row r="160" spans="1:25" x14ac:dyDescent="0.25">
      <c r="A160" t="str">
        <f>"1014055025"</f>
        <v>1014055025</v>
      </c>
      <c r="B160" t="s">
        <v>32</v>
      </c>
      <c r="C160" t="s">
        <v>40</v>
      </c>
      <c r="D160" t="s">
        <v>1123</v>
      </c>
      <c r="E160">
        <v>424006</v>
      </c>
      <c r="F160" t="s">
        <v>1</v>
      </c>
      <c r="G160" t="s">
        <v>2</v>
      </c>
      <c r="H160" t="s">
        <v>1124</v>
      </c>
      <c r="I160" t="s">
        <v>1125</v>
      </c>
      <c r="P160" t="s">
        <v>1126</v>
      </c>
      <c r="Y160" t="s">
        <v>1127</v>
      </c>
    </row>
    <row r="161" spans="1:25" x14ac:dyDescent="0.25">
      <c r="A161" t="str">
        <f>"1014104315"</f>
        <v>1014104315</v>
      </c>
      <c r="B161" t="s">
        <v>176</v>
      </c>
      <c r="C161" t="s">
        <v>566</v>
      </c>
      <c r="D161" t="s">
        <v>1128</v>
      </c>
      <c r="E161">
        <v>424031</v>
      </c>
      <c r="F161" t="s">
        <v>1</v>
      </c>
      <c r="G161" t="s">
        <v>2</v>
      </c>
      <c r="H161" t="s">
        <v>1129</v>
      </c>
      <c r="I161" t="s">
        <v>1130</v>
      </c>
      <c r="L161" t="s">
        <v>1131</v>
      </c>
      <c r="M161" t="s">
        <v>1132</v>
      </c>
      <c r="P161" t="s">
        <v>330</v>
      </c>
      <c r="Q161" t="s">
        <v>1133</v>
      </c>
      <c r="T161" t="s">
        <v>1134</v>
      </c>
      <c r="V161" t="s">
        <v>1135</v>
      </c>
      <c r="Y161" t="s">
        <v>1136</v>
      </c>
    </row>
    <row r="162" spans="1:25" x14ac:dyDescent="0.25">
      <c r="A162" t="str">
        <f>"1014105873"</f>
        <v>1014105873</v>
      </c>
      <c r="B162" t="s">
        <v>462</v>
      </c>
      <c r="C162" t="s">
        <v>1140</v>
      </c>
      <c r="D162" t="s">
        <v>1137</v>
      </c>
      <c r="E162">
        <v>424000</v>
      </c>
      <c r="F162" t="s">
        <v>1</v>
      </c>
      <c r="G162" t="s">
        <v>2</v>
      </c>
      <c r="H162" t="s">
        <v>1138</v>
      </c>
      <c r="I162" t="s">
        <v>1139</v>
      </c>
      <c r="Y162" t="s">
        <v>1141</v>
      </c>
    </row>
    <row r="163" spans="1:25" x14ac:dyDescent="0.25">
      <c r="A163" t="str">
        <f>"1014255517"</f>
        <v>1014255517</v>
      </c>
      <c r="B163" t="s">
        <v>25</v>
      </c>
      <c r="C163" t="s">
        <v>59</v>
      </c>
      <c r="D163" t="s">
        <v>1142</v>
      </c>
      <c r="E163">
        <v>424003</v>
      </c>
      <c r="F163" t="s">
        <v>1</v>
      </c>
      <c r="G163" t="s">
        <v>2</v>
      </c>
      <c r="H163" t="s">
        <v>1143</v>
      </c>
      <c r="I163" t="s">
        <v>1144</v>
      </c>
      <c r="J163" t="s">
        <v>1145</v>
      </c>
      <c r="P163" t="s">
        <v>340</v>
      </c>
      <c r="Y163" t="s">
        <v>1146</v>
      </c>
    </row>
    <row r="164" spans="1:25" x14ac:dyDescent="0.25">
      <c r="A164" t="str">
        <f>"1014471727"</f>
        <v>1014471727</v>
      </c>
      <c r="B164" t="s">
        <v>1152</v>
      </c>
      <c r="C164" t="s">
        <v>1153</v>
      </c>
      <c r="D164" t="s">
        <v>1147</v>
      </c>
      <c r="E164">
        <v>424005</v>
      </c>
      <c r="F164" t="s">
        <v>1</v>
      </c>
      <c r="G164" t="s">
        <v>2</v>
      </c>
      <c r="H164" t="s">
        <v>1148</v>
      </c>
      <c r="I164" t="s">
        <v>1149</v>
      </c>
      <c r="L164" t="s">
        <v>1150</v>
      </c>
      <c r="M164" t="s">
        <v>1151</v>
      </c>
      <c r="P164" t="s">
        <v>330</v>
      </c>
      <c r="Q164" t="s">
        <v>1154</v>
      </c>
      <c r="S164" t="s">
        <v>71</v>
      </c>
      <c r="T164" t="s">
        <v>72</v>
      </c>
      <c r="V164" t="s">
        <v>73</v>
      </c>
      <c r="Y164" t="s">
        <v>1155</v>
      </c>
    </row>
    <row r="165" spans="1:25" x14ac:dyDescent="0.25">
      <c r="A165" t="str">
        <f>"1014594055"</f>
        <v>1014594055</v>
      </c>
      <c r="B165" t="s">
        <v>1152</v>
      </c>
      <c r="C165" t="s">
        <v>1159</v>
      </c>
      <c r="D165" t="s">
        <v>1156</v>
      </c>
      <c r="E165">
        <v>424008</v>
      </c>
      <c r="F165" t="s">
        <v>1</v>
      </c>
      <c r="G165" t="s">
        <v>2</v>
      </c>
      <c r="H165" t="s">
        <v>1012</v>
      </c>
      <c r="I165" t="s">
        <v>1157</v>
      </c>
      <c r="J165" t="s">
        <v>1158</v>
      </c>
      <c r="P165" t="s">
        <v>1160</v>
      </c>
      <c r="Q165" t="s">
        <v>1161</v>
      </c>
      <c r="Y165" t="s">
        <v>1162</v>
      </c>
    </row>
    <row r="166" spans="1:25" x14ac:dyDescent="0.25">
      <c r="A166" t="str">
        <f>"1014650134"</f>
        <v>1014650134</v>
      </c>
      <c r="B166" t="s">
        <v>553</v>
      </c>
      <c r="C166" t="s">
        <v>1165</v>
      </c>
      <c r="D166" t="s">
        <v>1163</v>
      </c>
      <c r="E166">
        <v>424001</v>
      </c>
      <c r="F166" t="s">
        <v>1</v>
      </c>
      <c r="G166" t="s">
        <v>2</v>
      </c>
      <c r="H166" t="s">
        <v>919</v>
      </c>
      <c r="M166" t="s">
        <v>1164</v>
      </c>
      <c r="P166" t="s">
        <v>1166</v>
      </c>
      <c r="Y166" t="s">
        <v>1167</v>
      </c>
    </row>
    <row r="167" spans="1:25" x14ac:dyDescent="0.25">
      <c r="A167" t="str">
        <f>"1014654892"</f>
        <v>1014654892</v>
      </c>
      <c r="B167" t="s">
        <v>334</v>
      </c>
      <c r="C167" t="s">
        <v>1173</v>
      </c>
      <c r="D167" t="s">
        <v>1168</v>
      </c>
      <c r="E167">
        <v>424004</v>
      </c>
      <c r="F167" t="s">
        <v>1</v>
      </c>
      <c r="G167" t="s">
        <v>2</v>
      </c>
      <c r="H167" t="s">
        <v>1169</v>
      </c>
      <c r="I167" t="s">
        <v>1170</v>
      </c>
      <c r="L167" t="s">
        <v>1171</v>
      </c>
      <c r="M167" t="s">
        <v>1172</v>
      </c>
      <c r="P167" t="s">
        <v>27</v>
      </c>
      <c r="Q167" t="s">
        <v>1174</v>
      </c>
      <c r="R167" t="s">
        <v>1175</v>
      </c>
      <c r="T167" t="s">
        <v>1176</v>
      </c>
      <c r="V167" t="s">
        <v>1177</v>
      </c>
      <c r="Y167" t="s">
        <v>1178</v>
      </c>
    </row>
    <row r="168" spans="1:25" x14ac:dyDescent="0.25">
      <c r="A168" t="str">
        <f>"1014710340"</f>
        <v>1014710340</v>
      </c>
      <c r="B168" t="s">
        <v>1182</v>
      </c>
      <c r="C168" t="s">
        <v>1183</v>
      </c>
      <c r="D168" t="s">
        <v>1179</v>
      </c>
      <c r="E168">
        <v>424039</v>
      </c>
      <c r="F168" t="s">
        <v>1</v>
      </c>
      <c r="G168" t="s">
        <v>2</v>
      </c>
      <c r="H168" t="s">
        <v>1180</v>
      </c>
      <c r="I168" t="s">
        <v>1181</v>
      </c>
      <c r="P168" t="s">
        <v>27</v>
      </c>
      <c r="Y168" t="s">
        <v>1184</v>
      </c>
    </row>
    <row r="169" spans="1:25" x14ac:dyDescent="0.25">
      <c r="A169" t="str">
        <f>"1014786647"</f>
        <v>1014786647</v>
      </c>
      <c r="B169" t="s">
        <v>123</v>
      </c>
      <c r="C169" t="s">
        <v>424</v>
      </c>
      <c r="D169" t="s">
        <v>1185</v>
      </c>
      <c r="E169">
        <v>424008</v>
      </c>
      <c r="F169" t="s">
        <v>1</v>
      </c>
      <c r="G169" t="s">
        <v>2</v>
      </c>
      <c r="H169" t="s">
        <v>1186</v>
      </c>
      <c r="I169" t="s">
        <v>1187</v>
      </c>
      <c r="P169" t="s">
        <v>425</v>
      </c>
      <c r="Y169" t="s">
        <v>1188</v>
      </c>
    </row>
    <row r="170" spans="1:25" x14ac:dyDescent="0.25">
      <c r="A170" t="str">
        <f>"1014834810"</f>
        <v>1014834810</v>
      </c>
      <c r="B170" t="s">
        <v>482</v>
      </c>
      <c r="C170" t="s">
        <v>483</v>
      </c>
      <c r="D170" t="s">
        <v>1189</v>
      </c>
      <c r="E170">
        <v>424002</v>
      </c>
      <c r="F170" t="s">
        <v>1</v>
      </c>
      <c r="G170" t="s">
        <v>2</v>
      </c>
      <c r="H170" t="s">
        <v>1190</v>
      </c>
      <c r="I170" t="s">
        <v>1191</v>
      </c>
      <c r="M170" t="s">
        <v>1192</v>
      </c>
      <c r="Y170" t="s">
        <v>1193</v>
      </c>
    </row>
    <row r="171" spans="1:25" x14ac:dyDescent="0.25">
      <c r="A171" t="str">
        <f>"1015013732"</f>
        <v>1015013732</v>
      </c>
      <c r="B171" t="s">
        <v>233</v>
      </c>
      <c r="C171" t="s">
        <v>1200</v>
      </c>
      <c r="D171" t="s">
        <v>1194</v>
      </c>
      <c r="F171" t="s">
        <v>1</v>
      </c>
      <c r="G171" t="s">
        <v>2</v>
      </c>
      <c r="H171" t="s">
        <v>1195</v>
      </c>
      <c r="I171" t="s">
        <v>1196</v>
      </c>
      <c r="J171" t="s">
        <v>1197</v>
      </c>
      <c r="L171" t="s">
        <v>1198</v>
      </c>
      <c r="M171" t="s">
        <v>1199</v>
      </c>
      <c r="P171" t="s">
        <v>584</v>
      </c>
      <c r="Y171" t="s">
        <v>1201</v>
      </c>
    </row>
    <row r="172" spans="1:25" x14ac:dyDescent="0.25">
      <c r="A172" t="str">
        <f>"1015082860"</f>
        <v>1015082860</v>
      </c>
      <c r="B172" t="s">
        <v>7</v>
      </c>
      <c r="C172" t="s">
        <v>1205</v>
      </c>
      <c r="D172" t="s">
        <v>1202</v>
      </c>
      <c r="E172">
        <v>424004</v>
      </c>
      <c r="F172" t="s">
        <v>1</v>
      </c>
      <c r="G172" t="s">
        <v>2</v>
      </c>
      <c r="H172" t="s">
        <v>1203</v>
      </c>
      <c r="I172" t="s">
        <v>1204</v>
      </c>
      <c r="P172" t="s">
        <v>280</v>
      </c>
      <c r="Y172" t="s">
        <v>1206</v>
      </c>
    </row>
    <row r="173" spans="1:25" x14ac:dyDescent="0.25">
      <c r="A173" t="str">
        <f>"1015144936"</f>
        <v>1015144936</v>
      </c>
      <c r="B173" t="s">
        <v>96</v>
      </c>
      <c r="C173" t="s">
        <v>659</v>
      </c>
      <c r="D173" t="s">
        <v>1207</v>
      </c>
      <c r="E173">
        <v>424002</v>
      </c>
      <c r="F173" t="s">
        <v>1</v>
      </c>
      <c r="G173" t="s">
        <v>2</v>
      </c>
      <c r="H173" t="s">
        <v>1208</v>
      </c>
      <c r="I173" t="s">
        <v>1209</v>
      </c>
      <c r="J173" t="s">
        <v>1210</v>
      </c>
      <c r="L173" t="s">
        <v>1211</v>
      </c>
      <c r="M173" t="s">
        <v>1212</v>
      </c>
      <c r="P173" t="s">
        <v>1213</v>
      </c>
      <c r="Q173" t="s">
        <v>1214</v>
      </c>
      <c r="R173" t="s">
        <v>1215</v>
      </c>
      <c r="T173" t="s">
        <v>1216</v>
      </c>
      <c r="U173" t="s">
        <v>1217</v>
      </c>
      <c r="V173" t="s">
        <v>1218</v>
      </c>
      <c r="Y173" t="s">
        <v>1219</v>
      </c>
    </row>
    <row r="174" spans="1:25" x14ac:dyDescent="0.25">
      <c r="A174" t="str">
        <f>"1015167910"</f>
        <v>1015167910</v>
      </c>
      <c r="B174" t="s">
        <v>1222</v>
      </c>
      <c r="C174" t="s">
        <v>1223</v>
      </c>
      <c r="D174" t="s">
        <v>1220</v>
      </c>
      <c r="F174" t="s">
        <v>1</v>
      </c>
      <c r="G174" t="s">
        <v>2</v>
      </c>
      <c r="H174" t="s">
        <v>1221</v>
      </c>
      <c r="Y174" t="s">
        <v>1224</v>
      </c>
    </row>
    <row r="175" spans="1:25" x14ac:dyDescent="0.25">
      <c r="A175" t="str">
        <f>"1015220648"</f>
        <v>1015220648</v>
      </c>
      <c r="B175" t="s">
        <v>1230</v>
      </c>
      <c r="C175" t="s">
        <v>1231</v>
      </c>
      <c r="D175" t="s">
        <v>1225</v>
      </c>
      <c r="E175">
        <v>424002</v>
      </c>
      <c r="F175" t="s">
        <v>1</v>
      </c>
      <c r="G175" t="s">
        <v>2</v>
      </c>
      <c r="H175" t="s">
        <v>1226</v>
      </c>
      <c r="I175" t="s">
        <v>1227</v>
      </c>
      <c r="L175" t="s">
        <v>1228</v>
      </c>
      <c r="M175" t="s">
        <v>1229</v>
      </c>
      <c r="P175" t="s">
        <v>1232</v>
      </c>
      <c r="Q175" t="s">
        <v>1233</v>
      </c>
      <c r="T175" t="s">
        <v>1234</v>
      </c>
      <c r="Y175" t="s">
        <v>1235</v>
      </c>
    </row>
    <row r="176" spans="1:25" x14ac:dyDescent="0.25">
      <c r="A176" t="str">
        <f>"1015410543"</f>
        <v>1015410543</v>
      </c>
      <c r="B176" t="s">
        <v>290</v>
      </c>
      <c r="C176" t="s">
        <v>291</v>
      </c>
      <c r="D176" t="s">
        <v>1236</v>
      </c>
      <c r="E176">
        <v>424002</v>
      </c>
      <c r="F176" t="s">
        <v>1</v>
      </c>
      <c r="G176" t="s">
        <v>2</v>
      </c>
      <c r="H176" t="s">
        <v>662</v>
      </c>
      <c r="I176" t="s">
        <v>1237</v>
      </c>
      <c r="P176" t="s">
        <v>1238</v>
      </c>
      <c r="Q176" t="s">
        <v>1239</v>
      </c>
      <c r="Y176" t="s">
        <v>1240</v>
      </c>
    </row>
    <row r="177" spans="1:25" x14ac:dyDescent="0.25">
      <c r="A177" t="str">
        <f>"1015418575"</f>
        <v>1015418575</v>
      </c>
      <c r="B177" t="s">
        <v>96</v>
      </c>
      <c r="C177" t="s">
        <v>893</v>
      </c>
      <c r="D177" t="s">
        <v>1241</v>
      </c>
      <c r="E177">
        <v>424007</v>
      </c>
      <c r="F177" t="s">
        <v>1</v>
      </c>
      <c r="G177" t="s">
        <v>2</v>
      </c>
      <c r="H177" t="s">
        <v>1242</v>
      </c>
      <c r="I177" t="s">
        <v>1243</v>
      </c>
      <c r="P177" t="s">
        <v>20</v>
      </c>
      <c r="Y177" t="s">
        <v>1244</v>
      </c>
    </row>
    <row r="178" spans="1:25" x14ac:dyDescent="0.25">
      <c r="A178" t="str">
        <f>"1015560247"</f>
        <v>1015560247</v>
      </c>
      <c r="B178" t="s">
        <v>67</v>
      </c>
      <c r="C178" t="s">
        <v>269</v>
      </c>
      <c r="D178" t="s">
        <v>1147</v>
      </c>
      <c r="E178">
        <v>424006</v>
      </c>
      <c r="F178" t="s">
        <v>1</v>
      </c>
      <c r="G178" t="s">
        <v>2</v>
      </c>
      <c r="H178" t="s">
        <v>1245</v>
      </c>
      <c r="I178" t="s">
        <v>1149</v>
      </c>
      <c r="P178" t="s">
        <v>330</v>
      </c>
      <c r="Y178" t="s">
        <v>1246</v>
      </c>
    </row>
    <row r="179" spans="1:25" x14ac:dyDescent="0.25">
      <c r="A179" t="str">
        <f>"1015595043"</f>
        <v>1015595043</v>
      </c>
      <c r="B179" t="s">
        <v>67</v>
      </c>
      <c r="C179" t="s">
        <v>269</v>
      </c>
      <c r="D179" t="s">
        <v>1147</v>
      </c>
      <c r="E179">
        <v>424037</v>
      </c>
      <c r="F179" t="s">
        <v>1</v>
      </c>
      <c r="G179" t="s">
        <v>2</v>
      </c>
      <c r="H179" t="s">
        <v>1247</v>
      </c>
      <c r="I179" t="s">
        <v>1149</v>
      </c>
      <c r="L179" t="s">
        <v>1150</v>
      </c>
      <c r="M179" t="s">
        <v>1248</v>
      </c>
      <c r="Q179" t="s">
        <v>70</v>
      </c>
      <c r="S179" t="s">
        <v>71</v>
      </c>
      <c r="T179" t="s">
        <v>72</v>
      </c>
      <c r="V179" t="s">
        <v>73</v>
      </c>
      <c r="Y179" t="s">
        <v>1249</v>
      </c>
    </row>
    <row r="180" spans="1:25" x14ac:dyDescent="0.25">
      <c r="A180" t="str">
        <f>"1015801839"</f>
        <v>1015801839</v>
      </c>
      <c r="B180" t="s">
        <v>591</v>
      </c>
      <c r="C180" t="s">
        <v>1256</v>
      </c>
      <c r="D180" t="s">
        <v>1250</v>
      </c>
      <c r="E180">
        <v>424028</v>
      </c>
      <c r="F180" t="s">
        <v>1</v>
      </c>
      <c r="G180" t="s">
        <v>2</v>
      </c>
      <c r="H180" t="s">
        <v>1251</v>
      </c>
      <c r="I180" t="s">
        <v>1252</v>
      </c>
      <c r="K180" t="s">
        <v>1253</v>
      </c>
      <c r="L180" t="s">
        <v>1254</v>
      </c>
      <c r="M180" t="s">
        <v>1255</v>
      </c>
      <c r="P180" t="s">
        <v>1257</v>
      </c>
      <c r="Y180" t="s">
        <v>1258</v>
      </c>
    </row>
    <row r="181" spans="1:25" x14ac:dyDescent="0.25">
      <c r="A181" t="str">
        <f>"1015873041"</f>
        <v>1015873041</v>
      </c>
      <c r="B181" t="s">
        <v>1262</v>
      </c>
      <c r="C181" t="s">
        <v>1263</v>
      </c>
      <c r="D181" t="s">
        <v>1259</v>
      </c>
      <c r="E181">
        <v>424028</v>
      </c>
      <c r="F181" t="s">
        <v>1</v>
      </c>
      <c r="G181" t="s">
        <v>2</v>
      </c>
      <c r="H181" t="s">
        <v>1260</v>
      </c>
      <c r="I181" t="s">
        <v>1261</v>
      </c>
      <c r="Y181" t="s">
        <v>1264</v>
      </c>
    </row>
    <row r="182" spans="1:25" x14ac:dyDescent="0.25">
      <c r="A182" t="str">
        <f>"1015944813"</f>
        <v>1015944813</v>
      </c>
      <c r="B182" t="s">
        <v>1268</v>
      </c>
      <c r="C182" t="s">
        <v>1269</v>
      </c>
      <c r="D182" t="s">
        <v>1265</v>
      </c>
      <c r="E182">
        <v>424003</v>
      </c>
      <c r="F182" t="s">
        <v>1</v>
      </c>
      <c r="G182" t="s">
        <v>2</v>
      </c>
      <c r="H182" t="s">
        <v>1266</v>
      </c>
      <c r="I182" t="s">
        <v>1267</v>
      </c>
      <c r="P182" t="s">
        <v>1270</v>
      </c>
      <c r="Y182" t="s">
        <v>1271</v>
      </c>
    </row>
    <row r="183" spans="1:25" x14ac:dyDescent="0.25">
      <c r="A183" t="str">
        <f>"1015959051"</f>
        <v>1015959051</v>
      </c>
      <c r="B183" t="s">
        <v>176</v>
      </c>
      <c r="C183" t="s">
        <v>1275</v>
      </c>
      <c r="D183" t="s">
        <v>1272</v>
      </c>
      <c r="E183">
        <v>424031</v>
      </c>
      <c r="F183" t="s">
        <v>1</v>
      </c>
      <c r="G183" t="s">
        <v>2</v>
      </c>
      <c r="H183" t="s">
        <v>1273</v>
      </c>
      <c r="I183" t="s">
        <v>1274</v>
      </c>
      <c r="P183" t="s">
        <v>390</v>
      </c>
      <c r="Y183" t="s">
        <v>1276</v>
      </c>
    </row>
    <row r="184" spans="1:25" x14ac:dyDescent="0.25">
      <c r="A184" t="str">
        <f>"1016097735"</f>
        <v>1016097735</v>
      </c>
      <c r="B184" t="s">
        <v>18</v>
      </c>
      <c r="C184" t="s">
        <v>143</v>
      </c>
      <c r="D184" t="s">
        <v>1277</v>
      </c>
      <c r="E184">
        <v>424913</v>
      </c>
      <c r="F184" t="s">
        <v>1</v>
      </c>
      <c r="G184" t="s">
        <v>2</v>
      </c>
      <c r="H184" t="s">
        <v>1278</v>
      </c>
      <c r="J184" t="s">
        <v>1279</v>
      </c>
      <c r="P184" t="s">
        <v>280</v>
      </c>
      <c r="Y184" t="s">
        <v>1280</v>
      </c>
    </row>
    <row r="185" spans="1:25" x14ac:dyDescent="0.25">
      <c r="A185" t="str">
        <f>"1016194078"</f>
        <v>1016194078</v>
      </c>
      <c r="B185" t="s">
        <v>654</v>
      </c>
      <c r="C185" t="s">
        <v>1283</v>
      </c>
      <c r="D185" t="s">
        <v>1281</v>
      </c>
      <c r="E185">
        <v>424002</v>
      </c>
      <c r="F185" t="s">
        <v>1</v>
      </c>
      <c r="G185" t="s">
        <v>2</v>
      </c>
      <c r="H185" t="s">
        <v>1190</v>
      </c>
      <c r="I185" t="s">
        <v>1282</v>
      </c>
      <c r="P185" t="s">
        <v>20</v>
      </c>
      <c r="Y185" t="s">
        <v>1284</v>
      </c>
    </row>
    <row r="186" spans="1:25" x14ac:dyDescent="0.25">
      <c r="A186" t="str">
        <f>"1016239619"</f>
        <v>1016239619</v>
      </c>
      <c r="B186" t="s">
        <v>930</v>
      </c>
      <c r="C186" t="s">
        <v>1096</v>
      </c>
      <c r="D186" t="s">
        <v>1285</v>
      </c>
      <c r="E186">
        <v>424006</v>
      </c>
      <c r="F186" t="s">
        <v>1</v>
      </c>
      <c r="G186" t="s">
        <v>2</v>
      </c>
      <c r="H186" t="s">
        <v>1286</v>
      </c>
      <c r="J186" t="s">
        <v>1287</v>
      </c>
      <c r="P186" t="s">
        <v>27</v>
      </c>
      <c r="Y186" t="s">
        <v>1288</v>
      </c>
    </row>
    <row r="187" spans="1:25" x14ac:dyDescent="0.25">
      <c r="A187" t="str">
        <f>"1016283728"</f>
        <v>1016283728</v>
      </c>
      <c r="B187" t="s">
        <v>669</v>
      </c>
      <c r="C187" t="s">
        <v>1292</v>
      </c>
      <c r="D187" t="s">
        <v>1289</v>
      </c>
      <c r="E187">
        <v>424037</v>
      </c>
      <c r="F187" t="s">
        <v>1</v>
      </c>
      <c r="G187" t="s">
        <v>2</v>
      </c>
      <c r="H187" t="s">
        <v>1290</v>
      </c>
      <c r="I187" t="s">
        <v>1291</v>
      </c>
      <c r="P187" t="s">
        <v>20</v>
      </c>
      <c r="Y187" t="s">
        <v>1293</v>
      </c>
    </row>
    <row r="188" spans="1:25" x14ac:dyDescent="0.25">
      <c r="A188" t="str">
        <f>"1016302491"</f>
        <v>1016302491</v>
      </c>
      <c r="B188" t="s">
        <v>716</v>
      </c>
      <c r="C188" t="s">
        <v>717</v>
      </c>
      <c r="D188" t="s">
        <v>1294</v>
      </c>
      <c r="E188">
        <v>424002</v>
      </c>
      <c r="F188" t="s">
        <v>1</v>
      </c>
      <c r="G188" t="s">
        <v>2</v>
      </c>
      <c r="H188" t="s">
        <v>662</v>
      </c>
      <c r="I188" t="s">
        <v>1295</v>
      </c>
      <c r="P188" t="s">
        <v>330</v>
      </c>
      <c r="Y188" t="s">
        <v>1296</v>
      </c>
    </row>
    <row r="189" spans="1:25" x14ac:dyDescent="0.25">
      <c r="A189" t="str">
        <f>"1016310645"</f>
        <v>1016310645</v>
      </c>
      <c r="B189" t="s">
        <v>1299</v>
      </c>
      <c r="C189" t="s">
        <v>1300</v>
      </c>
      <c r="D189" t="s">
        <v>1297</v>
      </c>
      <c r="E189">
        <v>424005</v>
      </c>
      <c r="F189" t="s">
        <v>1</v>
      </c>
      <c r="G189" t="s">
        <v>2</v>
      </c>
      <c r="H189" t="s">
        <v>1298</v>
      </c>
      <c r="Y189" t="s">
        <v>1301</v>
      </c>
    </row>
    <row r="190" spans="1:25" x14ac:dyDescent="0.25">
      <c r="A190" t="str">
        <f>"1016539449"</f>
        <v>1016539449</v>
      </c>
      <c r="B190" t="s">
        <v>290</v>
      </c>
      <c r="C190" t="s">
        <v>290</v>
      </c>
      <c r="D190" t="s">
        <v>1302</v>
      </c>
      <c r="E190">
        <v>424003</v>
      </c>
      <c r="F190" t="s">
        <v>1</v>
      </c>
      <c r="G190" t="s">
        <v>2</v>
      </c>
      <c r="H190" t="s">
        <v>1303</v>
      </c>
      <c r="I190" t="s">
        <v>1304</v>
      </c>
      <c r="L190" t="s">
        <v>1305</v>
      </c>
      <c r="P190" t="s">
        <v>1306</v>
      </c>
      <c r="Q190" t="s">
        <v>1307</v>
      </c>
      <c r="Y190" t="s">
        <v>1308</v>
      </c>
    </row>
    <row r="191" spans="1:25" x14ac:dyDescent="0.25">
      <c r="A191" t="str">
        <f>"1016746257"</f>
        <v>1016746257</v>
      </c>
      <c r="B191" t="s">
        <v>1315</v>
      </c>
      <c r="C191" t="s">
        <v>1316</v>
      </c>
      <c r="D191" t="s">
        <v>1309</v>
      </c>
      <c r="E191">
        <v>424005</v>
      </c>
      <c r="F191" t="s">
        <v>1</v>
      </c>
      <c r="G191" t="s">
        <v>2</v>
      </c>
      <c r="H191" t="s">
        <v>1310</v>
      </c>
      <c r="I191" t="s">
        <v>1311</v>
      </c>
      <c r="K191" t="s">
        <v>1312</v>
      </c>
      <c r="L191" t="s">
        <v>1313</v>
      </c>
      <c r="M191" t="s">
        <v>1314</v>
      </c>
      <c r="Y191" t="s">
        <v>1317</v>
      </c>
    </row>
    <row r="192" spans="1:25" x14ac:dyDescent="0.25">
      <c r="A192" t="str">
        <f>"1016829379"</f>
        <v>1016829379</v>
      </c>
      <c r="B192" t="s">
        <v>1323</v>
      </c>
      <c r="C192" t="s">
        <v>1324</v>
      </c>
      <c r="D192" t="s">
        <v>1318</v>
      </c>
      <c r="E192">
        <v>424007</v>
      </c>
      <c r="F192" t="s">
        <v>1</v>
      </c>
      <c r="G192" t="s">
        <v>2</v>
      </c>
      <c r="H192" t="s">
        <v>1319</v>
      </c>
      <c r="I192" t="s">
        <v>1320</v>
      </c>
      <c r="L192" t="s">
        <v>1321</v>
      </c>
      <c r="M192" t="s">
        <v>1322</v>
      </c>
      <c r="P192" t="s">
        <v>20</v>
      </c>
      <c r="Q192" t="s">
        <v>1325</v>
      </c>
      <c r="T192" t="s">
        <v>1326</v>
      </c>
      <c r="V192" t="s">
        <v>1327</v>
      </c>
      <c r="Y192" t="s">
        <v>1328</v>
      </c>
    </row>
    <row r="193" spans="1:25" x14ac:dyDescent="0.25">
      <c r="A193" t="str">
        <f>"1016849112"</f>
        <v>1016849112</v>
      </c>
      <c r="B193" t="s">
        <v>176</v>
      </c>
      <c r="C193" t="s">
        <v>250</v>
      </c>
      <c r="D193" t="s">
        <v>1329</v>
      </c>
      <c r="E193">
        <v>424004</v>
      </c>
      <c r="F193" t="s">
        <v>1</v>
      </c>
      <c r="G193" t="s">
        <v>2</v>
      </c>
      <c r="H193" t="s">
        <v>1330</v>
      </c>
      <c r="I193" t="s">
        <v>1331</v>
      </c>
      <c r="L193" t="s">
        <v>1332</v>
      </c>
      <c r="M193" t="s">
        <v>1333</v>
      </c>
      <c r="P193" t="s">
        <v>1334</v>
      </c>
      <c r="Q193" t="s">
        <v>1335</v>
      </c>
      <c r="S193" t="s">
        <v>1336</v>
      </c>
      <c r="T193" t="s">
        <v>1337</v>
      </c>
      <c r="V193" t="s">
        <v>1338</v>
      </c>
      <c r="Y193" t="s">
        <v>1339</v>
      </c>
    </row>
    <row r="194" spans="1:25" x14ac:dyDescent="0.25">
      <c r="A194" t="str">
        <f>"1016853231"</f>
        <v>1016853231</v>
      </c>
      <c r="B194" t="s">
        <v>1343</v>
      </c>
      <c r="C194" t="s">
        <v>1344</v>
      </c>
      <c r="D194" t="s">
        <v>1340</v>
      </c>
      <c r="E194">
        <v>424033</v>
      </c>
      <c r="F194" t="s">
        <v>1</v>
      </c>
      <c r="G194" t="s">
        <v>2</v>
      </c>
      <c r="H194" t="s">
        <v>1341</v>
      </c>
      <c r="I194" t="s">
        <v>1342</v>
      </c>
      <c r="P194" t="s">
        <v>1345</v>
      </c>
      <c r="Y194" t="s">
        <v>1346</v>
      </c>
    </row>
    <row r="195" spans="1:25" x14ac:dyDescent="0.25">
      <c r="A195" t="str">
        <f>"1016873718"</f>
        <v>1016873718</v>
      </c>
      <c r="B195" t="s">
        <v>1352</v>
      </c>
      <c r="C195" t="s">
        <v>1353</v>
      </c>
      <c r="D195" t="s">
        <v>1347</v>
      </c>
      <c r="E195">
        <v>424006</v>
      </c>
      <c r="F195" t="s">
        <v>1</v>
      </c>
      <c r="G195" t="s">
        <v>2</v>
      </c>
      <c r="H195" t="s">
        <v>1348</v>
      </c>
      <c r="I195" t="s">
        <v>1349</v>
      </c>
      <c r="L195" t="s">
        <v>1350</v>
      </c>
      <c r="M195" t="s">
        <v>1351</v>
      </c>
      <c r="P195" t="s">
        <v>98</v>
      </c>
      <c r="Q195" t="s">
        <v>1354</v>
      </c>
      <c r="T195" t="s">
        <v>1355</v>
      </c>
      <c r="V195" t="s">
        <v>1356</v>
      </c>
      <c r="Y195" t="s">
        <v>1357</v>
      </c>
    </row>
    <row r="196" spans="1:25" x14ac:dyDescent="0.25">
      <c r="A196" t="str">
        <f>"1016949505"</f>
        <v>1016949505</v>
      </c>
      <c r="B196" t="s">
        <v>1362</v>
      </c>
      <c r="C196" t="s">
        <v>1363</v>
      </c>
      <c r="D196" t="s">
        <v>1358</v>
      </c>
      <c r="F196" t="s">
        <v>1</v>
      </c>
      <c r="G196" t="s">
        <v>2</v>
      </c>
      <c r="H196" t="s">
        <v>1359</v>
      </c>
      <c r="I196" t="s">
        <v>1360</v>
      </c>
      <c r="M196" t="s">
        <v>1361</v>
      </c>
      <c r="P196" t="s">
        <v>216</v>
      </c>
      <c r="Y196" t="s">
        <v>1364</v>
      </c>
    </row>
    <row r="197" spans="1:25" x14ac:dyDescent="0.25">
      <c r="A197" t="str">
        <f>"1016974084"</f>
        <v>1016974084</v>
      </c>
      <c r="B197" t="s">
        <v>352</v>
      </c>
      <c r="C197" t="s">
        <v>1370</v>
      </c>
      <c r="D197" t="s">
        <v>1365</v>
      </c>
      <c r="E197">
        <v>424038</v>
      </c>
      <c r="F197" t="s">
        <v>1</v>
      </c>
      <c r="G197" t="s">
        <v>2</v>
      </c>
      <c r="H197" t="s">
        <v>1366</v>
      </c>
      <c r="I197" t="s">
        <v>1367</v>
      </c>
      <c r="L197" t="s">
        <v>1368</v>
      </c>
      <c r="M197" t="s">
        <v>1369</v>
      </c>
      <c r="P197" t="s">
        <v>696</v>
      </c>
      <c r="Y197" t="s">
        <v>1371</v>
      </c>
    </row>
    <row r="198" spans="1:25" x14ac:dyDescent="0.25">
      <c r="A198" t="str">
        <f>"1017024173"</f>
        <v>1017024173</v>
      </c>
      <c r="B198" t="s">
        <v>1078</v>
      </c>
      <c r="C198" t="s">
        <v>1376</v>
      </c>
      <c r="D198" t="s">
        <v>1372</v>
      </c>
      <c r="E198">
        <v>424037</v>
      </c>
      <c r="F198" t="s">
        <v>1</v>
      </c>
      <c r="G198" t="s">
        <v>2</v>
      </c>
      <c r="H198" t="s">
        <v>1116</v>
      </c>
      <c r="I198" t="s">
        <v>1373</v>
      </c>
      <c r="K198" t="s">
        <v>1374</v>
      </c>
      <c r="M198" t="s">
        <v>1375</v>
      </c>
      <c r="P198" t="s">
        <v>280</v>
      </c>
      <c r="Y198" t="s">
        <v>1377</v>
      </c>
    </row>
    <row r="199" spans="1:25" x14ac:dyDescent="0.25">
      <c r="A199" t="str">
        <f>"1017080009"</f>
        <v>1017080009</v>
      </c>
      <c r="B199" t="s">
        <v>654</v>
      </c>
      <c r="C199" t="s">
        <v>1381</v>
      </c>
      <c r="D199" t="s">
        <v>1378</v>
      </c>
      <c r="E199">
        <v>424006</v>
      </c>
      <c r="F199" t="s">
        <v>1</v>
      </c>
      <c r="G199" t="s">
        <v>2</v>
      </c>
      <c r="H199" t="s">
        <v>478</v>
      </c>
      <c r="I199" t="s">
        <v>1379</v>
      </c>
      <c r="L199" t="s">
        <v>1380</v>
      </c>
      <c r="Y199" t="s">
        <v>926</v>
      </c>
    </row>
    <row r="200" spans="1:25" x14ac:dyDescent="0.25">
      <c r="A200" t="str">
        <f>"1017123233"</f>
        <v>1017123233</v>
      </c>
      <c r="B200" t="s">
        <v>1152</v>
      </c>
      <c r="C200" t="s">
        <v>1385</v>
      </c>
      <c r="D200" t="s">
        <v>1382</v>
      </c>
      <c r="E200">
        <v>424033</v>
      </c>
      <c r="F200" t="s">
        <v>1</v>
      </c>
      <c r="G200" t="s">
        <v>2</v>
      </c>
      <c r="H200" t="s">
        <v>1383</v>
      </c>
      <c r="J200" t="s">
        <v>1384</v>
      </c>
      <c r="P200" t="s">
        <v>1386</v>
      </c>
      <c r="Y200" t="s">
        <v>1387</v>
      </c>
    </row>
    <row r="201" spans="1:25" x14ac:dyDescent="0.25">
      <c r="A201" t="str">
        <f>"1017315467"</f>
        <v>1017315467</v>
      </c>
      <c r="B201" t="s">
        <v>1391</v>
      </c>
      <c r="C201" t="s">
        <v>1392</v>
      </c>
      <c r="D201" t="s">
        <v>1388</v>
      </c>
      <c r="E201">
        <v>424007</v>
      </c>
      <c r="F201" t="s">
        <v>1</v>
      </c>
      <c r="G201" t="s">
        <v>2</v>
      </c>
      <c r="H201" t="s">
        <v>1389</v>
      </c>
      <c r="I201" t="s">
        <v>1390</v>
      </c>
      <c r="Y201" t="s">
        <v>1393</v>
      </c>
    </row>
    <row r="202" spans="1:25" x14ac:dyDescent="0.25">
      <c r="A202" t="str">
        <f>"1017434798"</f>
        <v>1017434798</v>
      </c>
      <c r="B202" t="s">
        <v>32</v>
      </c>
      <c r="C202" t="s">
        <v>777</v>
      </c>
      <c r="D202" t="s">
        <v>1394</v>
      </c>
      <c r="E202">
        <v>424002</v>
      </c>
      <c r="F202" t="s">
        <v>1</v>
      </c>
      <c r="G202" t="s">
        <v>2</v>
      </c>
      <c r="H202" t="s">
        <v>1395</v>
      </c>
      <c r="I202" t="s">
        <v>1396</v>
      </c>
      <c r="P202" t="s">
        <v>1397</v>
      </c>
      <c r="Y202" t="s">
        <v>1398</v>
      </c>
    </row>
    <row r="203" spans="1:25" x14ac:dyDescent="0.25">
      <c r="A203" t="str">
        <f>"1017596477"</f>
        <v>1017596477</v>
      </c>
      <c r="B203" t="s">
        <v>110</v>
      </c>
      <c r="C203" t="s">
        <v>111</v>
      </c>
      <c r="D203" t="s">
        <v>1399</v>
      </c>
      <c r="E203">
        <v>424000</v>
      </c>
      <c r="F203" t="s">
        <v>1</v>
      </c>
      <c r="G203" t="s">
        <v>2</v>
      </c>
      <c r="H203" t="s">
        <v>265</v>
      </c>
      <c r="I203" t="s">
        <v>1400</v>
      </c>
      <c r="J203" t="s">
        <v>1401</v>
      </c>
      <c r="L203" t="s">
        <v>1402</v>
      </c>
      <c r="M203" t="s">
        <v>1403</v>
      </c>
      <c r="P203" t="s">
        <v>1404</v>
      </c>
      <c r="Y203" t="s">
        <v>1405</v>
      </c>
    </row>
    <row r="204" spans="1:25" x14ac:dyDescent="0.25">
      <c r="A204" t="str">
        <f>"1017713384"</f>
        <v>1017713384</v>
      </c>
      <c r="B204" t="s">
        <v>18</v>
      </c>
      <c r="C204" t="s">
        <v>1410</v>
      </c>
      <c r="D204" t="s">
        <v>1406</v>
      </c>
      <c r="E204">
        <v>424007</v>
      </c>
      <c r="F204" t="s">
        <v>1</v>
      </c>
      <c r="G204" t="s">
        <v>2</v>
      </c>
      <c r="H204" t="s">
        <v>1085</v>
      </c>
      <c r="J204" t="s">
        <v>1407</v>
      </c>
      <c r="L204" t="s">
        <v>1408</v>
      </c>
      <c r="M204" t="s">
        <v>1409</v>
      </c>
      <c r="P204" t="s">
        <v>1411</v>
      </c>
      <c r="Y204" t="s">
        <v>1412</v>
      </c>
    </row>
    <row r="205" spans="1:25" x14ac:dyDescent="0.25">
      <c r="A205" t="str">
        <f>"1017760487"</f>
        <v>1017760487</v>
      </c>
      <c r="B205" t="s">
        <v>18</v>
      </c>
      <c r="C205" t="s">
        <v>1415</v>
      </c>
      <c r="D205" t="s">
        <v>1413</v>
      </c>
      <c r="E205">
        <v>424006</v>
      </c>
      <c r="F205" t="s">
        <v>1</v>
      </c>
      <c r="G205" t="s">
        <v>2</v>
      </c>
      <c r="H205" t="s">
        <v>445</v>
      </c>
      <c r="I205" t="s">
        <v>1414</v>
      </c>
      <c r="Y205" t="s">
        <v>449</v>
      </c>
    </row>
    <row r="206" spans="1:25" x14ac:dyDescent="0.25">
      <c r="A206" t="str">
        <f>"1017891252"</f>
        <v>1017891252</v>
      </c>
      <c r="B206" t="s">
        <v>18</v>
      </c>
      <c r="C206" t="s">
        <v>1419</v>
      </c>
      <c r="D206" t="s">
        <v>1416</v>
      </c>
      <c r="E206">
        <v>424031</v>
      </c>
      <c r="F206" t="s">
        <v>1</v>
      </c>
      <c r="G206" t="s">
        <v>2</v>
      </c>
      <c r="H206" t="s">
        <v>413</v>
      </c>
      <c r="I206" t="s">
        <v>1417</v>
      </c>
      <c r="L206" t="s">
        <v>1418</v>
      </c>
      <c r="P206" t="s">
        <v>1420</v>
      </c>
      <c r="Y206" t="s">
        <v>1421</v>
      </c>
    </row>
    <row r="207" spans="1:25" x14ac:dyDescent="0.25">
      <c r="A207" t="str">
        <f>"1017913154"</f>
        <v>1017913154</v>
      </c>
      <c r="B207" t="s">
        <v>25</v>
      </c>
      <c r="C207" t="s">
        <v>26</v>
      </c>
      <c r="D207" t="s">
        <v>1422</v>
      </c>
      <c r="F207" t="s">
        <v>1</v>
      </c>
      <c r="G207" t="s">
        <v>2</v>
      </c>
      <c r="H207" t="s">
        <v>1423</v>
      </c>
      <c r="I207" t="s">
        <v>1424</v>
      </c>
      <c r="P207" t="s">
        <v>1425</v>
      </c>
      <c r="Y207" t="s">
        <v>1426</v>
      </c>
    </row>
    <row r="208" spans="1:25" x14ac:dyDescent="0.25">
      <c r="A208" t="str">
        <f>"1017928615"</f>
        <v>1017928615</v>
      </c>
      <c r="B208" t="s">
        <v>397</v>
      </c>
      <c r="C208" t="s">
        <v>1432</v>
      </c>
      <c r="D208" t="s">
        <v>1427</v>
      </c>
      <c r="F208" t="s">
        <v>1</v>
      </c>
      <c r="G208" t="s">
        <v>2</v>
      </c>
      <c r="H208" t="s">
        <v>1428</v>
      </c>
      <c r="I208" t="s">
        <v>1429</v>
      </c>
      <c r="L208" t="s">
        <v>1430</v>
      </c>
      <c r="M208" t="s">
        <v>1431</v>
      </c>
      <c r="P208" t="s">
        <v>1433</v>
      </c>
      <c r="Y208" t="s">
        <v>1434</v>
      </c>
    </row>
    <row r="209" spans="1:25" x14ac:dyDescent="0.25">
      <c r="A209" t="str">
        <f>"1017992284"</f>
        <v>1017992284</v>
      </c>
      <c r="B209" t="s">
        <v>18</v>
      </c>
      <c r="C209" t="s">
        <v>1440</v>
      </c>
      <c r="D209" t="s">
        <v>1435</v>
      </c>
      <c r="E209">
        <v>424006</v>
      </c>
      <c r="F209" t="s">
        <v>1</v>
      </c>
      <c r="G209" t="s">
        <v>2</v>
      </c>
      <c r="H209" t="s">
        <v>1436</v>
      </c>
      <c r="I209" t="s">
        <v>1437</v>
      </c>
      <c r="L209" t="s">
        <v>1438</v>
      </c>
      <c r="M209" t="s">
        <v>1439</v>
      </c>
      <c r="P209" t="s">
        <v>1441</v>
      </c>
      <c r="Q209" t="s">
        <v>1442</v>
      </c>
      <c r="Y209" t="s">
        <v>1443</v>
      </c>
    </row>
    <row r="210" spans="1:25" x14ac:dyDescent="0.25">
      <c r="A210" t="str">
        <f>"1018089914"</f>
        <v>1018089914</v>
      </c>
      <c r="B210" t="s">
        <v>1182</v>
      </c>
      <c r="C210" t="s">
        <v>1445</v>
      </c>
      <c r="D210" t="s">
        <v>1444</v>
      </c>
      <c r="E210">
        <v>424033</v>
      </c>
      <c r="F210" t="s">
        <v>1</v>
      </c>
      <c r="G210" t="s">
        <v>2</v>
      </c>
      <c r="H210" t="s">
        <v>1383</v>
      </c>
      <c r="Y210" t="s">
        <v>1387</v>
      </c>
    </row>
    <row r="211" spans="1:25" x14ac:dyDescent="0.25">
      <c r="A211" t="str">
        <f>"1018137943"</f>
        <v>1018137943</v>
      </c>
      <c r="B211" t="s">
        <v>482</v>
      </c>
      <c r="C211" t="s">
        <v>483</v>
      </c>
      <c r="D211" t="s">
        <v>1446</v>
      </c>
      <c r="E211">
        <v>424003</v>
      </c>
      <c r="F211" t="s">
        <v>1</v>
      </c>
      <c r="G211" t="s">
        <v>2</v>
      </c>
      <c r="H211" t="s">
        <v>1447</v>
      </c>
      <c r="I211" t="s">
        <v>1448</v>
      </c>
      <c r="J211" t="s">
        <v>1449</v>
      </c>
      <c r="L211" t="s">
        <v>1450</v>
      </c>
      <c r="M211" t="s">
        <v>1451</v>
      </c>
      <c r="P211" t="s">
        <v>1452</v>
      </c>
      <c r="Q211" t="s">
        <v>1453</v>
      </c>
      <c r="R211" t="s">
        <v>1454</v>
      </c>
      <c r="T211" t="s">
        <v>1455</v>
      </c>
      <c r="U211" t="s">
        <v>1456</v>
      </c>
      <c r="V211" t="s">
        <v>1457</v>
      </c>
      <c r="Y211" t="s">
        <v>1458</v>
      </c>
    </row>
    <row r="212" spans="1:25" x14ac:dyDescent="0.25">
      <c r="A212" t="str">
        <f>"1018143597"</f>
        <v>1018143597</v>
      </c>
      <c r="B212" t="s">
        <v>738</v>
      </c>
      <c r="C212" t="s">
        <v>1463</v>
      </c>
      <c r="D212" t="s">
        <v>1459</v>
      </c>
      <c r="E212">
        <v>424019</v>
      </c>
      <c r="F212" t="s">
        <v>1</v>
      </c>
      <c r="G212" t="s">
        <v>2</v>
      </c>
      <c r="H212" t="s">
        <v>1460</v>
      </c>
      <c r="I212" t="s">
        <v>1461</v>
      </c>
      <c r="J212" t="s">
        <v>1462</v>
      </c>
      <c r="P212" t="s">
        <v>1464</v>
      </c>
      <c r="Y212" t="s">
        <v>1465</v>
      </c>
    </row>
    <row r="213" spans="1:25" x14ac:dyDescent="0.25">
      <c r="A213" t="str">
        <f>"1018293351"</f>
        <v>1018293351</v>
      </c>
      <c r="B213" t="s">
        <v>25</v>
      </c>
      <c r="C213" t="s">
        <v>1470</v>
      </c>
      <c r="D213" t="s">
        <v>1466</v>
      </c>
      <c r="E213">
        <v>424019</v>
      </c>
      <c r="F213" t="s">
        <v>1</v>
      </c>
      <c r="G213" t="s">
        <v>2</v>
      </c>
      <c r="H213" t="s">
        <v>1467</v>
      </c>
      <c r="I213" t="s">
        <v>1468</v>
      </c>
      <c r="K213" t="s">
        <v>1469</v>
      </c>
      <c r="P213" t="s">
        <v>630</v>
      </c>
      <c r="Y213" t="s">
        <v>1471</v>
      </c>
    </row>
    <row r="214" spans="1:25" x14ac:dyDescent="0.25">
      <c r="A214" t="str">
        <f>"1018457718"</f>
        <v>1018457718</v>
      </c>
      <c r="B214" t="s">
        <v>1475</v>
      </c>
      <c r="C214" t="s">
        <v>1476</v>
      </c>
      <c r="D214" t="s">
        <v>1472</v>
      </c>
      <c r="E214">
        <v>424000</v>
      </c>
      <c r="F214" t="s">
        <v>1</v>
      </c>
      <c r="G214" t="s">
        <v>2</v>
      </c>
      <c r="H214" t="s">
        <v>1473</v>
      </c>
      <c r="I214" t="s">
        <v>1474</v>
      </c>
      <c r="P214" t="s">
        <v>941</v>
      </c>
      <c r="Q214" t="s">
        <v>1477</v>
      </c>
      <c r="Y214" t="s">
        <v>1478</v>
      </c>
    </row>
    <row r="215" spans="1:25" x14ac:dyDescent="0.25">
      <c r="A215" t="str">
        <f>"1018515953"</f>
        <v>1018515953</v>
      </c>
      <c r="B215" t="s">
        <v>352</v>
      </c>
      <c r="C215" t="s">
        <v>1481</v>
      </c>
      <c r="D215" t="s">
        <v>1479</v>
      </c>
      <c r="E215">
        <v>424000</v>
      </c>
      <c r="F215" t="s">
        <v>1</v>
      </c>
      <c r="G215" t="s">
        <v>2</v>
      </c>
      <c r="H215" t="s">
        <v>333</v>
      </c>
      <c r="I215" t="s">
        <v>1480</v>
      </c>
      <c r="Y215" t="s">
        <v>335</v>
      </c>
    </row>
    <row r="216" spans="1:25" x14ac:dyDescent="0.25">
      <c r="A216" t="str">
        <f>"1018541290"</f>
        <v>1018541290</v>
      </c>
      <c r="B216" t="s">
        <v>96</v>
      </c>
      <c r="C216" t="s">
        <v>1487</v>
      </c>
      <c r="D216" t="s">
        <v>1482</v>
      </c>
      <c r="E216">
        <v>424006</v>
      </c>
      <c r="F216" t="s">
        <v>1</v>
      </c>
      <c r="G216" t="s">
        <v>2</v>
      </c>
      <c r="H216" t="s">
        <v>1483</v>
      </c>
      <c r="I216" t="s">
        <v>1484</v>
      </c>
      <c r="L216" t="s">
        <v>1485</v>
      </c>
      <c r="M216" t="s">
        <v>1486</v>
      </c>
      <c r="P216" t="s">
        <v>399</v>
      </c>
      <c r="Y216" t="s">
        <v>1488</v>
      </c>
    </row>
    <row r="217" spans="1:25" x14ac:dyDescent="0.25">
      <c r="A217" t="str">
        <f>"1018560665"</f>
        <v>1018560665</v>
      </c>
      <c r="B217" t="s">
        <v>1493</v>
      </c>
      <c r="C217" t="s">
        <v>1494</v>
      </c>
      <c r="D217" t="s">
        <v>1489</v>
      </c>
      <c r="E217">
        <v>424000</v>
      </c>
      <c r="F217" t="s">
        <v>1</v>
      </c>
      <c r="G217" t="s">
        <v>2</v>
      </c>
      <c r="H217" t="s">
        <v>404</v>
      </c>
      <c r="I217" t="s">
        <v>1490</v>
      </c>
      <c r="L217" t="s">
        <v>1491</v>
      </c>
      <c r="M217" t="s">
        <v>1492</v>
      </c>
      <c r="P217" t="s">
        <v>27</v>
      </c>
      <c r="Y217" t="s">
        <v>1495</v>
      </c>
    </row>
    <row r="218" spans="1:25" x14ac:dyDescent="0.25">
      <c r="A218" t="str">
        <f>"1018581519"</f>
        <v>1018581519</v>
      </c>
      <c r="B218" t="s">
        <v>1182</v>
      </c>
      <c r="C218" t="s">
        <v>1499</v>
      </c>
      <c r="D218" t="s">
        <v>1496</v>
      </c>
      <c r="E218">
        <v>424019</v>
      </c>
      <c r="F218" t="s">
        <v>1</v>
      </c>
      <c r="G218" t="s">
        <v>2</v>
      </c>
      <c r="H218" t="s">
        <v>1497</v>
      </c>
      <c r="I218" t="s">
        <v>1498</v>
      </c>
      <c r="K218" t="s">
        <v>1498</v>
      </c>
      <c r="Y218" t="s">
        <v>1500</v>
      </c>
    </row>
    <row r="219" spans="1:25" x14ac:dyDescent="0.25">
      <c r="A219" t="str">
        <f>"1018670239"</f>
        <v>1018670239</v>
      </c>
      <c r="B219" t="s">
        <v>1299</v>
      </c>
      <c r="C219" t="s">
        <v>1504</v>
      </c>
      <c r="D219" t="s">
        <v>1501</v>
      </c>
      <c r="E219">
        <v>424031</v>
      </c>
      <c r="F219" t="s">
        <v>1</v>
      </c>
      <c r="G219" t="s">
        <v>2</v>
      </c>
      <c r="H219" t="s">
        <v>1502</v>
      </c>
      <c r="I219" t="s">
        <v>1503</v>
      </c>
      <c r="P219" t="s">
        <v>1505</v>
      </c>
      <c r="Y219" t="s">
        <v>1506</v>
      </c>
    </row>
    <row r="220" spans="1:25" x14ac:dyDescent="0.25">
      <c r="A220" t="str">
        <f>"1018956908"</f>
        <v>1018956908</v>
      </c>
      <c r="B220" t="s">
        <v>1152</v>
      </c>
      <c r="C220" t="s">
        <v>1513</v>
      </c>
      <c r="D220" t="s">
        <v>1507</v>
      </c>
      <c r="F220" t="s">
        <v>1</v>
      </c>
      <c r="G220" t="s">
        <v>2</v>
      </c>
      <c r="H220" t="s">
        <v>1508</v>
      </c>
      <c r="I220" t="s">
        <v>1509</v>
      </c>
      <c r="J220" t="s">
        <v>1510</v>
      </c>
      <c r="L220" t="s">
        <v>1511</v>
      </c>
      <c r="M220" t="s">
        <v>1512</v>
      </c>
      <c r="P220" t="s">
        <v>1514</v>
      </c>
      <c r="Q220" t="s">
        <v>1515</v>
      </c>
      <c r="R220" t="s">
        <v>1516</v>
      </c>
      <c r="Y220" t="s">
        <v>1517</v>
      </c>
    </row>
    <row r="221" spans="1:25" x14ac:dyDescent="0.25">
      <c r="A221" t="str">
        <f>"1018979830"</f>
        <v>1018979830</v>
      </c>
      <c r="B221" t="s">
        <v>456</v>
      </c>
      <c r="C221" t="s">
        <v>1522</v>
      </c>
      <c r="D221" t="s">
        <v>1518</v>
      </c>
      <c r="E221">
        <v>424000</v>
      </c>
      <c r="F221" t="s">
        <v>1</v>
      </c>
      <c r="G221" t="s">
        <v>2</v>
      </c>
      <c r="H221" t="s">
        <v>523</v>
      </c>
      <c r="J221" t="s">
        <v>1519</v>
      </c>
      <c r="L221" t="s">
        <v>1520</v>
      </c>
      <c r="M221" t="s">
        <v>1521</v>
      </c>
      <c r="P221" t="s">
        <v>340</v>
      </c>
      <c r="Y221" t="s">
        <v>526</v>
      </c>
    </row>
    <row r="222" spans="1:25" x14ac:dyDescent="0.25">
      <c r="A222" t="str">
        <f>"1019151419"</f>
        <v>1019151419</v>
      </c>
      <c r="B222" t="s">
        <v>7</v>
      </c>
      <c r="C222" t="s">
        <v>1527</v>
      </c>
      <c r="D222" t="s">
        <v>1523</v>
      </c>
      <c r="E222">
        <v>424031</v>
      </c>
      <c r="F222" t="s">
        <v>1</v>
      </c>
      <c r="G222" t="s">
        <v>2</v>
      </c>
      <c r="H222" t="s">
        <v>1524</v>
      </c>
      <c r="I222" t="s">
        <v>1525</v>
      </c>
      <c r="J222" t="s">
        <v>1526</v>
      </c>
      <c r="P222" t="s">
        <v>1528</v>
      </c>
      <c r="Y222" t="s">
        <v>1529</v>
      </c>
    </row>
    <row r="223" spans="1:25" x14ac:dyDescent="0.25">
      <c r="A223" t="str">
        <f>"1019206001"</f>
        <v>1019206001</v>
      </c>
      <c r="B223" t="s">
        <v>553</v>
      </c>
      <c r="C223" t="s">
        <v>1534</v>
      </c>
      <c r="D223" t="s">
        <v>1530</v>
      </c>
      <c r="E223">
        <v>424000</v>
      </c>
      <c r="F223" t="s">
        <v>1</v>
      </c>
      <c r="G223" t="s">
        <v>2</v>
      </c>
      <c r="H223" t="s">
        <v>1531</v>
      </c>
      <c r="I223" t="s">
        <v>1532</v>
      </c>
      <c r="J223" t="s">
        <v>1533</v>
      </c>
      <c r="P223" t="s">
        <v>1535</v>
      </c>
      <c r="Y223" t="s">
        <v>1536</v>
      </c>
    </row>
    <row r="224" spans="1:25" x14ac:dyDescent="0.25">
      <c r="A224" t="str">
        <f>"1019206093"</f>
        <v>1019206093</v>
      </c>
      <c r="B224" t="s">
        <v>1182</v>
      </c>
      <c r="C224" t="s">
        <v>1183</v>
      </c>
      <c r="D224" t="s">
        <v>1537</v>
      </c>
      <c r="E224">
        <v>424031</v>
      </c>
      <c r="F224" t="s">
        <v>1</v>
      </c>
      <c r="G224" t="s">
        <v>2</v>
      </c>
      <c r="H224" t="s">
        <v>1538</v>
      </c>
      <c r="I224" t="s">
        <v>1539</v>
      </c>
      <c r="Y224" t="s">
        <v>1540</v>
      </c>
    </row>
    <row r="225" spans="1:25" x14ac:dyDescent="0.25">
      <c r="A225" t="str">
        <f>"1019215254"</f>
        <v>1019215254</v>
      </c>
      <c r="B225" t="s">
        <v>447</v>
      </c>
      <c r="C225" t="s">
        <v>448</v>
      </c>
      <c r="D225" t="s">
        <v>1541</v>
      </c>
      <c r="E225">
        <v>424007</v>
      </c>
      <c r="F225" t="s">
        <v>1</v>
      </c>
      <c r="G225" t="s">
        <v>2</v>
      </c>
      <c r="H225" t="s">
        <v>950</v>
      </c>
      <c r="Y225" t="s">
        <v>953</v>
      </c>
    </row>
    <row r="226" spans="1:25" x14ac:dyDescent="0.25">
      <c r="A226" t="str">
        <f>"1019280557"</f>
        <v>1019280557</v>
      </c>
      <c r="B226" t="s">
        <v>1544</v>
      </c>
      <c r="C226" t="s">
        <v>1545</v>
      </c>
      <c r="D226" t="s">
        <v>1542</v>
      </c>
      <c r="E226">
        <v>424006</v>
      </c>
      <c r="F226" t="s">
        <v>1</v>
      </c>
      <c r="G226" t="s">
        <v>2</v>
      </c>
      <c r="H226" t="s">
        <v>1543</v>
      </c>
      <c r="P226" t="s">
        <v>1546</v>
      </c>
      <c r="Y226" t="s">
        <v>1547</v>
      </c>
    </row>
    <row r="227" spans="1:25" x14ac:dyDescent="0.25">
      <c r="A227" t="str">
        <f>"1019315581"</f>
        <v>1019315581</v>
      </c>
      <c r="B227" t="s">
        <v>1552</v>
      </c>
      <c r="C227" t="s">
        <v>1553</v>
      </c>
      <c r="D227" t="s">
        <v>1548</v>
      </c>
      <c r="E227">
        <v>424039</v>
      </c>
      <c r="F227" t="s">
        <v>1</v>
      </c>
      <c r="G227" t="s">
        <v>2</v>
      </c>
      <c r="H227" t="s">
        <v>1549</v>
      </c>
      <c r="I227" t="s">
        <v>1550</v>
      </c>
      <c r="K227" t="s">
        <v>1551</v>
      </c>
      <c r="P227" t="s">
        <v>20</v>
      </c>
      <c r="Y227" t="s">
        <v>1554</v>
      </c>
    </row>
    <row r="228" spans="1:25" x14ac:dyDescent="0.25">
      <c r="A228" t="str">
        <f>"1019324311"</f>
        <v>1019324311</v>
      </c>
      <c r="B228" t="s">
        <v>1230</v>
      </c>
      <c r="C228" t="s">
        <v>1560</v>
      </c>
      <c r="D228" t="s">
        <v>1555</v>
      </c>
      <c r="E228">
        <v>424000</v>
      </c>
      <c r="F228" t="s">
        <v>1</v>
      </c>
      <c r="G228" t="s">
        <v>2</v>
      </c>
      <c r="H228" t="s">
        <v>1556</v>
      </c>
      <c r="I228" t="s">
        <v>1557</v>
      </c>
      <c r="L228" t="s">
        <v>1558</v>
      </c>
      <c r="M228" t="s">
        <v>1559</v>
      </c>
      <c r="P228" t="s">
        <v>20</v>
      </c>
      <c r="Q228" t="s">
        <v>1561</v>
      </c>
      <c r="S228" t="s">
        <v>1562</v>
      </c>
      <c r="T228" t="s">
        <v>1563</v>
      </c>
      <c r="Y228" t="s">
        <v>1564</v>
      </c>
    </row>
    <row r="229" spans="1:25" x14ac:dyDescent="0.25">
      <c r="A229" t="str">
        <f>"1019340963"</f>
        <v>1019340963</v>
      </c>
      <c r="B229" t="s">
        <v>703</v>
      </c>
      <c r="C229" t="s">
        <v>1567</v>
      </c>
      <c r="D229" t="s">
        <v>1565</v>
      </c>
      <c r="E229">
        <v>424007</v>
      </c>
      <c r="F229" t="s">
        <v>1</v>
      </c>
      <c r="G229" t="s">
        <v>2</v>
      </c>
      <c r="H229" t="s">
        <v>1566</v>
      </c>
      <c r="P229" t="s">
        <v>330</v>
      </c>
      <c r="Y229" t="s">
        <v>1568</v>
      </c>
    </row>
    <row r="230" spans="1:25" x14ac:dyDescent="0.25">
      <c r="A230" t="str">
        <f>"1019340999"</f>
        <v>1019340999</v>
      </c>
      <c r="B230" t="s">
        <v>1573</v>
      </c>
      <c r="C230" t="s">
        <v>1574</v>
      </c>
      <c r="D230" t="s">
        <v>1569</v>
      </c>
      <c r="E230">
        <v>424020</v>
      </c>
      <c r="F230" t="s">
        <v>1</v>
      </c>
      <c r="G230" t="s">
        <v>2</v>
      </c>
      <c r="H230" t="s">
        <v>802</v>
      </c>
      <c r="I230" t="s">
        <v>1570</v>
      </c>
      <c r="L230" t="s">
        <v>1571</v>
      </c>
      <c r="M230" t="s">
        <v>1572</v>
      </c>
      <c r="P230" t="s">
        <v>1027</v>
      </c>
      <c r="Q230" t="s">
        <v>1575</v>
      </c>
      <c r="R230" t="s">
        <v>1576</v>
      </c>
      <c r="T230" t="s">
        <v>1577</v>
      </c>
      <c r="V230" t="s">
        <v>1578</v>
      </c>
      <c r="Y230" t="s">
        <v>1579</v>
      </c>
    </row>
    <row r="231" spans="1:25" x14ac:dyDescent="0.25">
      <c r="A231" t="str">
        <f>"1019364360"</f>
        <v>1019364360</v>
      </c>
      <c r="B231" t="s">
        <v>319</v>
      </c>
      <c r="C231" t="s">
        <v>320</v>
      </c>
      <c r="D231" t="s">
        <v>1580</v>
      </c>
      <c r="E231">
        <v>424000</v>
      </c>
      <c r="F231" t="s">
        <v>1</v>
      </c>
      <c r="G231" t="s">
        <v>2</v>
      </c>
      <c r="H231" t="s">
        <v>937</v>
      </c>
      <c r="I231" t="s">
        <v>1581</v>
      </c>
      <c r="L231" t="s">
        <v>1582</v>
      </c>
      <c r="M231" t="s">
        <v>1583</v>
      </c>
      <c r="P231" t="s">
        <v>1584</v>
      </c>
      <c r="Q231" t="s">
        <v>1585</v>
      </c>
      <c r="T231" t="s">
        <v>1586</v>
      </c>
      <c r="V231" t="s">
        <v>1587</v>
      </c>
      <c r="Y231" t="s">
        <v>1588</v>
      </c>
    </row>
    <row r="232" spans="1:25" x14ac:dyDescent="0.25">
      <c r="A232" t="str">
        <f>"1019367450"</f>
        <v>1019367450</v>
      </c>
      <c r="B232" t="s">
        <v>447</v>
      </c>
      <c r="C232" t="s">
        <v>1592</v>
      </c>
      <c r="D232" t="s">
        <v>1589</v>
      </c>
      <c r="E232">
        <v>424004</v>
      </c>
      <c r="F232" t="s">
        <v>1</v>
      </c>
      <c r="G232" t="s">
        <v>2</v>
      </c>
      <c r="H232" t="s">
        <v>1590</v>
      </c>
      <c r="I232" t="s">
        <v>1591</v>
      </c>
      <c r="K232" t="s">
        <v>1591</v>
      </c>
      <c r="P232" t="s">
        <v>330</v>
      </c>
      <c r="Y232" t="s">
        <v>1593</v>
      </c>
    </row>
    <row r="233" spans="1:25" x14ac:dyDescent="0.25">
      <c r="A233" t="str">
        <f>"1019473703"</f>
        <v>1019473703</v>
      </c>
      <c r="B233" t="s">
        <v>25</v>
      </c>
      <c r="C233" t="s">
        <v>1596</v>
      </c>
      <c r="D233" t="s">
        <v>1594</v>
      </c>
      <c r="E233">
        <v>424007</v>
      </c>
      <c r="F233" t="s">
        <v>1</v>
      </c>
      <c r="G233" t="s">
        <v>2</v>
      </c>
      <c r="H233" t="s">
        <v>499</v>
      </c>
      <c r="I233" t="s">
        <v>1595</v>
      </c>
      <c r="P233" t="s">
        <v>1597</v>
      </c>
      <c r="Y233" t="s">
        <v>1598</v>
      </c>
    </row>
    <row r="234" spans="1:25" x14ac:dyDescent="0.25">
      <c r="A234" t="str">
        <f>"1019559790"</f>
        <v>1019559790</v>
      </c>
      <c r="B234" t="s">
        <v>1604</v>
      </c>
      <c r="C234" t="s">
        <v>1605</v>
      </c>
      <c r="D234" t="s">
        <v>1599</v>
      </c>
      <c r="F234" t="s">
        <v>1</v>
      </c>
      <c r="G234" t="s">
        <v>2</v>
      </c>
      <c r="H234" t="s">
        <v>1600</v>
      </c>
      <c r="I234" t="s">
        <v>1601</v>
      </c>
      <c r="L234" t="s">
        <v>1602</v>
      </c>
      <c r="M234" t="s">
        <v>1603</v>
      </c>
      <c r="P234" t="s">
        <v>280</v>
      </c>
      <c r="Y234" t="s">
        <v>1606</v>
      </c>
    </row>
    <row r="235" spans="1:25" x14ac:dyDescent="0.25">
      <c r="A235" t="str">
        <f>"1019619551"</f>
        <v>1019619551</v>
      </c>
      <c r="B235" t="s">
        <v>1611</v>
      </c>
      <c r="C235" t="s">
        <v>1612</v>
      </c>
      <c r="D235" t="s">
        <v>1607</v>
      </c>
      <c r="E235">
        <v>424037</v>
      </c>
      <c r="F235" t="s">
        <v>1</v>
      </c>
      <c r="G235" t="s">
        <v>2</v>
      </c>
      <c r="H235" t="s">
        <v>1608</v>
      </c>
      <c r="I235" t="s">
        <v>1609</v>
      </c>
      <c r="L235" t="s">
        <v>1610</v>
      </c>
      <c r="P235" t="s">
        <v>1613</v>
      </c>
      <c r="Y235" t="s">
        <v>1614</v>
      </c>
    </row>
    <row r="236" spans="1:25" x14ac:dyDescent="0.25">
      <c r="A236" t="str">
        <f>"1019684748"</f>
        <v>1019684748</v>
      </c>
      <c r="B236" t="s">
        <v>1617</v>
      </c>
      <c r="C236" t="s">
        <v>1618</v>
      </c>
      <c r="D236" t="s">
        <v>1615</v>
      </c>
      <c r="E236">
        <v>424006</v>
      </c>
      <c r="F236" t="s">
        <v>1</v>
      </c>
      <c r="G236" t="s">
        <v>2</v>
      </c>
      <c r="H236" t="s">
        <v>1348</v>
      </c>
      <c r="I236" t="s">
        <v>1616</v>
      </c>
      <c r="P236" t="s">
        <v>1619</v>
      </c>
      <c r="Y236" t="s">
        <v>1620</v>
      </c>
    </row>
    <row r="237" spans="1:25" x14ac:dyDescent="0.25">
      <c r="A237" t="str">
        <f>"1019771035"</f>
        <v>1019771035</v>
      </c>
      <c r="B237" t="s">
        <v>1078</v>
      </c>
      <c r="C237" t="s">
        <v>1626</v>
      </c>
      <c r="D237" t="s">
        <v>1621</v>
      </c>
      <c r="E237">
        <v>424003</v>
      </c>
      <c r="F237" t="s">
        <v>1</v>
      </c>
      <c r="G237" t="s">
        <v>2</v>
      </c>
      <c r="H237" t="s">
        <v>1622</v>
      </c>
      <c r="I237" t="s">
        <v>1623</v>
      </c>
      <c r="L237" t="s">
        <v>1624</v>
      </c>
      <c r="M237" t="s">
        <v>1625</v>
      </c>
      <c r="P237" t="s">
        <v>1619</v>
      </c>
      <c r="Y237" t="s">
        <v>1627</v>
      </c>
    </row>
    <row r="238" spans="1:25" x14ac:dyDescent="0.25">
      <c r="A238" t="str">
        <f>"1019998221"</f>
        <v>1019998221</v>
      </c>
      <c r="B238" t="s">
        <v>96</v>
      </c>
      <c r="C238" t="s">
        <v>311</v>
      </c>
      <c r="D238" t="s">
        <v>1628</v>
      </c>
      <c r="E238">
        <v>424019</v>
      </c>
      <c r="F238" t="s">
        <v>1</v>
      </c>
      <c r="G238" t="s">
        <v>2</v>
      </c>
      <c r="H238" t="s">
        <v>1467</v>
      </c>
      <c r="I238" t="s">
        <v>1629</v>
      </c>
      <c r="K238" t="s">
        <v>1469</v>
      </c>
      <c r="P238" t="s">
        <v>630</v>
      </c>
      <c r="Y238" t="s">
        <v>1630</v>
      </c>
    </row>
    <row r="239" spans="1:25" x14ac:dyDescent="0.25">
      <c r="A239" t="str">
        <f>"1019999980"</f>
        <v>1019999980</v>
      </c>
      <c r="B239" t="s">
        <v>447</v>
      </c>
      <c r="C239" t="s">
        <v>448</v>
      </c>
      <c r="D239" t="s">
        <v>1631</v>
      </c>
      <c r="E239">
        <v>424000</v>
      </c>
      <c r="F239" t="s">
        <v>1</v>
      </c>
      <c r="G239" t="s">
        <v>2</v>
      </c>
      <c r="H239" t="s">
        <v>1632</v>
      </c>
      <c r="I239" t="s">
        <v>1633</v>
      </c>
      <c r="Y239" t="s">
        <v>1634</v>
      </c>
    </row>
    <row r="240" spans="1:25" x14ac:dyDescent="0.25">
      <c r="A240" t="str">
        <f>"1020000677"</f>
        <v>1020000677</v>
      </c>
      <c r="B240" t="s">
        <v>624</v>
      </c>
      <c r="C240" t="s">
        <v>1637</v>
      </c>
      <c r="D240" t="s">
        <v>1635</v>
      </c>
      <c r="E240">
        <v>424004</v>
      </c>
      <c r="F240" t="s">
        <v>1</v>
      </c>
      <c r="G240" t="s">
        <v>2</v>
      </c>
      <c r="H240" t="s">
        <v>186</v>
      </c>
      <c r="I240" t="s">
        <v>1636</v>
      </c>
      <c r="P240" t="s">
        <v>1638</v>
      </c>
      <c r="Y240" t="s">
        <v>190</v>
      </c>
    </row>
    <row r="241" spans="1:25" x14ac:dyDescent="0.25">
      <c r="A241" t="str">
        <f>"1020228913"</f>
        <v>1020228913</v>
      </c>
      <c r="B241" t="s">
        <v>290</v>
      </c>
      <c r="C241" t="s">
        <v>1641</v>
      </c>
      <c r="D241" t="s">
        <v>1639</v>
      </c>
      <c r="E241">
        <v>424004</v>
      </c>
      <c r="F241" t="s">
        <v>1</v>
      </c>
      <c r="G241" t="s">
        <v>2</v>
      </c>
      <c r="H241" t="s">
        <v>186</v>
      </c>
      <c r="I241" t="s">
        <v>1640</v>
      </c>
      <c r="P241" t="s">
        <v>1642</v>
      </c>
      <c r="Y241" t="s">
        <v>1643</v>
      </c>
    </row>
    <row r="242" spans="1:25" x14ac:dyDescent="0.25">
      <c r="A242" t="str">
        <f>"1020290561"</f>
        <v>1020290561</v>
      </c>
      <c r="B242" t="s">
        <v>1604</v>
      </c>
      <c r="C242" t="s">
        <v>1650</v>
      </c>
      <c r="D242" t="s">
        <v>1644</v>
      </c>
      <c r="E242">
        <v>424006</v>
      </c>
      <c r="F242" t="s">
        <v>1</v>
      </c>
      <c r="G242" t="s">
        <v>2</v>
      </c>
      <c r="H242" t="s">
        <v>1645</v>
      </c>
      <c r="I242" t="s">
        <v>1646</v>
      </c>
      <c r="K242" t="s">
        <v>1647</v>
      </c>
      <c r="L242" t="s">
        <v>1648</v>
      </c>
      <c r="M242" t="s">
        <v>1649</v>
      </c>
      <c r="P242" t="s">
        <v>20</v>
      </c>
      <c r="Q242" t="s">
        <v>1651</v>
      </c>
      <c r="Y242" t="s">
        <v>1652</v>
      </c>
    </row>
    <row r="243" spans="1:25" x14ac:dyDescent="0.25">
      <c r="A243" t="str">
        <f>"1020474383"</f>
        <v>1020474383</v>
      </c>
      <c r="B243" t="s">
        <v>978</v>
      </c>
      <c r="C243" t="s">
        <v>1659</v>
      </c>
      <c r="D243" t="s">
        <v>1653</v>
      </c>
      <c r="E243">
        <v>424007</v>
      </c>
      <c r="F243" t="s">
        <v>1</v>
      </c>
      <c r="G243" t="s">
        <v>2</v>
      </c>
      <c r="H243" t="s">
        <v>1654</v>
      </c>
      <c r="I243" t="s">
        <v>1655</v>
      </c>
      <c r="J243" t="s">
        <v>1656</v>
      </c>
      <c r="L243" t="s">
        <v>1657</v>
      </c>
      <c r="M243" t="s">
        <v>1658</v>
      </c>
      <c r="P243" t="s">
        <v>1660</v>
      </c>
      <c r="Y243" t="s">
        <v>1661</v>
      </c>
    </row>
    <row r="244" spans="1:25" x14ac:dyDescent="0.25">
      <c r="A244" t="str">
        <f>"1020597473"</f>
        <v>1020597473</v>
      </c>
      <c r="B244" t="s">
        <v>160</v>
      </c>
      <c r="C244" t="s">
        <v>1666</v>
      </c>
      <c r="D244" t="s">
        <v>1662</v>
      </c>
      <c r="E244">
        <v>424007</v>
      </c>
      <c r="F244" t="s">
        <v>1</v>
      </c>
      <c r="G244" t="s">
        <v>2</v>
      </c>
      <c r="H244" t="s">
        <v>819</v>
      </c>
      <c r="I244" t="s">
        <v>1663</v>
      </c>
      <c r="K244" t="s">
        <v>1664</v>
      </c>
      <c r="L244" t="s">
        <v>1665</v>
      </c>
      <c r="P244" t="s">
        <v>20</v>
      </c>
      <c r="Y244" t="s">
        <v>821</v>
      </c>
    </row>
    <row r="245" spans="1:25" x14ac:dyDescent="0.25">
      <c r="A245" t="str">
        <f>"1020828015"</f>
        <v>1020828015</v>
      </c>
      <c r="B245" t="s">
        <v>388</v>
      </c>
      <c r="C245" t="s">
        <v>389</v>
      </c>
      <c r="D245" t="s">
        <v>1667</v>
      </c>
      <c r="E245">
        <v>424031</v>
      </c>
      <c r="F245" t="s">
        <v>1</v>
      </c>
      <c r="G245" t="s">
        <v>2</v>
      </c>
      <c r="H245" t="s">
        <v>413</v>
      </c>
      <c r="I245" t="s">
        <v>1668</v>
      </c>
      <c r="P245" t="s">
        <v>330</v>
      </c>
      <c r="Y245" t="s">
        <v>1421</v>
      </c>
    </row>
    <row r="246" spans="1:25" x14ac:dyDescent="0.25">
      <c r="A246" t="str">
        <f>"1021000120"</f>
        <v>1021000120</v>
      </c>
      <c r="B246" t="s">
        <v>123</v>
      </c>
      <c r="C246" t="s">
        <v>424</v>
      </c>
      <c r="D246" t="s">
        <v>1669</v>
      </c>
      <c r="E246">
        <v>424036</v>
      </c>
      <c r="F246" t="s">
        <v>1</v>
      </c>
      <c r="G246" t="s">
        <v>2</v>
      </c>
      <c r="H246" t="s">
        <v>1670</v>
      </c>
      <c r="I246" t="s">
        <v>1671</v>
      </c>
      <c r="L246" t="s">
        <v>1672</v>
      </c>
      <c r="M246" t="s">
        <v>1673</v>
      </c>
      <c r="Y246" t="s">
        <v>1674</v>
      </c>
    </row>
    <row r="247" spans="1:25" x14ac:dyDescent="0.25">
      <c r="A247" t="str">
        <f>"1021260096"</f>
        <v>1021260096</v>
      </c>
      <c r="B247" t="s">
        <v>430</v>
      </c>
      <c r="C247" t="s">
        <v>1678</v>
      </c>
      <c r="D247" t="s">
        <v>1675</v>
      </c>
      <c r="E247">
        <v>424020</v>
      </c>
      <c r="F247" t="s">
        <v>1</v>
      </c>
      <c r="G247" t="s">
        <v>2</v>
      </c>
      <c r="H247" t="s">
        <v>1676</v>
      </c>
      <c r="J247" t="s">
        <v>1677</v>
      </c>
      <c r="P247" t="s">
        <v>1679</v>
      </c>
      <c r="Q247" t="s">
        <v>1680</v>
      </c>
      <c r="Y247" t="s">
        <v>1681</v>
      </c>
    </row>
    <row r="248" spans="1:25" x14ac:dyDescent="0.25">
      <c r="A248" t="str">
        <f>"1021315486"</f>
        <v>1021315486</v>
      </c>
      <c r="B248" t="s">
        <v>456</v>
      </c>
      <c r="C248" t="s">
        <v>1687</v>
      </c>
      <c r="D248" t="s">
        <v>1682</v>
      </c>
      <c r="E248">
        <v>424002</v>
      </c>
      <c r="F248" t="s">
        <v>1</v>
      </c>
      <c r="G248" t="s">
        <v>2</v>
      </c>
      <c r="H248" t="s">
        <v>1683</v>
      </c>
      <c r="I248" t="s">
        <v>1684</v>
      </c>
      <c r="L248" t="s">
        <v>1685</v>
      </c>
      <c r="M248" t="s">
        <v>1686</v>
      </c>
      <c r="P248" t="s">
        <v>27</v>
      </c>
      <c r="Q248" t="s">
        <v>1688</v>
      </c>
      <c r="R248" t="s">
        <v>1689</v>
      </c>
      <c r="S248" t="s">
        <v>1690</v>
      </c>
      <c r="T248" t="s">
        <v>1691</v>
      </c>
      <c r="U248" t="s">
        <v>1692</v>
      </c>
      <c r="V248" t="s">
        <v>1693</v>
      </c>
      <c r="Y248" t="s">
        <v>1694</v>
      </c>
    </row>
    <row r="249" spans="1:25" x14ac:dyDescent="0.25">
      <c r="A249" t="str">
        <f>"1021317570"</f>
        <v>1021317570</v>
      </c>
      <c r="B249" t="s">
        <v>1262</v>
      </c>
      <c r="C249" t="s">
        <v>1698</v>
      </c>
      <c r="D249" t="s">
        <v>1695</v>
      </c>
      <c r="E249">
        <v>424006</v>
      </c>
      <c r="F249" t="s">
        <v>1</v>
      </c>
      <c r="G249" t="s">
        <v>2</v>
      </c>
      <c r="H249" t="s">
        <v>1696</v>
      </c>
      <c r="I249" t="s">
        <v>1697</v>
      </c>
      <c r="Y249" t="s">
        <v>1699</v>
      </c>
    </row>
    <row r="250" spans="1:25" x14ac:dyDescent="0.25">
      <c r="A250" t="str">
        <f>"1021401741"</f>
        <v>1021401741</v>
      </c>
      <c r="B250" t="s">
        <v>1702</v>
      </c>
      <c r="C250" t="s">
        <v>1703</v>
      </c>
      <c r="D250" t="s">
        <v>1700</v>
      </c>
      <c r="E250">
        <v>424006</v>
      </c>
      <c r="F250" t="s">
        <v>1</v>
      </c>
      <c r="G250" t="s">
        <v>2</v>
      </c>
      <c r="H250" t="s">
        <v>445</v>
      </c>
      <c r="I250" t="s">
        <v>1701</v>
      </c>
      <c r="Y250" t="s">
        <v>449</v>
      </c>
    </row>
    <row r="251" spans="1:25" x14ac:dyDescent="0.25">
      <c r="A251" t="str">
        <f>"1021419760"</f>
        <v>1021419760</v>
      </c>
      <c r="B251" t="s">
        <v>1152</v>
      </c>
      <c r="C251" t="s">
        <v>1706</v>
      </c>
      <c r="D251" t="s">
        <v>1704</v>
      </c>
      <c r="E251">
        <v>424000</v>
      </c>
      <c r="F251" t="s">
        <v>1</v>
      </c>
      <c r="G251" t="s">
        <v>2</v>
      </c>
      <c r="H251" t="s">
        <v>1531</v>
      </c>
      <c r="I251" t="s">
        <v>1705</v>
      </c>
      <c r="K251" t="s">
        <v>1705</v>
      </c>
      <c r="Y251" t="s">
        <v>1707</v>
      </c>
    </row>
    <row r="252" spans="1:25" x14ac:dyDescent="0.25">
      <c r="A252" t="str">
        <f>"1021533211"</f>
        <v>1021533211</v>
      </c>
      <c r="B252" t="s">
        <v>1604</v>
      </c>
      <c r="C252" t="s">
        <v>1714</v>
      </c>
      <c r="D252" t="s">
        <v>1708</v>
      </c>
      <c r="E252">
        <v>424006</v>
      </c>
      <c r="F252" t="s">
        <v>1</v>
      </c>
      <c r="G252" t="s">
        <v>2</v>
      </c>
      <c r="H252" t="s">
        <v>1709</v>
      </c>
      <c r="I252" t="s">
        <v>1710</v>
      </c>
      <c r="K252" t="s">
        <v>1711</v>
      </c>
      <c r="L252" t="s">
        <v>1712</v>
      </c>
      <c r="M252" t="s">
        <v>1713</v>
      </c>
      <c r="P252" t="s">
        <v>20</v>
      </c>
      <c r="Y252" t="s">
        <v>1715</v>
      </c>
    </row>
    <row r="253" spans="1:25" x14ac:dyDescent="0.25">
      <c r="A253" t="str">
        <f>"1021673145"</f>
        <v>1021673145</v>
      </c>
      <c r="B253" t="s">
        <v>417</v>
      </c>
      <c r="C253" t="s">
        <v>418</v>
      </c>
      <c r="D253" t="s">
        <v>1716</v>
      </c>
      <c r="E253">
        <v>424038</v>
      </c>
      <c r="F253" t="s">
        <v>1</v>
      </c>
      <c r="G253" t="s">
        <v>2</v>
      </c>
      <c r="H253" t="s">
        <v>386</v>
      </c>
      <c r="I253" t="s">
        <v>1717</v>
      </c>
      <c r="J253" t="s">
        <v>1718</v>
      </c>
      <c r="L253" t="s">
        <v>1719</v>
      </c>
      <c r="M253" t="s">
        <v>1720</v>
      </c>
      <c r="P253" t="s">
        <v>1721</v>
      </c>
      <c r="Q253" t="s">
        <v>1722</v>
      </c>
      <c r="Y253" t="s">
        <v>1723</v>
      </c>
    </row>
    <row r="254" spans="1:25" x14ac:dyDescent="0.25">
      <c r="A254" t="str">
        <f>"1021781535"</f>
        <v>1021781535</v>
      </c>
      <c r="B254" t="s">
        <v>1729</v>
      </c>
      <c r="C254" t="s">
        <v>1730</v>
      </c>
      <c r="D254" t="s">
        <v>1724</v>
      </c>
      <c r="E254">
        <v>424003</v>
      </c>
      <c r="F254" t="s">
        <v>1</v>
      </c>
      <c r="G254" t="s">
        <v>2</v>
      </c>
      <c r="H254" t="s">
        <v>1725</v>
      </c>
      <c r="I254" t="s">
        <v>1726</v>
      </c>
      <c r="L254" t="s">
        <v>1727</v>
      </c>
      <c r="M254" t="s">
        <v>1728</v>
      </c>
      <c r="P254" t="s">
        <v>1731</v>
      </c>
      <c r="Q254" t="s">
        <v>1732</v>
      </c>
      <c r="Y254" t="s">
        <v>1733</v>
      </c>
    </row>
    <row r="255" spans="1:25" x14ac:dyDescent="0.25">
      <c r="A255" t="str">
        <f>"1021791277"</f>
        <v>1021791277</v>
      </c>
      <c r="B255" t="s">
        <v>790</v>
      </c>
      <c r="C255" t="s">
        <v>1738</v>
      </c>
      <c r="D255" t="s">
        <v>1734</v>
      </c>
      <c r="E255">
        <v>424918</v>
      </c>
      <c r="F255" t="s">
        <v>1</v>
      </c>
      <c r="G255" t="s">
        <v>2</v>
      </c>
      <c r="H255" t="s">
        <v>629</v>
      </c>
      <c r="I255" t="s">
        <v>1735</v>
      </c>
      <c r="L255" t="s">
        <v>1736</v>
      </c>
      <c r="M255" t="s">
        <v>1737</v>
      </c>
      <c r="P255" t="s">
        <v>1213</v>
      </c>
      <c r="Q255" t="s">
        <v>1739</v>
      </c>
      <c r="R255" t="s">
        <v>1740</v>
      </c>
      <c r="T255" t="s">
        <v>1741</v>
      </c>
      <c r="U255" t="s">
        <v>1742</v>
      </c>
      <c r="V255" t="s">
        <v>1743</v>
      </c>
      <c r="Y255" t="s">
        <v>1744</v>
      </c>
    </row>
    <row r="256" spans="1:25" x14ac:dyDescent="0.25">
      <c r="A256" t="str">
        <f>"1021869665"</f>
        <v>1021869665</v>
      </c>
      <c r="B256" t="s">
        <v>151</v>
      </c>
      <c r="C256" t="s">
        <v>151</v>
      </c>
      <c r="D256" t="s">
        <v>1745</v>
      </c>
      <c r="E256">
        <v>424000</v>
      </c>
      <c r="F256" t="s">
        <v>1</v>
      </c>
      <c r="G256" t="s">
        <v>2</v>
      </c>
      <c r="H256" t="s">
        <v>1746</v>
      </c>
      <c r="Y256" t="s">
        <v>1747</v>
      </c>
    </row>
    <row r="257" spans="1:25" x14ac:dyDescent="0.25">
      <c r="A257" t="str">
        <f>"1021877389"</f>
        <v>1021877389</v>
      </c>
      <c r="B257" t="s">
        <v>379</v>
      </c>
      <c r="C257" t="s">
        <v>864</v>
      </c>
      <c r="D257" t="s">
        <v>1748</v>
      </c>
      <c r="E257">
        <v>424001</v>
      </c>
      <c r="F257" t="s">
        <v>1</v>
      </c>
      <c r="G257" t="s">
        <v>2</v>
      </c>
      <c r="H257" t="s">
        <v>919</v>
      </c>
      <c r="I257" t="s">
        <v>1749</v>
      </c>
      <c r="Y257" t="s">
        <v>1750</v>
      </c>
    </row>
    <row r="258" spans="1:25" x14ac:dyDescent="0.25">
      <c r="A258" t="str">
        <f>"1021951230"</f>
        <v>1021951230</v>
      </c>
      <c r="B258" t="s">
        <v>1573</v>
      </c>
      <c r="C258" t="s">
        <v>1753</v>
      </c>
      <c r="D258" t="s">
        <v>1751</v>
      </c>
      <c r="E258">
        <v>424007</v>
      </c>
      <c r="F258" t="s">
        <v>1</v>
      </c>
      <c r="G258" t="s">
        <v>2</v>
      </c>
      <c r="H258" t="s">
        <v>1242</v>
      </c>
      <c r="I258" t="s">
        <v>1752</v>
      </c>
      <c r="P258" t="s">
        <v>20</v>
      </c>
      <c r="Y258" t="s">
        <v>1754</v>
      </c>
    </row>
    <row r="259" spans="1:25" x14ac:dyDescent="0.25">
      <c r="A259" t="str">
        <f>"1021964606"</f>
        <v>1021964606</v>
      </c>
      <c r="B259" t="s">
        <v>1758</v>
      </c>
      <c r="C259" t="s">
        <v>1759</v>
      </c>
      <c r="D259" t="s">
        <v>1755</v>
      </c>
      <c r="E259">
        <v>424004</v>
      </c>
      <c r="F259" t="s">
        <v>1</v>
      </c>
      <c r="G259" t="s">
        <v>2</v>
      </c>
      <c r="H259" t="s">
        <v>1756</v>
      </c>
      <c r="I259" t="s">
        <v>1757</v>
      </c>
      <c r="P259" t="s">
        <v>1760</v>
      </c>
      <c r="Y259" t="s">
        <v>1761</v>
      </c>
    </row>
    <row r="260" spans="1:25" x14ac:dyDescent="0.25">
      <c r="A260" t="str">
        <f>"1022078559"</f>
        <v>1022078559</v>
      </c>
      <c r="B260" t="s">
        <v>482</v>
      </c>
      <c r="C260" t="s">
        <v>1765</v>
      </c>
      <c r="D260" t="s">
        <v>1762</v>
      </c>
      <c r="E260">
        <v>424005</v>
      </c>
      <c r="F260" t="s">
        <v>1</v>
      </c>
      <c r="G260" t="s">
        <v>2</v>
      </c>
      <c r="H260" t="s">
        <v>1763</v>
      </c>
      <c r="I260" t="s">
        <v>1764</v>
      </c>
      <c r="P260" t="s">
        <v>280</v>
      </c>
      <c r="Y260" t="s">
        <v>1766</v>
      </c>
    </row>
    <row r="261" spans="1:25" x14ac:dyDescent="0.25">
      <c r="A261" t="str">
        <f>"1022341785"</f>
        <v>1022341785</v>
      </c>
      <c r="B261" t="s">
        <v>348</v>
      </c>
      <c r="C261" t="s">
        <v>1770</v>
      </c>
      <c r="D261" t="s">
        <v>1767</v>
      </c>
      <c r="E261">
        <v>424039</v>
      </c>
      <c r="F261" t="s">
        <v>1</v>
      </c>
      <c r="G261" t="s">
        <v>2</v>
      </c>
      <c r="H261" t="s">
        <v>1768</v>
      </c>
      <c r="I261" t="s">
        <v>1769</v>
      </c>
      <c r="P261" t="s">
        <v>27</v>
      </c>
      <c r="Y261" t="s">
        <v>1771</v>
      </c>
    </row>
    <row r="262" spans="1:25" x14ac:dyDescent="0.25">
      <c r="A262" t="str">
        <f>"1022370262"</f>
        <v>1022370262</v>
      </c>
      <c r="B262" t="s">
        <v>379</v>
      </c>
      <c r="C262" t="s">
        <v>1776</v>
      </c>
      <c r="D262" t="s">
        <v>1772</v>
      </c>
      <c r="E262">
        <v>424004</v>
      </c>
      <c r="F262" t="s">
        <v>1</v>
      </c>
      <c r="G262" t="s">
        <v>2</v>
      </c>
      <c r="H262" t="s">
        <v>351</v>
      </c>
      <c r="I262" t="s">
        <v>1773</v>
      </c>
      <c r="L262" t="s">
        <v>1774</v>
      </c>
      <c r="M262" t="s">
        <v>1775</v>
      </c>
      <c r="P262" t="s">
        <v>260</v>
      </c>
      <c r="Q262" t="s">
        <v>1777</v>
      </c>
      <c r="T262" t="s">
        <v>1778</v>
      </c>
      <c r="V262" t="s">
        <v>1779</v>
      </c>
      <c r="Y262" t="s">
        <v>1780</v>
      </c>
    </row>
    <row r="263" spans="1:25" x14ac:dyDescent="0.25">
      <c r="A263" t="str">
        <f>"1022412285"</f>
        <v>1022412285</v>
      </c>
      <c r="B263" t="s">
        <v>790</v>
      </c>
      <c r="C263" t="s">
        <v>1787</v>
      </c>
      <c r="D263" t="s">
        <v>1781</v>
      </c>
      <c r="E263">
        <v>424033</v>
      </c>
      <c r="F263" t="s">
        <v>1</v>
      </c>
      <c r="G263" t="s">
        <v>2</v>
      </c>
      <c r="H263" t="s">
        <v>1782</v>
      </c>
      <c r="I263" t="s">
        <v>1783</v>
      </c>
      <c r="J263" t="s">
        <v>1784</v>
      </c>
      <c r="L263" t="s">
        <v>1785</v>
      </c>
      <c r="M263" t="s">
        <v>1786</v>
      </c>
      <c r="P263" t="s">
        <v>144</v>
      </c>
      <c r="Q263" t="s">
        <v>1788</v>
      </c>
      <c r="R263" t="s">
        <v>1789</v>
      </c>
      <c r="S263" t="s">
        <v>1790</v>
      </c>
      <c r="T263" t="s">
        <v>1791</v>
      </c>
      <c r="V263" t="s">
        <v>1792</v>
      </c>
      <c r="Y263" t="s">
        <v>1793</v>
      </c>
    </row>
    <row r="264" spans="1:25" x14ac:dyDescent="0.25">
      <c r="A264" t="str">
        <f>"1022626300"</f>
        <v>1022626300</v>
      </c>
      <c r="B264" t="s">
        <v>1053</v>
      </c>
      <c r="C264" t="s">
        <v>1799</v>
      </c>
      <c r="D264" t="s">
        <v>1794</v>
      </c>
      <c r="E264">
        <v>424007</v>
      </c>
      <c r="F264" t="s">
        <v>1</v>
      </c>
      <c r="G264" t="s">
        <v>2</v>
      </c>
      <c r="H264" t="s">
        <v>220</v>
      </c>
      <c r="I264" t="s">
        <v>1795</v>
      </c>
      <c r="K264" t="s">
        <v>1796</v>
      </c>
      <c r="L264" t="s">
        <v>1797</v>
      </c>
      <c r="M264" t="s">
        <v>1798</v>
      </c>
      <c r="P264" t="s">
        <v>20</v>
      </c>
      <c r="Y264" t="s">
        <v>227</v>
      </c>
    </row>
    <row r="265" spans="1:25" x14ac:dyDescent="0.25">
      <c r="A265" t="str">
        <f>"1022856472"</f>
        <v>1022856472</v>
      </c>
      <c r="B265" t="s">
        <v>18</v>
      </c>
      <c r="C265" t="s">
        <v>1803</v>
      </c>
      <c r="D265" t="s">
        <v>1800</v>
      </c>
      <c r="E265">
        <v>424019</v>
      </c>
      <c r="F265" t="s">
        <v>1</v>
      </c>
      <c r="G265" t="s">
        <v>2</v>
      </c>
      <c r="H265" t="s">
        <v>1801</v>
      </c>
      <c r="I265" t="s">
        <v>1802</v>
      </c>
      <c r="P265" t="s">
        <v>260</v>
      </c>
      <c r="Y265" t="s">
        <v>1804</v>
      </c>
    </row>
    <row r="266" spans="1:25" x14ac:dyDescent="0.25">
      <c r="A266" t="str">
        <f>"1022899184"</f>
        <v>1022899184</v>
      </c>
      <c r="B266" t="s">
        <v>1758</v>
      </c>
      <c r="C266" t="s">
        <v>1811</v>
      </c>
      <c r="D266" t="s">
        <v>1805</v>
      </c>
      <c r="E266">
        <v>424000</v>
      </c>
      <c r="F266" t="s">
        <v>1</v>
      </c>
      <c r="G266" t="s">
        <v>2</v>
      </c>
      <c r="H266" t="s">
        <v>1806</v>
      </c>
      <c r="I266" t="s">
        <v>1807</v>
      </c>
      <c r="J266" t="s">
        <v>1808</v>
      </c>
      <c r="L266" t="s">
        <v>1809</v>
      </c>
      <c r="M266" t="s">
        <v>1810</v>
      </c>
      <c r="P266" t="s">
        <v>941</v>
      </c>
      <c r="Q266" t="s">
        <v>1812</v>
      </c>
      <c r="V266" t="s">
        <v>1813</v>
      </c>
      <c r="Y266" t="s">
        <v>1814</v>
      </c>
    </row>
    <row r="267" spans="1:25" x14ac:dyDescent="0.25">
      <c r="A267" t="str">
        <f>"1022938731"</f>
        <v>1022938731</v>
      </c>
      <c r="B267" t="s">
        <v>1573</v>
      </c>
      <c r="C267" t="s">
        <v>1817</v>
      </c>
      <c r="D267" t="s">
        <v>1815</v>
      </c>
      <c r="E267">
        <v>424002</v>
      </c>
      <c r="F267" t="s">
        <v>1</v>
      </c>
      <c r="G267" t="s">
        <v>2</v>
      </c>
      <c r="H267" t="s">
        <v>744</v>
      </c>
      <c r="I267" t="s">
        <v>1816</v>
      </c>
      <c r="P267" t="s">
        <v>748</v>
      </c>
      <c r="Y267" t="s">
        <v>1818</v>
      </c>
    </row>
    <row r="268" spans="1:25" x14ac:dyDescent="0.25">
      <c r="A268" t="str">
        <f>"1023058864"</f>
        <v>1023058864</v>
      </c>
      <c r="B268" t="s">
        <v>1053</v>
      </c>
      <c r="C268" t="s">
        <v>1822</v>
      </c>
      <c r="D268" t="s">
        <v>1819</v>
      </c>
      <c r="E268">
        <v>424004</v>
      </c>
      <c r="F268" t="s">
        <v>1</v>
      </c>
      <c r="G268" t="s">
        <v>2</v>
      </c>
      <c r="H268" t="s">
        <v>1820</v>
      </c>
      <c r="I268" t="s">
        <v>1821</v>
      </c>
      <c r="P268" t="s">
        <v>27</v>
      </c>
      <c r="Y268" t="s">
        <v>1823</v>
      </c>
    </row>
    <row r="269" spans="1:25" x14ac:dyDescent="0.25">
      <c r="A269" t="str">
        <f>"1023131139"</f>
        <v>1023131139</v>
      </c>
      <c r="B269" t="s">
        <v>447</v>
      </c>
      <c r="C269" t="s">
        <v>448</v>
      </c>
      <c r="D269" t="s">
        <v>1824</v>
      </c>
      <c r="E269">
        <v>424019</v>
      </c>
      <c r="F269" t="s">
        <v>1</v>
      </c>
      <c r="G269" t="s">
        <v>2</v>
      </c>
      <c r="H269" t="s">
        <v>1825</v>
      </c>
      <c r="I269" t="s">
        <v>1826</v>
      </c>
      <c r="Y269" t="s">
        <v>1827</v>
      </c>
    </row>
    <row r="270" spans="1:25" x14ac:dyDescent="0.25">
      <c r="A270" t="str">
        <f>"1023302757"</f>
        <v>1023302757</v>
      </c>
      <c r="B270" t="s">
        <v>1833</v>
      </c>
      <c r="C270" t="s">
        <v>1834</v>
      </c>
      <c r="D270" t="s">
        <v>1828</v>
      </c>
      <c r="E270">
        <v>424005</v>
      </c>
      <c r="F270" t="s">
        <v>1</v>
      </c>
      <c r="G270" t="s">
        <v>2</v>
      </c>
      <c r="H270" t="s">
        <v>1829</v>
      </c>
      <c r="I270" t="s">
        <v>1830</v>
      </c>
      <c r="L270" t="s">
        <v>1831</v>
      </c>
      <c r="M270" t="s">
        <v>1832</v>
      </c>
      <c r="P270" t="s">
        <v>20</v>
      </c>
      <c r="Y270" t="s">
        <v>1835</v>
      </c>
    </row>
    <row r="271" spans="1:25" x14ac:dyDescent="0.25">
      <c r="A271" t="str">
        <f>"1023424650"</f>
        <v>1023424650</v>
      </c>
      <c r="B271" t="s">
        <v>1152</v>
      </c>
      <c r="C271" t="s">
        <v>1840</v>
      </c>
      <c r="D271" t="s">
        <v>1836</v>
      </c>
      <c r="E271">
        <v>424020</v>
      </c>
      <c r="F271" t="s">
        <v>1</v>
      </c>
      <c r="G271" t="s">
        <v>2</v>
      </c>
      <c r="H271" t="s">
        <v>1837</v>
      </c>
      <c r="I271" t="s">
        <v>1838</v>
      </c>
      <c r="J271" t="s">
        <v>1839</v>
      </c>
      <c r="P271" t="s">
        <v>1841</v>
      </c>
      <c r="Y271" t="s">
        <v>1842</v>
      </c>
    </row>
    <row r="272" spans="1:25" x14ac:dyDescent="0.25">
      <c r="A272" t="str">
        <f>"1023468647"</f>
        <v>1023468647</v>
      </c>
      <c r="B272" t="s">
        <v>1846</v>
      </c>
      <c r="C272" t="s">
        <v>1846</v>
      </c>
      <c r="D272" t="s">
        <v>1843</v>
      </c>
      <c r="F272" t="s">
        <v>1</v>
      </c>
      <c r="G272" t="s">
        <v>2</v>
      </c>
      <c r="H272" t="s">
        <v>1844</v>
      </c>
      <c r="I272" t="s">
        <v>1845</v>
      </c>
      <c r="Y272" t="s">
        <v>1847</v>
      </c>
    </row>
    <row r="273" spans="1:25" x14ac:dyDescent="0.25">
      <c r="A273" t="str">
        <f>"1023701749"</f>
        <v>1023701749</v>
      </c>
      <c r="B273" t="s">
        <v>348</v>
      </c>
      <c r="C273" t="s">
        <v>1854</v>
      </c>
      <c r="D273" t="s">
        <v>1848</v>
      </c>
      <c r="E273">
        <v>424037</v>
      </c>
      <c r="F273" t="s">
        <v>1</v>
      </c>
      <c r="G273" t="s">
        <v>2</v>
      </c>
      <c r="H273" t="s">
        <v>1849</v>
      </c>
      <c r="I273" t="s">
        <v>1850</v>
      </c>
      <c r="J273" t="s">
        <v>1851</v>
      </c>
      <c r="L273" t="s">
        <v>1852</v>
      </c>
      <c r="M273" t="s">
        <v>1853</v>
      </c>
      <c r="P273" t="s">
        <v>1855</v>
      </c>
      <c r="Q273" t="s">
        <v>1856</v>
      </c>
      <c r="R273" t="s">
        <v>1857</v>
      </c>
      <c r="T273" t="s">
        <v>1858</v>
      </c>
      <c r="V273" t="s">
        <v>1859</v>
      </c>
      <c r="Y273" t="s">
        <v>1860</v>
      </c>
    </row>
    <row r="274" spans="1:25" x14ac:dyDescent="0.25">
      <c r="A274" t="str">
        <f>"1023919534"</f>
        <v>1023919534</v>
      </c>
      <c r="B274" t="s">
        <v>462</v>
      </c>
      <c r="C274" t="s">
        <v>1866</v>
      </c>
      <c r="D274" t="s">
        <v>1861</v>
      </c>
      <c r="E274">
        <v>424038</v>
      </c>
      <c r="F274" t="s">
        <v>1</v>
      </c>
      <c r="G274" t="s">
        <v>2</v>
      </c>
      <c r="H274" t="s">
        <v>1862</v>
      </c>
      <c r="I274" t="s">
        <v>1863</v>
      </c>
      <c r="L274" t="s">
        <v>1864</v>
      </c>
      <c r="M274" t="s">
        <v>1865</v>
      </c>
      <c r="P274" t="s">
        <v>20</v>
      </c>
      <c r="Y274" t="s">
        <v>1867</v>
      </c>
    </row>
    <row r="275" spans="1:25" x14ac:dyDescent="0.25">
      <c r="A275" t="str">
        <f>"1023968832"</f>
        <v>1023968832</v>
      </c>
      <c r="B275" t="s">
        <v>1611</v>
      </c>
      <c r="C275" t="s">
        <v>1871</v>
      </c>
      <c r="D275" t="s">
        <v>1868</v>
      </c>
      <c r="E275">
        <v>424037</v>
      </c>
      <c r="F275" t="s">
        <v>1</v>
      </c>
      <c r="G275" t="s">
        <v>2</v>
      </c>
      <c r="H275" t="s">
        <v>1247</v>
      </c>
      <c r="I275" t="s">
        <v>1869</v>
      </c>
      <c r="M275" t="s">
        <v>1870</v>
      </c>
      <c r="P275" t="s">
        <v>20</v>
      </c>
      <c r="Y275" t="s">
        <v>1872</v>
      </c>
    </row>
    <row r="276" spans="1:25" x14ac:dyDescent="0.25">
      <c r="A276" t="str">
        <f>"1024037679"</f>
        <v>1024037679</v>
      </c>
      <c r="B276" t="s">
        <v>640</v>
      </c>
      <c r="C276" t="s">
        <v>1877</v>
      </c>
      <c r="D276" t="s">
        <v>1873</v>
      </c>
      <c r="E276">
        <v>424002</v>
      </c>
      <c r="F276" t="s">
        <v>1</v>
      </c>
      <c r="G276" t="s">
        <v>2</v>
      </c>
      <c r="H276" t="s">
        <v>1874</v>
      </c>
      <c r="I276" t="s">
        <v>1875</v>
      </c>
      <c r="M276" t="s">
        <v>1876</v>
      </c>
      <c r="P276" t="s">
        <v>280</v>
      </c>
      <c r="Y276" t="s">
        <v>1878</v>
      </c>
    </row>
    <row r="277" spans="1:25" x14ac:dyDescent="0.25">
      <c r="A277" t="str">
        <f>"1024158698"</f>
        <v>1024158698</v>
      </c>
      <c r="B277" t="s">
        <v>738</v>
      </c>
      <c r="C277" t="s">
        <v>1882</v>
      </c>
      <c r="D277" t="s">
        <v>1879</v>
      </c>
      <c r="E277">
        <v>424004</v>
      </c>
      <c r="F277" t="s">
        <v>1</v>
      </c>
      <c r="G277" t="s">
        <v>2</v>
      </c>
      <c r="H277" t="s">
        <v>1880</v>
      </c>
      <c r="I277" t="s">
        <v>1881</v>
      </c>
      <c r="P277" t="s">
        <v>1883</v>
      </c>
      <c r="Y277" t="s">
        <v>1884</v>
      </c>
    </row>
    <row r="278" spans="1:25" x14ac:dyDescent="0.25">
      <c r="A278" t="str">
        <f>"1024176284"</f>
        <v>1024176284</v>
      </c>
      <c r="B278" t="s">
        <v>462</v>
      </c>
      <c r="C278" t="s">
        <v>1140</v>
      </c>
      <c r="D278" t="s">
        <v>1885</v>
      </c>
      <c r="E278">
        <v>424002</v>
      </c>
      <c r="F278" t="s">
        <v>1</v>
      </c>
      <c r="G278" t="s">
        <v>2</v>
      </c>
      <c r="H278" t="s">
        <v>1886</v>
      </c>
      <c r="P278" t="s">
        <v>1887</v>
      </c>
      <c r="Y278" t="s">
        <v>1888</v>
      </c>
    </row>
    <row r="279" spans="1:25" x14ac:dyDescent="0.25">
      <c r="A279" t="str">
        <f>"1024299405"</f>
        <v>1024299405</v>
      </c>
      <c r="B279" t="s">
        <v>1053</v>
      </c>
      <c r="C279" t="s">
        <v>1892</v>
      </c>
      <c r="D279" t="s">
        <v>1889</v>
      </c>
      <c r="E279">
        <v>424006</v>
      </c>
      <c r="F279" t="s">
        <v>1</v>
      </c>
      <c r="G279" t="s">
        <v>2</v>
      </c>
      <c r="H279" t="s">
        <v>1890</v>
      </c>
      <c r="I279" t="s">
        <v>1891</v>
      </c>
      <c r="P279" t="s">
        <v>20</v>
      </c>
      <c r="Y279" t="s">
        <v>1893</v>
      </c>
    </row>
    <row r="280" spans="1:25" x14ac:dyDescent="0.25">
      <c r="A280" t="str">
        <f>"1024582010"</f>
        <v>1024582010</v>
      </c>
      <c r="B280" t="s">
        <v>233</v>
      </c>
      <c r="C280" t="s">
        <v>1897</v>
      </c>
      <c r="D280" t="s">
        <v>1894</v>
      </c>
      <c r="E280">
        <v>424008</v>
      </c>
      <c r="F280" t="s">
        <v>1</v>
      </c>
      <c r="G280" t="s">
        <v>2</v>
      </c>
      <c r="H280" t="s">
        <v>1895</v>
      </c>
      <c r="I280" t="s">
        <v>1896</v>
      </c>
      <c r="P280" t="s">
        <v>60</v>
      </c>
      <c r="Y280" t="s">
        <v>1898</v>
      </c>
    </row>
    <row r="281" spans="1:25" x14ac:dyDescent="0.25">
      <c r="A281" t="str">
        <f>"1024616551"</f>
        <v>1024616551</v>
      </c>
      <c r="B281" t="s">
        <v>591</v>
      </c>
      <c r="C281" t="s">
        <v>1904</v>
      </c>
      <c r="D281" t="s">
        <v>1899</v>
      </c>
      <c r="E281">
        <v>424031</v>
      </c>
      <c r="F281" t="s">
        <v>1</v>
      </c>
      <c r="G281" t="s">
        <v>2</v>
      </c>
      <c r="H281" t="s">
        <v>1900</v>
      </c>
      <c r="I281" t="s">
        <v>1901</v>
      </c>
      <c r="L281" t="s">
        <v>1902</v>
      </c>
      <c r="M281" t="s">
        <v>1903</v>
      </c>
      <c r="Y281" t="s">
        <v>1905</v>
      </c>
    </row>
    <row r="282" spans="1:25" x14ac:dyDescent="0.25">
      <c r="A282" t="str">
        <f>"1024673986"</f>
        <v>1024673986</v>
      </c>
      <c r="B282" t="s">
        <v>447</v>
      </c>
      <c r="C282" t="s">
        <v>448</v>
      </c>
      <c r="D282" t="s">
        <v>1906</v>
      </c>
      <c r="E282">
        <v>424016</v>
      </c>
      <c r="F282" t="s">
        <v>1</v>
      </c>
      <c r="G282" t="s">
        <v>2</v>
      </c>
      <c r="H282" t="s">
        <v>1907</v>
      </c>
      <c r="Y282" t="s">
        <v>1908</v>
      </c>
    </row>
    <row r="283" spans="1:25" x14ac:dyDescent="0.25">
      <c r="A283" t="str">
        <f>"1024728183"</f>
        <v>1024728183</v>
      </c>
      <c r="B283" t="s">
        <v>243</v>
      </c>
      <c r="C283" t="s">
        <v>1914</v>
      </c>
      <c r="D283" t="s">
        <v>1909</v>
      </c>
      <c r="E283">
        <v>424000</v>
      </c>
      <c r="F283" t="s">
        <v>1</v>
      </c>
      <c r="G283" t="s">
        <v>2</v>
      </c>
      <c r="H283" t="s">
        <v>523</v>
      </c>
      <c r="I283" t="s">
        <v>1910</v>
      </c>
      <c r="J283" t="s">
        <v>1911</v>
      </c>
      <c r="L283" t="s">
        <v>1912</v>
      </c>
      <c r="M283" t="s">
        <v>1913</v>
      </c>
      <c r="P283" t="s">
        <v>235</v>
      </c>
      <c r="Q283" t="s">
        <v>1915</v>
      </c>
      <c r="V283" t="s">
        <v>1916</v>
      </c>
      <c r="Y283" t="s">
        <v>526</v>
      </c>
    </row>
    <row r="284" spans="1:25" x14ac:dyDescent="0.25">
      <c r="A284" t="str">
        <f>"1024729123"</f>
        <v>1024729123</v>
      </c>
      <c r="B284" t="s">
        <v>328</v>
      </c>
      <c r="C284" t="s">
        <v>1920</v>
      </c>
      <c r="D284" t="s">
        <v>1917</v>
      </c>
      <c r="E284">
        <v>424007</v>
      </c>
      <c r="F284" t="s">
        <v>1</v>
      </c>
      <c r="G284" t="s">
        <v>2</v>
      </c>
      <c r="H284" t="s">
        <v>1918</v>
      </c>
      <c r="I284" t="s">
        <v>1919</v>
      </c>
      <c r="P284" t="s">
        <v>152</v>
      </c>
      <c r="Y284" t="s">
        <v>1921</v>
      </c>
    </row>
    <row r="285" spans="1:25" x14ac:dyDescent="0.25">
      <c r="A285" t="str">
        <f>"1024761478"</f>
        <v>1024761478</v>
      </c>
      <c r="B285" t="s">
        <v>1053</v>
      </c>
      <c r="C285" t="s">
        <v>1927</v>
      </c>
      <c r="D285" t="s">
        <v>1922</v>
      </c>
      <c r="E285">
        <v>424006</v>
      </c>
      <c r="F285" t="s">
        <v>1</v>
      </c>
      <c r="G285" t="s">
        <v>2</v>
      </c>
      <c r="H285" t="s">
        <v>1923</v>
      </c>
      <c r="I285" t="s">
        <v>1924</v>
      </c>
      <c r="L285" t="s">
        <v>1925</v>
      </c>
      <c r="M285" t="s">
        <v>1926</v>
      </c>
      <c r="P285" t="s">
        <v>20</v>
      </c>
      <c r="Y285" t="s">
        <v>1928</v>
      </c>
    </row>
    <row r="286" spans="1:25" x14ac:dyDescent="0.25">
      <c r="A286" t="str">
        <f>"1024764507"</f>
        <v>1024764507</v>
      </c>
      <c r="B286" t="s">
        <v>408</v>
      </c>
      <c r="C286" t="s">
        <v>409</v>
      </c>
      <c r="D286" t="s">
        <v>1929</v>
      </c>
      <c r="E286">
        <v>424004</v>
      </c>
      <c r="F286" t="s">
        <v>1</v>
      </c>
      <c r="G286" t="s">
        <v>2</v>
      </c>
      <c r="H286" t="s">
        <v>1820</v>
      </c>
      <c r="I286" t="s">
        <v>1930</v>
      </c>
      <c r="P286" t="s">
        <v>27</v>
      </c>
      <c r="Y286" t="s">
        <v>1823</v>
      </c>
    </row>
    <row r="287" spans="1:25" x14ac:dyDescent="0.25">
      <c r="A287" t="str">
        <f>"1024785167"</f>
        <v>1024785167</v>
      </c>
      <c r="B287" t="s">
        <v>738</v>
      </c>
      <c r="C287" t="s">
        <v>739</v>
      </c>
      <c r="D287" t="s">
        <v>1931</v>
      </c>
      <c r="E287">
        <v>424004</v>
      </c>
      <c r="F287" t="s">
        <v>1</v>
      </c>
      <c r="G287" t="s">
        <v>2</v>
      </c>
      <c r="H287" t="s">
        <v>1932</v>
      </c>
      <c r="I287" t="s">
        <v>1933</v>
      </c>
      <c r="P287" t="s">
        <v>458</v>
      </c>
      <c r="Y287" t="s">
        <v>1934</v>
      </c>
    </row>
    <row r="288" spans="1:25" x14ac:dyDescent="0.25">
      <c r="A288" t="str">
        <f>"1024924492"</f>
        <v>1024924492</v>
      </c>
      <c r="B288" t="s">
        <v>930</v>
      </c>
      <c r="C288" t="s">
        <v>1940</v>
      </c>
      <c r="D288" t="s">
        <v>1935</v>
      </c>
      <c r="E288">
        <v>424031</v>
      </c>
      <c r="F288" t="s">
        <v>1</v>
      </c>
      <c r="G288" t="s">
        <v>2</v>
      </c>
      <c r="H288" t="s">
        <v>1936</v>
      </c>
      <c r="I288" t="s">
        <v>1937</v>
      </c>
      <c r="L288" t="s">
        <v>1938</v>
      </c>
      <c r="M288" t="s">
        <v>1939</v>
      </c>
      <c r="P288" t="s">
        <v>1941</v>
      </c>
      <c r="Y288" t="s">
        <v>1942</v>
      </c>
    </row>
    <row r="289" spans="1:25" x14ac:dyDescent="0.25">
      <c r="A289" t="str">
        <f>"1025069918"</f>
        <v>1025069918</v>
      </c>
      <c r="B289" t="s">
        <v>1078</v>
      </c>
      <c r="C289" t="s">
        <v>1944</v>
      </c>
      <c r="D289" t="s">
        <v>1943</v>
      </c>
      <c r="E289">
        <v>424000</v>
      </c>
      <c r="F289" t="s">
        <v>1</v>
      </c>
      <c r="G289" t="s">
        <v>2</v>
      </c>
      <c r="H289" t="s">
        <v>1531</v>
      </c>
      <c r="Y289" t="s">
        <v>1707</v>
      </c>
    </row>
    <row r="290" spans="1:25" x14ac:dyDescent="0.25">
      <c r="A290" t="str">
        <f>"1025122646"</f>
        <v>1025122646</v>
      </c>
      <c r="B290" t="s">
        <v>888</v>
      </c>
      <c r="C290" t="s">
        <v>1947</v>
      </c>
      <c r="D290" t="s">
        <v>1945</v>
      </c>
      <c r="E290">
        <v>424002</v>
      </c>
      <c r="F290" t="s">
        <v>1</v>
      </c>
      <c r="G290" t="s">
        <v>2</v>
      </c>
      <c r="H290" t="s">
        <v>1946</v>
      </c>
      <c r="Y290" t="s">
        <v>1948</v>
      </c>
    </row>
    <row r="291" spans="1:25" x14ac:dyDescent="0.25">
      <c r="A291" t="str">
        <f>"1025264065"</f>
        <v>1025264065</v>
      </c>
      <c r="B291" t="s">
        <v>348</v>
      </c>
      <c r="C291" t="s">
        <v>1954</v>
      </c>
      <c r="D291" t="s">
        <v>1949</v>
      </c>
      <c r="E291">
        <v>424002</v>
      </c>
      <c r="F291" t="s">
        <v>1</v>
      </c>
      <c r="G291" t="s">
        <v>2</v>
      </c>
      <c r="H291" t="s">
        <v>1950</v>
      </c>
      <c r="I291" t="s">
        <v>1951</v>
      </c>
      <c r="L291" t="s">
        <v>1952</v>
      </c>
      <c r="M291" t="s">
        <v>1953</v>
      </c>
      <c r="P291" t="s">
        <v>1213</v>
      </c>
      <c r="Q291" t="s">
        <v>1955</v>
      </c>
      <c r="Y291" t="s">
        <v>1956</v>
      </c>
    </row>
    <row r="292" spans="1:25" x14ac:dyDescent="0.25">
      <c r="A292" t="str">
        <f>"1025481759"</f>
        <v>1025481759</v>
      </c>
      <c r="B292" t="s">
        <v>1552</v>
      </c>
      <c r="C292" t="s">
        <v>1962</v>
      </c>
      <c r="D292" t="s">
        <v>1957</v>
      </c>
      <c r="E292">
        <v>424028</v>
      </c>
      <c r="F292" t="s">
        <v>1</v>
      </c>
      <c r="G292" t="s">
        <v>2</v>
      </c>
      <c r="H292" t="s">
        <v>1958</v>
      </c>
      <c r="I292" t="s">
        <v>1959</v>
      </c>
      <c r="L292" t="s">
        <v>1960</v>
      </c>
      <c r="M292" t="s">
        <v>1961</v>
      </c>
      <c r="P292" t="s">
        <v>280</v>
      </c>
      <c r="Y292" t="s">
        <v>1963</v>
      </c>
    </row>
    <row r="293" spans="1:25" x14ac:dyDescent="0.25">
      <c r="A293" t="str">
        <f>"1025604288"</f>
        <v>1025604288</v>
      </c>
      <c r="B293" t="s">
        <v>462</v>
      </c>
      <c r="C293" t="s">
        <v>463</v>
      </c>
      <c r="D293" t="s">
        <v>1964</v>
      </c>
      <c r="E293">
        <v>424031</v>
      </c>
      <c r="F293" t="s">
        <v>1</v>
      </c>
      <c r="G293" t="s">
        <v>2</v>
      </c>
      <c r="H293" t="s">
        <v>1965</v>
      </c>
      <c r="I293" t="s">
        <v>1966</v>
      </c>
      <c r="Y293" t="s">
        <v>1967</v>
      </c>
    </row>
    <row r="294" spans="1:25" x14ac:dyDescent="0.25">
      <c r="A294" t="str">
        <f>"1025653430"</f>
        <v>1025653430</v>
      </c>
      <c r="B294" t="s">
        <v>1222</v>
      </c>
      <c r="C294" t="s">
        <v>1971</v>
      </c>
      <c r="D294" t="s">
        <v>1968</v>
      </c>
      <c r="E294">
        <v>424028</v>
      </c>
      <c r="F294" t="s">
        <v>1</v>
      </c>
      <c r="G294" t="s">
        <v>2</v>
      </c>
      <c r="H294" t="s">
        <v>1969</v>
      </c>
      <c r="J294" t="s">
        <v>1970</v>
      </c>
      <c r="P294" t="s">
        <v>1972</v>
      </c>
      <c r="Y294" t="s">
        <v>1973</v>
      </c>
    </row>
    <row r="295" spans="1:25" x14ac:dyDescent="0.25">
      <c r="A295" t="str">
        <f>"1025828837"</f>
        <v>1025828837</v>
      </c>
      <c r="B295" t="s">
        <v>67</v>
      </c>
      <c r="C295" t="s">
        <v>269</v>
      </c>
      <c r="D295" t="s">
        <v>1974</v>
      </c>
      <c r="E295">
        <v>424000</v>
      </c>
      <c r="F295" t="s">
        <v>1</v>
      </c>
      <c r="G295" t="s">
        <v>2</v>
      </c>
      <c r="H295" t="s">
        <v>1975</v>
      </c>
      <c r="I295" t="s">
        <v>1976</v>
      </c>
      <c r="L295" t="s">
        <v>1977</v>
      </c>
      <c r="M295" t="s">
        <v>1978</v>
      </c>
      <c r="P295" t="s">
        <v>330</v>
      </c>
      <c r="Q295" t="s">
        <v>1979</v>
      </c>
      <c r="R295" t="s">
        <v>1980</v>
      </c>
      <c r="S295" t="s">
        <v>1981</v>
      </c>
      <c r="T295" t="s">
        <v>1982</v>
      </c>
      <c r="U295" t="s">
        <v>1983</v>
      </c>
      <c r="V295" t="s">
        <v>1984</v>
      </c>
      <c r="Y295" t="s">
        <v>1985</v>
      </c>
    </row>
    <row r="296" spans="1:25" x14ac:dyDescent="0.25">
      <c r="A296" t="str">
        <f>"1025884692"</f>
        <v>1025884692</v>
      </c>
      <c r="B296" t="s">
        <v>1152</v>
      </c>
      <c r="C296" t="s">
        <v>1989</v>
      </c>
      <c r="D296" t="s">
        <v>1986</v>
      </c>
      <c r="E296">
        <v>424031</v>
      </c>
      <c r="F296" t="s">
        <v>1</v>
      </c>
      <c r="G296" t="s">
        <v>2</v>
      </c>
      <c r="H296" t="s">
        <v>1987</v>
      </c>
      <c r="I296" t="s">
        <v>1988</v>
      </c>
      <c r="P296" t="s">
        <v>280</v>
      </c>
      <c r="Y296" t="s">
        <v>1990</v>
      </c>
    </row>
    <row r="297" spans="1:25" x14ac:dyDescent="0.25">
      <c r="A297" t="str">
        <f>"1025899130"</f>
        <v>1025899130</v>
      </c>
      <c r="B297" t="s">
        <v>574</v>
      </c>
      <c r="C297" t="s">
        <v>1994</v>
      </c>
      <c r="D297" t="s">
        <v>1991</v>
      </c>
      <c r="E297">
        <v>424007</v>
      </c>
      <c r="F297" t="s">
        <v>1</v>
      </c>
      <c r="G297" t="s">
        <v>2</v>
      </c>
      <c r="H297" t="s">
        <v>1992</v>
      </c>
      <c r="I297" t="s">
        <v>1993</v>
      </c>
      <c r="P297" t="s">
        <v>280</v>
      </c>
      <c r="Y297" t="s">
        <v>1995</v>
      </c>
    </row>
    <row r="298" spans="1:25" x14ac:dyDescent="0.25">
      <c r="A298" t="str">
        <f>"1025956702"</f>
        <v>1025956702</v>
      </c>
      <c r="B298" t="s">
        <v>1493</v>
      </c>
      <c r="C298" t="s">
        <v>1494</v>
      </c>
      <c r="D298" t="s">
        <v>1996</v>
      </c>
      <c r="E298">
        <v>424020</v>
      </c>
      <c r="F298" t="s">
        <v>1</v>
      </c>
      <c r="G298" t="s">
        <v>2</v>
      </c>
      <c r="H298" t="s">
        <v>1997</v>
      </c>
      <c r="I298" t="s">
        <v>1998</v>
      </c>
      <c r="P298" t="s">
        <v>1232</v>
      </c>
      <c r="Y298" t="s">
        <v>1999</v>
      </c>
    </row>
    <row r="299" spans="1:25" x14ac:dyDescent="0.25">
      <c r="A299" t="str">
        <f>"1026097099"</f>
        <v>1026097099</v>
      </c>
      <c r="B299" t="s">
        <v>930</v>
      </c>
      <c r="C299" t="s">
        <v>2004</v>
      </c>
      <c r="D299" t="s">
        <v>2000</v>
      </c>
      <c r="E299">
        <v>424008</v>
      </c>
      <c r="F299" t="s">
        <v>1</v>
      </c>
      <c r="G299" t="s">
        <v>2</v>
      </c>
      <c r="H299" t="s">
        <v>2001</v>
      </c>
      <c r="I299" t="s">
        <v>2002</v>
      </c>
      <c r="J299" t="s">
        <v>2003</v>
      </c>
      <c r="P299" t="s">
        <v>381</v>
      </c>
      <c r="Y299" t="s">
        <v>2005</v>
      </c>
    </row>
    <row r="300" spans="1:25" x14ac:dyDescent="0.25">
      <c r="A300" t="str">
        <f>"1026121520"</f>
        <v>1026121520</v>
      </c>
      <c r="B300" t="s">
        <v>519</v>
      </c>
      <c r="C300" t="s">
        <v>2009</v>
      </c>
      <c r="D300" t="s">
        <v>2006</v>
      </c>
      <c r="E300">
        <v>424006</v>
      </c>
      <c r="F300" t="s">
        <v>1</v>
      </c>
      <c r="G300" t="s">
        <v>2</v>
      </c>
      <c r="H300" t="s">
        <v>2007</v>
      </c>
      <c r="I300" t="s">
        <v>2008</v>
      </c>
      <c r="Y300" t="s">
        <v>2010</v>
      </c>
    </row>
    <row r="301" spans="1:25" x14ac:dyDescent="0.25">
      <c r="A301" t="str">
        <f>"1026440312"</f>
        <v>1026440312</v>
      </c>
      <c r="B301" t="s">
        <v>18</v>
      </c>
      <c r="C301" t="s">
        <v>2015</v>
      </c>
      <c r="D301" t="s">
        <v>2011</v>
      </c>
      <c r="E301">
        <v>424006</v>
      </c>
      <c r="F301" t="s">
        <v>1</v>
      </c>
      <c r="G301" t="s">
        <v>2</v>
      </c>
      <c r="H301" t="s">
        <v>2012</v>
      </c>
      <c r="I301" t="s">
        <v>2013</v>
      </c>
      <c r="L301" t="s">
        <v>597</v>
      </c>
      <c r="M301" t="s">
        <v>2014</v>
      </c>
      <c r="P301" t="s">
        <v>27</v>
      </c>
      <c r="Y301" t="s">
        <v>2016</v>
      </c>
    </row>
    <row r="302" spans="1:25" x14ac:dyDescent="0.25">
      <c r="A302" t="str">
        <f>"1026503895"</f>
        <v>1026503895</v>
      </c>
      <c r="B302" t="s">
        <v>18</v>
      </c>
      <c r="C302" t="s">
        <v>959</v>
      </c>
      <c r="D302" t="s">
        <v>2017</v>
      </c>
      <c r="F302" t="s">
        <v>1</v>
      </c>
      <c r="G302" t="s">
        <v>2</v>
      </c>
      <c r="H302" t="s">
        <v>2018</v>
      </c>
      <c r="I302" t="s">
        <v>2019</v>
      </c>
      <c r="P302" t="s">
        <v>2020</v>
      </c>
      <c r="Y302" t="s">
        <v>2021</v>
      </c>
    </row>
    <row r="303" spans="1:25" x14ac:dyDescent="0.25">
      <c r="A303" t="str">
        <f>"1026541471"</f>
        <v>1026541471</v>
      </c>
      <c r="B303" t="s">
        <v>430</v>
      </c>
      <c r="C303" t="s">
        <v>940</v>
      </c>
      <c r="D303" t="s">
        <v>2022</v>
      </c>
      <c r="E303">
        <v>424000</v>
      </c>
      <c r="F303" t="s">
        <v>1</v>
      </c>
      <c r="G303" t="s">
        <v>2</v>
      </c>
      <c r="H303" t="s">
        <v>2023</v>
      </c>
      <c r="I303" t="s">
        <v>2024</v>
      </c>
      <c r="Y303" t="s">
        <v>2025</v>
      </c>
    </row>
    <row r="304" spans="1:25" x14ac:dyDescent="0.25">
      <c r="A304" t="str">
        <f>"1026620388"</f>
        <v>1026620388</v>
      </c>
      <c r="B304" t="s">
        <v>669</v>
      </c>
      <c r="C304" t="s">
        <v>670</v>
      </c>
      <c r="D304" t="s">
        <v>2026</v>
      </c>
      <c r="F304" t="s">
        <v>1</v>
      </c>
      <c r="G304" t="s">
        <v>2</v>
      </c>
      <c r="H304" t="s">
        <v>2027</v>
      </c>
      <c r="I304" t="s">
        <v>2028</v>
      </c>
      <c r="Y304" t="s">
        <v>2029</v>
      </c>
    </row>
    <row r="305" spans="1:25" x14ac:dyDescent="0.25">
      <c r="A305" t="str">
        <f>"1026736741"</f>
        <v>1026736741</v>
      </c>
      <c r="B305" t="s">
        <v>1152</v>
      </c>
      <c r="C305" t="s">
        <v>1159</v>
      </c>
      <c r="D305" t="s">
        <v>2030</v>
      </c>
      <c r="E305">
        <v>424004</v>
      </c>
      <c r="F305" t="s">
        <v>1</v>
      </c>
      <c r="G305" t="s">
        <v>2</v>
      </c>
      <c r="H305" t="s">
        <v>2031</v>
      </c>
      <c r="I305" t="s">
        <v>2032</v>
      </c>
      <c r="K305" t="s">
        <v>2033</v>
      </c>
      <c r="P305" t="s">
        <v>2034</v>
      </c>
      <c r="Y305" t="s">
        <v>2035</v>
      </c>
    </row>
    <row r="306" spans="1:25" x14ac:dyDescent="0.25">
      <c r="A306" t="str">
        <f>"1026866699"</f>
        <v>1026866699</v>
      </c>
      <c r="B306" t="s">
        <v>456</v>
      </c>
      <c r="C306" t="s">
        <v>2040</v>
      </c>
      <c r="D306" t="s">
        <v>2036</v>
      </c>
      <c r="E306">
        <v>424031</v>
      </c>
      <c r="F306" t="s">
        <v>1</v>
      </c>
      <c r="G306" t="s">
        <v>2</v>
      </c>
      <c r="H306" t="s">
        <v>2037</v>
      </c>
      <c r="J306" t="s">
        <v>2038</v>
      </c>
      <c r="M306" t="s">
        <v>2039</v>
      </c>
      <c r="Y306" t="s">
        <v>246</v>
      </c>
    </row>
    <row r="307" spans="1:25" x14ac:dyDescent="0.25">
      <c r="A307" t="str">
        <f>"1026904031"</f>
        <v>1026904031</v>
      </c>
      <c r="B307" t="s">
        <v>319</v>
      </c>
      <c r="C307" t="s">
        <v>320</v>
      </c>
      <c r="D307" t="s">
        <v>2041</v>
      </c>
      <c r="E307">
        <v>424006</v>
      </c>
      <c r="F307" t="s">
        <v>1</v>
      </c>
      <c r="G307" t="s">
        <v>2</v>
      </c>
      <c r="H307" t="s">
        <v>2042</v>
      </c>
      <c r="I307" t="s">
        <v>2043</v>
      </c>
      <c r="P307" t="s">
        <v>2044</v>
      </c>
      <c r="Y307" t="s">
        <v>2045</v>
      </c>
    </row>
    <row r="308" spans="1:25" x14ac:dyDescent="0.25">
      <c r="A308" t="str">
        <f>"1026941191"</f>
        <v>1026941191</v>
      </c>
      <c r="B308" t="s">
        <v>790</v>
      </c>
      <c r="C308" t="s">
        <v>2049</v>
      </c>
      <c r="D308" t="s">
        <v>2046</v>
      </c>
      <c r="E308">
        <v>424002</v>
      </c>
      <c r="F308" t="s">
        <v>1</v>
      </c>
      <c r="G308" t="s">
        <v>2</v>
      </c>
      <c r="H308" t="s">
        <v>2047</v>
      </c>
      <c r="I308" t="s">
        <v>2048</v>
      </c>
      <c r="P308" t="s">
        <v>2050</v>
      </c>
      <c r="Y308" t="s">
        <v>2051</v>
      </c>
    </row>
    <row r="309" spans="1:25" x14ac:dyDescent="0.25">
      <c r="A309" t="str">
        <f>"1026971381"</f>
        <v>1026971381</v>
      </c>
      <c r="B309" t="s">
        <v>2055</v>
      </c>
      <c r="C309" t="s">
        <v>2056</v>
      </c>
      <c r="D309" t="s">
        <v>2052</v>
      </c>
      <c r="E309">
        <v>424008</v>
      </c>
      <c r="F309" t="s">
        <v>1</v>
      </c>
      <c r="G309" t="s">
        <v>2</v>
      </c>
      <c r="H309" t="s">
        <v>1012</v>
      </c>
      <c r="I309" t="s">
        <v>2053</v>
      </c>
      <c r="J309" t="s">
        <v>2054</v>
      </c>
      <c r="P309" t="s">
        <v>20</v>
      </c>
      <c r="Y309" t="s">
        <v>2057</v>
      </c>
    </row>
    <row r="310" spans="1:25" x14ac:dyDescent="0.25">
      <c r="A310" t="str">
        <f>"1027013227"</f>
        <v>1027013227</v>
      </c>
      <c r="B310" t="s">
        <v>2062</v>
      </c>
      <c r="C310" t="s">
        <v>2063</v>
      </c>
      <c r="D310" t="s">
        <v>2058</v>
      </c>
      <c r="E310">
        <v>424001</v>
      </c>
      <c r="F310" t="s">
        <v>1</v>
      </c>
      <c r="G310" t="s">
        <v>2</v>
      </c>
      <c r="H310" t="s">
        <v>919</v>
      </c>
      <c r="I310" t="s">
        <v>2059</v>
      </c>
      <c r="L310" t="s">
        <v>2060</v>
      </c>
      <c r="M310" t="s">
        <v>2061</v>
      </c>
      <c r="P310" t="s">
        <v>2064</v>
      </c>
      <c r="Q310" t="s">
        <v>2065</v>
      </c>
      <c r="T310" t="s">
        <v>2066</v>
      </c>
      <c r="Y310" t="s">
        <v>2067</v>
      </c>
    </row>
    <row r="311" spans="1:25" x14ac:dyDescent="0.25">
      <c r="A311" t="str">
        <f>"1027056474"</f>
        <v>1027056474</v>
      </c>
      <c r="B311" t="s">
        <v>80</v>
      </c>
      <c r="C311" t="s">
        <v>2071</v>
      </c>
      <c r="D311" t="s">
        <v>2068</v>
      </c>
      <c r="E311">
        <v>424020</v>
      </c>
      <c r="F311" t="s">
        <v>1</v>
      </c>
      <c r="G311" t="s">
        <v>2</v>
      </c>
      <c r="H311" t="s">
        <v>2069</v>
      </c>
      <c r="I311" t="s">
        <v>2070</v>
      </c>
      <c r="P311" t="s">
        <v>2072</v>
      </c>
      <c r="Q311" t="s">
        <v>2073</v>
      </c>
      <c r="Y311" t="s">
        <v>2074</v>
      </c>
    </row>
    <row r="312" spans="1:25" x14ac:dyDescent="0.25">
      <c r="A312" t="str">
        <f>"1027097548"</f>
        <v>1027097548</v>
      </c>
      <c r="B312" t="s">
        <v>18</v>
      </c>
      <c r="C312" t="s">
        <v>2078</v>
      </c>
      <c r="D312" t="s">
        <v>2075</v>
      </c>
      <c r="E312">
        <v>424028</v>
      </c>
      <c r="F312" t="s">
        <v>1</v>
      </c>
      <c r="G312" t="s">
        <v>2</v>
      </c>
      <c r="H312" t="s">
        <v>2076</v>
      </c>
      <c r="I312" t="s">
        <v>2077</v>
      </c>
      <c r="P312" t="s">
        <v>2079</v>
      </c>
      <c r="Y312" t="s">
        <v>2080</v>
      </c>
    </row>
    <row r="313" spans="1:25" x14ac:dyDescent="0.25">
      <c r="A313" t="str">
        <f>"1027902096"</f>
        <v>1027902096</v>
      </c>
      <c r="B313" t="s">
        <v>574</v>
      </c>
      <c r="C313" t="s">
        <v>646</v>
      </c>
      <c r="D313" t="s">
        <v>2081</v>
      </c>
      <c r="E313">
        <v>424007</v>
      </c>
      <c r="F313" t="s">
        <v>1</v>
      </c>
      <c r="G313" t="s">
        <v>2</v>
      </c>
      <c r="H313" t="s">
        <v>2082</v>
      </c>
      <c r="I313" t="s">
        <v>2083</v>
      </c>
      <c r="P313" t="s">
        <v>2084</v>
      </c>
      <c r="Y313" t="s">
        <v>2085</v>
      </c>
    </row>
    <row r="314" spans="1:25" x14ac:dyDescent="0.25">
      <c r="A314" t="str">
        <f>"1027956396"</f>
        <v>1027956396</v>
      </c>
      <c r="B314" t="s">
        <v>32</v>
      </c>
      <c r="C314" t="s">
        <v>40</v>
      </c>
      <c r="D314" t="s">
        <v>2086</v>
      </c>
      <c r="E314">
        <v>424038</v>
      </c>
      <c r="F314" t="s">
        <v>1</v>
      </c>
      <c r="G314" t="s">
        <v>2</v>
      </c>
      <c r="H314" t="s">
        <v>2087</v>
      </c>
      <c r="I314" t="s">
        <v>2088</v>
      </c>
      <c r="P314" t="s">
        <v>2089</v>
      </c>
      <c r="Y314" t="s">
        <v>2090</v>
      </c>
    </row>
    <row r="315" spans="1:25" x14ac:dyDescent="0.25">
      <c r="A315" t="str">
        <f>"1028031319"</f>
        <v>1028031319</v>
      </c>
      <c r="B315" t="s">
        <v>1352</v>
      </c>
      <c r="C315" t="s">
        <v>2093</v>
      </c>
      <c r="D315" t="s">
        <v>2091</v>
      </c>
      <c r="E315">
        <v>424000</v>
      </c>
      <c r="F315" t="s">
        <v>1</v>
      </c>
      <c r="G315" t="s">
        <v>2</v>
      </c>
      <c r="H315" t="s">
        <v>1531</v>
      </c>
      <c r="I315" t="s">
        <v>2092</v>
      </c>
      <c r="P315" t="s">
        <v>2094</v>
      </c>
      <c r="Y315" t="s">
        <v>1707</v>
      </c>
    </row>
    <row r="316" spans="1:25" x14ac:dyDescent="0.25">
      <c r="A316" t="str">
        <f>"1028085739"</f>
        <v>1028085739</v>
      </c>
      <c r="B316" t="s">
        <v>18</v>
      </c>
      <c r="C316" t="s">
        <v>2100</v>
      </c>
      <c r="D316" t="s">
        <v>2095</v>
      </c>
      <c r="F316" t="s">
        <v>1</v>
      </c>
      <c r="G316" t="s">
        <v>2</v>
      </c>
      <c r="H316" t="s">
        <v>2096</v>
      </c>
      <c r="I316" t="s">
        <v>2097</v>
      </c>
      <c r="L316" t="s">
        <v>2098</v>
      </c>
      <c r="M316" t="s">
        <v>2099</v>
      </c>
      <c r="P316" t="s">
        <v>9</v>
      </c>
      <c r="Y316" t="s">
        <v>2101</v>
      </c>
    </row>
    <row r="317" spans="1:25" x14ac:dyDescent="0.25">
      <c r="A317" t="str">
        <f>"1028125842"</f>
        <v>1028125842</v>
      </c>
      <c r="B317" t="s">
        <v>2104</v>
      </c>
      <c r="C317" t="s">
        <v>2105</v>
      </c>
      <c r="D317" t="s">
        <v>2102</v>
      </c>
      <c r="E317">
        <v>424038</v>
      </c>
      <c r="F317" t="s">
        <v>1</v>
      </c>
      <c r="G317" t="s">
        <v>2</v>
      </c>
      <c r="H317" t="s">
        <v>2103</v>
      </c>
      <c r="Y317" t="s">
        <v>2106</v>
      </c>
    </row>
    <row r="318" spans="1:25" x14ac:dyDescent="0.25">
      <c r="A318" t="str">
        <f>"1028376118"</f>
        <v>1028376118</v>
      </c>
      <c r="B318" t="s">
        <v>290</v>
      </c>
      <c r="C318" t="s">
        <v>290</v>
      </c>
      <c r="D318" t="s">
        <v>2107</v>
      </c>
      <c r="E318">
        <v>424006</v>
      </c>
      <c r="F318" t="s">
        <v>1</v>
      </c>
      <c r="G318" t="s">
        <v>2</v>
      </c>
      <c r="H318" t="s">
        <v>155</v>
      </c>
      <c r="I318" t="s">
        <v>2108</v>
      </c>
      <c r="P318" t="s">
        <v>1642</v>
      </c>
      <c r="V318" t="s">
        <v>2109</v>
      </c>
      <c r="Y318" t="s">
        <v>2110</v>
      </c>
    </row>
    <row r="319" spans="1:25" x14ac:dyDescent="0.25">
      <c r="A319" t="str">
        <f>"1028431471"</f>
        <v>1028431471</v>
      </c>
      <c r="B319" t="s">
        <v>1222</v>
      </c>
      <c r="C319" t="s">
        <v>2114</v>
      </c>
      <c r="D319" t="s">
        <v>2111</v>
      </c>
      <c r="E319">
        <v>424020</v>
      </c>
      <c r="F319" t="s">
        <v>1</v>
      </c>
      <c r="G319" t="s">
        <v>2</v>
      </c>
      <c r="H319" t="s">
        <v>2112</v>
      </c>
      <c r="K319" t="s">
        <v>2113</v>
      </c>
      <c r="P319" t="s">
        <v>152</v>
      </c>
      <c r="Y319" t="s">
        <v>2115</v>
      </c>
    </row>
    <row r="320" spans="1:25" x14ac:dyDescent="0.25">
      <c r="A320" t="str">
        <f>"1028496471"</f>
        <v>1028496471</v>
      </c>
      <c r="B320" t="s">
        <v>176</v>
      </c>
      <c r="C320" t="s">
        <v>250</v>
      </c>
      <c r="D320" t="s">
        <v>2116</v>
      </c>
      <c r="E320">
        <v>424007</v>
      </c>
      <c r="F320" t="s">
        <v>1</v>
      </c>
      <c r="G320" t="s">
        <v>2</v>
      </c>
      <c r="H320" t="s">
        <v>819</v>
      </c>
      <c r="I320" t="s">
        <v>2117</v>
      </c>
      <c r="K320" t="s">
        <v>2118</v>
      </c>
      <c r="L320" t="s">
        <v>2119</v>
      </c>
      <c r="M320" t="s">
        <v>2120</v>
      </c>
      <c r="P320" t="s">
        <v>1420</v>
      </c>
      <c r="Q320" t="s">
        <v>2121</v>
      </c>
      <c r="Y320" t="s">
        <v>821</v>
      </c>
    </row>
    <row r="321" spans="1:25" x14ac:dyDescent="0.25">
      <c r="A321" t="str">
        <f>"1028531771"</f>
        <v>1028531771</v>
      </c>
      <c r="B321" t="s">
        <v>1152</v>
      </c>
      <c r="C321" t="s">
        <v>2124</v>
      </c>
      <c r="D321" t="s">
        <v>1385</v>
      </c>
      <c r="E321">
        <v>424031</v>
      </c>
      <c r="F321" t="s">
        <v>1</v>
      </c>
      <c r="G321" t="s">
        <v>2</v>
      </c>
      <c r="H321" t="s">
        <v>239</v>
      </c>
      <c r="I321" t="s">
        <v>2122</v>
      </c>
      <c r="J321" t="s">
        <v>2123</v>
      </c>
      <c r="P321" t="s">
        <v>280</v>
      </c>
      <c r="Y321" t="s">
        <v>246</v>
      </c>
    </row>
    <row r="322" spans="1:25" x14ac:dyDescent="0.25">
      <c r="A322" t="str">
        <f>"1028635912"</f>
        <v>1028635912</v>
      </c>
      <c r="B322" t="s">
        <v>703</v>
      </c>
      <c r="C322" t="s">
        <v>2129</v>
      </c>
      <c r="D322" t="s">
        <v>2125</v>
      </c>
      <c r="F322" t="s">
        <v>1</v>
      </c>
      <c r="G322" t="s">
        <v>2</v>
      </c>
      <c r="H322" t="s">
        <v>2018</v>
      </c>
      <c r="J322" t="s">
        <v>2126</v>
      </c>
      <c r="L322" t="s">
        <v>2127</v>
      </c>
      <c r="M322" t="s">
        <v>2128</v>
      </c>
      <c r="P322" t="s">
        <v>27</v>
      </c>
      <c r="Q322" t="s">
        <v>2130</v>
      </c>
      <c r="Y322" t="s">
        <v>2131</v>
      </c>
    </row>
    <row r="323" spans="1:25" x14ac:dyDescent="0.25">
      <c r="A323" t="str">
        <f>"1028680952"</f>
        <v>1028680952</v>
      </c>
      <c r="B323" t="s">
        <v>334</v>
      </c>
      <c r="C323" t="s">
        <v>334</v>
      </c>
      <c r="D323" t="s">
        <v>2132</v>
      </c>
      <c r="E323">
        <v>424004</v>
      </c>
      <c r="F323" t="s">
        <v>1</v>
      </c>
      <c r="G323" t="s">
        <v>2</v>
      </c>
      <c r="H323" t="s">
        <v>2133</v>
      </c>
      <c r="I323" t="s">
        <v>2134</v>
      </c>
      <c r="L323" t="s">
        <v>2135</v>
      </c>
      <c r="M323" t="s">
        <v>2136</v>
      </c>
      <c r="P323" t="s">
        <v>27</v>
      </c>
      <c r="Y323" t="s">
        <v>2137</v>
      </c>
    </row>
    <row r="324" spans="1:25" x14ac:dyDescent="0.25">
      <c r="A324" t="str">
        <f>"1028773323"</f>
        <v>1028773323</v>
      </c>
      <c r="B324" t="s">
        <v>25</v>
      </c>
      <c r="C324" t="s">
        <v>59</v>
      </c>
      <c r="D324" t="s">
        <v>2138</v>
      </c>
      <c r="F324" t="s">
        <v>1</v>
      </c>
      <c r="G324" t="s">
        <v>2</v>
      </c>
      <c r="H324" t="s">
        <v>2018</v>
      </c>
      <c r="I324" t="s">
        <v>2139</v>
      </c>
      <c r="J324" t="s">
        <v>2140</v>
      </c>
      <c r="P324" t="s">
        <v>152</v>
      </c>
      <c r="Y324" t="s">
        <v>2141</v>
      </c>
    </row>
    <row r="325" spans="1:25" x14ac:dyDescent="0.25">
      <c r="A325" t="str">
        <f>"1029234595"</f>
        <v>1029234595</v>
      </c>
      <c r="B325" t="s">
        <v>553</v>
      </c>
      <c r="C325" t="s">
        <v>554</v>
      </c>
      <c r="D325" t="s">
        <v>2142</v>
      </c>
      <c r="E325">
        <v>424004</v>
      </c>
      <c r="F325" t="s">
        <v>1</v>
      </c>
      <c r="G325" t="s">
        <v>2</v>
      </c>
      <c r="H325" t="s">
        <v>186</v>
      </c>
      <c r="I325" t="s">
        <v>2143</v>
      </c>
      <c r="Y325" t="s">
        <v>190</v>
      </c>
    </row>
    <row r="326" spans="1:25" x14ac:dyDescent="0.25">
      <c r="A326" t="str">
        <f>"1029258005"</f>
        <v>1029258005</v>
      </c>
      <c r="B326" t="s">
        <v>388</v>
      </c>
      <c r="C326" t="s">
        <v>2149</v>
      </c>
      <c r="D326" t="s">
        <v>2144</v>
      </c>
      <c r="E326">
        <v>424038</v>
      </c>
      <c r="F326" t="s">
        <v>1</v>
      </c>
      <c r="G326" t="s">
        <v>2</v>
      </c>
      <c r="H326" t="s">
        <v>2145</v>
      </c>
      <c r="I326" t="s">
        <v>2146</v>
      </c>
      <c r="L326" t="s">
        <v>2147</v>
      </c>
      <c r="M326" t="s">
        <v>2148</v>
      </c>
      <c r="P326" t="s">
        <v>9</v>
      </c>
      <c r="Q326" t="s">
        <v>2150</v>
      </c>
      <c r="S326" t="s">
        <v>2151</v>
      </c>
      <c r="Y326" t="s">
        <v>2152</v>
      </c>
    </row>
    <row r="327" spans="1:25" x14ac:dyDescent="0.25">
      <c r="A327" t="str">
        <f>"1029480656"</f>
        <v>1029480656</v>
      </c>
      <c r="B327" t="s">
        <v>7</v>
      </c>
      <c r="C327" t="s">
        <v>925</v>
      </c>
      <c r="D327" t="s">
        <v>2153</v>
      </c>
      <c r="E327">
        <v>424001</v>
      </c>
      <c r="F327" t="s">
        <v>1</v>
      </c>
      <c r="G327" t="s">
        <v>2</v>
      </c>
      <c r="H327" t="s">
        <v>919</v>
      </c>
      <c r="I327" t="s">
        <v>2154</v>
      </c>
      <c r="L327" t="s">
        <v>597</v>
      </c>
      <c r="M327" t="s">
        <v>2155</v>
      </c>
      <c r="P327" t="s">
        <v>27</v>
      </c>
      <c r="Y327" t="s">
        <v>1750</v>
      </c>
    </row>
    <row r="328" spans="1:25" x14ac:dyDescent="0.25">
      <c r="A328" t="str">
        <f>"1029542120"</f>
        <v>1029542120</v>
      </c>
      <c r="B328" t="s">
        <v>123</v>
      </c>
      <c r="C328" t="s">
        <v>424</v>
      </c>
      <c r="D328" t="s">
        <v>2156</v>
      </c>
      <c r="E328">
        <v>424031</v>
      </c>
      <c r="F328" t="s">
        <v>1</v>
      </c>
      <c r="G328" t="s">
        <v>2</v>
      </c>
      <c r="H328" t="s">
        <v>2157</v>
      </c>
      <c r="I328" t="s">
        <v>2158</v>
      </c>
      <c r="L328" t="s">
        <v>946</v>
      </c>
      <c r="M328" t="s">
        <v>2159</v>
      </c>
      <c r="P328" t="s">
        <v>425</v>
      </c>
      <c r="Y328" t="s">
        <v>2160</v>
      </c>
    </row>
    <row r="329" spans="1:25" x14ac:dyDescent="0.25">
      <c r="A329" t="str">
        <f>"1029695335"</f>
        <v>1029695335</v>
      </c>
      <c r="B329" t="s">
        <v>669</v>
      </c>
      <c r="C329" t="s">
        <v>670</v>
      </c>
      <c r="D329" t="s">
        <v>2161</v>
      </c>
      <c r="E329">
        <v>424004</v>
      </c>
      <c r="F329" t="s">
        <v>1</v>
      </c>
      <c r="G329" t="s">
        <v>2</v>
      </c>
      <c r="H329" t="s">
        <v>186</v>
      </c>
      <c r="I329" t="s">
        <v>2162</v>
      </c>
      <c r="Y329" t="s">
        <v>190</v>
      </c>
    </row>
    <row r="330" spans="1:25" x14ac:dyDescent="0.25">
      <c r="A330" t="str">
        <f>"1029723444"</f>
        <v>1029723444</v>
      </c>
      <c r="B330" t="s">
        <v>352</v>
      </c>
      <c r="C330" t="s">
        <v>353</v>
      </c>
      <c r="D330" t="s">
        <v>2163</v>
      </c>
      <c r="E330">
        <v>424002</v>
      </c>
      <c r="F330" t="s">
        <v>1</v>
      </c>
      <c r="G330" t="s">
        <v>2</v>
      </c>
      <c r="H330" t="s">
        <v>2164</v>
      </c>
      <c r="I330" t="s">
        <v>2165</v>
      </c>
      <c r="P330" t="s">
        <v>1232</v>
      </c>
      <c r="Y330" t="s">
        <v>2166</v>
      </c>
    </row>
    <row r="331" spans="1:25" x14ac:dyDescent="0.25">
      <c r="A331" t="str">
        <f>"1029752553"</f>
        <v>1029752553</v>
      </c>
      <c r="B331" t="s">
        <v>18</v>
      </c>
      <c r="C331" t="s">
        <v>2171</v>
      </c>
      <c r="D331" t="s">
        <v>2167</v>
      </c>
      <c r="E331">
        <v>424007</v>
      </c>
      <c r="F331" t="s">
        <v>1</v>
      </c>
      <c r="G331" t="s">
        <v>2</v>
      </c>
      <c r="H331" t="s">
        <v>2168</v>
      </c>
      <c r="I331" t="s">
        <v>2169</v>
      </c>
      <c r="K331" t="s">
        <v>2170</v>
      </c>
      <c r="P331" t="s">
        <v>20</v>
      </c>
      <c r="Y331" t="s">
        <v>2172</v>
      </c>
    </row>
    <row r="332" spans="1:25" x14ac:dyDescent="0.25">
      <c r="A332" t="str">
        <f>"1029870674"</f>
        <v>1029870674</v>
      </c>
      <c r="B332" t="s">
        <v>2178</v>
      </c>
      <c r="C332" t="s">
        <v>2179</v>
      </c>
      <c r="D332" t="s">
        <v>2173</v>
      </c>
      <c r="E332">
        <v>424000</v>
      </c>
      <c r="F332" t="s">
        <v>1</v>
      </c>
      <c r="G332" t="s">
        <v>2</v>
      </c>
      <c r="H332" t="s">
        <v>2174</v>
      </c>
      <c r="I332" t="s">
        <v>2175</v>
      </c>
      <c r="L332" t="s">
        <v>2176</v>
      </c>
      <c r="M332" t="s">
        <v>2177</v>
      </c>
      <c r="P332" t="s">
        <v>2180</v>
      </c>
      <c r="Q332" t="s">
        <v>2181</v>
      </c>
      <c r="T332" t="s">
        <v>2182</v>
      </c>
      <c r="Y332" t="s">
        <v>2183</v>
      </c>
    </row>
    <row r="333" spans="1:25" x14ac:dyDescent="0.25">
      <c r="A333" t="str">
        <f>"1029925264"</f>
        <v>1029925264</v>
      </c>
      <c r="B333" t="s">
        <v>687</v>
      </c>
      <c r="C333" t="s">
        <v>2189</v>
      </c>
      <c r="D333" t="s">
        <v>2184</v>
      </c>
      <c r="E333">
        <v>424006</v>
      </c>
      <c r="F333" t="s">
        <v>1</v>
      </c>
      <c r="G333" t="s">
        <v>2</v>
      </c>
      <c r="H333" t="s">
        <v>2185</v>
      </c>
      <c r="I333" t="s">
        <v>2186</v>
      </c>
      <c r="L333" t="s">
        <v>2187</v>
      </c>
      <c r="M333" t="s">
        <v>2188</v>
      </c>
      <c r="P333" t="s">
        <v>20</v>
      </c>
      <c r="V333" t="s">
        <v>2190</v>
      </c>
      <c r="Y333" t="s">
        <v>2191</v>
      </c>
    </row>
    <row r="334" spans="1:25" x14ac:dyDescent="0.25">
      <c r="A334" t="str">
        <f>"1030216323"</f>
        <v>1030216323</v>
      </c>
      <c r="B334" t="s">
        <v>654</v>
      </c>
      <c r="C334" t="s">
        <v>2195</v>
      </c>
      <c r="D334" t="s">
        <v>2192</v>
      </c>
      <c r="E334">
        <v>424000</v>
      </c>
      <c r="F334" t="s">
        <v>1</v>
      </c>
      <c r="G334" t="s">
        <v>2</v>
      </c>
      <c r="H334" t="s">
        <v>2193</v>
      </c>
      <c r="I334" t="s">
        <v>2194</v>
      </c>
      <c r="P334" t="s">
        <v>152</v>
      </c>
      <c r="Y334" t="s">
        <v>2196</v>
      </c>
    </row>
    <row r="335" spans="1:25" x14ac:dyDescent="0.25">
      <c r="A335" t="str">
        <f>"1030356663"</f>
        <v>1030356663</v>
      </c>
      <c r="B335" t="s">
        <v>123</v>
      </c>
      <c r="C335" t="s">
        <v>424</v>
      </c>
      <c r="D335" t="s">
        <v>2197</v>
      </c>
      <c r="E335">
        <v>424030</v>
      </c>
      <c r="F335" t="s">
        <v>1</v>
      </c>
      <c r="G335" t="s">
        <v>2</v>
      </c>
      <c r="H335" t="s">
        <v>2198</v>
      </c>
      <c r="I335" t="s">
        <v>2199</v>
      </c>
      <c r="P335" t="s">
        <v>425</v>
      </c>
      <c r="Y335" t="s">
        <v>2200</v>
      </c>
    </row>
    <row r="336" spans="1:25" x14ac:dyDescent="0.25">
      <c r="A336" t="str">
        <f>"1030374055"</f>
        <v>1030374055</v>
      </c>
      <c r="B336" t="s">
        <v>25</v>
      </c>
      <c r="C336" t="s">
        <v>59</v>
      </c>
      <c r="D336" t="s">
        <v>2201</v>
      </c>
      <c r="E336">
        <v>424000</v>
      </c>
      <c r="F336" t="s">
        <v>1</v>
      </c>
      <c r="G336" t="s">
        <v>2</v>
      </c>
      <c r="H336" t="s">
        <v>2202</v>
      </c>
      <c r="I336" t="s">
        <v>2203</v>
      </c>
      <c r="P336" t="s">
        <v>260</v>
      </c>
      <c r="Y336" t="s">
        <v>2204</v>
      </c>
    </row>
    <row r="337" spans="1:25" x14ac:dyDescent="0.25">
      <c r="A337" t="str">
        <f>"1030435552"</f>
        <v>1030435552</v>
      </c>
      <c r="B337" t="s">
        <v>1299</v>
      </c>
      <c r="C337" t="s">
        <v>1300</v>
      </c>
      <c r="D337" t="s">
        <v>2205</v>
      </c>
      <c r="E337">
        <v>424000</v>
      </c>
      <c r="F337" t="s">
        <v>1</v>
      </c>
      <c r="G337" t="s">
        <v>2</v>
      </c>
      <c r="H337" t="s">
        <v>2206</v>
      </c>
      <c r="I337" t="s">
        <v>2207</v>
      </c>
      <c r="L337" t="s">
        <v>2208</v>
      </c>
      <c r="M337" t="s">
        <v>2209</v>
      </c>
      <c r="P337" t="s">
        <v>696</v>
      </c>
      <c r="Y337" t="s">
        <v>2210</v>
      </c>
    </row>
    <row r="338" spans="1:25" x14ac:dyDescent="0.25">
      <c r="A338" t="str">
        <f>"1030456290"</f>
        <v>1030456290</v>
      </c>
      <c r="B338" t="s">
        <v>1611</v>
      </c>
      <c r="C338" t="s">
        <v>2214</v>
      </c>
      <c r="D338" t="s">
        <v>2211</v>
      </c>
      <c r="E338">
        <v>424020</v>
      </c>
      <c r="F338" t="s">
        <v>1</v>
      </c>
      <c r="G338" t="s">
        <v>2</v>
      </c>
      <c r="H338" t="s">
        <v>2212</v>
      </c>
      <c r="I338" t="s">
        <v>2213</v>
      </c>
      <c r="P338" t="s">
        <v>2215</v>
      </c>
      <c r="Y338" t="s">
        <v>2216</v>
      </c>
    </row>
    <row r="339" spans="1:25" x14ac:dyDescent="0.25">
      <c r="A339" t="str">
        <f>"1030497767"</f>
        <v>1030497767</v>
      </c>
      <c r="B339" t="s">
        <v>1152</v>
      </c>
      <c r="C339" t="s">
        <v>2222</v>
      </c>
      <c r="D339" t="s">
        <v>2217</v>
      </c>
      <c r="E339">
        <v>424039</v>
      </c>
      <c r="F339" t="s">
        <v>1</v>
      </c>
      <c r="G339" t="s">
        <v>2</v>
      </c>
      <c r="H339" t="s">
        <v>2218</v>
      </c>
      <c r="I339" t="s">
        <v>2219</v>
      </c>
      <c r="L339" t="s">
        <v>2220</v>
      </c>
      <c r="M339" t="s">
        <v>2221</v>
      </c>
      <c r="P339" t="s">
        <v>2223</v>
      </c>
      <c r="Q339" t="s">
        <v>2224</v>
      </c>
      <c r="R339" t="s">
        <v>2225</v>
      </c>
      <c r="S339" t="s">
        <v>2226</v>
      </c>
      <c r="T339" t="s">
        <v>2227</v>
      </c>
      <c r="V339" t="s">
        <v>2228</v>
      </c>
      <c r="Y339" t="s">
        <v>2229</v>
      </c>
    </row>
    <row r="340" spans="1:25" x14ac:dyDescent="0.25">
      <c r="A340" t="str">
        <f>"1030504957"</f>
        <v>1030504957</v>
      </c>
      <c r="B340" t="s">
        <v>669</v>
      </c>
      <c r="C340" t="s">
        <v>1292</v>
      </c>
      <c r="D340" t="s">
        <v>2230</v>
      </c>
      <c r="E340">
        <v>424016</v>
      </c>
      <c r="F340" t="s">
        <v>1</v>
      </c>
      <c r="G340" t="s">
        <v>2</v>
      </c>
      <c r="H340" t="s">
        <v>2231</v>
      </c>
      <c r="I340" t="s">
        <v>2232</v>
      </c>
      <c r="Y340" t="s">
        <v>2233</v>
      </c>
    </row>
    <row r="341" spans="1:25" x14ac:dyDescent="0.25">
      <c r="A341" t="str">
        <f>"1030525949"</f>
        <v>1030525949</v>
      </c>
      <c r="B341" t="s">
        <v>2236</v>
      </c>
      <c r="C341" t="s">
        <v>2236</v>
      </c>
      <c r="D341" t="s">
        <v>2234</v>
      </c>
      <c r="E341">
        <v>424037</v>
      </c>
      <c r="F341" t="s">
        <v>1</v>
      </c>
      <c r="G341" t="s">
        <v>2</v>
      </c>
      <c r="H341" t="s">
        <v>2235</v>
      </c>
      <c r="Y341" t="s">
        <v>2237</v>
      </c>
    </row>
    <row r="342" spans="1:25" x14ac:dyDescent="0.25">
      <c r="A342" t="str">
        <f>"1030624683"</f>
        <v>1030624683</v>
      </c>
      <c r="B342" t="s">
        <v>408</v>
      </c>
      <c r="C342" t="s">
        <v>409</v>
      </c>
      <c r="D342" t="s">
        <v>2238</v>
      </c>
      <c r="E342">
        <v>424000</v>
      </c>
      <c r="F342" t="s">
        <v>1</v>
      </c>
      <c r="G342" t="s">
        <v>2</v>
      </c>
      <c r="H342" t="s">
        <v>2239</v>
      </c>
      <c r="I342" t="s">
        <v>2240</v>
      </c>
      <c r="P342" t="s">
        <v>2241</v>
      </c>
      <c r="Y342" t="s">
        <v>2242</v>
      </c>
    </row>
    <row r="343" spans="1:25" x14ac:dyDescent="0.25">
      <c r="A343" t="str">
        <f>"1030630686"</f>
        <v>1030630686</v>
      </c>
      <c r="B343" t="s">
        <v>123</v>
      </c>
      <c r="C343" t="s">
        <v>731</v>
      </c>
      <c r="D343" t="s">
        <v>2243</v>
      </c>
      <c r="E343">
        <v>424039</v>
      </c>
      <c r="F343" t="s">
        <v>1</v>
      </c>
      <c r="G343" t="s">
        <v>2</v>
      </c>
      <c r="H343" t="s">
        <v>2244</v>
      </c>
      <c r="I343" t="s">
        <v>2245</v>
      </c>
      <c r="L343" t="s">
        <v>2246</v>
      </c>
      <c r="M343" t="s">
        <v>2247</v>
      </c>
      <c r="P343" t="s">
        <v>425</v>
      </c>
      <c r="Y343" t="s">
        <v>2248</v>
      </c>
    </row>
    <row r="344" spans="1:25" x14ac:dyDescent="0.25">
      <c r="A344" t="str">
        <f>"1031340676"</f>
        <v>1031340676</v>
      </c>
      <c r="B344" t="s">
        <v>447</v>
      </c>
      <c r="C344" t="s">
        <v>448</v>
      </c>
      <c r="D344" t="s">
        <v>2249</v>
      </c>
      <c r="E344">
        <v>424032</v>
      </c>
      <c r="F344" t="s">
        <v>1</v>
      </c>
      <c r="G344" t="s">
        <v>2</v>
      </c>
      <c r="H344" t="s">
        <v>2250</v>
      </c>
      <c r="Y344" t="s">
        <v>2251</v>
      </c>
    </row>
    <row r="345" spans="1:25" x14ac:dyDescent="0.25">
      <c r="A345" t="str">
        <f>"1031606896"</f>
        <v>1031606896</v>
      </c>
      <c r="B345" t="s">
        <v>371</v>
      </c>
      <c r="C345" t="s">
        <v>372</v>
      </c>
      <c r="D345" t="s">
        <v>2252</v>
      </c>
      <c r="E345">
        <v>424038</v>
      </c>
      <c r="F345" t="s">
        <v>1</v>
      </c>
      <c r="G345" t="s">
        <v>2</v>
      </c>
      <c r="H345" t="s">
        <v>2253</v>
      </c>
      <c r="Y345" t="s">
        <v>2254</v>
      </c>
    </row>
    <row r="346" spans="1:25" x14ac:dyDescent="0.25">
      <c r="A346" t="str">
        <f>"1031610412"</f>
        <v>1031610412</v>
      </c>
      <c r="B346" t="s">
        <v>18</v>
      </c>
      <c r="C346" t="s">
        <v>2171</v>
      </c>
      <c r="D346" t="s">
        <v>2255</v>
      </c>
      <c r="E346">
        <v>424004</v>
      </c>
      <c r="F346" t="s">
        <v>1</v>
      </c>
      <c r="G346" t="s">
        <v>2</v>
      </c>
      <c r="H346" t="s">
        <v>186</v>
      </c>
      <c r="I346" t="s">
        <v>2256</v>
      </c>
      <c r="J346" t="s">
        <v>2257</v>
      </c>
      <c r="P346" t="s">
        <v>2258</v>
      </c>
      <c r="Y346" t="s">
        <v>190</v>
      </c>
    </row>
    <row r="347" spans="1:25" x14ac:dyDescent="0.25">
      <c r="A347" t="str">
        <f>"1031616071"</f>
        <v>1031616071</v>
      </c>
      <c r="B347" t="s">
        <v>32</v>
      </c>
      <c r="C347" t="s">
        <v>40</v>
      </c>
      <c r="D347" t="s">
        <v>2259</v>
      </c>
      <c r="E347">
        <v>424002</v>
      </c>
      <c r="F347" t="s">
        <v>1</v>
      </c>
      <c r="G347" t="s">
        <v>2</v>
      </c>
      <c r="H347" t="s">
        <v>2260</v>
      </c>
      <c r="I347" t="s">
        <v>2261</v>
      </c>
      <c r="P347" t="s">
        <v>410</v>
      </c>
      <c r="Y347" t="s">
        <v>2262</v>
      </c>
    </row>
    <row r="348" spans="1:25" x14ac:dyDescent="0.25">
      <c r="A348" t="str">
        <f>"1031650775"</f>
        <v>1031650775</v>
      </c>
      <c r="B348" t="s">
        <v>1702</v>
      </c>
      <c r="C348" t="s">
        <v>2265</v>
      </c>
      <c r="D348" t="s">
        <v>2263</v>
      </c>
      <c r="E348">
        <v>424037</v>
      </c>
      <c r="F348" t="s">
        <v>1</v>
      </c>
      <c r="G348" t="s">
        <v>2</v>
      </c>
      <c r="H348" t="s">
        <v>1290</v>
      </c>
      <c r="I348" t="s">
        <v>2264</v>
      </c>
      <c r="Y348" t="s">
        <v>2266</v>
      </c>
    </row>
    <row r="349" spans="1:25" x14ac:dyDescent="0.25">
      <c r="A349" t="str">
        <f>"1032026999"</f>
        <v>1032026999</v>
      </c>
      <c r="B349" t="s">
        <v>1604</v>
      </c>
      <c r="C349" t="s">
        <v>2271</v>
      </c>
      <c r="D349" t="s">
        <v>2267</v>
      </c>
      <c r="E349">
        <v>424000</v>
      </c>
      <c r="F349" t="s">
        <v>1</v>
      </c>
      <c r="G349" t="s">
        <v>2</v>
      </c>
      <c r="H349" t="s">
        <v>2193</v>
      </c>
      <c r="I349" t="s">
        <v>2268</v>
      </c>
      <c r="L349" t="s">
        <v>2269</v>
      </c>
      <c r="M349" t="s">
        <v>2270</v>
      </c>
      <c r="P349" t="s">
        <v>280</v>
      </c>
      <c r="Y349" t="s">
        <v>2272</v>
      </c>
    </row>
    <row r="350" spans="1:25" x14ac:dyDescent="0.25">
      <c r="A350" t="str">
        <f>"1032096237"</f>
        <v>1032096237</v>
      </c>
      <c r="B350" t="s">
        <v>1758</v>
      </c>
      <c r="C350" t="s">
        <v>2276</v>
      </c>
      <c r="D350" t="s">
        <v>2273</v>
      </c>
      <c r="E350">
        <v>424005</v>
      </c>
      <c r="F350" t="s">
        <v>1</v>
      </c>
      <c r="G350" t="s">
        <v>2</v>
      </c>
      <c r="H350" t="s">
        <v>2274</v>
      </c>
      <c r="I350" t="s">
        <v>2275</v>
      </c>
      <c r="Y350" t="s">
        <v>2277</v>
      </c>
    </row>
    <row r="351" spans="1:25" x14ac:dyDescent="0.25">
      <c r="A351" t="str">
        <f>"1032341936"</f>
        <v>1032341936</v>
      </c>
      <c r="B351" t="s">
        <v>430</v>
      </c>
      <c r="C351" t="s">
        <v>940</v>
      </c>
      <c r="D351" t="s">
        <v>2278</v>
      </c>
      <c r="E351">
        <v>424002</v>
      </c>
      <c r="F351" t="s">
        <v>1</v>
      </c>
      <c r="G351" t="s">
        <v>2</v>
      </c>
      <c r="H351" t="s">
        <v>662</v>
      </c>
      <c r="I351" t="s">
        <v>2279</v>
      </c>
      <c r="P351" t="s">
        <v>2280</v>
      </c>
      <c r="Y351" t="s">
        <v>1296</v>
      </c>
    </row>
    <row r="352" spans="1:25" x14ac:dyDescent="0.25">
      <c r="A352" t="str">
        <f>"1032375650"</f>
        <v>1032375650</v>
      </c>
      <c r="B352" t="s">
        <v>96</v>
      </c>
      <c r="C352" t="s">
        <v>2285</v>
      </c>
      <c r="D352" t="s">
        <v>2281</v>
      </c>
      <c r="E352">
        <v>424031</v>
      </c>
      <c r="F352" t="s">
        <v>1</v>
      </c>
      <c r="G352" t="s">
        <v>2</v>
      </c>
      <c r="H352" t="s">
        <v>239</v>
      </c>
      <c r="I352" t="s">
        <v>2282</v>
      </c>
      <c r="L352" t="s">
        <v>2283</v>
      </c>
      <c r="M352" t="s">
        <v>2284</v>
      </c>
      <c r="P352" t="s">
        <v>144</v>
      </c>
      <c r="Q352" t="s">
        <v>2286</v>
      </c>
      <c r="T352" t="s">
        <v>2287</v>
      </c>
      <c r="V352" t="s">
        <v>2288</v>
      </c>
      <c r="Y352" t="s">
        <v>2289</v>
      </c>
    </row>
    <row r="353" spans="1:25" x14ac:dyDescent="0.25">
      <c r="A353" t="str">
        <f>"1032536692"</f>
        <v>1032536692</v>
      </c>
      <c r="B353" t="s">
        <v>18</v>
      </c>
      <c r="C353" t="s">
        <v>2295</v>
      </c>
      <c r="D353" t="s">
        <v>2290</v>
      </c>
      <c r="E353">
        <v>424036</v>
      </c>
      <c r="F353" t="s">
        <v>1</v>
      </c>
      <c r="G353" t="s">
        <v>2</v>
      </c>
      <c r="H353" t="s">
        <v>2291</v>
      </c>
      <c r="I353" t="s">
        <v>2292</v>
      </c>
      <c r="L353" t="s">
        <v>2293</v>
      </c>
      <c r="M353" t="s">
        <v>2294</v>
      </c>
      <c r="P353" t="s">
        <v>2296</v>
      </c>
      <c r="Y353" t="s">
        <v>2297</v>
      </c>
    </row>
    <row r="354" spans="1:25" x14ac:dyDescent="0.25">
      <c r="A354" t="str">
        <f>"1032622953"</f>
        <v>1032622953</v>
      </c>
      <c r="B354" t="s">
        <v>1053</v>
      </c>
      <c r="C354" t="s">
        <v>2301</v>
      </c>
      <c r="D354" t="s">
        <v>2298</v>
      </c>
      <c r="E354">
        <v>424000</v>
      </c>
      <c r="F354" t="s">
        <v>1</v>
      </c>
      <c r="G354" t="s">
        <v>2</v>
      </c>
      <c r="H354" t="s">
        <v>2299</v>
      </c>
      <c r="I354" t="s">
        <v>2300</v>
      </c>
      <c r="P354" t="s">
        <v>216</v>
      </c>
      <c r="Y354" t="s">
        <v>2302</v>
      </c>
    </row>
    <row r="355" spans="1:25" x14ac:dyDescent="0.25">
      <c r="A355" t="str">
        <f>"1032704285"</f>
        <v>1032704285</v>
      </c>
      <c r="B355" t="s">
        <v>1078</v>
      </c>
      <c r="C355" t="s">
        <v>2306</v>
      </c>
      <c r="D355" t="s">
        <v>2303</v>
      </c>
      <c r="F355" t="s">
        <v>1</v>
      </c>
      <c r="G355" t="s">
        <v>2</v>
      </c>
      <c r="H355" t="s">
        <v>2304</v>
      </c>
      <c r="I355" t="s">
        <v>2305</v>
      </c>
      <c r="P355" t="s">
        <v>2307</v>
      </c>
      <c r="Q355" t="s">
        <v>2308</v>
      </c>
      <c r="Y355" t="s">
        <v>2309</v>
      </c>
    </row>
    <row r="356" spans="1:25" x14ac:dyDescent="0.25">
      <c r="A356" t="str">
        <f>"1032911317"</f>
        <v>1032911317</v>
      </c>
      <c r="B356" t="s">
        <v>96</v>
      </c>
      <c r="C356" t="s">
        <v>2285</v>
      </c>
      <c r="D356" t="s">
        <v>2310</v>
      </c>
      <c r="E356">
        <v>424000</v>
      </c>
      <c r="F356" t="s">
        <v>1</v>
      </c>
      <c r="G356" t="s">
        <v>2</v>
      </c>
      <c r="H356" t="s">
        <v>2311</v>
      </c>
      <c r="I356" t="s">
        <v>2312</v>
      </c>
      <c r="L356" t="s">
        <v>2313</v>
      </c>
      <c r="M356" t="s">
        <v>2314</v>
      </c>
      <c r="P356" t="s">
        <v>2315</v>
      </c>
      <c r="Y356" t="s">
        <v>2316</v>
      </c>
    </row>
    <row r="357" spans="1:25" x14ac:dyDescent="0.25">
      <c r="A357" t="str">
        <f>"1032951862"</f>
        <v>1032951862</v>
      </c>
      <c r="B357" t="s">
        <v>1152</v>
      </c>
      <c r="C357" t="s">
        <v>2319</v>
      </c>
      <c r="D357" t="s">
        <v>2317</v>
      </c>
      <c r="E357">
        <v>424031</v>
      </c>
      <c r="F357" t="s">
        <v>1</v>
      </c>
      <c r="G357" t="s">
        <v>2</v>
      </c>
      <c r="H357" t="s">
        <v>239</v>
      </c>
      <c r="I357" t="s">
        <v>2318</v>
      </c>
      <c r="P357" t="s">
        <v>260</v>
      </c>
      <c r="Y357" t="s">
        <v>2320</v>
      </c>
    </row>
    <row r="358" spans="1:25" x14ac:dyDescent="0.25">
      <c r="A358" t="str">
        <f>"1033069694"</f>
        <v>1033069694</v>
      </c>
      <c r="B358" t="s">
        <v>151</v>
      </c>
      <c r="C358" t="s">
        <v>1034</v>
      </c>
      <c r="D358" t="s">
        <v>2321</v>
      </c>
      <c r="E358">
        <v>424038</v>
      </c>
      <c r="F358" t="s">
        <v>1</v>
      </c>
      <c r="G358" t="s">
        <v>2</v>
      </c>
      <c r="H358" t="s">
        <v>2103</v>
      </c>
      <c r="I358" t="s">
        <v>2322</v>
      </c>
      <c r="P358" t="s">
        <v>27</v>
      </c>
      <c r="Y358" t="s">
        <v>2323</v>
      </c>
    </row>
    <row r="359" spans="1:25" x14ac:dyDescent="0.25">
      <c r="A359" t="str">
        <f>"1033299096"</f>
        <v>1033299096</v>
      </c>
      <c r="B359" t="s">
        <v>160</v>
      </c>
      <c r="C359" t="s">
        <v>2327</v>
      </c>
      <c r="D359" t="s">
        <v>2324</v>
      </c>
      <c r="E359">
        <v>424036</v>
      </c>
      <c r="F359" t="s">
        <v>1</v>
      </c>
      <c r="G359" t="s">
        <v>2</v>
      </c>
      <c r="H359" t="s">
        <v>2325</v>
      </c>
      <c r="I359" t="s">
        <v>2326</v>
      </c>
      <c r="Y359" t="s">
        <v>2328</v>
      </c>
    </row>
    <row r="360" spans="1:25" x14ac:dyDescent="0.25">
      <c r="A360" t="str">
        <f>"1033303412"</f>
        <v>1033303412</v>
      </c>
      <c r="B360" t="s">
        <v>151</v>
      </c>
      <c r="C360" t="s">
        <v>151</v>
      </c>
      <c r="D360" t="s">
        <v>2329</v>
      </c>
      <c r="E360">
        <v>424000</v>
      </c>
      <c r="F360" t="s">
        <v>1</v>
      </c>
      <c r="G360" t="s">
        <v>2</v>
      </c>
      <c r="H360" t="s">
        <v>1531</v>
      </c>
      <c r="I360" t="s">
        <v>2330</v>
      </c>
      <c r="P360" t="s">
        <v>27</v>
      </c>
      <c r="Y360" t="s">
        <v>2331</v>
      </c>
    </row>
    <row r="361" spans="1:25" x14ac:dyDescent="0.25">
      <c r="A361" t="str">
        <f>"1033380464"</f>
        <v>1033380464</v>
      </c>
      <c r="B361" t="s">
        <v>1262</v>
      </c>
      <c r="C361" t="s">
        <v>2335</v>
      </c>
      <c r="D361" t="s">
        <v>2332</v>
      </c>
      <c r="E361">
        <v>424020</v>
      </c>
      <c r="F361" t="s">
        <v>1</v>
      </c>
      <c r="G361" t="s">
        <v>2</v>
      </c>
      <c r="H361" t="s">
        <v>2333</v>
      </c>
      <c r="I361" t="s">
        <v>2334</v>
      </c>
      <c r="Y361" t="s">
        <v>2336</v>
      </c>
    </row>
    <row r="362" spans="1:25" x14ac:dyDescent="0.25">
      <c r="A362" t="str">
        <f>"1033421818"</f>
        <v>1033421818</v>
      </c>
      <c r="B362" t="s">
        <v>482</v>
      </c>
      <c r="C362" t="s">
        <v>483</v>
      </c>
      <c r="D362" t="s">
        <v>2337</v>
      </c>
      <c r="E362">
        <v>424002</v>
      </c>
      <c r="F362" t="s">
        <v>1</v>
      </c>
      <c r="G362" t="s">
        <v>2</v>
      </c>
      <c r="H362" t="s">
        <v>2338</v>
      </c>
      <c r="I362" t="s">
        <v>2339</v>
      </c>
      <c r="Y362" t="s">
        <v>2340</v>
      </c>
    </row>
    <row r="363" spans="1:25" x14ac:dyDescent="0.25">
      <c r="A363" t="str">
        <f>"1033434387"</f>
        <v>1033434387</v>
      </c>
      <c r="B363" t="s">
        <v>519</v>
      </c>
      <c r="C363" t="s">
        <v>2346</v>
      </c>
      <c r="D363" t="s">
        <v>2341</v>
      </c>
      <c r="E363">
        <v>424033</v>
      </c>
      <c r="F363" t="s">
        <v>1</v>
      </c>
      <c r="G363" t="s">
        <v>2</v>
      </c>
      <c r="H363" t="s">
        <v>2342</v>
      </c>
      <c r="I363" t="s">
        <v>2343</v>
      </c>
      <c r="L363" t="s">
        <v>2344</v>
      </c>
      <c r="M363" t="s">
        <v>2345</v>
      </c>
      <c r="P363" t="s">
        <v>2347</v>
      </c>
      <c r="Q363" t="s">
        <v>2348</v>
      </c>
      <c r="T363" t="s">
        <v>2349</v>
      </c>
      <c r="V363" t="s">
        <v>2350</v>
      </c>
      <c r="Y363" t="s">
        <v>2351</v>
      </c>
    </row>
    <row r="364" spans="1:25" x14ac:dyDescent="0.25">
      <c r="A364" t="str">
        <f>"1033491452"</f>
        <v>1033491452</v>
      </c>
      <c r="B364" t="s">
        <v>1493</v>
      </c>
      <c r="C364" t="s">
        <v>2355</v>
      </c>
      <c r="D364" t="s">
        <v>2352</v>
      </c>
      <c r="E364">
        <v>424031</v>
      </c>
      <c r="F364" t="s">
        <v>1</v>
      </c>
      <c r="G364" t="s">
        <v>2</v>
      </c>
      <c r="H364" t="s">
        <v>2353</v>
      </c>
      <c r="I364" t="s">
        <v>2354</v>
      </c>
      <c r="Y364" t="s">
        <v>2356</v>
      </c>
    </row>
    <row r="365" spans="1:25" x14ac:dyDescent="0.25">
      <c r="A365" t="str">
        <f>"1033502241"</f>
        <v>1033502241</v>
      </c>
      <c r="B365" t="s">
        <v>2361</v>
      </c>
      <c r="C365" t="s">
        <v>2361</v>
      </c>
      <c r="D365" t="s">
        <v>2357</v>
      </c>
      <c r="E365">
        <v>424007</v>
      </c>
      <c r="F365" t="s">
        <v>1</v>
      </c>
      <c r="G365" t="s">
        <v>2</v>
      </c>
      <c r="H365" t="s">
        <v>2358</v>
      </c>
      <c r="I365" t="s">
        <v>2359</v>
      </c>
      <c r="K365" t="s">
        <v>2360</v>
      </c>
      <c r="P365" t="s">
        <v>2362</v>
      </c>
      <c r="Y365" t="s">
        <v>2363</v>
      </c>
    </row>
    <row r="366" spans="1:25" x14ac:dyDescent="0.25">
      <c r="A366" t="str">
        <f>"1033630199"</f>
        <v>1033630199</v>
      </c>
      <c r="B366" t="s">
        <v>18</v>
      </c>
      <c r="C366" t="s">
        <v>2367</v>
      </c>
      <c r="D366" t="s">
        <v>2364</v>
      </c>
      <c r="E366">
        <v>424000</v>
      </c>
      <c r="F366" t="s">
        <v>1</v>
      </c>
      <c r="G366" t="s">
        <v>2</v>
      </c>
      <c r="H366" t="s">
        <v>2365</v>
      </c>
      <c r="I366" t="s">
        <v>2366</v>
      </c>
      <c r="Y366" t="s">
        <v>2368</v>
      </c>
    </row>
    <row r="367" spans="1:25" x14ac:dyDescent="0.25">
      <c r="A367" t="str">
        <f>"1033639273"</f>
        <v>1033639273</v>
      </c>
      <c r="B367" t="s">
        <v>2372</v>
      </c>
      <c r="C367" t="s">
        <v>2373</v>
      </c>
      <c r="D367" t="s">
        <v>2369</v>
      </c>
      <c r="E367">
        <v>424037</v>
      </c>
      <c r="F367" t="s">
        <v>1</v>
      </c>
      <c r="G367" t="s">
        <v>2</v>
      </c>
      <c r="H367" t="s">
        <v>2370</v>
      </c>
      <c r="I367" t="s">
        <v>2371</v>
      </c>
      <c r="Q367" t="s">
        <v>2374</v>
      </c>
      <c r="Y367" t="s">
        <v>2375</v>
      </c>
    </row>
    <row r="368" spans="1:25" x14ac:dyDescent="0.25">
      <c r="A368" t="str">
        <f>"1033816729"</f>
        <v>1033816729</v>
      </c>
      <c r="B368" t="s">
        <v>1702</v>
      </c>
      <c r="C368" t="s">
        <v>2265</v>
      </c>
      <c r="D368" t="s">
        <v>2376</v>
      </c>
      <c r="E368">
        <v>424006</v>
      </c>
      <c r="F368" t="s">
        <v>1</v>
      </c>
      <c r="G368" t="s">
        <v>2</v>
      </c>
      <c r="H368" t="s">
        <v>2377</v>
      </c>
      <c r="I368" t="s">
        <v>2378</v>
      </c>
      <c r="Y368" t="s">
        <v>2379</v>
      </c>
    </row>
    <row r="369" spans="1:25" x14ac:dyDescent="0.25">
      <c r="A369" t="str">
        <f>"1033824367"</f>
        <v>1033824367</v>
      </c>
      <c r="B369" t="s">
        <v>1611</v>
      </c>
      <c r="C369" t="s">
        <v>2385</v>
      </c>
      <c r="D369" t="s">
        <v>2380</v>
      </c>
      <c r="E369">
        <v>424037</v>
      </c>
      <c r="F369" t="s">
        <v>1</v>
      </c>
      <c r="G369" t="s">
        <v>2</v>
      </c>
      <c r="H369" t="s">
        <v>2381</v>
      </c>
      <c r="I369" t="s">
        <v>2382</v>
      </c>
      <c r="K369" t="s">
        <v>2383</v>
      </c>
      <c r="L369" t="s">
        <v>581</v>
      </c>
      <c r="M369" t="s">
        <v>2384</v>
      </c>
      <c r="P369" t="s">
        <v>280</v>
      </c>
      <c r="Y369" t="s">
        <v>2386</v>
      </c>
    </row>
    <row r="370" spans="1:25" x14ac:dyDescent="0.25">
      <c r="A370" t="str">
        <f>"1033858473"</f>
        <v>1033858473</v>
      </c>
      <c r="B370" t="s">
        <v>1391</v>
      </c>
      <c r="C370" t="s">
        <v>1392</v>
      </c>
      <c r="D370" t="s">
        <v>2387</v>
      </c>
      <c r="E370">
        <v>424028</v>
      </c>
      <c r="F370" t="s">
        <v>1</v>
      </c>
      <c r="G370" t="s">
        <v>2</v>
      </c>
      <c r="H370" t="s">
        <v>2388</v>
      </c>
      <c r="I370" t="s">
        <v>2389</v>
      </c>
      <c r="P370" t="s">
        <v>20</v>
      </c>
      <c r="Y370" t="s">
        <v>2390</v>
      </c>
    </row>
    <row r="371" spans="1:25" x14ac:dyDescent="0.25">
      <c r="A371" t="str">
        <f>"1034015037"</f>
        <v>1034015037</v>
      </c>
      <c r="B371" t="s">
        <v>888</v>
      </c>
      <c r="C371" t="s">
        <v>2396</v>
      </c>
      <c r="D371" t="s">
        <v>2391</v>
      </c>
      <c r="E371">
        <v>424004</v>
      </c>
      <c r="F371" t="s">
        <v>1</v>
      </c>
      <c r="G371" t="s">
        <v>2</v>
      </c>
      <c r="H371" t="s">
        <v>2392</v>
      </c>
      <c r="I371" t="s">
        <v>2393</v>
      </c>
      <c r="L371" t="s">
        <v>2394</v>
      </c>
      <c r="M371" t="s">
        <v>2395</v>
      </c>
      <c r="P371" t="s">
        <v>2397</v>
      </c>
      <c r="Q371" t="s">
        <v>2398</v>
      </c>
      <c r="Y371" t="s">
        <v>2399</v>
      </c>
    </row>
    <row r="372" spans="1:25" x14ac:dyDescent="0.25">
      <c r="A372" t="str">
        <f>"1034357641"</f>
        <v>1034357641</v>
      </c>
      <c r="B372" t="s">
        <v>738</v>
      </c>
      <c r="C372" t="s">
        <v>2405</v>
      </c>
      <c r="D372" t="s">
        <v>2400</v>
      </c>
      <c r="F372" t="s">
        <v>1</v>
      </c>
      <c r="G372" t="s">
        <v>2</v>
      </c>
      <c r="H372" t="s">
        <v>2401</v>
      </c>
      <c r="I372" t="s">
        <v>2402</v>
      </c>
      <c r="L372" t="s">
        <v>2403</v>
      </c>
      <c r="M372" t="s">
        <v>2404</v>
      </c>
      <c r="P372" t="s">
        <v>2406</v>
      </c>
      <c r="Y372" t="s">
        <v>2407</v>
      </c>
    </row>
    <row r="373" spans="1:25" x14ac:dyDescent="0.25">
      <c r="A373" t="str">
        <f>"1034366997"</f>
        <v>1034366997</v>
      </c>
      <c r="B373" t="s">
        <v>117</v>
      </c>
      <c r="C373" t="s">
        <v>118</v>
      </c>
      <c r="D373" t="s">
        <v>2408</v>
      </c>
      <c r="F373" t="s">
        <v>1</v>
      </c>
      <c r="G373" t="s">
        <v>2</v>
      </c>
      <c r="H373" t="s">
        <v>2409</v>
      </c>
      <c r="I373" t="s">
        <v>2410</v>
      </c>
      <c r="Y373" t="s">
        <v>2411</v>
      </c>
    </row>
    <row r="374" spans="1:25" x14ac:dyDescent="0.25">
      <c r="A374" t="str">
        <f>"1034372084"</f>
        <v>1034372084</v>
      </c>
      <c r="B374" t="s">
        <v>352</v>
      </c>
      <c r="C374" t="s">
        <v>2416</v>
      </c>
      <c r="D374" t="s">
        <v>2412</v>
      </c>
      <c r="F374" t="s">
        <v>1</v>
      </c>
      <c r="G374" t="s">
        <v>2</v>
      </c>
      <c r="H374" t="s">
        <v>1600</v>
      </c>
      <c r="I374" t="s">
        <v>2413</v>
      </c>
      <c r="L374" t="s">
        <v>2414</v>
      </c>
      <c r="M374" t="s">
        <v>2415</v>
      </c>
      <c r="P374" t="s">
        <v>280</v>
      </c>
      <c r="Y374" t="s">
        <v>2417</v>
      </c>
    </row>
    <row r="375" spans="1:25" x14ac:dyDescent="0.25">
      <c r="A375" t="str">
        <f>"1034459043"</f>
        <v>1034459043</v>
      </c>
      <c r="B375" t="s">
        <v>67</v>
      </c>
      <c r="C375" t="s">
        <v>832</v>
      </c>
      <c r="D375" t="s">
        <v>2418</v>
      </c>
      <c r="E375">
        <v>424000</v>
      </c>
      <c r="F375" t="s">
        <v>1</v>
      </c>
      <c r="G375" t="s">
        <v>2</v>
      </c>
      <c r="H375" t="s">
        <v>333</v>
      </c>
      <c r="I375" t="s">
        <v>2419</v>
      </c>
      <c r="L375" t="s">
        <v>2420</v>
      </c>
      <c r="M375" t="s">
        <v>2421</v>
      </c>
      <c r="P375" t="s">
        <v>152</v>
      </c>
      <c r="Q375" t="s">
        <v>2422</v>
      </c>
      <c r="R375" t="s">
        <v>2423</v>
      </c>
      <c r="S375" t="s">
        <v>2424</v>
      </c>
      <c r="T375" t="s">
        <v>2425</v>
      </c>
      <c r="V375" t="s">
        <v>2426</v>
      </c>
      <c r="Y375" t="s">
        <v>2427</v>
      </c>
    </row>
    <row r="376" spans="1:25" x14ac:dyDescent="0.25">
      <c r="A376" t="str">
        <f>"1034543866"</f>
        <v>1034543866</v>
      </c>
      <c r="B376" t="s">
        <v>430</v>
      </c>
      <c r="C376" t="s">
        <v>2431</v>
      </c>
      <c r="D376" t="s">
        <v>2428</v>
      </c>
      <c r="E376">
        <v>424032</v>
      </c>
      <c r="F376" t="s">
        <v>1</v>
      </c>
      <c r="G376" t="s">
        <v>2</v>
      </c>
      <c r="H376" t="s">
        <v>2429</v>
      </c>
      <c r="J376" t="s">
        <v>2430</v>
      </c>
      <c r="P376" t="s">
        <v>60</v>
      </c>
      <c r="Y376" t="s">
        <v>2432</v>
      </c>
    </row>
    <row r="377" spans="1:25" x14ac:dyDescent="0.25">
      <c r="A377" t="str">
        <f>"1034565403"</f>
        <v>1034565403</v>
      </c>
      <c r="B377" t="s">
        <v>417</v>
      </c>
      <c r="C377" t="s">
        <v>418</v>
      </c>
      <c r="D377" t="s">
        <v>2433</v>
      </c>
      <c r="E377">
        <v>424038</v>
      </c>
      <c r="F377" t="s">
        <v>1</v>
      </c>
      <c r="G377" t="s">
        <v>2</v>
      </c>
      <c r="H377" t="s">
        <v>2434</v>
      </c>
      <c r="I377" t="s">
        <v>2435</v>
      </c>
      <c r="L377" t="s">
        <v>2436</v>
      </c>
      <c r="M377" t="s">
        <v>2437</v>
      </c>
      <c r="P377" t="s">
        <v>2438</v>
      </c>
      <c r="Y377" t="s">
        <v>2439</v>
      </c>
    </row>
    <row r="378" spans="1:25" x14ac:dyDescent="0.25">
      <c r="A378" t="str">
        <f>"1034625897"</f>
        <v>1034625897</v>
      </c>
      <c r="B378" t="s">
        <v>790</v>
      </c>
      <c r="C378" t="s">
        <v>2446</v>
      </c>
      <c r="D378" t="s">
        <v>2440</v>
      </c>
      <c r="E378">
        <v>424006</v>
      </c>
      <c r="F378" t="s">
        <v>1</v>
      </c>
      <c r="G378" t="s">
        <v>2</v>
      </c>
      <c r="H378" t="s">
        <v>2441</v>
      </c>
      <c r="I378" t="s">
        <v>2442</v>
      </c>
      <c r="K378" t="s">
        <v>2443</v>
      </c>
      <c r="L378" t="s">
        <v>2444</v>
      </c>
      <c r="M378" t="s">
        <v>2445</v>
      </c>
      <c r="P378" t="s">
        <v>280</v>
      </c>
      <c r="Y378" t="s">
        <v>2447</v>
      </c>
    </row>
    <row r="379" spans="1:25" x14ac:dyDescent="0.25">
      <c r="A379" t="str">
        <f>"1034760243"</f>
        <v>1034760243</v>
      </c>
      <c r="B379" t="s">
        <v>328</v>
      </c>
      <c r="C379" t="s">
        <v>1920</v>
      </c>
      <c r="D379" t="s">
        <v>2448</v>
      </c>
      <c r="F379" t="s">
        <v>1</v>
      </c>
      <c r="G379" t="s">
        <v>2</v>
      </c>
      <c r="H379" t="s">
        <v>1600</v>
      </c>
      <c r="J379" t="s">
        <v>2449</v>
      </c>
      <c r="L379" t="s">
        <v>2450</v>
      </c>
      <c r="M379" t="s">
        <v>2451</v>
      </c>
      <c r="P379" t="s">
        <v>330</v>
      </c>
      <c r="Q379" t="s">
        <v>2452</v>
      </c>
      <c r="Y379" t="s">
        <v>2417</v>
      </c>
    </row>
    <row r="380" spans="1:25" x14ac:dyDescent="0.25">
      <c r="A380" t="str">
        <f>"1034797004"</f>
        <v>1034797004</v>
      </c>
      <c r="B380" t="s">
        <v>738</v>
      </c>
      <c r="C380" t="s">
        <v>2456</v>
      </c>
      <c r="D380" t="s">
        <v>2453</v>
      </c>
      <c r="E380">
        <v>424007</v>
      </c>
      <c r="F380" t="s">
        <v>1</v>
      </c>
      <c r="G380" t="s">
        <v>2</v>
      </c>
      <c r="H380" t="s">
        <v>2454</v>
      </c>
      <c r="I380" t="s">
        <v>2455</v>
      </c>
      <c r="K380" t="s">
        <v>2455</v>
      </c>
      <c r="P380" t="s">
        <v>2457</v>
      </c>
      <c r="Y380" t="s">
        <v>2458</v>
      </c>
    </row>
    <row r="381" spans="1:25" x14ac:dyDescent="0.25">
      <c r="A381" t="str">
        <f>"1034895694"</f>
        <v>1034895694</v>
      </c>
      <c r="B381" t="s">
        <v>284</v>
      </c>
      <c r="C381" t="s">
        <v>2462</v>
      </c>
      <c r="D381" t="s">
        <v>2459</v>
      </c>
      <c r="E381">
        <v>424007</v>
      </c>
      <c r="F381" t="s">
        <v>1</v>
      </c>
      <c r="G381" t="s">
        <v>2</v>
      </c>
      <c r="H381" t="s">
        <v>2460</v>
      </c>
      <c r="I381" t="s">
        <v>2461</v>
      </c>
      <c r="K381" t="s">
        <v>2461</v>
      </c>
      <c r="P381" t="s">
        <v>20</v>
      </c>
      <c r="Y381" t="s">
        <v>2463</v>
      </c>
    </row>
    <row r="382" spans="1:25" x14ac:dyDescent="0.25">
      <c r="A382" t="str">
        <f>"1034918490"</f>
        <v>1034918490</v>
      </c>
      <c r="B382" t="s">
        <v>553</v>
      </c>
      <c r="C382" t="s">
        <v>554</v>
      </c>
      <c r="D382" t="s">
        <v>2464</v>
      </c>
      <c r="E382">
        <v>424003</v>
      </c>
      <c r="F382" t="s">
        <v>1</v>
      </c>
      <c r="G382" t="s">
        <v>2</v>
      </c>
      <c r="H382" t="s">
        <v>2465</v>
      </c>
      <c r="I382" t="s">
        <v>2466</v>
      </c>
      <c r="L382" t="s">
        <v>597</v>
      </c>
      <c r="M382" t="s">
        <v>2467</v>
      </c>
      <c r="P382" t="s">
        <v>2050</v>
      </c>
      <c r="Q382" t="s">
        <v>2468</v>
      </c>
      <c r="Y382" t="s">
        <v>2469</v>
      </c>
    </row>
    <row r="383" spans="1:25" x14ac:dyDescent="0.25">
      <c r="A383" t="str">
        <f>"1034929340"</f>
        <v>1034929340</v>
      </c>
      <c r="B383" t="s">
        <v>462</v>
      </c>
      <c r="C383" t="s">
        <v>463</v>
      </c>
      <c r="D383" t="s">
        <v>2470</v>
      </c>
      <c r="F383" t="s">
        <v>1</v>
      </c>
      <c r="G383" t="s">
        <v>2</v>
      </c>
      <c r="H383" t="s">
        <v>1600</v>
      </c>
      <c r="I383" t="s">
        <v>2471</v>
      </c>
      <c r="Y383" t="s">
        <v>2417</v>
      </c>
    </row>
    <row r="384" spans="1:25" x14ac:dyDescent="0.25">
      <c r="A384" t="str">
        <f>"1034944122"</f>
        <v>1034944122</v>
      </c>
      <c r="B384" t="s">
        <v>2474</v>
      </c>
      <c r="C384" t="s">
        <v>2475</v>
      </c>
      <c r="D384" t="s">
        <v>2472</v>
      </c>
      <c r="E384">
        <v>424020</v>
      </c>
      <c r="F384" t="s">
        <v>1</v>
      </c>
      <c r="G384" t="s">
        <v>2</v>
      </c>
      <c r="H384" t="s">
        <v>2212</v>
      </c>
      <c r="I384" t="s">
        <v>2473</v>
      </c>
      <c r="Y384" t="s">
        <v>2476</v>
      </c>
    </row>
    <row r="385" spans="1:25" x14ac:dyDescent="0.25">
      <c r="A385" t="str">
        <f>"1035083281"</f>
        <v>1035083281</v>
      </c>
      <c r="B385" t="s">
        <v>160</v>
      </c>
      <c r="C385" t="s">
        <v>2479</v>
      </c>
      <c r="D385" t="s">
        <v>2477</v>
      </c>
      <c r="E385">
        <v>424913</v>
      </c>
      <c r="F385" t="s">
        <v>1</v>
      </c>
      <c r="G385" t="s">
        <v>2</v>
      </c>
      <c r="H385" t="s">
        <v>1278</v>
      </c>
      <c r="I385" t="s">
        <v>2478</v>
      </c>
      <c r="Y385" t="s">
        <v>1280</v>
      </c>
    </row>
    <row r="386" spans="1:25" x14ac:dyDescent="0.25">
      <c r="A386" t="str">
        <f>"1035114227"</f>
        <v>1035114227</v>
      </c>
      <c r="B386" t="s">
        <v>640</v>
      </c>
      <c r="C386" t="s">
        <v>2484</v>
      </c>
      <c r="D386" t="s">
        <v>2480</v>
      </c>
      <c r="E386">
        <v>424031</v>
      </c>
      <c r="F386" t="s">
        <v>1</v>
      </c>
      <c r="G386" t="s">
        <v>2</v>
      </c>
      <c r="H386" t="s">
        <v>2481</v>
      </c>
      <c r="I386" t="s">
        <v>2482</v>
      </c>
      <c r="L386" t="s">
        <v>2483</v>
      </c>
      <c r="P386" t="s">
        <v>2485</v>
      </c>
      <c r="Q386" t="s">
        <v>2486</v>
      </c>
      <c r="T386" t="s">
        <v>2487</v>
      </c>
      <c r="U386" t="s">
        <v>2488</v>
      </c>
      <c r="V386" t="s">
        <v>2489</v>
      </c>
      <c r="Y386" t="s">
        <v>2490</v>
      </c>
    </row>
    <row r="387" spans="1:25" x14ac:dyDescent="0.25">
      <c r="A387" t="str">
        <f>"1035218979"</f>
        <v>1035218979</v>
      </c>
      <c r="B387" t="s">
        <v>930</v>
      </c>
      <c r="C387" t="s">
        <v>2496</v>
      </c>
      <c r="D387" t="s">
        <v>2491</v>
      </c>
      <c r="E387">
        <v>424039</v>
      </c>
      <c r="F387" t="s">
        <v>1</v>
      </c>
      <c r="G387" t="s">
        <v>2</v>
      </c>
      <c r="H387" t="s">
        <v>2492</v>
      </c>
      <c r="I387" t="s">
        <v>2493</v>
      </c>
      <c r="L387" t="s">
        <v>2494</v>
      </c>
      <c r="M387" t="s">
        <v>2495</v>
      </c>
      <c r="P387" t="s">
        <v>27</v>
      </c>
      <c r="Q387" t="s">
        <v>2497</v>
      </c>
      <c r="Y387" t="s">
        <v>2498</v>
      </c>
    </row>
    <row r="388" spans="1:25" x14ac:dyDescent="0.25">
      <c r="A388" t="str">
        <f>"1035225404"</f>
        <v>1035225404</v>
      </c>
      <c r="B388" t="s">
        <v>462</v>
      </c>
      <c r="C388" t="s">
        <v>1140</v>
      </c>
      <c r="D388" t="s">
        <v>2499</v>
      </c>
      <c r="E388">
        <v>424002</v>
      </c>
      <c r="F388" t="s">
        <v>1</v>
      </c>
      <c r="G388" t="s">
        <v>2</v>
      </c>
      <c r="H388" t="s">
        <v>662</v>
      </c>
      <c r="I388" t="s">
        <v>2500</v>
      </c>
      <c r="L388" t="s">
        <v>2501</v>
      </c>
      <c r="M388" t="s">
        <v>2502</v>
      </c>
      <c r="P388" t="s">
        <v>260</v>
      </c>
      <c r="Q388" t="s">
        <v>2503</v>
      </c>
      <c r="T388" t="s">
        <v>2504</v>
      </c>
      <c r="Y388" t="s">
        <v>2505</v>
      </c>
    </row>
    <row r="389" spans="1:25" x14ac:dyDescent="0.25">
      <c r="A389" t="str">
        <f>"1035315164"</f>
        <v>1035315164</v>
      </c>
      <c r="B389" t="s">
        <v>290</v>
      </c>
      <c r="C389" t="s">
        <v>2512</v>
      </c>
      <c r="D389" t="s">
        <v>2506</v>
      </c>
      <c r="E389">
        <v>424002</v>
      </c>
      <c r="F389" t="s">
        <v>1</v>
      </c>
      <c r="G389" t="s">
        <v>2</v>
      </c>
      <c r="H389" t="s">
        <v>2507</v>
      </c>
      <c r="I389" t="s">
        <v>2508</v>
      </c>
      <c r="J389" t="s">
        <v>2509</v>
      </c>
      <c r="L389" t="s">
        <v>2510</v>
      </c>
      <c r="M389" t="s">
        <v>2511</v>
      </c>
      <c r="P389" t="s">
        <v>2513</v>
      </c>
      <c r="Q389" t="s">
        <v>2514</v>
      </c>
      <c r="T389" t="s">
        <v>2515</v>
      </c>
      <c r="Y389" t="s">
        <v>2516</v>
      </c>
    </row>
    <row r="390" spans="1:25" x14ac:dyDescent="0.25">
      <c r="A390" t="str">
        <f>"1035333676"</f>
        <v>1035333676</v>
      </c>
      <c r="B390" t="s">
        <v>151</v>
      </c>
      <c r="C390" t="s">
        <v>2522</v>
      </c>
      <c r="D390" t="s">
        <v>2517</v>
      </c>
      <c r="E390">
        <v>424003</v>
      </c>
      <c r="F390" t="s">
        <v>1</v>
      </c>
      <c r="G390" t="s">
        <v>2</v>
      </c>
      <c r="H390" t="s">
        <v>2518</v>
      </c>
      <c r="I390" t="s">
        <v>2519</v>
      </c>
      <c r="L390" t="s">
        <v>2520</v>
      </c>
      <c r="M390" t="s">
        <v>2521</v>
      </c>
      <c r="P390" t="s">
        <v>1232</v>
      </c>
      <c r="Y390" t="s">
        <v>2523</v>
      </c>
    </row>
    <row r="391" spans="1:25" x14ac:dyDescent="0.25">
      <c r="A391" t="str">
        <f>"1035383433"</f>
        <v>1035383433</v>
      </c>
      <c r="B391" t="s">
        <v>1230</v>
      </c>
      <c r="C391" t="s">
        <v>2526</v>
      </c>
      <c r="D391" t="s">
        <v>2524</v>
      </c>
      <c r="E391">
        <v>424006</v>
      </c>
      <c r="F391" t="s">
        <v>1</v>
      </c>
      <c r="G391" t="s">
        <v>2</v>
      </c>
      <c r="H391" t="s">
        <v>2525</v>
      </c>
      <c r="Y391" t="s">
        <v>2527</v>
      </c>
    </row>
    <row r="392" spans="1:25" x14ac:dyDescent="0.25">
      <c r="A392" t="str">
        <f>"1035386202"</f>
        <v>1035386202</v>
      </c>
      <c r="B392" t="s">
        <v>32</v>
      </c>
      <c r="C392" t="s">
        <v>182</v>
      </c>
      <c r="D392" t="s">
        <v>2528</v>
      </c>
      <c r="E392">
        <v>424038</v>
      </c>
      <c r="F392" t="s">
        <v>1</v>
      </c>
      <c r="G392" t="s">
        <v>2</v>
      </c>
      <c r="H392" t="s">
        <v>2529</v>
      </c>
      <c r="I392" t="s">
        <v>2530</v>
      </c>
      <c r="P392" t="s">
        <v>2531</v>
      </c>
      <c r="Y392" t="s">
        <v>2532</v>
      </c>
    </row>
    <row r="393" spans="1:25" x14ac:dyDescent="0.25">
      <c r="A393" t="str">
        <f>"1035425126"</f>
        <v>1035425126</v>
      </c>
      <c r="B393" t="s">
        <v>243</v>
      </c>
      <c r="C393" t="s">
        <v>2538</v>
      </c>
      <c r="D393" t="s">
        <v>2533</v>
      </c>
      <c r="E393">
        <v>424000</v>
      </c>
      <c r="F393" t="s">
        <v>1</v>
      </c>
      <c r="G393" t="s">
        <v>2</v>
      </c>
      <c r="H393" t="s">
        <v>2023</v>
      </c>
      <c r="I393" t="s">
        <v>2534</v>
      </c>
      <c r="K393" t="s">
        <v>2535</v>
      </c>
      <c r="L393" t="s">
        <v>2536</v>
      </c>
      <c r="M393" t="s">
        <v>2537</v>
      </c>
      <c r="P393" t="s">
        <v>27</v>
      </c>
      <c r="Q393" t="s">
        <v>2539</v>
      </c>
      <c r="Y393" t="s">
        <v>2025</v>
      </c>
    </row>
    <row r="394" spans="1:25" x14ac:dyDescent="0.25">
      <c r="A394" t="str">
        <f>"1035458237"</f>
        <v>1035458237</v>
      </c>
      <c r="B394" t="s">
        <v>930</v>
      </c>
      <c r="C394" t="s">
        <v>2543</v>
      </c>
      <c r="D394" t="s">
        <v>2540</v>
      </c>
      <c r="F394" t="s">
        <v>1</v>
      </c>
      <c r="G394" t="s">
        <v>2</v>
      </c>
      <c r="H394" t="s">
        <v>2541</v>
      </c>
      <c r="I394" t="s">
        <v>2542</v>
      </c>
      <c r="P394" t="s">
        <v>2544</v>
      </c>
      <c r="Y394" t="s">
        <v>2545</v>
      </c>
    </row>
    <row r="395" spans="1:25" x14ac:dyDescent="0.25">
      <c r="A395" t="str">
        <f>"1035748765"</f>
        <v>1035748765</v>
      </c>
      <c r="B395" t="s">
        <v>334</v>
      </c>
      <c r="C395" t="s">
        <v>2551</v>
      </c>
      <c r="D395" t="s">
        <v>2546</v>
      </c>
      <c r="E395">
        <v>424000</v>
      </c>
      <c r="F395" t="s">
        <v>1</v>
      </c>
      <c r="G395" t="s">
        <v>2</v>
      </c>
      <c r="H395" t="s">
        <v>2547</v>
      </c>
      <c r="I395" t="s">
        <v>2548</v>
      </c>
      <c r="L395" t="s">
        <v>2549</v>
      </c>
      <c r="M395" t="s">
        <v>2550</v>
      </c>
      <c r="P395" t="s">
        <v>27</v>
      </c>
      <c r="Q395" t="s">
        <v>2552</v>
      </c>
      <c r="S395" t="s">
        <v>2553</v>
      </c>
      <c r="T395" t="s">
        <v>2554</v>
      </c>
      <c r="Y395" t="s">
        <v>2555</v>
      </c>
    </row>
    <row r="396" spans="1:25" x14ac:dyDescent="0.25">
      <c r="A396" t="str">
        <f>"1035802359"</f>
        <v>1035802359</v>
      </c>
      <c r="B396" t="s">
        <v>319</v>
      </c>
      <c r="C396" t="s">
        <v>320</v>
      </c>
      <c r="D396" t="s">
        <v>2556</v>
      </c>
      <c r="E396">
        <v>424006</v>
      </c>
      <c r="F396" t="s">
        <v>1</v>
      </c>
      <c r="G396" t="s">
        <v>2</v>
      </c>
      <c r="H396" t="s">
        <v>2557</v>
      </c>
      <c r="I396" t="s">
        <v>2558</v>
      </c>
      <c r="L396" t="s">
        <v>2559</v>
      </c>
      <c r="M396" t="s">
        <v>2560</v>
      </c>
      <c r="P396" t="s">
        <v>2561</v>
      </c>
      <c r="Y396" t="s">
        <v>2562</v>
      </c>
    </row>
    <row r="397" spans="1:25" x14ac:dyDescent="0.25">
      <c r="A397" t="str">
        <f>"1035911152"</f>
        <v>1035911152</v>
      </c>
      <c r="B397" t="s">
        <v>447</v>
      </c>
      <c r="C397" t="s">
        <v>448</v>
      </c>
      <c r="D397" t="s">
        <v>2563</v>
      </c>
      <c r="E397">
        <v>424003</v>
      </c>
      <c r="F397" t="s">
        <v>1</v>
      </c>
      <c r="G397" t="s">
        <v>2</v>
      </c>
      <c r="H397" t="s">
        <v>2564</v>
      </c>
      <c r="I397" t="s">
        <v>2565</v>
      </c>
      <c r="Y397" t="s">
        <v>2566</v>
      </c>
    </row>
    <row r="398" spans="1:25" x14ac:dyDescent="0.25">
      <c r="A398" t="str">
        <f>"1035956174"</f>
        <v>1035956174</v>
      </c>
      <c r="B398" t="s">
        <v>430</v>
      </c>
      <c r="C398" t="s">
        <v>2571</v>
      </c>
      <c r="D398" t="s">
        <v>2567</v>
      </c>
      <c r="E398">
        <v>424031</v>
      </c>
      <c r="F398" t="s">
        <v>1</v>
      </c>
      <c r="G398" t="s">
        <v>2</v>
      </c>
      <c r="H398" t="s">
        <v>2568</v>
      </c>
      <c r="I398" t="s">
        <v>2569</v>
      </c>
      <c r="J398" t="s">
        <v>2570</v>
      </c>
      <c r="P398" t="s">
        <v>2572</v>
      </c>
      <c r="Y398" t="s">
        <v>2573</v>
      </c>
    </row>
    <row r="399" spans="1:25" x14ac:dyDescent="0.25">
      <c r="A399" t="str">
        <f>"1036153746"</f>
        <v>1036153746</v>
      </c>
      <c r="B399" t="s">
        <v>738</v>
      </c>
      <c r="C399" t="s">
        <v>739</v>
      </c>
      <c r="D399" t="s">
        <v>2574</v>
      </c>
      <c r="E399">
        <v>424007</v>
      </c>
      <c r="F399" t="s">
        <v>1</v>
      </c>
      <c r="G399" t="s">
        <v>2</v>
      </c>
      <c r="H399" t="s">
        <v>1389</v>
      </c>
      <c r="I399" t="s">
        <v>2575</v>
      </c>
      <c r="P399" t="s">
        <v>2576</v>
      </c>
      <c r="Y399" t="s">
        <v>2577</v>
      </c>
    </row>
    <row r="400" spans="1:25" x14ac:dyDescent="0.25">
      <c r="A400" t="str">
        <f>"1036369763"</f>
        <v>1036369763</v>
      </c>
      <c r="B400" t="s">
        <v>738</v>
      </c>
      <c r="C400" t="s">
        <v>739</v>
      </c>
      <c r="D400" t="s">
        <v>2578</v>
      </c>
      <c r="E400">
        <v>424020</v>
      </c>
      <c r="F400" t="s">
        <v>1</v>
      </c>
      <c r="G400" t="s">
        <v>2</v>
      </c>
      <c r="H400" t="s">
        <v>1837</v>
      </c>
      <c r="J400" t="s">
        <v>2579</v>
      </c>
      <c r="P400" t="s">
        <v>2580</v>
      </c>
      <c r="Y400" t="s">
        <v>1842</v>
      </c>
    </row>
    <row r="401" spans="1:25" x14ac:dyDescent="0.25">
      <c r="A401" t="str">
        <f>"1036464548"</f>
        <v>1036464548</v>
      </c>
      <c r="B401" t="s">
        <v>462</v>
      </c>
      <c r="C401" t="s">
        <v>463</v>
      </c>
      <c r="D401" t="s">
        <v>2581</v>
      </c>
      <c r="E401">
        <v>424032</v>
      </c>
      <c r="F401" t="s">
        <v>1</v>
      </c>
      <c r="G401" t="s">
        <v>2</v>
      </c>
      <c r="H401" t="s">
        <v>2582</v>
      </c>
      <c r="I401" t="s">
        <v>2583</v>
      </c>
      <c r="Y401" t="s">
        <v>2584</v>
      </c>
    </row>
    <row r="402" spans="1:25" x14ac:dyDescent="0.25">
      <c r="A402" t="str">
        <f>"1036656879"</f>
        <v>1036656879</v>
      </c>
      <c r="B402" t="s">
        <v>67</v>
      </c>
      <c r="C402" t="s">
        <v>269</v>
      </c>
      <c r="D402" t="s">
        <v>2585</v>
      </c>
      <c r="F402" t="s">
        <v>1</v>
      </c>
      <c r="G402" t="s">
        <v>2</v>
      </c>
      <c r="H402" t="s">
        <v>2586</v>
      </c>
      <c r="Y402" t="s">
        <v>2587</v>
      </c>
    </row>
    <row r="403" spans="1:25" x14ac:dyDescent="0.25">
      <c r="A403" t="str">
        <f>"1036886980"</f>
        <v>1036886980</v>
      </c>
      <c r="B403" t="s">
        <v>18</v>
      </c>
      <c r="C403" t="s">
        <v>2593</v>
      </c>
      <c r="D403" t="s">
        <v>2588</v>
      </c>
      <c r="E403">
        <v>424004</v>
      </c>
      <c r="F403" t="s">
        <v>1</v>
      </c>
      <c r="G403" t="s">
        <v>2</v>
      </c>
      <c r="H403" t="s">
        <v>2589</v>
      </c>
      <c r="I403" t="s">
        <v>2590</v>
      </c>
      <c r="J403" t="s">
        <v>2591</v>
      </c>
      <c r="M403" t="s">
        <v>2592</v>
      </c>
      <c r="P403" t="s">
        <v>2594</v>
      </c>
      <c r="Y403" t="s">
        <v>2595</v>
      </c>
    </row>
    <row r="404" spans="1:25" x14ac:dyDescent="0.25">
      <c r="A404" t="str">
        <f>"1036898348"</f>
        <v>1036898348</v>
      </c>
      <c r="B404" t="s">
        <v>2601</v>
      </c>
      <c r="C404" t="s">
        <v>2602</v>
      </c>
      <c r="D404" t="s">
        <v>2596</v>
      </c>
      <c r="E404">
        <v>424033</v>
      </c>
      <c r="F404" t="s">
        <v>1</v>
      </c>
      <c r="G404" t="s">
        <v>2</v>
      </c>
      <c r="H404" t="s">
        <v>2597</v>
      </c>
      <c r="I404" t="s">
        <v>2598</v>
      </c>
      <c r="L404" t="s">
        <v>2599</v>
      </c>
      <c r="M404" t="s">
        <v>2600</v>
      </c>
      <c r="P404" t="s">
        <v>1027</v>
      </c>
      <c r="Q404" t="s">
        <v>2603</v>
      </c>
      <c r="S404" t="s">
        <v>2604</v>
      </c>
      <c r="T404" t="s">
        <v>2605</v>
      </c>
      <c r="V404" t="s">
        <v>2606</v>
      </c>
      <c r="Y404" t="s">
        <v>2607</v>
      </c>
    </row>
    <row r="405" spans="1:25" x14ac:dyDescent="0.25">
      <c r="A405" t="str">
        <f>"1036918561"</f>
        <v>1036918561</v>
      </c>
      <c r="B405" t="s">
        <v>1758</v>
      </c>
      <c r="C405" t="s">
        <v>2611</v>
      </c>
      <c r="D405" t="s">
        <v>2608</v>
      </c>
      <c r="E405">
        <v>424007</v>
      </c>
      <c r="F405" t="s">
        <v>1</v>
      </c>
      <c r="G405" t="s">
        <v>2</v>
      </c>
      <c r="H405" t="s">
        <v>2609</v>
      </c>
      <c r="I405" t="s">
        <v>2610</v>
      </c>
      <c r="K405" t="s">
        <v>2610</v>
      </c>
      <c r="Y405" t="s">
        <v>2612</v>
      </c>
    </row>
    <row r="406" spans="1:25" x14ac:dyDescent="0.25">
      <c r="A406" t="str">
        <f>"1036940526"</f>
        <v>1036940526</v>
      </c>
      <c r="B406" t="s">
        <v>803</v>
      </c>
      <c r="C406" t="s">
        <v>2616</v>
      </c>
      <c r="D406" t="s">
        <v>2613</v>
      </c>
      <c r="E406">
        <v>424038</v>
      </c>
      <c r="F406" t="s">
        <v>1</v>
      </c>
      <c r="G406" t="s">
        <v>2</v>
      </c>
      <c r="H406" t="s">
        <v>2614</v>
      </c>
      <c r="I406" t="s">
        <v>2615</v>
      </c>
      <c r="Y406" t="s">
        <v>2617</v>
      </c>
    </row>
    <row r="407" spans="1:25" x14ac:dyDescent="0.25">
      <c r="A407" t="str">
        <f>"1036946864"</f>
        <v>1036946864</v>
      </c>
      <c r="B407" t="s">
        <v>2055</v>
      </c>
      <c r="C407" t="s">
        <v>2623</v>
      </c>
      <c r="D407" t="s">
        <v>2618</v>
      </c>
      <c r="E407">
        <v>424006</v>
      </c>
      <c r="F407" t="s">
        <v>1</v>
      </c>
      <c r="G407" t="s">
        <v>2</v>
      </c>
      <c r="H407" t="s">
        <v>1645</v>
      </c>
      <c r="I407" t="s">
        <v>2619</v>
      </c>
      <c r="K407" t="s">
        <v>2620</v>
      </c>
      <c r="L407" t="s">
        <v>2621</v>
      </c>
      <c r="M407" t="s">
        <v>2622</v>
      </c>
      <c r="P407" t="s">
        <v>20</v>
      </c>
      <c r="Q407" t="s">
        <v>2624</v>
      </c>
      <c r="V407" t="s">
        <v>2625</v>
      </c>
      <c r="Y407" t="s">
        <v>2626</v>
      </c>
    </row>
    <row r="408" spans="1:25" x14ac:dyDescent="0.25">
      <c r="A408" t="str">
        <f>"1037020816"</f>
        <v>1037020816</v>
      </c>
      <c r="B408" t="s">
        <v>2062</v>
      </c>
      <c r="C408" t="s">
        <v>2063</v>
      </c>
      <c r="D408" t="s">
        <v>2627</v>
      </c>
      <c r="F408" t="s">
        <v>1</v>
      </c>
      <c r="G408" t="s">
        <v>2</v>
      </c>
      <c r="H408" t="s">
        <v>2628</v>
      </c>
      <c r="I408" t="s">
        <v>2629</v>
      </c>
      <c r="L408" t="s">
        <v>2630</v>
      </c>
      <c r="M408" t="s">
        <v>2631</v>
      </c>
      <c r="Q408" t="s">
        <v>2632</v>
      </c>
      <c r="S408" t="s">
        <v>2633</v>
      </c>
      <c r="T408" t="s">
        <v>2634</v>
      </c>
      <c r="Y408" t="s">
        <v>2635</v>
      </c>
    </row>
    <row r="409" spans="1:25" x14ac:dyDescent="0.25">
      <c r="A409" t="str">
        <f>"1037118447"</f>
        <v>1037118447</v>
      </c>
      <c r="B409" t="s">
        <v>624</v>
      </c>
      <c r="C409" t="s">
        <v>2640</v>
      </c>
      <c r="D409" t="s">
        <v>2636</v>
      </c>
      <c r="E409">
        <v>424016</v>
      </c>
      <c r="F409" t="s">
        <v>1</v>
      </c>
      <c r="G409" t="s">
        <v>2</v>
      </c>
      <c r="H409" t="s">
        <v>2637</v>
      </c>
      <c r="I409" t="s">
        <v>2638</v>
      </c>
      <c r="L409" t="s">
        <v>2639</v>
      </c>
      <c r="P409" t="s">
        <v>280</v>
      </c>
      <c r="Y409" t="s">
        <v>2641</v>
      </c>
    </row>
    <row r="410" spans="1:25" x14ac:dyDescent="0.25">
      <c r="A410" t="str">
        <f>"1037167991"</f>
        <v>1037167991</v>
      </c>
      <c r="B410" t="s">
        <v>388</v>
      </c>
      <c r="C410" t="s">
        <v>2646</v>
      </c>
      <c r="D410" t="s">
        <v>2642</v>
      </c>
      <c r="F410" t="s">
        <v>1</v>
      </c>
      <c r="G410" t="s">
        <v>2</v>
      </c>
      <c r="H410" t="s">
        <v>1600</v>
      </c>
      <c r="I410" t="s">
        <v>2643</v>
      </c>
      <c r="K410" t="s">
        <v>2644</v>
      </c>
      <c r="L410" t="s">
        <v>597</v>
      </c>
      <c r="M410" t="s">
        <v>2645</v>
      </c>
      <c r="P410" t="s">
        <v>133</v>
      </c>
      <c r="Y410" t="s">
        <v>2647</v>
      </c>
    </row>
    <row r="411" spans="1:25" x14ac:dyDescent="0.25">
      <c r="A411" t="str">
        <f>"1037316163"</f>
        <v>1037316163</v>
      </c>
      <c r="B411" t="s">
        <v>388</v>
      </c>
      <c r="C411" t="s">
        <v>2653</v>
      </c>
      <c r="D411" t="s">
        <v>2648</v>
      </c>
      <c r="E411">
        <v>424006</v>
      </c>
      <c r="F411" t="s">
        <v>1</v>
      </c>
      <c r="G411" t="s">
        <v>2</v>
      </c>
      <c r="H411" t="s">
        <v>2649</v>
      </c>
      <c r="I411" t="s">
        <v>2650</v>
      </c>
      <c r="J411" t="s">
        <v>2651</v>
      </c>
      <c r="K411" t="s">
        <v>2652</v>
      </c>
      <c r="P411" t="s">
        <v>689</v>
      </c>
      <c r="Y411" t="s">
        <v>2654</v>
      </c>
    </row>
    <row r="412" spans="1:25" x14ac:dyDescent="0.25">
      <c r="A412" t="str">
        <f>"1037406522"</f>
        <v>1037406522</v>
      </c>
      <c r="B412" t="s">
        <v>348</v>
      </c>
      <c r="C412" t="s">
        <v>2657</v>
      </c>
      <c r="D412" t="s">
        <v>2655</v>
      </c>
      <c r="E412">
        <v>424006</v>
      </c>
      <c r="F412" t="s">
        <v>1</v>
      </c>
      <c r="G412" t="s">
        <v>2</v>
      </c>
      <c r="H412" t="s">
        <v>445</v>
      </c>
      <c r="I412" t="s">
        <v>2656</v>
      </c>
      <c r="P412" t="s">
        <v>2658</v>
      </c>
      <c r="Y412" t="s">
        <v>449</v>
      </c>
    </row>
    <row r="413" spans="1:25" x14ac:dyDescent="0.25">
      <c r="A413" t="str">
        <f>"1037721445"</f>
        <v>1037721445</v>
      </c>
      <c r="B413" t="s">
        <v>379</v>
      </c>
      <c r="C413" t="s">
        <v>2661</v>
      </c>
      <c r="D413" t="s">
        <v>2659</v>
      </c>
      <c r="E413">
        <v>424000</v>
      </c>
      <c r="F413" t="s">
        <v>1</v>
      </c>
      <c r="G413" t="s">
        <v>2</v>
      </c>
      <c r="H413" t="s">
        <v>837</v>
      </c>
      <c r="I413" t="s">
        <v>2660</v>
      </c>
      <c r="P413" t="s">
        <v>20</v>
      </c>
      <c r="Y413" t="s">
        <v>2662</v>
      </c>
    </row>
    <row r="414" spans="1:25" x14ac:dyDescent="0.25">
      <c r="A414" t="str">
        <f>"1037838300"</f>
        <v>1037838300</v>
      </c>
      <c r="B414" t="s">
        <v>1544</v>
      </c>
      <c r="C414" t="s">
        <v>2667</v>
      </c>
      <c r="D414" t="s">
        <v>2663</v>
      </c>
      <c r="E414">
        <v>424002</v>
      </c>
      <c r="F414" t="s">
        <v>1</v>
      </c>
      <c r="G414" t="s">
        <v>2</v>
      </c>
      <c r="H414" t="s">
        <v>2664</v>
      </c>
      <c r="I414" t="s">
        <v>2665</v>
      </c>
      <c r="M414" t="s">
        <v>2666</v>
      </c>
      <c r="P414" t="s">
        <v>1642</v>
      </c>
      <c r="Q414" t="s">
        <v>2668</v>
      </c>
      <c r="Y414" t="s">
        <v>2669</v>
      </c>
    </row>
    <row r="415" spans="1:25" x14ac:dyDescent="0.25">
      <c r="A415" t="str">
        <f>"1037960627"</f>
        <v>1037960627</v>
      </c>
      <c r="B415" t="s">
        <v>96</v>
      </c>
      <c r="C415" t="s">
        <v>695</v>
      </c>
      <c r="D415" t="s">
        <v>2670</v>
      </c>
      <c r="E415">
        <v>424000</v>
      </c>
      <c r="F415" t="s">
        <v>1</v>
      </c>
      <c r="G415" t="s">
        <v>2</v>
      </c>
      <c r="H415" t="s">
        <v>2671</v>
      </c>
      <c r="I415" t="s">
        <v>2672</v>
      </c>
      <c r="P415" t="s">
        <v>2673</v>
      </c>
      <c r="Y415" t="s">
        <v>2674</v>
      </c>
    </row>
    <row r="416" spans="1:25" x14ac:dyDescent="0.25">
      <c r="A416" t="str">
        <f>"1038076700"</f>
        <v>1038076700</v>
      </c>
      <c r="B416" t="s">
        <v>2677</v>
      </c>
      <c r="C416" t="s">
        <v>2678</v>
      </c>
      <c r="D416" t="s">
        <v>2675</v>
      </c>
      <c r="E416">
        <v>424004</v>
      </c>
      <c r="F416" t="s">
        <v>1</v>
      </c>
      <c r="G416" t="s">
        <v>2</v>
      </c>
      <c r="H416" t="s">
        <v>229</v>
      </c>
      <c r="I416" t="s">
        <v>2676</v>
      </c>
      <c r="Y416" t="s">
        <v>237</v>
      </c>
    </row>
    <row r="417" spans="1:25" x14ac:dyDescent="0.25">
      <c r="A417" t="str">
        <f>"1038084295"</f>
        <v>1038084295</v>
      </c>
      <c r="B417" t="s">
        <v>430</v>
      </c>
      <c r="C417" t="s">
        <v>2683</v>
      </c>
      <c r="D417" t="s">
        <v>2679</v>
      </c>
      <c r="E417">
        <v>424037</v>
      </c>
      <c r="F417" t="s">
        <v>1</v>
      </c>
      <c r="G417" t="s">
        <v>2</v>
      </c>
      <c r="H417" t="s">
        <v>2680</v>
      </c>
      <c r="I417" t="s">
        <v>2681</v>
      </c>
      <c r="J417" t="s">
        <v>2682</v>
      </c>
      <c r="P417" t="s">
        <v>2684</v>
      </c>
      <c r="Y417" t="s">
        <v>2685</v>
      </c>
    </row>
    <row r="418" spans="1:25" x14ac:dyDescent="0.25">
      <c r="A418" t="str">
        <f>"1038182013"</f>
        <v>1038182013</v>
      </c>
      <c r="B418" t="s">
        <v>669</v>
      </c>
      <c r="C418" t="s">
        <v>2689</v>
      </c>
      <c r="D418" t="s">
        <v>2686</v>
      </c>
      <c r="F418" t="s">
        <v>1</v>
      </c>
      <c r="G418" t="s">
        <v>2</v>
      </c>
      <c r="H418" t="s">
        <v>2687</v>
      </c>
      <c r="I418" t="s">
        <v>2688</v>
      </c>
      <c r="P418" t="s">
        <v>280</v>
      </c>
      <c r="Y418" t="s">
        <v>2690</v>
      </c>
    </row>
    <row r="419" spans="1:25" x14ac:dyDescent="0.25">
      <c r="A419" t="str">
        <f>"1038186937"</f>
        <v>1038186937</v>
      </c>
      <c r="B419" t="s">
        <v>1046</v>
      </c>
      <c r="C419" t="s">
        <v>2695</v>
      </c>
      <c r="D419" t="s">
        <v>2691</v>
      </c>
      <c r="E419">
        <v>424004</v>
      </c>
      <c r="F419" t="s">
        <v>1</v>
      </c>
      <c r="G419" t="s">
        <v>2</v>
      </c>
      <c r="H419" t="s">
        <v>2692</v>
      </c>
      <c r="I419" t="s">
        <v>2693</v>
      </c>
      <c r="M419" t="s">
        <v>2694</v>
      </c>
      <c r="P419" t="s">
        <v>330</v>
      </c>
      <c r="Y419" t="s">
        <v>2696</v>
      </c>
    </row>
    <row r="420" spans="1:25" x14ac:dyDescent="0.25">
      <c r="A420" t="str">
        <f>"1038187659"</f>
        <v>1038187659</v>
      </c>
      <c r="B420" t="s">
        <v>7</v>
      </c>
      <c r="C420" t="s">
        <v>2699</v>
      </c>
      <c r="D420" t="s">
        <v>2697</v>
      </c>
      <c r="E420">
        <v>424006</v>
      </c>
      <c r="F420" t="s">
        <v>1</v>
      </c>
      <c r="G420" t="s">
        <v>2</v>
      </c>
      <c r="H420" t="s">
        <v>2698</v>
      </c>
      <c r="Y420" t="s">
        <v>2700</v>
      </c>
    </row>
    <row r="421" spans="1:25" x14ac:dyDescent="0.25">
      <c r="A421" t="str">
        <f>"1038448942"</f>
        <v>1038448942</v>
      </c>
      <c r="B421" t="s">
        <v>18</v>
      </c>
      <c r="C421" t="s">
        <v>2703</v>
      </c>
      <c r="D421" t="s">
        <v>143</v>
      </c>
      <c r="F421" t="s">
        <v>1</v>
      </c>
      <c r="G421" t="s">
        <v>2</v>
      </c>
      <c r="H421" t="s">
        <v>633</v>
      </c>
      <c r="I421" t="s">
        <v>2701</v>
      </c>
      <c r="L421" t="s">
        <v>2702</v>
      </c>
      <c r="P421" t="s">
        <v>280</v>
      </c>
      <c r="Y421" t="s">
        <v>636</v>
      </c>
    </row>
    <row r="422" spans="1:25" x14ac:dyDescent="0.25">
      <c r="A422" t="str">
        <f>"1038480997"</f>
        <v>1038480997</v>
      </c>
      <c r="B422" t="s">
        <v>352</v>
      </c>
      <c r="C422" t="s">
        <v>2709</v>
      </c>
      <c r="D422" t="s">
        <v>2704</v>
      </c>
      <c r="E422">
        <v>424033</v>
      </c>
      <c r="F422" t="s">
        <v>1</v>
      </c>
      <c r="G422" t="s">
        <v>2</v>
      </c>
      <c r="H422" t="s">
        <v>1383</v>
      </c>
      <c r="I422" t="s">
        <v>2705</v>
      </c>
      <c r="J422" t="s">
        <v>2706</v>
      </c>
      <c r="L422" t="s">
        <v>2707</v>
      </c>
      <c r="M422" t="s">
        <v>2708</v>
      </c>
      <c r="P422" t="s">
        <v>2710</v>
      </c>
      <c r="Q422" t="s">
        <v>2711</v>
      </c>
      <c r="Y422" t="s">
        <v>2712</v>
      </c>
    </row>
    <row r="423" spans="1:25" x14ac:dyDescent="0.25">
      <c r="A423" t="str">
        <f>"1038482507"</f>
        <v>1038482507</v>
      </c>
      <c r="B423" t="s">
        <v>462</v>
      </c>
      <c r="C423" t="s">
        <v>463</v>
      </c>
      <c r="D423" t="s">
        <v>2713</v>
      </c>
      <c r="E423">
        <v>424002</v>
      </c>
      <c r="F423" t="s">
        <v>1</v>
      </c>
      <c r="G423" t="s">
        <v>2</v>
      </c>
      <c r="H423" t="s">
        <v>2714</v>
      </c>
      <c r="Y423" t="s">
        <v>2715</v>
      </c>
    </row>
    <row r="424" spans="1:25" x14ac:dyDescent="0.25">
      <c r="A424" t="str">
        <f>"1038492854"</f>
        <v>1038492854</v>
      </c>
      <c r="B424" t="s">
        <v>430</v>
      </c>
      <c r="C424" t="s">
        <v>940</v>
      </c>
      <c r="D424" t="s">
        <v>2716</v>
      </c>
      <c r="E424">
        <v>424033</v>
      </c>
      <c r="F424" t="s">
        <v>1</v>
      </c>
      <c r="G424" t="s">
        <v>2</v>
      </c>
      <c r="H424" t="s">
        <v>2597</v>
      </c>
      <c r="I424" t="s">
        <v>2717</v>
      </c>
      <c r="Y424" t="s">
        <v>2718</v>
      </c>
    </row>
    <row r="425" spans="1:25" x14ac:dyDescent="0.25">
      <c r="A425" t="str">
        <f>"1038574181"</f>
        <v>1038574181</v>
      </c>
      <c r="B425" t="s">
        <v>290</v>
      </c>
      <c r="C425" t="s">
        <v>2722</v>
      </c>
      <c r="D425" t="s">
        <v>2719</v>
      </c>
      <c r="F425" t="s">
        <v>1</v>
      </c>
      <c r="G425" t="s">
        <v>2</v>
      </c>
      <c r="H425" t="s">
        <v>2720</v>
      </c>
      <c r="I425" t="s">
        <v>2721</v>
      </c>
      <c r="P425" t="s">
        <v>2723</v>
      </c>
      <c r="Y425" t="s">
        <v>2724</v>
      </c>
    </row>
    <row r="426" spans="1:25" x14ac:dyDescent="0.25">
      <c r="A426" t="str">
        <f>"1038623132"</f>
        <v>1038623132</v>
      </c>
      <c r="B426" t="s">
        <v>1053</v>
      </c>
      <c r="C426" t="s">
        <v>2727</v>
      </c>
      <c r="D426" t="s">
        <v>2725</v>
      </c>
      <c r="E426">
        <v>424002</v>
      </c>
      <c r="F426" t="s">
        <v>1</v>
      </c>
      <c r="G426" t="s">
        <v>2</v>
      </c>
      <c r="H426" t="s">
        <v>662</v>
      </c>
      <c r="I426" t="s">
        <v>2726</v>
      </c>
      <c r="P426" t="s">
        <v>696</v>
      </c>
      <c r="Y426" t="s">
        <v>1296</v>
      </c>
    </row>
    <row r="427" spans="1:25" x14ac:dyDescent="0.25">
      <c r="A427" t="str">
        <f>"1038675637"</f>
        <v>1038675637</v>
      </c>
      <c r="B427" t="s">
        <v>1573</v>
      </c>
      <c r="C427" t="s">
        <v>1753</v>
      </c>
      <c r="D427" t="s">
        <v>2728</v>
      </c>
      <c r="E427">
        <v>424039</v>
      </c>
      <c r="F427" t="s">
        <v>1</v>
      </c>
      <c r="G427" t="s">
        <v>2</v>
      </c>
      <c r="H427" t="s">
        <v>2729</v>
      </c>
      <c r="I427" t="s">
        <v>2730</v>
      </c>
      <c r="P427" t="s">
        <v>2731</v>
      </c>
      <c r="Y427" t="s">
        <v>2732</v>
      </c>
    </row>
    <row r="428" spans="1:25" x14ac:dyDescent="0.25">
      <c r="A428" t="str">
        <f>"1038725742"</f>
        <v>1038725742</v>
      </c>
      <c r="B428" t="s">
        <v>25</v>
      </c>
      <c r="C428" t="s">
        <v>59</v>
      </c>
      <c r="D428" t="s">
        <v>2733</v>
      </c>
      <c r="E428">
        <v>424031</v>
      </c>
      <c r="F428" t="s">
        <v>1</v>
      </c>
      <c r="G428" t="s">
        <v>2</v>
      </c>
      <c r="H428" t="s">
        <v>2353</v>
      </c>
      <c r="I428" t="s">
        <v>2734</v>
      </c>
      <c r="P428" t="s">
        <v>216</v>
      </c>
      <c r="Y428" t="s">
        <v>2356</v>
      </c>
    </row>
    <row r="429" spans="1:25" x14ac:dyDescent="0.25">
      <c r="A429" t="str">
        <f>"1038874116"</f>
        <v>1038874116</v>
      </c>
      <c r="B429" t="s">
        <v>290</v>
      </c>
      <c r="C429" t="s">
        <v>2737</v>
      </c>
      <c r="D429" t="s">
        <v>2735</v>
      </c>
      <c r="E429">
        <v>424006</v>
      </c>
      <c r="F429" t="s">
        <v>1</v>
      </c>
      <c r="G429" t="s">
        <v>2</v>
      </c>
      <c r="H429" t="s">
        <v>2736</v>
      </c>
      <c r="P429" t="s">
        <v>2738</v>
      </c>
      <c r="Y429" t="s">
        <v>2739</v>
      </c>
    </row>
    <row r="430" spans="1:25" x14ac:dyDescent="0.25">
      <c r="A430" t="str">
        <f>"1038888130"</f>
        <v>1038888130</v>
      </c>
      <c r="B430" t="s">
        <v>319</v>
      </c>
      <c r="C430" t="s">
        <v>320</v>
      </c>
      <c r="D430" t="s">
        <v>2740</v>
      </c>
      <c r="E430">
        <v>424038</v>
      </c>
      <c r="F430" t="s">
        <v>1</v>
      </c>
      <c r="G430" t="s">
        <v>2</v>
      </c>
      <c r="H430" t="s">
        <v>2741</v>
      </c>
      <c r="I430" t="s">
        <v>2742</v>
      </c>
      <c r="L430" t="s">
        <v>2559</v>
      </c>
      <c r="M430" t="s">
        <v>2560</v>
      </c>
      <c r="P430" t="s">
        <v>2561</v>
      </c>
      <c r="Y430" t="s">
        <v>2743</v>
      </c>
    </row>
    <row r="431" spans="1:25" x14ac:dyDescent="0.25">
      <c r="A431" t="str">
        <f>"1038947675"</f>
        <v>1038947675</v>
      </c>
      <c r="B431" t="s">
        <v>456</v>
      </c>
      <c r="C431" t="s">
        <v>2750</v>
      </c>
      <c r="D431" t="s">
        <v>2744</v>
      </c>
      <c r="F431" t="s">
        <v>1</v>
      </c>
      <c r="G431" t="s">
        <v>2</v>
      </c>
      <c r="H431" t="s">
        <v>2745</v>
      </c>
      <c r="I431" t="s">
        <v>2746</v>
      </c>
      <c r="K431" t="s">
        <v>2747</v>
      </c>
      <c r="L431" t="s">
        <v>2748</v>
      </c>
      <c r="M431" t="s">
        <v>2749</v>
      </c>
      <c r="P431" t="s">
        <v>27</v>
      </c>
      <c r="Y431" t="s">
        <v>2751</v>
      </c>
    </row>
    <row r="432" spans="1:25" x14ac:dyDescent="0.25">
      <c r="A432" t="str">
        <f>"1038955570"</f>
        <v>1038955570</v>
      </c>
      <c r="B432" t="s">
        <v>290</v>
      </c>
      <c r="C432" t="s">
        <v>2757</v>
      </c>
      <c r="D432" t="s">
        <v>2752</v>
      </c>
      <c r="E432">
        <v>424000</v>
      </c>
      <c r="F432" t="s">
        <v>1</v>
      </c>
      <c r="G432" t="s">
        <v>2</v>
      </c>
      <c r="H432" t="s">
        <v>2753</v>
      </c>
      <c r="I432" t="s">
        <v>2754</v>
      </c>
      <c r="L432" t="s">
        <v>2755</v>
      </c>
      <c r="M432" t="s">
        <v>2756</v>
      </c>
      <c r="P432" t="s">
        <v>1306</v>
      </c>
      <c r="Q432" t="s">
        <v>2758</v>
      </c>
      <c r="S432" t="s">
        <v>2759</v>
      </c>
      <c r="V432" t="s">
        <v>2760</v>
      </c>
      <c r="Y432" t="s">
        <v>2761</v>
      </c>
    </row>
    <row r="433" spans="1:25" x14ac:dyDescent="0.25">
      <c r="A433" t="str">
        <f>"1039031544"</f>
        <v>1039031544</v>
      </c>
      <c r="B433" t="s">
        <v>32</v>
      </c>
      <c r="C433" t="s">
        <v>40</v>
      </c>
      <c r="D433" t="s">
        <v>2762</v>
      </c>
      <c r="E433">
        <v>424032</v>
      </c>
      <c r="F433" t="s">
        <v>1</v>
      </c>
      <c r="G433" t="s">
        <v>2</v>
      </c>
      <c r="H433" t="s">
        <v>2250</v>
      </c>
      <c r="I433" t="s">
        <v>2763</v>
      </c>
      <c r="P433" t="s">
        <v>2731</v>
      </c>
      <c r="Y433" t="s">
        <v>2764</v>
      </c>
    </row>
    <row r="434" spans="1:25" x14ac:dyDescent="0.25">
      <c r="A434" t="str">
        <f>"1039246588"</f>
        <v>1039246588</v>
      </c>
      <c r="B434" t="s">
        <v>1182</v>
      </c>
      <c r="C434" t="s">
        <v>1499</v>
      </c>
      <c r="D434" t="s">
        <v>2765</v>
      </c>
      <c r="E434">
        <v>424020</v>
      </c>
      <c r="F434" t="s">
        <v>1</v>
      </c>
      <c r="G434" t="s">
        <v>2</v>
      </c>
      <c r="H434" t="s">
        <v>2766</v>
      </c>
      <c r="I434" t="s">
        <v>2767</v>
      </c>
      <c r="P434" t="s">
        <v>280</v>
      </c>
      <c r="Y434" t="s">
        <v>2768</v>
      </c>
    </row>
    <row r="435" spans="1:25" x14ac:dyDescent="0.25">
      <c r="A435" t="str">
        <f>"1039326622"</f>
        <v>1039326622</v>
      </c>
      <c r="B435" t="s">
        <v>462</v>
      </c>
      <c r="C435" t="s">
        <v>463</v>
      </c>
      <c r="D435" t="s">
        <v>2769</v>
      </c>
      <c r="F435" t="s">
        <v>1</v>
      </c>
      <c r="G435" t="s">
        <v>2</v>
      </c>
      <c r="H435" t="s">
        <v>2770</v>
      </c>
      <c r="I435" t="s">
        <v>2771</v>
      </c>
      <c r="Y435" t="s">
        <v>119</v>
      </c>
    </row>
    <row r="436" spans="1:25" x14ac:dyDescent="0.25">
      <c r="A436" t="str">
        <f>"1039527456"</f>
        <v>1039527456</v>
      </c>
      <c r="B436" t="s">
        <v>456</v>
      </c>
      <c r="C436" t="s">
        <v>2773</v>
      </c>
      <c r="D436" t="s">
        <v>2772</v>
      </c>
      <c r="E436">
        <v>424002</v>
      </c>
      <c r="F436" t="s">
        <v>1</v>
      </c>
      <c r="G436" t="s">
        <v>2</v>
      </c>
      <c r="H436" t="s">
        <v>1190</v>
      </c>
      <c r="Y436" t="s">
        <v>1193</v>
      </c>
    </row>
    <row r="437" spans="1:25" x14ac:dyDescent="0.25">
      <c r="A437" t="str">
        <f>"1039887493"</f>
        <v>1039887493</v>
      </c>
      <c r="B437" t="s">
        <v>447</v>
      </c>
      <c r="C437" t="s">
        <v>2777</v>
      </c>
      <c r="D437" t="s">
        <v>2774</v>
      </c>
      <c r="E437">
        <v>424006</v>
      </c>
      <c r="F437" t="s">
        <v>1</v>
      </c>
      <c r="G437" t="s">
        <v>2</v>
      </c>
      <c r="H437" t="s">
        <v>2775</v>
      </c>
      <c r="I437" t="s">
        <v>2776</v>
      </c>
      <c r="P437" t="s">
        <v>2778</v>
      </c>
      <c r="Y437" t="s">
        <v>2779</v>
      </c>
    </row>
    <row r="438" spans="1:25" x14ac:dyDescent="0.25">
      <c r="A438" t="str">
        <f>"1039998330"</f>
        <v>1039998330</v>
      </c>
      <c r="B438" t="s">
        <v>1352</v>
      </c>
      <c r="C438" t="s">
        <v>2785</v>
      </c>
      <c r="D438" t="s">
        <v>2780</v>
      </c>
      <c r="E438">
        <v>424037</v>
      </c>
      <c r="F438" t="s">
        <v>1</v>
      </c>
      <c r="G438" t="s">
        <v>2</v>
      </c>
      <c r="H438" t="s">
        <v>2781</v>
      </c>
      <c r="I438" t="s">
        <v>2782</v>
      </c>
      <c r="L438" t="s">
        <v>2783</v>
      </c>
      <c r="M438" t="s">
        <v>2784</v>
      </c>
      <c r="P438" t="s">
        <v>27</v>
      </c>
      <c r="Y438" t="s">
        <v>2786</v>
      </c>
    </row>
    <row r="439" spans="1:25" x14ac:dyDescent="0.25">
      <c r="A439" t="str">
        <f>"1040012910"</f>
        <v>1040012910</v>
      </c>
      <c r="B439" t="s">
        <v>2790</v>
      </c>
      <c r="C439" t="s">
        <v>2791</v>
      </c>
      <c r="D439" t="s">
        <v>2787</v>
      </c>
      <c r="E439">
        <v>424002</v>
      </c>
      <c r="F439" t="s">
        <v>1</v>
      </c>
      <c r="G439" t="s">
        <v>2</v>
      </c>
      <c r="H439" t="s">
        <v>662</v>
      </c>
      <c r="I439" t="s">
        <v>2788</v>
      </c>
      <c r="L439" t="s">
        <v>2501</v>
      </c>
      <c r="M439" t="s">
        <v>2789</v>
      </c>
      <c r="P439" t="s">
        <v>260</v>
      </c>
      <c r="Q439" t="s">
        <v>2792</v>
      </c>
      <c r="T439" t="s">
        <v>2793</v>
      </c>
      <c r="Y439" t="s">
        <v>2794</v>
      </c>
    </row>
    <row r="440" spans="1:25" x14ac:dyDescent="0.25">
      <c r="A440" t="str">
        <f>"1040127548"</f>
        <v>1040127548</v>
      </c>
      <c r="B440" t="s">
        <v>397</v>
      </c>
      <c r="C440" t="s">
        <v>2800</v>
      </c>
      <c r="D440" t="s">
        <v>2795</v>
      </c>
      <c r="E440">
        <v>424006</v>
      </c>
      <c r="F440" t="s">
        <v>1</v>
      </c>
      <c r="G440" t="s">
        <v>2</v>
      </c>
      <c r="H440" t="s">
        <v>2796</v>
      </c>
      <c r="J440" t="s">
        <v>2797</v>
      </c>
      <c r="L440" t="s">
        <v>2798</v>
      </c>
      <c r="M440" t="s">
        <v>2799</v>
      </c>
      <c r="P440" t="s">
        <v>696</v>
      </c>
      <c r="Q440" t="s">
        <v>2801</v>
      </c>
      <c r="V440" t="s">
        <v>2802</v>
      </c>
      <c r="Y440" t="s">
        <v>2803</v>
      </c>
    </row>
    <row r="441" spans="1:25" x14ac:dyDescent="0.25">
      <c r="A441" t="str">
        <f>"1040284472"</f>
        <v>1040284472</v>
      </c>
      <c r="B441" t="s">
        <v>290</v>
      </c>
      <c r="C441" t="s">
        <v>2808</v>
      </c>
      <c r="D441" t="s">
        <v>2804</v>
      </c>
      <c r="E441">
        <v>424006</v>
      </c>
      <c r="F441" t="s">
        <v>1</v>
      </c>
      <c r="G441" t="s">
        <v>2</v>
      </c>
      <c r="H441" t="s">
        <v>2805</v>
      </c>
      <c r="I441" t="s">
        <v>2806</v>
      </c>
      <c r="L441" t="s">
        <v>2807</v>
      </c>
      <c r="P441" t="s">
        <v>2809</v>
      </c>
      <c r="Q441" t="s">
        <v>2810</v>
      </c>
      <c r="V441" t="s">
        <v>2811</v>
      </c>
      <c r="Y441" t="s">
        <v>2812</v>
      </c>
    </row>
    <row r="442" spans="1:25" x14ac:dyDescent="0.25">
      <c r="A442" t="str">
        <f>"1040317317"</f>
        <v>1040317317</v>
      </c>
      <c r="B442" t="s">
        <v>2818</v>
      </c>
      <c r="C442" t="s">
        <v>2819</v>
      </c>
      <c r="D442" t="s">
        <v>2813</v>
      </c>
      <c r="E442">
        <v>424003</v>
      </c>
      <c r="F442" t="s">
        <v>1</v>
      </c>
      <c r="G442" t="s">
        <v>2</v>
      </c>
      <c r="H442" t="s">
        <v>2814</v>
      </c>
      <c r="J442" t="s">
        <v>2815</v>
      </c>
      <c r="L442" t="s">
        <v>2816</v>
      </c>
      <c r="M442" t="s">
        <v>2817</v>
      </c>
      <c r="P442" t="s">
        <v>2820</v>
      </c>
      <c r="Q442" t="s">
        <v>2821</v>
      </c>
      <c r="V442" t="s">
        <v>2822</v>
      </c>
      <c r="Y442" t="s">
        <v>2823</v>
      </c>
    </row>
    <row r="443" spans="1:25" x14ac:dyDescent="0.25">
      <c r="A443" t="str">
        <f>"1040338167"</f>
        <v>1040338167</v>
      </c>
      <c r="B443" t="s">
        <v>88</v>
      </c>
      <c r="C443" t="s">
        <v>2829</v>
      </c>
      <c r="D443" t="s">
        <v>2824</v>
      </c>
      <c r="E443">
        <v>424006</v>
      </c>
      <c r="F443" t="s">
        <v>1</v>
      </c>
      <c r="G443" t="s">
        <v>2</v>
      </c>
      <c r="H443" t="s">
        <v>2825</v>
      </c>
      <c r="J443" t="s">
        <v>2826</v>
      </c>
      <c r="L443" t="s">
        <v>2827</v>
      </c>
      <c r="M443" t="s">
        <v>2828</v>
      </c>
      <c r="P443" t="s">
        <v>2830</v>
      </c>
      <c r="U443" t="s">
        <v>2831</v>
      </c>
      <c r="Y443" t="s">
        <v>2832</v>
      </c>
    </row>
    <row r="444" spans="1:25" x14ac:dyDescent="0.25">
      <c r="A444" t="str">
        <f>"1040353346"</f>
        <v>1040353346</v>
      </c>
      <c r="B444" t="s">
        <v>176</v>
      </c>
      <c r="C444" t="s">
        <v>2838</v>
      </c>
      <c r="D444" t="s">
        <v>2833</v>
      </c>
      <c r="E444">
        <v>424030</v>
      </c>
      <c r="F444" t="s">
        <v>1</v>
      </c>
      <c r="G444" t="s">
        <v>2</v>
      </c>
      <c r="H444" t="s">
        <v>2834</v>
      </c>
      <c r="I444" t="s">
        <v>2835</v>
      </c>
      <c r="L444" t="s">
        <v>2836</v>
      </c>
      <c r="M444" t="s">
        <v>2837</v>
      </c>
      <c r="P444" t="s">
        <v>2839</v>
      </c>
      <c r="Q444" t="s">
        <v>2840</v>
      </c>
      <c r="Y444" t="s">
        <v>2841</v>
      </c>
    </row>
    <row r="445" spans="1:25" x14ac:dyDescent="0.25">
      <c r="A445" t="str">
        <f>"1040402132"</f>
        <v>1040402132</v>
      </c>
      <c r="B445" t="s">
        <v>2846</v>
      </c>
      <c r="C445" t="s">
        <v>2847</v>
      </c>
      <c r="D445" t="s">
        <v>2842</v>
      </c>
      <c r="E445">
        <v>424000</v>
      </c>
      <c r="F445" t="s">
        <v>1</v>
      </c>
      <c r="G445" t="s">
        <v>2</v>
      </c>
      <c r="H445" t="s">
        <v>92</v>
      </c>
      <c r="I445" t="s">
        <v>2843</v>
      </c>
      <c r="L445" t="s">
        <v>2844</v>
      </c>
      <c r="M445" t="s">
        <v>2845</v>
      </c>
      <c r="P445" t="s">
        <v>98</v>
      </c>
      <c r="Q445" t="s">
        <v>2848</v>
      </c>
      <c r="R445" t="s">
        <v>2849</v>
      </c>
      <c r="T445" t="s">
        <v>2850</v>
      </c>
      <c r="U445" t="s">
        <v>2851</v>
      </c>
      <c r="V445" t="s">
        <v>2852</v>
      </c>
      <c r="Y445" t="s">
        <v>2853</v>
      </c>
    </row>
    <row r="446" spans="1:25" x14ac:dyDescent="0.25">
      <c r="A446" t="str">
        <f>"1040470072"</f>
        <v>1040470072</v>
      </c>
      <c r="B446" t="s">
        <v>640</v>
      </c>
      <c r="C446" t="s">
        <v>2857</v>
      </c>
      <c r="D446" t="s">
        <v>2854</v>
      </c>
      <c r="E446">
        <v>424038</v>
      </c>
      <c r="F446" t="s">
        <v>1</v>
      </c>
      <c r="G446" t="s">
        <v>2</v>
      </c>
      <c r="H446" t="s">
        <v>2855</v>
      </c>
      <c r="J446" t="s">
        <v>2856</v>
      </c>
      <c r="P446" t="s">
        <v>2858</v>
      </c>
      <c r="Y446" t="s">
        <v>2859</v>
      </c>
    </row>
    <row r="447" spans="1:25" x14ac:dyDescent="0.25">
      <c r="A447" t="str">
        <f>"1040583886"</f>
        <v>1040583886</v>
      </c>
      <c r="B447" t="s">
        <v>2864</v>
      </c>
      <c r="C447" t="s">
        <v>2865</v>
      </c>
      <c r="D447" t="s">
        <v>2860</v>
      </c>
      <c r="E447">
        <v>424031</v>
      </c>
      <c r="F447" t="s">
        <v>1</v>
      </c>
      <c r="G447" t="s">
        <v>2</v>
      </c>
      <c r="H447" t="s">
        <v>1965</v>
      </c>
      <c r="I447" t="s">
        <v>2861</v>
      </c>
      <c r="L447" t="s">
        <v>2862</v>
      </c>
      <c r="M447" t="s">
        <v>2863</v>
      </c>
      <c r="P447" t="s">
        <v>20</v>
      </c>
      <c r="Q447" t="s">
        <v>2866</v>
      </c>
      <c r="Y447" t="s">
        <v>2867</v>
      </c>
    </row>
    <row r="448" spans="1:25" x14ac:dyDescent="0.25">
      <c r="A448" t="str">
        <f>"1040710001"</f>
        <v>1040710001</v>
      </c>
      <c r="B448" t="s">
        <v>176</v>
      </c>
      <c r="C448" t="s">
        <v>250</v>
      </c>
      <c r="D448" t="s">
        <v>2868</v>
      </c>
      <c r="E448">
        <v>424036</v>
      </c>
      <c r="F448" t="s">
        <v>1</v>
      </c>
      <c r="G448" t="s">
        <v>2</v>
      </c>
      <c r="H448" t="s">
        <v>2291</v>
      </c>
      <c r="I448" t="s">
        <v>2869</v>
      </c>
      <c r="L448" t="s">
        <v>2870</v>
      </c>
      <c r="M448" t="s">
        <v>2871</v>
      </c>
      <c r="P448" t="s">
        <v>2296</v>
      </c>
      <c r="Y448" t="s">
        <v>2872</v>
      </c>
    </row>
    <row r="449" spans="1:25" x14ac:dyDescent="0.25">
      <c r="A449" t="str">
        <f>"1040832838"</f>
        <v>1040832838</v>
      </c>
      <c r="B449" t="s">
        <v>738</v>
      </c>
      <c r="C449" t="s">
        <v>2878</v>
      </c>
      <c r="D449" t="s">
        <v>2873</v>
      </c>
      <c r="E449">
        <v>424036</v>
      </c>
      <c r="F449" t="s">
        <v>1</v>
      </c>
      <c r="G449" t="s">
        <v>2</v>
      </c>
      <c r="H449" t="s">
        <v>2874</v>
      </c>
      <c r="I449" t="s">
        <v>2875</v>
      </c>
      <c r="L449" t="s">
        <v>2876</v>
      </c>
      <c r="M449" t="s">
        <v>2877</v>
      </c>
      <c r="P449" t="s">
        <v>2879</v>
      </c>
      <c r="Y449" t="s">
        <v>2880</v>
      </c>
    </row>
    <row r="450" spans="1:25" x14ac:dyDescent="0.25">
      <c r="A450" t="str">
        <f>"1040904968"</f>
        <v>1040904968</v>
      </c>
      <c r="B450" t="s">
        <v>447</v>
      </c>
      <c r="C450" t="s">
        <v>448</v>
      </c>
      <c r="D450" t="s">
        <v>2881</v>
      </c>
      <c r="E450">
        <v>424007</v>
      </c>
      <c r="F450" t="s">
        <v>1</v>
      </c>
      <c r="G450" t="s">
        <v>2</v>
      </c>
      <c r="H450" t="s">
        <v>1566</v>
      </c>
      <c r="Y450" t="s">
        <v>2882</v>
      </c>
    </row>
    <row r="451" spans="1:25" x14ac:dyDescent="0.25">
      <c r="A451" t="str">
        <f>"1040976353"</f>
        <v>1040976353</v>
      </c>
      <c r="B451" t="s">
        <v>18</v>
      </c>
      <c r="C451" t="s">
        <v>143</v>
      </c>
      <c r="D451" t="s">
        <v>2883</v>
      </c>
      <c r="E451">
        <v>424007</v>
      </c>
      <c r="F451" t="s">
        <v>1</v>
      </c>
      <c r="G451" t="s">
        <v>2</v>
      </c>
      <c r="H451" t="s">
        <v>2884</v>
      </c>
      <c r="I451" t="s">
        <v>2885</v>
      </c>
      <c r="L451" t="s">
        <v>2886</v>
      </c>
      <c r="M451" t="s">
        <v>2887</v>
      </c>
      <c r="P451" t="s">
        <v>280</v>
      </c>
      <c r="Y451" t="s">
        <v>2888</v>
      </c>
    </row>
    <row r="452" spans="1:25" x14ac:dyDescent="0.25">
      <c r="A452" t="str">
        <f>"1041018779"</f>
        <v>1041018779</v>
      </c>
      <c r="B452" t="s">
        <v>624</v>
      </c>
      <c r="C452" t="s">
        <v>2894</v>
      </c>
      <c r="D452" t="s">
        <v>2889</v>
      </c>
      <c r="E452">
        <v>424006</v>
      </c>
      <c r="F452" t="s">
        <v>1</v>
      </c>
      <c r="G452" t="s">
        <v>2</v>
      </c>
      <c r="H452" t="s">
        <v>2890</v>
      </c>
      <c r="I452" t="s">
        <v>2891</v>
      </c>
      <c r="L452" t="s">
        <v>2892</v>
      </c>
      <c r="M452" t="s">
        <v>2893</v>
      </c>
      <c r="Q452" t="s">
        <v>2895</v>
      </c>
      <c r="Y452" t="s">
        <v>2896</v>
      </c>
    </row>
    <row r="453" spans="1:25" x14ac:dyDescent="0.25">
      <c r="A453" t="str">
        <f>"1041061678"</f>
        <v>1041061678</v>
      </c>
      <c r="B453" t="s">
        <v>1611</v>
      </c>
      <c r="C453" t="s">
        <v>2214</v>
      </c>
      <c r="D453" t="s">
        <v>2897</v>
      </c>
      <c r="E453">
        <v>424002</v>
      </c>
      <c r="F453" t="s">
        <v>1</v>
      </c>
      <c r="G453" t="s">
        <v>2</v>
      </c>
      <c r="H453" t="s">
        <v>2898</v>
      </c>
      <c r="I453" t="s">
        <v>2899</v>
      </c>
      <c r="M453" t="s">
        <v>2900</v>
      </c>
      <c r="P453" t="s">
        <v>2901</v>
      </c>
      <c r="Y453" t="s">
        <v>2902</v>
      </c>
    </row>
    <row r="454" spans="1:25" x14ac:dyDescent="0.25">
      <c r="A454" t="str">
        <f>"1041106047"</f>
        <v>1041106047</v>
      </c>
      <c r="B454" t="s">
        <v>1053</v>
      </c>
      <c r="C454" t="s">
        <v>1927</v>
      </c>
      <c r="D454" t="s">
        <v>2903</v>
      </c>
      <c r="E454">
        <v>424007</v>
      </c>
      <c r="F454" t="s">
        <v>1</v>
      </c>
      <c r="G454" t="s">
        <v>2</v>
      </c>
      <c r="H454" t="s">
        <v>819</v>
      </c>
      <c r="I454" t="s">
        <v>2904</v>
      </c>
      <c r="K454" t="s">
        <v>2905</v>
      </c>
      <c r="L454" t="s">
        <v>2906</v>
      </c>
      <c r="M454" t="s">
        <v>2907</v>
      </c>
      <c r="P454" t="s">
        <v>20</v>
      </c>
      <c r="Y454" t="s">
        <v>821</v>
      </c>
    </row>
    <row r="455" spans="1:25" x14ac:dyDescent="0.25">
      <c r="A455" t="str">
        <f>"1041186332"</f>
        <v>1041186332</v>
      </c>
      <c r="B455" t="s">
        <v>482</v>
      </c>
      <c r="C455" t="s">
        <v>483</v>
      </c>
      <c r="D455" t="s">
        <v>2908</v>
      </c>
      <c r="E455">
        <v>424007</v>
      </c>
      <c r="F455" t="s">
        <v>1</v>
      </c>
      <c r="G455" t="s">
        <v>2</v>
      </c>
      <c r="H455" t="s">
        <v>499</v>
      </c>
      <c r="I455" t="s">
        <v>2909</v>
      </c>
      <c r="L455" t="s">
        <v>2910</v>
      </c>
      <c r="M455" t="s">
        <v>2911</v>
      </c>
      <c r="P455" t="s">
        <v>2839</v>
      </c>
      <c r="Q455" t="s">
        <v>2912</v>
      </c>
      <c r="T455" t="s">
        <v>2913</v>
      </c>
      <c r="V455" t="s">
        <v>2914</v>
      </c>
      <c r="Y455" t="s">
        <v>2915</v>
      </c>
    </row>
    <row r="456" spans="1:25" x14ac:dyDescent="0.25">
      <c r="A456" t="str">
        <f>"1041235460"</f>
        <v>1041235460</v>
      </c>
      <c r="B456" t="s">
        <v>591</v>
      </c>
      <c r="C456" t="s">
        <v>1904</v>
      </c>
      <c r="D456" t="s">
        <v>2916</v>
      </c>
      <c r="E456">
        <v>424020</v>
      </c>
      <c r="F456" t="s">
        <v>1</v>
      </c>
      <c r="G456" t="s">
        <v>2</v>
      </c>
      <c r="H456" t="s">
        <v>2917</v>
      </c>
      <c r="I456" t="s">
        <v>2918</v>
      </c>
      <c r="K456" t="s">
        <v>2918</v>
      </c>
      <c r="Y456" t="s">
        <v>2919</v>
      </c>
    </row>
    <row r="457" spans="1:25" x14ac:dyDescent="0.25">
      <c r="A457" t="str">
        <f>"1041429964"</f>
        <v>1041429964</v>
      </c>
      <c r="B457" t="s">
        <v>379</v>
      </c>
      <c r="C457" t="s">
        <v>380</v>
      </c>
      <c r="D457" t="s">
        <v>2920</v>
      </c>
      <c r="E457">
        <v>424001</v>
      </c>
      <c r="F457" t="s">
        <v>1</v>
      </c>
      <c r="G457" t="s">
        <v>2</v>
      </c>
      <c r="H457" t="s">
        <v>919</v>
      </c>
      <c r="I457" t="s">
        <v>2921</v>
      </c>
      <c r="L457" t="s">
        <v>2922</v>
      </c>
      <c r="P457" t="s">
        <v>2923</v>
      </c>
      <c r="Y457" t="s">
        <v>1750</v>
      </c>
    </row>
    <row r="458" spans="1:25" x14ac:dyDescent="0.25">
      <c r="A458" t="str">
        <f>"1041650588"</f>
        <v>1041650588</v>
      </c>
      <c r="B458" t="s">
        <v>1493</v>
      </c>
      <c r="C458" t="s">
        <v>1494</v>
      </c>
      <c r="D458" t="s">
        <v>2924</v>
      </c>
      <c r="E458">
        <v>424000</v>
      </c>
      <c r="F458" t="s">
        <v>1</v>
      </c>
      <c r="G458" t="s">
        <v>2</v>
      </c>
      <c r="H458" t="s">
        <v>2925</v>
      </c>
      <c r="I458" t="s">
        <v>2926</v>
      </c>
      <c r="L458" t="s">
        <v>2927</v>
      </c>
      <c r="M458" t="s">
        <v>2928</v>
      </c>
      <c r="P458" t="s">
        <v>27</v>
      </c>
      <c r="Y458" t="s">
        <v>2929</v>
      </c>
    </row>
    <row r="459" spans="1:25" x14ac:dyDescent="0.25">
      <c r="A459" t="str">
        <f>"1041669614"</f>
        <v>1041669614</v>
      </c>
      <c r="B459" t="s">
        <v>1391</v>
      </c>
      <c r="C459" t="s">
        <v>2935</v>
      </c>
      <c r="D459" t="s">
        <v>2930</v>
      </c>
      <c r="E459">
        <v>424003</v>
      </c>
      <c r="F459" t="s">
        <v>1</v>
      </c>
      <c r="G459" t="s">
        <v>2</v>
      </c>
      <c r="H459" t="s">
        <v>2931</v>
      </c>
      <c r="I459" t="s">
        <v>2932</v>
      </c>
      <c r="L459" t="s">
        <v>2933</v>
      </c>
      <c r="M459" t="s">
        <v>2934</v>
      </c>
      <c r="P459" t="s">
        <v>280</v>
      </c>
      <c r="Y459" t="s">
        <v>2936</v>
      </c>
    </row>
    <row r="460" spans="1:25" x14ac:dyDescent="0.25">
      <c r="A460" t="str">
        <f>"1042047124"</f>
        <v>1042047124</v>
      </c>
      <c r="B460" t="s">
        <v>1046</v>
      </c>
      <c r="C460" t="s">
        <v>2695</v>
      </c>
      <c r="D460" t="s">
        <v>2937</v>
      </c>
      <c r="E460">
        <v>424032</v>
      </c>
      <c r="F460" t="s">
        <v>1</v>
      </c>
      <c r="G460" t="s">
        <v>2</v>
      </c>
      <c r="H460" t="s">
        <v>2938</v>
      </c>
      <c r="Q460" t="s">
        <v>2939</v>
      </c>
      <c r="Y460" t="s">
        <v>2940</v>
      </c>
    </row>
    <row r="461" spans="1:25" x14ac:dyDescent="0.25">
      <c r="A461" t="str">
        <f>"1042309614"</f>
        <v>1042309614</v>
      </c>
      <c r="B461" t="s">
        <v>624</v>
      </c>
      <c r="C461" t="s">
        <v>2640</v>
      </c>
      <c r="D461" t="s">
        <v>2941</v>
      </c>
      <c r="E461">
        <v>424028</v>
      </c>
      <c r="F461" t="s">
        <v>1</v>
      </c>
      <c r="G461" t="s">
        <v>2</v>
      </c>
      <c r="H461" t="s">
        <v>2942</v>
      </c>
      <c r="I461" t="s">
        <v>2943</v>
      </c>
      <c r="Y461" t="s">
        <v>2944</v>
      </c>
    </row>
    <row r="462" spans="1:25" x14ac:dyDescent="0.25">
      <c r="A462" t="str">
        <f>"1042602548"</f>
        <v>1042602548</v>
      </c>
      <c r="B462" t="s">
        <v>123</v>
      </c>
      <c r="C462" t="s">
        <v>2950</v>
      </c>
      <c r="D462" t="s">
        <v>2945</v>
      </c>
      <c r="E462">
        <v>424038</v>
      </c>
      <c r="F462" t="s">
        <v>1</v>
      </c>
      <c r="G462" t="s">
        <v>2</v>
      </c>
      <c r="H462" t="s">
        <v>2946</v>
      </c>
      <c r="I462" t="s">
        <v>2947</v>
      </c>
      <c r="L462" t="s">
        <v>2948</v>
      </c>
      <c r="M462" t="s">
        <v>2949</v>
      </c>
      <c r="P462" t="s">
        <v>2951</v>
      </c>
      <c r="Y462" t="s">
        <v>2952</v>
      </c>
    </row>
    <row r="463" spans="1:25" x14ac:dyDescent="0.25">
      <c r="A463" t="str">
        <f>"1042725538"</f>
        <v>1042725538</v>
      </c>
      <c r="B463" t="s">
        <v>482</v>
      </c>
      <c r="C463" t="s">
        <v>483</v>
      </c>
      <c r="D463" t="s">
        <v>2953</v>
      </c>
      <c r="E463">
        <v>424002</v>
      </c>
      <c r="F463" t="s">
        <v>1</v>
      </c>
      <c r="G463" t="s">
        <v>2</v>
      </c>
      <c r="H463" t="s">
        <v>2338</v>
      </c>
      <c r="I463" t="s">
        <v>2339</v>
      </c>
      <c r="Y463" t="s">
        <v>2954</v>
      </c>
    </row>
    <row r="464" spans="1:25" x14ac:dyDescent="0.25">
      <c r="A464" t="str">
        <f>"1043001319"</f>
        <v>1043001319</v>
      </c>
      <c r="B464" t="s">
        <v>388</v>
      </c>
      <c r="C464" t="s">
        <v>2961</v>
      </c>
      <c r="D464" t="s">
        <v>2955</v>
      </c>
      <c r="F464" t="s">
        <v>1</v>
      </c>
      <c r="G464" t="s">
        <v>2</v>
      </c>
      <c r="H464" t="s">
        <v>2956</v>
      </c>
      <c r="I464" t="s">
        <v>2957</v>
      </c>
      <c r="J464" t="s">
        <v>2958</v>
      </c>
      <c r="L464" t="s">
        <v>2959</v>
      </c>
      <c r="M464" t="s">
        <v>2960</v>
      </c>
      <c r="P464" t="s">
        <v>280</v>
      </c>
      <c r="Y464" t="s">
        <v>2962</v>
      </c>
    </row>
    <row r="465" spans="1:25" x14ac:dyDescent="0.25">
      <c r="A465" t="str">
        <f>"1043076753"</f>
        <v>1043076753</v>
      </c>
      <c r="B465" t="s">
        <v>624</v>
      </c>
      <c r="C465" t="s">
        <v>2640</v>
      </c>
      <c r="D465" t="s">
        <v>2963</v>
      </c>
      <c r="E465">
        <v>424000</v>
      </c>
      <c r="F465" t="s">
        <v>1</v>
      </c>
      <c r="G465" t="s">
        <v>2</v>
      </c>
      <c r="H465" t="s">
        <v>837</v>
      </c>
      <c r="Y465" t="s">
        <v>2964</v>
      </c>
    </row>
    <row r="466" spans="1:25" x14ac:dyDescent="0.25">
      <c r="A466" t="str">
        <f>"1043352052"</f>
        <v>1043352052</v>
      </c>
      <c r="B466" t="s">
        <v>176</v>
      </c>
      <c r="C466" t="s">
        <v>2968</v>
      </c>
      <c r="D466" t="s">
        <v>2965</v>
      </c>
      <c r="E466">
        <v>424006</v>
      </c>
      <c r="F466" t="s">
        <v>1</v>
      </c>
      <c r="G466" t="s">
        <v>2</v>
      </c>
      <c r="H466" t="s">
        <v>2966</v>
      </c>
      <c r="I466" t="s">
        <v>2967</v>
      </c>
      <c r="P466" t="s">
        <v>2969</v>
      </c>
      <c r="Y466" t="s">
        <v>2970</v>
      </c>
    </row>
    <row r="467" spans="1:25" x14ac:dyDescent="0.25">
      <c r="A467" t="str">
        <f>"1043451315"</f>
        <v>1043451315</v>
      </c>
      <c r="B467" t="s">
        <v>654</v>
      </c>
      <c r="C467" t="s">
        <v>2974</v>
      </c>
      <c r="D467" t="s">
        <v>2971</v>
      </c>
      <c r="E467">
        <v>424032</v>
      </c>
      <c r="F467" t="s">
        <v>1</v>
      </c>
      <c r="G467" t="s">
        <v>2</v>
      </c>
      <c r="H467" t="s">
        <v>2972</v>
      </c>
      <c r="J467" t="s">
        <v>2973</v>
      </c>
      <c r="P467" t="s">
        <v>280</v>
      </c>
      <c r="Y467" t="s">
        <v>2975</v>
      </c>
    </row>
    <row r="468" spans="1:25" x14ac:dyDescent="0.25">
      <c r="A468" t="str">
        <f>"1043464478"</f>
        <v>1043464478</v>
      </c>
      <c r="B468" t="s">
        <v>447</v>
      </c>
      <c r="C468" t="s">
        <v>448</v>
      </c>
      <c r="D468" t="s">
        <v>2976</v>
      </c>
      <c r="E468">
        <v>424007</v>
      </c>
      <c r="F468" t="s">
        <v>1</v>
      </c>
      <c r="G468" t="s">
        <v>2</v>
      </c>
      <c r="H468" t="s">
        <v>1654</v>
      </c>
      <c r="I468" t="s">
        <v>2977</v>
      </c>
      <c r="M468" t="s">
        <v>2978</v>
      </c>
      <c r="P468" t="s">
        <v>2979</v>
      </c>
      <c r="S468" t="s">
        <v>2980</v>
      </c>
      <c r="Y468" t="s">
        <v>2981</v>
      </c>
    </row>
    <row r="469" spans="1:25" x14ac:dyDescent="0.25">
      <c r="A469" t="str">
        <f>"1043514541"</f>
        <v>1043514541</v>
      </c>
      <c r="B469" t="s">
        <v>930</v>
      </c>
      <c r="C469" t="s">
        <v>2985</v>
      </c>
      <c r="D469" t="s">
        <v>2982</v>
      </c>
      <c r="E469">
        <v>424007</v>
      </c>
      <c r="F469" t="s">
        <v>1</v>
      </c>
      <c r="G469" t="s">
        <v>2</v>
      </c>
      <c r="H469" t="s">
        <v>2983</v>
      </c>
      <c r="I469" t="s">
        <v>2984</v>
      </c>
      <c r="P469" t="s">
        <v>1027</v>
      </c>
      <c r="Y469" t="s">
        <v>2986</v>
      </c>
    </row>
    <row r="470" spans="1:25" x14ac:dyDescent="0.25">
      <c r="A470" t="str">
        <f>"1043792456"</f>
        <v>1043792456</v>
      </c>
      <c r="B470" t="s">
        <v>1729</v>
      </c>
      <c r="C470" t="s">
        <v>2992</v>
      </c>
      <c r="D470" t="s">
        <v>2987</v>
      </c>
      <c r="E470">
        <v>424005</v>
      </c>
      <c r="F470" t="s">
        <v>1</v>
      </c>
      <c r="G470" t="s">
        <v>2</v>
      </c>
      <c r="H470" t="s">
        <v>2988</v>
      </c>
      <c r="I470" t="s">
        <v>2989</v>
      </c>
      <c r="L470" t="s">
        <v>2990</v>
      </c>
      <c r="M470" t="s">
        <v>2991</v>
      </c>
      <c r="P470" t="s">
        <v>9</v>
      </c>
      <c r="Y470" t="s">
        <v>2993</v>
      </c>
    </row>
    <row r="471" spans="1:25" x14ac:dyDescent="0.25">
      <c r="A471" t="str">
        <f>"1043824309"</f>
        <v>1043824309</v>
      </c>
      <c r="B471" t="s">
        <v>32</v>
      </c>
      <c r="C471" t="s">
        <v>2996</v>
      </c>
      <c r="D471" t="s">
        <v>2994</v>
      </c>
      <c r="E471">
        <v>424033</v>
      </c>
      <c r="F471" t="s">
        <v>1</v>
      </c>
      <c r="G471" t="s">
        <v>2</v>
      </c>
      <c r="H471" t="s">
        <v>2995</v>
      </c>
      <c r="Y471" t="s">
        <v>2997</v>
      </c>
    </row>
    <row r="472" spans="1:25" x14ac:dyDescent="0.25">
      <c r="A472" t="str">
        <f>"1043843402"</f>
        <v>1043843402</v>
      </c>
      <c r="B472" t="s">
        <v>123</v>
      </c>
      <c r="C472" t="s">
        <v>424</v>
      </c>
      <c r="D472" t="s">
        <v>2998</v>
      </c>
      <c r="E472">
        <v>424033</v>
      </c>
      <c r="F472" t="s">
        <v>1</v>
      </c>
      <c r="G472" t="s">
        <v>2</v>
      </c>
      <c r="H472" t="s">
        <v>2999</v>
      </c>
      <c r="I472" t="s">
        <v>3000</v>
      </c>
      <c r="L472" t="s">
        <v>3001</v>
      </c>
      <c r="M472" t="s">
        <v>3002</v>
      </c>
      <c r="P472" t="s">
        <v>425</v>
      </c>
      <c r="Y472" t="s">
        <v>3003</v>
      </c>
    </row>
    <row r="473" spans="1:25" x14ac:dyDescent="0.25">
      <c r="A473" t="str">
        <f>"1043992885"</f>
        <v>1043992885</v>
      </c>
      <c r="B473" t="s">
        <v>3008</v>
      </c>
      <c r="C473" t="s">
        <v>3009</v>
      </c>
      <c r="D473" t="s">
        <v>3004</v>
      </c>
      <c r="E473">
        <v>424016</v>
      </c>
      <c r="F473" t="s">
        <v>1</v>
      </c>
      <c r="G473" t="s">
        <v>2</v>
      </c>
      <c r="H473" t="s">
        <v>673</v>
      </c>
      <c r="I473" t="s">
        <v>3005</v>
      </c>
      <c r="L473" t="s">
        <v>3006</v>
      </c>
      <c r="M473" t="s">
        <v>3007</v>
      </c>
      <c r="P473" t="s">
        <v>3010</v>
      </c>
      <c r="Q473" t="s">
        <v>3011</v>
      </c>
      <c r="Y473" t="s">
        <v>3012</v>
      </c>
    </row>
    <row r="474" spans="1:25" x14ac:dyDescent="0.25">
      <c r="A474" t="str">
        <f>"1044018879"</f>
        <v>1044018879</v>
      </c>
      <c r="B474" t="s">
        <v>1391</v>
      </c>
      <c r="C474" t="s">
        <v>1392</v>
      </c>
      <c r="D474" t="s">
        <v>3013</v>
      </c>
      <c r="E474">
        <v>424016</v>
      </c>
      <c r="F474" t="s">
        <v>1</v>
      </c>
      <c r="G474" t="s">
        <v>2</v>
      </c>
      <c r="H474" t="s">
        <v>3014</v>
      </c>
      <c r="I474" t="s">
        <v>3015</v>
      </c>
      <c r="Y474" t="s">
        <v>3016</v>
      </c>
    </row>
    <row r="475" spans="1:25" x14ac:dyDescent="0.25">
      <c r="A475" t="str">
        <f>"1044047724"</f>
        <v>1044047724</v>
      </c>
      <c r="B475" t="s">
        <v>1182</v>
      </c>
      <c r="C475" t="s">
        <v>1183</v>
      </c>
      <c r="D475" t="s">
        <v>3017</v>
      </c>
      <c r="F475" t="s">
        <v>1</v>
      </c>
      <c r="G475" t="s">
        <v>2</v>
      </c>
      <c r="H475" t="s">
        <v>3018</v>
      </c>
      <c r="Y475" t="s">
        <v>3019</v>
      </c>
    </row>
    <row r="476" spans="1:25" x14ac:dyDescent="0.25">
      <c r="A476" t="str">
        <f>"1044102033"</f>
        <v>1044102033</v>
      </c>
      <c r="B476" t="s">
        <v>117</v>
      </c>
      <c r="C476" t="s">
        <v>118</v>
      </c>
      <c r="D476" t="s">
        <v>3020</v>
      </c>
      <c r="F476" t="s">
        <v>1</v>
      </c>
      <c r="G476" t="s">
        <v>2</v>
      </c>
      <c r="H476" t="s">
        <v>3021</v>
      </c>
      <c r="I476" t="s">
        <v>3022</v>
      </c>
      <c r="P476" t="s">
        <v>3023</v>
      </c>
      <c r="Y476" t="s">
        <v>3024</v>
      </c>
    </row>
    <row r="477" spans="1:25" x14ac:dyDescent="0.25">
      <c r="A477" t="str">
        <f>"1044143202"</f>
        <v>1044143202</v>
      </c>
      <c r="B477" t="s">
        <v>352</v>
      </c>
      <c r="C477" t="s">
        <v>3028</v>
      </c>
      <c r="D477" t="s">
        <v>3025</v>
      </c>
      <c r="F477" t="s">
        <v>1</v>
      </c>
      <c r="G477" t="s">
        <v>2</v>
      </c>
      <c r="H477" t="s">
        <v>3026</v>
      </c>
      <c r="I477" t="s">
        <v>3027</v>
      </c>
      <c r="P477" t="s">
        <v>280</v>
      </c>
      <c r="Y477" t="s">
        <v>3029</v>
      </c>
    </row>
    <row r="478" spans="1:25" x14ac:dyDescent="0.25">
      <c r="A478" t="str">
        <f>"1044276736"</f>
        <v>1044276736</v>
      </c>
      <c r="B478" t="s">
        <v>151</v>
      </c>
      <c r="C478" t="s">
        <v>151</v>
      </c>
      <c r="D478" t="s">
        <v>3030</v>
      </c>
      <c r="E478">
        <v>424006</v>
      </c>
      <c r="F478" t="s">
        <v>1</v>
      </c>
      <c r="G478" t="s">
        <v>2</v>
      </c>
      <c r="H478" t="s">
        <v>2557</v>
      </c>
      <c r="Y478" t="s">
        <v>3031</v>
      </c>
    </row>
    <row r="479" spans="1:25" x14ac:dyDescent="0.25">
      <c r="A479" t="str">
        <f>"1044357657"</f>
        <v>1044357657</v>
      </c>
      <c r="B479" t="s">
        <v>447</v>
      </c>
      <c r="C479" t="s">
        <v>448</v>
      </c>
      <c r="D479" t="s">
        <v>3032</v>
      </c>
      <c r="E479">
        <v>424006</v>
      </c>
      <c r="F479" t="s">
        <v>1</v>
      </c>
      <c r="G479" t="s">
        <v>2</v>
      </c>
      <c r="H479" t="s">
        <v>3033</v>
      </c>
      <c r="I479" t="s">
        <v>3034</v>
      </c>
      <c r="Y479" t="s">
        <v>3035</v>
      </c>
    </row>
    <row r="480" spans="1:25" x14ac:dyDescent="0.25">
      <c r="A480" t="str">
        <f>"1044406148"</f>
        <v>1044406148</v>
      </c>
      <c r="B480" t="s">
        <v>123</v>
      </c>
      <c r="C480" t="s">
        <v>424</v>
      </c>
      <c r="D480" t="s">
        <v>3036</v>
      </c>
      <c r="E480">
        <v>424008</v>
      </c>
      <c r="F480" t="s">
        <v>1</v>
      </c>
      <c r="G480" t="s">
        <v>2</v>
      </c>
      <c r="H480" t="s">
        <v>3037</v>
      </c>
      <c r="I480" t="s">
        <v>3038</v>
      </c>
      <c r="P480" t="s">
        <v>3039</v>
      </c>
      <c r="Y480" t="s">
        <v>3040</v>
      </c>
    </row>
    <row r="481" spans="1:25" x14ac:dyDescent="0.25">
      <c r="A481" t="str">
        <f>"1044409595"</f>
        <v>1044409595</v>
      </c>
      <c r="B481" t="s">
        <v>284</v>
      </c>
      <c r="C481" t="s">
        <v>3046</v>
      </c>
      <c r="D481" t="s">
        <v>3041</v>
      </c>
      <c r="E481">
        <v>424005</v>
      </c>
      <c r="F481" t="s">
        <v>1</v>
      </c>
      <c r="G481" t="s">
        <v>2</v>
      </c>
      <c r="H481" t="s">
        <v>3042</v>
      </c>
      <c r="I481" t="s">
        <v>3043</v>
      </c>
      <c r="L481" t="s">
        <v>3044</v>
      </c>
      <c r="M481" t="s">
        <v>3045</v>
      </c>
      <c r="P481" t="s">
        <v>20</v>
      </c>
      <c r="Y481" t="s">
        <v>3047</v>
      </c>
    </row>
    <row r="482" spans="1:25" x14ac:dyDescent="0.25">
      <c r="A482" t="str">
        <f>"1044576896"</f>
        <v>1044576896</v>
      </c>
      <c r="B482" t="s">
        <v>284</v>
      </c>
      <c r="C482" t="s">
        <v>2462</v>
      </c>
      <c r="D482" t="s">
        <v>3048</v>
      </c>
      <c r="E482">
        <v>424007</v>
      </c>
      <c r="F482" t="s">
        <v>1</v>
      </c>
      <c r="G482" t="s">
        <v>2</v>
      </c>
      <c r="H482" t="s">
        <v>3049</v>
      </c>
      <c r="J482" t="s">
        <v>3050</v>
      </c>
      <c r="Y482" t="s">
        <v>3051</v>
      </c>
    </row>
    <row r="483" spans="1:25" x14ac:dyDescent="0.25">
      <c r="A483" t="str">
        <f>"1044600469"</f>
        <v>1044600469</v>
      </c>
      <c r="B483" t="s">
        <v>482</v>
      </c>
      <c r="C483" t="s">
        <v>3055</v>
      </c>
      <c r="D483" t="s">
        <v>3052</v>
      </c>
      <c r="E483">
        <v>424005</v>
      </c>
      <c r="F483" t="s">
        <v>1</v>
      </c>
      <c r="G483" t="s">
        <v>2</v>
      </c>
      <c r="H483" t="s">
        <v>3053</v>
      </c>
      <c r="I483" t="s">
        <v>3054</v>
      </c>
      <c r="K483" t="s">
        <v>3054</v>
      </c>
      <c r="Y483" t="s">
        <v>3056</v>
      </c>
    </row>
    <row r="484" spans="1:25" x14ac:dyDescent="0.25">
      <c r="A484" t="str">
        <f>"1044621764"</f>
        <v>1044621764</v>
      </c>
      <c r="B484" t="s">
        <v>574</v>
      </c>
      <c r="C484" t="s">
        <v>3059</v>
      </c>
      <c r="D484" t="s">
        <v>3057</v>
      </c>
      <c r="E484">
        <v>424006</v>
      </c>
      <c r="F484" t="s">
        <v>1</v>
      </c>
      <c r="G484" t="s">
        <v>2</v>
      </c>
      <c r="H484" t="s">
        <v>2775</v>
      </c>
      <c r="I484" t="s">
        <v>3058</v>
      </c>
      <c r="P484" t="s">
        <v>3060</v>
      </c>
      <c r="Y484" t="s">
        <v>2779</v>
      </c>
    </row>
    <row r="485" spans="1:25" x14ac:dyDescent="0.25">
      <c r="A485" t="str">
        <f>"1044664110"</f>
        <v>1044664110</v>
      </c>
      <c r="B485" t="s">
        <v>1391</v>
      </c>
      <c r="C485" t="s">
        <v>3066</v>
      </c>
      <c r="D485" t="s">
        <v>3061</v>
      </c>
      <c r="E485">
        <v>424004</v>
      </c>
      <c r="F485" t="s">
        <v>1</v>
      </c>
      <c r="G485" t="s">
        <v>2</v>
      </c>
      <c r="H485" t="s">
        <v>186</v>
      </c>
      <c r="I485" t="s">
        <v>3062</v>
      </c>
      <c r="K485" t="s">
        <v>3063</v>
      </c>
      <c r="L485" t="s">
        <v>3064</v>
      </c>
      <c r="M485" t="s">
        <v>3065</v>
      </c>
      <c r="P485" t="s">
        <v>20</v>
      </c>
      <c r="Y485" t="s">
        <v>190</v>
      </c>
    </row>
    <row r="486" spans="1:25" x14ac:dyDescent="0.25">
      <c r="A486" t="str">
        <f>"1044685680"</f>
        <v>1044685680</v>
      </c>
      <c r="B486" t="s">
        <v>790</v>
      </c>
      <c r="C486" t="s">
        <v>3072</v>
      </c>
      <c r="D486" t="s">
        <v>3067</v>
      </c>
      <c r="E486">
        <v>424002</v>
      </c>
      <c r="F486" t="s">
        <v>1</v>
      </c>
      <c r="G486" t="s">
        <v>2</v>
      </c>
      <c r="H486" t="s">
        <v>3068</v>
      </c>
      <c r="I486" t="s">
        <v>3069</v>
      </c>
      <c r="L486" t="s">
        <v>3070</v>
      </c>
      <c r="M486" t="s">
        <v>3071</v>
      </c>
      <c r="P486" t="s">
        <v>3073</v>
      </c>
      <c r="Q486" t="s">
        <v>3074</v>
      </c>
      <c r="Y486" t="s">
        <v>3075</v>
      </c>
    </row>
    <row r="487" spans="1:25" x14ac:dyDescent="0.25">
      <c r="A487" t="str">
        <f>"1045021795"</f>
        <v>1045021795</v>
      </c>
      <c r="B487" t="s">
        <v>2062</v>
      </c>
      <c r="C487" t="s">
        <v>3081</v>
      </c>
      <c r="D487" t="s">
        <v>3076</v>
      </c>
      <c r="E487">
        <v>424003</v>
      </c>
      <c r="F487" t="s">
        <v>1</v>
      </c>
      <c r="G487" t="s">
        <v>2</v>
      </c>
      <c r="H487" t="s">
        <v>3077</v>
      </c>
      <c r="I487" t="s">
        <v>3078</v>
      </c>
      <c r="L487" t="s">
        <v>3079</v>
      </c>
      <c r="M487" t="s">
        <v>3080</v>
      </c>
      <c r="P487" t="s">
        <v>1731</v>
      </c>
      <c r="Q487" t="s">
        <v>3082</v>
      </c>
      <c r="R487" t="s">
        <v>3083</v>
      </c>
      <c r="T487" t="s">
        <v>3084</v>
      </c>
      <c r="Y487" t="s">
        <v>3085</v>
      </c>
    </row>
    <row r="488" spans="1:25" x14ac:dyDescent="0.25">
      <c r="A488" t="str">
        <f>"1045047489"</f>
        <v>1045047489</v>
      </c>
      <c r="B488" t="s">
        <v>803</v>
      </c>
      <c r="C488" t="s">
        <v>3088</v>
      </c>
      <c r="D488" t="s">
        <v>3086</v>
      </c>
      <c r="E488">
        <v>424031</v>
      </c>
      <c r="F488" t="s">
        <v>1</v>
      </c>
      <c r="G488" t="s">
        <v>2</v>
      </c>
      <c r="H488" t="s">
        <v>3087</v>
      </c>
      <c r="Y488" t="s">
        <v>3089</v>
      </c>
    </row>
    <row r="489" spans="1:25" x14ac:dyDescent="0.25">
      <c r="A489" t="str">
        <f>"1045192239"</f>
        <v>1045192239</v>
      </c>
      <c r="B489" t="s">
        <v>3094</v>
      </c>
      <c r="C489" t="s">
        <v>3095</v>
      </c>
      <c r="D489" t="s">
        <v>3090</v>
      </c>
      <c r="E489">
        <v>424002</v>
      </c>
      <c r="F489" t="s">
        <v>1</v>
      </c>
      <c r="G489" t="s">
        <v>2</v>
      </c>
      <c r="H489" t="s">
        <v>3091</v>
      </c>
      <c r="I489" t="s">
        <v>3092</v>
      </c>
      <c r="L489" t="s">
        <v>3001</v>
      </c>
      <c r="M489" t="s">
        <v>3093</v>
      </c>
      <c r="P489" t="s">
        <v>2879</v>
      </c>
      <c r="Y489" t="s">
        <v>3096</v>
      </c>
    </row>
    <row r="490" spans="1:25" x14ac:dyDescent="0.25">
      <c r="A490" t="str">
        <f>"1045197052"</f>
        <v>1045197052</v>
      </c>
      <c r="B490" t="s">
        <v>1152</v>
      </c>
      <c r="C490" t="s">
        <v>1153</v>
      </c>
      <c r="D490" t="s">
        <v>3097</v>
      </c>
      <c r="E490">
        <v>424002</v>
      </c>
      <c r="F490" t="s">
        <v>1</v>
      </c>
      <c r="G490" t="s">
        <v>2</v>
      </c>
      <c r="H490" t="s">
        <v>3098</v>
      </c>
      <c r="I490" t="s">
        <v>3099</v>
      </c>
      <c r="L490" t="s">
        <v>3100</v>
      </c>
      <c r="M490" t="s">
        <v>3101</v>
      </c>
      <c r="P490" t="s">
        <v>27</v>
      </c>
      <c r="Y490" t="s">
        <v>3102</v>
      </c>
    </row>
    <row r="491" spans="1:25" x14ac:dyDescent="0.25">
      <c r="A491" t="str">
        <f>"1045344700"</f>
        <v>1045344700</v>
      </c>
      <c r="B491" t="s">
        <v>80</v>
      </c>
      <c r="C491" t="s">
        <v>3108</v>
      </c>
      <c r="D491" t="s">
        <v>3103</v>
      </c>
      <c r="E491">
        <v>424006</v>
      </c>
      <c r="F491" t="s">
        <v>1</v>
      </c>
      <c r="G491" t="s">
        <v>2</v>
      </c>
      <c r="H491" t="s">
        <v>3104</v>
      </c>
      <c r="I491" t="s">
        <v>3105</v>
      </c>
      <c r="L491" t="s">
        <v>3106</v>
      </c>
      <c r="M491" t="s">
        <v>3107</v>
      </c>
      <c r="P491" t="s">
        <v>3109</v>
      </c>
      <c r="Q491" t="s">
        <v>3110</v>
      </c>
      <c r="Y491" t="s">
        <v>3111</v>
      </c>
    </row>
    <row r="492" spans="1:25" x14ac:dyDescent="0.25">
      <c r="A492" t="str">
        <f>"1045385821"</f>
        <v>1045385821</v>
      </c>
      <c r="B492" t="s">
        <v>123</v>
      </c>
      <c r="C492" t="s">
        <v>196</v>
      </c>
      <c r="D492" t="s">
        <v>3112</v>
      </c>
      <c r="E492">
        <v>424006</v>
      </c>
      <c r="F492" t="s">
        <v>1</v>
      </c>
      <c r="G492" t="s">
        <v>2</v>
      </c>
      <c r="H492" t="s">
        <v>3033</v>
      </c>
      <c r="I492" t="s">
        <v>3113</v>
      </c>
      <c r="Y492" t="s">
        <v>3035</v>
      </c>
    </row>
    <row r="493" spans="1:25" x14ac:dyDescent="0.25">
      <c r="A493" t="str">
        <f>"1045385987"</f>
        <v>1045385987</v>
      </c>
      <c r="B493" t="s">
        <v>447</v>
      </c>
      <c r="C493" t="s">
        <v>448</v>
      </c>
      <c r="D493" t="s">
        <v>3114</v>
      </c>
      <c r="E493">
        <v>424037</v>
      </c>
      <c r="F493" t="s">
        <v>1</v>
      </c>
      <c r="G493" t="s">
        <v>2</v>
      </c>
      <c r="H493" t="s">
        <v>3115</v>
      </c>
      <c r="I493" t="s">
        <v>3116</v>
      </c>
      <c r="Y493" t="s">
        <v>3117</v>
      </c>
    </row>
    <row r="494" spans="1:25" x14ac:dyDescent="0.25">
      <c r="A494" t="str">
        <f>"1045419079"</f>
        <v>1045419079</v>
      </c>
      <c r="B494" t="s">
        <v>703</v>
      </c>
      <c r="C494" t="s">
        <v>3122</v>
      </c>
      <c r="D494" t="s">
        <v>3118</v>
      </c>
      <c r="E494">
        <v>424007</v>
      </c>
      <c r="F494" t="s">
        <v>1</v>
      </c>
      <c r="G494" t="s">
        <v>2</v>
      </c>
      <c r="H494" t="s">
        <v>3119</v>
      </c>
      <c r="I494" t="s">
        <v>3120</v>
      </c>
      <c r="L494" t="s">
        <v>3121</v>
      </c>
      <c r="P494" t="s">
        <v>3123</v>
      </c>
      <c r="Y494" t="s">
        <v>3124</v>
      </c>
    </row>
    <row r="495" spans="1:25" x14ac:dyDescent="0.25">
      <c r="A495" t="str">
        <f>"1045428810"</f>
        <v>1045428810</v>
      </c>
      <c r="B495" t="s">
        <v>1053</v>
      </c>
      <c r="C495" t="s">
        <v>3130</v>
      </c>
      <c r="D495" t="s">
        <v>3125</v>
      </c>
      <c r="E495">
        <v>424036</v>
      </c>
      <c r="F495" t="s">
        <v>1</v>
      </c>
      <c r="G495" t="s">
        <v>2</v>
      </c>
      <c r="H495" t="s">
        <v>3126</v>
      </c>
      <c r="I495" t="s">
        <v>3127</v>
      </c>
      <c r="L495" t="s">
        <v>3128</v>
      </c>
      <c r="M495" t="s">
        <v>3129</v>
      </c>
      <c r="P495" t="s">
        <v>20</v>
      </c>
      <c r="Y495" t="s">
        <v>3131</v>
      </c>
    </row>
    <row r="496" spans="1:25" x14ac:dyDescent="0.25">
      <c r="A496" t="str">
        <f>"1045840698"</f>
        <v>1045840698</v>
      </c>
      <c r="B496" t="s">
        <v>790</v>
      </c>
      <c r="C496" t="s">
        <v>3134</v>
      </c>
      <c r="D496" t="s">
        <v>3132</v>
      </c>
      <c r="E496">
        <v>424001</v>
      </c>
      <c r="F496" t="s">
        <v>1</v>
      </c>
      <c r="G496" t="s">
        <v>2</v>
      </c>
      <c r="H496" t="s">
        <v>919</v>
      </c>
      <c r="I496" t="s">
        <v>3133</v>
      </c>
      <c r="P496" t="s">
        <v>27</v>
      </c>
      <c r="Y496" t="s">
        <v>1750</v>
      </c>
    </row>
    <row r="497" spans="1:25" x14ac:dyDescent="0.25">
      <c r="A497" t="str">
        <f>"1046049860"</f>
        <v>1046049860</v>
      </c>
      <c r="B497" t="s">
        <v>348</v>
      </c>
      <c r="C497" t="s">
        <v>3135</v>
      </c>
      <c r="D497" t="s">
        <v>3135</v>
      </c>
      <c r="E497">
        <v>424004</v>
      </c>
      <c r="F497" t="s">
        <v>1</v>
      </c>
      <c r="G497" t="s">
        <v>2</v>
      </c>
      <c r="H497" t="s">
        <v>3136</v>
      </c>
      <c r="I497" t="s">
        <v>3137</v>
      </c>
      <c r="M497" t="s">
        <v>3138</v>
      </c>
      <c r="P497" t="s">
        <v>133</v>
      </c>
      <c r="Y497" t="s">
        <v>3139</v>
      </c>
    </row>
    <row r="498" spans="1:25" x14ac:dyDescent="0.25">
      <c r="A498" t="str">
        <f>"1046284045"</f>
        <v>1046284045</v>
      </c>
      <c r="B498" t="s">
        <v>417</v>
      </c>
      <c r="C498" t="s">
        <v>418</v>
      </c>
      <c r="D498" t="s">
        <v>3140</v>
      </c>
      <c r="E498">
        <v>424002</v>
      </c>
      <c r="F498" t="s">
        <v>1</v>
      </c>
      <c r="G498" t="s">
        <v>2</v>
      </c>
      <c r="H498" t="s">
        <v>3141</v>
      </c>
      <c r="I498" t="s">
        <v>3142</v>
      </c>
      <c r="M498" t="s">
        <v>3143</v>
      </c>
      <c r="P498" t="s">
        <v>2438</v>
      </c>
      <c r="Y498" t="s">
        <v>3144</v>
      </c>
    </row>
    <row r="499" spans="1:25" x14ac:dyDescent="0.25">
      <c r="A499" t="str">
        <f>"1046334479"</f>
        <v>1046334479</v>
      </c>
      <c r="B499" t="s">
        <v>1053</v>
      </c>
      <c r="C499" t="s">
        <v>1927</v>
      </c>
      <c r="D499" t="s">
        <v>3145</v>
      </c>
      <c r="E499">
        <v>424037</v>
      </c>
      <c r="F499" t="s">
        <v>1</v>
      </c>
      <c r="G499" t="s">
        <v>2</v>
      </c>
      <c r="H499" t="s">
        <v>3146</v>
      </c>
      <c r="I499" t="s">
        <v>3147</v>
      </c>
      <c r="L499" t="s">
        <v>3148</v>
      </c>
      <c r="M499" t="s">
        <v>3149</v>
      </c>
      <c r="P499" t="s">
        <v>20</v>
      </c>
      <c r="Y499" t="s">
        <v>3150</v>
      </c>
    </row>
    <row r="500" spans="1:25" x14ac:dyDescent="0.25">
      <c r="A500" t="str">
        <f>"1046513987"</f>
        <v>1046513987</v>
      </c>
      <c r="B500" t="s">
        <v>482</v>
      </c>
      <c r="C500" t="s">
        <v>483</v>
      </c>
      <c r="D500" t="s">
        <v>3151</v>
      </c>
      <c r="E500">
        <v>424006</v>
      </c>
      <c r="F500" t="s">
        <v>1</v>
      </c>
      <c r="G500" t="s">
        <v>2</v>
      </c>
      <c r="H500" t="s">
        <v>478</v>
      </c>
      <c r="I500" t="s">
        <v>3152</v>
      </c>
      <c r="L500" t="s">
        <v>3153</v>
      </c>
      <c r="M500" t="s">
        <v>3154</v>
      </c>
      <c r="P500" t="s">
        <v>280</v>
      </c>
      <c r="Q500" t="s">
        <v>3155</v>
      </c>
      <c r="Y500" t="s">
        <v>3156</v>
      </c>
    </row>
    <row r="501" spans="1:25" x14ac:dyDescent="0.25">
      <c r="A501" t="str">
        <f>"1046579593"</f>
        <v>1046579593</v>
      </c>
      <c r="B501" t="s">
        <v>18</v>
      </c>
      <c r="C501" t="s">
        <v>3162</v>
      </c>
      <c r="D501" t="s">
        <v>3157</v>
      </c>
      <c r="E501">
        <v>424003</v>
      </c>
      <c r="F501" t="s">
        <v>1</v>
      </c>
      <c r="G501" t="s">
        <v>2</v>
      </c>
      <c r="H501" t="s">
        <v>3158</v>
      </c>
      <c r="I501" t="s">
        <v>3159</v>
      </c>
      <c r="L501" t="s">
        <v>3160</v>
      </c>
      <c r="M501" t="s">
        <v>3161</v>
      </c>
      <c r="P501" t="s">
        <v>280</v>
      </c>
      <c r="Y501" t="s">
        <v>3163</v>
      </c>
    </row>
    <row r="502" spans="1:25" x14ac:dyDescent="0.25">
      <c r="A502" t="str">
        <f>"1046646114"</f>
        <v>1046646114</v>
      </c>
      <c r="B502" t="s">
        <v>18</v>
      </c>
      <c r="C502" t="s">
        <v>3169</v>
      </c>
      <c r="D502" t="s">
        <v>3164</v>
      </c>
      <c r="F502" t="s">
        <v>1</v>
      </c>
      <c r="G502" t="s">
        <v>2</v>
      </c>
      <c r="H502" t="s">
        <v>3165</v>
      </c>
      <c r="I502" t="s">
        <v>3166</v>
      </c>
      <c r="L502" t="s">
        <v>3167</v>
      </c>
      <c r="M502" t="s">
        <v>3168</v>
      </c>
      <c r="P502" t="s">
        <v>20</v>
      </c>
      <c r="Y502" t="s">
        <v>3170</v>
      </c>
    </row>
    <row r="503" spans="1:25" x14ac:dyDescent="0.25">
      <c r="A503" t="str">
        <f>"1046663686"</f>
        <v>1046663686</v>
      </c>
      <c r="B503" t="s">
        <v>284</v>
      </c>
      <c r="C503" t="s">
        <v>3175</v>
      </c>
      <c r="D503" t="s">
        <v>3171</v>
      </c>
      <c r="F503" t="s">
        <v>1</v>
      </c>
      <c r="G503" t="s">
        <v>2</v>
      </c>
      <c r="H503" t="s">
        <v>3172</v>
      </c>
      <c r="I503" t="s">
        <v>3173</v>
      </c>
      <c r="L503" t="s">
        <v>3174</v>
      </c>
      <c r="P503" t="s">
        <v>280</v>
      </c>
      <c r="Y503" t="s">
        <v>3176</v>
      </c>
    </row>
    <row r="504" spans="1:25" x14ac:dyDescent="0.25">
      <c r="A504" t="str">
        <f>"1046775637"</f>
        <v>1046775637</v>
      </c>
      <c r="B504" t="s">
        <v>574</v>
      </c>
      <c r="C504" t="s">
        <v>646</v>
      </c>
      <c r="D504" t="s">
        <v>3177</v>
      </c>
      <c r="E504">
        <v>424019</v>
      </c>
      <c r="F504" t="s">
        <v>1</v>
      </c>
      <c r="G504" t="s">
        <v>2</v>
      </c>
      <c r="H504" t="s">
        <v>1801</v>
      </c>
      <c r="P504" t="s">
        <v>2457</v>
      </c>
      <c r="Y504" t="s">
        <v>3178</v>
      </c>
    </row>
    <row r="505" spans="1:25" x14ac:dyDescent="0.25">
      <c r="A505" t="str">
        <f>"1047514750"</f>
        <v>1047514750</v>
      </c>
      <c r="B505" t="s">
        <v>1078</v>
      </c>
      <c r="C505" t="s">
        <v>3181</v>
      </c>
      <c r="D505" t="s">
        <v>3179</v>
      </c>
      <c r="E505">
        <v>424000</v>
      </c>
      <c r="F505" t="s">
        <v>1</v>
      </c>
      <c r="G505" t="s">
        <v>2</v>
      </c>
      <c r="H505" t="s">
        <v>2023</v>
      </c>
      <c r="I505" t="s">
        <v>3180</v>
      </c>
      <c r="P505" t="s">
        <v>390</v>
      </c>
      <c r="Y505" t="s">
        <v>2025</v>
      </c>
    </row>
    <row r="506" spans="1:25" x14ac:dyDescent="0.25">
      <c r="A506" t="str">
        <f>"1047529014"</f>
        <v>1047529014</v>
      </c>
      <c r="B506" t="s">
        <v>624</v>
      </c>
      <c r="C506" t="s">
        <v>2640</v>
      </c>
      <c r="D506" t="s">
        <v>3182</v>
      </c>
      <c r="E506">
        <v>424004</v>
      </c>
      <c r="F506" t="s">
        <v>1</v>
      </c>
      <c r="G506" t="s">
        <v>2</v>
      </c>
      <c r="H506" t="s">
        <v>3183</v>
      </c>
      <c r="I506" t="s">
        <v>3184</v>
      </c>
      <c r="K506" t="s">
        <v>3184</v>
      </c>
      <c r="Y506" t="s">
        <v>3185</v>
      </c>
    </row>
    <row r="507" spans="1:25" x14ac:dyDescent="0.25">
      <c r="A507" t="str">
        <f>"1047556333"</f>
        <v>1047556333</v>
      </c>
      <c r="B507" t="s">
        <v>1053</v>
      </c>
      <c r="C507" t="s">
        <v>3191</v>
      </c>
      <c r="D507" t="s">
        <v>3186</v>
      </c>
      <c r="E507">
        <v>424019</v>
      </c>
      <c r="F507" t="s">
        <v>1</v>
      </c>
      <c r="G507" t="s">
        <v>2</v>
      </c>
      <c r="H507" t="s">
        <v>1801</v>
      </c>
      <c r="I507" t="s">
        <v>3187</v>
      </c>
      <c r="J507" t="s">
        <v>3188</v>
      </c>
      <c r="L507" t="s">
        <v>3189</v>
      </c>
      <c r="M507" t="s">
        <v>3190</v>
      </c>
      <c r="P507" t="s">
        <v>3192</v>
      </c>
      <c r="Q507" t="s">
        <v>3193</v>
      </c>
      <c r="R507" t="s">
        <v>3194</v>
      </c>
      <c r="T507" t="s">
        <v>3195</v>
      </c>
      <c r="V507" t="s">
        <v>3196</v>
      </c>
      <c r="Y507" t="s">
        <v>3197</v>
      </c>
    </row>
    <row r="508" spans="1:25" x14ac:dyDescent="0.25">
      <c r="A508" t="str">
        <f>"1047666335"</f>
        <v>1047666335</v>
      </c>
      <c r="B508" t="s">
        <v>3200</v>
      </c>
      <c r="C508" t="s">
        <v>3201</v>
      </c>
      <c r="D508" t="s">
        <v>3198</v>
      </c>
      <c r="E508">
        <v>424000</v>
      </c>
      <c r="F508" t="s">
        <v>1</v>
      </c>
      <c r="G508" t="s">
        <v>2</v>
      </c>
      <c r="H508" t="s">
        <v>937</v>
      </c>
      <c r="I508" t="s">
        <v>3199</v>
      </c>
      <c r="P508" t="s">
        <v>941</v>
      </c>
      <c r="Y508" t="s">
        <v>942</v>
      </c>
    </row>
    <row r="509" spans="1:25" x14ac:dyDescent="0.25">
      <c r="A509" t="str">
        <f>"1047672281"</f>
        <v>1047672281</v>
      </c>
      <c r="B509" t="s">
        <v>1552</v>
      </c>
      <c r="C509" t="s">
        <v>1962</v>
      </c>
      <c r="D509" t="s">
        <v>3202</v>
      </c>
      <c r="E509">
        <v>424037</v>
      </c>
      <c r="F509" t="s">
        <v>1</v>
      </c>
      <c r="G509" t="s">
        <v>2</v>
      </c>
      <c r="H509" t="s">
        <v>3203</v>
      </c>
      <c r="I509" t="s">
        <v>3204</v>
      </c>
      <c r="J509" t="s">
        <v>3205</v>
      </c>
      <c r="L509" t="s">
        <v>3206</v>
      </c>
      <c r="M509" t="s">
        <v>3207</v>
      </c>
      <c r="P509" t="s">
        <v>1071</v>
      </c>
      <c r="T509" t="s">
        <v>3208</v>
      </c>
      <c r="Y509" t="s">
        <v>3209</v>
      </c>
    </row>
    <row r="510" spans="1:25" x14ac:dyDescent="0.25">
      <c r="A510" t="str">
        <f>"1047700216"</f>
        <v>1047700216</v>
      </c>
      <c r="B510" t="s">
        <v>233</v>
      </c>
      <c r="C510" t="s">
        <v>3212</v>
      </c>
      <c r="D510" t="s">
        <v>3210</v>
      </c>
      <c r="E510">
        <v>424006</v>
      </c>
      <c r="F510" t="s">
        <v>1</v>
      </c>
      <c r="G510" t="s">
        <v>2</v>
      </c>
      <c r="H510" t="s">
        <v>2775</v>
      </c>
      <c r="I510" t="s">
        <v>3211</v>
      </c>
      <c r="Y510" t="s">
        <v>2779</v>
      </c>
    </row>
    <row r="511" spans="1:25" x14ac:dyDescent="0.25">
      <c r="A511" t="str">
        <f>"1047701038"</f>
        <v>1047701038</v>
      </c>
      <c r="B511" t="s">
        <v>1262</v>
      </c>
      <c r="C511" t="s">
        <v>3214</v>
      </c>
      <c r="D511" t="s">
        <v>3213</v>
      </c>
      <c r="E511">
        <v>424038</v>
      </c>
      <c r="F511" t="s">
        <v>1</v>
      </c>
      <c r="G511" t="s">
        <v>2</v>
      </c>
      <c r="H511" t="s">
        <v>546</v>
      </c>
      <c r="I511" t="s">
        <v>547</v>
      </c>
      <c r="Y511" t="s">
        <v>549</v>
      </c>
    </row>
    <row r="512" spans="1:25" x14ac:dyDescent="0.25">
      <c r="A512" t="str">
        <f>"1047837471"</f>
        <v>1047837471</v>
      </c>
      <c r="B512" t="s">
        <v>1611</v>
      </c>
      <c r="C512" t="s">
        <v>3218</v>
      </c>
      <c r="D512" t="s">
        <v>3215</v>
      </c>
      <c r="E512">
        <v>424037</v>
      </c>
      <c r="F512" t="s">
        <v>1</v>
      </c>
      <c r="G512" t="s">
        <v>2</v>
      </c>
      <c r="H512" t="s">
        <v>3216</v>
      </c>
      <c r="L512" t="s">
        <v>3217</v>
      </c>
      <c r="Y512" t="s">
        <v>3219</v>
      </c>
    </row>
    <row r="513" spans="1:25" x14ac:dyDescent="0.25">
      <c r="A513" t="str">
        <f>"1047840846"</f>
        <v>1047840846</v>
      </c>
      <c r="B513" t="s">
        <v>2178</v>
      </c>
      <c r="C513" t="s">
        <v>3223</v>
      </c>
      <c r="D513" t="s">
        <v>3220</v>
      </c>
      <c r="E513">
        <v>424033</v>
      </c>
      <c r="F513" t="s">
        <v>1</v>
      </c>
      <c r="G513" t="s">
        <v>2</v>
      </c>
      <c r="H513" t="s">
        <v>3221</v>
      </c>
      <c r="I513" t="s">
        <v>3222</v>
      </c>
      <c r="P513" t="s">
        <v>2839</v>
      </c>
      <c r="Y513" t="s">
        <v>3224</v>
      </c>
    </row>
    <row r="514" spans="1:25" x14ac:dyDescent="0.25">
      <c r="A514" t="str">
        <f>"1047940093"</f>
        <v>1047940093</v>
      </c>
      <c r="B514" t="s">
        <v>978</v>
      </c>
      <c r="C514" t="s">
        <v>1659</v>
      </c>
      <c r="D514" t="s">
        <v>3225</v>
      </c>
      <c r="E514">
        <v>424028</v>
      </c>
      <c r="F514" t="s">
        <v>1</v>
      </c>
      <c r="G514" t="s">
        <v>2</v>
      </c>
      <c r="H514" t="s">
        <v>3226</v>
      </c>
      <c r="I514" t="s">
        <v>3227</v>
      </c>
      <c r="J514" t="s">
        <v>3228</v>
      </c>
      <c r="M514" t="s">
        <v>3229</v>
      </c>
      <c r="P514" t="s">
        <v>27</v>
      </c>
      <c r="Y514" t="s">
        <v>3230</v>
      </c>
    </row>
    <row r="515" spans="1:25" x14ac:dyDescent="0.25">
      <c r="A515" t="str">
        <f>"1048125735"</f>
        <v>1048125735</v>
      </c>
      <c r="B515" t="s">
        <v>3008</v>
      </c>
      <c r="C515" t="s">
        <v>3235</v>
      </c>
      <c r="D515" t="s">
        <v>3231</v>
      </c>
      <c r="E515">
        <v>424006</v>
      </c>
      <c r="F515" t="s">
        <v>1</v>
      </c>
      <c r="G515" t="s">
        <v>2</v>
      </c>
      <c r="H515" t="s">
        <v>2012</v>
      </c>
      <c r="I515" t="s">
        <v>3232</v>
      </c>
      <c r="L515" t="s">
        <v>3233</v>
      </c>
      <c r="M515" t="s">
        <v>3234</v>
      </c>
      <c r="P515" t="s">
        <v>280</v>
      </c>
      <c r="Y515" t="s">
        <v>2016</v>
      </c>
    </row>
    <row r="516" spans="1:25" x14ac:dyDescent="0.25">
      <c r="A516" t="str">
        <f>"1048132049"</f>
        <v>1048132049</v>
      </c>
      <c r="B516" t="s">
        <v>224</v>
      </c>
      <c r="C516" t="s">
        <v>3240</v>
      </c>
      <c r="D516" t="s">
        <v>3236</v>
      </c>
      <c r="E516">
        <v>424028</v>
      </c>
      <c r="F516" t="s">
        <v>1</v>
      </c>
      <c r="G516" t="s">
        <v>2</v>
      </c>
      <c r="H516" t="s">
        <v>3237</v>
      </c>
      <c r="I516" t="s">
        <v>3238</v>
      </c>
      <c r="K516" t="s">
        <v>3239</v>
      </c>
      <c r="P516" t="s">
        <v>20</v>
      </c>
      <c r="Y516" t="s">
        <v>3241</v>
      </c>
    </row>
    <row r="517" spans="1:25" x14ac:dyDescent="0.25">
      <c r="A517" t="str">
        <f>"1048154967"</f>
        <v>1048154967</v>
      </c>
      <c r="B517" t="s">
        <v>284</v>
      </c>
      <c r="C517" t="s">
        <v>3248</v>
      </c>
      <c r="D517" t="s">
        <v>3242</v>
      </c>
      <c r="E517">
        <v>424007</v>
      </c>
      <c r="F517" t="s">
        <v>1</v>
      </c>
      <c r="G517" t="s">
        <v>2</v>
      </c>
      <c r="H517" t="s">
        <v>3243</v>
      </c>
      <c r="I517" t="s">
        <v>3244</v>
      </c>
      <c r="K517" t="s">
        <v>3245</v>
      </c>
      <c r="L517" t="s">
        <v>3246</v>
      </c>
      <c r="M517" t="s">
        <v>3247</v>
      </c>
      <c r="P517" t="s">
        <v>2362</v>
      </c>
      <c r="Y517" t="s">
        <v>3249</v>
      </c>
    </row>
    <row r="518" spans="1:25" x14ac:dyDescent="0.25">
      <c r="A518" t="str">
        <f>"1048187294"</f>
        <v>1048187294</v>
      </c>
      <c r="B518" t="s">
        <v>669</v>
      </c>
      <c r="C518" t="s">
        <v>1292</v>
      </c>
      <c r="D518" t="s">
        <v>3250</v>
      </c>
      <c r="E518">
        <v>424004</v>
      </c>
      <c r="F518" t="s">
        <v>1</v>
      </c>
      <c r="G518" t="s">
        <v>2</v>
      </c>
      <c r="H518" t="s">
        <v>1330</v>
      </c>
      <c r="I518" t="s">
        <v>3251</v>
      </c>
      <c r="P518" t="s">
        <v>280</v>
      </c>
      <c r="Y518" t="s">
        <v>3252</v>
      </c>
    </row>
    <row r="519" spans="1:25" x14ac:dyDescent="0.25">
      <c r="A519" t="str">
        <f>"1048207848"</f>
        <v>1048207848</v>
      </c>
      <c r="B519" t="s">
        <v>462</v>
      </c>
      <c r="C519" t="s">
        <v>1140</v>
      </c>
      <c r="D519" t="s">
        <v>3253</v>
      </c>
      <c r="E519">
        <v>424002</v>
      </c>
      <c r="F519" t="s">
        <v>1</v>
      </c>
      <c r="G519" t="s">
        <v>2</v>
      </c>
      <c r="H519" t="s">
        <v>57</v>
      </c>
      <c r="Y519" t="s">
        <v>61</v>
      </c>
    </row>
    <row r="520" spans="1:25" x14ac:dyDescent="0.25">
      <c r="A520" t="str">
        <f>"1048269566"</f>
        <v>1048269566</v>
      </c>
      <c r="B520" t="s">
        <v>482</v>
      </c>
      <c r="C520" t="s">
        <v>483</v>
      </c>
      <c r="D520" t="s">
        <v>3254</v>
      </c>
      <c r="E520">
        <v>424028</v>
      </c>
      <c r="F520" t="s">
        <v>1</v>
      </c>
      <c r="G520" t="s">
        <v>2</v>
      </c>
      <c r="H520" t="s">
        <v>1447</v>
      </c>
      <c r="I520" t="s">
        <v>1448</v>
      </c>
      <c r="K520" t="s">
        <v>1448</v>
      </c>
      <c r="P520" t="s">
        <v>1452</v>
      </c>
      <c r="Y520" t="s">
        <v>3255</v>
      </c>
    </row>
    <row r="521" spans="1:25" x14ac:dyDescent="0.25">
      <c r="A521" t="str">
        <f>"1048304194"</f>
        <v>1048304194</v>
      </c>
      <c r="B521" t="s">
        <v>176</v>
      </c>
      <c r="C521" t="s">
        <v>3257</v>
      </c>
      <c r="D521" t="s">
        <v>3256</v>
      </c>
      <c r="E521">
        <v>424001</v>
      </c>
      <c r="F521" t="s">
        <v>1</v>
      </c>
      <c r="G521" t="s">
        <v>2</v>
      </c>
      <c r="H521" t="s">
        <v>919</v>
      </c>
      <c r="Y521" t="s">
        <v>1750</v>
      </c>
    </row>
    <row r="522" spans="1:25" x14ac:dyDescent="0.25">
      <c r="A522" t="str">
        <f>"1048306868"</f>
        <v>1048306868</v>
      </c>
      <c r="B522" t="s">
        <v>123</v>
      </c>
      <c r="C522" t="s">
        <v>3262</v>
      </c>
      <c r="D522" t="s">
        <v>3258</v>
      </c>
      <c r="E522">
        <v>424004</v>
      </c>
      <c r="F522" t="s">
        <v>1</v>
      </c>
      <c r="G522" t="s">
        <v>2</v>
      </c>
      <c r="H522" t="s">
        <v>229</v>
      </c>
      <c r="I522" t="s">
        <v>3259</v>
      </c>
      <c r="L522" t="s">
        <v>3260</v>
      </c>
      <c r="M522" t="s">
        <v>3261</v>
      </c>
      <c r="P522" t="s">
        <v>3263</v>
      </c>
      <c r="Y522" t="s">
        <v>3264</v>
      </c>
    </row>
    <row r="523" spans="1:25" x14ac:dyDescent="0.25">
      <c r="A523" t="str">
        <f>"1048311551"</f>
        <v>1048311551</v>
      </c>
      <c r="B523" t="s">
        <v>32</v>
      </c>
      <c r="C523" t="s">
        <v>182</v>
      </c>
      <c r="D523" t="s">
        <v>3265</v>
      </c>
      <c r="E523">
        <v>424004</v>
      </c>
      <c r="F523" t="s">
        <v>1</v>
      </c>
      <c r="G523" t="s">
        <v>2</v>
      </c>
      <c r="H523" t="s">
        <v>3266</v>
      </c>
      <c r="P523" t="s">
        <v>740</v>
      </c>
      <c r="Y523" t="s">
        <v>3267</v>
      </c>
    </row>
    <row r="524" spans="1:25" x14ac:dyDescent="0.25">
      <c r="A524" t="str">
        <f>"1048345872"</f>
        <v>1048345872</v>
      </c>
      <c r="B524" t="s">
        <v>482</v>
      </c>
      <c r="C524" t="s">
        <v>483</v>
      </c>
      <c r="D524" t="s">
        <v>3268</v>
      </c>
      <c r="E524">
        <v>424002</v>
      </c>
      <c r="F524" t="s">
        <v>1</v>
      </c>
      <c r="G524" t="s">
        <v>2</v>
      </c>
      <c r="H524" t="s">
        <v>2338</v>
      </c>
      <c r="I524" t="s">
        <v>3269</v>
      </c>
      <c r="Y524" t="s">
        <v>2954</v>
      </c>
    </row>
    <row r="525" spans="1:25" x14ac:dyDescent="0.25">
      <c r="A525" t="str">
        <f>"1048379826"</f>
        <v>1048379826</v>
      </c>
      <c r="B525" t="s">
        <v>482</v>
      </c>
      <c r="C525" t="s">
        <v>3273</v>
      </c>
      <c r="D525" t="s">
        <v>3270</v>
      </c>
      <c r="E525">
        <v>424031</v>
      </c>
      <c r="F525" t="s">
        <v>1</v>
      </c>
      <c r="G525" t="s">
        <v>2</v>
      </c>
      <c r="H525" t="s">
        <v>3271</v>
      </c>
      <c r="I525" t="s">
        <v>3272</v>
      </c>
      <c r="P525" t="s">
        <v>260</v>
      </c>
      <c r="Y525" t="s">
        <v>3274</v>
      </c>
    </row>
    <row r="526" spans="1:25" x14ac:dyDescent="0.25">
      <c r="A526" t="str">
        <f>"1048387232"</f>
        <v>1048387232</v>
      </c>
      <c r="B526" t="s">
        <v>790</v>
      </c>
      <c r="C526" t="s">
        <v>3276</v>
      </c>
      <c r="D526" t="s">
        <v>3275</v>
      </c>
      <c r="E526">
        <v>424000</v>
      </c>
      <c r="F526" t="s">
        <v>1</v>
      </c>
      <c r="G526" t="s">
        <v>2</v>
      </c>
      <c r="H526" t="s">
        <v>837</v>
      </c>
      <c r="P526" t="s">
        <v>2457</v>
      </c>
      <c r="Y526" t="s">
        <v>2964</v>
      </c>
    </row>
    <row r="527" spans="1:25" x14ac:dyDescent="0.25">
      <c r="A527" t="str">
        <f>"1048391909"</f>
        <v>1048391909</v>
      </c>
      <c r="B527" t="s">
        <v>1573</v>
      </c>
      <c r="C527" t="s">
        <v>3282</v>
      </c>
      <c r="D527" t="s">
        <v>3277</v>
      </c>
      <c r="E527">
        <v>424037</v>
      </c>
      <c r="F527" t="s">
        <v>1</v>
      </c>
      <c r="G527" t="s">
        <v>2</v>
      </c>
      <c r="H527" t="s">
        <v>3278</v>
      </c>
      <c r="I527" t="s">
        <v>3279</v>
      </c>
      <c r="L527" t="s">
        <v>3280</v>
      </c>
      <c r="M527" t="s">
        <v>3281</v>
      </c>
      <c r="P527" t="s">
        <v>216</v>
      </c>
      <c r="Y527" t="s">
        <v>3283</v>
      </c>
    </row>
    <row r="528" spans="1:25" x14ac:dyDescent="0.25">
      <c r="A528" t="str">
        <f>"1048399728"</f>
        <v>1048399728</v>
      </c>
      <c r="B528" t="s">
        <v>18</v>
      </c>
      <c r="C528" t="s">
        <v>3287</v>
      </c>
      <c r="D528" t="s">
        <v>3284</v>
      </c>
      <c r="E528">
        <v>424004</v>
      </c>
      <c r="F528" t="s">
        <v>1</v>
      </c>
      <c r="G528" t="s">
        <v>2</v>
      </c>
      <c r="H528" t="s">
        <v>3285</v>
      </c>
      <c r="J528" t="s">
        <v>3286</v>
      </c>
      <c r="P528" t="s">
        <v>280</v>
      </c>
      <c r="Y528" t="s">
        <v>3288</v>
      </c>
    </row>
    <row r="529" spans="1:25" x14ac:dyDescent="0.25">
      <c r="A529" t="str">
        <f>"1048596651"</f>
        <v>1048596651</v>
      </c>
      <c r="B529" t="s">
        <v>2062</v>
      </c>
      <c r="C529" t="s">
        <v>3293</v>
      </c>
      <c r="D529" t="s">
        <v>3289</v>
      </c>
      <c r="E529">
        <v>424004</v>
      </c>
      <c r="F529" t="s">
        <v>1</v>
      </c>
      <c r="G529" t="s">
        <v>2</v>
      </c>
      <c r="H529" t="s">
        <v>186</v>
      </c>
      <c r="I529" t="s">
        <v>3290</v>
      </c>
      <c r="L529" t="s">
        <v>3291</v>
      </c>
      <c r="M529" t="s">
        <v>3292</v>
      </c>
      <c r="P529" t="s">
        <v>2839</v>
      </c>
      <c r="Y529" t="s">
        <v>190</v>
      </c>
    </row>
    <row r="530" spans="1:25" x14ac:dyDescent="0.25">
      <c r="A530" t="str">
        <f>"1048781826"</f>
        <v>1048781826</v>
      </c>
      <c r="B530" t="s">
        <v>80</v>
      </c>
      <c r="C530" t="s">
        <v>3295</v>
      </c>
      <c r="D530" t="s">
        <v>3294</v>
      </c>
      <c r="E530">
        <v>424003</v>
      </c>
      <c r="F530" t="s">
        <v>1</v>
      </c>
      <c r="G530" t="s">
        <v>2</v>
      </c>
      <c r="H530" t="s">
        <v>1725</v>
      </c>
      <c r="Y530" t="s">
        <v>3296</v>
      </c>
    </row>
    <row r="531" spans="1:25" x14ac:dyDescent="0.25">
      <c r="A531" t="str">
        <f>"1048892770"</f>
        <v>1048892770</v>
      </c>
      <c r="B531" t="s">
        <v>1475</v>
      </c>
      <c r="C531" t="s">
        <v>1476</v>
      </c>
      <c r="D531" t="s">
        <v>3297</v>
      </c>
      <c r="E531">
        <v>424033</v>
      </c>
      <c r="F531" t="s">
        <v>1</v>
      </c>
      <c r="G531" t="s">
        <v>2</v>
      </c>
      <c r="H531" t="s">
        <v>2597</v>
      </c>
      <c r="Y531" t="s">
        <v>3298</v>
      </c>
    </row>
    <row r="532" spans="1:25" x14ac:dyDescent="0.25">
      <c r="A532" t="str">
        <f>"1048900621"</f>
        <v>1048900621</v>
      </c>
      <c r="B532" t="s">
        <v>290</v>
      </c>
      <c r="C532" t="s">
        <v>3303</v>
      </c>
      <c r="D532" t="s">
        <v>3299</v>
      </c>
      <c r="E532">
        <v>424003</v>
      </c>
      <c r="F532" t="s">
        <v>1</v>
      </c>
      <c r="G532" t="s">
        <v>2</v>
      </c>
      <c r="H532" t="s">
        <v>3300</v>
      </c>
      <c r="I532" t="s">
        <v>3301</v>
      </c>
      <c r="L532" t="s">
        <v>3302</v>
      </c>
      <c r="P532" t="s">
        <v>3304</v>
      </c>
      <c r="Q532" t="s">
        <v>3305</v>
      </c>
      <c r="Y532" t="s">
        <v>3306</v>
      </c>
    </row>
    <row r="533" spans="1:25" x14ac:dyDescent="0.25">
      <c r="A533" t="str">
        <f>"1048904694"</f>
        <v>1048904694</v>
      </c>
      <c r="B533" t="s">
        <v>397</v>
      </c>
      <c r="C533" t="s">
        <v>3312</v>
      </c>
      <c r="D533" t="s">
        <v>3307</v>
      </c>
      <c r="E533">
        <v>424003</v>
      </c>
      <c r="F533" t="s">
        <v>1</v>
      </c>
      <c r="G533" t="s">
        <v>2</v>
      </c>
      <c r="H533" t="s">
        <v>3308</v>
      </c>
      <c r="I533" t="s">
        <v>3309</v>
      </c>
      <c r="L533" t="s">
        <v>3310</v>
      </c>
      <c r="M533" t="s">
        <v>3311</v>
      </c>
      <c r="P533" t="s">
        <v>3313</v>
      </c>
      <c r="Y533" t="s">
        <v>3314</v>
      </c>
    </row>
    <row r="534" spans="1:25" x14ac:dyDescent="0.25">
      <c r="A534" t="str">
        <f>"1049021441"</f>
        <v>1049021441</v>
      </c>
      <c r="B534" t="s">
        <v>25</v>
      </c>
      <c r="C534" t="s">
        <v>1005</v>
      </c>
      <c r="D534" t="s">
        <v>3315</v>
      </c>
      <c r="E534">
        <v>424008</v>
      </c>
      <c r="F534" t="s">
        <v>1</v>
      </c>
      <c r="G534" t="s">
        <v>2</v>
      </c>
      <c r="H534" t="s">
        <v>1012</v>
      </c>
      <c r="I534" t="s">
        <v>3316</v>
      </c>
      <c r="P534" t="s">
        <v>280</v>
      </c>
      <c r="Y534" t="s">
        <v>1016</v>
      </c>
    </row>
    <row r="535" spans="1:25" x14ac:dyDescent="0.25">
      <c r="A535" t="str">
        <f>"1049094959"</f>
        <v>1049094959</v>
      </c>
      <c r="B535" t="s">
        <v>1611</v>
      </c>
      <c r="C535" t="s">
        <v>2214</v>
      </c>
      <c r="D535" t="s">
        <v>3317</v>
      </c>
      <c r="E535">
        <v>424028</v>
      </c>
      <c r="F535" t="s">
        <v>1</v>
      </c>
      <c r="G535" t="s">
        <v>2</v>
      </c>
      <c r="H535" t="s">
        <v>3318</v>
      </c>
      <c r="I535" t="s">
        <v>3319</v>
      </c>
      <c r="L535" t="s">
        <v>581</v>
      </c>
      <c r="M535" t="s">
        <v>3320</v>
      </c>
      <c r="P535" t="s">
        <v>3321</v>
      </c>
      <c r="T535" t="s">
        <v>3322</v>
      </c>
      <c r="Y535" t="s">
        <v>3323</v>
      </c>
    </row>
    <row r="536" spans="1:25" x14ac:dyDescent="0.25">
      <c r="A536" t="str">
        <f>"1049140195"</f>
        <v>1049140195</v>
      </c>
      <c r="B536" t="s">
        <v>243</v>
      </c>
      <c r="C536" t="s">
        <v>2538</v>
      </c>
      <c r="D536" t="s">
        <v>3324</v>
      </c>
      <c r="F536" t="s">
        <v>1</v>
      </c>
      <c r="G536" t="s">
        <v>2</v>
      </c>
      <c r="H536" t="s">
        <v>1359</v>
      </c>
      <c r="I536" t="s">
        <v>3325</v>
      </c>
      <c r="P536" t="s">
        <v>152</v>
      </c>
      <c r="Y536" t="s">
        <v>1364</v>
      </c>
    </row>
    <row r="537" spans="1:25" x14ac:dyDescent="0.25">
      <c r="A537" t="str">
        <f>"1049246064"</f>
        <v>1049246064</v>
      </c>
      <c r="B537" t="s">
        <v>328</v>
      </c>
      <c r="C537" t="s">
        <v>1920</v>
      </c>
      <c r="D537" t="s">
        <v>3326</v>
      </c>
      <c r="E537">
        <v>424020</v>
      </c>
      <c r="F537" t="s">
        <v>1</v>
      </c>
      <c r="G537" t="s">
        <v>2</v>
      </c>
      <c r="H537" t="s">
        <v>3327</v>
      </c>
      <c r="Y537" t="s">
        <v>3328</v>
      </c>
    </row>
    <row r="538" spans="1:25" x14ac:dyDescent="0.25">
      <c r="A538" t="str">
        <f>"1049369265"</f>
        <v>1049369265</v>
      </c>
      <c r="B538" t="s">
        <v>574</v>
      </c>
      <c r="C538" t="s">
        <v>3332</v>
      </c>
      <c r="D538" t="s">
        <v>3329</v>
      </c>
      <c r="E538">
        <v>424006</v>
      </c>
      <c r="F538" t="s">
        <v>1</v>
      </c>
      <c r="G538" t="s">
        <v>2</v>
      </c>
      <c r="H538" t="s">
        <v>3330</v>
      </c>
      <c r="I538" t="s">
        <v>3331</v>
      </c>
      <c r="P538" t="s">
        <v>3333</v>
      </c>
      <c r="Y538" t="s">
        <v>3334</v>
      </c>
    </row>
    <row r="539" spans="1:25" x14ac:dyDescent="0.25">
      <c r="A539" t="str">
        <f>"1049435357"</f>
        <v>1049435357</v>
      </c>
      <c r="B539" t="s">
        <v>25</v>
      </c>
      <c r="C539" t="s">
        <v>1005</v>
      </c>
      <c r="D539" t="s">
        <v>3335</v>
      </c>
      <c r="E539">
        <v>424007</v>
      </c>
      <c r="F539" t="s">
        <v>1</v>
      </c>
      <c r="G539" t="s">
        <v>2</v>
      </c>
      <c r="H539" t="s">
        <v>3336</v>
      </c>
      <c r="I539" t="s">
        <v>3337</v>
      </c>
      <c r="P539" t="s">
        <v>20</v>
      </c>
      <c r="Y539" t="s">
        <v>3338</v>
      </c>
    </row>
    <row r="540" spans="1:25" x14ac:dyDescent="0.25">
      <c r="A540" t="str">
        <f>"1049613213"</f>
        <v>1049613213</v>
      </c>
      <c r="B540" t="s">
        <v>1046</v>
      </c>
      <c r="C540" t="s">
        <v>3341</v>
      </c>
      <c r="D540" t="s">
        <v>3339</v>
      </c>
      <c r="E540">
        <v>424002</v>
      </c>
      <c r="F540" t="s">
        <v>1</v>
      </c>
      <c r="G540" t="s">
        <v>2</v>
      </c>
      <c r="H540" t="s">
        <v>662</v>
      </c>
      <c r="I540" t="s">
        <v>3340</v>
      </c>
      <c r="P540" t="s">
        <v>280</v>
      </c>
      <c r="Y540" t="s">
        <v>3342</v>
      </c>
    </row>
    <row r="541" spans="1:25" x14ac:dyDescent="0.25">
      <c r="A541" t="str">
        <f>"1049638142"</f>
        <v>1049638142</v>
      </c>
      <c r="B541" t="s">
        <v>18</v>
      </c>
      <c r="C541" t="s">
        <v>3349</v>
      </c>
      <c r="D541" t="s">
        <v>3343</v>
      </c>
      <c r="E541">
        <v>424016</v>
      </c>
      <c r="F541" t="s">
        <v>1</v>
      </c>
      <c r="G541" t="s">
        <v>2</v>
      </c>
      <c r="H541" t="s">
        <v>3344</v>
      </c>
      <c r="I541" t="s">
        <v>3345</v>
      </c>
      <c r="J541" t="s">
        <v>3346</v>
      </c>
      <c r="L541" t="s">
        <v>3347</v>
      </c>
      <c r="M541" t="s">
        <v>3348</v>
      </c>
      <c r="P541" t="s">
        <v>280</v>
      </c>
      <c r="Y541" t="s">
        <v>3350</v>
      </c>
    </row>
    <row r="542" spans="1:25" x14ac:dyDescent="0.25">
      <c r="A542" t="str">
        <f>"1049705192"</f>
        <v>1049705192</v>
      </c>
      <c r="B542" t="s">
        <v>1299</v>
      </c>
      <c r="C542" t="s">
        <v>1300</v>
      </c>
      <c r="D542" t="s">
        <v>3351</v>
      </c>
      <c r="E542">
        <v>424006</v>
      </c>
      <c r="F542" t="s">
        <v>1</v>
      </c>
      <c r="G542" t="s">
        <v>2</v>
      </c>
      <c r="H542" t="s">
        <v>2775</v>
      </c>
      <c r="I542" t="s">
        <v>3352</v>
      </c>
      <c r="Y542" t="s">
        <v>2779</v>
      </c>
    </row>
    <row r="543" spans="1:25" x14ac:dyDescent="0.25">
      <c r="A543" t="str">
        <f>"1049833689"</f>
        <v>1049833689</v>
      </c>
      <c r="B543" t="s">
        <v>397</v>
      </c>
      <c r="C543" t="s">
        <v>3356</v>
      </c>
      <c r="D543" t="s">
        <v>3353</v>
      </c>
      <c r="E543">
        <v>424028</v>
      </c>
      <c r="F543" t="s">
        <v>1</v>
      </c>
      <c r="G543" t="s">
        <v>2</v>
      </c>
      <c r="H543" t="s">
        <v>3354</v>
      </c>
      <c r="I543" t="s">
        <v>3355</v>
      </c>
      <c r="P543" t="s">
        <v>27</v>
      </c>
      <c r="Y543" t="s">
        <v>3357</v>
      </c>
    </row>
    <row r="544" spans="1:25" x14ac:dyDescent="0.25">
      <c r="A544" t="str">
        <f>"1049983564"</f>
        <v>1049983564</v>
      </c>
      <c r="B544" t="s">
        <v>574</v>
      </c>
      <c r="C544" t="s">
        <v>646</v>
      </c>
      <c r="D544" t="s">
        <v>3358</v>
      </c>
      <c r="E544">
        <v>424028</v>
      </c>
      <c r="F544" t="s">
        <v>1</v>
      </c>
      <c r="G544" t="s">
        <v>2</v>
      </c>
      <c r="H544" t="s">
        <v>3359</v>
      </c>
      <c r="Y544" t="s">
        <v>3360</v>
      </c>
    </row>
    <row r="545" spans="1:25" x14ac:dyDescent="0.25">
      <c r="A545" t="str">
        <f>"1050110283"</f>
        <v>1050110283</v>
      </c>
      <c r="B545" t="s">
        <v>738</v>
      </c>
      <c r="C545" t="s">
        <v>3363</v>
      </c>
      <c r="D545" t="s">
        <v>3361</v>
      </c>
      <c r="E545">
        <v>424004</v>
      </c>
      <c r="F545" t="s">
        <v>1</v>
      </c>
      <c r="G545" t="s">
        <v>2</v>
      </c>
      <c r="H545" t="s">
        <v>1932</v>
      </c>
      <c r="I545" t="s">
        <v>3362</v>
      </c>
      <c r="P545" t="s">
        <v>816</v>
      </c>
      <c r="Y545" t="s">
        <v>3364</v>
      </c>
    </row>
    <row r="546" spans="1:25" x14ac:dyDescent="0.25">
      <c r="A546" t="str">
        <f>"1050154253"</f>
        <v>1050154253</v>
      </c>
      <c r="B546" t="s">
        <v>110</v>
      </c>
      <c r="C546" t="s">
        <v>3370</v>
      </c>
      <c r="D546" t="s">
        <v>3365</v>
      </c>
      <c r="E546">
        <v>424006</v>
      </c>
      <c r="F546" t="s">
        <v>1</v>
      </c>
      <c r="G546" t="s">
        <v>2</v>
      </c>
      <c r="H546" t="s">
        <v>3366</v>
      </c>
      <c r="I546" t="s">
        <v>3367</v>
      </c>
      <c r="L546" t="s">
        <v>3368</v>
      </c>
      <c r="M546" t="s">
        <v>3369</v>
      </c>
      <c r="P546" t="s">
        <v>1721</v>
      </c>
      <c r="Q546" t="s">
        <v>3371</v>
      </c>
      <c r="Y546" t="s">
        <v>3372</v>
      </c>
    </row>
    <row r="547" spans="1:25" x14ac:dyDescent="0.25">
      <c r="A547" t="str">
        <f>"1050285623"</f>
        <v>1050285623</v>
      </c>
      <c r="B547" t="s">
        <v>1152</v>
      </c>
      <c r="C547" t="s">
        <v>3378</v>
      </c>
      <c r="D547" t="s">
        <v>3373</v>
      </c>
      <c r="E547">
        <v>424006</v>
      </c>
      <c r="F547" t="s">
        <v>1</v>
      </c>
      <c r="G547" t="s">
        <v>2</v>
      </c>
      <c r="H547" t="s">
        <v>3374</v>
      </c>
      <c r="I547" t="s">
        <v>3375</v>
      </c>
      <c r="J547" t="s">
        <v>3376</v>
      </c>
      <c r="L547" t="s">
        <v>3377</v>
      </c>
      <c r="P547" t="s">
        <v>3379</v>
      </c>
      <c r="Q547" t="s">
        <v>3380</v>
      </c>
      <c r="V547" t="s">
        <v>3381</v>
      </c>
      <c r="Y547" t="s">
        <v>3382</v>
      </c>
    </row>
    <row r="548" spans="1:25" x14ac:dyDescent="0.25">
      <c r="A548" t="str">
        <f>"1050338389"</f>
        <v>1050338389</v>
      </c>
      <c r="B548" t="s">
        <v>18</v>
      </c>
      <c r="C548" t="s">
        <v>3386</v>
      </c>
      <c r="D548" t="s">
        <v>3383</v>
      </c>
      <c r="F548" t="s">
        <v>1</v>
      </c>
      <c r="G548" t="s">
        <v>2</v>
      </c>
      <c r="H548" t="s">
        <v>3384</v>
      </c>
      <c r="I548" t="s">
        <v>3385</v>
      </c>
      <c r="P548" t="s">
        <v>390</v>
      </c>
      <c r="Y548" t="s">
        <v>3387</v>
      </c>
    </row>
    <row r="549" spans="1:25" x14ac:dyDescent="0.25">
      <c r="A549" t="str">
        <f>"1050445784"</f>
        <v>1050445784</v>
      </c>
      <c r="B549" t="s">
        <v>574</v>
      </c>
      <c r="C549" t="s">
        <v>646</v>
      </c>
      <c r="D549" t="s">
        <v>3388</v>
      </c>
      <c r="E549">
        <v>424016</v>
      </c>
      <c r="F549" t="s">
        <v>1</v>
      </c>
      <c r="G549" t="s">
        <v>2</v>
      </c>
      <c r="H549" t="s">
        <v>1907</v>
      </c>
      <c r="Y549" t="s">
        <v>1908</v>
      </c>
    </row>
    <row r="550" spans="1:25" x14ac:dyDescent="0.25">
      <c r="A550" t="str">
        <f>"1050497378"</f>
        <v>1050497378</v>
      </c>
      <c r="B550" t="s">
        <v>624</v>
      </c>
      <c r="C550" t="s">
        <v>3392</v>
      </c>
      <c r="D550" t="s">
        <v>1340</v>
      </c>
      <c r="E550">
        <v>424006</v>
      </c>
      <c r="F550" t="s">
        <v>1</v>
      </c>
      <c r="G550" t="s">
        <v>2</v>
      </c>
      <c r="H550" t="s">
        <v>3389</v>
      </c>
      <c r="I550" t="s">
        <v>3390</v>
      </c>
      <c r="M550" t="s">
        <v>3391</v>
      </c>
      <c r="P550" t="s">
        <v>3393</v>
      </c>
      <c r="Y550" t="s">
        <v>3394</v>
      </c>
    </row>
    <row r="551" spans="1:25" x14ac:dyDescent="0.25">
      <c r="A551" t="str">
        <f>"1050603176"</f>
        <v>1050603176</v>
      </c>
      <c r="B551" t="s">
        <v>1078</v>
      </c>
      <c r="C551" t="s">
        <v>3401</v>
      </c>
      <c r="D551" t="s">
        <v>3395</v>
      </c>
      <c r="E551">
        <v>424016</v>
      </c>
      <c r="F551" t="s">
        <v>1</v>
      </c>
      <c r="G551" t="s">
        <v>2</v>
      </c>
      <c r="H551" t="s">
        <v>3396</v>
      </c>
      <c r="I551" t="s">
        <v>3397</v>
      </c>
      <c r="J551" t="s">
        <v>3398</v>
      </c>
      <c r="L551" t="s">
        <v>3399</v>
      </c>
      <c r="M551" t="s">
        <v>3400</v>
      </c>
      <c r="P551" t="s">
        <v>3402</v>
      </c>
      <c r="V551" t="s">
        <v>3403</v>
      </c>
      <c r="Y551" t="s">
        <v>3404</v>
      </c>
    </row>
    <row r="552" spans="1:25" x14ac:dyDescent="0.25">
      <c r="A552" t="str">
        <f>"1050679301"</f>
        <v>1050679301</v>
      </c>
      <c r="B552" t="s">
        <v>123</v>
      </c>
      <c r="C552" t="s">
        <v>424</v>
      </c>
      <c r="D552" t="s">
        <v>3405</v>
      </c>
      <c r="E552">
        <v>424006</v>
      </c>
      <c r="F552" t="s">
        <v>1</v>
      </c>
      <c r="G552" t="s">
        <v>2</v>
      </c>
      <c r="H552" t="s">
        <v>3406</v>
      </c>
      <c r="I552" t="s">
        <v>3407</v>
      </c>
      <c r="L552" t="s">
        <v>3408</v>
      </c>
      <c r="M552" t="s">
        <v>3409</v>
      </c>
      <c r="P552" t="s">
        <v>425</v>
      </c>
      <c r="Y552" t="s">
        <v>3410</v>
      </c>
    </row>
    <row r="553" spans="1:25" x14ac:dyDescent="0.25">
      <c r="A553" t="str">
        <f>"1050969441"</f>
        <v>1050969441</v>
      </c>
      <c r="B553" t="s">
        <v>930</v>
      </c>
      <c r="C553" t="s">
        <v>3416</v>
      </c>
      <c r="D553" t="s">
        <v>3411</v>
      </c>
      <c r="E553">
        <v>424031</v>
      </c>
      <c r="F553" t="s">
        <v>1</v>
      </c>
      <c r="G553" t="s">
        <v>2</v>
      </c>
      <c r="H553" t="s">
        <v>3412</v>
      </c>
      <c r="I553" t="s">
        <v>3413</v>
      </c>
      <c r="J553" t="s">
        <v>3414</v>
      </c>
      <c r="M553" t="s">
        <v>3415</v>
      </c>
      <c r="P553" t="s">
        <v>2580</v>
      </c>
      <c r="Q553" t="s">
        <v>3417</v>
      </c>
      <c r="V553" t="s">
        <v>3418</v>
      </c>
      <c r="Y553" t="s">
        <v>3419</v>
      </c>
    </row>
    <row r="554" spans="1:25" x14ac:dyDescent="0.25">
      <c r="A554" t="str">
        <f>"1051213374"</f>
        <v>1051213374</v>
      </c>
      <c r="B554" t="s">
        <v>18</v>
      </c>
      <c r="C554" t="s">
        <v>3424</v>
      </c>
      <c r="D554" t="s">
        <v>3420</v>
      </c>
      <c r="E554">
        <v>424000</v>
      </c>
      <c r="F554" t="s">
        <v>1</v>
      </c>
      <c r="G554" t="s">
        <v>2</v>
      </c>
      <c r="H554" t="s">
        <v>3421</v>
      </c>
      <c r="I554" t="s">
        <v>3422</v>
      </c>
      <c r="K554" t="s">
        <v>3423</v>
      </c>
      <c r="P554" t="s">
        <v>1420</v>
      </c>
      <c r="Y554" t="s">
        <v>3425</v>
      </c>
    </row>
    <row r="555" spans="1:25" x14ac:dyDescent="0.25">
      <c r="A555" t="str">
        <f>"1051330228"</f>
        <v>1051330228</v>
      </c>
      <c r="B555" t="s">
        <v>574</v>
      </c>
      <c r="C555" t="s">
        <v>646</v>
      </c>
      <c r="D555" t="s">
        <v>3426</v>
      </c>
      <c r="E555">
        <v>424002</v>
      </c>
      <c r="F555" t="s">
        <v>1</v>
      </c>
      <c r="G555" t="s">
        <v>2</v>
      </c>
      <c r="H555" t="s">
        <v>2664</v>
      </c>
      <c r="I555" t="s">
        <v>3427</v>
      </c>
      <c r="P555" t="s">
        <v>60</v>
      </c>
      <c r="Y555" t="s">
        <v>3428</v>
      </c>
    </row>
    <row r="556" spans="1:25" x14ac:dyDescent="0.25">
      <c r="A556" t="str">
        <f>"1051453798"</f>
        <v>1051453798</v>
      </c>
      <c r="B556" t="s">
        <v>18</v>
      </c>
      <c r="C556" t="s">
        <v>3433</v>
      </c>
      <c r="D556" t="s">
        <v>3429</v>
      </c>
      <c r="F556" t="s">
        <v>1</v>
      </c>
      <c r="G556" t="s">
        <v>2</v>
      </c>
      <c r="H556" t="s">
        <v>3430</v>
      </c>
      <c r="I556" t="s">
        <v>3431</v>
      </c>
      <c r="K556" t="s">
        <v>3432</v>
      </c>
      <c r="P556" t="s">
        <v>280</v>
      </c>
      <c r="Y556" t="s">
        <v>3434</v>
      </c>
    </row>
    <row r="557" spans="1:25" x14ac:dyDescent="0.25">
      <c r="A557" t="str">
        <f>"1051559885"</f>
        <v>1051559885</v>
      </c>
      <c r="B557" t="s">
        <v>110</v>
      </c>
      <c r="C557" t="s">
        <v>784</v>
      </c>
      <c r="D557" t="s">
        <v>3435</v>
      </c>
      <c r="E557">
        <v>424006</v>
      </c>
      <c r="F557" t="s">
        <v>1</v>
      </c>
      <c r="G557" t="s">
        <v>2</v>
      </c>
      <c r="H557" t="s">
        <v>3436</v>
      </c>
      <c r="I557" t="s">
        <v>3437</v>
      </c>
      <c r="L557" t="s">
        <v>3438</v>
      </c>
      <c r="M557" t="s">
        <v>3439</v>
      </c>
      <c r="P557" t="s">
        <v>2731</v>
      </c>
      <c r="Q557" t="s">
        <v>3440</v>
      </c>
      <c r="T557" t="s">
        <v>3441</v>
      </c>
      <c r="Y557" t="s">
        <v>3442</v>
      </c>
    </row>
    <row r="558" spans="1:25" x14ac:dyDescent="0.25">
      <c r="A558" t="str">
        <f>"1051611328"</f>
        <v>1051611328</v>
      </c>
      <c r="B558" t="s">
        <v>284</v>
      </c>
      <c r="C558" t="s">
        <v>3445</v>
      </c>
      <c r="D558" t="s">
        <v>3443</v>
      </c>
      <c r="E558">
        <v>424007</v>
      </c>
      <c r="F558" t="s">
        <v>1</v>
      </c>
      <c r="G558" t="s">
        <v>2</v>
      </c>
      <c r="H558" t="s">
        <v>3444</v>
      </c>
      <c r="Y558" t="s">
        <v>3446</v>
      </c>
    </row>
    <row r="559" spans="1:25" x14ac:dyDescent="0.25">
      <c r="A559" t="str">
        <f>"1051773829"</f>
        <v>1051773829</v>
      </c>
      <c r="B559" t="s">
        <v>123</v>
      </c>
      <c r="C559" t="s">
        <v>424</v>
      </c>
      <c r="D559" t="s">
        <v>3447</v>
      </c>
      <c r="F559" t="s">
        <v>1</v>
      </c>
      <c r="G559" t="s">
        <v>2</v>
      </c>
      <c r="H559" t="s">
        <v>3448</v>
      </c>
      <c r="I559" t="s">
        <v>3449</v>
      </c>
      <c r="L559" t="s">
        <v>3450</v>
      </c>
      <c r="M559" t="s">
        <v>3451</v>
      </c>
      <c r="P559" t="s">
        <v>425</v>
      </c>
      <c r="Y559" t="s">
        <v>3452</v>
      </c>
    </row>
    <row r="560" spans="1:25" x14ac:dyDescent="0.25">
      <c r="A560" t="str">
        <f>"1051799193"</f>
        <v>1051799193</v>
      </c>
      <c r="B560" t="s">
        <v>18</v>
      </c>
      <c r="C560" t="s">
        <v>2078</v>
      </c>
      <c r="D560" t="s">
        <v>3453</v>
      </c>
      <c r="E560">
        <v>424000</v>
      </c>
      <c r="F560" t="s">
        <v>1</v>
      </c>
      <c r="G560" t="s">
        <v>2</v>
      </c>
      <c r="H560" t="s">
        <v>3454</v>
      </c>
      <c r="I560" t="s">
        <v>3455</v>
      </c>
      <c r="P560" t="s">
        <v>3456</v>
      </c>
      <c r="Y560" t="s">
        <v>3457</v>
      </c>
    </row>
    <row r="561" spans="1:25" x14ac:dyDescent="0.25">
      <c r="A561" t="str">
        <f>"1051892884"</f>
        <v>1051892884</v>
      </c>
      <c r="B561" t="s">
        <v>32</v>
      </c>
      <c r="C561" t="s">
        <v>2996</v>
      </c>
      <c r="D561" t="s">
        <v>3458</v>
      </c>
      <c r="E561">
        <v>424003</v>
      </c>
      <c r="F561" t="s">
        <v>1</v>
      </c>
      <c r="G561" t="s">
        <v>2</v>
      </c>
      <c r="H561" t="s">
        <v>3459</v>
      </c>
      <c r="I561" t="s">
        <v>3460</v>
      </c>
      <c r="L561" t="s">
        <v>3461</v>
      </c>
      <c r="M561" t="s">
        <v>3462</v>
      </c>
      <c r="P561" t="s">
        <v>216</v>
      </c>
      <c r="Y561" t="s">
        <v>3463</v>
      </c>
    </row>
    <row r="562" spans="1:25" x14ac:dyDescent="0.25">
      <c r="A562" t="str">
        <f>"1052118157"</f>
        <v>1052118157</v>
      </c>
      <c r="B562" t="s">
        <v>3467</v>
      </c>
      <c r="C562" t="s">
        <v>3468</v>
      </c>
      <c r="D562" t="s">
        <v>3464</v>
      </c>
      <c r="E562">
        <v>424000</v>
      </c>
      <c r="F562" t="s">
        <v>1</v>
      </c>
      <c r="G562" t="s">
        <v>2</v>
      </c>
      <c r="H562" t="s">
        <v>3465</v>
      </c>
      <c r="I562" t="s">
        <v>3466</v>
      </c>
      <c r="P562" t="s">
        <v>2839</v>
      </c>
      <c r="Y562" t="s">
        <v>3469</v>
      </c>
    </row>
    <row r="563" spans="1:25" x14ac:dyDescent="0.25">
      <c r="A563" t="str">
        <f>"1052183023"</f>
        <v>1052183023</v>
      </c>
      <c r="B563" t="s">
        <v>32</v>
      </c>
      <c r="C563" t="s">
        <v>182</v>
      </c>
      <c r="D563" t="s">
        <v>3470</v>
      </c>
      <c r="E563">
        <v>424000</v>
      </c>
      <c r="F563" t="s">
        <v>1</v>
      </c>
      <c r="G563" t="s">
        <v>2</v>
      </c>
      <c r="H563" t="s">
        <v>3471</v>
      </c>
      <c r="I563" t="s">
        <v>3472</v>
      </c>
      <c r="P563" t="s">
        <v>3473</v>
      </c>
      <c r="Y563" t="s">
        <v>3474</v>
      </c>
    </row>
    <row r="564" spans="1:25" x14ac:dyDescent="0.25">
      <c r="A564" t="str">
        <f>"1052222035"</f>
        <v>1052222035</v>
      </c>
      <c r="B564" t="s">
        <v>243</v>
      </c>
      <c r="C564" t="s">
        <v>244</v>
      </c>
      <c r="D564" t="s">
        <v>3475</v>
      </c>
      <c r="E564">
        <v>424007</v>
      </c>
      <c r="F564" t="s">
        <v>1</v>
      </c>
      <c r="G564" t="s">
        <v>2</v>
      </c>
      <c r="H564" t="s">
        <v>3476</v>
      </c>
      <c r="I564" t="s">
        <v>3477</v>
      </c>
      <c r="J564" t="s">
        <v>3478</v>
      </c>
      <c r="L564" t="s">
        <v>3479</v>
      </c>
      <c r="M564" t="s">
        <v>3480</v>
      </c>
      <c r="P564" t="s">
        <v>280</v>
      </c>
      <c r="Y564" t="s">
        <v>3481</v>
      </c>
    </row>
    <row r="565" spans="1:25" x14ac:dyDescent="0.25">
      <c r="A565" t="str">
        <f>"1052254008"</f>
        <v>1052254008</v>
      </c>
      <c r="B565" t="s">
        <v>1493</v>
      </c>
      <c r="C565" t="s">
        <v>3486</v>
      </c>
      <c r="D565" t="s">
        <v>3482</v>
      </c>
      <c r="E565">
        <v>424000</v>
      </c>
      <c r="F565" t="s">
        <v>1</v>
      </c>
      <c r="G565" t="s">
        <v>2</v>
      </c>
      <c r="H565" t="s">
        <v>3483</v>
      </c>
      <c r="I565" t="s">
        <v>3484</v>
      </c>
      <c r="M565" t="s">
        <v>3485</v>
      </c>
      <c r="P565" t="s">
        <v>27</v>
      </c>
      <c r="Y565" t="s">
        <v>3487</v>
      </c>
    </row>
    <row r="566" spans="1:25" x14ac:dyDescent="0.25">
      <c r="A566" t="str">
        <f>"1052349064"</f>
        <v>1052349064</v>
      </c>
      <c r="B566" t="s">
        <v>687</v>
      </c>
      <c r="C566" t="s">
        <v>3491</v>
      </c>
      <c r="D566" t="s">
        <v>3488</v>
      </c>
      <c r="E566">
        <v>424004</v>
      </c>
      <c r="F566" t="s">
        <v>1</v>
      </c>
      <c r="G566" t="s">
        <v>2</v>
      </c>
      <c r="H566" t="s">
        <v>3489</v>
      </c>
      <c r="I566" t="s">
        <v>3490</v>
      </c>
      <c r="P566" t="s">
        <v>584</v>
      </c>
      <c r="Y566" t="s">
        <v>3492</v>
      </c>
    </row>
    <row r="567" spans="1:25" x14ac:dyDescent="0.25">
      <c r="A567" t="str">
        <f>"1052461319"</f>
        <v>1052461319</v>
      </c>
      <c r="B567" t="s">
        <v>1046</v>
      </c>
      <c r="C567" t="s">
        <v>3497</v>
      </c>
      <c r="D567" t="s">
        <v>3493</v>
      </c>
      <c r="F567" t="s">
        <v>1</v>
      </c>
      <c r="G567" t="s">
        <v>2</v>
      </c>
      <c r="H567" t="s">
        <v>3494</v>
      </c>
      <c r="I567" t="s">
        <v>3495</v>
      </c>
      <c r="J567" t="s">
        <v>3496</v>
      </c>
      <c r="P567" t="s">
        <v>330</v>
      </c>
      <c r="Y567" t="s">
        <v>3498</v>
      </c>
    </row>
    <row r="568" spans="1:25" x14ac:dyDescent="0.25">
      <c r="A568" t="str">
        <f>"1052535016"</f>
        <v>1052535016</v>
      </c>
      <c r="B568" t="s">
        <v>1262</v>
      </c>
      <c r="C568" t="s">
        <v>3501</v>
      </c>
      <c r="D568" t="s">
        <v>3499</v>
      </c>
      <c r="F568" t="s">
        <v>1</v>
      </c>
      <c r="G568" t="s">
        <v>2</v>
      </c>
      <c r="H568" t="s">
        <v>3500</v>
      </c>
      <c r="Y568" t="s">
        <v>3502</v>
      </c>
    </row>
    <row r="569" spans="1:25" x14ac:dyDescent="0.25">
      <c r="A569" t="str">
        <f>"1052562727"</f>
        <v>1052562727</v>
      </c>
      <c r="B569" t="s">
        <v>1299</v>
      </c>
      <c r="C569" t="s">
        <v>1504</v>
      </c>
      <c r="D569" t="s">
        <v>3503</v>
      </c>
      <c r="E569">
        <v>424002</v>
      </c>
      <c r="F569" t="s">
        <v>1</v>
      </c>
      <c r="G569" t="s">
        <v>2</v>
      </c>
      <c r="H569" t="s">
        <v>3504</v>
      </c>
      <c r="I569" t="s">
        <v>3505</v>
      </c>
      <c r="Y569" t="s">
        <v>3506</v>
      </c>
    </row>
    <row r="570" spans="1:25" x14ac:dyDescent="0.25">
      <c r="A570" t="str">
        <f>"1052596738"</f>
        <v>1052596738</v>
      </c>
      <c r="B570" t="s">
        <v>1343</v>
      </c>
      <c r="C570" t="s">
        <v>3513</v>
      </c>
      <c r="D570" t="s">
        <v>3507</v>
      </c>
      <c r="E570">
        <v>424032</v>
      </c>
      <c r="F570" t="s">
        <v>1</v>
      </c>
      <c r="G570" t="s">
        <v>2</v>
      </c>
      <c r="H570" t="s">
        <v>3508</v>
      </c>
      <c r="I570" t="s">
        <v>3509</v>
      </c>
      <c r="J570" t="s">
        <v>3510</v>
      </c>
      <c r="L570" t="s">
        <v>3511</v>
      </c>
      <c r="M570" t="s">
        <v>3512</v>
      </c>
      <c r="P570" t="s">
        <v>584</v>
      </c>
      <c r="Y570" t="s">
        <v>3514</v>
      </c>
    </row>
    <row r="571" spans="1:25" x14ac:dyDescent="0.25">
      <c r="A571" t="str">
        <f>"1053103377"</f>
        <v>1053103377</v>
      </c>
      <c r="B571" t="s">
        <v>703</v>
      </c>
      <c r="C571" t="s">
        <v>3518</v>
      </c>
      <c r="D571" t="s">
        <v>3515</v>
      </c>
      <c r="E571">
        <v>424039</v>
      </c>
      <c r="F571" t="s">
        <v>1</v>
      </c>
      <c r="G571" t="s">
        <v>2</v>
      </c>
      <c r="H571" t="s">
        <v>3516</v>
      </c>
      <c r="I571" t="s">
        <v>3517</v>
      </c>
      <c r="Y571" t="s">
        <v>3519</v>
      </c>
    </row>
    <row r="572" spans="1:25" x14ac:dyDescent="0.25">
      <c r="A572" t="str">
        <f>"1053131977"</f>
        <v>1053131977</v>
      </c>
      <c r="B572" t="s">
        <v>2055</v>
      </c>
      <c r="C572" t="s">
        <v>3522</v>
      </c>
      <c r="D572" t="s">
        <v>3520</v>
      </c>
      <c r="E572">
        <v>424006</v>
      </c>
      <c r="F572" t="s">
        <v>1</v>
      </c>
      <c r="G572" t="s">
        <v>2</v>
      </c>
      <c r="H572" t="s">
        <v>3521</v>
      </c>
      <c r="P572" t="s">
        <v>340</v>
      </c>
      <c r="Y572" t="s">
        <v>3523</v>
      </c>
    </row>
    <row r="573" spans="1:25" x14ac:dyDescent="0.25">
      <c r="A573" t="str">
        <f>"1053230104"</f>
        <v>1053230104</v>
      </c>
      <c r="B573" t="s">
        <v>2790</v>
      </c>
      <c r="C573" t="s">
        <v>3528</v>
      </c>
      <c r="D573" t="s">
        <v>3524</v>
      </c>
      <c r="E573">
        <v>424031</v>
      </c>
      <c r="F573" t="s">
        <v>1</v>
      </c>
      <c r="G573" t="s">
        <v>2</v>
      </c>
      <c r="H573" t="s">
        <v>3525</v>
      </c>
      <c r="J573" t="s">
        <v>3526</v>
      </c>
      <c r="L573" t="s">
        <v>3527</v>
      </c>
      <c r="P573" t="s">
        <v>2513</v>
      </c>
      <c r="Q573" t="s">
        <v>3529</v>
      </c>
      <c r="Y573" t="s">
        <v>3530</v>
      </c>
    </row>
    <row r="574" spans="1:25" x14ac:dyDescent="0.25">
      <c r="A574" t="str">
        <f>"1053293911"</f>
        <v>1053293911</v>
      </c>
      <c r="B574" t="s">
        <v>640</v>
      </c>
      <c r="C574" t="s">
        <v>641</v>
      </c>
      <c r="D574" t="s">
        <v>3531</v>
      </c>
      <c r="E574">
        <v>424000</v>
      </c>
      <c r="F574" t="s">
        <v>1</v>
      </c>
      <c r="G574" t="s">
        <v>2</v>
      </c>
      <c r="H574" t="s">
        <v>3532</v>
      </c>
      <c r="I574" t="s">
        <v>3533</v>
      </c>
      <c r="P574" t="s">
        <v>941</v>
      </c>
      <c r="Y574" t="s">
        <v>3534</v>
      </c>
    </row>
    <row r="575" spans="1:25" x14ac:dyDescent="0.25">
      <c r="A575" t="str">
        <f>"1053610884"</f>
        <v>1053610884</v>
      </c>
      <c r="B575" t="s">
        <v>930</v>
      </c>
      <c r="C575" t="s">
        <v>1096</v>
      </c>
      <c r="D575" t="s">
        <v>3535</v>
      </c>
      <c r="F575" t="s">
        <v>1</v>
      </c>
      <c r="G575" t="s">
        <v>2</v>
      </c>
      <c r="H575" t="s">
        <v>3536</v>
      </c>
      <c r="Y575" t="s">
        <v>3537</v>
      </c>
    </row>
    <row r="576" spans="1:25" x14ac:dyDescent="0.25">
      <c r="A576" t="str">
        <f>"1053682547"</f>
        <v>1053682547</v>
      </c>
      <c r="B576" t="s">
        <v>3544</v>
      </c>
      <c r="C576" t="s">
        <v>3545</v>
      </c>
      <c r="D576" t="s">
        <v>3538</v>
      </c>
      <c r="E576">
        <v>424918</v>
      </c>
      <c r="F576" t="s">
        <v>1</v>
      </c>
      <c r="G576" t="s">
        <v>2</v>
      </c>
      <c r="H576" t="s">
        <v>3539</v>
      </c>
      <c r="I576" t="s">
        <v>3540</v>
      </c>
      <c r="J576" t="s">
        <v>3541</v>
      </c>
      <c r="L576" t="s">
        <v>3542</v>
      </c>
      <c r="M576" t="s">
        <v>3543</v>
      </c>
      <c r="P576" t="s">
        <v>133</v>
      </c>
      <c r="Y576" t="s">
        <v>3546</v>
      </c>
    </row>
    <row r="577" spans="1:25" x14ac:dyDescent="0.25">
      <c r="A577" t="str">
        <f>"1053806184"</f>
        <v>1053806184</v>
      </c>
      <c r="B577" t="s">
        <v>456</v>
      </c>
      <c r="C577" t="s">
        <v>3549</v>
      </c>
      <c r="D577" t="s">
        <v>3547</v>
      </c>
      <c r="F577" t="s">
        <v>1</v>
      </c>
      <c r="G577" t="s">
        <v>2</v>
      </c>
      <c r="H577" t="s">
        <v>1600</v>
      </c>
      <c r="I577" t="s">
        <v>3548</v>
      </c>
      <c r="P577" t="s">
        <v>280</v>
      </c>
      <c r="Y577" t="s">
        <v>2417</v>
      </c>
    </row>
    <row r="578" spans="1:25" x14ac:dyDescent="0.25">
      <c r="A578" t="str">
        <f>"1053882814"</f>
        <v>1053882814</v>
      </c>
      <c r="B578" t="s">
        <v>687</v>
      </c>
      <c r="C578" t="s">
        <v>3552</v>
      </c>
      <c r="D578" t="s">
        <v>3550</v>
      </c>
      <c r="E578">
        <v>424000</v>
      </c>
      <c r="F578" t="s">
        <v>1</v>
      </c>
      <c r="G578" t="s">
        <v>2</v>
      </c>
      <c r="H578" t="s">
        <v>1531</v>
      </c>
      <c r="J578" t="s">
        <v>3551</v>
      </c>
      <c r="Y578" t="s">
        <v>1707</v>
      </c>
    </row>
    <row r="579" spans="1:25" x14ac:dyDescent="0.25">
      <c r="A579" t="str">
        <f>"1053972488"</f>
        <v>1053972488</v>
      </c>
      <c r="B579" t="s">
        <v>18</v>
      </c>
      <c r="C579" t="s">
        <v>2171</v>
      </c>
      <c r="D579" t="s">
        <v>3553</v>
      </c>
      <c r="E579">
        <v>424033</v>
      </c>
      <c r="F579" t="s">
        <v>1</v>
      </c>
      <c r="G579" t="s">
        <v>2</v>
      </c>
      <c r="H579" t="s">
        <v>1383</v>
      </c>
      <c r="I579" t="s">
        <v>3554</v>
      </c>
      <c r="J579" t="s">
        <v>3555</v>
      </c>
      <c r="P579" t="s">
        <v>3556</v>
      </c>
      <c r="Y579" t="s">
        <v>1387</v>
      </c>
    </row>
    <row r="580" spans="1:25" x14ac:dyDescent="0.25">
      <c r="A580" t="str">
        <f>"1054008287"</f>
        <v>1054008287</v>
      </c>
      <c r="B580" t="s">
        <v>123</v>
      </c>
      <c r="C580" t="s">
        <v>424</v>
      </c>
      <c r="D580" t="s">
        <v>3557</v>
      </c>
      <c r="E580">
        <v>424020</v>
      </c>
      <c r="F580" t="s">
        <v>1</v>
      </c>
      <c r="G580" t="s">
        <v>2</v>
      </c>
      <c r="H580" t="s">
        <v>3558</v>
      </c>
      <c r="I580" t="s">
        <v>3559</v>
      </c>
      <c r="K580" t="s">
        <v>3560</v>
      </c>
      <c r="L580" t="s">
        <v>3561</v>
      </c>
      <c r="M580" t="s">
        <v>3562</v>
      </c>
      <c r="P580" t="s">
        <v>425</v>
      </c>
      <c r="Y580" t="s">
        <v>3563</v>
      </c>
    </row>
    <row r="581" spans="1:25" x14ac:dyDescent="0.25">
      <c r="A581" t="str">
        <f>"1054021618"</f>
        <v>1054021618</v>
      </c>
      <c r="B581" t="s">
        <v>352</v>
      </c>
      <c r="C581" t="s">
        <v>3028</v>
      </c>
      <c r="D581" t="s">
        <v>3564</v>
      </c>
      <c r="E581">
        <v>424020</v>
      </c>
      <c r="F581" t="s">
        <v>1</v>
      </c>
      <c r="G581" t="s">
        <v>2</v>
      </c>
      <c r="H581" t="s">
        <v>3565</v>
      </c>
      <c r="L581" t="s">
        <v>3566</v>
      </c>
      <c r="P581" t="s">
        <v>280</v>
      </c>
      <c r="Q581" t="s">
        <v>3567</v>
      </c>
      <c r="Y581" t="s">
        <v>3568</v>
      </c>
    </row>
    <row r="582" spans="1:25" x14ac:dyDescent="0.25">
      <c r="A582" t="str">
        <f>"1054055833"</f>
        <v>1054055833</v>
      </c>
      <c r="B582" t="s">
        <v>3573</v>
      </c>
      <c r="C582" t="s">
        <v>3574</v>
      </c>
      <c r="D582" t="s">
        <v>3569</v>
      </c>
      <c r="E582">
        <v>424000</v>
      </c>
      <c r="F582" t="s">
        <v>1</v>
      </c>
      <c r="G582" t="s">
        <v>2</v>
      </c>
      <c r="H582" t="s">
        <v>3570</v>
      </c>
      <c r="I582" t="s">
        <v>3571</v>
      </c>
      <c r="M582" t="s">
        <v>3572</v>
      </c>
      <c r="P582" t="s">
        <v>2839</v>
      </c>
      <c r="Y582" t="s">
        <v>3575</v>
      </c>
    </row>
    <row r="583" spans="1:25" x14ac:dyDescent="0.25">
      <c r="A583" t="str">
        <f>"1054329244"</f>
        <v>1054329244</v>
      </c>
      <c r="B583" t="s">
        <v>462</v>
      </c>
      <c r="C583" t="s">
        <v>1140</v>
      </c>
      <c r="D583" t="s">
        <v>3576</v>
      </c>
      <c r="E583">
        <v>424000</v>
      </c>
      <c r="F583" t="s">
        <v>1</v>
      </c>
      <c r="G583" t="s">
        <v>2</v>
      </c>
      <c r="H583" t="s">
        <v>837</v>
      </c>
      <c r="Y583" t="s">
        <v>2964</v>
      </c>
    </row>
    <row r="584" spans="1:25" x14ac:dyDescent="0.25">
      <c r="A584" t="str">
        <f>"1054591358"</f>
        <v>1054591358</v>
      </c>
      <c r="B584" t="s">
        <v>462</v>
      </c>
      <c r="C584" t="s">
        <v>463</v>
      </c>
      <c r="D584" t="s">
        <v>3577</v>
      </c>
      <c r="E584">
        <v>424006</v>
      </c>
      <c r="F584" t="s">
        <v>1</v>
      </c>
      <c r="G584" t="s">
        <v>2</v>
      </c>
      <c r="H584" t="s">
        <v>445</v>
      </c>
      <c r="I584" t="s">
        <v>3578</v>
      </c>
      <c r="Y584" t="s">
        <v>449</v>
      </c>
    </row>
    <row r="585" spans="1:25" x14ac:dyDescent="0.25">
      <c r="A585" t="str">
        <f>"1054620898"</f>
        <v>1054620898</v>
      </c>
      <c r="B585" t="s">
        <v>123</v>
      </c>
      <c r="C585" t="s">
        <v>424</v>
      </c>
      <c r="D585" t="s">
        <v>3579</v>
      </c>
      <c r="E585">
        <v>424032</v>
      </c>
      <c r="F585" t="s">
        <v>1</v>
      </c>
      <c r="G585" t="s">
        <v>2</v>
      </c>
      <c r="H585" t="s">
        <v>3580</v>
      </c>
      <c r="I585" t="s">
        <v>3581</v>
      </c>
      <c r="L585" t="s">
        <v>3582</v>
      </c>
      <c r="M585" t="s">
        <v>3583</v>
      </c>
      <c r="P585" t="s">
        <v>425</v>
      </c>
      <c r="Y585" t="s">
        <v>3584</v>
      </c>
    </row>
    <row r="586" spans="1:25" x14ac:dyDescent="0.25">
      <c r="A586" t="str">
        <f>"1054633784"</f>
        <v>1054633784</v>
      </c>
      <c r="B586" t="s">
        <v>574</v>
      </c>
      <c r="C586" t="s">
        <v>3590</v>
      </c>
      <c r="D586" t="s">
        <v>3585</v>
      </c>
      <c r="F586" t="s">
        <v>1</v>
      </c>
      <c r="G586" t="s">
        <v>2</v>
      </c>
      <c r="H586" t="s">
        <v>3586</v>
      </c>
      <c r="I586" t="s">
        <v>3587</v>
      </c>
      <c r="L586" t="s">
        <v>3588</v>
      </c>
      <c r="M586" t="s">
        <v>3589</v>
      </c>
      <c r="P586" t="s">
        <v>390</v>
      </c>
      <c r="Q586" t="s">
        <v>3591</v>
      </c>
      <c r="S586" t="s">
        <v>3592</v>
      </c>
      <c r="T586" t="s">
        <v>3593</v>
      </c>
      <c r="V586" t="s">
        <v>3594</v>
      </c>
      <c r="Y586" t="s">
        <v>3595</v>
      </c>
    </row>
    <row r="587" spans="1:25" x14ac:dyDescent="0.25">
      <c r="A587" t="str">
        <f>"1054746848"</f>
        <v>1054746848</v>
      </c>
      <c r="B587" t="s">
        <v>1544</v>
      </c>
      <c r="C587" t="s">
        <v>3596</v>
      </c>
      <c r="D587" t="s">
        <v>3596</v>
      </c>
      <c r="E587">
        <v>424000</v>
      </c>
      <c r="F587" t="s">
        <v>1</v>
      </c>
      <c r="G587" t="s">
        <v>2</v>
      </c>
      <c r="H587" t="s">
        <v>3597</v>
      </c>
      <c r="I587" t="s">
        <v>3598</v>
      </c>
      <c r="P587" t="s">
        <v>216</v>
      </c>
      <c r="Y587" t="s">
        <v>3599</v>
      </c>
    </row>
    <row r="588" spans="1:25" x14ac:dyDescent="0.25">
      <c r="A588" t="str">
        <f>"1054819340"</f>
        <v>1054819340</v>
      </c>
      <c r="B588" t="s">
        <v>716</v>
      </c>
      <c r="C588" t="s">
        <v>717</v>
      </c>
      <c r="D588" t="s">
        <v>3600</v>
      </c>
      <c r="E588">
        <v>424004</v>
      </c>
      <c r="F588" t="s">
        <v>1</v>
      </c>
      <c r="G588" t="s">
        <v>2</v>
      </c>
      <c r="H588" t="s">
        <v>351</v>
      </c>
      <c r="I588" t="s">
        <v>3601</v>
      </c>
      <c r="P588" t="s">
        <v>330</v>
      </c>
      <c r="Y588" t="s">
        <v>3602</v>
      </c>
    </row>
    <row r="589" spans="1:25" x14ac:dyDescent="0.25">
      <c r="A589" t="str">
        <f>"1054847751"</f>
        <v>1054847751</v>
      </c>
      <c r="B589" t="s">
        <v>32</v>
      </c>
      <c r="C589" t="s">
        <v>182</v>
      </c>
      <c r="D589" t="s">
        <v>3603</v>
      </c>
      <c r="E589">
        <v>424002</v>
      </c>
      <c r="F589" t="s">
        <v>1</v>
      </c>
      <c r="G589" t="s">
        <v>2</v>
      </c>
      <c r="H589" t="s">
        <v>3604</v>
      </c>
      <c r="I589" t="s">
        <v>3605</v>
      </c>
      <c r="L589" t="s">
        <v>3606</v>
      </c>
      <c r="M589" t="s">
        <v>3607</v>
      </c>
      <c r="P589" t="s">
        <v>2561</v>
      </c>
      <c r="Q589" t="s">
        <v>3608</v>
      </c>
      <c r="Y589" t="s">
        <v>3609</v>
      </c>
    </row>
    <row r="590" spans="1:25" x14ac:dyDescent="0.25">
      <c r="A590" t="str">
        <f>"1055185248"</f>
        <v>1055185248</v>
      </c>
      <c r="B590" t="s">
        <v>1230</v>
      </c>
      <c r="C590" t="s">
        <v>2526</v>
      </c>
      <c r="D590" t="s">
        <v>3610</v>
      </c>
      <c r="E590">
        <v>424002</v>
      </c>
      <c r="F590" t="s">
        <v>1</v>
      </c>
      <c r="G590" t="s">
        <v>2</v>
      </c>
      <c r="H590" t="s">
        <v>3611</v>
      </c>
      <c r="I590" t="s">
        <v>3612</v>
      </c>
      <c r="P590" t="s">
        <v>280</v>
      </c>
      <c r="Y590" t="s">
        <v>3613</v>
      </c>
    </row>
    <row r="591" spans="1:25" x14ac:dyDescent="0.25">
      <c r="A591" t="str">
        <f>"1055231216"</f>
        <v>1055231216</v>
      </c>
      <c r="B591" t="s">
        <v>334</v>
      </c>
      <c r="C591" t="s">
        <v>334</v>
      </c>
      <c r="D591" t="s">
        <v>3614</v>
      </c>
      <c r="E591">
        <v>424004</v>
      </c>
      <c r="F591" t="s">
        <v>1</v>
      </c>
      <c r="G591" t="s">
        <v>2</v>
      </c>
      <c r="H591" t="s">
        <v>186</v>
      </c>
      <c r="I591" t="s">
        <v>3615</v>
      </c>
      <c r="Y591" t="s">
        <v>190</v>
      </c>
    </row>
    <row r="592" spans="1:25" x14ac:dyDescent="0.25">
      <c r="A592" t="str">
        <f>"1055400193"</f>
        <v>1055400193</v>
      </c>
      <c r="B592" t="s">
        <v>96</v>
      </c>
      <c r="C592" t="s">
        <v>3621</v>
      </c>
      <c r="D592" t="s">
        <v>3616</v>
      </c>
      <c r="E592">
        <v>424918</v>
      </c>
      <c r="F592" t="s">
        <v>1</v>
      </c>
      <c r="G592" t="s">
        <v>2</v>
      </c>
      <c r="H592" t="s">
        <v>629</v>
      </c>
      <c r="I592" t="s">
        <v>3617</v>
      </c>
      <c r="J592" t="s">
        <v>3618</v>
      </c>
      <c r="L592" t="s">
        <v>3619</v>
      </c>
      <c r="M592" t="s">
        <v>3620</v>
      </c>
      <c r="P592" t="s">
        <v>630</v>
      </c>
      <c r="Q592" t="s">
        <v>3622</v>
      </c>
      <c r="S592" t="s">
        <v>3623</v>
      </c>
      <c r="T592" t="s">
        <v>3624</v>
      </c>
      <c r="V592" t="s">
        <v>3625</v>
      </c>
      <c r="Y592" t="s">
        <v>3626</v>
      </c>
    </row>
    <row r="593" spans="1:25" x14ac:dyDescent="0.25">
      <c r="A593" t="str">
        <f>"1055589150"</f>
        <v>1055589150</v>
      </c>
      <c r="B593" t="s">
        <v>538</v>
      </c>
      <c r="C593" t="s">
        <v>3633</v>
      </c>
      <c r="D593" t="s">
        <v>3627</v>
      </c>
      <c r="E593">
        <v>424028</v>
      </c>
      <c r="F593" t="s">
        <v>1</v>
      </c>
      <c r="G593" t="s">
        <v>2</v>
      </c>
      <c r="H593" t="s">
        <v>3628</v>
      </c>
      <c r="I593" t="s">
        <v>3629</v>
      </c>
      <c r="K593" t="s">
        <v>3630</v>
      </c>
      <c r="L593" t="s">
        <v>3631</v>
      </c>
      <c r="M593" t="s">
        <v>3632</v>
      </c>
      <c r="P593" t="s">
        <v>226</v>
      </c>
      <c r="Q593" t="s">
        <v>3634</v>
      </c>
      <c r="Y593" t="s">
        <v>3635</v>
      </c>
    </row>
    <row r="594" spans="1:25" x14ac:dyDescent="0.25">
      <c r="A594" t="str">
        <f>"1055601954"</f>
        <v>1055601954</v>
      </c>
      <c r="B594" t="s">
        <v>18</v>
      </c>
      <c r="C594" t="s">
        <v>3386</v>
      </c>
      <c r="D594" t="s">
        <v>3636</v>
      </c>
      <c r="E594">
        <v>424031</v>
      </c>
      <c r="F594" t="s">
        <v>1</v>
      </c>
      <c r="G594" t="s">
        <v>2</v>
      </c>
      <c r="H594" t="s">
        <v>3637</v>
      </c>
      <c r="I594" t="s">
        <v>3638</v>
      </c>
      <c r="P594" t="s">
        <v>3639</v>
      </c>
      <c r="Y594" t="s">
        <v>246</v>
      </c>
    </row>
    <row r="595" spans="1:25" x14ac:dyDescent="0.25">
      <c r="A595" t="str">
        <f>"1055761203"</f>
        <v>1055761203</v>
      </c>
      <c r="B595" t="s">
        <v>3573</v>
      </c>
      <c r="C595" t="s">
        <v>3644</v>
      </c>
      <c r="D595" t="s">
        <v>3640</v>
      </c>
      <c r="E595">
        <v>424001</v>
      </c>
      <c r="F595" t="s">
        <v>1</v>
      </c>
      <c r="G595" t="s">
        <v>2</v>
      </c>
      <c r="H595" t="s">
        <v>919</v>
      </c>
      <c r="I595" t="s">
        <v>3641</v>
      </c>
      <c r="J595" t="s">
        <v>3642</v>
      </c>
      <c r="L595" t="s">
        <v>3643</v>
      </c>
      <c r="P595" t="s">
        <v>27</v>
      </c>
      <c r="Q595" t="s">
        <v>3645</v>
      </c>
      <c r="Y595" t="s">
        <v>923</v>
      </c>
    </row>
    <row r="596" spans="1:25" x14ac:dyDescent="0.25">
      <c r="A596" t="str">
        <f>"1055808479"</f>
        <v>1055808479</v>
      </c>
      <c r="B596" t="s">
        <v>3652</v>
      </c>
      <c r="C596" t="s">
        <v>3653</v>
      </c>
      <c r="D596" t="s">
        <v>3646</v>
      </c>
      <c r="E596">
        <v>424003</v>
      </c>
      <c r="F596" t="s">
        <v>1</v>
      </c>
      <c r="G596" t="s">
        <v>2</v>
      </c>
      <c r="H596" t="s">
        <v>3647</v>
      </c>
      <c r="I596" t="s">
        <v>3648</v>
      </c>
      <c r="J596" t="s">
        <v>3649</v>
      </c>
      <c r="L596" t="s">
        <v>3650</v>
      </c>
      <c r="M596" t="s">
        <v>3651</v>
      </c>
      <c r="P596" t="s">
        <v>3654</v>
      </c>
      <c r="Y596" t="s">
        <v>3655</v>
      </c>
    </row>
    <row r="597" spans="1:25" x14ac:dyDescent="0.25">
      <c r="A597" t="str">
        <f>"1055913832"</f>
        <v>1055913832</v>
      </c>
      <c r="B597" t="s">
        <v>591</v>
      </c>
      <c r="C597" t="s">
        <v>3660</v>
      </c>
      <c r="D597" t="s">
        <v>3656</v>
      </c>
      <c r="E597">
        <v>424004</v>
      </c>
      <c r="F597" t="s">
        <v>1</v>
      </c>
      <c r="G597" t="s">
        <v>2</v>
      </c>
      <c r="H597" t="s">
        <v>1590</v>
      </c>
      <c r="I597" t="s">
        <v>3657</v>
      </c>
      <c r="L597" t="s">
        <v>3658</v>
      </c>
      <c r="M597" t="s">
        <v>3659</v>
      </c>
      <c r="P597" t="s">
        <v>689</v>
      </c>
      <c r="Q597" t="s">
        <v>3661</v>
      </c>
      <c r="T597" t="s">
        <v>3662</v>
      </c>
      <c r="V597" t="s">
        <v>3663</v>
      </c>
      <c r="Y597" t="s">
        <v>1593</v>
      </c>
    </row>
    <row r="598" spans="1:25" x14ac:dyDescent="0.25">
      <c r="A598" t="str">
        <f>"1056159387"</f>
        <v>1056159387</v>
      </c>
      <c r="B598" t="s">
        <v>1323</v>
      </c>
      <c r="C598" t="s">
        <v>3669</v>
      </c>
      <c r="D598" t="s">
        <v>3664</v>
      </c>
      <c r="E598">
        <v>424001</v>
      </c>
      <c r="F598" t="s">
        <v>1</v>
      </c>
      <c r="G598" t="s">
        <v>2</v>
      </c>
      <c r="H598" t="s">
        <v>3665</v>
      </c>
      <c r="J598" t="s">
        <v>3666</v>
      </c>
      <c r="L598" t="s">
        <v>3667</v>
      </c>
      <c r="M598" t="s">
        <v>3668</v>
      </c>
      <c r="P598" t="s">
        <v>3670</v>
      </c>
      <c r="Q598" t="s">
        <v>3671</v>
      </c>
      <c r="V598" t="s">
        <v>3672</v>
      </c>
      <c r="Y598" t="s">
        <v>3673</v>
      </c>
    </row>
    <row r="599" spans="1:25" x14ac:dyDescent="0.25">
      <c r="A599" t="str">
        <f>"1056280820"</f>
        <v>1056280820</v>
      </c>
      <c r="B599" t="s">
        <v>328</v>
      </c>
      <c r="C599" t="s">
        <v>1920</v>
      </c>
      <c r="D599" t="s">
        <v>3674</v>
      </c>
      <c r="E599">
        <v>424020</v>
      </c>
      <c r="F599" t="s">
        <v>1</v>
      </c>
      <c r="G599" t="s">
        <v>2</v>
      </c>
      <c r="H599" t="s">
        <v>3675</v>
      </c>
      <c r="I599" t="s">
        <v>3676</v>
      </c>
      <c r="L599" t="s">
        <v>3677</v>
      </c>
      <c r="P599" t="s">
        <v>20</v>
      </c>
      <c r="Q599" t="s">
        <v>3678</v>
      </c>
      <c r="S599" t="s">
        <v>3679</v>
      </c>
      <c r="V599" t="s">
        <v>3680</v>
      </c>
      <c r="Y599" t="s">
        <v>3681</v>
      </c>
    </row>
    <row r="600" spans="1:25" x14ac:dyDescent="0.25">
      <c r="A600" t="str">
        <f>"1056344676"</f>
        <v>1056344676</v>
      </c>
      <c r="B600" t="s">
        <v>3652</v>
      </c>
      <c r="C600" t="s">
        <v>3685</v>
      </c>
      <c r="D600" t="s">
        <v>3682</v>
      </c>
      <c r="E600">
        <v>424038</v>
      </c>
      <c r="F600" t="s">
        <v>1</v>
      </c>
      <c r="G600" t="s">
        <v>2</v>
      </c>
      <c r="H600" t="s">
        <v>3683</v>
      </c>
      <c r="I600" t="s">
        <v>3684</v>
      </c>
      <c r="P600" t="s">
        <v>1160</v>
      </c>
      <c r="Y600" t="s">
        <v>3686</v>
      </c>
    </row>
    <row r="601" spans="1:25" x14ac:dyDescent="0.25">
      <c r="A601" t="str">
        <f>"1056434841"</f>
        <v>1056434841</v>
      </c>
      <c r="B601" t="s">
        <v>18</v>
      </c>
      <c r="C601" t="s">
        <v>3689</v>
      </c>
      <c r="D601" t="s">
        <v>3687</v>
      </c>
      <c r="E601">
        <v>424007</v>
      </c>
      <c r="F601" t="s">
        <v>1</v>
      </c>
      <c r="G601" t="s">
        <v>2</v>
      </c>
      <c r="H601" t="s">
        <v>220</v>
      </c>
      <c r="I601" t="s">
        <v>3688</v>
      </c>
      <c r="P601" t="s">
        <v>3690</v>
      </c>
      <c r="Y601" t="s">
        <v>227</v>
      </c>
    </row>
    <row r="602" spans="1:25" x14ac:dyDescent="0.25">
      <c r="A602" t="str">
        <f>"1056624122"</f>
        <v>1056624122</v>
      </c>
      <c r="B602" t="s">
        <v>2104</v>
      </c>
      <c r="C602" t="s">
        <v>3693</v>
      </c>
      <c r="D602" t="s">
        <v>3691</v>
      </c>
      <c r="E602">
        <v>424006</v>
      </c>
      <c r="F602" t="s">
        <v>1</v>
      </c>
      <c r="G602" t="s">
        <v>2</v>
      </c>
      <c r="H602" t="s">
        <v>2775</v>
      </c>
      <c r="I602" t="s">
        <v>3692</v>
      </c>
      <c r="P602" t="s">
        <v>3694</v>
      </c>
      <c r="Y602" t="s">
        <v>2779</v>
      </c>
    </row>
    <row r="603" spans="1:25" x14ac:dyDescent="0.25">
      <c r="A603" t="str">
        <f>"1056649524"</f>
        <v>1056649524</v>
      </c>
      <c r="B603" t="s">
        <v>3700</v>
      </c>
      <c r="C603" t="s">
        <v>3700</v>
      </c>
      <c r="D603" t="s">
        <v>3695</v>
      </c>
      <c r="F603" t="s">
        <v>1</v>
      </c>
      <c r="G603" t="s">
        <v>2</v>
      </c>
      <c r="H603" t="s">
        <v>3696</v>
      </c>
      <c r="I603" t="s">
        <v>3697</v>
      </c>
      <c r="L603" t="s">
        <v>3698</v>
      </c>
      <c r="M603" t="s">
        <v>3699</v>
      </c>
      <c r="P603" t="s">
        <v>390</v>
      </c>
      <c r="Y603" t="s">
        <v>3701</v>
      </c>
    </row>
    <row r="604" spans="1:25" x14ac:dyDescent="0.25">
      <c r="A604" t="str">
        <f>"1056677394"</f>
        <v>1056677394</v>
      </c>
      <c r="B604" t="s">
        <v>25</v>
      </c>
      <c r="C604" t="s">
        <v>3708</v>
      </c>
      <c r="D604" t="s">
        <v>3702</v>
      </c>
      <c r="E604">
        <v>424016</v>
      </c>
      <c r="F604" t="s">
        <v>1</v>
      </c>
      <c r="G604" t="s">
        <v>2</v>
      </c>
      <c r="H604" t="s">
        <v>3703</v>
      </c>
      <c r="I604" t="s">
        <v>3704</v>
      </c>
      <c r="J604" t="s">
        <v>3705</v>
      </c>
      <c r="K604" t="s">
        <v>3706</v>
      </c>
      <c r="M604" t="s">
        <v>3707</v>
      </c>
      <c r="P604" t="s">
        <v>280</v>
      </c>
      <c r="Y604" t="s">
        <v>3709</v>
      </c>
    </row>
    <row r="605" spans="1:25" x14ac:dyDescent="0.25">
      <c r="A605" t="str">
        <f>"1056763211"</f>
        <v>1056763211</v>
      </c>
      <c r="B605" t="s">
        <v>687</v>
      </c>
      <c r="C605" t="s">
        <v>3713</v>
      </c>
      <c r="D605" t="s">
        <v>3710</v>
      </c>
      <c r="E605">
        <v>424006</v>
      </c>
      <c r="F605" t="s">
        <v>1</v>
      </c>
      <c r="G605" t="s">
        <v>2</v>
      </c>
      <c r="H605" t="s">
        <v>3711</v>
      </c>
      <c r="I605" t="s">
        <v>3712</v>
      </c>
      <c r="P605" t="s">
        <v>3714</v>
      </c>
      <c r="Y605" t="s">
        <v>3715</v>
      </c>
    </row>
    <row r="606" spans="1:25" x14ac:dyDescent="0.25">
      <c r="A606" t="str">
        <f>"1057032834"</f>
        <v>1057032834</v>
      </c>
      <c r="B606" t="s">
        <v>348</v>
      </c>
      <c r="C606" t="s">
        <v>3720</v>
      </c>
      <c r="D606" t="s">
        <v>3716</v>
      </c>
      <c r="F606" t="s">
        <v>1</v>
      </c>
      <c r="G606" t="s">
        <v>2</v>
      </c>
      <c r="H606" t="s">
        <v>343</v>
      </c>
      <c r="J606" t="s">
        <v>3717</v>
      </c>
      <c r="L606" t="s">
        <v>3718</v>
      </c>
      <c r="M606" t="s">
        <v>3719</v>
      </c>
      <c r="P606" t="s">
        <v>1232</v>
      </c>
      <c r="Y606" t="s">
        <v>345</v>
      </c>
    </row>
    <row r="607" spans="1:25" x14ac:dyDescent="0.25">
      <c r="A607" t="str">
        <f>"1057059147"</f>
        <v>1057059147</v>
      </c>
      <c r="B607" t="s">
        <v>1352</v>
      </c>
      <c r="C607" t="s">
        <v>3725</v>
      </c>
      <c r="D607" t="s">
        <v>3721</v>
      </c>
      <c r="E607">
        <v>424002</v>
      </c>
      <c r="F607" t="s">
        <v>1</v>
      </c>
      <c r="G607" t="s">
        <v>2</v>
      </c>
      <c r="H607" t="s">
        <v>915</v>
      </c>
      <c r="I607" t="s">
        <v>3722</v>
      </c>
      <c r="L607" t="s">
        <v>3723</v>
      </c>
      <c r="M607" t="s">
        <v>3724</v>
      </c>
      <c r="P607" t="s">
        <v>144</v>
      </c>
      <c r="Q607" t="s">
        <v>3726</v>
      </c>
      <c r="R607" t="s">
        <v>3727</v>
      </c>
      <c r="T607" t="s">
        <v>3728</v>
      </c>
      <c r="V607" t="s">
        <v>3729</v>
      </c>
      <c r="Y607" t="s">
        <v>3730</v>
      </c>
    </row>
    <row r="608" spans="1:25" x14ac:dyDescent="0.25">
      <c r="A608" t="str">
        <f>"1057216068"</f>
        <v>1057216068</v>
      </c>
      <c r="B608" t="s">
        <v>7</v>
      </c>
      <c r="C608" t="s">
        <v>3733</v>
      </c>
      <c r="D608" t="s">
        <v>3731</v>
      </c>
      <c r="E608">
        <v>424031</v>
      </c>
      <c r="F608" t="s">
        <v>1</v>
      </c>
      <c r="G608" t="s">
        <v>2</v>
      </c>
      <c r="H608" t="s">
        <v>413</v>
      </c>
      <c r="I608" t="s">
        <v>3732</v>
      </c>
      <c r="P608" t="s">
        <v>3734</v>
      </c>
      <c r="Y608" t="s">
        <v>1421</v>
      </c>
    </row>
    <row r="609" spans="1:25" x14ac:dyDescent="0.25">
      <c r="A609" t="str">
        <f>"1057255502"</f>
        <v>1057255502</v>
      </c>
      <c r="B609" t="s">
        <v>1544</v>
      </c>
      <c r="C609" t="s">
        <v>3738</v>
      </c>
      <c r="D609" t="s">
        <v>3735</v>
      </c>
      <c r="E609">
        <v>424006</v>
      </c>
      <c r="F609" t="s">
        <v>1</v>
      </c>
      <c r="G609" t="s">
        <v>2</v>
      </c>
      <c r="H609" t="s">
        <v>3736</v>
      </c>
      <c r="I609" t="s">
        <v>3737</v>
      </c>
      <c r="P609" t="s">
        <v>280</v>
      </c>
      <c r="Y609" t="s">
        <v>3739</v>
      </c>
    </row>
    <row r="610" spans="1:25" x14ac:dyDescent="0.25">
      <c r="A610" t="str">
        <f>"1057305519"</f>
        <v>1057305519</v>
      </c>
      <c r="B610" t="s">
        <v>2790</v>
      </c>
      <c r="C610" t="s">
        <v>3744</v>
      </c>
      <c r="D610" t="s">
        <v>3740</v>
      </c>
      <c r="E610">
        <v>424000</v>
      </c>
      <c r="F610" t="s">
        <v>1</v>
      </c>
      <c r="G610" t="s">
        <v>2</v>
      </c>
      <c r="H610" t="s">
        <v>3741</v>
      </c>
      <c r="I610" t="s">
        <v>3742</v>
      </c>
      <c r="M610" t="s">
        <v>3743</v>
      </c>
      <c r="P610" t="s">
        <v>3745</v>
      </c>
      <c r="Q610" t="s">
        <v>3746</v>
      </c>
      <c r="Y610" t="s">
        <v>3747</v>
      </c>
    </row>
    <row r="611" spans="1:25" x14ac:dyDescent="0.25">
      <c r="A611" t="str">
        <f>"1057367176"</f>
        <v>1057367176</v>
      </c>
      <c r="B611" t="s">
        <v>553</v>
      </c>
      <c r="C611" t="s">
        <v>3753</v>
      </c>
      <c r="D611" t="s">
        <v>3748</v>
      </c>
      <c r="E611">
        <v>424000</v>
      </c>
      <c r="F611" t="s">
        <v>1</v>
      </c>
      <c r="G611" t="s">
        <v>2</v>
      </c>
      <c r="H611" t="s">
        <v>3749</v>
      </c>
      <c r="I611" t="s">
        <v>3750</v>
      </c>
      <c r="J611" t="s">
        <v>3751</v>
      </c>
      <c r="L611" t="s">
        <v>3752</v>
      </c>
      <c r="P611" t="s">
        <v>340</v>
      </c>
      <c r="Y611" t="s">
        <v>3754</v>
      </c>
    </row>
    <row r="612" spans="1:25" x14ac:dyDescent="0.25">
      <c r="A612" t="str">
        <f>"1057446138"</f>
        <v>1057446138</v>
      </c>
      <c r="B612" t="s">
        <v>1846</v>
      </c>
      <c r="C612" t="s">
        <v>3758</v>
      </c>
      <c r="D612" t="s">
        <v>3755</v>
      </c>
      <c r="E612">
        <v>424038</v>
      </c>
      <c r="F612" t="s">
        <v>1</v>
      </c>
      <c r="G612" t="s">
        <v>2</v>
      </c>
      <c r="H612" t="s">
        <v>3756</v>
      </c>
      <c r="I612" t="s">
        <v>3757</v>
      </c>
      <c r="P612" t="s">
        <v>280</v>
      </c>
      <c r="Y612" t="s">
        <v>3759</v>
      </c>
    </row>
    <row r="613" spans="1:25" x14ac:dyDescent="0.25">
      <c r="A613" t="str">
        <f>"1057463262"</f>
        <v>1057463262</v>
      </c>
      <c r="B613" t="s">
        <v>123</v>
      </c>
      <c r="C613" t="s">
        <v>424</v>
      </c>
      <c r="D613" t="s">
        <v>3760</v>
      </c>
      <c r="E613">
        <v>424037</v>
      </c>
      <c r="F613" t="s">
        <v>1</v>
      </c>
      <c r="G613" t="s">
        <v>2</v>
      </c>
      <c r="H613" t="s">
        <v>3761</v>
      </c>
      <c r="I613" t="s">
        <v>3762</v>
      </c>
      <c r="P613" t="s">
        <v>425</v>
      </c>
      <c r="Y613" t="s">
        <v>3763</v>
      </c>
    </row>
    <row r="614" spans="1:25" x14ac:dyDescent="0.25">
      <c r="A614" t="str">
        <f>"1057480366"</f>
        <v>1057480366</v>
      </c>
      <c r="B614" t="s">
        <v>930</v>
      </c>
      <c r="C614" t="s">
        <v>3769</v>
      </c>
      <c r="D614" t="s">
        <v>3764</v>
      </c>
      <c r="E614">
        <v>424037</v>
      </c>
      <c r="F614" t="s">
        <v>1</v>
      </c>
      <c r="G614" t="s">
        <v>2</v>
      </c>
      <c r="H614" t="s">
        <v>3765</v>
      </c>
      <c r="I614" t="s">
        <v>3766</v>
      </c>
      <c r="L614" t="s">
        <v>3767</v>
      </c>
      <c r="M614" t="s">
        <v>3768</v>
      </c>
      <c r="P614" t="s">
        <v>1020</v>
      </c>
      <c r="Q614" t="s">
        <v>3770</v>
      </c>
      <c r="T614" t="s">
        <v>3771</v>
      </c>
      <c r="Y614" t="s">
        <v>3772</v>
      </c>
    </row>
    <row r="615" spans="1:25" x14ac:dyDescent="0.25">
      <c r="A615" t="str">
        <f>"1057636647"</f>
        <v>1057636647</v>
      </c>
      <c r="B615" t="s">
        <v>32</v>
      </c>
      <c r="C615" t="s">
        <v>777</v>
      </c>
      <c r="D615" t="s">
        <v>3773</v>
      </c>
      <c r="E615">
        <v>424008</v>
      </c>
      <c r="F615" t="s">
        <v>1</v>
      </c>
      <c r="G615" t="s">
        <v>2</v>
      </c>
      <c r="H615" t="s">
        <v>3774</v>
      </c>
      <c r="J615" t="s">
        <v>3775</v>
      </c>
      <c r="P615" t="s">
        <v>3776</v>
      </c>
      <c r="Y615" t="s">
        <v>3777</v>
      </c>
    </row>
    <row r="616" spans="1:25" x14ac:dyDescent="0.25">
      <c r="A616" t="str">
        <f>"1057672117"</f>
        <v>1057672117</v>
      </c>
      <c r="B616" t="s">
        <v>243</v>
      </c>
      <c r="C616" t="s">
        <v>2538</v>
      </c>
      <c r="D616" t="s">
        <v>3778</v>
      </c>
      <c r="E616">
        <v>424000</v>
      </c>
      <c r="F616" t="s">
        <v>1</v>
      </c>
      <c r="G616" t="s">
        <v>2</v>
      </c>
      <c r="H616" t="s">
        <v>1531</v>
      </c>
      <c r="I616" t="s">
        <v>3779</v>
      </c>
      <c r="P616" t="s">
        <v>1232</v>
      </c>
      <c r="Y616" t="s">
        <v>1707</v>
      </c>
    </row>
    <row r="617" spans="1:25" x14ac:dyDescent="0.25">
      <c r="A617" t="str">
        <f>"1057780926"</f>
        <v>1057780926</v>
      </c>
      <c r="B617" t="s">
        <v>18</v>
      </c>
      <c r="C617" t="s">
        <v>3782</v>
      </c>
      <c r="D617" t="s">
        <v>3780</v>
      </c>
      <c r="E617">
        <v>424002</v>
      </c>
      <c r="F617" t="s">
        <v>1</v>
      </c>
      <c r="G617" t="s">
        <v>2</v>
      </c>
      <c r="H617" t="s">
        <v>57</v>
      </c>
      <c r="I617" t="s">
        <v>3781</v>
      </c>
      <c r="P617" t="s">
        <v>20</v>
      </c>
      <c r="Y617" t="s">
        <v>3783</v>
      </c>
    </row>
    <row r="618" spans="1:25" x14ac:dyDescent="0.25">
      <c r="A618" t="str">
        <f>"1057815408"</f>
        <v>1057815408</v>
      </c>
      <c r="B618" t="s">
        <v>654</v>
      </c>
      <c r="C618" t="s">
        <v>3789</v>
      </c>
      <c r="D618" t="s">
        <v>3784</v>
      </c>
      <c r="E618">
        <v>424030</v>
      </c>
      <c r="F618" t="s">
        <v>1</v>
      </c>
      <c r="G618" t="s">
        <v>2</v>
      </c>
      <c r="H618" t="s">
        <v>3785</v>
      </c>
      <c r="I618" t="s">
        <v>3786</v>
      </c>
      <c r="L618" t="s">
        <v>3787</v>
      </c>
      <c r="M618" t="s">
        <v>3788</v>
      </c>
      <c r="P618" t="s">
        <v>280</v>
      </c>
      <c r="Q618" t="s">
        <v>3790</v>
      </c>
      <c r="S618" t="s">
        <v>3791</v>
      </c>
      <c r="Y618" t="s">
        <v>3792</v>
      </c>
    </row>
    <row r="619" spans="1:25" x14ac:dyDescent="0.25">
      <c r="A619" t="str">
        <f>"1058178848"</f>
        <v>1058178848</v>
      </c>
      <c r="B619" t="s">
        <v>290</v>
      </c>
      <c r="C619" t="s">
        <v>3798</v>
      </c>
      <c r="D619" t="s">
        <v>3793</v>
      </c>
      <c r="E619">
        <v>424007</v>
      </c>
      <c r="F619" t="s">
        <v>1</v>
      </c>
      <c r="G619" t="s">
        <v>2</v>
      </c>
      <c r="H619" t="s">
        <v>3794</v>
      </c>
      <c r="I619" t="s">
        <v>3795</v>
      </c>
      <c r="L619" t="s">
        <v>3796</v>
      </c>
      <c r="M619" t="s">
        <v>3797</v>
      </c>
      <c r="P619" t="s">
        <v>3799</v>
      </c>
      <c r="Q619" t="s">
        <v>3800</v>
      </c>
      <c r="R619" t="s">
        <v>3801</v>
      </c>
      <c r="T619" t="s">
        <v>3802</v>
      </c>
      <c r="U619" t="s">
        <v>3803</v>
      </c>
      <c r="V619" t="s">
        <v>3804</v>
      </c>
      <c r="Y619" t="s">
        <v>3805</v>
      </c>
    </row>
    <row r="620" spans="1:25" x14ac:dyDescent="0.25">
      <c r="A620" t="str">
        <f>"1058317748"</f>
        <v>1058317748</v>
      </c>
      <c r="B620" t="s">
        <v>1046</v>
      </c>
      <c r="C620" t="s">
        <v>3808</v>
      </c>
      <c r="D620" t="s">
        <v>3806</v>
      </c>
      <c r="E620">
        <v>424002</v>
      </c>
      <c r="F620" t="s">
        <v>1</v>
      </c>
      <c r="G620" t="s">
        <v>2</v>
      </c>
      <c r="H620" t="s">
        <v>3807</v>
      </c>
      <c r="P620" t="s">
        <v>3809</v>
      </c>
      <c r="Y620" t="s">
        <v>3810</v>
      </c>
    </row>
    <row r="621" spans="1:25" x14ac:dyDescent="0.25">
      <c r="A621" t="str">
        <f>"1058425016"</f>
        <v>1058425016</v>
      </c>
      <c r="B621" t="s">
        <v>738</v>
      </c>
      <c r="C621" t="s">
        <v>739</v>
      </c>
      <c r="D621" t="s">
        <v>3811</v>
      </c>
      <c r="E621">
        <v>424008</v>
      </c>
      <c r="F621" t="s">
        <v>1</v>
      </c>
      <c r="G621" t="s">
        <v>2</v>
      </c>
      <c r="H621" t="s">
        <v>3812</v>
      </c>
      <c r="I621" t="s">
        <v>3813</v>
      </c>
      <c r="P621" t="s">
        <v>3814</v>
      </c>
      <c r="Y621" t="s">
        <v>3815</v>
      </c>
    </row>
    <row r="622" spans="1:25" x14ac:dyDescent="0.25">
      <c r="A622" t="str">
        <f>"1058782389"</f>
        <v>1058782389</v>
      </c>
      <c r="B622" t="s">
        <v>790</v>
      </c>
      <c r="C622" t="s">
        <v>3821</v>
      </c>
      <c r="D622" t="s">
        <v>3816</v>
      </c>
      <c r="E622">
        <v>424004</v>
      </c>
      <c r="F622" t="s">
        <v>1</v>
      </c>
      <c r="G622" t="s">
        <v>2</v>
      </c>
      <c r="H622" t="s">
        <v>3817</v>
      </c>
      <c r="I622" t="s">
        <v>3818</v>
      </c>
      <c r="L622" t="s">
        <v>3819</v>
      </c>
      <c r="M622" t="s">
        <v>3820</v>
      </c>
      <c r="P622" t="s">
        <v>3822</v>
      </c>
      <c r="Y622" t="s">
        <v>3823</v>
      </c>
    </row>
    <row r="623" spans="1:25" x14ac:dyDescent="0.25">
      <c r="A623" t="str">
        <f>"1058856048"</f>
        <v>1058856048</v>
      </c>
      <c r="B623" t="s">
        <v>96</v>
      </c>
      <c r="C623" t="s">
        <v>695</v>
      </c>
      <c r="D623" t="s">
        <v>3824</v>
      </c>
      <c r="E623">
        <v>424000</v>
      </c>
      <c r="F623" t="s">
        <v>1</v>
      </c>
      <c r="G623" t="s">
        <v>2</v>
      </c>
      <c r="H623" t="s">
        <v>265</v>
      </c>
      <c r="J623" t="s">
        <v>3825</v>
      </c>
      <c r="P623" t="s">
        <v>3826</v>
      </c>
      <c r="Y623" t="s">
        <v>3827</v>
      </c>
    </row>
    <row r="624" spans="1:25" x14ac:dyDescent="0.25">
      <c r="A624" t="str">
        <f>"1058891922"</f>
        <v>1058891922</v>
      </c>
      <c r="B624" t="s">
        <v>328</v>
      </c>
      <c r="C624" t="s">
        <v>1920</v>
      </c>
      <c r="D624" t="s">
        <v>3828</v>
      </c>
      <c r="E624">
        <v>424006</v>
      </c>
      <c r="F624" t="s">
        <v>1</v>
      </c>
      <c r="G624" t="s">
        <v>2</v>
      </c>
      <c r="H624" t="s">
        <v>830</v>
      </c>
      <c r="I624" t="s">
        <v>3829</v>
      </c>
      <c r="P624" t="s">
        <v>152</v>
      </c>
      <c r="Y624" t="s">
        <v>3830</v>
      </c>
    </row>
    <row r="625" spans="1:25" x14ac:dyDescent="0.25">
      <c r="A625" t="str">
        <f>"1058905569"</f>
        <v>1058905569</v>
      </c>
      <c r="B625" t="s">
        <v>1222</v>
      </c>
      <c r="C625" t="s">
        <v>3834</v>
      </c>
      <c r="D625" t="s">
        <v>3831</v>
      </c>
      <c r="E625">
        <v>424038</v>
      </c>
      <c r="F625" t="s">
        <v>1</v>
      </c>
      <c r="G625" t="s">
        <v>2</v>
      </c>
      <c r="H625" t="s">
        <v>2614</v>
      </c>
      <c r="J625" t="s">
        <v>3832</v>
      </c>
      <c r="L625" t="s">
        <v>3833</v>
      </c>
      <c r="P625" t="s">
        <v>3835</v>
      </c>
      <c r="Q625" t="s">
        <v>3836</v>
      </c>
      <c r="V625" t="s">
        <v>3837</v>
      </c>
      <c r="Y625" t="s">
        <v>3838</v>
      </c>
    </row>
    <row r="626" spans="1:25" x14ac:dyDescent="0.25">
      <c r="A626" t="str">
        <f>"1058949184"</f>
        <v>1058949184</v>
      </c>
      <c r="B626" t="s">
        <v>1391</v>
      </c>
      <c r="C626" t="s">
        <v>1392</v>
      </c>
      <c r="D626" t="s">
        <v>3839</v>
      </c>
      <c r="E626">
        <v>424004</v>
      </c>
      <c r="F626" t="s">
        <v>1</v>
      </c>
      <c r="G626" t="s">
        <v>2</v>
      </c>
      <c r="H626" t="s">
        <v>3840</v>
      </c>
      <c r="Y626" t="s">
        <v>3841</v>
      </c>
    </row>
    <row r="627" spans="1:25" x14ac:dyDescent="0.25">
      <c r="A627" t="str">
        <f>"1059015425"</f>
        <v>1059015425</v>
      </c>
      <c r="B627" t="s">
        <v>624</v>
      </c>
      <c r="C627" t="s">
        <v>2894</v>
      </c>
      <c r="D627" t="s">
        <v>3842</v>
      </c>
      <c r="F627" t="s">
        <v>1</v>
      </c>
      <c r="G627" t="s">
        <v>2</v>
      </c>
      <c r="H627" t="s">
        <v>633</v>
      </c>
      <c r="I627" t="s">
        <v>3843</v>
      </c>
      <c r="L627" t="s">
        <v>597</v>
      </c>
      <c r="M627" t="s">
        <v>3844</v>
      </c>
      <c r="P627" t="s">
        <v>20</v>
      </c>
      <c r="Y627" t="s">
        <v>3845</v>
      </c>
    </row>
    <row r="628" spans="1:25" x14ac:dyDescent="0.25">
      <c r="A628" t="str">
        <f>"1059059975"</f>
        <v>1059059975</v>
      </c>
      <c r="B628" t="s">
        <v>18</v>
      </c>
      <c r="C628" t="s">
        <v>3850</v>
      </c>
      <c r="D628" t="s">
        <v>3846</v>
      </c>
      <c r="E628">
        <v>424031</v>
      </c>
      <c r="F628" t="s">
        <v>1</v>
      </c>
      <c r="G628" t="s">
        <v>2</v>
      </c>
      <c r="H628" t="s">
        <v>413</v>
      </c>
      <c r="I628" t="s">
        <v>3847</v>
      </c>
      <c r="L628" t="s">
        <v>3848</v>
      </c>
      <c r="M628" t="s">
        <v>3849</v>
      </c>
      <c r="P628" t="s">
        <v>911</v>
      </c>
      <c r="Q628" t="s">
        <v>3851</v>
      </c>
      <c r="T628" t="s">
        <v>3852</v>
      </c>
      <c r="Y628" t="s">
        <v>1421</v>
      </c>
    </row>
    <row r="629" spans="1:25" x14ac:dyDescent="0.25">
      <c r="A629" t="str">
        <f>"1059131105"</f>
        <v>1059131105</v>
      </c>
      <c r="B629" t="s">
        <v>1391</v>
      </c>
      <c r="C629" t="s">
        <v>1392</v>
      </c>
      <c r="D629" t="s">
        <v>3853</v>
      </c>
      <c r="E629">
        <v>424004</v>
      </c>
      <c r="F629" t="s">
        <v>1</v>
      </c>
      <c r="G629" t="s">
        <v>2</v>
      </c>
      <c r="H629" t="s">
        <v>1330</v>
      </c>
      <c r="I629" t="s">
        <v>3854</v>
      </c>
      <c r="K629" t="s">
        <v>3855</v>
      </c>
      <c r="P629" t="s">
        <v>20</v>
      </c>
      <c r="Y629" t="s">
        <v>3252</v>
      </c>
    </row>
    <row r="630" spans="1:25" x14ac:dyDescent="0.25">
      <c r="A630" t="str">
        <f>"1059483293"</f>
        <v>1059483293</v>
      </c>
      <c r="B630" t="s">
        <v>3094</v>
      </c>
      <c r="C630" t="s">
        <v>3095</v>
      </c>
      <c r="D630" t="s">
        <v>3856</v>
      </c>
      <c r="F630" t="s">
        <v>1</v>
      </c>
      <c r="G630" t="s">
        <v>2</v>
      </c>
      <c r="H630" t="s">
        <v>3857</v>
      </c>
      <c r="I630" t="s">
        <v>3858</v>
      </c>
      <c r="L630" t="s">
        <v>3859</v>
      </c>
      <c r="M630" t="s">
        <v>3860</v>
      </c>
      <c r="Q630" t="s">
        <v>3861</v>
      </c>
      <c r="Y630" t="s">
        <v>3862</v>
      </c>
    </row>
    <row r="631" spans="1:25" x14ac:dyDescent="0.25">
      <c r="A631" t="str">
        <f>"1059712619"</f>
        <v>1059712619</v>
      </c>
      <c r="B631" t="s">
        <v>131</v>
      </c>
      <c r="C631" t="s">
        <v>3866</v>
      </c>
      <c r="D631" t="s">
        <v>3863</v>
      </c>
      <c r="E631">
        <v>424002</v>
      </c>
      <c r="F631" t="s">
        <v>1</v>
      </c>
      <c r="G631" t="s">
        <v>2</v>
      </c>
      <c r="H631" t="s">
        <v>3864</v>
      </c>
      <c r="I631" t="s">
        <v>3865</v>
      </c>
      <c r="Y631" t="s">
        <v>3867</v>
      </c>
    </row>
    <row r="632" spans="1:25" x14ac:dyDescent="0.25">
      <c r="A632" t="str">
        <f>"1059721606"</f>
        <v>1059721606</v>
      </c>
      <c r="B632" t="s">
        <v>447</v>
      </c>
      <c r="C632" t="s">
        <v>448</v>
      </c>
      <c r="D632" t="s">
        <v>3868</v>
      </c>
      <c r="E632">
        <v>424038</v>
      </c>
      <c r="F632" t="s">
        <v>1</v>
      </c>
      <c r="G632" t="s">
        <v>2</v>
      </c>
      <c r="H632" t="s">
        <v>1862</v>
      </c>
      <c r="I632" t="s">
        <v>3869</v>
      </c>
      <c r="Y632" t="s">
        <v>3870</v>
      </c>
    </row>
    <row r="633" spans="1:25" x14ac:dyDescent="0.25">
      <c r="A633" t="str">
        <f>"1059856186"</f>
        <v>1059856186</v>
      </c>
      <c r="B633" t="s">
        <v>32</v>
      </c>
      <c r="C633" t="s">
        <v>182</v>
      </c>
      <c r="D633" t="s">
        <v>3871</v>
      </c>
      <c r="E633">
        <v>424037</v>
      </c>
      <c r="F633" t="s">
        <v>1</v>
      </c>
      <c r="G633" t="s">
        <v>2</v>
      </c>
      <c r="H633" t="s">
        <v>1849</v>
      </c>
      <c r="Y633" t="s">
        <v>3872</v>
      </c>
    </row>
    <row r="634" spans="1:25" x14ac:dyDescent="0.25">
      <c r="A634" t="str">
        <f>"1060108428"</f>
        <v>1060108428</v>
      </c>
      <c r="B634" t="s">
        <v>1182</v>
      </c>
      <c r="C634" t="s">
        <v>3875</v>
      </c>
      <c r="D634" t="s">
        <v>3873</v>
      </c>
      <c r="E634">
        <v>424006</v>
      </c>
      <c r="F634" t="s">
        <v>1</v>
      </c>
      <c r="G634" t="s">
        <v>2</v>
      </c>
      <c r="H634" t="s">
        <v>751</v>
      </c>
      <c r="I634" t="s">
        <v>3874</v>
      </c>
      <c r="P634" t="s">
        <v>280</v>
      </c>
      <c r="Y634" t="s">
        <v>755</v>
      </c>
    </row>
    <row r="635" spans="1:25" x14ac:dyDescent="0.25">
      <c r="A635" t="str">
        <f>"1060246648"</f>
        <v>1060246648</v>
      </c>
      <c r="B635" t="s">
        <v>1152</v>
      </c>
      <c r="C635" t="s">
        <v>3880</v>
      </c>
      <c r="D635" t="s">
        <v>3876</v>
      </c>
      <c r="E635">
        <v>424002</v>
      </c>
      <c r="F635" t="s">
        <v>1</v>
      </c>
      <c r="G635" t="s">
        <v>2</v>
      </c>
      <c r="H635" t="s">
        <v>3877</v>
      </c>
      <c r="I635" t="s">
        <v>3878</v>
      </c>
      <c r="K635" t="s">
        <v>3879</v>
      </c>
      <c r="P635" t="s">
        <v>280</v>
      </c>
      <c r="Y635" t="s">
        <v>3881</v>
      </c>
    </row>
    <row r="636" spans="1:25" x14ac:dyDescent="0.25">
      <c r="A636" t="str">
        <f>"1060252350"</f>
        <v>1060252350</v>
      </c>
      <c r="B636" t="s">
        <v>1053</v>
      </c>
      <c r="C636" t="s">
        <v>3886</v>
      </c>
      <c r="D636" t="s">
        <v>3882</v>
      </c>
      <c r="F636" t="s">
        <v>1</v>
      </c>
      <c r="G636" t="s">
        <v>2</v>
      </c>
      <c r="H636" t="s">
        <v>1003</v>
      </c>
      <c r="I636" t="s">
        <v>3883</v>
      </c>
      <c r="L636" t="s">
        <v>3884</v>
      </c>
      <c r="M636" t="s">
        <v>3885</v>
      </c>
      <c r="P636" t="s">
        <v>20</v>
      </c>
      <c r="Y636" t="s">
        <v>3887</v>
      </c>
    </row>
    <row r="637" spans="1:25" x14ac:dyDescent="0.25">
      <c r="A637" t="str">
        <f>"1060304739"</f>
        <v>1060304739</v>
      </c>
      <c r="B637" t="s">
        <v>669</v>
      </c>
      <c r="C637" t="s">
        <v>2689</v>
      </c>
      <c r="D637" t="s">
        <v>3888</v>
      </c>
      <c r="F637" t="s">
        <v>1</v>
      </c>
      <c r="G637" t="s">
        <v>2</v>
      </c>
      <c r="H637" t="s">
        <v>343</v>
      </c>
      <c r="P637" t="s">
        <v>280</v>
      </c>
      <c r="Y637" t="s">
        <v>345</v>
      </c>
    </row>
    <row r="638" spans="1:25" x14ac:dyDescent="0.25">
      <c r="A638" t="str">
        <f>"1060308892"</f>
        <v>1060308892</v>
      </c>
      <c r="B638" t="s">
        <v>151</v>
      </c>
      <c r="C638" t="s">
        <v>3894</v>
      </c>
      <c r="D638" t="s">
        <v>3889</v>
      </c>
      <c r="E638">
        <v>424004</v>
      </c>
      <c r="F638" t="s">
        <v>1</v>
      </c>
      <c r="G638" t="s">
        <v>2</v>
      </c>
      <c r="H638" t="s">
        <v>351</v>
      </c>
      <c r="I638" t="s">
        <v>3890</v>
      </c>
      <c r="J638" t="s">
        <v>3891</v>
      </c>
      <c r="L638" t="s">
        <v>3892</v>
      </c>
      <c r="M638" t="s">
        <v>3893</v>
      </c>
      <c r="P638" t="s">
        <v>27</v>
      </c>
      <c r="Y638" t="s">
        <v>354</v>
      </c>
    </row>
    <row r="639" spans="1:25" x14ac:dyDescent="0.25">
      <c r="A639" t="str">
        <f>"1060791030"</f>
        <v>1060791030</v>
      </c>
      <c r="B639" t="s">
        <v>462</v>
      </c>
      <c r="C639" t="s">
        <v>1140</v>
      </c>
      <c r="D639" t="s">
        <v>3895</v>
      </c>
      <c r="E639">
        <v>424036</v>
      </c>
      <c r="F639" t="s">
        <v>1</v>
      </c>
      <c r="G639" t="s">
        <v>2</v>
      </c>
      <c r="H639" t="s">
        <v>3896</v>
      </c>
      <c r="I639" t="s">
        <v>3897</v>
      </c>
      <c r="J639" t="s">
        <v>3898</v>
      </c>
      <c r="L639" t="s">
        <v>3899</v>
      </c>
      <c r="M639" t="s">
        <v>3900</v>
      </c>
      <c r="P639" t="s">
        <v>340</v>
      </c>
      <c r="Q639" t="s">
        <v>3901</v>
      </c>
      <c r="T639" t="s">
        <v>3902</v>
      </c>
      <c r="Y639" t="s">
        <v>3903</v>
      </c>
    </row>
    <row r="640" spans="1:25" x14ac:dyDescent="0.25">
      <c r="A640" t="str">
        <f>"1060870181"</f>
        <v>1060870181</v>
      </c>
      <c r="B640" t="s">
        <v>3908</v>
      </c>
      <c r="C640" t="s">
        <v>3909</v>
      </c>
      <c r="D640" t="s">
        <v>3904</v>
      </c>
      <c r="E640">
        <v>424038</v>
      </c>
      <c r="F640" t="s">
        <v>1</v>
      </c>
      <c r="G640" t="s">
        <v>2</v>
      </c>
      <c r="H640" t="s">
        <v>2087</v>
      </c>
      <c r="I640" t="s">
        <v>3905</v>
      </c>
      <c r="L640" t="s">
        <v>3906</v>
      </c>
      <c r="M640" t="s">
        <v>3907</v>
      </c>
      <c r="P640" t="s">
        <v>3910</v>
      </c>
      <c r="Y640" t="s">
        <v>3911</v>
      </c>
    </row>
    <row r="641" spans="1:25" x14ac:dyDescent="0.25">
      <c r="A641" t="str">
        <f>"1061059212"</f>
        <v>1061059212</v>
      </c>
      <c r="B641" t="s">
        <v>3908</v>
      </c>
      <c r="C641" t="s">
        <v>3918</v>
      </c>
      <c r="D641" t="s">
        <v>3912</v>
      </c>
      <c r="E641">
        <v>424006</v>
      </c>
      <c r="F641" t="s">
        <v>1</v>
      </c>
      <c r="G641" t="s">
        <v>2</v>
      </c>
      <c r="H641" t="s">
        <v>3913</v>
      </c>
      <c r="I641" t="s">
        <v>3914</v>
      </c>
      <c r="J641" t="s">
        <v>3915</v>
      </c>
      <c r="L641" t="s">
        <v>3916</v>
      </c>
      <c r="M641" t="s">
        <v>3917</v>
      </c>
      <c r="P641" t="s">
        <v>3919</v>
      </c>
      <c r="Q641" t="s">
        <v>3920</v>
      </c>
      <c r="Y641" t="s">
        <v>3921</v>
      </c>
    </row>
    <row r="642" spans="1:25" x14ac:dyDescent="0.25">
      <c r="A642" t="str">
        <f>"1061086941"</f>
        <v>1061086941</v>
      </c>
      <c r="B642" t="s">
        <v>18</v>
      </c>
      <c r="C642" t="s">
        <v>143</v>
      </c>
      <c r="D642" t="s">
        <v>3922</v>
      </c>
      <c r="E642">
        <v>424005</v>
      </c>
      <c r="F642" t="s">
        <v>1</v>
      </c>
      <c r="G642" t="s">
        <v>2</v>
      </c>
      <c r="H642" t="s">
        <v>1310</v>
      </c>
      <c r="I642" t="s">
        <v>3923</v>
      </c>
      <c r="L642" t="s">
        <v>3924</v>
      </c>
      <c r="M642" t="s">
        <v>3925</v>
      </c>
      <c r="P642" t="s">
        <v>27</v>
      </c>
      <c r="Y642" t="s">
        <v>3926</v>
      </c>
    </row>
    <row r="643" spans="1:25" x14ac:dyDescent="0.25">
      <c r="A643" t="str">
        <f>"1061117111"</f>
        <v>1061117111</v>
      </c>
      <c r="B643" t="s">
        <v>110</v>
      </c>
      <c r="C643" t="s">
        <v>3931</v>
      </c>
      <c r="D643" t="s">
        <v>3927</v>
      </c>
      <c r="E643">
        <v>424003</v>
      </c>
      <c r="F643" t="s">
        <v>1</v>
      </c>
      <c r="G643" t="s">
        <v>2</v>
      </c>
      <c r="H643" t="s">
        <v>3928</v>
      </c>
      <c r="I643" t="s">
        <v>3929</v>
      </c>
      <c r="L643" t="s">
        <v>3930</v>
      </c>
      <c r="Y643" t="s">
        <v>3932</v>
      </c>
    </row>
    <row r="644" spans="1:25" x14ac:dyDescent="0.25">
      <c r="A644" t="str">
        <f>"1061165298"</f>
        <v>1061165298</v>
      </c>
      <c r="B644" t="s">
        <v>123</v>
      </c>
      <c r="C644" t="s">
        <v>3937</v>
      </c>
      <c r="D644" t="s">
        <v>3933</v>
      </c>
      <c r="E644">
        <v>424006</v>
      </c>
      <c r="F644" t="s">
        <v>1</v>
      </c>
      <c r="G644" t="s">
        <v>2</v>
      </c>
      <c r="H644" t="s">
        <v>2547</v>
      </c>
      <c r="I644" t="s">
        <v>3934</v>
      </c>
      <c r="L644" t="s">
        <v>3935</v>
      </c>
      <c r="M644" t="s">
        <v>3936</v>
      </c>
      <c r="P644" t="s">
        <v>3938</v>
      </c>
      <c r="Q644" t="s">
        <v>3939</v>
      </c>
      <c r="T644" t="s">
        <v>3940</v>
      </c>
      <c r="V644" t="s">
        <v>3941</v>
      </c>
      <c r="Y644" t="s">
        <v>3942</v>
      </c>
    </row>
    <row r="645" spans="1:25" x14ac:dyDescent="0.25">
      <c r="A645" t="str">
        <f>"1061203160"</f>
        <v>1061203160</v>
      </c>
      <c r="B645" t="s">
        <v>117</v>
      </c>
      <c r="C645" t="s">
        <v>118</v>
      </c>
      <c r="D645" t="s">
        <v>3943</v>
      </c>
      <c r="E645">
        <v>424007</v>
      </c>
      <c r="F645" t="s">
        <v>1</v>
      </c>
      <c r="G645" t="s">
        <v>2</v>
      </c>
      <c r="H645" t="s">
        <v>3944</v>
      </c>
      <c r="I645" t="s">
        <v>3945</v>
      </c>
      <c r="Y645" t="s">
        <v>3946</v>
      </c>
    </row>
    <row r="646" spans="1:25" x14ac:dyDescent="0.25">
      <c r="A646" t="str">
        <f>"1061238626"</f>
        <v>1061238626</v>
      </c>
      <c r="B646" t="s">
        <v>417</v>
      </c>
      <c r="C646" t="s">
        <v>418</v>
      </c>
      <c r="D646" t="s">
        <v>3947</v>
      </c>
      <c r="E646">
        <v>424033</v>
      </c>
      <c r="F646" t="s">
        <v>1</v>
      </c>
      <c r="G646" t="s">
        <v>2</v>
      </c>
      <c r="H646" t="s">
        <v>2342</v>
      </c>
      <c r="I646" t="s">
        <v>3948</v>
      </c>
      <c r="P646" t="s">
        <v>3949</v>
      </c>
      <c r="Y646" t="s">
        <v>3950</v>
      </c>
    </row>
    <row r="647" spans="1:25" x14ac:dyDescent="0.25">
      <c r="A647" t="str">
        <f>"1061301389"</f>
        <v>1061301389</v>
      </c>
      <c r="B647" t="s">
        <v>233</v>
      </c>
      <c r="C647" t="s">
        <v>3952</v>
      </c>
      <c r="D647" t="s">
        <v>3951</v>
      </c>
      <c r="F647" t="s">
        <v>1</v>
      </c>
      <c r="G647" t="s">
        <v>2</v>
      </c>
      <c r="H647" t="s">
        <v>1600</v>
      </c>
      <c r="Y647" t="s">
        <v>2417</v>
      </c>
    </row>
    <row r="648" spans="1:25" x14ac:dyDescent="0.25">
      <c r="A648" t="str">
        <f>"1061317609"</f>
        <v>1061317609</v>
      </c>
      <c r="B648" t="s">
        <v>519</v>
      </c>
      <c r="C648" t="s">
        <v>3954</v>
      </c>
      <c r="D648" t="s">
        <v>3953</v>
      </c>
      <c r="E648">
        <v>424006</v>
      </c>
      <c r="F648" t="s">
        <v>1</v>
      </c>
      <c r="G648" t="s">
        <v>2</v>
      </c>
      <c r="H648" t="s">
        <v>2525</v>
      </c>
      <c r="Y648" t="s">
        <v>2527</v>
      </c>
    </row>
    <row r="649" spans="1:25" x14ac:dyDescent="0.25">
      <c r="A649" t="str">
        <f>"1061519053"</f>
        <v>1061519053</v>
      </c>
      <c r="B649" t="s">
        <v>3958</v>
      </c>
      <c r="C649" t="s">
        <v>3959</v>
      </c>
      <c r="D649" t="s">
        <v>3955</v>
      </c>
      <c r="E649">
        <v>424004</v>
      </c>
      <c r="F649" t="s">
        <v>1</v>
      </c>
      <c r="G649" t="s">
        <v>2</v>
      </c>
      <c r="H649" t="s">
        <v>3956</v>
      </c>
      <c r="I649" t="s">
        <v>3957</v>
      </c>
      <c r="P649" t="s">
        <v>280</v>
      </c>
      <c r="Y649" t="s">
        <v>3960</v>
      </c>
    </row>
    <row r="650" spans="1:25" x14ac:dyDescent="0.25">
      <c r="A650" t="str">
        <f>"1061556311"</f>
        <v>1061556311</v>
      </c>
      <c r="B650" t="s">
        <v>151</v>
      </c>
      <c r="C650" t="s">
        <v>151</v>
      </c>
      <c r="D650" t="s">
        <v>3961</v>
      </c>
      <c r="E650">
        <v>424031</v>
      </c>
      <c r="F650" t="s">
        <v>1</v>
      </c>
      <c r="G650" t="s">
        <v>2</v>
      </c>
      <c r="H650" t="s">
        <v>3962</v>
      </c>
      <c r="I650" t="s">
        <v>3963</v>
      </c>
      <c r="P650" t="s">
        <v>27</v>
      </c>
      <c r="Y650" t="s">
        <v>3964</v>
      </c>
    </row>
    <row r="651" spans="1:25" x14ac:dyDescent="0.25">
      <c r="A651" t="str">
        <f>"1061653487"</f>
        <v>1061653487</v>
      </c>
      <c r="B651" t="s">
        <v>2474</v>
      </c>
      <c r="C651" t="s">
        <v>2475</v>
      </c>
      <c r="D651" t="s">
        <v>3965</v>
      </c>
      <c r="E651">
        <v>424036</v>
      </c>
      <c r="F651" t="s">
        <v>1</v>
      </c>
      <c r="G651" t="s">
        <v>2</v>
      </c>
      <c r="H651" t="s">
        <v>3896</v>
      </c>
      <c r="I651" t="s">
        <v>3966</v>
      </c>
      <c r="P651" t="s">
        <v>1731</v>
      </c>
      <c r="Y651" t="s">
        <v>3903</v>
      </c>
    </row>
    <row r="652" spans="1:25" x14ac:dyDescent="0.25">
      <c r="A652" t="str">
        <f>"1061811192"</f>
        <v>1061811192</v>
      </c>
      <c r="B652" t="s">
        <v>379</v>
      </c>
      <c r="C652" t="s">
        <v>2661</v>
      </c>
      <c r="D652" t="s">
        <v>3967</v>
      </c>
      <c r="E652">
        <v>424000</v>
      </c>
      <c r="F652" t="s">
        <v>1</v>
      </c>
      <c r="G652" t="s">
        <v>2</v>
      </c>
      <c r="H652" t="s">
        <v>2193</v>
      </c>
      <c r="Y652" t="s">
        <v>2196</v>
      </c>
    </row>
    <row r="653" spans="1:25" x14ac:dyDescent="0.25">
      <c r="A653" t="str">
        <f>"1061859545"</f>
        <v>1061859545</v>
      </c>
      <c r="B653" t="s">
        <v>96</v>
      </c>
      <c r="C653" t="s">
        <v>3972</v>
      </c>
      <c r="D653" t="s">
        <v>3968</v>
      </c>
      <c r="E653">
        <v>424000</v>
      </c>
      <c r="F653" t="s">
        <v>1</v>
      </c>
      <c r="G653" t="s">
        <v>2</v>
      </c>
      <c r="H653" t="s">
        <v>3483</v>
      </c>
      <c r="I653" t="s">
        <v>3969</v>
      </c>
      <c r="L653" t="s">
        <v>3970</v>
      </c>
      <c r="M653" t="s">
        <v>3971</v>
      </c>
      <c r="P653" t="s">
        <v>2315</v>
      </c>
      <c r="Q653" t="s">
        <v>3973</v>
      </c>
      <c r="R653" t="s">
        <v>3974</v>
      </c>
      <c r="T653" t="s">
        <v>3975</v>
      </c>
      <c r="V653" t="s">
        <v>3976</v>
      </c>
      <c r="Y653" t="s">
        <v>3977</v>
      </c>
    </row>
    <row r="654" spans="1:25" x14ac:dyDescent="0.25">
      <c r="A654" t="str">
        <f>"1061860788"</f>
        <v>1061860788</v>
      </c>
      <c r="B654" t="s">
        <v>1152</v>
      </c>
      <c r="C654" t="s">
        <v>1385</v>
      </c>
      <c r="D654" t="s">
        <v>3978</v>
      </c>
      <c r="E654">
        <v>424038</v>
      </c>
      <c r="F654" t="s">
        <v>1</v>
      </c>
      <c r="G654" t="s">
        <v>2</v>
      </c>
      <c r="H654" t="s">
        <v>1862</v>
      </c>
      <c r="I654" t="s">
        <v>3979</v>
      </c>
      <c r="P654" t="s">
        <v>390</v>
      </c>
      <c r="Y654" t="s">
        <v>3980</v>
      </c>
    </row>
    <row r="655" spans="1:25" x14ac:dyDescent="0.25">
      <c r="A655" t="str">
        <f>"1061870206"</f>
        <v>1061870206</v>
      </c>
      <c r="B655" t="s">
        <v>447</v>
      </c>
      <c r="C655" t="s">
        <v>448</v>
      </c>
      <c r="D655" t="s">
        <v>3868</v>
      </c>
      <c r="E655">
        <v>424016</v>
      </c>
      <c r="F655" t="s">
        <v>1</v>
      </c>
      <c r="G655" t="s">
        <v>2</v>
      </c>
      <c r="H655" t="s">
        <v>3981</v>
      </c>
      <c r="Y655" t="s">
        <v>3982</v>
      </c>
    </row>
    <row r="656" spans="1:25" x14ac:dyDescent="0.25">
      <c r="A656" t="str">
        <f>"1061996976"</f>
        <v>1061996976</v>
      </c>
      <c r="B656" t="s">
        <v>462</v>
      </c>
      <c r="C656" t="s">
        <v>3988</v>
      </c>
      <c r="D656" t="s">
        <v>3983</v>
      </c>
      <c r="F656" t="s">
        <v>1</v>
      </c>
      <c r="G656" t="s">
        <v>2</v>
      </c>
      <c r="H656" t="s">
        <v>3984</v>
      </c>
      <c r="I656" t="s">
        <v>3985</v>
      </c>
      <c r="L656" t="s">
        <v>3986</v>
      </c>
      <c r="M656" t="s">
        <v>3987</v>
      </c>
      <c r="P656" t="s">
        <v>2020</v>
      </c>
      <c r="Y656" t="s">
        <v>3989</v>
      </c>
    </row>
    <row r="657" spans="1:25" x14ac:dyDescent="0.25">
      <c r="A657" t="str">
        <f>"1062158937"</f>
        <v>1062158937</v>
      </c>
      <c r="B657" t="s">
        <v>519</v>
      </c>
      <c r="C657" t="s">
        <v>3994</v>
      </c>
      <c r="D657" t="s">
        <v>3990</v>
      </c>
      <c r="E657">
        <v>424030</v>
      </c>
      <c r="F657" t="s">
        <v>1</v>
      </c>
      <c r="G657" t="s">
        <v>2</v>
      </c>
      <c r="H657" t="s">
        <v>3991</v>
      </c>
      <c r="I657" t="s">
        <v>3992</v>
      </c>
      <c r="K657" t="s">
        <v>3993</v>
      </c>
      <c r="P657" t="s">
        <v>280</v>
      </c>
      <c r="Y657" t="s">
        <v>3995</v>
      </c>
    </row>
    <row r="658" spans="1:25" x14ac:dyDescent="0.25">
      <c r="A658" t="str">
        <f>"1062254261"</f>
        <v>1062254261</v>
      </c>
      <c r="B658" t="s">
        <v>1262</v>
      </c>
      <c r="C658" t="s">
        <v>3998</v>
      </c>
      <c r="D658" t="s">
        <v>3996</v>
      </c>
      <c r="E658">
        <v>424003</v>
      </c>
      <c r="F658" t="s">
        <v>1</v>
      </c>
      <c r="G658" t="s">
        <v>2</v>
      </c>
      <c r="H658" t="s">
        <v>1725</v>
      </c>
      <c r="I658" t="s">
        <v>3997</v>
      </c>
      <c r="Y658" t="s">
        <v>3999</v>
      </c>
    </row>
    <row r="659" spans="1:25" x14ac:dyDescent="0.25">
      <c r="A659" t="str">
        <f>"1062313064"</f>
        <v>1062313064</v>
      </c>
      <c r="B659" t="s">
        <v>1475</v>
      </c>
      <c r="C659" t="s">
        <v>4005</v>
      </c>
      <c r="D659" t="s">
        <v>4000</v>
      </c>
      <c r="E659">
        <v>424002</v>
      </c>
      <c r="F659" t="s">
        <v>1</v>
      </c>
      <c r="G659" t="s">
        <v>2</v>
      </c>
      <c r="H659" t="s">
        <v>4001</v>
      </c>
      <c r="I659" t="s">
        <v>4002</v>
      </c>
      <c r="L659" t="s">
        <v>4003</v>
      </c>
      <c r="M659" t="s">
        <v>4004</v>
      </c>
      <c r="P659" t="s">
        <v>4006</v>
      </c>
      <c r="Q659" t="s">
        <v>4007</v>
      </c>
      <c r="R659" t="s">
        <v>4008</v>
      </c>
      <c r="S659" t="s">
        <v>4009</v>
      </c>
      <c r="T659" t="s">
        <v>4010</v>
      </c>
      <c r="U659" t="s">
        <v>4011</v>
      </c>
      <c r="V659" t="s">
        <v>4012</v>
      </c>
      <c r="Y659" t="s">
        <v>4013</v>
      </c>
    </row>
    <row r="660" spans="1:25" x14ac:dyDescent="0.25">
      <c r="A660" t="str">
        <f>"1062540948"</f>
        <v>1062540948</v>
      </c>
      <c r="B660" t="s">
        <v>1268</v>
      </c>
      <c r="C660" t="s">
        <v>4018</v>
      </c>
      <c r="D660" t="s">
        <v>4014</v>
      </c>
      <c r="F660" t="s">
        <v>1</v>
      </c>
      <c r="G660" t="s">
        <v>2</v>
      </c>
      <c r="H660" t="s">
        <v>684</v>
      </c>
      <c r="J660" t="s">
        <v>4015</v>
      </c>
      <c r="L660" t="s">
        <v>4016</v>
      </c>
      <c r="M660" t="s">
        <v>4017</v>
      </c>
      <c r="P660" t="s">
        <v>1027</v>
      </c>
      <c r="Y660" t="s">
        <v>4019</v>
      </c>
    </row>
    <row r="661" spans="1:25" x14ac:dyDescent="0.25">
      <c r="A661" t="str">
        <f>"1062743195"</f>
        <v>1062743195</v>
      </c>
      <c r="B661" t="s">
        <v>3700</v>
      </c>
      <c r="C661" t="s">
        <v>4023</v>
      </c>
      <c r="D661" t="s">
        <v>4020</v>
      </c>
      <c r="E661">
        <v>424000</v>
      </c>
      <c r="F661" t="s">
        <v>1</v>
      </c>
      <c r="G661" t="s">
        <v>2</v>
      </c>
      <c r="H661" t="s">
        <v>4021</v>
      </c>
      <c r="I661" t="s">
        <v>4022</v>
      </c>
      <c r="P661" t="s">
        <v>748</v>
      </c>
      <c r="Y661" t="s">
        <v>4024</v>
      </c>
    </row>
    <row r="662" spans="1:25" x14ac:dyDescent="0.25">
      <c r="A662" t="str">
        <f>"1062863124"</f>
        <v>1062863124</v>
      </c>
      <c r="B662" t="s">
        <v>4027</v>
      </c>
      <c r="C662" t="s">
        <v>4028</v>
      </c>
      <c r="D662" t="s">
        <v>4025</v>
      </c>
      <c r="E662">
        <v>424036</v>
      </c>
      <c r="F662" t="s">
        <v>1</v>
      </c>
      <c r="G662" t="s">
        <v>2</v>
      </c>
      <c r="H662" t="s">
        <v>3896</v>
      </c>
      <c r="I662" t="s">
        <v>4026</v>
      </c>
      <c r="Y662" t="s">
        <v>3903</v>
      </c>
    </row>
    <row r="663" spans="1:25" x14ac:dyDescent="0.25">
      <c r="A663" t="str">
        <f>"1062894465"</f>
        <v>1062894465</v>
      </c>
      <c r="B663" t="s">
        <v>654</v>
      </c>
      <c r="C663" t="s">
        <v>4033</v>
      </c>
      <c r="D663" t="s">
        <v>4029</v>
      </c>
      <c r="F663" t="s">
        <v>1</v>
      </c>
      <c r="G663" t="s">
        <v>2</v>
      </c>
      <c r="H663" t="s">
        <v>4030</v>
      </c>
      <c r="I663" t="s">
        <v>4031</v>
      </c>
      <c r="K663" t="s">
        <v>4032</v>
      </c>
      <c r="P663" t="s">
        <v>27</v>
      </c>
      <c r="Y663" t="s">
        <v>4034</v>
      </c>
    </row>
    <row r="664" spans="1:25" x14ac:dyDescent="0.25">
      <c r="A664" t="str">
        <f>"1063004005"</f>
        <v>1063004005</v>
      </c>
      <c r="B664" t="s">
        <v>930</v>
      </c>
      <c r="C664" t="s">
        <v>4039</v>
      </c>
      <c r="D664" t="s">
        <v>4035</v>
      </c>
      <c r="E664">
        <v>424004</v>
      </c>
      <c r="F664" t="s">
        <v>1</v>
      </c>
      <c r="G664" t="s">
        <v>2</v>
      </c>
      <c r="H664" t="s">
        <v>4036</v>
      </c>
      <c r="I664" t="s">
        <v>4037</v>
      </c>
      <c r="J664" t="s">
        <v>4038</v>
      </c>
      <c r="P664" t="s">
        <v>280</v>
      </c>
      <c r="Y664" t="s">
        <v>4040</v>
      </c>
    </row>
    <row r="665" spans="1:25" x14ac:dyDescent="0.25">
      <c r="A665" t="str">
        <f>"1063203052"</f>
        <v>1063203052</v>
      </c>
      <c r="B665" t="s">
        <v>224</v>
      </c>
      <c r="C665" t="s">
        <v>3240</v>
      </c>
      <c r="D665" t="s">
        <v>4041</v>
      </c>
      <c r="E665">
        <v>424031</v>
      </c>
      <c r="F665" t="s">
        <v>1</v>
      </c>
      <c r="G665" t="s">
        <v>2</v>
      </c>
      <c r="H665" t="s">
        <v>1900</v>
      </c>
      <c r="I665" t="s">
        <v>4042</v>
      </c>
      <c r="K665" t="s">
        <v>4042</v>
      </c>
      <c r="P665" t="s">
        <v>4043</v>
      </c>
      <c r="Y665" t="s">
        <v>1905</v>
      </c>
    </row>
    <row r="666" spans="1:25" x14ac:dyDescent="0.25">
      <c r="A666" t="str">
        <f>"1063248064"</f>
        <v>1063248064</v>
      </c>
      <c r="B666" t="s">
        <v>574</v>
      </c>
      <c r="C666" t="s">
        <v>646</v>
      </c>
      <c r="D666" t="s">
        <v>3636</v>
      </c>
      <c r="E666">
        <v>424007</v>
      </c>
      <c r="F666" t="s">
        <v>1</v>
      </c>
      <c r="G666" t="s">
        <v>2</v>
      </c>
      <c r="H666" t="s">
        <v>1389</v>
      </c>
      <c r="Y666" t="s">
        <v>1393</v>
      </c>
    </row>
    <row r="667" spans="1:25" x14ac:dyDescent="0.25">
      <c r="A667" t="str">
        <f>"1063387746"</f>
        <v>1063387746</v>
      </c>
      <c r="B667" t="s">
        <v>7</v>
      </c>
      <c r="C667" t="s">
        <v>4048</v>
      </c>
      <c r="D667" t="s">
        <v>4044</v>
      </c>
      <c r="E667">
        <v>424000</v>
      </c>
      <c r="F667" t="s">
        <v>1</v>
      </c>
      <c r="G667" t="s">
        <v>2</v>
      </c>
      <c r="H667" t="s">
        <v>499</v>
      </c>
      <c r="I667" t="s">
        <v>4045</v>
      </c>
      <c r="L667" t="s">
        <v>4046</v>
      </c>
      <c r="M667" t="s">
        <v>4047</v>
      </c>
      <c r="P667" t="s">
        <v>4049</v>
      </c>
      <c r="Q667" t="s">
        <v>4050</v>
      </c>
      <c r="Y667" t="s">
        <v>4051</v>
      </c>
    </row>
    <row r="668" spans="1:25" x14ac:dyDescent="0.25">
      <c r="A668" t="str">
        <f>"1063392897"</f>
        <v>1063392897</v>
      </c>
      <c r="B668" t="s">
        <v>482</v>
      </c>
      <c r="C668" t="s">
        <v>4057</v>
      </c>
      <c r="D668" t="s">
        <v>4052</v>
      </c>
      <c r="E668">
        <v>424031</v>
      </c>
      <c r="F668" t="s">
        <v>1</v>
      </c>
      <c r="G668" t="s">
        <v>2</v>
      </c>
      <c r="H668" t="s">
        <v>4053</v>
      </c>
      <c r="I668" t="s">
        <v>4054</v>
      </c>
      <c r="L668" t="s">
        <v>4055</v>
      </c>
      <c r="M668" t="s">
        <v>4056</v>
      </c>
      <c r="P668" t="s">
        <v>390</v>
      </c>
      <c r="Q668" t="s">
        <v>4058</v>
      </c>
      <c r="U668" t="s">
        <v>4059</v>
      </c>
      <c r="V668" t="s">
        <v>4060</v>
      </c>
      <c r="Y668" t="s">
        <v>4061</v>
      </c>
    </row>
    <row r="669" spans="1:25" x14ac:dyDescent="0.25">
      <c r="A669" t="str">
        <f>"1063404726"</f>
        <v>1063404726</v>
      </c>
      <c r="B669" t="s">
        <v>1152</v>
      </c>
      <c r="C669" t="s">
        <v>4063</v>
      </c>
      <c r="D669" t="s">
        <v>1507</v>
      </c>
      <c r="E669">
        <v>424000</v>
      </c>
      <c r="F669" t="s">
        <v>1</v>
      </c>
      <c r="G669" t="s">
        <v>2</v>
      </c>
      <c r="H669" t="s">
        <v>1473</v>
      </c>
      <c r="I669" t="s">
        <v>4062</v>
      </c>
      <c r="L669" t="s">
        <v>1511</v>
      </c>
      <c r="M669" t="s">
        <v>1512</v>
      </c>
      <c r="P669" t="s">
        <v>4064</v>
      </c>
      <c r="Q669" t="s">
        <v>4065</v>
      </c>
      <c r="R669" t="s">
        <v>4066</v>
      </c>
      <c r="Y669" t="s">
        <v>4067</v>
      </c>
    </row>
    <row r="670" spans="1:25" x14ac:dyDescent="0.25">
      <c r="A670" t="str">
        <f>"1063508812"</f>
        <v>1063508812</v>
      </c>
      <c r="B670" t="s">
        <v>2790</v>
      </c>
      <c r="C670" t="s">
        <v>3744</v>
      </c>
      <c r="D670" t="s">
        <v>4068</v>
      </c>
      <c r="E670">
        <v>424006</v>
      </c>
      <c r="F670" t="s">
        <v>1</v>
      </c>
      <c r="G670" t="s">
        <v>2</v>
      </c>
      <c r="H670" t="s">
        <v>4069</v>
      </c>
      <c r="I670" t="s">
        <v>4070</v>
      </c>
      <c r="L670" t="s">
        <v>4071</v>
      </c>
      <c r="M670" t="s">
        <v>4072</v>
      </c>
      <c r="P670" t="s">
        <v>4073</v>
      </c>
      <c r="Q670" t="s">
        <v>4074</v>
      </c>
      <c r="S670" t="s">
        <v>4075</v>
      </c>
      <c r="Y670" t="s">
        <v>4076</v>
      </c>
    </row>
    <row r="671" spans="1:25" x14ac:dyDescent="0.25">
      <c r="A671" t="str">
        <f>"1063661005"</f>
        <v>1063661005</v>
      </c>
      <c r="B671" t="s">
        <v>224</v>
      </c>
      <c r="C671" t="s">
        <v>3240</v>
      </c>
      <c r="D671" t="s">
        <v>4077</v>
      </c>
      <c r="E671">
        <v>424006</v>
      </c>
      <c r="F671" t="s">
        <v>1</v>
      </c>
      <c r="G671" t="s">
        <v>2</v>
      </c>
      <c r="H671" t="s">
        <v>4078</v>
      </c>
      <c r="I671" t="s">
        <v>4079</v>
      </c>
      <c r="K671" t="s">
        <v>4079</v>
      </c>
      <c r="P671" t="s">
        <v>20</v>
      </c>
      <c r="Y671" t="s">
        <v>4080</v>
      </c>
    </row>
    <row r="672" spans="1:25" x14ac:dyDescent="0.25">
      <c r="A672" t="str">
        <f>"1063662339"</f>
        <v>1063662339</v>
      </c>
      <c r="B672" t="s">
        <v>4084</v>
      </c>
      <c r="C672" t="s">
        <v>4085</v>
      </c>
      <c r="D672" t="s">
        <v>4081</v>
      </c>
      <c r="E672">
        <v>424031</v>
      </c>
      <c r="F672" t="s">
        <v>1</v>
      </c>
      <c r="G672" t="s">
        <v>2</v>
      </c>
      <c r="H672" t="s">
        <v>4082</v>
      </c>
      <c r="I672" t="s">
        <v>4083</v>
      </c>
      <c r="Y672" t="s">
        <v>4086</v>
      </c>
    </row>
    <row r="673" spans="1:25" x14ac:dyDescent="0.25">
      <c r="A673" t="str">
        <f>"1063762147"</f>
        <v>1063762147</v>
      </c>
      <c r="B673" t="s">
        <v>417</v>
      </c>
      <c r="C673" t="s">
        <v>418</v>
      </c>
      <c r="D673" t="s">
        <v>4087</v>
      </c>
      <c r="E673">
        <v>424008</v>
      </c>
      <c r="F673" t="s">
        <v>1</v>
      </c>
      <c r="G673" t="s">
        <v>2</v>
      </c>
      <c r="H673" t="s">
        <v>4088</v>
      </c>
      <c r="I673" t="s">
        <v>4089</v>
      </c>
      <c r="J673" t="s">
        <v>4090</v>
      </c>
      <c r="L673" t="s">
        <v>4091</v>
      </c>
      <c r="M673" t="s">
        <v>4092</v>
      </c>
      <c r="P673" t="s">
        <v>4093</v>
      </c>
      <c r="Y673" t="s">
        <v>4094</v>
      </c>
    </row>
    <row r="674" spans="1:25" x14ac:dyDescent="0.25">
      <c r="A674" t="str">
        <f>"1064094916"</f>
        <v>1064094916</v>
      </c>
      <c r="B674" t="s">
        <v>151</v>
      </c>
      <c r="C674" t="s">
        <v>1034</v>
      </c>
      <c r="D674" t="s">
        <v>4095</v>
      </c>
      <c r="E674">
        <v>424002</v>
      </c>
      <c r="F674" t="s">
        <v>1</v>
      </c>
      <c r="G674" t="s">
        <v>2</v>
      </c>
      <c r="H674" t="s">
        <v>662</v>
      </c>
      <c r="J674" t="s">
        <v>4096</v>
      </c>
      <c r="P674" t="s">
        <v>27</v>
      </c>
      <c r="Y674" t="s">
        <v>664</v>
      </c>
    </row>
    <row r="675" spans="1:25" x14ac:dyDescent="0.25">
      <c r="A675" t="str">
        <f>"1064099881"</f>
        <v>1064099881</v>
      </c>
      <c r="B675" t="s">
        <v>1078</v>
      </c>
      <c r="C675" t="s">
        <v>4102</v>
      </c>
      <c r="D675" t="s">
        <v>4097</v>
      </c>
      <c r="E675">
        <v>424000</v>
      </c>
      <c r="F675" t="s">
        <v>1</v>
      </c>
      <c r="G675" t="s">
        <v>2</v>
      </c>
      <c r="H675" t="s">
        <v>4098</v>
      </c>
      <c r="I675" t="s">
        <v>4099</v>
      </c>
      <c r="L675" t="s">
        <v>4100</v>
      </c>
      <c r="M675" t="s">
        <v>4101</v>
      </c>
      <c r="P675" t="s">
        <v>4103</v>
      </c>
      <c r="Q675" t="s">
        <v>4104</v>
      </c>
      <c r="V675" t="s">
        <v>4105</v>
      </c>
      <c r="Y675" t="s">
        <v>4106</v>
      </c>
    </row>
    <row r="676" spans="1:25" x14ac:dyDescent="0.25">
      <c r="A676" t="str">
        <f>"1064218270"</f>
        <v>1064218270</v>
      </c>
      <c r="B676" t="s">
        <v>462</v>
      </c>
      <c r="C676" t="s">
        <v>4112</v>
      </c>
      <c r="D676" t="s">
        <v>4107</v>
      </c>
      <c r="E676">
        <v>424030</v>
      </c>
      <c r="F676" t="s">
        <v>1</v>
      </c>
      <c r="G676" t="s">
        <v>2</v>
      </c>
      <c r="H676" t="s">
        <v>440</v>
      </c>
      <c r="I676" t="s">
        <v>4108</v>
      </c>
      <c r="J676" t="s">
        <v>4109</v>
      </c>
      <c r="L676" t="s">
        <v>4110</v>
      </c>
      <c r="M676" t="s">
        <v>4111</v>
      </c>
      <c r="P676" t="s">
        <v>4113</v>
      </c>
      <c r="Q676" t="s">
        <v>4114</v>
      </c>
      <c r="Y676" t="s">
        <v>4115</v>
      </c>
    </row>
    <row r="677" spans="1:25" x14ac:dyDescent="0.25">
      <c r="A677" t="str">
        <f>"1064232700"</f>
        <v>1064232700</v>
      </c>
      <c r="B677" t="s">
        <v>176</v>
      </c>
      <c r="C677" t="s">
        <v>4120</v>
      </c>
      <c r="D677" t="s">
        <v>4116</v>
      </c>
      <c r="F677" t="s">
        <v>1</v>
      </c>
      <c r="G677" t="s">
        <v>2</v>
      </c>
      <c r="H677" t="s">
        <v>4117</v>
      </c>
      <c r="I677" t="s">
        <v>4118</v>
      </c>
      <c r="J677" t="s">
        <v>4119</v>
      </c>
      <c r="P677" t="s">
        <v>330</v>
      </c>
      <c r="Q677" t="s">
        <v>4121</v>
      </c>
      <c r="Y677" t="s">
        <v>4122</v>
      </c>
    </row>
    <row r="678" spans="1:25" x14ac:dyDescent="0.25">
      <c r="A678" t="str">
        <f>"1064465618"</f>
        <v>1064465618</v>
      </c>
      <c r="B678" t="s">
        <v>32</v>
      </c>
      <c r="C678" t="s">
        <v>4125</v>
      </c>
      <c r="D678" t="s">
        <v>4123</v>
      </c>
      <c r="F678" t="s">
        <v>1</v>
      </c>
      <c r="G678" t="s">
        <v>2</v>
      </c>
      <c r="H678" t="s">
        <v>2018</v>
      </c>
      <c r="I678" t="s">
        <v>4124</v>
      </c>
      <c r="P678" t="s">
        <v>4126</v>
      </c>
      <c r="Y678" t="s">
        <v>4127</v>
      </c>
    </row>
    <row r="679" spans="1:25" x14ac:dyDescent="0.25">
      <c r="A679" t="str">
        <f>"1064473030"</f>
        <v>1064473030</v>
      </c>
      <c r="B679" t="s">
        <v>930</v>
      </c>
      <c r="C679" t="s">
        <v>4131</v>
      </c>
      <c r="D679" t="s">
        <v>4128</v>
      </c>
      <c r="E679">
        <v>424007</v>
      </c>
      <c r="F679" t="s">
        <v>1</v>
      </c>
      <c r="G679" t="s">
        <v>2</v>
      </c>
      <c r="H679" t="s">
        <v>4129</v>
      </c>
      <c r="J679" t="s">
        <v>4130</v>
      </c>
      <c r="P679" t="s">
        <v>20</v>
      </c>
      <c r="Y679" t="s">
        <v>4132</v>
      </c>
    </row>
    <row r="680" spans="1:25" x14ac:dyDescent="0.25">
      <c r="A680" t="str">
        <f>"1064527405"</f>
        <v>1064527405</v>
      </c>
      <c r="B680" t="s">
        <v>462</v>
      </c>
      <c r="C680" t="s">
        <v>525</v>
      </c>
      <c r="D680" t="s">
        <v>4133</v>
      </c>
      <c r="E680">
        <v>424002</v>
      </c>
      <c r="F680" t="s">
        <v>1</v>
      </c>
      <c r="G680" t="s">
        <v>2</v>
      </c>
      <c r="H680" t="s">
        <v>4134</v>
      </c>
      <c r="Y680" t="s">
        <v>4135</v>
      </c>
    </row>
    <row r="681" spans="1:25" x14ac:dyDescent="0.25">
      <c r="A681" t="str">
        <f>"1064559920"</f>
        <v>1064559920</v>
      </c>
      <c r="B681" t="s">
        <v>224</v>
      </c>
      <c r="C681" t="s">
        <v>4139</v>
      </c>
      <c r="D681" t="s">
        <v>4136</v>
      </c>
      <c r="E681">
        <v>424007</v>
      </c>
      <c r="F681" t="s">
        <v>1</v>
      </c>
      <c r="G681" t="s">
        <v>2</v>
      </c>
      <c r="H681" t="s">
        <v>1085</v>
      </c>
      <c r="I681" t="s">
        <v>4137</v>
      </c>
      <c r="J681" t="s">
        <v>4138</v>
      </c>
      <c r="P681" t="s">
        <v>27</v>
      </c>
      <c r="Y681" t="s">
        <v>1412</v>
      </c>
    </row>
    <row r="682" spans="1:25" x14ac:dyDescent="0.25">
      <c r="A682" t="str">
        <f>"1064811451"</f>
        <v>1064811451</v>
      </c>
      <c r="B682" t="s">
        <v>371</v>
      </c>
      <c r="C682" t="s">
        <v>4143</v>
      </c>
      <c r="D682" t="s">
        <v>4140</v>
      </c>
      <c r="E682">
        <v>424031</v>
      </c>
      <c r="F682" t="s">
        <v>1</v>
      </c>
      <c r="G682" t="s">
        <v>2</v>
      </c>
      <c r="H682" t="s">
        <v>4141</v>
      </c>
      <c r="I682" t="s">
        <v>4142</v>
      </c>
      <c r="Y682" t="s">
        <v>4144</v>
      </c>
    </row>
    <row r="683" spans="1:25" x14ac:dyDescent="0.25">
      <c r="A683" t="str">
        <f>"1064886336"</f>
        <v>1064886336</v>
      </c>
      <c r="B683" t="s">
        <v>176</v>
      </c>
      <c r="C683" t="s">
        <v>566</v>
      </c>
      <c r="D683" t="s">
        <v>4145</v>
      </c>
      <c r="E683">
        <v>424004</v>
      </c>
      <c r="F683" t="s">
        <v>1</v>
      </c>
      <c r="G683" t="s">
        <v>2</v>
      </c>
      <c r="H683" t="s">
        <v>4146</v>
      </c>
      <c r="I683" t="s">
        <v>4147</v>
      </c>
      <c r="P683" t="s">
        <v>330</v>
      </c>
      <c r="Y683" t="s">
        <v>4148</v>
      </c>
    </row>
    <row r="684" spans="1:25" x14ac:dyDescent="0.25">
      <c r="A684" t="str">
        <f>"1064916593"</f>
        <v>1064916593</v>
      </c>
      <c r="B684" t="s">
        <v>1617</v>
      </c>
      <c r="C684" t="s">
        <v>1618</v>
      </c>
      <c r="D684" t="s">
        <v>4149</v>
      </c>
      <c r="E684">
        <v>424003</v>
      </c>
      <c r="F684" t="s">
        <v>1</v>
      </c>
      <c r="G684" t="s">
        <v>2</v>
      </c>
      <c r="H684" t="s">
        <v>1725</v>
      </c>
      <c r="I684" t="s">
        <v>4150</v>
      </c>
      <c r="P684" t="s">
        <v>27</v>
      </c>
      <c r="Y684" t="s">
        <v>3546</v>
      </c>
    </row>
    <row r="685" spans="1:25" x14ac:dyDescent="0.25">
      <c r="A685" t="str">
        <f>"1064969121"</f>
        <v>1064969121</v>
      </c>
      <c r="B685" t="s">
        <v>18</v>
      </c>
      <c r="C685" t="s">
        <v>4154</v>
      </c>
      <c r="D685" t="s">
        <v>4151</v>
      </c>
      <c r="F685" t="s">
        <v>1</v>
      </c>
      <c r="G685" t="s">
        <v>2</v>
      </c>
      <c r="H685" t="s">
        <v>4152</v>
      </c>
      <c r="I685" t="s">
        <v>4153</v>
      </c>
      <c r="P685" t="s">
        <v>4155</v>
      </c>
      <c r="Y685" t="s">
        <v>4156</v>
      </c>
    </row>
    <row r="686" spans="1:25" x14ac:dyDescent="0.25">
      <c r="A686" t="str">
        <f>"1064984589"</f>
        <v>1064984589</v>
      </c>
      <c r="B686" t="s">
        <v>1078</v>
      </c>
      <c r="C686" t="s">
        <v>4161</v>
      </c>
      <c r="D686" t="s">
        <v>4157</v>
      </c>
      <c r="E686">
        <v>424031</v>
      </c>
      <c r="F686" t="s">
        <v>1</v>
      </c>
      <c r="G686" t="s">
        <v>2</v>
      </c>
      <c r="H686" t="s">
        <v>4158</v>
      </c>
      <c r="I686" t="s">
        <v>4159</v>
      </c>
      <c r="K686" t="s">
        <v>4160</v>
      </c>
      <c r="P686" t="s">
        <v>27</v>
      </c>
      <c r="Y686" t="s">
        <v>4162</v>
      </c>
    </row>
    <row r="687" spans="1:25" x14ac:dyDescent="0.25">
      <c r="A687" t="str">
        <f>"1065139124"</f>
        <v>1065139124</v>
      </c>
      <c r="B687" t="s">
        <v>371</v>
      </c>
      <c r="C687" t="s">
        <v>372</v>
      </c>
      <c r="D687" t="s">
        <v>4163</v>
      </c>
      <c r="E687">
        <v>424006</v>
      </c>
      <c r="F687" t="s">
        <v>1</v>
      </c>
      <c r="G687" t="s">
        <v>2</v>
      </c>
      <c r="H687" t="s">
        <v>4164</v>
      </c>
      <c r="J687" t="s">
        <v>4165</v>
      </c>
      <c r="L687" t="s">
        <v>4166</v>
      </c>
      <c r="M687" t="s">
        <v>4167</v>
      </c>
      <c r="P687" t="s">
        <v>280</v>
      </c>
      <c r="Y687" t="s">
        <v>1699</v>
      </c>
    </row>
    <row r="688" spans="1:25" x14ac:dyDescent="0.25">
      <c r="A688" t="str">
        <f>"1065210889"</f>
        <v>1065210889</v>
      </c>
      <c r="B688" t="s">
        <v>1611</v>
      </c>
      <c r="C688" t="s">
        <v>4172</v>
      </c>
      <c r="D688" t="s">
        <v>4168</v>
      </c>
      <c r="E688">
        <v>424037</v>
      </c>
      <c r="F688" t="s">
        <v>1</v>
      </c>
      <c r="G688" t="s">
        <v>2</v>
      </c>
      <c r="H688" t="s">
        <v>4169</v>
      </c>
      <c r="I688" t="s">
        <v>4170</v>
      </c>
      <c r="L688" t="s">
        <v>581</v>
      </c>
      <c r="M688" t="s">
        <v>4171</v>
      </c>
      <c r="P688" t="s">
        <v>20</v>
      </c>
      <c r="Y688" t="s">
        <v>4173</v>
      </c>
    </row>
    <row r="689" spans="1:25" x14ac:dyDescent="0.25">
      <c r="A689" t="str">
        <f>"1065435699"</f>
        <v>1065435699</v>
      </c>
      <c r="B689" t="s">
        <v>456</v>
      </c>
      <c r="C689" t="s">
        <v>4178</v>
      </c>
      <c r="D689" t="s">
        <v>4174</v>
      </c>
      <c r="E689">
        <v>424033</v>
      </c>
      <c r="F689" t="s">
        <v>1</v>
      </c>
      <c r="G689" t="s">
        <v>2</v>
      </c>
      <c r="H689" t="s">
        <v>1383</v>
      </c>
      <c r="I689" t="s">
        <v>4175</v>
      </c>
      <c r="L689" t="s">
        <v>4176</v>
      </c>
      <c r="M689" t="s">
        <v>4177</v>
      </c>
      <c r="P689" t="s">
        <v>4179</v>
      </c>
      <c r="Y689" t="s">
        <v>1387</v>
      </c>
    </row>
    <row r="690" spans="1:25" x14ac:dyDescent="0.25">
      <c r="A690" t="str">
        <f>"1065631947"</f>
        <v>1065631947</v>
      </c>
      <c r="B690" t="s">
        <v>25</v>
      </c>
      <c r="C690" t="s">
        <v>59</v>
      </c>
      <c r="D690" t="s">
        <v>4180</v>
      </c>
      <c r="E690">
        <v>424020</v>
      </c>
      <c r="F690" t="s">
        <v>1</v>
      </c>
      <c r="G690" t="s">
        <v>2</v>
      </c>
      <c r="H690" t="s">
        <v>4181</v>
      </c>
      <c r="I690" t="s">
        <v>4182</v>
      </c>
      <c r="P690" t="s">
        <v>152</v>
      </c>
      <c r="Y690" t="s">
        <v>4183</v>
      </c>
    </row>
    <row r="691" spans="1:25" x14ac:dyDescent="0.25">
      <c r="A691" t="str">
        <f>"1065731629"</f>
        <v>1065731629</v>
      </c>
      <c r="B691" t="s">
        <v>18</v>
      </c>
      <c r="C691" t="s">
        <v>4188</v>
      </c>
      <c r="D691" t="s">
        <v>561</v>
      </c>
      <c r="E691">
        <v>424006</v>
      </c>
      <c r="F691" t="s">
        <v>1</v>
      </c>
      <c r="G691" t="s">
        <v>2</v>
      </c>
      <c r="H691" t="s">
        <v>4184</v>
      </c>
      <c r="I691" t="s">
        <v>4185</v>
      </c>
      <c r="L691" t="s">
        <v>4186</v>
      </c>
      <c r="M691" t="s">
        <v>4187</v>
      </c>
      <c r="P691" t="s">
        <v>4189</v>
      </c>
      <c r="Q691" t="s">
        <v>4190</v>
      </c>
      <c r="Y691" t="s">
        <v>4191</v>
      </c>
    </row>
    <row r="692" spans="1:25" x14ac:dyDescent="0.25">
      <c r="A692" t="str">
        <f>"1065865133"</f>
        <v>1065865133</v>
      </c>
      <c r="B692" t="s">
        <v>1053</v>
      </c>
      <c r="C692" t="s">
        <v>4196</v>
      </c>
      <c r="D692" t="s">
        <v>4192</v>
      </c>
      <c r="E692">
        <v>424007</v>
      </c>
      <c r="F692" t="s">
        <v>1</v>
      </c>
      <c r="G692" t="s">
        <v>2</v>
      </c>
      <c r="H692" t="s">
        <v>1389</v>
      </c>
      <c r="I692" t="s">
        <v>4193</v>
      </c>
      <c r="L692" t="s">
        <v>4194</v>
      </c>
      <c r="M692" t="s">
        <v>4195</v>
      </c>
      <c r="P692" t="s">
        <v>2084</v>
      </c>
      <c r="Y692" t="s">
        <v>4197</v>
      </c>
    </row>
    <row r="693" spans="1:25" x14ac:dyDescent="0.25">
      <c r="A693" t="str">
        <f>"1066121690"</f>
        <v>1066121690</v>
      </c>
      <c r="B693" t="s">
        <v>334</v>
      </c>
      <c r="C693" t="s">
        <v>2551</v>
      </c>
      <c r="D693" t="s">
        <v>4198</v>
      </c>
      <c r="E693">
        <v>424003</v>
      </c>
      <c r="F693" t="s">
        <v>1</v>
      </c>
      <c r="G693" t="s">
        <v>2</v>
      </c>
      <c r="H693" t="s">
        <v>1725</v>
      </c>
      <c r="I693" t="s">
        <v>4199</v>
      </c>
      <c r="L693" t="s">
        <v>4200</v>
      </c>
      <c r="M693" t="s">
        <v>4201</v>
      </c>
      <c r="P693" t="s">
        <v>260</v>
      </c>
      <c r="Y693" t="s">
        <v>4202</v>
      </c>
    </row>
    <row r="694" spans="1:25" x14ac:dyDescent="0.25">
      <c r="A694" t="str">
        <f>"1066141907"</f>
        <v>1066141907</v>
      </c>
      <c r="B694" t="s">
        <v>25</v>
      </c>
      <c r="C694" t="s">
        <v>4208</v>
      </c>
      <c r="D694" t="s">
        <v>4203</v>
      </c>
      <c r="E694">
        <v>424032</v>
      </c>
      <c r="F694" t="s">
        <v>1</v>
      </c>
      <c r="G694" t="s">
        <v>2</v>
      </c>
      <c r="H694" t="s">
        <v>4204</v>
      </c>
      <c r="I694" t="s">
        <v>4205</v>
      </c>
      <c r="L694" t="s">
        <v>4206</v>
      </c>
      <c r="M694" t="s">
        <v>4207</v>
      </c>
      <c r="P694" t="s">
        <v>2979</v>
      </c>
      <c r="Q694" t="s">
        <v>4209</v>
      </c>
      <c r="V694" t="s">
        <v>4210</v>
      </c>
      <c r="Y694" t="s">
        <v>4211</v>
      </c>
    </row>
    <row r="695" spans="1:25" x14ac:dyDescent="0.25">
      <c r="A695" t="str">
        <f>"1066182801"</f>
        <v>1066182801</v>
      </c>
      <c r="B695" t="s">
        <v>1152</v>
      </c>
      <c r="C695" t="s">
        <v>4218</v>
      </c>
      <c r="D695" t="s">
        <v>4212</v>
      </c>
      <c r="E695">
        <v>424007</v>
      </c>
      <c r="F695" t="s">
        <v>1</v>
      </c>
      <c r="G695" t="s">
        <v>2</v>
      </c>
      <c r="H695" t="s">
        <v>4213</v>
      </c>
      <c r="I695" t="s">
        <v>4214</v>
      </c>
      <c r="J695" t="s">
        <v>4215</v>
      </c>
      <c r="L695" t="s">
        <v>4216</v>
      </c>
      <c r="M695" t="s">
        <v>4217</v>
      </c>
      <c r="P695" t="s">
        <v>1420</v>
      </c>
      <c r="Q695" t="s">
        <v>4219</v>
      </c>
      <c r="Y695" t="s">
        <v>4220</v>
      </c>
    </row>
    <row r="696" spans="1:25" x14ac:dyDescent="0.25">
      <c r="A696" t="str">
        <f>"1066202635"</f>
        <v>1066202635</v>
      </c>
      <c r="B696" t="s">
        <v>574</v>
      </c>
      <c r="C696" t="s">
        <v>646</v>
      </c>
      <c r="D696" t="s">
        <v>4221</v>
      </c>
      <c r="F696" t="s">
        <v>1</v>
      </c>
      <c r="G696" t="s">
        <v>2</v>
      </c>
      <c r="H696" t="s">
        <v>4222</v>
      </c>
      <c r="P696" t="s">
        <v>60</v>
      </c>
      <c r="Y696" t="s">
        <v>4223</v>
      </c>
    </row>
    <row r="697" spans="1:25" x14ac:dyDescent="0.25">
      <c r="A697" t="str">
        <f>"1066357117"</f>
        <v>1066357117</v>
      </c>
      <c r="B697" t="s">
        <v>654</v>
      </c>
      <c r="C697" t="s">
        <v>4229</v>
      </c>
      <c r="D697" t="s">
        <v>4224</v>
      </c>
      <c r="E697">
        <v>424033</v>
      </c>
      <c r="F697" t="s">
        <v>1</v>
      </c>
      <c r="G697" t="s">
        <v>2</v>
      </c>
      <c r="H697" t="s">
        <v>4225</v>
      </c>
      <c r="I697" t="s">
        <v>4226</v>
      </c>
      <c r="L697" t="s">
        <v>4227</v>
      </c>
      <c r="M697" t="s">
        <v>4228</v>
      </c>
      <c r="P697" t="s">
        <v>27</v>
      </c>
      <c r="Q697" t="s">
        <v>4230</v>
      </c>
      <c r="V697" t="s">
        <v>4231</v>
      </c>
      <c r="Y697" t="s">
        <v>4232</v>
      </c>
    </row>
    <row r="698" spans="1:25" x14ac:dyDescent="0.25">
      <c r="A698" t="str">
        <f>"1066442517"</f>
        <v>1066442517</v>
      </c>
      <c r="B698" t="s">
        <v>284</v>
      </c>
      <c r="C698" t="s">
        <v>711</v>
      </c>
      <c r="D698" t="s">
        <v>253</v>
      </c>
      <c r="E698">
        <v>424033</v>
      </c>
      <c r="F698" t="s">
        <v>1</v>
      </c>
      <c r="G698" t="s">
        <v>2</v>
      </c>
      <c r="H698" t="s">
        <v>1383</v>
      </c>
      <c r="I698" t="s">
        <v>4233</v>
      </c>
      <c r="P698" t="s">
        <v>1160</v>
      </c>
      <c r="Y698" t="s">
        <v>1387</v>
      </c>
    </row>
    <row r="699" spans="1:25" x14ac:dyDescent="0.25">
      <c r="A699" t="str">
        <f>"1066526348"</f>
        <v>1066526348</v>
      </c>
      <c r="B699" t="s">
        <v>123</v>
      </c>
      <c r="C699" t="s">
        <v>424</v>
      </c>
      <c r="D699" t="s">
        <v>4234</v>
      </c>
      <c r="E699">
        <v>424031</v>
      </c>
      <c r="F699" t="s">
        <v>1</v>
      </c>
      <c r="G699" t="s">
        <v>2</v>
      </c>
      <c r="H699" t="s">
        <v>4235</v>
      </c>
      <c r="I699" t="s">
        <v>4236</v>
      </c>
      <c r="L699" t="s">
        <v>4237</v>
      </c>
      <c r="M699" t="s">
        <v>4238</v>
      </c>
      <c r="P699" t="s">
        <v>425</v>
      </c>
      <c r="Y699" t="s">
        <v>4239</v>
      </c>
    </row>
    <row r="700" spans="1:25" x14ac:dyDescent="0.25">
      <c r="A700" t="str">
        <f>"1066527294"</f>
        <v>1066527294</v>
      </c>
      <c r="B700" t="s">
        <v>151</v>
      </c>
      <c r="C700" t="s">
        <v>1034</v>
      </c>
      <c r="D700" t="s">
        <v>4240</v>
      </c>
      <c r="E700">
        <v>424006</v>
      </c>
      <c r="F700" t="s">
        <v>1</v>
      </c>
      <c r="G700" t="s">
        <v>2</v>
      </c>
      <c r="H700" t="s">
        <v>1483</v>
      </c>
      <c r="I700" t="s">
        <v>4241</v>
      </c>
      <c r="P700" t="s">
        <v>27</v>
      </c>
      <c r="Y700" t="s">
        <v>4242</v>
      </c>
    </row>
    <row r="701" spans="1:25" x14ac:dyDescent="0.25">
      <c r="A701" t="str">
        <f>"1066551447"</f>
        <v>1066551447</v>
      </c>
      <c r="B701" t="s">
        <v>88</v>
      </c>
      <c r="C701" t="s">
        <v>4246</v>
      </c>
      <c r="D701" t="s">
        <v>4243</v>
      </c>
      <c r="E701">
        <v>424033</v>
      </c>
      <c r="F701" t="s">
        <v>1</v>
      </c>
      <c r="G701" t="s">
        <v>2</v>
      </c>
      <c r="H701" t="s">
        <v>4244</v>
      </c>
      <c r="I701" t="s">
        <v>4245</v>
      </c>
      <c r="P701" t="s">
        <v>4247</v>
      </c>
      <c r="Y701" t="s">
        <v>4248</v>
      </c>
    </row>
    <row r="702" spans="1:25" x14ac:dyDescent="0.25">
      <c r="A702" t="str">
        <f>"1066762371"</f>
        <v>1066762371</v>
      </c>
      <c r="B702" t="s">
        <v>348</v>
      </c>
      <c r="C702" t="s">
        <v>4252</v>
      </c>
      <c r="D702" t="s">
        <v>4249</v>
      </c>
      <c r="E702">
        <v>424008</v>
      </c>
      <c r="F702" t="s">
        <v>1</v>
      </c>
      <c r="G702" t="s">
        <v>2</v>
      </c>
      <c r="H702" t="s">
        <v>4250</v>
      </c>
      <c r="I702" t="s">
        <v>4251</v>
      </c>
      <c r="P702" t="s">
        <v>27</v>
      </c>
      <c r="Y702" t="s">
        <v>4253</v>
      </c>
    </row>
    <row r="703" spans="1:25" x14ac:dyDescent="0.25">
      <c r="A703" t="str">
        <f>"1067011315"</f>
        <v>1067011315</v>
      </c>
      <c r="B703" t="s">
        <v>328</v>
      </c>
      <c r="C703" t="s">
        <v>1920</v>
      </c>
      <c r="D703" t="s">
        <v>4254</v>
      </c>
      <c r="E703">
        <v>424000</v>
      </c>
      <c r="F703" t="s">
        <v>1</v>
      </c>
      <c r="G703" t="s">
        <v>2</v>
      </c>
      <c r="H703" t="s">
        <v>4255</v>
      </c>
      <c r="P703" t="s">
        <v>3456</v>
      </c>
      <c r="Y703" t="s">
        <v>4256</v>
      </c>
    </row>
    <row r="704" spans="1:25" x14ac:dyDescent="0.25">
      <c r="A704" t="str">
        <f>"1067138706"</f>
        <v>1067138706</v>
      </c>
      <c r="B704" t="s">
        <v>1078</v>
      </c>
      <c r="C704" t="s">
        <v>4259</v>
      </c>
      <c r="D704" t="s">
        <v>4257</v>
      </c>
      <c r="E704">
        <v>424004</v>
      </c>
      <c r="F704" t="s">
        <v>1</v>
      </c>
      <c r="G704" t="s">
        <v>2</v>
      </c>
      <c r="H704" t="s">
        <v>186</v>
      </c>
      <c r="I704" t="s">
        <v>4258</v>
      </c>
      <c r="P704" t="s">
        <v>27</v>
      </c>
      <c r="Y704" t="s">
        <v>190</v>
      </c>
    </row>
    <row r="705" spans="1:25" x14ac:dyDescent="0.25">
      <c r="A705" t="str">
        <f>"1067139854"</f>
        <v>1067139854</v>
      </c>
      <c r="B705" t="s">
        <v>123</v>
      </c>
      <c r="C705" t="s">
        <v>424</v>
      </c>
      <c r="D705" t="s">
        <v>4260</v>
      </c>
      <c r="E705">
        <v>424016</v>
      </c>
      <c r="F705" t="s">
        <v>1</v>
      </c>
      <c r="G705" t="s">
        <v>2</v>
      </c>
      <c r="H705" t="s">
        <v>4261</v>
      </c>
      <c r="I705" t="s">
        <v>4262</v>
      </c>
      <c r="L705" t="s">
        <v>3001</v>
      </c>
      <c r="M705" t="s">
        <v>3002</v>
      </c>
      <c r="P705" t="s">
        <v>425</v>
      </c>
      <c r="Y705" t="s">
        <v>4263</v>
      </c>
    </row>
    <row r="706" spans="1:25" x14ac:dyDescent="0.25">
      <c r="A706" t="str">
        <f>"1067406861"</f>
        <v>1067406861</v>
      </c>
      <c r="B706" t="s">
        <v>96</v>
      </c>
      <c r="C706" t="s">
        <v>4268</v>
      </c>
      <c r="D706" t="s">
        <v>4264</v>
      </c>
      <c r="E706">
        <v>424918</v>
      </c>
      <c r="F706" t="s">
        <v>1</v>
      </c>
      <c r="G706" t="s">
        <v>2</v>
      </c>
      <c r="H706" t="s">
        <v>629</v>
      </c>
      <c r="I706" t="s">
        <v>4265</v>
      </c>
      <c r="L706" t="s">
        <v>4266</v>
      </c>
      <c r="M706" t="s">
        <v>4267</v>
      </c>
      <c r="P706" t="s">
        <v>630</v>
      </c>
      <c r="Y706" t="s">
        <v>1744</v>
      </c>
    </row>
    <row r="707" spans="1:25" x14ac:dyDescent="0.25">
      <c r="A707" t="str">
        <f>"1067582144"</f>
        <v>1067582144</v>
      </c>
      <c r="B707" t="s">
        <v>25</v>
      </c>
      <c r="C707" t="s">
        <v>1596</v>
      </c>
      <c r="D707" t="s">
        <v>4269</v>
      </c>
      <c r="E707">
        <v>424003</v>
      </c>
      <c r="F707" t="s">
        <v>1</v>
      </c>
      <c r="G707" t="s">
        <v>2</v>
      </c>
      <c r="H707" t="s">
        <v>2931</v>
      </c>
      <c r="I707" t="s">
        <v>4270</v>
      </c>
      <c r="P707" t="s">
        <v>390</v>
      </c>
      <c r="Y707" t="s">
        <v>4271</v>
      </c>
    </row>
    <row r="708" spans="1:25" x14ac:dyDescent="0.25">
      <c r="A708" t="str">
        <f>"1067655937"</f>
        <v>1067655937</v>
      </c>
      <c r="B708" t="s">
        <v>1315</v>
      </c>
      <c r="C708" t="s">
        <v>4274</v>
      </c>
      <c r="D708" t="s">
        <v>4272</v>
      </c>
      <c r="E708">
        <v>424006</v>
      </c>
      <c r="F708" t="s">
        <v>1</v>
      </c>
      <c r="G708" t="s">
        <v>2</v>
      </c>
      <c r="H708" t="s">
        <v>2012</v>
      </c>
      <c r="J708" t="s">
        <v>4273</v>
      </c>
      <c r="P708" t="s">
        <v>27</v>
      </c>
      <c r="Y708" t="s">
        <v>4275</v>
      </c>
    </row>
    <row r="709" spans="1:25" x14ac:dyDescent="0.25">
      <c r="A709" t="str">
        <f>"1067710136"</f>
        <v>1067710136</v>
      </c>
      <c r="B709" t="s">
        <v>379</v>
      </c>
      <c r="C709" t="s">
        <v>1776</v>
      </c>
      <c r="D709" t="s">
        <v>4276</v>
      </c>
      <c r="E709">
        <v>424006</v>
      </c>
      <c r="F709" t="s">
        <v>1</v>
      </c>
      <c r="G709" t="s">
        <v>2</v>
      </c>
      <c r="H709" t="s">
        <v>2966</v>
      </c>
      <c r="I709" t="s">
        <v>4277</v>
      </c>
      <c r="L709" t="s">
        <v>4278</v>
      </c>
      <c r="M709" t="s">
        <v>4279</v>
      </c>
      <c r="P709" t="s">
        <v>4280</v>
      </c>
      <c r="Y709" t="s">
        <v>4281</v>
      </c>
    </row>
    <row r="710" spans="1:25" x14ac:dyDescent="0.25">
      <c r="A710" t="str">
        <f>"1067725970"</f>
        <v>1067725970</v>
      </c>
      <c r="B710" t="s">
        <v>2062</v>
      </c>
      <c r="C710" t="s">
        <v>3293</v>
      </c>
      <c r="D710" t="s">
        <v>4282</v>
      </c>
      <c r="F710" t="s">
        <v>1</v>
      </c>
      <c r="G710" t="s">
        <v>2</v>
      </c>
      <c r="H710" t="s">
        <v>2628</v>
      </c>
      <c r="I710" t="s">
        <v>4283</v>
      </c>
      <c r="L710" t="s">
        <v>4284</v>
      </c>
      <c r="M710" t="s">
        <v>4285</v>
      </c>
      <c r="P710" t="s">
        <v>911</v>
      </c>
      <c r="Q710" t="s">
        <v>4286</v>
      </c>
      <c r="R710" t="s">
        <v>4287</v>
      </c>
      <c r="S710" t="s">
        <v>4288</v>
      </c>
      <c r="T710" t="s">
        <v>4289</v>
      </c>
      <c r="Y710" t="s">
        <v>4290</v>
      </c>
    </row>
    <row r="711" spans="1:25" x14ac:dyDescent="0.25">
      <c r="A711" t="str">
        <f>"1067848649"</f>
        <v>1067848649</v>
      </c>
      <c r="B711" t="s">
        <v>290</v>
      </c>
      <c r="C711" t="s">
        <v>4296</v>
      </c>
      <c r="D711" t="s">
        <v>4291</v>
      </c>
      <c r="E711">
        <v>424002</v>
      </c>
      <c r="F711" t="s">
        <v>1</v>
      </c>
      <c r="G711" t="s">
        <v>2</v>
      </c>
      <c r="H711" t="s">
        <v>4292</v>
      </c>
      <c r="I711" t="s">
        <v>4293</v>
      </c>
      <c r="L711" t="s">
        <v>4294</v>
      </c>
      <c r="M711" t="s">
        <v>4295</v>
      </c>
      <c r="P711" t="s">
        <v>4297</v>
      </c>
      <c r="Q711" t="s">
        <v>4298</v>
      </c>
      <c r="Y711" t="s">
        <v>4299</v>
      </c>
    </row>
    <row r="712" spans="1:25" x14ac:dyDescent="0.25">
      <c r="A712" t="str">
        <f>"1068197811"</f>
        <v>1068197811</v>
      </c>
      <c r="B712" t="s">
        <v>1152</v>
      </c>
      <c r="C712" t="s">
        <v>1385</v>
      </c>
      <c r="D712" t="s">
        <v>1385</v>
      </c>
      <c r="E712">
        <v>424033</v>
      </c>
      <c r="F712" t="s">
        <v>1</v>
      </c>
      <c r="G712" t="s">
        <v>2</v>
      </c>
      <c r="H712" t="s">
        <v>4300</v>
      </c>
      <c r="I712" t="s">
        <v>4301</v>
      </c>
      <c r="P712" t="s">
        <v>911</v>
      </c>
      <c r="Y712" t="s">
        <v>4302</v>
      </c>
    </row>
    <row r="713" spans="1:25" x14ac:dyDescent="0.25">
      <c r="A713" t="str">
        <f>"1068276511"</f>
        <v>1068276511</v>
      </c>
      <c r="B713" t="s">
        <v>930</v>
      </c>
      <c r="C713" t="s">
        <v>4308</v>
      </c>
      <c r="D713" t="s">
        <v>4303</v>
      </c>
      <c r="E713">
        <v>424006</v>
      </c>
      <c r="F713" t="s">
        <v>1</v>
      </c>
      <c r="G713" t="s">
        <v>2</v>
      </c>
      <c r="H713" t="s">
        <v>4304</v>
      </c>
      <c r="I713" t="s">
        <v>4305</v>
      </c>
      <c r="L713" t="s">
        <v>4306</v>
      </c>
      <c r="M713" t="s">
        <v>4307</v>
      </c>
      <c r="P713" t="s">
        <v>1000</v>
      </c>
      <c r="Q713" t="s">
        <v>4309</v>
      </c>
      <c r="S713" t="s">
        <v>4310</v>
      </c>
      <c r="T713" t="s">
        <v>4311</v>
      </c>
      <c r="V713" t="s">
        <v>4312</v>
      </c>
      <c r="Y713" t="s">
        <v>4313</v>
      </c>
    </row>
    <row r="714" spans="1:25" x14ac:dyDescent="0.25">
      <c r="A714" t="str">
        <f>"1068321221"</f>
        <v>1068321221</v>
      </c>
      <c r="B714" t="s">
        <v>703</v>
      </c>
      <c r="C714" t="s">
        <v>4318</v>
      </c>
      <c r="D714" t="s">
        <v>4314</v>
      </c>
      <c r="F714" t="s">
        <v>1</v>
      </c>
      <c r="G714" t="s">
        <v>2</v>
      </c>
      <c r="H714" t="s">
        <v>4315</v>
      </c>
      <c r="I714" t="s">
        <v>4316</v>
      </c>
      <c r="K714" t="s">
        <v>4317</v>
      </c>
      <c r="P714" t="s">
        <v>280</v>
      </c>
      <c r="Y714" t="s">
        <v>4319</v>
      </c>
    </row>
    <row r="715" spans="1:25" x14ac:dyDescent="0.25">
      <c r="A715" t="str">
        <f>"1068341576"</f>
        <v>1068341576</v>
      </c>
      <c r="B715" t="s">
        <v>32</v>
      </c>
      <c r="C715" t="s">
        <v>40</v>
      </c>
      <c r="D715" t="s">
        <v>4320</v>
      </c>
      <c r="E715">
        <v>424007</v>
      </c>
      <c r="F715" t="s">
        <v>1</v>
      </c>
      <c r="G715" t="s">
        <v>2</v>
      </c>
      <c r="H715" t="s">
        <v>4321</v>
      </c>
      <c r="I715" t="s">
        <v>4322</v>
      </c>
      <c r="P715" t="s">
        <v>740</v>
      </c>
      <c r="Y715" t="s">
        <v>4323</v>
      </c>
    </row>
    <row r="716" spans="1:25" x14ac:dyDescent="0.25">
      <c r="A716" t="str">
        <f>"1068504455"</f>
        <v>1068504455</v>
      </c>
      <c r="B716" t="s">
        <v>930</v>
      </c>
      <c r="C716" t="s">
        <v>4325</v>
      </c>
      <c r="D716" t="s">
        <v>1094</v>
      </c>
      <c r="E716">
        <v>424004</v>
      </c>
      <c r="F716" t="s">
        <v>1</v>
      </c>
      <c r="G716" t="s">
        <v>2</v>
      </c>
      <c r="H716" t="s">
        <v>4324</v>
      </c>
      <c r="Y716" t="s">
        <v>4326</v>
      </c>
    </row>
    <row r="717" spans="1:25" x14ac:dyDescent="0.25">
      <c r="A717" t="str">
        <f>"1068522380"</f>
        <v>1068522380</v>
      </c>
      <c r="B717" t="s">
        <v>397</v>
      </c>
      <c r="C717" t="s">
        <v>4331</v>
      </c>
      <c r="D717" t="s">
        <v>4327</v>
      </c>
      <c r="E717">
        <v>424006</v>
      </c>
      <c r="F717" t="s">
        <v>1</v>
      </c>
      <c r="G717" t="s">
        <v>2</v>
      </c>
      <c r="H717" t="s">
        <v>393</v>
      </c>
      <c r="I717" t="s">
        <v>4328</v>
      </c>
      <c r="L717" t="s">
        <v>4329</v>
      </c>
      <c r="M717" t="s">
        <v>4330</v>
      </c>
      <c r="P717" t="s">
        <v>1404</v>
      </c>
      <c r="Q717" t="s">
        <v>4332</v>
      </c>
      <c r="Y717" t="s">
        <v>4333</v>
      </c>
    </row>
    <row r="718" spans="1:25" x14ac:dyDescent="0.25">
      <c r="A718" t="str">
        <f>"1068696328"</f>
        <v>1068696328</v>
      </c>
      <c r="B718" t="s">
        <v>224</v>
      </c>
      <c r="C718" t="s">
        <v>225</v>
      </c>
      <c r="D718" t="s">
        <v>4334</v>
      </c>
      <c r="E718">
        <v>424007</v>
      </c>
      <c r="F718" t="s">
        <v>1</v>
      </c>
      <c r="G718" t="s">
        <v>2</v>
      </c>
      <c r="H718" t="s">
        <v>1085</v>
      </c>
      <c r="I718" t="s">
        <v>4335</v>
      </c>
      <c r="M718" t="s">
        <v>4336</v>
      </c>
      <c r="Y718" t="s">
        <v>1412</v>
      </c>
    </row>
    <row r="719" spans="1:25" x14ac:dyDescent="0.25">
      <c r="A719" t="str">
        <f>"1068708841"</f>
        <v>1068708841</v>
      </c>
      <c r="B719" t="s">
        <v>462</v>
      </c>
      <c r="C719" t="s">
        <v>4342</v>
      </c>
      <c r="D719" t="s">
        <v>4337</v>
      </c>
      <c r="F719" t="s">
        <v>1</v>
      </c>
      <c r="G719" t="s">
        <v>2</v>
      </c>
      <c r="H719" t="s">
        <v>1508</v>
      </c>
      <c r="I719" t="s">
        <v>4338</v>
      </c>
      <c r="J719" t="s">
        <v>4339</v>
      </c>
      <c r="L719" t="s">
        <v>4340</v>
      </c>
      <c r="M719" t="s">
        <v>4341</v>
      </c>
      <c r="P719" t="s">
        <v>20</v>
      </c>
      <c r="Q719" t="s">
        <v>4343</v>
      </c>
      <c r="Y719" t="s">
        <v>4344</v>
      </c>
    </row>
    <row r="720" spans="1:25" x14ac:dyDescent="0.25">
      <c r="A720" t="str">
        <f>"1068793847"</f>
        <v>1068793847</v>
      </c>
      <c r="B720" t="s">
        <v>176</v>
      </c>
      <c r="C720" t="s">
        <v>566</v>
      </c>
      <c r="D720" t="s">
        <v>4345</v>
      </c>
      <c r="E720">
        <v>424006</v>
      </c>
      <c r="F720" t="s">
        <v>1</v>
      </c>
      <c r="G720" t="s">
        <v>2</v>
      </c>
      <c r="H720" t="s">
        <v>4346</v>
      </c>
      <c r="I720" t="s">
        <v>4347</v>
      </c>
      <c r="L720" t="s">
        <v>4348</v>
      </c>
      <c r="M720" t="s">
        <v>4349</v>
      </c>
      <c r="P720" t="s">
        <v>330</v>
      </c>
      <c r="Q720" t="s">
        <v>4350</v>
      </c>
      <c r="R720" t="s">
        <v>4351</v>
      </c>
      <c r="S720" t="s">
        <v>4352</v>
      </c>
      <c r="T720" t="s">
        <v>4353</v>
      </c>
      <c r="V720" t="s">
        <v>4354</v>
      </c>
      <c r="Y720" t="s">
        <v>4355</v>
      </c>
    </row>
    <row r="721" spans="1:25" x14ac:dyDescent="0.25">
      <c r="A721" t="str">
        <f>"1069041546"</f>
        <v>1069041546</v>
      </c>
      <c r="B721" t="s">
        <v>553</v>
      </c>
      <c r="C721" t="s">
        <v>4361</v>
      </c>
      <c r="D721" t="s">
        <v>4356</v>
      </c>
      <c r="E721">
        <v>424033</v>
      </c>
      <c r="F721" t="s">
        <v>1</v>
      </c>
      <c r="G721" t="s">
        <v>2</v>
      </c>
      <c r="H721" t="s">
        <v>4357</v>
      </c>
      <c r="I721" t="s">
        <v>4358</v>
      </c>
      <c r="L721" t="s">
        <v>4359</v>
      </c>
      <c r="M721" t="s">
        <v>4360</v>
      </c>
      <c r="P721" t="s">
        <v>340</v>
      </c>
      <c r="Q721" t="s">
        <v>4362</v>
      </c>
      <c r="Y721" t="s">
        <v>4363</v>
      </c>
    </row>
    <row r="722" spans="1:25" x14ac:dyDescent="0.25">
      <c r="A722" t="str">
        <f>"1069126372"</f>
        <v>1069126372</v>
      </c>
      <c r="B722" t="s">
        <v>348</v>
      </c>
      <c r="C722" t="s">
        <v>4366</v>
      </c>
      <c r="D722" t="s">
        <v>4364</v>
      </c>
      <c r="F722" t="s">
        <v>1</v>
      </c>
      <c r="G722" t="s">
        <v>2</v>
      </c>
      <c r="H722" t="s">
        <v>4365</v>
      </c>
      <c r="Y722" t="s">
        <v>3387</v>
      </c>
    </row>
    <row r="723" spans="1:25" x14ac:dyDescent="0.25">
      <c r="A723" t="str">
        <f>"1069659890"</f>
        <v>1069659890</v>
      </c>
      <c r="B723" t="s">
        <v>233</v>
      </c>
      <c r="C723" t="s">
        <v>1897</v>
      </c>
      <c r="D723" t="s">
        <v>4367</v>
      </c>
      <c r="E723">
        <v>424004</v>
      </c>
      <c r="F723" t="s">
        <v>1</v>
      </c>
      <c r="G723" t="s">
        <v>2</v>
      </c>
      <c r="H723" t="s">
        <v>229</v>
      </c>
      <c r="I723" t="s">
        <v>4368</v>
      </c>
      <c r="Y723" t="s">
        <v>237</v>
      </c>
    </row>
    <row r="724" spans="1:25" x14ac:dyDescent="0.25">
      <c r="A724" t="str">
        <f>"1069700037"</f>
        <v>1069700037</v>
      </c>
      <c r="B724" t="s">
        <v>1053</v>
      </c>
      <c r="C724" t="s">
        <v>4372</v>
      </c>
      <c r="D724" t="s">
        <v>4369</v>
      </c>
      <c r="E724">
        <v>424000</v>
      </c>
      <c r="F724" t="s">
        <v>1</v>
      </c>
      <c r="G724" t="s">
        <v>2</v>
      </c>
      <c r="H724" t="s">
        <v>1531</v>
      </c>
      <c r="J724" t="s">
        <v>4370</v>
      </c>
      <c r="L724" t="s">
        <v>597</v>
      </c>
      <c r="M724" t="s">
        <v>4371</v>
      </c>
      <c r="P724" t="s">
        <v>27</v>
      </c>
      <c r="Y724" t="s">
        <v>4373</v>
      </c>
    </row>
    <row r="725" spans="1:25" x14ac:dyDescent="0.25">
      <c r="A725" t="str">
        <f>"1069714146"</f>
        <v>1069714146</v>
      </c>
      <c r="B725" t="s">
        <v>462</v>
      </c>
      <c r="C725" t="s">
        <v>1140</v>
      </c>
      <c r="D725" t="s">
        <v>4374</v>
      </c>
      <c r="E725">
        <v>424030</v>
      </c>
      <c r="F725" t="s">
        <v>1</v>
      </c>
      <c r="G725" t="s">
        <v>2</v>
      </c>
      <c r="H725" t="s">
        <v>440</v>
      </c>
      <c r="I725" t="s">
        <v>4375</v>
      </c>
      <c r="P725" t="s">
        <v>869</v>
      </c>
      <c r="Y725" t="s">
        <v>4376</v>
      </c>
    </row>
    <row r="726" spans="1:25" x14ac:dyDescent="0.25">
      <c r="A726" t="str">
        <f>"1069739487"</f>
        <v>1069739487</v>
      </c>
      <c r="B726" t="s">
        <v>447</v>
      </c>
      <c r="C726" t="s">
        <v>448</v>
      </c>
      <c r="D726" t="s">
        <v>4377</v>
      </c>
      <c r="E726">
        <v>424002</v>
      </c>
      <c r="F726" t="s">
        <v>1</v>
      </c>
      <c r="G726" t="s">
        <v>2</v>
      </c>
      <c r="H726" t="s">
        <v>4378</v>
      </c>
      <c r="I726" t="s">
        <v>4379</v>
      </c>
      <c r="Y726" t="s">
        <v>4380</v>
      </c>
    </row>
    <row r="727" spans="1:25" x14ac:dyDescent="0.25">
      <c r="A727" t="str">
        <f>"1069788472"</f>
        <v>1069788472</v>
      </c>
      <c r="B727" t="s">
        <v>348</v>
      </c>
      <c r="C727" t="s">
        <v>4366</v>
      </c>
      <c r="D727" t="s">
        <v>4381</v>
      </c>
      <c r="E727">
        <v>424020</v>
      </c>
      <c r="F727" t="s">
        <v>1</v>
      </c>
      <c r="G727" t="s">
        <v>2</v>
      </c>
      <c r="H727" t="s">
        <v>1997</v>
      </c>
      <c r="I727" t="s">
        <v>4382</v>
      </c>
      <c r="Y727" t="s">
        <v>4383</v>
      </c>
    </row>
    <row r="728" spans="1:25" x14ac:dyDescent="0.25">
      <c r="A728" t="str">
        <f>"1069881899"</f>
        <v>1069881899</v>
      </c>
      <c r="B728" t="s">
        <v>224</v>
      </c>
      <c r="C728" t="s">
        <v>4388</v>
      </c>
      <c r="D728" t="s">
        <v>4384</v>
      </c>
      <c r="E728">
        <v>424006</v>
      </c>
      <c r="F728" t="s">
        <v>1</v>
      </c>
      <c r="G728" t="s">
        <v>2</v>
      </c>
      <c r="H728" t="s">
        <v>1012</v>
      </c>
      <c r="I728" t="s">
        <v>4385</v>
      </c>
      <c r="L728" t="s">
        <v>4386</v>
      </c>
      <c r="M728" t="s">
        <v>4387</v>
      </c>
      <c r="P728" t="s">
        <v>584</v>
      </c>
      <c r="Q728" t="s">
        <v>4389</v>
      </c>
      <c r="Y728" t="s">
        <v>1016</v>
      </c>
    </row>
    <row r="729" spans="1:25" x14ac:dyDescent="0.25">
      <c r="A729" t="str">
        <f>"1070144997"</f>
        <v>1070144997</v>
      </c>
      <c r="B729" t="s">
        <v>18</v>
      </c>
      <c r="C729" t="s">
        <v>4393</v>
      </c>
      <c r="D729" t="s">
        <v>4390</v>
      </c>
      <c r="E729">
        <v>424007</v>
      </c>
      <c r="F729" t="s">
        <v>1</v>
      </c>
      <c r="G729" t="s">
        <v>2</v>
      </c>
      <c r="H729" t="s">
        <v>1085</v>
      </c>
      <c r="I729" t="s">
        <v>4391</v>
      </c>
      <c r="L729" t="s">
        <v>4392</v>
      </c>
      <c r="P729" t="s">
        <v>390</v>
      </c>
      <c r="Y729" t="s">
        <v>4394</v>
      </c>
    </row>
    <row r="730" spans="1:25" x14ac:dyDescent="0.25">
      <c r="A730" t="str">
        <f>"1070204927"</f>
        <v>1070204927</v>
      </c>
      <c r="B730" t="s">
        <v>224</v>
      </c>
      <c r="C730" t="s">
        <v>4397</v>
      </c>
      <c r="D730" t="s">
        <v>4395</v>
      </c>
      <c r="E730">
        <v>424007</v>
      </c>
      <c r="F730" t="s">
        <v>1</v>
      </c>
      <c r="G730" t="s">
        <v>2</v>
      </c>
      <c r="H730" t="s">
        <v>1085</v>
      </c>
      <c r="I730" t="s">
        <v>4396</v>
      </c>
      <c r="Y730" t="s">
        <v>1412</v>
      </c>
    </row>
    <row r="731" spans="1:25" x14ac:dyDescent="0.25">
      <c r="A731" t="str">
        <f>"1070311338"</f>
        <v>1070311338</v>
      </c>
      <c r="B731" t="s">
        <v>176</v>
      </c>
      <c r="C731" t="s">
        <v>250</v>
      </c>
      <c r="D731" t="s">
        <v>4398</v>
      </c>
      <c r="E731">
        <v>424038</v>
      </c>
      <c r="F731" t="s">
        <v>1</v>
      </c>
      <c r="G731" t="s">
        <v>2</v>
      </c>
      <c r="H731" t="s">
        <v>4399</v>
      </c>
      <c r="I731" t="s">
        <v>4400</v>
      </c>
      <c r="L731" t="s">
        <v>4401</v>
      </c>
      <c r="M731" t="s">
        <v>4402</v>
      </c>
      <c r="P731" t="s">
        <v>4403</v>
      </c>
      <c r="Q731" t="s">
        <v>4404</v>
      </c>
      <c r="V731" t="s">
        <v>4405</v>
      </c>
      <c r="Y731" t="s">
        <v>4406</v>
      </c>
    </row>
    <row r="732" spans="1:25" x14ac:dyDescent="0.25">
      <c r="A732" t="str">
        <f>"1070371364"</f>
        <v>1070371364</v>
      </c>
      <c r="B732" t="s">
        <v>469</v>
      </c>
      <c r="C732" t="s">
        <v>470</v>
      </c>
      <c r="D732" t="s">
        <v>4407</v>
      </c>
      <c r="F732" t="s">
        <v>1</v>
      </c>
      <c r="G732" t="s">
        <v>2</v>
      </c>
      <c r="H732" t="s">
        <v>3984</v>
      </c>
      <c r="I732" t="s">
        <v>4408</v>
      </c>
      <c r="P732" t="s">
        <v>2362</v>
      </c>
      <c r="Y732" t="s">
        <v>4409</v>
      </c>
    </row>
    <row r="733" spans="1:25" x14ac:dyDescent="0.25">
      <c r="A733" t="str">
        <f>"1070449319"</f>
        <v>1070449319</v>
      </c>
      <c r="B733" t="s">
        <v>18</v>
      </c>
      <c r="C733" t="s">
        <v>4416</v>
      </c>
      <c r="D733" t="s">
        <v>4410</v>
      </c>
      <c r="E733">
        <v>424007</v>
      </c>
      <c r="F733" t="s">
        <v>1</v>
      </c>
      <c r="G733" t="s">
        <v>2</v>
      </c>
      <c r="H733" t="s">
        <v>4411</v>
      </c>
      <c r="I733" t="s">
        <v>4412</v>
      </c>
      <c r="J733" t="s">
        <v>4413</v>
      </c>
      <c r="L733" t="s">
        <v>4414</v>
      </c>
      <c r="M733" t="s">
        <v>4415</v>
      </c>
      <c r="P733" t="s">
        <v>4417</v>
      </c>
      <c r="Y733" t="s">
        <v>4418</v>
      </c>
    </row>
    <row r="734" spans="1:25" x14ac:dyDescent="0.25">
      <c r="A734" t="str">
        <f>"1070525267"</f>
        <v>1070525267</v>
      </c>
      <c r="B734" t="s">
        <v>348</v>
      </c>
      <c r="C734" t="s">
        <v>4366</v>
      </c>
      <c r="D734" t="s">
        <v>4419</v>
      </c>
      <c r="E734">
        <v>424003</v>
      </c>
      <c r="F734" t="s">
        <v>1</v>
      </c>
      <c r="G734" t="s">
        <v>2</v>
      </c>
      <c r="H734" t="s">
        <v>4420</v>
      </c>
      <c r="I734" t="s">
        <v>4421</v>
      </c>
      <c r="L734" t="s">
        <v>4422</v>
      </c>
      <c r="M734" t="s">
        <v>4423</v>
      </c>
      <c r="P734" t="s">
        <v>4424</v>
      </c>
      <c r="Y734" t="s">
        <v>4425</v>
      </c>
    </row>
    <row r="735" spans="1:25" x14ac:dyDescent="0.25">
      <c r="A735" t="str">
        <f>"1070582371"</f>
        <v>1070582371</v>
      </c>
      <c r="B735" t="s">
        <v>482</v>
      </c>
      <c r="C735" t="s">
        <v>4430</v>
      </c>
      <c r="D735" t="s">
        <v>4426</v>
      </c>
      <c r="E735">
        <v>424000</v>
      </c>
      <c r="F735" t="s">
        <v>1</v>
      </c>
      <c r="G735" t="s">
        <v>2</v>
      </c>
      <c r="H735" t="s">
        <v>4427</v>
      </c>
      <c r="I735" t="s">
        <v>4428</v>
      </c>
      <c r="J735" t="s">
        <v>4429</v>
      </c>
      <c r="P735" t="s">
        <v>9</v>
      </c>
      <c r="Y735" t="s">
        <v>4431</v>
      </c>
    </row>
    <row r="736" spans="1:25" x14ac:dyDescent="0.25">
      <c r="A736" t="str">
        <f>"1070669686"</f>
        <v>1070669686</v>
      </c>
      <c r="B736" t="s">
        <v>2474</v>
      </c>
      <c r="C736" t="s">
        <v>4436</v>
      </c>
      <c r="D736" t="s">
        <v>4432</v>
      </c>
      <c r="E736">
        <v>424006</v>
      </c>
      <c r="F736" t="s">
        <v>1</v>
      </c>
      <c r="G736" t="s">
        <v>2</v>
      </c>
      <c r="H736" t="s">
        <v>445</v>
      </c>
      <c r="I736" t="s">
        <v>4433</v>
      </c>
      <c r="L736" t="s">
        <v>4434</v>
      </c>
      <c r="M736" t="s">
        <v>4435</v>
      </c>
      <c r="P736" t="s">
        <v>20</v>
      </c>
      <c r="Y736" t="s">
        <v>4437</v>
      </c>
    </row>
    <row r="737" spans="1:25" x14ac:dyDescent="0.25">
      <c r="A737" t="str">
        <f>"1070759680"</f>
        <v>1070759680</v>
      </c>
      <c r="B737" t="s">
        <v>790</v>
      </c>
      <c r="C737" t="s">
        <v>4442</v>
      </c>
      <c r="D737" t="s">
        <v>4438</v>
      </c>
      <c r="E737">
        <v>424020</v>
      </c>
      <c r="F737" t="s">
        <v>1</v>
      </c>
      <c r="G737" t="s">
        <v>2</v>
      </c>
      <c r="H737" t="s">
        <v>23</v>
      </c>
      <c r="I737" t="s">
        <v>4439</v>
      </c>
      <c r="J737" t="s">
        <v>4440</v>
      </c>
      <c r="L737" t="s">
        <v>4441</v>
      </c>
      <c r="P737" t="s">
        <v>941</v>
      </c>
      <c r="Q737" t="s">
        <v>4443</v>
      </c>
      <c r="Y737" t="s">
        <v>4444</v>
      </c>
    </row>
    <row r="738" spans="1:25" x14ac:dyDescent="0.25">
      <c r="A738" t="str">
        <f>"1071003979"</f>
        <v>1071003979</v>
      </c>
      <c r="B738" t="s">
        <v>1046</v>
      </c>
      <c r="C738" t="s">
        <v>3497</v>
      </c>
      <c r="D738" t="s">
        <v>4445</v>
      </c>
      <c r="F738" t="s">
        <v>1</v>
      </c>
      <c r="G738" t="s">
        <v>2</v>
      </c>
      <c r="H738" t="s">
        <v>4446</v>
      </c>
      <c r="I738" t="s">
        <v>4447</v>
      </c>
      <c r="J738" t="s">
        <v>4448</v>
      </c>
      <c r="L738" t="s">
        <v>4449</v>
      </c>
      <c r="M738" t="s">
        <v>4450</v>
      </c>
      <c r="P738" t="s">
        <v>330</v>
      </c>
      <c r="Y738" t="s">
        <v>4451</v>
      </c>
    </row>
    <row r="739" spans="1:25" x14ac:dyDescent="0.25">
      <c r="A739" t="str">
        <f>"1071006861"</f>
        <v>1071006861</v>
      </c>
      <c r="B739" t="s">
        <v>1152</v>
      </c>
      <c r="C739" t="s">
        <v>1152</v>
      </c>
      <c r="D739" t="s">
        <v>4452</v>
      </c>
      <c r="E739">
        <v>424000</v>
      </c>
      <c r="F739" t="s">
        <v>1</v>
      </c>
      <c r="G739" t="s">
        <v>2</v>
      </c>
      <c r="H739" t="s">
        <v>2202</v>
      </c>
      <c r="I739" t="s">
        <v>4453</v>
      </c>
      <c r="P739" t="s">
        <v>2710</v>
      </c>
      <c r="Y739" t="s">
        <v>4454</v>
      </c>
    </row>
    <row r="740" spans="1:25" x14ac:dyDescent="0.25">
      <c r="A740" t="str">
        <f>"1071010200"</f>
        <v>1071010200</v>
      </c>
      <c r="B740" t="s">
        <v>25</v>
      </c>
      <c r="C740" t="s">
        <v>4458</v>
      </c>
      <c r="D740" t="s">
        <v>4455</v>
      </c>
      <c r="F740" t="s">
        <v>1</v>
      </c>
      <c r="G740" t="s">
        <v>2</v>
      </c>
      <c r="H740" t="s">
        <v>4456</v>
      </c>
      <c r="I740" t="s">
        <v>4457</v>
      </c>
      <c r="P740" t="s">
        <v>4459</v>
      </c>
      <c r="Y740" t="s">
        <v>4460</v>
      </c>
    </row>
    <row r="741" spans="1:25" x14ac:dyDescent="0.25">
      <c r="A741" t="str">
        <f>"1071038829"</f>
        <v>1071038829</v>
      </c>
      <c r="B741" t="s">
        <v>1323</v>
      </c>
      <c r="C741" t="s">
        <v>4467</v>
      </c>
      <c r="D741" t="s">
        <v>4461</v>
      </c>
      <c r="E741">
        <v>424000</v>
      </c>
      <c r="F741" t="s">
        <v>1</v>
      </c>
      <c r="G741" t="s">
        <v>2</v>
      </c>
      <c r="H741" t="s">
        <v>4462</v>
      </c>
      <c r="I741" t="s">
        <v>4463</v>
      </c>
      <c r="K741" t="s">
        <v>4464</v>
      </c>
      <c r="L741" t="s">
        <v>4465</v>
      </c>
      <c r="M741" t="s">
        <v>4466</v>
      </c>
      <c r="P741" t="s">
        <v>20</v>
      </c>
      <c r="Q741" t="s">
        <v>4468</v>
      </c>
      <c r="T741" t="s">
        <v>4469</v>
      </c>
      <c r="U741" t="s">
        <v>4470</v>
      </c>
      <c r="V741" t="s">
        <v>4471</v>
      </c>
      <c r="Y741" t="s">
        <v>4472</v>
      </c>
    </row>
    <row r="742" spans="1:25" x14ac:dyDescent="0.25">
      <c r="A742" t="str">
        <f>"1071077876"</f>
        <v>1071077876</v>
      </c>
      <c r="B742" t="s">
        <v>681</v>
      </c>
      <c r="C742" t="s">
        <v>4477</v>
      </c>
      <c r="D742" t="s">
        <v>4473</v>
      </c>
      <c r="E742">
        <v>424006</v>
      </c>
      <c r="F742" t="s">
        <v>1</v>
      </c>
      <c r="G742" t="s">
        <v>2</v>
      </c>
      <c r="H742" t="s">
        <v>1645</v>
      </c>
      <c r="I742" t="s">
        <v>4474</v>
      </c>
      <c r="K742" t="s">
        <v>4475</v>
      </c>
      <c r="L742" t="s">
        <v>4476</v>
      </c>
      <c r="P742" t="s">
        <v>152</v>
      </c>
      <c r="Y742" t="s">
        <v>4478</v>
      </c>
    </row>
    <row r="743" spans="1:25" x14ac:dyDescent="0.25">
      <c r="A743" t="str">
        <f>"1071350841"</f>
        <v>1071350841</v>
      </c>
      <c r="B743" t="s">
        <v>538</v>
      </c>
      <c r="C743" t="s">
        <v>539</v>
      </c>
      <c r="D743" t="s">
        <v>4479</v>
      </c>
      <c r="E743">
        <v>424028</v>
      </c>
      <c r="F743" t="s">
        <v>1</v>
      </c>
      <c r="G743" t="s">
        <v>2</v>
      </c>
      <c r="H743" t="s">
        <v>4480</v>
      </c>
      <c r="I743" t="s">
        <v>4481</v>
      </c>
      <c r="L743" t="s">
        <v>4482</v>
      </c>
      <c r="M743" t="s">
        <v>4483</v>
      </c>
      <c r="P743" t="s">
        <v>20</v>
      </c>
      <c r="Q743" t="s">
        <v>4484</v>
      </c>
      <c r="Y743" t="s">
        <v>4485</v>
      </c>
    </row>
    <row r="744" spans="1:25" x14ac:dyDescent="0.25">
      <c r="A744" t="str">
        <f>"1071449210"</f>
        <v>1071449210</v>
      </c>
      <c r="B744" t="s">
        <v>1152</v>
      </c>
      <c r="C744" t="s">
        <v>2222</v>
      </c>
      <c r="D744" t="s">
        <v>2217</v>
      </c>
      <c r="E744">
        <v>424003</v>
      </c>
      <c r="F744" t="s">
        <v>1</v>
      </c>
      <c r="G744" t="s">
        <v>2</v>
      </c>
      <c r="H744" t="s">
        <v>1031</v>
      </c>
      <c r="I744" t="s">
        <v>4486</v>
      </c>
      <c r="L744" t="s">
        <v>2220</v>
      </c>
      <c r="M744" t="s">
        <v>2221</v>
      </c>
      <c r="P744" t="s">
        <v>4487</v>
      </c>
      <c r="Q744" t="s">
        <v>4488</v>
      </c>
      <c r="R744" t="s">
        <v>4489</v>
      </c>
      <c r="S744" t="s">
        <v>2226</v>
      </c>
      <c r="T744" t="s">
        <v>2227</v>
      </c>
      <c r="Y744" t="s">
        <v>4490</v>
      </c>
    </row>
    <row r="745" spans="1:25" x14ac:dyDescent="0.25">
      <c r="A745" t="str">
        <f>"1071507432"</f>
        <v>1071507432</v>
      </c>
      <c r="B745" t="s">
        <v>4495</v>
      </c>
      <c r="C745" t="s">
        <v>4496</v>
      </c>
      <c r="D745" t="s">
        <v>4491</v>
      </c>
      <c r="E745">
        <v>424000</v>
      </c>
      <c r="F745" t="s">
        <v>1</v>
      </c>
      <c r="G745" t="s">
        <v>2</v>
      </c>
      <c r="H745" t="s">
        <v>4492</v>
      </c>
      <c r="I745" t="s">
        <v>4493</v>
      </c>
      <c r="M745" t="s">
        <v>4494</v>
      </c>
      <c r="P745" t="s">
        <v>280</v>
      </c>
      <c r="Y745" t="s">
        <v>4497</v>
      </c>
    </row>
    <row r="746" spans="1:25" x14ac:dyDescent="0.25">
      <c r="A746" t="str">
        <f>"1071538763"</f>
        <v>1071538763</v>
      </c>
      <c r="B746" t="s">
        <v>18</v>
      </c>
      <c r="C746" t="s">
        <v>4501</v>
      </c>
      <c r="D746" t="s">
        <v>4498</v>
      </c>
      <c r="F746" t="s">
        <v>1</v>
      </c>
      <c r="G746" t="s">
        <v>2</v>
      </c>
      <c r="H746" t="s">
        <v>4499</v>
      </c>
      <c r="I746" t="s">
        <v>4500</v>
      </c>
      <c r="P746" t="s">
        <v>20</v>
      </c>
      <c r="Y746" t="s">
        <v>4502</v>
      </c>
    </row>
    <row r="747" spans="1:25" x14ac:dyDescent="0.25">
      <c r="A747" t="str">
        <f>"1071587389"</f>
        <v>1071587389</v>
      </c>
      <c r="B747" t="s">
        <v>388</v>
      </c>
      <c r="C747" t="s">
        <v>4509</v>
      </c>
      <c r="D747" t="s">
        <v>4503</v>
      </c>
      <c r="E747">
        <v>424032</v>
      </c>
      <c r="F747" t="s">
        <v>1</v>
      </c>
      <c r="G747" t="s">
        <v>2</v>
      </c>
      <c r="H747" t="s">
        <v>4504</v>
      </c>
      <c r="I747" t="s">
        <v>4505</v>
      </c>
      <c r="K747" t="s">
        <v>4506</v>
      </c>
      <c r="L747" t="s">
        <v>4507</v>
      </c>
      <c r="M747" t="s">
        <v>4508</v>
      </c>
      <c r="P747" t="s">
        <v>330</v>
      </c>
      <c r="Y747" t="s">
        <v>4510</v>
      </c>
    </row>
    <row r="748" spans="1:25" x14ac:dyDescent="0.25">
      <c r="A748" t="str">
        <f>"1071924885"</f>
        <v>1071924885</v>
      </c>
      <c r="B748" t="s">
        <v>96</v>
      </c>
      <c r="C748" t="s">
        <v>893</v>
      </c>
      <c r="D748" t="s">
        <v>4511</v>
      </c>
      <c r="E748">
        <v>424918</v>
      </c>
      <c r="F748" t="s">
        <v>1</v>
      </c>
      <c r="G748" t="s">
        <v>2</v>
      </c>
      <c r="H748" t="s">
        <v>629</v>
      </c>
      <c r="J748" t="s">
        <v>4512</v>
      </c>
      <c r="P748" t="s">
        <v>630</v>
      </c>
      <c r="Y748" t="s">
        <v>4513</v>
      </c>
    </row>
    <row r="749" spans="1:25" x14ac:dyDescent="0.25">
      <c r="A749" t="str">
        <f>"1071937910"</f>
        <v>1071937910</v>
      </c>
      <c r="B749" t="s">
        <v>123</v>
      </c>
      <c r="C749" t="s">
        <v>424</v>
      </c>
      <c r="D749" t="s">
        <v>4514</v>
      </c>
      <c r="E749">
        <v>424002</v>
      </c>
      <c r="F749" t="s">
        <v>1</v>
      </c>
      <c r="G749" t="s">
        <v>2</v>
      </c>
      <c r="H749" t="s">
        <v>4515</v>
      </c>
      <c r="I749" t="s">
        <v>4516</v>
      </c>
      <c r="P749" t="s">
        <v>425</v>
      </c>
      <c r="Y749" t="s">
        <v>4517</v>
      </c>
    </row>
    <row r="750" spans="1:25" x14ac:dyDescent="0.25">
      <c r="A750" t="str">
        <f>"1071955815"</f>
        <v>1071955815</v>
      </c>
      <c r="B750" t="s">
        <v>18</v>
      </c>
      <c r="C750" t="s">
        <v>4522</v>
      </c>
      <c r="D750" t="s">
        <v>4518</v>
      </c>
      <c r="E750">
        <v>424036</v>
      </c>
      <c r="F750" t="s">
        <v>1</v>
      </c>
      <c r="G750" t="s">
        <v>2</v>
      </c>
      <c r="H750" t="s">
        <v>4519</v>
      </c>
      <c r="I750" t="s">
        <v>4520</v>
      </c>
      <c r="J750" t="s">
        <v>4521</v>
      </c>
      <c r="P750" t="s">
        <v>4523</v>
      </c>
      <c r="Y750" t="s">
        <v>4524</v>
      </c>
    </row>
    <row r="751" spans="1:25" x14ac:dyDescent="0.25">
      <c r="A751" t="str">
        <f>"1072365691"</f>
        <v>1072365691</v>
      </c>
      <c r="B751" t="s">
        <v>25</v>
      </c>
      <c r="C751" t="s">
        <v>1005</v>
      </c>
      <c r="D751" t="s">
        <v>4525</v>
      </c>
      <c r="E751">
        <v>424006</v>
      </c>
      <c r="F751" t="s">
        <v>1</v>
      </c>
      <c r="G751" t="s">
        <v>2</v>
      </c>
      <c r="H751" t="s">
        <v>3389</v>
      </c>
      <c r="I751" t="s">
        <v>4526</v>
      </c>
      <c r="P751" t="s">
        <v>280</v>
      </c>
      <c r="Y751" t="s">
        <v>3394</v>
      </c>
    </row>
    <row r="752" spans="1:25" x14ac:dyDescent="0.25">
      <c r="A752" t="str">
        <f>"1072389157"</f>
        <v>1072389157</v>
      </c>
      <c r="B752" t="s">
        <v>123</v>
      </c>
      <c r="C752" t="s">
        <v>124</v>
      </c>
      <c r="D752" t="s">
        <v>4527</v>
      </c>
      <c r="E752">
        <v>424020</v>
      </c>
      <c r="F752" t="s">
        <v>1</v>
      </c>
      <c r="G752" t="s">
        <v>2</v>
      </c>
      <c r="H752" t="s">
        <v>4528</v>
      </c>
      <c r="I752" t="s">
        <v>4529</v>
      </c>
      <c r="L752" t="s">
        <v>4530</v>
      </c>
      <c r="M752" t="s">
        <v>4531</v>
      </c>
      <c r="P752" t="s">
        <v>34</v>
      </c>
      <c r="Q752" t="s">
        <v>4532</v>
      </c>
      <c r="V752" t="s">
        <v>4533</v>
      </c>
      <c r="Y752" t="s">
        <v>4534</v>
      </c>
    </row>
    <row r="753" spans="1:25" x14ac:dyDescent="0.25">
      <c r="A753" t="str">
        <f>"1072411288"</f>
        <v>1072411288</v>
      </c>
      <c r="B753" t="s">
        <v>1152</v>
      </c>
      <c r="C753" t="s">
        <v>2222</v>
      </c>
      <c r="D753" t="s">
        <v>4535</v>
      </c>
      <c r="E753">
        <v>424033</v>
      </c>
      <c r="F753" t="s">
        <v>1</v>
      </c>
      <c r="G753" t="s">
        <v>2</v>
      </c>
      <c r="H753" t="s">
        <v>4536</v>
      </c>
      <c r="I753" t="s">
        <v>4537</v>
      </c>
      <c r="P753" t="s">
        <v>4538</v>
      </c>
      <c r="Y753" t="s">
        <v>4539</v>
      </c>
    </row>
    <row r="754" spans="1:25" x14ac:dyDescent="0.25">
      <c r="A754" t="str">
        <f>"1072458490"</f>
        <v>1072458490</v>
      </c>
      <c r="B754" t="s">
        <v>151</v>
      </c>
      <c r="C754" t="s">
        <v>151</v>
      </c>
      <c r="D754" t="s">
        <v>4540</v>
      </c>
      <c r="E754">
        <v>424006</v>
      </c>
      <c r="F754" t="s">
        <v>1</v>
      </c>
      <c r="G754" t="s">
        <v>2</v>
      </c>
      <c r="H754" t="s">
        <v>4541</v>
      </c>
      <c r="J754" t="s">
        <v>4542</v>
      </c>
      <c r="P754" t="s">
        <v>4543</v>
      </c>
      <c r="Y754" t="s">
        <v>4544</v>
      </c>
    </row>
    <row r="755" spans="1:25" x14ac:dyDescent="0.25">
      <c r="A755" t="str">
        <f>"1072620046"</f>
        <v>1072620046</v>
      </c>
      <c r="B755" t="s">
        <v>25</v>
      </c>
      <c r="C755" t="s">
        <v>59</v>
      </c>
      <c r="D755" t="s">
        <v>4545</v>
      </c>
      <c r="E755">
        <v>424003</v>
      </c>
      <c r="F755" t="s">
        <v>1</v>
      </c>
      <c r="G755" t="s">
        <v>2</v>
      </c>
      <c r="H755" t="s">
        <v>4546</v>
      </c>
      <c r="I755" t="s">
        <v>4547</v>
      </c>
      <c r="P755" t="s">
        <v>27</v>
      </c>
      <c r="Y755" t="s">
        <v>4548</v>
      </c>
    </row>
    <row r="756" spans="1:25" x14ac:dyDescent="0.25">
      <c r="A756" t="str">
        <f>"1072627953"</f>
        <v>1072627953</v>
      </c>
      <c r="B756" t="s">
        <v>123</v>
      </c>
      <c r="C756" t="s">
        <v>424</v>
      </c>
      <c r="D756" t="s">
        <v>4549</v>
      </c>
      <c r="E756">
        <v>424020</v>
      </c>
      <c r="F756" t="s">
        <v>1</v>
      </c>
      <c r="G756" t="s">
        <v>2</v>
      </c>
      <c r="H756" t="s">
        <v>4550</v>
      </c>
      <c r="I756" t="s">
        <v>4551</v>
      </c>
      <c r="L756" t="s">
        <v>4552</v>
      </c>
      <c r="M756" t="s">
        <v>4553</v>
      </c>
      <c r="P756" t="s">
        <v>425</v>
      </c>
      <c r="Y756" t="s">
        <v>4554</v>
      </c>
    </row>
    <row r="757" spans="1:25" x14ac:dyDescent="0.25">
      <c r="A757" t="str">
        <f>"1072634585"</f>
        <v>1072634585</v>
      </c>
      <c r="B757" t="s">
        <v>32</v>
      </c>
      <c r="C757" t="s">
        <v>4557</v>
      </c>
      <c r="D757" t="s">
        <v>4555</v>
      </c>
      <c r="E757">
        <v>424006</v>
      </c>
      <c r="F757" t="s">
        <v>1</v>
      </c>
      <c r="G757" t="s">
        <v>2</v>
      </c>
      <c r="H757" t="s">
        <v>2042</v>
      </c>
      <c r="I757" t="s">
        <v>4556</v>
      </c>
      <c r="P757" t="s">
        <v>216</v>
      </c>
      <c r="Y757" t="s">
        <v>4558</v>
      </c>
    </row>
    <row r="758" spans="1:25" x14ac:dyDescent="0.25">
      <c r="A758" t="str">
        <f>"1072639005"</f>
        <v>1072639005</v>
      </c>
      <c r="B758" t="s">
        <v>25</v>
      </c>
      <c r="C758" t="s">
        <v>59</v>
      </c>
      <c r="D758" t="s">
        <v>4559</v>
      </c>
      <c r="E758">
        <v>424002</v>
      </c>
      <c r="F758" t="s">
        <v>1</v>
      </c>
      <c r="G758" t="s">
        <v>2</v>
      </c>
      <c r="H758" t="s">
        <v>2338</v>
      </c>
      <c r="I758" t="s">
        <v>4560</v>
      </c>
      <c r="J758" t="s">
        <v>4561</v>
      </c>
      <c r="P758" t="s">
        <v>27</v>
      </c>
      <c r="Y758" t="s">
        <v>2954</v>
      </c>
    </row>
    <row r="759" spans="1:25" x14ac:dyDescent="0.25">
      <c r="A759" t="str">
        <f>"1072657432"</f>
        <v>1072657432</v>
      </c>
      <c r="B759" t="s">
        <v>790</v>
      </c>
      <c r="C759" t="s">
        <v>3134</v>
      </c>
      <c r="D759" t="s">
        <v>4562</v>
      </c>
      <c r="E759">
        <v>424032</v>
      </c>
      <c r="F759" t="s">
        <v>1</v>
      </c>
      <c r="G759" t="s">
        <v>2</v>
      </c>
      <c r="H759" t="s">
        <v>4563</v>
      </c>
      <c r="J759" t="s">
        <v>4564</v>
      </c>
      <c r="M759" t="s">
        <v>4565</v>
      </c>
      <c r="P759" t="s">
        <v>340</v>
      </c>
      <c r="Y759" t="s">
        <v>4566</v>
      </c>
    </row>
    <row r="760" spans="1:25" x14ac:dyDescent="0.25">
      <c r="A760" t="str">
        <f>"1072699772"</f>
        <v>1072699772</v>
      </c>
      <c r="B760" t="s">
        <v>18</v>
      </c>
      <c r="C760" t="s">
        <v>4572</v>
      </c>
      <c r="D760" t="s">
        <v>4567</v>
      </c>
      <c r="E760">
        <v>424016</v>
      </c>
      <c r="F760" t="s">
        <v>1</v>
      </c>
      <c r="G760" t="s">
        <v>2</v>
      </c>
      <c r="H760" t="s">
        <v>4568</v>
      </c>
      <c r="I760" t="s">
        <v>4569</v>
      </c>
      <c r="L760" t="s">
        <v>4570</v>
      </c>
      <c r="M760" t="s">
        <v>4571</v>
      </c>
      <c r="P760" t="s">
        <v>2951</v>
      </c>
      <c r="Q760" t="s">
        <v>4573</v>
      </c>
      <c r="Y760" t="s">
        <v>4574</v>
      </c>
    </row>
    <row r="761" spans="1:25" x14ac:dyDescent="0.25">
      <c r="A761" t="str">
        <f>"1072777605"</f>
        <v>1072777605</v>
      </c>
      <c r="B761" t="s">
        <v>18</v>
      </c>
      <c r="C761" t="s">
        <v>4577</v>
      </c>
      <c r="D761" t="s">
        <v>4575</v>
      </c>
      <c r="E761">
        <v>424002</v>
      </c>
      <c r="F761" t="s">
        <v>1</v>
      </c>
      <c r="G761" t="s">
        <v>2</v>
      </c>
      <c r="H761" t="s">
        <v>781</v>
      </c>
      <c r="I761" t="s">
        <v>4576</v>
      </c>
      <c r="P761" t="s">
        <v>2296</v>
      </c>
      <c r="Y761" t="s">
        <v>4578</v>
      </c>
    </row>
    <row r="762" spans="1:25" x14ac:dyDescent="0.25">
      <c r="A762" t="str">
        <f>"1072931257"</f>
        <v>1072931257</v>
      </c>
      <c r="B762" t="s">
        <v>790</v>
      </c>
      <c r="C762" t="s">
        <v>4583</v>
      </c>
      <c r="D762" t="s">
        <v>4579</v>
      </c>
      <c r="E762">
        <v>424020</v>
      </c>
      <c r="F762" t="s">
        <v>1</v>
      </c>
      <c r="G762" t="s">
        <v>2</v>
      </c>
      <c r="H762" t="s">
        <v>1837</v>
      </c>
      <c r="I762" t="s">
        <v>4580</v>
      </c>
      <c r="J762" t="s">
        <v>4581</v>
      </c>
      <c r="L762" t="s">
        <v>4582</v>
      </c>
      <c r="P762" t="s">
        <v>27</v>
      </c>
      <c r="Q762" t="s">
        <v>4584</v>
      </c>
      <c r="Y762" t="s">
        <v>4585</v>
      </c>
    </row>
    <row r="763" spans="1:25" x14ac:dyDescent="0.25">
      <c r="A763" t="str">
        <f>"1073069771"</f>
        <v>1073069771</v>
      </c>
      <c r="B763" t="s">
        <v>408</v>
      </c>
      <c r="C763" t="s">
        <v>4591</v>
      </c>
      <c r="D763" t="s">
        <v>4586</v>
      </c>
      <c r="E763">
        <v>424006</v>
      </c>
      <c r="F763" t="s">
        <v>1</v>
      </c>
      <c r="G763" t="s">
        <v>2</v>
      </c>
      <c r="H763" t="s">
        <v>4587</v>
      </c>
      <c r="I763" t="s">
        <v>4588</v>
      </c>
      <c r="L763" t="s">
        <v>4589</v>
      </c>
      <c r="M763" t="s">
        <v>4590</v>
      </c>
      <c r="P763" t="s">
        <v>27</v>
      </c>
      <c r="T763" t="s">
        <v>4592</v>
      </c>
      <c r="Y763" t="s">
        <v>4593</v>
      </c>
    </row>
    <row r="764" spans="1:25" x14ac:dyDescent="0.25">
      <c r="A764" t="str">
        <f>"1073095368"</f>
        <v>1073095368</v>
      </c>
      <c r="B764" t="s">
        <v>176</v>
      </c>
      <c r="C764" t="s">
        <v>250</v>
      </c>
      <c r="D764" t="s">
        <v>4594</v>
      </c>
      <c r="E764">
        <v>424918</v>
      </c>
      <c r="F764" t="s">
        <v>1</v>
      </c>
      <c r="G764" t="s">
        <v>2</v>
      </c>
      <c r="H764" t="s">
        <v>629</v>
      </c>
      <c r="L764" t="s">
        <v>4595</v>
      </c>
      <c r="M764" t="s">
        <v>4596</v>
      </c>
      <c r="P764" t="s">
        <v>630</v>
      </c>
      <c r="Q764" t="s">
        <v>4597</v>
      </c>
      <c r="V764" t="s">
        <v>4598</v>
      </c>
      <c r="Y764" t="s">
        <v>4599</v>
      </c>
    </row>
    <row r="765" spans="1:25" x14ac:dyDescent="0.25">
      <c r="A765" t="str">
        <f>"1073157393"</f>
        <v>1073157393</v>
      </c>
      <c r="B765" t="s">
        <v>284</v>
      </c>
      <c r="C765" t="s">
        <v>711</v>
      </c>
      <c r="D765" t="s">
        <v>4600</v>
      </c>
      <c r="E765">
        <v>424007</v>
      </c>
      <c r="F765" t="s">
        <v>1</v>
      </c>
      <c r="G765" t="s">
        <v>2</v>
      </c>
      <c r="H765" t="s">
        <v>2460</v>
      </c>
      <c r="I765" t="s">
        <v>4601</v>
      </c>
      <c r="L765" t="s">
        <v>4602</v>
      </c>
      <c r="M765" t="s">
        <v>4603</v>
      </c>
      <c r="P765" t="s">
        <v>20</v>
      </c>
      <c r="Y765" t="s">
        <v>4604</v>
      </c>
    </row>
    <row r="766" spans="1:25" x14ac:dyDescent="0.25">
      <c r="A766" t="str">
        <f>"1073187102"</f>
        <v>1073187102</v>
      </c>
      <c r="B766" t="s">
        <v>1758</v>
      </c>
      <c r="C766" t="s">
        <v>4609</v>
      </c>
      <c r="D766" t="s">
        <v>4605</v>
      </c>
      <c r="E766">
        <v>424031</v>
      </c>
      <c r="F766" t="s">
        <v>1</v>
      </c>
      <c r="G766" t="s">
        <v>2</v>
      </c>
      <c r="H766" t="s">
        <v>4606</v>
      </c>
      <c r="J766" t="s">
        <v>4607</v>
      </c>
      <c r="M766" t="s">
        <v>4608</v>
      </c>
      <c r="P766" t="s">
        <v>330</v>
      </c>
      <c r="Q766" t="s">
        <v>4610</v>
      </c>
      <c r="Y766" t="s">
        <v>4611</v>
      </c>
    </row>
    <row r="767" spans="1:25" x14ac:dyDescent="0.25">
      <c r="A767" t="str">
        <f>"1073252671"</f>
        <v>1073252671</v>
      </c>
      <c r="B767" t="s">
        <v>3008</v>
      </c>
      <c r="C767" t="s">
        <v>4616</v>
      </c>
      <c r="D767" t="s">
        <v>4612</v>
      </c>
      <c r="E767">
        <v>424006</v>
      </c>
      <c r="F767" t="s">
        <v>1</v>
      </c>
      <c r="G767" t="s">
        <v>2</v>
      </c>
      <c r="H767" t="s">
        <v>393</v>
      </c>
      <c r="I767" t="s">
        <v>4613</v>
      </c>
      <c r="L767" t="s">
        <v>4614</v>
      </c>
      <c r="M767" t="s">
        <v>4615</v>
      </c>
      <c r="P767" t="s">
        <v>4617</v>
      </c>
      <c r="Q767" t="s">
        <v>4618</v>
      </c>
      <c r="T767" t="s">
        <v>4619</v>
      </c>
      <c r="Y767" t="s">
        <v>4620</v>
      </c>
    </row>
    <row r="768" spans="1:25" x14ac:dyDescent="0.25">
      <c r="A768" t="str">
        <f>"1073255633"</f>
        <v>1073255633</v>
      </c>
      <c r="B768" t="s">
        <v>553</v>
      </c>
      <c r="C768" t="s">
        <v>4625</v>
      </c>
      <c r="D768" t="s">
        <v>4621</v>
      </c>
      <c r="E768">
        <v>424031</v>
      </c>
      <c r="F768" t="s">
        <v>1</v>
      </c>
      <c r="G768" t="s">
        <v>2</v>
      </c>
      <c r="H768" t="s">
        <v>4622</v>
      </c>
      <c r="I768" t="s">
        <v>4623</v>
      </c>
      <c r="K768" t="s">
        <v>4624</v>
      </c>
      <c r="M768" t="s">
        <v>1192</v>
      </c>
      <c r="P768" t="s">
        <v>280</v>
      </c>
      <c r="Y768" t="s">
        <v>4626</v>
      </c>
    </row>
    <row r="769" spans="1:25" x14ac:dyDescent="0.25">
      <c r="A769" t="str">
        <f>"1073354940"</f>
        <v>1073354940</v>
      </c>
      <c r="B769" t="s">
        <v>738</v>
      </c>
      <c r="C769" t="s">
        <v>4630</v>
      </c>
      <c r="D769" t="s">
        <v>4627</v>
      </c>
      <c r="E769">
        <v>424006</v>
      </c>
      <c r="F769" t="s">
        <v>1</v>
      </c>
      <c r="G769" t="s">
        <v>2</v>
      </c>
      <c r="H769" t="s">
        <v>4628</v>
      </c>
      <c r="I769" t="s">
        <v>4629</v>
      </c>
      <c r="P769" t="s">
        <v>4631</v>
      </c>
      <c r="Q769" t="s">
        <v>4632</v>
      </c>
      <c r="Y769" t="s">
        <v>4633</v>
      </c>
    </row>
    <row r="770" spans="1:25" x14ac:dyDescent="0.25">
      <c r="A770" t="str">
        <f>"1073386677"</f>
        <v>1073386677</v>
      </c>
      <c r="B770" t="s">
        <v>88</v>
      </c>
      <c r="C770" t="s">
        <v>4639</v>
      </c>
      <c r="D770" t="s">
        <v>4634</v>
      </c>
      <c r="E770">
        <v>424037</v>
      </c>
      <c r="F770" t="s">
        <v>1</v>
      </c>
      <c r="G770" t="s">
        <v>2</v>
      </c>
      <c r="H770" t="s">
        <v>4635</v>
      </c>
      <c r="I770" t="s">
        <v>4636</v>
      </c>
      <c r="L770" t="s">
        <v>4637</v>
      </c>
      <c r="M770" t="s">
        <v>4638</v>
      </c>
      <c r="P770" t="s">
        <v>2738</v>
      </c>
      <c r="Q770" t="s">
        <v>4640</v>
      </c>
      <c r="R770" t="s">
        <v>4641</v>
      </c>
      <c r="S770" t="s">
        <v>4642</v>
      </c>
      <c r="T770" t="s">
        <v>4643</v>
      </c>
      <c r="U770" t="s">
        <v>4644</v>
      </c>
      <c r="V770" t="s">
        <v>4645</v>
      </c>
      <c r="Y770" t="s">
        <v>4646</v>
      </c>
    </row>
    <row r="771" spans="1:25" x14ac:dyDescent="0.25">
      <c r="A771" t="str">
        <f>"1073404042"</f>
        <v>1073404042</v>
      </c>
      <c r="B771" t="s">
        <v>462</v>
      </c>
      <c r="C771" t="s">
        <v>1140</v>
      </c>
      <c r="D771" t="s">
        <v>4647</v>
      </c>
      <c r="E771">
        <v>424000</v>
      </c>
      <c r="F771" t="s">
        <v>1</v>
      </c>
      <c r="G771" t="s">
        <v>2</v>
      </c>
      <c r="H771" t="s">
        <v>4648</v>
      </c>
      <c r="Y771" t="s">
        <v>4649</v>
      </c>
    </row>
    <row r="772" spans="1:25" x14ac:dyDescent="0.25">
      <c r="A772" t="str">
        <f>"1073409685"</f>
        <v>1073409685</v>
      </c>
      <c r="B772" t="s">
        <v>319</v>
      </c>
      <c r="C772" t="s">
        <v>4656</v>
      </c>
      <c r="D772" t="s">
        <v>4650</v>
      </c>
      <c r="E772">
        <v>424006</v>
      </c>
      <c r="F772" t="s">
        <v>1</v>
      </c>
      <c r="G772" t="s">
        <v>2</v>
      </c>
      <c r="H772" t="s">
        <v>4651</v>
      </c>
      <c r="I772" t="s">
        <v>4652</v>
      </c>
      <c r="K772" t="s">
        <v>4653</v>
      </c>
      <c r="L772" t="s">
        <v>4654</v>
      </c>
      <c r="M772" t="s">
        <v>4655</v>
      </c>
      <c r="P772" t="s">
        <v>20</v>
      </c>
      <c r="Y772" t="s">
        <v>4657</v>
      </c>
    </row>
    <row r="773" spans="1:25" x14ac:dyDescent="0.25">
      <c r="A773" t="str">
        <f>"1073419608"</f>
        <v>1073419608</v>
      </c>
      <c r="B773" t="s">
        <v>32</v>
      </c>
      <c r="C773" t="s">
        <v>40</v>
      </c>
      <c r="D773" t="s">
        <v>4658</v>
      </c>
      <c r="E773">
        <v>424000</v>
      </c>
      <c r="F773" t="s">
        <v>1</v>
      </c>
      <c r="G773" t="s">
        <v>2</v>
      </c>
      <c r="H773" t="s">
        <v>1531</v>
      </c>
      <c r="I773" t="s">
        <v>4659</v>
      </c>
      <c r="P773" t="s">
        <v>312</v>
      </c>
      <c r="Y773" t="s">
        <v>4660</v>
      </c>
    </row>
    <row r="774" spans="1:25" x14ac:dyDescent="0.25">
      <c r="A774" t="str">
        <f>"1073496230"</f>
        <v>1073496230</v>
      </c>
      <c r="B774" t="s">
        <v>538</v>
      </c>
      <c r="C774" t="s">
        <v>539</v>
      </c>
      <c r="D774" t="s">
        <v>4661</v>
      </c>
      <c r="E774">
        <v>424037</v>
      </c>
      <c r="F774" t="s">
        <v>1</v>
      </c>
      <c r="G774" t="s">
        <v>2</v>
      </c>
      <c r="H774" t="s">
        <v>1116</v>
      </c>
      <c r="I774" t="s">
        <v>4662</v>
      </c>
      <c r="L774" t="s">
        <v>4663</v>
      </c>
      <c r="P774" t="s">
        <v>152</v>
      </c>
      <c r="Y774" t="s">
        <v>4664</v>
      </c>
    </row>
    <row r="775" spans="1:25" x14ac:dyDescent="0.25">
      <c r="A775" t="str">
        <f>"1073560318"</f>
        <v>1073560318</v>
      </c>
      <c r="B775" t="s">
        <v>738</v>
      </c>
      <c r="C775" t="s">
        <v>4670</v>
      </c>
      <c r="D775" t="s">
        <v>4665</v>
      </c>
      <c r="E775">
        <v>424007</v>
      </c>
      <c r="F775" t="s">
        <v>1</v>
      </c>
      <c r="G775" t="s">
        <v>2</v>
      </c>
      <c r="H775" t="s">
        <v>4666</v>
      </c>
      <c r="I775" t="s">
        <v>4667</v>
      </c>
      <c r="J775" t="s">
        <v>4668</v>
      </c>
      <c r="L775" t="s">
        <v>4669</v>
      </c>
      <c r="P775" t="s">
        <v>4671</v>
      </c>
      <c r="Y775" t="s">
        <v>4672</v>
      </c>
    </row>
    <row r="776" spans="1:25" x14ac:dyDescent="0.25">
      <c r="A776" t="str">
        <f>"1073661845"</f>
        <v>1073661845</v>
      </c>
      <c r="B776" t="s">
        <v>1729</v>
      </c>
      <c r="C776" t="s">
        <v>4677</v>
      </c>
      <c r="D776" t="s">
        <v>4673</v>
      </c>
      <c r="E776">
        <v>424002</v>
      </c>
      <c r="F776" t="s">
        <v>1</v>
      </c>
      <c r="G776" t="s">
        <v>2</v>
      </c>
      <c r="H776" t="s">
        <v>2714</v>
      </c>
      <c r="I776" t="s">
        <v>4674</v>
      </c>
      <c r="L776" t="s">
        <v>4675</v>
      </c>
      <c r="M776" t="s">
        <v>4676</v>
      </c>
      <c r="P776" t="s">
        <v>9</v>
      </c>
      <c r="Q776" t="s">
        <v>4678</v>
      </c>
      <c r="Y776" t="s">
        <v>4679</v>
      </c>
    </row>
    <row r="777" spans="1:25" x14ac:dyDescent="0.25">
      <c r="A777" t="str">
        <f>"1073724179"</f>
        <v>1073724179</v>
      </c>
      <c r="B777" t="s">
        <v>1152</v>
      </c>
      <c r="C777" t="s">
        <v>4682</v>
      </c>
      <c r="D777" t="s">
        <v>4680</v>
      </c>
      <c r="F777" t="s">
        <v>1</v>
      </c>
      <c r="G777" t="s">
        <v>2</v>
      </c>
      <c r="H777" t="s">
        <v>1003</v>
      </c>
      <c r="I777" t="s">
        <v>4681</v>
      </c>
      <c r="P777" t="s">
        <v>20</v>
      </c>
      <c r="Y777" t="s">
        <v>1006</v>
      </c>
    </row>
    <row r="778" spans="1:25" x14ac:dyDescent="0.25">
      <c r="A778" t="str">
        <f>"1073825223"</f>
        <v>1073825223</v>
      </c>
      <c r="B778" t="s">
        <v>160</v>
      </c>
      <c r="C778" t="s">
        <v>1666</v>
      </c>
      <c r="D778" t="s">
        <v>4683</v>
      </c>
      <c r="E778">
        <v>424036</v>
      </c>
      <c r="F778" t="s">
        <v>1</v>
      </c>
      <c r="G778" t="s">
        <v>2</v>
      </c>
      <c r="H778" t="s">
        <v>3126</v>
      </c>
      <c r="Y778" t="s">
        <v>4684</v>
      </c>
    </row>
    <row r="779" spans="1:25" x14ac:dyDescent="0.25">
      <c r="A779" t="str">
        <f>"1073925467"</f>
        <v>1073925467</v>
      </c>
      <c r="B779" t="s">
        <v>1315</v>
      </c>
      <c r="C779" t="s">
        <v>4688</v>
      </c>
      <c r="D779" t="s">
        <v>4685</v>
      </c>
      <c r="E779">
        <v>424006</v>
      </c>
      <c r="F779" t="s">
        <v>1</v>
      </c>
      <c r="G779" t="s">
        <v>2</v>
      </c>
      <c r="H779" t="s">
        <v>602</v>
      </c>
      <c r="I779" t="s">
        <v>4686</v>
      </c>
      <c r="M779" t="s">
        <v>4687</v>
      </c>
      <c r="P779" t="s">
        <v>4689</v>
      </c>
      <c r="Y779" t="s">
        <v>4690</v>
      </c>
    </row>
    <row r="780" spans="1:25" x14ac:dyDescent="0.25">
      <c r="A780" t="str">
        <f>"1074000596"</f>
        <v>1074000596</v>
      </c>
      <c r="B780" t="s">
        <v>790</v>
      </c>
      <c r="C780" t="s">
        <v>4693</v>
      </c>
      <c r="D780" t="s">
        <v>4691</v>
      </c>
      <c r="E780">
        <v>424000</v>
      </c>
      <c r="F780" t="s">
        <v>1</v>
      </c>
      <c r="G780" t="s">
        <v>2</v>
      </c>
      <c r="H780" t="s">
        <v>1473</v>
      </c>
      <c r="I780" t="s">
        <v>4692</v>
      </c>
      <c r="P780" t="s">
        <v>941</v>
      </c>
      <c r="Y780" t="s">
        <v>4694</v>
      </c>
    </row>
    <row r="781" spans="1:25" x14ac:dyDescent="0.25">
      <c r="A781" t="str">
        <f>"1074005774"</f>
        <v>1074005774</v>
      </c>
      <c r="B781" t="s">
        <v>985</v>
      </c>
      <c r="C781" t="s">
        <v>4699</v>
      </c>
      <c r="D781" t="s">
        <v>4695</v>
      </c>
      <c r="E781">
        <v>424008</v>
      </c>
      <c r="F781" t="s">
        <v>1</v>
      </c>
      <c r="G781" t="s">
        <v>2</v>
      </c>
      <c r="H781" t="s">
        <v>528</v>
      </c>
      <c r="I781" t="s">
        <v>4696</v>
      </c>
      <c r="L781" t="s">
        <v>4697</v>
      </c>
      <c r="M781" t="s">
        <v>4698</v>
      </c>
      <c r="P781" t="s">
        <v>987</v>
      </c>
      <c r="Q781" t="s">
        <v>4700</v>
      </c>
      <c r="Y781" t="s">
        <v>4701</v>
      </c>
    </row>
    <row r="782" spans="1:25" x14ac:dyDescent="0.25">
      <c r="A782" t="str">
        <f>"1074069076"</f>
        <v>1074069076</v>
      </c>
      <c r="B782" t="s">
        <v>1053</v>
      </c>
      <c r="C782" t="s">
        <v>4707</v>
      </c>
      <c r="D782" t="s">
        <v>4702</v>
      </c>
      <c r="E782">
        <v>424038</v>
      </c>
      <c r="F782" t="s">
        <v>1</v>
      </c>
      <c r="G782" t="s">
        <v>2</v>
      </c>
      <c r="H782" t="s">
        <v>386</v>
      </c>
      <c r="I782" t="s">
        <v>4703</v>
      </c>
      <c r="J782" t="s">
        <v>4704</v>
      </c>
      <c r="L782" t="s">
        <v>4705</v>
      </c>
      <c r="M782" t="s">
        <v>4706</v>
      </c>
      <c r="P782" t="s">
        <v>27</v>
      </c>
      <c r="Y782" t="s">
        <v>4708</v>
      </c>
    </row>
    <row r="783" spans="1:25" x14ac:dyDescent="0.25">
      <c r="A783" t="str">
        <f>"1074072410"</f>
        <v>1074072410</v>
      </c>
      <c r="B783" t="s">
        <v>888</v>
      </c>
      <c r="C783" t="s">
        <v>4712</v>
      </c>
      <c r="D783" t="s">
        <v>4709</v>
      </c>
      <c r="E783">
        <v>424006</v>
      </c>
      <c r="F783" t="s">
        <v>1</v>
      </c>
      <c r="G783" t="s">
        <v>2</v>
      </c>
      <c r="H783" t="s">
        <v>4710</v>
      </c>
      <c r="I783" t="s">
        <v>4711</v>
      </c>
      <c r="P783" t="s">
        <v>4713</v>
      </c>
      <c r="Y783" t="s">
        <v>4714</v>
      </c>
    </row>
    <row r="784" spans="1:25" x14ac:dyDescent="0.25">
      <c r="A784" t="str">
        <f>"1074272115"</f>
        <v>1074272115</v>
      </c>
      <c r="B784" t="s">
        <v>1758</v>
      </c>
      <c r="C784" t="s">
        <v>4721</v>
      </c>
      <c r="D784" t="s">
        <v>4715</v>
      </c>
      <c r="E784">
        <v>424037</v>
      </c>
      <c r="F784" t="s">
        <v>1</v>
      </c>
      <c r="G784" t="s">
        <v>2</v>
      </c>
      <c r="H784" t="s">
        <v>4716</v>
      </c>
      <c r="I784" t="s">
        <v>4717</v>
      </c>
      <c r="J784" t="s">
        <v>4718</v>
      </c>
      <c r="L784" t="s">
        <v>4719</v>
      </c>
      <c r="M784" t="s">
        <v>4720</v>
      </c>
      <c r="P784" t="s">
        <v>330</v>
      </c>
      <c r="Q784" t="s">
        <v>4722</v>
      </c>
      <c r="V784" t="s">
        <v>4723</v>
      </c>
      <c r="Y784" t="s">
        <v>4724</v>
      </c>
    </row>
    <row r="785" spans="1:25" x14ac:dyDescent="0.25">
      <c r="A785" t="str">
        <f>"1074349035"</f>
        <v>1074349035</v>
      </c>
      <c r="B785" t="s">
        <v>1352</v>
      </c>
      <c r="C785" t="s">
        <v>1353</v>
      </c>
      <c r="D785" t="s">
        <v>4725</v>
      </c>
      <c r="E785">
        <v>424000</v>
      </c>
      <c r="F785" t="s">
        <v>1</v>
      </c>
      <c r="G785" t="s">
        <v>2</v>
      </c>
      <c r="H785" t="s">
        <v>4726</v>
      </c>
      <c r="I785" t="s">
        <v>4727</v>
      </c>
      <c r="P785" t="s">
        <v>748</v>
      </c>
      <c r="Y785" t="s">
        <v>4728</v>
      </c>
    </row>
    <row r="786" spans="1:25" x14ac:dyDescent="0.25">
      <c r="A786" t="str">
        <f>"1074393492"</f>
        <v>1074393492</v>
      </c>
      <c r="B786" t="s">
        <v>388</v>
      </c>
      <c r="C786" t="s">
        <v>4731</v>
      </c>
      <c r="D786" t="s">
        <v>4729</v>
      </c>
      <c r="E786">
        <v>424003</v>
      </c>
      <c r="F786" t="s">
        <v>1</v>
      </c>
      <c r="G786" t="s">
        <v>2</v>
      </c>
      <c r="H786" t="s">
        <v>3647</v>
      </c>
      <c r="I786" t="s">
        <v>4730</v>
      </c>
      <c r="Y786" t="s">
        <v>4732</v>
      </c>
    </row>
    <row r="787" spans="1:25" x14ac:dyDescent="0.25">
      <c r="A787" t="str">
        <f>"1074488418"</f>
        <v>1074488418</v>
      </c>
      <c r="B787" t="s">
        <v>797</v>
      </c>
      <c r="C787" t="s">
        <v>4735</v>
      </c>
      <c r="D787" t="s">
        <v>4269</v>
      </c>
      <c r="E787">
        <v>424026</v>
      </c>
      <c r="F787" t="s">
        <v>1</v>
      </c>
      <c r="G787" t="s">
        <v>2</v>
      </c>
      <c r="H787" t="s">
        <v>1095</v>
      </c>
      <c r="I787" t="s">
        <v>4733</v>
      </c>
      <c r="J787" t="s">
        <v>4734</v>
      </c>
      <c r="P787" t="s">
        <v>27</v>
      </c>
      <c r="Y787" t="s">
        <v>4736</v>
      </c>
    </row>
    <row r="788" spans="1:25" x14ac:dyDescent="0.25">
      <c r="A788" t="str">
        <f>"1074535209"</f>
        <v>1074535209</v>
      </c>
      <c r="B788" t="s">
        <v>176</v>
      </c>
      <c r="C788" t="s">
        <v>4741</v>
      </c>
      <c r="D788" t="s">
        <v>4737</v>
      </c>
      <c r="E788">
        <v>424000</v>
      </c>
      <c r="F788" t="s">
        <v>1</v>
      </c>
      <c r="G788" t="s">
        <v>2</v>
      </c>
      <c r="H788" t="s">
        <v>211</v>
      </c>
      <c r="I788" t="s">
        <v>4738</v>
      </c>
      <c r="L788" t="s">
        <v>4739</v>
      </c>
      <c r="M788" t="s">
        <v>4740</v>
      </c>
      <c r="P788" t="s">
        <v>330</v>
      </c>
      <c r="Y788" t="s">
        <v>4742</v>
      </c>
    </row>
    <row r="789" spans="1:25" x14ac:dyDescent="0.25">
      <c r="A789" t="str">
        <f>"1074553531"</f>
        <v>1074553531</v>
      </c>
      <c r="B789" t="s">
        <v>624</v>
      </c>
      <c r="C789" t="s">
        <v>2640</v>
      </c>
      <c r="D789" t="s">
        <v>4743</v>
      </c>
      <c r="E789">
        <v>424006</v>
      </c>
      <c r="F789" t="s">
        <v>1</v>
      </c>
      <c r="G789" t="s">
        <v>2</v>
      </c>
      <c r="H789" t="s">
        <v>2185</v>
      </c>
      <c r="Y789" t="s">
        <v>2191</v>
      </c>
    </row>
    <row r="790" spans="1:25" x14ac:dyDescent="0.25">
      <c r="A790" t="str">
        <f>"1074557692"</f>
        <v>1074557692</v>
      </c>
      <c r="B790" t="s">
        <v>1573</v>
      </c>
      <c r="C790" t="s">
        <v>1753</v>
      </c>
      <c r="D790" t="s">
        <v>4744</v>
      </c>
      <c r="E790">
        <v>424032</v>
      </c>
      <c r="F790" t="s">
        <v>1</v>
      </c>
      <c r="G790" t="s">
        <v>2</v>
      </c>
      <c r="H790" t="s">
        <v>4745</v>
      </c>
      <c r="I790" t="s">
        <v>4746</v>
      </c>
      <c r="P790" t="s">
        <v>3690</v>
      </c>
      <c r="Y790" t="s">
        <v>4747</v>
      </c>
    </row>
    <row r="791" spans="1:25" x14ac:dyDescent="0.25">
      <c r="A791" t="str">
        <f>"1074562106"</f>
        <v>1074562106</v>
      </c>
      <c r="B791" t="s">
        <v>803</v>
      </c>
      <c r="C791" t="s">
        <v>804</v>
      </c>
      <c r="D791" t="s">
        <v>561</v>
      </c>
      <c r="E791">
        <v>424003</v>
      </c>
      <c r="F791" t="s">
        <v>1</v>
      </c>
      <c r="G791" t="s">
        <v>2</v>
      </c>
      <c r="H791" t="s">
        <v>562</v>
      </c>
      <c r="I791" t="s">
        <v>4748</v>
      </c>
      <c r="Y791" t="s">
        <v>4749</v>
      </c>
    </row>
    <row r="792" spans="1:25" x14ac:dyDescent="0.25">
      <c r="A792" t="str">
        <f>"1074808328"</f>
        <v>1074808328</v>
      </c>
      <c r="B792" t="s">
        <v>462</v>
      </c>
      <c r="C792" t="s">
        <v>4752</v>
      </c>
      <c r="D792" t="s">
        <v>4750</v>
      </c>
      <c r="E792">
        <v>424007</v>
      </c>
      <c r="F792" t="s">
        <v>1</v>
      </c>
      <c r="G792" t="s">
        <v>2</v>
      </c>
      <c r="H792" t="s">
        <v>4751</v>
      </c>
      <c r="P792" t="s">
        <v>874</v>
      </c>
      <c r="Y792" t="s">
        <v>4753</v>
      </c>
    </row>
    <row r="793" spans="1:25" x14ac:dyDescent="0.25">
      <c r="A793" t="str">
        <f>"1074945712"</f>
        <v>1074945712</v>
      </c>
      <c r="B793" t="s">
        <v>462</v>
      </c>
      <c r="C793" t="s">
        <v>463</v>
      </c>
      <c r="D793" t="s">
        <v>4754</v>
      </c>
      <c r="F793" t="s">
        <v>1</v>
      </c>
      <c r="G793" t="s">
        <v>2</v>
      </c>
      <c r="H793" t="s">
        <v>2687</v>
      </c>
      <c r="Y793" t="s">
        <v>4755</v>
      </c>
    </row>
    <row r="794" spans="1:25" x14ac:dyDescent="0.25">
      <c r="A794" t="str">
        <f>"1074966907"</f>
        <v>1074966907</v>
      </c>
      <c r="B794" t="s">
        <v>88</v>
      </c>
      <c r="C794" t="s">
        <v>4759</v>
      </c>
      <c r="D794" t="s">
        <v>4756</v>
      </c>
      <c r="E794">
        <v>424003</v>
      </c>
      <c r="F794" t="s">
        <v>1</v>
      </c>
      <c r="G794" t="s">
        <v>2</v>
      </c>
      <c r="H794" t="s">
        <v>38</v>
      </c>
      <c r="I794" t="s">
        <v>4757</v>
      </c>
      <c r="L794" t="s">
        <v>4758</v>
      </c>
      <c r="P794" t="s">
        <v>833</v>
      </c>
      <c r="Q794" t="s">
        <v>4760</v>
      </c>
      <c r="Y794" t="s">
        <v>4761</v>
      </c>
    </row>
    <row r="795" spans="1:25" x14ac:dyDescent="0.25">
      <c r="A795" t="str">
        <f>"1074990178"</f>
        <v>1074990178</v>
      </c>
      <c r="B795" t="s">
        <v>32</v>
      </c>
      <c r="C795" t="s">
        <v>777</v>
      </c>
      <c r="D795" t="s">
        <v>4762</v>
      </c>
      <c r="E795">
        <v>424028</v>
      </c>
      <c r="F795" t="s">
        <v>1</v>
      </c>
      <c r="G795" t="s">
        <v>2</v>
      </c>
      <c r="H795" t="s">
        <v>4763</v>
      </c>
      <c r="I795" t="s">
        <v>4764</v>
      </c>
      <c r="P795" t="s">
        <v>4765</v>
      </c>
      <c r="Y795" t="s">
        <v>4766</v>
      </c>
    </row>
    <row r="796" spans="1:25" x14ac:dyDescent="0.25">
      <c r="A796" t="str">
        <f>"1075085480"</f>
        <v>1075085480</v>
      </c>
      <c r="B796" t="s">
        <v>160</v>
      </c>
      <c r="C796" t="s">
        <v>4772</v>
      </c>
      <c r="D796" t="s">
        <v>4767</v>
      </c>
      <c r="E796">
        <v>424002</v>
      </c>
      <c r="F796" t="s">
        <v>1</v>
      </c>
      <c r="G796" t="s">
        <v>2</v>
      </c>
      <c r="H796" t="s">
        <v>4768</v>
      </c>
      <c r="I796" t="s">
        <v>4769</v>
      </c>
      <c r="L796" t="s">
        <v>4770</v>
      </c>
      <c r="M796" t="s">
        <v>4771</v>
      </c>
      <c r="P796" t="s">
        <v>280</v>
      </c>
      <c r="Q796" t="s">
        <v>4773</v>
      </c>
      <c r="T796" t="s">
        <v>4774</v>
      </c>
      <c r="Y796" t="s">
        <v>4775</v>
      </c>
    </row>
    <row r="797" spans="1:25" x14ac:dyDescent="0.25">
      <c r="A797" t="str">
        <f>"1075160479"</f>
        <v>1075160479</v>
      </c>
      <c r="B797" t="s">
        <v>1078</v>
      </c>
      <c r="C797" t="s">
        <v>4259</v>
      </c>
      <c r="D797" t="s">
        <v>4776</v>
      </c>
      <c r="E797">
        <v>424007</v>
      </c>
      <c r="F797" t="s">
        <v>1</v>
      </c>
      <c r="G797" t="s">
        <v>2</v>
      </c>
      <c r="H797" t="s">
        <v>499</v>
      </c>
      <c r="Y797" t="s">
        <v>4777</v>
      </c>
    </row>
    <row r="798" spans="1:25" x14ac:dyDescent="0.25">
      <c r="A798" t="str">
        <f>"1075202321"</f>
        <v>1075202321</v>
      </c>
      <c r="B798" t="s">
        <v>930</v>
      </c>
      <c r="C798" t="s">
        <v>4781</v>
      </c>
      <c r="D798" t="s">
        <v>4778</v>
      </c>
      <c r="E798">
        <v>424026</v>
      </c>
      <c r="F798" t="s">
        <v>1</v>
      </c>
      <c r="G798" t="s">
        <v>2</v>
      </c>
      <c r="H798" t="s">
        <v>4779</v>
      </c>
      <c r="I798" t="s">
        <v>4780</v>
      </c>
      <c r="P798" t="s">
        <v>4782</v>
      </c>
      <c r="Y798" t="s">
        <v>4783</v>
      </c>
    </row>
    <row r="799" spans="1:25" x14ac:dyDescent="0.25">
      <c r="A799" t="str">
        <f>"1075245012"</f>
        <v>1075245012</v>
      </c>
      <c r="B799" t="s">
        <v>2790</v>
      </c>
      <c r="C799" t="s">
        <v>3744</v>
      </c>
      <c r="D799" t="s">
        <v>4784</v>
      </c>
      <c r="E799">
        <v>424000</v>
      </c>
      <c r="F799" t="s">
        <v>1</v>
      </c>
      <c r="G799" t="s">
        <v>2</v>
      </c>
      <c r="H799" t="s">
        <v>2174</v>
      </c>
      <c r="M799" t="s">
        <v>4785</v>
      </c>
      <c r="P799" t="s">
        <v>4786</v>
      </c>
      <c r="Q799" t="s">
        <v>4787</v>
      </c>
      <c r="Y799" t="s">
        <v>4788</v>
      </c>
    </row>
    <row r="800" spans="1:25" x14ac:dyDescent="0.25">
      <c r="A800" t="str">
        <f>"1075299370"</f>
        <v>1075299370</v>
      </c>
      <c r="B800" t="s">
        <v>1391</v>
      </c>
      <c r="C800" t="s">
        <v>1392</v>
      </c>
      <c r="D800" t="s">
        <v>4789</v>
      </c>
      <c r="E800">
        <v>424002</v>
      </c>
      <c r="F800" t="s">
        <v>1</v>
      </c>
      <c r="G800" t="s">
        <v>2</v>
      </c>
      <c r="H800" t="s">
        <v>4134</v>
      </c>
      <c r="Y800" t="s">
        <v>4135</v>
      </c>
    </row>
    <row r="801" spans="1:25" x14ac:dyDescent="0.25">
      <c r="A801" t="str">
        <f>"1075342962"</f>
        <v>1075342962</v>
      </c>
      <c r="B801" t="s">
        <v>151</v>
      </c>
      <c r="C801" t="s">
        <v>4240</v>
      </c>
      <c r="D801" t="s">
        <v>4790</v>
      </c>
      <c r="E801">
        <v>424004</v>
      </c>
      <c r="F801" t="s">
        <v>1</v>
      </c>
      <c r="G801" t="s">
        <v>2</v>
      </c>
      <c r="H801" t="s">
        <v>4791</v>
      </c>
      <c r="J801" t="s">
        <v>4792</v>
      </c>
      <c r="P801" t="s">
        <v>152</v>
      </c>
      <c r="Y801" t="s">
        <v>4793</v>
      </c>
    </row>
    <row r="802" spans="1:25" x14ac:dyDescent="0.25">
      <c r="A802" t="str">
        <f>"1075346966"</f>
        <v>1075346966</v>
      </c>
      <c r="B802" t="s">
        <v>1222</v>
      </c>
      <c r="C802" t="s">
        <v>4795</v>
      </c>
      <c r="D802" t="s">
        <v>4794</v>
      </c>
      <c r="E802">
        <v>424918</v>
      </c>
      <c r="F802" t="s">
        <v>1</v>
      </c>
      <c r="G802" t="s">
        <v>2</v>
      </c>
      <c r="H802" t="s">
        <v>629</v>
      </c>
      <c r="L802" t="s">
        <v>4359</v>
      </c>
      <c r="M802" t="s">
        <v>4360</v>
      </c>
      <c r="P802" t="s">
        <v>4796</v>
      </c>
      <c r="Y802" t="s">
        <v>4797</v>
      </c>
    </row>
    <row r="803" spans="1:25" x14ac:dyDescent="0.25">
      <c r="A803" t="str">
        <f>"1075459564"</f>
        <v>1075459564</v>
      </c>
      <c r="B803" t="s">
        <v>930</v>
      </c>
      <c r="C803" t="s">
        <v>4802</v>
      </c>
      <c r="D803" t="s">
        <v>4798</v>
      </c>
      <c r="E803">
        <v>424008</v>
      </c>
      <c r="F803" t="s">
        <v>1</v>
      </c>
      <c r="G803" t="s">
        <v>2</v>
      </c>
      <c r="H803" t="s">
        <v>4799</v>
      </c>
      <c r="I803" t="s">
        <v>4800</v>
      </c>
      <c r="J803" t="s">
        <v>4801</v>
      </c>
      <c r="P803" t="s">
        <v>4803</v>
      </c>
      <c r="Y803" t="s">
        <v>4804</v>
      </c>
    </row>
    <row r="804" spans="1:25" x14ac:dyDescent="0.25">
      <c r="A804" t="str">
        <f>"1075503612"</f>
        <v>1075503612</v>
      </c>
      <c r="B804" t="s">
        <v>640</v>
      </c>
      <c r="C804" t="s">
        <v>663</v>
      </c>
      <c r="D804" t="s">
        <v>4805</v>
      </c>
      <c r="E804">
        <v>424020</v>
      </c>
      <c r="F804" t="s">
        <v>1</v>
      </c>
      <c r="G804" t="s">
        <v>2</v>
      </c>
      <c r="H804" t="s">
        <v>3327</v>
      </c>
      <c r="L804" t="s">
        <v>4806</v>
      </c>
      <c r="Y804" t="s">
        <v>3328</v>
      </c>
    </row>
    <row r="805" spans="1:25" x14ac:dyDescent="0.25">
      <c r="A805" t="str">
        <f>"1075565664"</f>
        <v>1075565664</v>
      </c>
      <c r="B805" t="s">
        <v>574</v>
      </c>
      <c r="C805" t="s">
        <v>4810</v>
      </c>
      <c r="D805" t="s">
        <v>4807</v>
      </c>
      <c r="E805">
        <v>424032</v>
      </c>
      <c r="F805" t="s">
        <v>1</v>
      </c>
      <c r="G805" t="s">
        <v>2</v>
      </c>
      <c r="H805" t="s">
        <v>4808</v>
      </c>
      <c r="I805" t="s">
        <v>4809</v>
      </c>
      <c r="P805" t="s">
        <v>4811</v>
      </c>
      <c r="Y805" t="s">
        <v>4812</v>
      </c>
    </row>
    <row r="806" spans="1:25" x14ac:dyDescent="0.25">
      <c r="A806" t="str">
        <f>"1075614072"</f>
        <v>1075614072</v>
      </c>
      <c r="B806" t="s">
        <v>1182</v>
      </c>
      <c r="C806" t="s">
        <v>4818</v>
      </c>
      <c r="D806" t="s">
        <v>4813</v>
      </c>
      <c r="E806">
        <v>424007</v>
      </c>
      <c r="F806" t="s">
        <v>1</v>
      </c>
      <c r="G806" t="s">
        <v>2</v>
      </c>
      <c r="H806" t="s">
        <v>1085</v>
      </c>
      <c r="I806" t="s">
        <v>4814</v>
      </c>
      <c r="J806" t="s">
        <v>4815</v>
      </c>
      <c r="L806" t="s">
        <v>4816</v>
      </c>
      <c r="M806" t="s">
        <v>4817</v>
      </c>
      <c r="P806" t="s">
        <v>9</v>
      </c>
      <c r="Y806" t="s">
        <v>4819</v>
      </c>
    </row>
    <row r="807" spans="1:25" x14ac:dyDescent="0.25">
      <c r="A807" t="str">
        <f>"1075745732"</f>
        <v>1075745732</v>
      </c>
      <c r="B807" t="s">
        <v>591</v>
      </c>
      <c r="C807" t="s">
        <v>4824</v>
      </c>
      <c r="D807" t="s">
        <v>4820</v>
      </c>
      <c r="E807">
        <v>424006</v>
      </c>
      <c r="F807" t="s">
        <v>1</v>
      </c>
      <c r="G807" t="s">
        <v>2</v>
      </c>
      <c r="H807" t="s">
        <v>4821</v>
      </c>
      <c r="I807" t="s">
        <v>4822</v>
      </c>
      <c r="L807" t="s">
        <v>2127</v>
      </c>
      <c r="M807" t="s">
        <v>4823</v>
      </c>
      <c r="P807" t="s">
        <v>280</v>
      </c>
      <c r="Y807" t="s">
        <v>4825</v>
      </c>
    </row>
    <row r="808" spans="1:25" x14ac:dyDescent="0.25">
      <c r="A808" t="str">
        <f>"1075751550"</f>
        <v>1075751550</v>
      </c>
      <c r="B808" t="s">
        <v>930</v>
      </c>
      <c r="C808" t="s">
        <v>1096</v>
      </c>
      <c r="D808" t="s">
        <v>4826</v>
      </c>
      <c r="F808" t="s">
        <v>1</v>
      </c>
      <c r="G808" t="s">
        <v>2</v>
      </c>
      <c r="H808" t="s">
        <v>4827</v>
      </c>
      <c r="I808" t="s">
        <v>4828</v>
      </c>
      <c r="L808" t="s">
        <v>4829</v>
      </c>
      <c r="M808" t="s">
        <v>4830</v>
      </c>
      <c r="P808" t="s">
        <v>4831</v>
      </c>
      <c r="Q808" t="s">
        <v>4832</v>
      </c>
      <c r="Y808" t="s">
        <v>4833</v>
      </c>
    </row>
    <row r="809" spans="1:25" x14ac:dyDescent="0.25">
      <c r="A809" t="str">
        <f>"1075920528"</f>
        <v>1075920528</v>
      </c>
      <c r="B809" t="s">
        <v>1046</v>
      </c>
      <c r="C809" t="s">
        <v>3808</v>
      </c>
      <c r="D809" t="s">
        <v>4834</v>
      </c>
      <c r="E809">
        <v>424037</v>
      </c>
      <c r="F809" t="s">
        <v>1</v>
      </c>
      <c r="G809" t="s">
        <v>2</v>
      </c>
      <c r="H809" t="s">
        <v>2680</v>
      </c>
      <c r="I809" t="s">
        <v>4835</v>
      </c>
      <c r="P809" t="s">
        <v>4836</v>
      </c>
      <c r="Y809" t="s">
        <v>4837</v>
      </c>
    </row>
    <row r="810" spans="1:25" x14ac:dyDescent="0.25">
      <c r="A810" t="str">
        <f>"1076019089"</f>
        <v>1076019089</v>
      </c>
      <c r="B810" t="s">
        <v>18</v>
      </c>
      <c r="C810" t="s">
        <v>4841</v>
      </c>
      <c r="D810" t="s">
        <v>4838</v>
      </c>
      <c r="F810" t="s">
        <v>1</v>
      </c>
      <c r="G810" t="s">
        <v>2</v>
      </c>
      <c r="H810" t="s">
        <v>633</v>
      </c>
      <c r="J810" t="s">
        <v>4839</v>
      </c>
      <c r="M810" t="s">
        <v>4840</v>
      </c>
      <c r="P810" t="s">
        <v>280</v>
      </c>
      <c r="Y810" t="s">
        <v>4842</v>
      </c>
    </row>
    <row r="811" spans="1:25" x14ac:dyDescent="0.25">
      <c r="A811" t="str">
        <f>"1076178567"</f>
        <v>1076178567</v>
      </c>
      <c r="B811" t="s">
        <v>3008</v>
      </c>
      <c r="C811" t="s">
        <v>4847</v>
      </c>
      <c r="D811" t="s">
        <v>4843</v>
      </c>
      <c r="E811">
        <v>424004</v>
      </c>
      <c r="F811" t="s">
        <v>1</v>
      </c>
      <c r="G811" t="s">
        <v>2</v>
      </c>
      <c r="H811" t="s">
        <v>4844</v>
      </c>
      <c r="I811" t="s">
        <v>4845</v>
      </c>
      <c r="L811" t="s">
        <v>4846</v>
      </c>
      <c r="P811" t="s">
        <v>4848</v>
      </c>
      <c r="Y811" t="s">
        <v>4849</v>
      </c>
    </row>
    <row r="812" spans="1:25" x14ac:dyDescent="0.25">
      <c r="A812" t="str">
        <f>"1076219886"</f>
        <v>1076219886</v>
      </c>
      <c r="B812" t="s">
        <v>379</v>
      </c>
      <c r="C812" t="s">
        <v>4852</v>
      </c>
      <c r="D812" t="s">
        <v>4850</v>
      </c>
      <c r="E812">
        <v>424000</v>
      </c>
      <c r="F812" t="s">
        <v>1</v>
      </c>
      <c r="G812" t="s">
        <v>2</v>
      </c>
      <c r="H812" t="s">
        <v>2925</v>
      </c>
      <c r="I812" t="s">
        <v>4851</v>
      </c>
      <c r="P812" t="s">
        <v>1027</v>
      </c>
      <c r="Y812" t="s">
        <v>4853</v>
      </c>
    </row>
    <row r="813" spans="1:25" x14ac:dyDescent="0.25">
      <c r="A813" t="str">
        <f>"1076404683"</f>
        <v>1076404683</v>
      </c>
      <c r="B813" t="s">
        <v>18</v>
      </c>
      <c r="C813" t="s">
        <v>143</v>
      </c>
      <c r="D813" t="s">
        <v>4854</v>
      </c>
      <c r="F813" t="s">
        <v>1</v>
      </c>
      <c r="G813" t="s">
        <v>2</v>
      </c>
      <c r="H813" t="s">
        <v>343</v>
      </c>
      <c r="I813" t="s">
        <v>4855</v>
      </c>
      <c r="P813" t="s">
        <v>280</v>
      </c>
      <c r="Y813" t="s">
        <v>345</v>
      </c>
    </row>
    <row r="814" spans="1:25" x14ac:dyDescent="0.25">
      <c r="A814" t="str">
        <f>"1076444436"</f>
        <v>1076444436</v>
      </c>
      <c r="B814" t="s">
        <v>456</v>
      </c>
      <c r="C814" t="s">
        <v>2773</v>
      </c>
      <c r="D814" t="s">
        <v>4856</v>
      </c>
      <c r="F814" t="s">
        <v>1</v>
      </c>
      <c r="G814" t="s">
        <v>2</v>
      </c>
      <c r="H814" t="s">
        <v>4857</v>
      </c>
      <c r="I814" t="s">
        <v>4858</v>
      </c>
      <c r="J814" t="s">
        <v>4859</v>
      </c>
      <c r="L814" t="s">
        <v>4860</v>
      </c>
      <c r="M814" t="s">
        <v>4861</v>
      </c>
      <c r="P814" t="s">
        <v>27</v>
      </c>
      <c r="Q814" t="s">
        <v>4862</v>
      </c>
      <c r="Y814" t="s">
        <v>4863</v>
      </c>
    </row>
    <row r="815" spans="1:25" x14ac:dyDescent="0.25">
      <c r="A815" t="str">
        <f>"1076537045"</f>
        <v>1076537045</v>
      </c>
      <c r="B815" t="s">
        <v>18</v>
      </c>
      <c r="C815" t="s">
        <v>1415</v>
      </c>
      <c r="D815" t="s">
        <v>4864</v>
      </c>
      <c r="F815" t="s">
        <v>1</v>
      </c>
      <c r="G815" t="s">
        <v>2</v>
      </c>
      <c r="H815" t="s">
        <v>2018</v>
      </c>
      <c r="I815" t="s">
        <v>4865</v>
      </c>
      <c r="Y815" t="s">
        <v>2131</v>
      </c>
    </row>
    <row r="816" spans="1:25" x14ac:dyDescent="0.25">
      <c r="A816" t="str">
        <f>"1076707898"</f>
        <v>1076707898</v>
      </c>
      <c r="B816" t="s">
        <v>284</v>
      </c>
      <c r="C816" t="s">
        <v>4867</v>
      </c>
      <c r="D816" t="s">
        <v>4866</v>
      </c>
      <c r="E816">
        <v>424008</v>
      </c>
      <c r="F816" t="s">
        <v>1</v>
      </c>
      <c r="G816" t="s">
        <v>2</v>
      </c>
      <c r="H816" t="s">
        <v>1012</v>
      </c>
      <c r="Y816" t="s">
        <v>1016</v>
      </c>
    </row>
    <row r="817" spans="1:25" x14ac:dyDescent="0.25">
      <c r="A817" t="str">
        <f>"1076816181"</f>
        <v>1076816181</v>
      </c>
      <c r="B817" t="s">
        <v>151</v>
      </c>
      <c r="C817" t="s">
        <v>1034</v>
      </c>
      <c r="D817" t="s">
        <v>4868</v>
      </c>
      <c r="E817">
        <v>424007</v>
      </c>
      <c r="F817" t="s">
        <v>1</v>
      </c>
      <c r="G817" t="s">
        <v>2</v>
      </c>
      <c r="H817" t="s">
        <v>4869</v>
      </c>
      <c r="I817" t="s">
        <v>4870</v>
      </c>
      <c r="P817" t="s">
        <v>27</v>
      </c>
      <c r="Q817" t="s">
        <v>4871</v>
      </c>
      <c r="Y817" t="s">
        <v>4872</v>
      </c>
    </row>
    <row r="818" spans="1:25" x14ac:dyDescent="0.25">
      <c r="A818" t="str">
        <f>"1076825536"</f>
        <v>1076825536</v>
      </c>
      <c r="B818" t="s">
        <v>123</v>
      </c>
      <c r="C818" t="s">
        <v>424</v>
      </c>
      <c r="D818" t="s">
        <v>4873</v>
      </c>
      <c r="E818">
        <v>424019</v>
      </c>
      <c r="F818" t="s">
        <v>1</v>
      </c>
      <c r="G818" t="s">
        <v>2</v>
      </c>
      <c r="H818" t="s">
        <v>4874</v>
      </c>
      <c r="I818" t="s">
        <v>4875</v>
      </c>
      <c r="L818" t="s">
        <v>4876</v>
      </c>
      <c r="M818" t="s">
        <v>4877</v>
      </c>
      <c r="P818" t="s">
        <v>425</v>
      </c>
      <c r="Y818" t="s">
        <v>4878</v>
      </c>
    </row>
    <row r="819" spans="1:25" x14ac:dyDescent="0.25">
      <c r="A819" t="str">
        <f>"1077088290"</f>
        <v>1077088290</v>
      </c>
      <c r="B819" t="s">
        <v>18</v>
      </c>
      <c r="C819" t="s">
        <v>4884</v>
      </c>
      <c r="D819" t="s">
        <v>4879</v>
      </c>
      <c r="E819">
        <v>424006</v>
      </c>
      <c r="F819" t="s">
        <v>1</v>
      </c>
      <c r="G819" t="s">
        <v>2</v>
      </c>
      <c r="H819" t="s">
        <v>4880</v>
      </c>
      <c r="I819" t="s">
        <v>4881</v>
      </c>
      <c r="L819" t="s">
        <v>4882</v>
      </c>
      <c r="M819" t="s">
        <v>4883</v>
      </c>
      <c r="P819" t="s">
        <v>20</v>
      </c>
      <c r="Y819" t="s">
        <v>4885</v>
      </c>
    </row>
    <row r="820" spans="1:25" x14ac:dyDescent="0.25">
      <c r="A820" t="str">
        <f>"1077118153"</f>
        <v>1077118153</v>
      </c>
      <c r="B820" t="s">
        <v>4888</v>
      </c>
      <c r="C820" t="s">
        <v>4889</v>
      </c>
      <c r="D820" t="s">
        <v>4886</v>
      </c>
      <c r="F820" t="s">
        <v>1</v>
      </c>
      <c r="G820" t="s">
        <v>2</v>
      </c>
      <c r="H820" t="s">
        <v>633</v>
      </c>
      <c r="J820" t="s">
        <v>4887</v>
      </c>
      <c r="P820" t="s">
        <v>4543</v>
      </c>
      <c r="Y820" t="s">
        <v>636</v>
      </c>
    </row>
    <row r="821" spans="1:25" x14ac:dyDescent="0.25">
      <c r="A821" t="str">
        <f>"1077128086"</f>
        <v>1077128086</v>
      </c>
      <c r="B821" t="s">
        <v>1078</v>
      </c>
      <c r="C821" t="s">
        <v>1079</v>
      </c>
      <c r="D821" t="s">
        <v>4890</v>
      </c>
      <c r="E821">
        <v>424020</v>
      </c>
      <c r="F821" t="s">
        <v>1</v>
      </c>
      <c r="G821" t="s">
        <v>2</v>
      </c>
      <c r="H821" t="s">
        <v>288</v>
      </c>
      <c r="I821" t="s">
        <v>4891</v>
      </c>
      <c r="L821" t="s">
        <v>4892</v>
      </c>
      <c r="M821" t="s">
        <v>4893</v>
      </c>
      <c r="P821" t="s">
        <v>112</v>
      </c>
      <c r="Q821" t="s">
        <v>4894</v>
      </c>
      <c r="Y821" t="s">
        <v>4895</v>
      </c>
    </row>
    <row r="822" spans="1:25" x14ac:dyDescent="0.25">
      <c r="A822" t="str">
        <f>"1077149575"</f>
        <v>1077149575</v>
      </c>
      <c r="B822" t="s">
        <v>224</v>
      </c>
      <c r="C822" t="s">
        <v>4899</v>
      </c>
      <c r="D822" t="s">
        <v>4896</v>
      </c>
      <c r="F822" t="s">
        <v>1</v>
      </c>
      <c r="G822" t="s">
        <v>2</v>
      </c>
      <c r="H822" t="s">
        <v>4897</v>
      </c>
      <c r="I822" t="s">
        <v>4898</v>
      </c>
      <c r="P822" t="s">
        <v>280</v>
      </c>
      <c r="Y822" t="s">
        <v>4900</v>
      </c>
    </row>
    <row r="823" spans="1:25" x14ac:dyDescent="0.25">
      <c r="A823" t="str">
        <f>"1077180770"</f>
        <v>1077180770</v>
      </c>
      <c r="B823" t="s">
        <v>482</v>
      </c>
      <c r="C823" t="s">
        <v>4905</v>
      </c>
      <c r="D823" t="s">
        <v>4901</v>
      </c>
      <c r="E823">
        <v>424020</v>
      </c>
      <c r="F823" t="s">
        <v>1</v>
      </c>
      <c r="G823" t="s">
        <v>2</v>
      </c>
      <c r="H823" t="s">
        <v>1837</v>
      </c>
      <c r="I823" t="s">
        <v>4902</v>
      </c>
      <c r="J823" t="s">
        <v>4903</v>
      </c>
      <c r="M823" t="s">
        <v>4904</v>
      </c>
      <c r="P823" t="s">
        <v>152</v>
      </c>
      <c r="Y823" t="s">
        <v>4906</v>
      </c>
    </row>
    <row r="824" spans="1:25" x14ac:dyDescent="0.25">
      <c r="A824" t="str">
        <f>"1077185374"</f>
        <v>1077185374</v>
      </c>
      <c r="B824" t="s">
        <v>379</v>
      </c>
      <c r="C824" t="s">
        <v>4908</v>
      </c>
      <c r="D824" t="s">
        <v>4907</v>
      </c>
      <c r="E824">
        <v>424004</v>
      </c>
      <c r="F824" t="s">
        <v>1</v>
      </c>
      <c r="G824" t="s">
        <v>2</v>
      </c>
      <c r="H824" t="s">
        <v>229</v>
      </c>
      <c r="Y824" t="s">
        <v>237</v>
      </c>
    </row>
    <row r="825" spans="1:25" x14ac:dyDescent="0.25">
      <c r="A825" t="str">
        <f>"1077382363"</f>
        <v>1077382363</v>
      </c>
      <c r="B825" t="s">
        <v>176</v>
      </c>
      <c r="C825" t="s">
        <v>4912</v>
      </c>
      <c r="D825" t="s">
        <v>4909</v>
      </c>
      <c r="E825">
        <v>424032</v>
      </c>
      <c r="F825" t="s">
        <v>1</v>
      </c>
      <c r="G825" t="s">
        <v>2</v>
      </c>
      <c r="H825" t="s">
        <v>4910</v>
      </c>
      <c r="I825" t="s">
        <v>4911</v>
      </c>
      <c r="P825" t="s">
        <v>330</v>
      </c>
      <c r="Y825" t="s">
        <v>4913</v>
      </c>
    </row>
    <row r="826" spans="1:25" x14ac:dyDescent="0.25">
      <c r="A826" t="str">
        <f>"1077766329"</f>
        <v>1077766329</v>
      </c>
      <c r="B826" t="s">
        <v>447</v>
      </c>
      <c r="C826" t="s">
        <v>448</v>
      </c>
      <c r="D826" t="s">
        <v>4914</v>
      </c>
      <c r="F826" t="s">
        <v>1</v>
      </c>
      <c r="G826" t="s">
        <v>2</v>
      </c>
      <c r="H826" t="s">
        <v>4915</v>
      </c>
      <c r="I826" t="s">
        <v>4916</v>
      </c>
      <c r="Y826" t="s">
        <v>4917</v>
      </c>
    </row>
    <row r="827" spans="1:25" x14ac:dyDescent="0.25">
      <c r="A827" t="str">
        <f>"1077860539"</f>
        <v>1077860539</v>
      </c>
      <c r="B827" t="s">
        <v>687</v>
      </c>
      <c r="C827" t="s">
        <v>4924</v>
      </c>
      <c r="D827" t="s">
        <v>4918</v>
      </c>
      <c r="E827">
        <v>424006</v>
      </c>
      <c r="F827" t="s">
        <v>1</v>
      </c>
      <c r="G827" t="s">
        <v>2</v>
      </c>
      <c r="H827" t="s">
        <v>4919</v>
      </c>
      <c r="I827" t="s">
        <v>4920</v>
      </c>
      <c r="J827" t="s">
        <v>4921</v>
      </c>
      <c r="L827" t="s">
        <v>4922</v>
      </c>
      <c r="M827" t="s">
        <v>4923</v>
      </c>
      <c r="P827" t="s">
        <v>2979</v>
      </c>
      <c r="Y827" t="s">
        <v>4925</v>
      </c>
    </row>
    <row r="828" spans="1:25" x14ac:dyDescent="0.25">
      <c r="A828" t="str">
        <f>"1078114873"</f>
        <v>1078114873</v>
      </c>
      <c r="B828" t="s">
        <v>1152</v>
      </c>
      <c r="C828" t="s">
        <v>4926</v>
      </c>
      <c r="D828" t="s">
        <v>4926</v>
      </c>
      <c r="E828">
        <v>424002</v>
      </c>
      <c r="F828" t="s">
        <v>1</v>
      </c>
      <c r="G828" t="s">
        <v>2</v>
      </c>
      <c r="H828" t="s">
        <v>744</v>
      </c>
      <c r="J828" t="s">
        <v>4927</v>
      </c>
      <c r="P828" t="s">
        <v>4928</v>
      </c>
      <c r="Y828" t="s">
        <v>749</v>
      </c>
    </row>
    <row r="829" spans="1:25" x14ac:dyDescent="0.25">
      <c r="A829" t="str">
        <f>"1078122539"</f>
        <v>1078122539</v>
      </c>
      <c r="B829" t="s">
        <v>224</v>
      </c>
      <c r="C829" t="s">
        <v>4931</v>
      </c>
      <c r="D829" t="s">
        <v>4929</v>
      </c>
      <c r="E829">
        <v>424006</v>
      </c>
      <c r="F829" t="s">
        <v>1</v>
      </c>
      <c r="G829" t="s">
        <v>2</v>
      </c>
      <c r="H829" t="s">
        <v>445</v>
      </c>
      <c r="I829" t="s">
        <v>4930</v>
      </c>
      <c r="Y829" t="s">
        <v>449</v>
      </c>
    </row>
    <row r="830" spans="1:25" x14ac:dyDescent="0.25">
      <c r="A830" t="str">
        <f>"1078245827"</f>
        <v>1078245827</v>
      </c>
      <c r="B830" t="s">
        <v>1230</v>
      </c>
      <c r="C830" t="s">
        <v>2526</v>
      </c>
      <c r="D830" t="s">
        <v>4932</v>
      </c>
      <c r="E830">
        <v>424020</v>
      </c>
      <c r="F830" t="s">
        <v>1</v>
      </c>
      <c r="G830" t="s">
        <v>2</v>
      </c>
      <c r="H830" t="s">
        <v>4933</v>
      </c>
      <c r="I830" t="s">
        <v>4934</v>
      </c>
      <c r="L830" t="s">
        <v>4935</v>
      </c>
      <c r="M830" t="s">
        <v>4936</v>
      </c>
      <c r="P830" t="s">
        <v>20</v>
      </c>
      <c r="Y830" t="s">
        <v>4937</v>
      </c>
    </row>
    <row r="831" spans="1:25" x14ac:dyDescent="0.25">
      <c r="A831" t="str">
        <f>"1078291549"</f>
        <v>1078291549</v>
      </c>
      <c r="B831" t="s">
        <v>224</v>
      </c>
      <c r="C831" t="s">
        <v>3240</v>
      </c>
      <c r="D831" t="s">
        <v>4938</v>
      </c>
      <c r="E831">
        <v>424006</v>
      </c>
      <c r="F831" t="s">
        <v>1</v>
      </c>
      <c r="G831" t="s">
        <v>2</v>
      </c>
      <c r="H831" t="s">
        <v>2012</v>
      </c>
      <c r="Y831" t="s">
        <v>2016</v>
      </c>
    </row>
    <row r="832" spans="1:25" x14ac:dyDescent="0.25">
      <c r="A832" t="str">
        <f>"1078344374"</f>
        <v>1078344374</v>
      </c>
      <c r="B832" t="s">
        <v>803</v>
      </c>
      <c r="C832" t="s">
        <v>4941</v>
      </c>
      <c r="D832" t="s">
        <v>4939</v>
      </c>
      <c r="F832" t="s">
        <v>1</v>
      </c>
      <c r="G832" t="s">
        <v>2</v>
      </c>
      <c r="H832" t="s">
        <v>1600</v>
      </c>
      <c r="I832" t="s">
        <v>4940</v>
      </c>
      <c r="K832" t="s">
        <v>4940</v>
      </c>
      <c r="P832" t="s">
        <v>280</v>
      </c>
      <c r="Y832" t="s">
        <v>4942</v>
      </c>
    </row>
    <row r="833" spans="1:25" x14ac:dyDescent="0.25">
      <c r="A833" t="str">
        <f>"1078666100"</f>
        <v>1078666100</v>
      </c>
      <c r="B833" t="s">
        <v>88</v>
      </c>
      <c r="C833" t="s">
        <v>4945</v>
      </c>
      <c r="D833" t="s">
        <v>4943</v>
      </c>
      <c r="E833">
        <v>424000</v>
      </c>
      <c r="F833" t="s">
        <v>1</v>
      </c>
      <c r="G833" t="s">
        <v>2</v>
      </c>
      <c r="H833" t="s">
        <v>4648</v>
      </c>
      <c r="I833" t="s">
        <v>4944</v>
      </c>
      <c r="L833" t="s">
        <v>4071</v>
      </c>
      <c r="M833" t="s">
        <v>4072</v>
      </c>
      <c r="P833" t="s">
        <v>4946</v>
      </c>
      <c r="Q833" t="s">
        <v>4947</v>
      </c>
      <c r="V833" t="s">
        <v>4948</v>
      </c>
      <c r="Y833" t="s">
        <v>4949</v>
      </c>
    </row>
    <row r="834" spans="1:25" x14ac:dyDescent="0.25">
      <c r="A834" t="str">
        <f>"1078867960"</f>
        <v>1078867960</v>
      </c>
      <c r="B834" t="s">
        <v>417</v>
      </c>
      <c r="C834" t="s">
        <v>418</v>
      </c>
      <c r="D834" t="s">
        <v>4950</v>
      </c>
      <c r="E834">
        <v>424002</v>
      </c>
      <c r="F834" t="s">
        <v>1</v>
      </c>
      <c r="G834" t="s">
        <v>2</v>
      </c>
      <c r="H834" t="s">
        <v>4951</v>
      </c>
      <c r="I834" t="s">
        <v>4952</v>
      </c>
      <c r="L834" t="s">
        <v>4953</v>
      </c>
      <c r="M834" t="s">
        <v>4954</v>
      </c>
      <c r="P834" t="s">
        <v>381</v>
      </c>
      <c r="Y834" t="s">
        <v>4955</v>
      </c>
    </row>
    <row r="835" spans="1:25" x14ac:dyDescent="0.25">
      <c r="A835" t="str">
        <f>"1078905884"</f>
        <v>1078905884</v>
      </c>
      <c r="B835" t="s">
        <v>1046</v>
      </c>
      <c r="C835" t="s">
        <v>4959</v>
      </c>
      <c r="D835" t="s">
        <v>4956</v>
      </c>
      <c r="F835" t="s">
        <v>1</v>
      </c>
      <c r="G835" t="s">
        <v>2</v>
      </c>
      <c r="H835" t="s">
        <v>4957</v>
      </c>
      <c r="I835" t="s">
        <v>4958</v>
      </c>
      <c r="P835" t="s">
        <v>4960</v>
      </c>
      <c r="Y835" t="s">
        <v>4961</v>
      </c>
    </row>
    <row r="836" spans="1:25" x14ac:dyDescent="0.25">
      <c r="A836" t="str">
        <f>"1078913143"</f>
        <v>1078913143</v>
      </c>
      <c r="B836" t="s">
        <v>462</v>
      </c>
      <c r="C836" t="s">
        <v>463</v>
      </c>
      <c r="D836" t="s">
        <v>4962</v>
      </c>
      <c r="E836">
        <v>424002</v>
      </c>
      <c r="F836" t="s">
        <v>1</v>
      </c>
      <c r="G836" t="s">
        <v>2</v>
      </c>
      <c r="H836" t="s">
        <v>57</v>
      </c>
      <c r="I836" t="s">
        <v>4963</v>
      </c>
      <c r="Y836" t="s">
        <v>61</v>
      </c>
    </row>
    <row r="837" spans="1:25" x14ac:dyDescent="0.25">
      <c r="A837" t="str">
        <f>"1078922705"</f>
        <v>1078922705</v>
      </c>
      <c r="B837" t="s">
        <v>1475</v>
      </c>
      <c r="C837" t="s">
        <v>1476</v>
      </c>
      <c r="D837" t="s">
        <v>4964</v>
      </c>
      <c r="E837">
        <v>424005</v>
      </c>
      <c r="F837" t="s">
        <v>1</v>
      </c>
      <c r="G837" t="s">
        <v>2</v>
      </c>
      <c r="H837" t="s">
        <v>4965</v>
      </c>
      <c r="Y837" t="s">
        <v>4966</v>
      </c>
    </row>
    <row r="838" spans="1:25" x14ac:dyDescent="0.25">
      <c r="A838" t="str">
        <f>"1078998283"</f>
        <v>1078998283</v>
      </c>
      <c r="B838" t="s">
        <v>18</v>
      </c>
      <c r="C838" t="s">
        <v>143</v>
      </c>
      <c r="D838" t="s">
        <v>4967</v>
      </c>
      <c r="E838">
        <v>424032</v>
      </c>
      <c r="F838" t="s">
        <v>1</v>
      </c>
      <c r="G838" t="s">
        <v>2</v>
      </c>
      <c r="H838" t="s">
        <v>2972</v>
      </c>
      <c r="P838" t="s">
        <v>410</v>
      </c>
      <c r="Y838" t="s">
        <v>2975</v>
      </c>
    </row>
    <row r="839" spans="1:25" x14ac:dyDescent="0.25">
      <c r="A839" t="str">
        <f>"1079098598"</f>
        <v>1079098598</v>
      </c>
      <c r="B839" t="s">
        <v>482</v>
      </c>
      <c r="C839" t="s">
        <v>483</v>
      </c>
      <c r="D839" t="s">
        <v>4968</v>
      </c>
      <c r="E839">
        <v>424006</v>
      </c>
      <c r="F839" t="s">
        <v>1</v>
      </c>
      <c r="G839" t="s">
        <v>2</v>
      </c>
      <c r="H839" t="s">
        <v>4821</v>
      </c>
      <c r="I839" t="s">
        <v>4969</v>
      </c>
      <c r="L839" t="s">
        <v>4970</v>
      </c>
      <c r="M839" t="s">
        <v>4971</v>
      </c>
      <c r="P839" t="s">
        <v>27</v>
      </c>
      <c r="Y839" t="s">
        <v>4825</v>
      </c>
    </row>
    <row r="840" spans="1:25" x14ac:dyDescent="0.25">
      <c r="A840" t="str">
        <f>"1079136545"</f>
        <v>1079136545</v>
      </c>
      <c r="B840" t="s">
        <v>25</v>
      </c>
      <c r="C840" t="s">
        <v>4974</v>
      </c>
      <c r="D840" t="s">
        <v>4972</v>
      </c>
      <c r="F840" t="s">
        <v>1</v>
      </c>
      <c r="G840" t="s">
        <v>2</v>
      </c>
      <c r="H840" t="s">
        <v>2956</v>
      </c>
      <c r="I840" t="s">
        <v>4973</v>
      </c>
      <c r="P840" t="s">
        <v>280</v>
      </c>
      <c r="Y840" t="s">
        <v>4975</v>
      </c>
    </row>
    <row r="841" spans="1:25" x14ac:dyDescent="0.25">
      <c r="A841" t="str">
        <f>"1079281189"</f>
        <v>1079281189</v>
      </c>
      <c r="B841" t="s">
        <v>4084</v>
      </c>
      <c r="C841" t="s">
        <v>4085</v>
      </c>
      <c r="D841" t="s">
        <v>4976</v>
      </c>
      <c r="F841" t="s">
        <v>1</v>
      </c>
      <c r="G841" t="s">
        <v>2</v>
      </c>
      <c r="H841" t="s">
        <v>4977</v>
      </c>
      <c r="I841" t="s">
        <v>4978</v>
      </c>
      <c r="Y841" t="s">
        <v>3387</v>
      </c>
    </row>
    <row r="842" spans="1:25" x14ac:dyDescent="0.25">
      <c r="A842" t="str">
        <f>"1079306341"</f>
        <v>1079306341</v>
      </c>
      <c r="B842" t="s">
        <v>18</v>
      </c>
      <c r="C842" t="s">
        <v>4981</v>
      </c>
      <c r="D842" t="s">
        <v>4979</v>
      </c>
      <c r="E842">
        <v>424038</v>
      </c>
      <c r="F842" t="s">
        <v>1</v>
      </c>
      <c r="G842" t="s">
        <v>2</v>
      </c>
      <c r="H842" t="s">
        <v>1038</v>
      </c>
      <c r="I842" t="s">
        <v>4980</v>
      </c>
      <c r="P842" t="s">
        <v>399</v>
      </c>
      <c r="Y842" t="s">
        <v>4982</v>
      </c>
    </row>
    <row r="843" spans="1:25" x14ac:dyDescent="0.25">
      <c r="A843" t="str">
        <f>"1079436366"</f>
        <v>1079436366</v>
      </c>
      <c r="B843" t="s">
        <v>25</v>
      </c>
      <c r="C843" t="s">
        <v>59</v>
      </c>
      <c r="D843" t="s">
        <v>4983</v>
      </c>
      <c r="F843" t="s">
        <v>1</v>
      </c>
      <c r="G843" t="s">
        <v>2</v>
      </c>
      <c r="H843" t="s">
        <v>3525</v>
      </c>
      <c r="I843" t="s">
        <v>4984</v>
      </c>
      <c r="Y843" t="s">
        <v>4985</v>
      </c>
    </row>
    <row r="844" spans="1:25" x14ac:dyDescent="0.25">
      <c r="A844" t="str">
        <f>"1079477223"</f>
        <v>1079477223</v>
      </c>
      <c r="B844" t="s">
        <v>738</v>
      </c>
      <c r="C844" t="s">
        <v>739</v>
      </c>
      <c r="D844" t="s">
        <v>4986</v>
      </c>
      <c r="E844">
        <v>424003</v>
      </c>
      <c r="F844" t="s">
        <v>1</v>
      </c>
      <c r="G844" t="s">
        <v>2</v>
      </c>
      <c r="H844" t="s">
        <v>2465</v>
      </c>
      <c r="I844" t="s">
        <v>4987</v>
      </c>
      <c r="P844" t="s">
        <v>2580</v>
      </c>
      <c r="Y844" t="s">
        <v>4988</v>
      </c>
    </row>
    <row r="845" spans="1:25" x14ac:dyDescent="0.25">
      <c r="A845" t="str">
        <f>"1079511207"</f>
        <v>1079511207</v>
      </c>
      <c r="B845" t="s">
        <v>482</v>
      </c>
      <c r="C845" t="s">
        <v>483</v>
      </c>
      <c r="D845" t="s">
        <v>4989</v>
      </c>
      <c r="E845">
        <v>424031</v>
      </c>
      <c r="F845" t="s">
        <v>1</v>
      </c>
      <c r="G845" t="s">
        <v>2</v>
      </c>
      <c r="H845" t="s">
        <v>239</v>
      </c>
      <c r="I845" t="s">
        <v>4990</v>
      </c>
      <c r="J845" t="s">
        <v>4991</v>
      </c>
      <c r="K845" t="s">
        <v>4990</v>
      </c>
      <c r="L845" t="s">
        <v>4992</v>
      </c>
      <c r="P845" t="s">
        <v>152</v>
      </c>
      <c r="Q845" t="s">
        <v>4993</v>
      </c>
      <c r="Y845" t="s">
        <v>246</v>
      </c>
    </row>
    <row r="846" spans="1:25" x14ac:dyDescent="0.25">
      <c r="A846" t="str">
        <f>"1079615179"</f>
        <v>1079615179</v>
      </c>
      <c r="B846" t="s">
        <v>123</v>
      </c>
      <c r="C846" t="s">
        <v>731</v>
      </c>
      <c r="D846" t="s">
        <v>4994</v>
      </c>
      <c r="E846">
        <v>424038</v>
      </c>
      <c r="F846" t="s">
        <v>1</v>
      </c>
      <c r="G846" t="s">
        <v>2</v>
      </c>
      <c r="H846" t="s">
        <v>4995</v>
      </c>
      <c r="I846" t="s">
        <v>4996</v>
      </c>
      <c r="L846" t="s">
        <v>946</v>
      </c>
      <c r="M846" t="s">
        <v>4997</v>
      </c>
      <c r="P846" t="s">
        <v>4998</v>
      </c>
      <c r="Y846" t="s">
        <v>4999</v>
      </c>
    </row>
    <row r="847" spans="1:25" x14ac:dyDescent="0.25">
      <c r="A847" t="str">
        <f>"1079663553"</f>
        <v>1079663553</v>
      </c>
      <c r="B847" t="s">
        <v>738</v>
      </c>
      <c r="C847" t="s">
        <v>5003</v>
      </c>
      <c r="D847" t="s">
        <v>5000</v>
      </c>
      <c r="E847">
        <v>424006</v>
      </c>
      <c r="F847" t="s">
        <v>1</v>
      </c>
      <c r="G847" t="s">
        <v>2</v>
      </c>
      <c r="H847" t="s">
        <v>5001</v>
      </c>
      <c r="I847" t="s">
        <v>5002</v>
      </c>
      <c r="P847" t="s">
        <v>1071</v>
      </c>
      <c r="Y847" t="s">
        <v>5004</v>
      </c>
    </row>
    <row r="848" spans="1:25" x14ac:dyDescent="0.25">
      <c r="A848" t="str">
        <f>"1079666446"</f>
        <v>1079666446</v>
      </c>
      <c r="B848" t="s">
        <v>1046</v>
      </c>
      <c r="C848" t="s">
        <v>2695</v>
      </c>
      <c r="D848" t="s">
        <v>5005</v>
      </c>
      <c r="E848">
        <v>424006</v>
      </c>
      <c r="F848" t="s">
        <v>1</v>
      </c>
      <c r="G848" t="s">
        <v>2</v>
      </c>
      <c r="H848" t="s">
        <v>5006</v>
      </c>
      <c r="I848" t="s">
        <v>5007</v>
      </c>
      <c r="L848" t="s">
        <v>4449</v>
      </c>
      <c r="M848" t="s">
        <v>5008</v>
      </c>
      <c r="P848" t="s">
        <v>330</v>
      </c>
      <c r="Y848" t="s">
        <v>5009</v>
      </c>
    </row>
    <row r="849" spans="1:25" x14ac:dyDescent="0.25">
      <c r="A849" t="str">
        <f>"1079747007"</f>
        <v>1079747007</v>
      </c>
      <c r="B849" t="s">
        <v>319</v>
      </c>
      <c r="C849" t="s">
        <v>320</v>
      </c>
      <c r="D849" t="s">
        <v>5010</v>
      </c>
      <c r="E849">
        <v>424037</v>
      </c>
      <c r="F849" t="s">
        <v>1</v>
      </c>
      <c r="G849" t="s">
        <v>2</v>
      </c>
      <c r="H849" t="s">
        <v>2381</v>
      </c>
      <c r="I849" t="s">
        <v>5011</v>
      </c>
      <c r="P849" t="s">
        <v>5012</v>
      </c>
      <c r="Y849" t="s">
        <v>5013</v>
      </c>
    </row>
    <row r="850" spans="1:25" x14ac:dyDescent="0.25">
      <c r="A850" t="str">
        <f>"1079905857"</f>
        <v>1079905857</v>
      </c>
      <c r="B850" t="s">
        <v>591</v>
      </c>
      <c r="C850" t="s">
        <v>1904</v>
      </c>
      <c r="D850" t="s">
        <v>5014</v>
      </c>
      <c r="E850">
        <v>424006</v>
      </c>
      <c r="F850" t="s">
        <v>1</v>
      </c>
      <c r="G850" t="s">
        <v>2</v>
      </c>
      <c r="H850" t="s">
        <v>5015</v>
      </c>
      <c r="I850" t="s">
        <v>5016</v>
      </c>
      <c r="L850" t="s">
        <v>5017</v>
      </c>
      <c r="M850" t="s">
        <v>5018</v>
      </c>
      <c r="P850" t="s">
        <v>20</v>
      </c>
      <c r="Q850" t="s">
        <v>5019</v>
      </c>
      <c r="T850" t="s">
        <v>5020</v>
      </c>
      <c r="V850" t="s">
        <v>5021</v>
      </c>
      <c r="Y850" t="s">
        <v>5022</v>
      </c>
    </row>
    <row r="851" spans="1:25" x14ac:dyDescent="0.25">
      <c r="A851" t="str">
        <f>"1079931244"</f>
        <v>1079931244</v>
      </c>
      <c r="B851" t="s">
        <v>96</v>
      </c>
      <c r="C851" t="s">
        <v>893</v>
      </c>
      <c r="D851" t="s">
        <v>5023</v>
      </c>
      <c r="E851">
        <v>424000</v>
      </c>
      <c r="F851" t="s">
        <v>1</v>
      </c>
      <c r="G851" t="s">
        <v>2</v>
      </c>
      <c r="H851" t="s">
        <v>1473</v>
      </c>
      <c r="P851" t="s">
        <v>941</v>
      </c>
      <c r="Y851" t="s">
        <v>5024</v>
      </c>
    </row>
    <row r="852" spans="1:25" x14ac:dyDescent="0.25">
      <c r="A852" t="str">
        <f>"1079988887"</f>
        <v>1079988887</v>
      </c>
      <c r="B852" t="s">
        <v>67</v>
      </c>
      <c r="C852" t="s">
        <v>832</v>
      </c>
      <c r="D852" t="s">
        <v>5025</v>
      </c>
      <c r="E852">
        <v>424006</v>
      </c>
      <c r="F852" t="s">
        <v>1</v>
      </c>
      <c r="G852" t="s">
        <v>2</v>
      </c>
      <c r="H852" t="s">
        <v>2966</v>
      </c>
      <c r="I852" t="s">
        <v>5026</v>
      </c>
      <c r="L852" t="s">
        <v>5027</v>
      </c>
      <c r="M852" t="s">
        <v>5028</v>
      </c>
      <c r="P852" t="s">
        <v>3814</v>
      </c>
      <c r="Q852" t="s">
        <v>5029</v>
      </c>
      <c r="T852" t="s">
        <v>5030</v>
      </c>
      <c r="V852" t="s">
        <v>5031</v>
      </c>
      <c r="Y852" t="s">
        <v>5032</v>
      </c>
    </row>
    <row r="853" spans="1:25" x14ac:dyDescent="0.25">
      <c r="A853" t="str">
        <f>"1080079781"</f>
        <v>1080079781</v>
      </c>
      <c r="B853" t="s">
        <v>447</v>
      </c>
      <c r="C853" t="s">
        <v>448</v>
      </c>
      <c r="D853" t="s">
        <v>5033</v>
      </c>
      <c r="E853">
        <v>424028</v>
      </c>
      <c r="F853" t="s">
        <v>1</v>
      </c>
      <c r="G853" t="s">
        <v>2</v>
      </c>
      <c r="H853" t="s">
        <v>5034</v>
      </c>
      <c r="I853" t="s">
        <v>5035</v>
      </c>
      <c r="Y853" t="s">
        <v>5036</v>
      </c>
    </row>
    <row r="854" spans="1:25" x14ac:dyDescent="0.25">
      <c r="A854" t="str">
        <f>"1080367400"</f>
        <v>1080367400</v>
      </c>
      <c r="B854" t="s">
        <v>233</v>
      </c>
      <c r="C854" t="s">
        <v>3212</v>
      </c>
      <c r="D854" t="s">
        <v>5037</v>
      </c>
      <c r="E854">
        <v>424008</v>
      </c>
      <c r="F854" t="s">
        <v>1</v>
      </c>
      <c r="G854" t="s">
        <v>2</v>
      </c>
      <c r="H854" t="s">
        <v>1031</v>
      </c>
      <c r="I854" t="s">
        <v>5038</v>
      </c>
      <c r="Y854" t="s">
        <v>5039</v>
      </c>
    </row>
    <row r="855" spans="1:25" x14ac:dyDescent="0.25">
      <c r="A855" t="str">
        <f>"1080394069"</f>
        <v>1080394069</v>
      </c>
      <c r="B855" t="s">
        <v>654</v>
      </c>
      <c r="C855" t="s">
        <v>2195</v>
      </c>
      <c r="D855" t="s">
        <v>5040</v>
      </c>
      <c r="E855">
        <v>424002</v>
      </c>
      <c r="F855" t="s">
        <v>1</v>
      </c>
      <c r="G855" t="s">
        <v>2</v>
      </c>
      <c r="H855" t="s">
        <v>5041</v>
      </c>
      <c r="I855" t="s">
        <v>5042</v>
      </c>
      <c r="P855" t="s">
        <v>27</v>
      </c>
      <c r="Y855" t="s">
        <v>5043</v>
      </c>
    </row>
    <row r="856" spans="1:25" x14ac:dyDescent="0.25">
      <c r="A856" t="str">
        <f>"1080434701"</f>
        <v>1080434701</v>
      </c>
      <c r="B856" t="s">
        <v>530</v>
      </c>
      <c r="C856" t="s">
        <v>5046</v>
      </c>
      <c r="D856" t="s">
        <v>5044</v>
      </c>
      <c r="F856" t="s">
        <v>1</v>
      </c>
      <c r="G856" t="s">
        <v>2</v>
      </c>
      <c r="H856" t="s">
        <v>3165</v>
      </c>
      <c r="I856" t="s">
        <v>5045</v>
      </c>
      <c r="Y856" t="s">
        <v>1280</v>
      </c>
    </row>
    <row r="857" spans="1:25" x14ac:dyDescent="0.25">
      <c r="A857" t="str">
        <f>"1080686759"</f>
        <v>1080686759</v>
      </c>
      <c r="B857" t="s">
        <v>176</v>
      </c>
      <c r="C857" t="s">
        <v>250</v>
      </c>
      <c r="D857" t="s">
        <v>5047</v>
      </c>
      <c r="F857" t="s">
        <v>1</v>
      </c>
      <c r="G857" t="s">
        <v>2</v>
      </c>
      <c r="H857" t="s">
        <v>1508</v>
      </c>
      <c r="I857" t="s">
        <v>5048</v>
      </c>
      <c r="L857" t="s">
        <v>5049</v>
      </c>
      <c r="M857" t="s">
        <v>5050</v>
      </c>
      <c r="P857" t="s">
        <v>696</v>
      </c>
      <c r="Y857" t="s">
        <v>5051</v>
      </c>
    </row>
    <row r="858" spans="1:25" x14ac:dyDescent="0.25">
      <c r="A858" t="str">
        <f>"1080813083"</f>
        <v>1080813083</v>
      </c>
      <c r="B858" t="s">
        <v>25</v>
      </c>
      <c r="C858" t="s">
        <v>5054</v>
      </c>
      <c r="D858" t="s">
        <v>25</v>
      </c>
      <c r="E858">
        <v>424038</v>
      </c>
      <c r="F858" t="s">
        <v>1</v>
      </c>
      <c r="G858" t="s">
        <v>2</v>
      </c>
      <c r="H858" t="s">
        <v>546</v>
      </c>
      <c r="I858" t="s">
        <v>5052</v>
      </c>
      <c r="J858" t="s">
        <v>5053</v>
      </c>
      <c r="P858" t="s">
        <v>312</v>
      </c>
      <c r="Y858" t="s">
        <v>5055</v>
      </c>
    </row>
    <row r="859" spans="1:25" x14ac:dyDescent="0.25">
      <c r="A859" t="str">
        <f>"1081145847"</f>
        <v>1081145847</v>
      </c>
      <c r="B859" t="s">
        <v>110</v>
      </c>
      <c r="C859" t="s">
        <v>5061</v>
      </c>
      <c r="D859" t="s">
        <v>5056</v>
      </c>
      <c r="E859">
        <v>424031</v>
      </c>
      <c r="F859" t="s">
        <v>1</v>
      </c>
      <c r="G859" t="s">
        <v>2</v>
      </c>
      <c r="H859" t="s">
        <v>5057</v>
      </c>
      <c r="I859" t="s">
        <v>5058</v>
      </c>
      <c r="L859" t="s">
        <v>5059</v>
      </c>
      <c r="M859" t="s">
        <v>5060</v>
      </c>
      <c r="P859" t="s">
        <v>2951</v>
      </c>
      <c r="Y859" t="s">
        <v>5062</v>
      </c>
    </row>
    <row r="860" spans="1:25" x14ac:dyDescent="0.25">
      <c r="A860" t="str">
        <f>"1081336634"</f>
        <v>1081336634</v>
      </c>
      <c r="B860" t="s">
        <v>25</v>
      </c>
      <c r="C860" t="s">
        <v>5067</v>
      </c>
      <c r="D860" t="s">
        <v>5063</v>
      </c>
      <c r="E860">
        <v>424006</v>
      </c>
      <c r="F860" t="s">
        <v>1</v>
      </c>
      <c r="G860" t="s">
        <v>2</v>
      </c>
      <c r="H860" t="s">
        <v>1890</v>
      </c>
      <c r="I860" t="s">
        <v>5064</v>
      </c>
      <c r="L860" t="s">
        <v>5065</v>
      </c>
      <c r="M860" t="s">
        <v>5066</v>
      </c>
      <c r="P860" t="s">
        <v>5068</v>
      </c>
      <c r="Y860" t="s">
        <v>5069</v>
      </c>
    </row>
    <row r="861" spans="1:25" x14ac:dyDescent="0.25">
      <c r="A861" t="str">
        <f>"1081416841"</f>
        <v>1081416841</v>
      </c>
      <c r="B861" t="s">
        <v>417</v>
      </c>
      <c r="C861" t="s">
        <v>418</v>
      </c>
      <c r="D861" t="s">
        <v>5070</v>
      </c>
      <c r="E861">
        <v>424005</v>
      </c>
      <c r="F861" t="s">
        <v>1</v>
      </c>
      <c r="G861" t="s">
        <v>2</v>
      </c>
      <c r="H861" t="s">
        <v>1298</v>
      </c>
      <c r="I861" t="s">
        <v>5071</v>
      </c>
      <c r="J861" t="s">
        <v>5072</v>
      </c>
      <c r="M861" t="s">
        <v>5073</v>
      </c>
      <c r="P861" t="s">
        <v>381</v>
      </c>
      <c r="Y861" t="s">
        <v>5074</v>
      </c>
    </row>
    <row r="862" spans="1:25" x14ac:dyDescent="0.25">
      <c r="A862" t="str">
        <f>"1081420532"</f>
        <v>1081420532</v>
      </c>
      <c r="B862" t="s">
        <v>1053</v>
      </c>
      <c r="C862" t="s">
        <v>1927</v>
      </c>
      <c r="D862" t="s">
        <v>5075</v>
      </c>
      <c r="E862">
        <v>424003</v>
      </c>
      <c r="F862" t="s">
        <v>1</v>
      </c>
      <c r="G862" t="s">
        <v>2</v>
      </c>
      <c r="H862" t="s">
        <v>5076</v>
      </c>
      <c r="I862" t="s">
        <v>5077</v>
      </c>
      <c r="P862" t="s">
        <v>9</v>
      </c>
      <c r="Y862" t="s">
        <v>5078</v>
      </c>
    </row>
    <row r="863" spans="1:25" x14ac:dyDescent="0.25">
      <c r="A863" t="str">
        <f>"1081599849"</f>
        <v>1081599849</v>
      </c>
      <c r="B863" t="s">
        <v>224</v>
      </c>
      <c r="C863" t="s">
        <v>225</v>
      </c>
      <c r="D863" t="s">
        <v>5079</v>
      </c>
      <c r="E863">
        <v>424006</v>
      </c>
      <c r="F863" t="s">
        <v>1</v>
      </c>
      <c r="G863" t="s">
        <v>2</v>
      </c>
      <c r="H863" t="s">
        <v>2012</v>
      </c>
      <c r="I863" t="s">
        <v>5080</v>
      </c>
      <c r="J863" t="s">
        <v>5081</v>
      </c>
      <c r="L863" t="s">
        <v>5082</v>
      </c>
      <c r="M863" t="s">
        <v>5083</v>
      </c>
      <c r="P863" t="s">
        <v>5084</v>
      </c>
      <c r="Q863" t="s">
        <v>5085</v>
      </c>
      <c r="Y863" t="s">
        <v>2016</v>
      </c>
    </row>
    <row r="864" spans="1:25" x14ac:dyDescent="0.25">
      <c r="A864" t="str">
        <f>"1081675363"</f>
        <v>1081675363</v>
      </c>
      <c r="B864" t="s">
        <v>1262</v>
      </c>
      <c r="C864" t="s">
        <v>3214</v>
      </c>
      <c r="D864" t="s">
        <v>5086</v>
      </c>
      <c r="E864">
        <v>424004</v>
      </c>
      <c r="F864" t="s">
        <v>1</v>
      </c>
      <c r="G864" t="s">
        <v>2</v>
      </c>
      <c r="H864" t="s">
        <v>5087</v>
      </c>
      <c r="Y864" t="s">
        <v>5088</v>
      </c>
    </row>
    <row r="865" spans="1:25" x14ac:dyDescent="0.25">
      <c r="A865" t="str">
        <f>"1081707437"</f>
        <v>1081707437</v>
      </c>
      <c r="B865" t="s">
        <v>1053</v>
      </c>
      <c r="C865" t="s">
        <v>5092</v>
      </c>
      <c r="D865" t="s">
        <v>5089</v>
      </c>
      <c r="E865">
        <v>424008</v>
      </c>
      <c r="F865" t="s">
        <v>1</v>
      </c>
      <c r="G865" t="s">
        <v>2</v>
      </c>
      <c r="H865" t="s">
        <v>5090</v>
      </c>
      <c r="I865" t="s">
        <v>5091</v>
      </c>
      <c r="P865" t="s">
        <v>280</v>
      </c>
      <c r="Y865" t="s">
        <v>5093</v>
      </c>
    </row>
    <row r="866" spans="1:25" x14ac:dyDescent="0.25">
      <c r="A866" t="str">
        <f>"1081738665"</f>
        <v>1081738665</v>
      </c>
      <c r="B866" t="s">
        <v>4027</v>
      </c>
      <c r="C866" t="s">
        <v>5096</v>
      </c>
      <c r="D866" t="s">
        <v>5094</v>
      </c>
      <c r="E866">
        <v>424031</v>
      </c>
      <c r="F866" t="s">
        <v>1</v>
      </c>
      <c r="G866" t="s">
        <v>2</v>
      </c>
      <c r="H866" t="s">
        <v>5095</v>
      </c>
      <c r="Y866" t="s">
        <v>5097</v>
      </c>
    </row>
    <row r="867" spans="1:25" x14ac:dyDescent="0.25">
      <c r="A867" t="str">
        <f>"1081755675"</f>
        <v>1081755675</v>
      </c>
      <c r="B867" t="s">
        <v>96</v>
      </c>
      <c r="C867" t="s">
        <v>893</v>
      </c>
      <c r="D867" t="s">
        <v>5098</v>
      </c>
      <c r="E867">
        <v>424000</v>
      </c>
      <c r="F867" t="s">
        <v>1</v>
      </c>
      <c r="G867" t="s">
        <v>2</v>
      </c>
      <c r="H867" t="s">
        <v>404</v>
      </c>
      <c r="I867" t="s">
        <v>5099</v>
      </c>
      <c r="P867" t="s">
        <v>112</v>
      </c>
      <c r="Y867" t="s">
        <v>5100</v>
      </c>
    </row>
    <row r="868" spans="1:25" x14ac:dyDescent="0.25">
      <c r="A868" t="str">
        <f>"1081807164"</f>
        <v>1081807164</v>
      </c>
      <c r="B868" t="s">
        <v>1702</v>
      </c>
      <c r="C868" t="s">
        <v>1703</v>
      </c>
      <c r="D868" t="s">
        <v>5101</v>
      </c>
      <c r="E868">
        <v>424019</v>
      </c>
      <c r="F868" t="s">
        <v>1</v>
      </c>
      <c r="G868" t="s">
        <v>2</v>
      </c>
      <c r="H868" t="s">
        <v>5102</v>
      </c>
      <c r="I868" t="s">
        <v>5103</v>
      </c>
      <c r="P868" t="s">
        <v>280</v>
      </c>
      <c r="Y868" t="s">
        <v>5104</v>
      </c>
    </row>
    <row r="869" spans="1:25" x14ac:dyDescent="0.25">
      <c r="A869" t="str">
        <f>"1082025051"</f>
        <v>1082025051</v>
      </c>
      <c r="B869" t="s">
        <v>1315</v>
      </c>
      <c r="C869" t="s">
        <v>4688</v>
      </c>
      <c r="D869" t="s">
        <v>5105</v>
      </c>
      <c r="E869">
        <v>424004</v>
      </c>
      <c r="F869" t="s">
        <v>1</v>
      </c>
      <c r="G869" t="s">
        <v>2</v>
      </c>
      <c r="H869" t="s">
        <v>351</v>
      </c>
      <c r="I869" t="s">
        <v>5106</v>
      </c>
      <c r="Y869" t="s">
        <v>354</v>
      </c>
    </row>
    <row r="870" spans="1:25" x14ac:dyDescent="0.25">
      <c r="A870" t="str">
        <f>"1082114962"</f>
        <v>1082114962</v>
      </c>
      <c r="B870" t="s">
        <v>1552</v>
      </c>
      <c r="C870" t="s">
        <v>5112</v>
      </c>
      <c r="D870" t="s">
        <v>5107</v>
      </c>
      <c r="E870">
        <v>424031</v>
      </c>
      <c r="F870" t="s">
        <v>1</v>
      </c>
      <c r="G870" t="s">
        <v>2</v>
      </c>
      <c r="H870" t="s">
        <v>2353</v>
      </c>
      <c r="I870" t="s">
        <v>5108</v>
      </c>
      <c r="J870" t="s">
        <v>5109</v>
      </c>
      <c r="L870" t="s">
        <v>5110</v>
      </c>
      <c r="M870" t="s">
        <v>5111</v>
      </c>
      <c r="P870" t="s">
        <v>696</v>
      </c>
      <c r="Y870" t="s">
        <v>5113</v>
      </c>
    </row>
    <row r="871" spans="1:25" x14ac:dyDescent="0.25">
      <c r="A871" t="str">
        <f>"1082142570"</f>
        <v>1082142570</v>
      </c>
      <c r="B871" t="s">
        <v>1846</v>
      </c>
      <c r="C871" t="s">
        <v>5115</v>
      </c>
      <c r="D871" t="s">
        <v>3695</v>
      </c>
      <c r="E871">
        <v>424008</v>
      </c>
      <c r="F871" t="s">
        <v>1</v>
      </c>
      <c r="G871" t="s">
        <v>2</v>
      </c>
      <c r="H871" t="s">
        <v>5114</v>
      </c>
      <c r="P871" t="s">
        <v>696</v>
      </c>
      <c r="Y871" t="s">
        <v>5116</v>
      </c>
    </row>
    <row r="872" spans="1:25" x14ac:dyDescent="0.25">
      <c r="A872" t="str">
        <f>"1082214046"</f>
        <v>1082214046</v>
      </c>
      <c r="B872" t="s">
        <v>224</v>
      </c>
      <c r="C872" t="s">
        <v>4139</v>
      </c>
      <c r="D872" t="s">
        <v>5117</v>
      </c>
      <c r="F872" t="s">
        <v>1</v>
      </c>
      <c r="G872" t="s">
        <v>2</v>
      </c>
      <c r="H872" t="s">
        <v>5118</v>
      </c>
      <c r="Y872" t="s">
        <v>5119</v>
      </c>
    </row>
    <row r="873" spans="1:25" x14ac:dyDescent="0.25">
      <c r="A873" t="str">
        <f>"1082274282"</f>
        <v>1082274282</v>
      </c>
      <c r="B873" t="s">
        <v>797</v>
      </c>
      <c r="C873" t="s">
        <v>5123</v>
      </c>
      <c r="D873" t="s">
        <v>5120</v>
      </c>
      <c r="E873">
        <v>424028</v>
      </c>
      <c r="F873" t="s">
        <v>1</v>
      </c>
      <c r="G873" t="s">
        <v>2</v>
      </c>
      <c r="H873" t="s">
        <v>5121</v>
      </c>
      <c r="I873" t="s">
        <v>5122</v>
      </c>
      <c r="P873" t="s">
        <v>941</v>
      </c>
      <c r="Y873" t="s">
        <v>5124</v>
      </c>
    </row>
    <row r="874" spans="1:25" x14ac:dyDescent="0.25">
      <c r="A874" t="str">
        <f>"1082421870"</f>
        <v>1082421870</v>
      </c>
      <c r="B874" t="s">
        <v>18</v>
      </c>
      <c r="C874" t="s">
        <v>2100</v>
      </c>
      <c r="D874" t="s">
        <v>5125</v>
      </c>
      <c r="E874">
        <v>424007</v>
      </c>
      <c r="F874" t="s">
        <v>1</v>
      </c>
      <c r="G874" t="s">
        <v>2</v>
      </c>
      <c r="H874" t="s">
        <v>220</v>
      </c>
      <c r="I874" t="s">
        <v>5126</v>
      </c>
      <c r="L874" t="s">
        <v>5127</v>
      </c>
      <c r="M874" t="s">
        <v>5128</v>
      </c>
      <c r="P874" t="s">
        <v>20</v>
      </c>
      <c r="Y874" t="s">
        <v>227</v>
      </c>
    </row>
    <row r="875" spans="1:25" x14ac:dyDescent="0.25">
      <c r="A875" t="str">
        <f>"1082463699"</f>
        <v>1082463699</v>
      </c>
      <c r="B875" t="s">
        <v>18</v>
      </c>
      <c r="C875" t="s">
        <v>5132</v>
      </c>
      <c r="D875" t="s">
        <v>5129</v>
      </c>
      <c r="F875" t="s">
        <v>1</v>
      </c>
      <c r="G875" t="s">
        <v>2</v>
      </c>
      <c r="H875" t="s">
        <v>3711</v>
      </c>
      <c r="I875" t="s">
        <v>5130</v>
      </c>
      <c r="K875" t="s">
        <v>5131</v>
      </c>
      <c r="P875" t="s">
        <v>280</v>
      </c>
      <c r="Y875" t="s">
        <v>3715</v>
      </c>
    </row>
    <row r="876" spans="1:25" x14ac:dyDescent="0.25">
      <c r="A876" t="str">
        <f>"1082751026"</f>
        <v>1082751026</v>
      </c>
      <c r="B876" t="s">
        <v>25</v>
      </c>
      <c r="C876" t="s">
        <v>1005</v>
      </c>
      <c r="D876" t="s">
        <v>5133</v>
      </c>
      <c r="E876">
        <v>424030</v>
      </c>
      <c r="F876" t="s">
        <v>1</v>
      </c>
      <c r="G876" t="s">
        <v>2</v>
      </c>
      <c r="H876" t="s">
        <v>5134</v>
      </c>
      <c r="I876" t="s">
        <v>5135</v>
      </c>
      <c r="K876" t="s">
        <v>5136</v>
      </c>
      <c r="P876" t="s">
        <v>280</v>
      </c>
      <c r="Y876" t="s">
        <v>5137</v>
      </c>
    </row>
    <row r="877" spans="1:25" x14ac:dyDescent="0.25">
      <c r="A877" t="str">
        <f>"1082760416"</f>
        <v>1082760416</v>
      </c>
      <c r="B877" t="s">
        <v>1758</v>
      </c>
      <c r="C877" t="s">
        <v>2276</v>
      </c>
      <c r="D877" t="s">
        <v>5138</v>
      </c>
      <c r="E877">
        <v>424005</v>
      </c>
      <c r="F877" t="s">
        <v>1</v>
      </c>
      <c r="G877" t="s">
        <v>2</v>
      </c>
      <c r="H877" t="s">
        <v>5139</v>
      </c>
      <c r="I877" t="s">
        <v>5140</v>
      </c>
      <c r="L877" t="s">
        <v>5141</v>
      </c>
      <c r="M877" t="s">
        <v>5142</v>
      </c>
      <c r="P877" t="s">
        <v>5143</v>
      </c>
      <c r="Y877" t="s">
        <v>5144</v>
      </c>
    </row>
    <row r="878" spans="1:25" x14ac:dyDescent="0.25">
      <c r="A878" t="str">
        <f>"1082863319"</f>
        <v>1082863319</v>
      </c>
      <c r="B878" t="s">
        <v>397</v>
      </c>
      <c r="C878" t="s">
        <v>5148</v>
      </c>
      <c r="D878" t="s">
        <v>5145</v>
      </c>
      <c r="E878">
        <v>424006</v>
      </c>
      <c r="F878" t="s">
        <v>1</v>
      </c>
      <c r="G878" t="s">
        <v>2</v>
      </c>
      <c r="H878" t="s">
        <v>5146</v>
      </c>
      <c r="J878" t="s">
        <v>5147</v>
      </c>
      <c r="P878" t="s">
        <v>280</v>
      </c>
      <c r="Y878" t="s">
        <v>5149</v>
      </c>
    </row>
    <row r="879" spans="1:25" x14ac:dyDescent="0.25">
      <c r="A879" t="str">
        <f>"1082940153"</f>
        <v>1082940153</v>
      </c>
      <c r="B879" t="s">
        <v>1230</v>
      </c>
      <c r="C879" t="s">
        <v>5152</v>
      </c>
      <c r="D879" t="s">
        <v>5150</v>
      </c>
      <c r="E879">
        <v>424031</v>
      </c>
      <c r="F879" t="s">
        <v>1</v>
      </c>
      <c r="G879" t="s">
        <v>2</v>
      </c>
      <c r="H879" t="s">
        <v>5151</v>
      </c>
      <c r="Y879" t="s">
        <v>5153</v>
      </c>
    </row>
    <row r="880" spans="1:25" x14ac:dyDescent="0.25">
      <c r="A880" t="str">
        <f>"1083162521"</f>
        <v>1083162521</v>
      </c>
      <c r="B880" t="s">
        <v>96</v>
      </c>
      <c r="C880" t="s">
        <v>5155</v>
      </c>
      <c r="D880" t="s">
        <v>5154</v>
      </c>
      <c r="E880">
        <v>424002</v>
      </c>
      <c r="F880" t="s">
        <v>1</v>
      </c>
      <c r="G880" t="s">
        <v>2</v>
      </c>
      <c r="H880" t="s">
        <v>1190</v>
      </c>
      <c r="P880" t="s">
        <v>2923</v>
      </c>
      <c r="Y880" t="s">
        <v>5156</v>
      </c>
    </row>
    <row r="881" spans="1:25" x14ac:dyDescent="0.25">
      <c r="A881" t="str">
        <f>"1083192307"</f>
        <v>1083192307</v>
      </c>
      <c r="B881" t="s">
        <v>18</v>
      </c>
      <c r="C881" t="s">
        <v>5160</v>
      </c>
      <c r="D881" t="s">
        <v>5157</v>
      </c>
      <c r="E881">
        <v>424007</v>
      </c>
      <c r="F881" t="s">
        <v>1</v>
      </c>
      <c r="G881" t="s">
        <v>2</v>
      </c>
      <c r="H881" t="s">
        <v>1085</v>
      </c>
      <c r="I881" t="s">
        <v>5158</v>
      </c>
      <c r="K881" t="s">
        <v>5159</v>
      </c>
      <c r="P881" t="s">
        <v>152</v>
      </c>
      <c r="Y881" t="s">
        <v>1412</v>
      </c>
    </row>
    <row r="882" spans="1:25" x14ac:dyDescent="0.25">
      <c r="A882" t="str">
        <f>"1083334941"</f>
        <v>1083334941</v>
      </c>
      <c r="B882" t="s">
        <v>1352</v>
      </c>
      <c r="C882" t="s">
        <v>1353</v>
      </c>
      <c r="D882" t="s">
        <v>5161</v>
      </c>
      <c r="E882">
        <v>424002</v>
      </c>
      <c r="F882" t="s">
        <v>1</v>
      </c>
      <c r="G882" t="s">
        <v>2</v>
      </c>
      <c r="H882" t="s">
        <v>5162</v>
      </c>
      <c r="I882" t="s">
        <v>5163</v>
      </c>
      <c r="J882" t="s">
        <v>5164</v>
      </c>
      <c r="L882" t="s">
        <v>5165</v>
      </c>
      <c r="P882" t="s">
        <v>3379</v>
      </c>
      <c r="Q882" t="s">
        <v>5166</v>
      </c>
      <c r="R882" t="s">
        <v>5167</v>
      </c>
      <c r="V882" t="s">
        <v>5168</v>
      </c>
      <c r="Y882" t="s">
        <v>5169</v>
      </c>
    </row>
    <row r="883" spans="1:25" x14ac:dyDescent="0.25">
      <c r="A883" t="str">
        <f>"1083360060"</f>
        <v>1083360060</v>
      </c>
      <c r="B883" t="s">
        <v>1053</v>
      </c>
      <c r="C883" t="s">
        <v>5174</v>
      </c>
      <c r="D883" t="s">
        <v>5170</v>
      </c>
      <c r="E883">
        <v>424007</v>
      </c>
      <c r="F883" t="s">
        <v>1</v>
      </c>
      <c r="G883" t="s">
        <v>2</v>
      </c>
      <c r="H883" t="s">
        <v>1389</v>
      </c>
      <c r="I883" t="s">
        <v>5171</v>
      </c>
      <c r="L883" t="s">
        <v>5172</v>
      </c>
      <c r="M883" t="s">
        <v>5173</v>
      </c>
      <c r="P883" t="s">
        <v>280</v>
      </c>
      <c r="Q883" t="s">
        <v>5175</v>
      </c>
      <c r="Y883" t="s">
        <v>5176</v>
      </c>
    </row>
    <row r="884" spans="1:25" x14ac:dyDescent="0.25">
      <c r="A884" t="str">
        <f>"1083421843"</f>
        <v>1083421843</v>
      </c>
      <c r="B884" t="s">
        <v>841</v>
      </c>
      <c r="C884" t="s">
        <v>5180</v>
      </c>
      <c r="D884" t="s">
        <v>5177</v>
      </c>
      <c r="E884">
        <v>424007</v>
      </c>
      <c r="F884" t="s">
        <v>1</v>
      </c>
      <c r="G884" t="s">
        <v>2</v>
      </c>
      <c r="H884" t="s">
        <v>5178</v>
      </c>
      <c r="M884" t="s">
        <v>5179</v>
      </c>
      <c r="P884" t="s">
        <v>2731</v>
      </c>
      <c r="Y884" t="s">
        <v>5181</v>
      </c>
    </row>
    <row r="885" spans="1:25" x14ac:dyDescent="0.25">
      <c r="A885" t="str">
        <f>"1083423088"</f>
        <v>1083423088</v>
      </c>
      <c r="B885" t="s">
        <v>558</v>
      </c>
      <c r="C885" t="s">
        <v>559</v>
      </c>
      <c r="D885" t="s">
        <v>5182</v>
      </c>
      <c r="E885">
        <v>424038</v>
      </c>
      <c r="F885" t="s">
        <v>1</v>
      </c>
      <c r="G885" t="s">
        <v>2</v>
      </c>
      <c r="H885" t="s">
        <v>5183</v>
      </c>
      <c r="I885" t="s">
        <v>5184</v>
      </c>
      <c r="Y885" t="s">
        <v>5185</v>
      </c>
    </row>
    <row r="886" spans="1:25" x14ac:dyDescent="0.25">
      <c r="A886" t="str">
        <f>"1083470606"</f>
        <v>1083470606</v>
      </c>
      <c r="B886" t="s">
        <v>123</v>
      </c>
      <c r="C886" t="s">
        <v>731</v>
      </c>
      <c r="D886" t="s">
        <v>5186</v>
      </c>
      <c r="E886">
        <v>424039</v>
      </c>
      <c r="F886" t="s">
        <v>1</v>
      </c>
      <c r="G886" t="s">
        <v>2</v>
      </c>
      <c r="H886" t="s">
        <v>5187</v>
      </c>
      <c r="I886" t="s">
        <v>5188</v>
      </c>
      <c r="L886" t="s">
        <v>5189</v>
      </c>
      <c r="M886" t="s">
        <v>5190</v>
      </c>
      <c r="P886" t="s">
        <v>4998</v>
      </c>
      <c r="Y886" t="s">
        <v>5191</v>
      </c>
    </row>
    <row r="887" spans="1:25" x14ac:dyDescent="0.25">
      <c r="A887" t="str">
        <f>"1083599176"</f>
        <v>1083599176</v>
      </c>
      <c r="B887" t="s">
        <v>462</v>
      </c>
      <c r="C887" t="s">
        <v>463</v>
      </c>
      <c r="D887" t="s">
        <v>5192</v>
      </c>
      <c r="E887">
        <v>424006</v>
      </c>
      <c r="F887" t="s">
        <v>1</v>
      </c>
      <c r="G887" t="s">
        <v>2</v>
      </c>
      <c r="H887" t="s">
        <v>2775</v>
      </c>
      <c r="I887" t="s">
        <v>5193</v>
      </c>
      <c r="Y887" t="s">
        <v>2779</v>
      </c>
    </row>
    <row r="888" spans="1:25" x14ac:dyDescent="0.25">
      <c r="A888" t="str">
        <f>"1083708441"</f>
        <v>1083708441</v>
      </c>
      <c r="B888" t="s">
        <v>447</v>
      </c>
      <c r="C888" t="s">
        <v>448</v>
      </c>
      <c r="D888" t="s">
        <v>5194</v>
      </c>
      <c r="E888">
        <v>424039</v>
      </c>
      <c r="F888" t="s">
        <v>1</v>
      </c>
      <c r="G888" t="s">
        <v>2</v>
      </c>
      <c r="H888" t="s">
        <v>5195</v>
      </c>
      <c r="Y888" t="s">
        <v>5196</v>
      </c>
    </row>
    <row r="889" spans="1:25" x14ac:dyDescent="0.25">
      <c r="A889" t="str">
        <f>"1083714570"</f>
        <v>1083714570</v>
      </c>
      <c r="B889" t="s">
        <v>25</v>
      </c>
      <c r="C889" t="s">
        <v>59</v>
      </c>
      <c r="D889" t="s">
        <v>25</v>
      </c>
      <c r="E889">
        <v>424004</v>
      </c>
      <c r="F889" t="s">
        <v>1</v>
      </c>
      <c r="G889" t="s">
        <v>2</v>
      </c>
      <c r="H889" t="s">
        <v>5197</v>
      </c>
      <c r="I889" t="s">
        <v>5198</v>
      </c>
      <c r="L889" t="s">
        <v>5199</v>
      </c>
      <c r="P889" t="s">
        <v>27</v>
      </c>
      <c r="Y889" t="s">
        <v>5200</v>
      </c>
    </row>
    <row r="890" spans="1:25" x14ac:dyDescent="0.25">
      <c r="A890" t="str">
        <f>"1083783694"</f>
        <v>1083783694</v>
      </c>
      <c r="B890" t="s">
        <v>1053</v>
      </c>
      <c r="C890" t="s">
        <v>5207</v>
      </c>
      <c r="D890" t="s">
        <v>5201</v>
      </c>
      <c r="E890">
        <v>424016</v>
      </c>
      <c r="F890" t="s">
        <v>1</v>
      </c>
      <c r="G890" t="s">
        <v>2</v>
      </c>
      <c r="H890" t="s">
        <v>5202</v>
      </c>
      <c r="I890" t="s">
        <v>5203</v>
      </c>
      <c r="J890" t="s">
        <v>5204</v>
      </c>
      <c r="L890" t="s">
        <v>5205</v>
      </c>
      <c r="M890" t="s">
        <v>5206</v>
      </c>
      <c r="P890" t="s">
        <v>280</v>
      </c>
      <c r="Q890" t="s">
        <v>5208</v>
      </c>
      <c r="V890" t="s">
        <v>5209</v>
      </c>
      <c r="Y890" t="s">
        <v>5210</v>
      </c>
    </row>
    <row r="891" spans="1:25" x14ac:dyDescent="0.25">
      <c r="A891" t="str">
        <f>"1083812767"</f>
        <v>1083812767</v>
      </c>
      <c r="B891" t="s">
        <v>328</v>
      </c>
      <c r="C891" t="s">
        <v>1920</v>
      </c>
      <c r="D891" t="s">
        <v>5211</v>
      </c>
      <c r="E891">
        <v>424032</v>
      </c>
      <c r="F891" t="s">
        <v>1</v>
      </c>
      <c r="G891" t="s">
        <v>2</v>
      </c>
      <c r="H891" t="s">
        <v>5212</v>
      </c>
      <c r="I891" t="s">
        <v>5213</v>
      </c>
      <c r="J891" t="s">
        <v>5214</v>
      </c>
      <c r="P891" t="s">
        <v>152</v>
      </c>
      <c r="Y891" t="s">
        <v>5215</v>
      </c>
    </row>
    <row r="892" spans="1:25" x14ac:dyDescent="0.25">
      <c r="A892" t="str">
        <f>"1083886160"</f>
        <v>1083886160</v>
      </c>
      <c r="B892" t="s">
        <v>96</v>
      </c>
      <c r="C892" t="s">
        <v>507</v>
      </c>
      <c r="D892" t="s">
        <v>5216</v>
      </c>
      <c r="E892">
        <v>424000</v>
      </c>
      <c r="F892" t="s">
        <v>1</v>
      </c>
      <c r="G892" t="s">
        <v>2</v>
      </c>
      <c r="H892" t="s">
        <v>2311</v>
      </c>
      <c r="I892" t="s">
        <v>5217</v>
      </c>
      <c r="L892" t="s">
        <v>5218</v>
      </c>
      <c r="M892" t="s">
        <v>5219</v>
      </c>
      <c r="P892" t="s">
        <v>144</v>
      </c>
      <c r="Q892" t="s">
        <v>5220</v>
      </c>
      <c r="R892" t="s">
        <v>5221</v>
      </c>
      <c r="T892" t="s">
        <v>5222</v>
      </c>
      <c r="V892" t="s">
        <v>5223</v>
      </c>
      <c r="Y892" t="s">
        <v>5224</v>
      </c>
    </row>
    <row r="893" spans="1:25" x14ac:dyDescent="0.25">
      <c r="A893" t="str">
        <f>"1083979305"</f>
        <v>1083979305</v>
      </c>
      <c r="B893" t="s">
        <v>334</v>
      </c>
      <c r="C893" t="s">
        <v>5230</v>
      </c>
      <c r="D893" t="s">
        <v>5225</v>
      </c>
      <c r="E893">
        <v>424004</v>
      </c>
      <c r="F893" t="s">
        <v>1</v>
      </c>
      <c r="G893" t="s">
        <v>2</v>
      </c>
      <c r="H893" t="s">
        <v>5226</v>
      </c>
      <c r="I893" t="s">
        <v>5227</v>
      </c>
      <c r="L893" t="s">
        <v>5228</v>
      </c>
      <c r="M893" t="s">
        <v>5229</v>
      </c>
      <c r="P893" t="s">
        <v>390</v>
      </c>
      <c r="Q893" t="s">
        <v>5231</v>
      </c>
      <c r="S893" t="s">
        <v>5232</v>
      </c>
      <c r="T893" t="s">
        <v>5233</v>
      </c>
      <c r="U893" t="s">
        <v>5234</v>
      </c>
      <c r="Y893" t="s">
        <v>5235</v>
      </c>
    </row>
    <row r="894" spans="1:25" x14ac:dyDescent="0.25">
      <c r="A894" t="str">
        <f>"1084013614"</f>
        <v>1084013614</v>
      </c>
      <c r="B894" t="s">
        <v>25</v>
      </c>
      <c r="C894" t="s">
        <v>5241</v>
      </c>
      <c r="D894" t="s">
        <v>5236</v>
      </c>
      <c r="E894">
        <v>424031</v>
      </c>
      <c r="F894" t="s">
        <v>1</v>
      </c>
      <c r="G894" t="s">
        <v>2</v>
      </c>
      <c r="H894" t="s">
        <v>5237</v>
      </c>
      <c r="I894" t="s">
        <v>5238</v>
      </c>
      <c r="L894" t="s">
        <v>5239</v>
      </c>
      <c r="M894" t="s">
        <v>5240</v>
      </c>
      <c r="P894" t="s">
        <v>20</v>
      </c>
      <c r="Y894" t="s">
        <v>5242</v>
      </c>
    </row>
    <row r="895" spans="1:25" x14ac:dyDescent="0.25">
      <c r="A895" t="str">
        <f>"1084139957"</f>
        <v>1084139957</v>
      </c>
      <c r="B895" t="s">
        <v>348</v>
      </c>
      <c r="C895" t="s">
        <v>5245</v>
      </c>
      <c r="D895" t="s">
        <v>1949</v>
      </c>
      <c r="E895">
        <v>424031</v>
      </c>
      <c r="F895" t="s">
        <v>1</v>
      </c>
      <c r="G895" t="s">
        <v>2</v>
      </c>
      <c r="H895" t="s">
        <v>413</v>
      </c>
      <c r="J895" t="s">
        <v>5243</v>
      </c>
      <c r="L895" t="s">
        <v>1952</v>
      </c>
      <c r="M895" t="s">
        <v>5244</v>
      </c>
      <c r="P895" t="s">
        <v>941</v>
      </c>
      <c r="Y895" t="s">
        <v>5246</v>
      </c>
    </row>
    <row r="896" spans="1:25" x14ac:dyDescent="0.25">
      <c r="A896" t="str">
        <f>"1084230404"</f>
        <v>1084230404</v>
      </c>
      <c r="B896" t="s">
        <v>2677</v>
      </c>
      <c r="C896" t="s">
        <v>2678</v>
      </c>
      <c r="D896" t="s">
        <v>5247</v>
      </c>
      <c r="E896">
        <v>424007</v>
      </c>
      <c r="F896" t="s">
        <v>1</v>
      </c>
      <c r="G896" t="s">
        <v>2</v>
      </c>
      <c r="H896" t="s">
        <v>950</v>
      </c>
      <c r="I896" t="s">
        <v>5248</v>
      </c>
      <c r="Y896" t="s">
        <v>953</v>
      </c>
    </row>
    <row r="897" spans="1:25" x14ac:dyDescent="0.25">
      <c r="A897" t="str">
        <f>"1084394991"</f>
        <v>1084394991</v>
      </c>
      <c r="B897" t="s">
        <v>3573</v>
      </c>
      <c r="C897" t="s">
        <v>5251</v>
      </c>
      <c r="D897" t="s">
        <v>5249</v>
      </c>
      <c r="E897">
        <v>424002</v>
      </c>
      <c r="F897" t="s">
        <v>1</v>
      </c>
      <c r="G897" t="s">
        <v>2</v>
      </c>
      <c r="H897" t="s">
        <v>57</v>
      </c>
      <c r="I897" t="s">
        <v>5250</v>
      </c>
      <c r="P897" t="s">
        <v>20</v>
      </c>
      <c r="Y897" t="s">
        <v>5252</v>
      </c>
    </row>
    <row r="898" spans="1:25" x14ac:dyDescent="0.25">
      <c r="A898" t="str">
        <f>"1084561470"</f>
        <v>1084561470</v>
      </c>
      <c r="B898" t="s">
        <v>1552</v>
      </c>
      <c r="C898" t="s">
        <v>1552</v>
      </c>
      <c r="D898" t="s">
        <v>5253</v>
      </c>
      <c r="E898">
        <v>424004</v>
      </c>
      <c r="F898" t="s">
        <v>1</v>
      </c>
      <c r="G898" t="s">
        <v>2</v>
      </c>
      <c r="H898" t="s">
        <v>1169</v>
      </c>
      <c r="I898" t="s">
        <v>5254</v>
      </c>
      <c r="P898" t="s">
        <v>330</v>
      </c>
      <c r="Y898" t="s">
        <v>5255</v>
      </c>
    </row>
    <row r="899" spans="1:25" x14ac:dyDescent="0.25">
      <c r="A899" t="str">
        <f>"1084712450"</f>
        <v>1084712450</v>
      </c>
      <c r="B899" t="s">
        <v>160</v>
      </c>
      <c r="C899" t="s">
        <v>2479</v>
      </c>
      <c r="D899" t="s">
        <v>5256</v>
      </c>
      <c r="E899">
        <v>424007</v>
      </c>
      <c r="F899" t="s">
        <v>1</v>
      </c>
      <c r="G899" t="s">
        <v>2</v>
      </c>
      <c r="H899" t="s">
        <v>5257</v>
      </c>
      <c r="I899" t="s">
        <v>5258</v>
      </c>
      <c r="K899" t="s">
        <v>5259</v>
      </c>
      <c r="P899" t="s">
        <v>280</v>
      </c>
      <c r="Y899" t="s">
        <v>5260</v>
      </c>
    </row>
    <row r="900" spans="1:25" x14ac:dyDescent="0.25">
      <c r="A900" t="str">
        <f>"1084729636"</f>
        <v>1084729636</v>
      </c>
      <c r="B900" t="s">
        <v>25</v>
      </c>
      <c r="C900" t="s">
        <v>59</v>
      </c>
      <c r="D900" t="s">
        <v>5261</v>
      </c>
      <c r="E900">
        <v>424004</v>
      </c>
      <c r="F900" t="s">
        <v>1</v>
      </c>
      <c r="G900" t="s">
        <v>2</v>
      </c>
      <c r="H900" t="s">
        <v>351</v>
      </c>
      <c r="I900" t="s">
        <v>5262</v>
      </c>
      <c r="P900" t="s">
        <v>152</v>
      </c>
      <c r="Y900" t="s">
        <v>354</v>
      </c>
    </row>
    <row r="901" spans="1:25" x14ac:dyDescent="0.25">
      <c r="A901" t="str">
        <f>"1084827549"</f>
        <v>1084827549</v>
      </c>
      <c r="B901" t="s">
        <v>7</v>
      </c>
      <c r="C901" t="s">
        <v>5268</v>
      </c>
      <c r="D901" t="s">
        <v>5263</v>
      </c>
      <c r="E901">
        <v>424002</v>
      </c>
      <c r="F901" t="s">
        <v>1</v>
      </c>
      <c r="G901" t="s">
        <v>2</v>
      </c>
      <c r="H901" t="s">
        <v>3098</v>
      </c>
      <c r="I901" t="s">
        <v>5264</v>
      </c>
      <c r="J901" t="s">
        <v>5265</v>
      </c>
      <c r="L901" t="s">
        <v>5266</v>
      </c>
      <c r="M901" t="s">
        <v>5267</v>
      </c>
      <c r="P901" t="s">
        <v>27</v>
      </c>
      <c r="Y901" t="s">
        <v>3102</v>
      </c>
    </row>
    <row r="902" spans="1:25" x14ac:dyDescent="0.25">
      <c r="A902" t="str">
        <f>"1084891951"</f>
        <v>1084891951</v>
      </c>
      <c r="B902" t="s">
        <v>18</v>
      </c>
      <c r="C902" t="s">
        <v>5273</v>
      </c>
      <c r="D902" t="s">
        <v>5269</v>
      </c>
      <c r="E902">
        <v>424016</v>
      </c>
      <c r="F902" t="s">
        <v>1</v>
      </c>
      <c r="G902" t="s">
        <v>2</v>
      </c>
      <c r="H902" t="s">
        <v>3703</v>
      </c>
      <c r="I902" t="s">
        <v>5270</v>
      </c>
      <c r="L902" t="s">
        <v>5271</v>
      </c>
      <c r="M902" t="s">
        <v>5272</v>
      </c>
      <c r="P902" t="s">
        <v>1071</v>
      </c>
      <c r="Y902" t="s">
        <v>5274</v>
      </c>
    </row>
    <row r="903" spans="1:25" x14ac:dyDescent="0.25">
      <c r="A903" t="str">
        <f>"1084952541"</f>
        <v>1084952541</v>
      </c>
      <c r="B903" t="s">
        <v>319</v>
      </c>
      <c r="C903" t="s">
        <v>320</v>
      </c>
      <c r="D903" t="s">
        <v>5275</v>
      </c>
      <c r="E903">
        <v>424038</v>
      </c>
      <c r="F903" t="s">
        <v>1</v>
      </c>
      <c r="G903" t="s">
        <v>2</v>
      </c>
      <c r="H903" t="s">
        <v>2614</v>
      </c>
      <c r="I903" t="s">
        <v>5276</v>
      </c>
      <c r="L903" t="s">
        <v>597</v>
      </c>
      <c r="M903" t="s">
        <v>5277</v>
      </c>
      <c r="P903" t="s">
        <v>5278</v>
      </c>
      <c r="Y903" t="s">
        <v>5279</v>
      </c>
    </row>
    <row r="904" spans="1:25" x14ac:dyDescent="0.25">
      <c r="A904" t="str">
        <f>"1085039516"</f>
        <v>1085039516</v>
      </c>
      <c r="B904" t="s">
        <v>790</v>
      </c>
      <c r="C904" t="s">
        <v>5283</v>
      </c>
      <c r="D904" t="s">
        <v>5280</v>
      </c>
      <c r="E904">
        <v>424007</v>
      </c>
      <c r="F904" t="s">
        <v>1</v>
      </c>
      <c r="G904" t="s">
        <v>2</v>
      </c>
      <c r="H904" t="s">
        <v>5281</v>
      </c>
      <c r="I904" t="s">
        <v>5282</v>
      </c>
      <c r="P904" t="s">
        <v>9</v>
      </c>
      <c r="Y904" t="s">
        <v>5284</v>
      </c>
    </row>
    <row r="905" spans="1:25" x14ac:dyDescent="0.25">
      <c r="A905" t="str">
        <f>"1085113997"</f>
        <v>1085113997</v>
      </c>
      <c r="B905" t="s">
        <v>574</v>
      </c>
      <c r="C905" t="s">
        <v>646</v>
      </c>
      <c r="D905" t="s">
        <v>5285</v>
      </c>
      <c r="E905">
        <v>424038</v>
      </c>
      <c r="F905" t="s">
        <v>1</v>
      </c>
      <c r="G905" t="s">
        <v>2</v>
      </c>
      <c r="H905" t="s">
        <v>5286</v>
      </c>
      <c r="I905" t="s">
        <v>5287</v>
      </c>
      <c r="P905" t="s">
        <v>2457</v>
      </c>
      <c r="Y905" t="s">
        <v>5288</v>
      </c>
    </row>
    <row r="906" spans="1:25" x14ac:dyDescent="0.25">
      <c r="A906" t="str">
        <f>"1085184074"</f>
        <v>1085184074</v>
      </c>
      <c r="B906" t="s">
        <v>1152</v>
      </c>
      <c r="C906" t="s">
        <v>1159</v>
      </c>
      <c r="D906" t="s">
        <v>5289</v>
      </c>
      <c r="E906">
        <v>424006</v>
      </c>
      <c r="F906" t="s">
        <v>1</v>
      </c>
      <c r="G906" t="s">
        <v>2</v>
      </c>
      <c r="H906" t="s">
        <v>5290</v>
      </c>
      <c r="I906" t="s">
        <v>5291</v>
      </c>
      <c r="K906" t="s">
        <v>5292</v>
      </c>
      <c r="P906" t="s">
        <v>1232</v>
      </c>
      <c r="Y906" t="s">
        <v>5293</v>
      </c>
    </row>
    <row r="907" spans="1:25" x14ac:dyDescent="0.25">
      <c r="A907" t="str">
        <f>"1085267826"</f>
        <v>1085267826</v>
      </c>
      <c r="B907" t="s">
        <v>67</v>
      </c>
      <c r="C907" t="s">
        <v>269</v>
      </c>
      <c r="D907" t="s">
        <v>2418</v>
      </c>
      <c r="E907">
        <v>424036</v>
      </c>
      <c r="F907" t="s">
        <v>1</v>
      </c>
      <c r="G907" t="s">
        <v>2</v>
      </c>
      <c r="H907" t="s">
        <v>5294</v>
      </c>
      <c r="I907" t="s">
        <v>5295</v>
      </c>
      <c r="L907" t="s">
        <v>2420</v>
      </c>
      <c r="M907" t="s">
        <v>5296</v>
      </c>
      <c r="P907" t="s">
        <v>60</v>
      </c>
      <c r="Q907" t="s">
        <v>2422</v>
      </c>
      <c r="R907" t="s">
        <v>2423</v>
      </c>
      <c r="S907" t="s">
        <v>2424</v>
      </c>
      <c r="T907" t="s">
        <v>2425</v>
      </c>
      <c r="V907" t="s">
        <v>2426</v>
      </c>
      <c r="Y907" t="s">
        <v>5297</v>
      </c>
    </row>
    <row r="908" spans="1:25" x14ac:dyDescent="0.25">
      <c r="A908" t="str">
        <f>"1085369277"</f>
        <v>1085369277</v>
      </c>
      <c r="B908" t="s">
        <v>328</v>
      </c>
      <c r="C908" t="s">
        <v>5300</v>
      </c>
      <c r="D908" t="s">
        <v>5298</v>
      </c>
      <c r="E908">
        <v>424007</v>
      </c>
      <c r="F908" t="s">
        <v>1</v>
      </c>
      <c r="G908" t="s">
        <v>2</v>
      </c>
      <c r="H908" t="s">
        <v>3243</v>
      </c>
      <c r="I908" t="s">
        <v>5299</v>
      </c>
      <c r="P908" t="s">
        <v>27</v>
      </c>
      <c r="Y908" t="s">
        <v>3249</v>
      </c>
    </row>
    <row r="909" spans="1:25" x14ac:dyDescent="0.25">
      <c r="A909" t="str">
        <f>"1085392675"</f>
        <v>1085392675</v>
      </c>
      <c r="B909" t="s">
        <v>328</v>
      </c>
      <c r="C909" t="s">
        <v>5303</v>
      </c>
      <c r="D909" t="s">
        <v>5301</v>
      </c>
      <c r="F909" t="s">
        <v>1</v>
      </c>
      <c r="G909" t="s">
        <v>2</v>
      </c>
      <c r="H909" t="s">
        <v>3696</v>
      </c>
      <c r="I909" t="s">
        <v>5302</v>
      </c>
      <c r="P909" t="s">
        <v>9</v>
      </c>
      <c r="Y909" t="s">
        <v>3701</v>
      </c>
    </row>
    <row r="910" spans="1:25" x14ac:dyDescent="0.25">
      <c r="A910" t="str">
        <f>"1085405425"</f>
        <v>1085405425</v>
      </c>
      <c r="B910" t="s">
        <v>2846</v>
      </c>
      <c r="C910" t="s">
        <v>5305</v>
      </c>
      <c r="D910" t="s">
        <v>5304</v>
      </c>
      <c r="E910">
        <v>424008</v>
      </c>
      <c r="F910" t="s">
        <v>1</v>
      </c>
      <c r="G910" t="s">
        <v>2</v>
      </c>
      <c r="H910" t="s">
        <v>1031</v>
      </c>
      <c r="Y910" t="s">
        <v>5306</v>
      </c>
    </row>
    <row r="911" spans="1:25" x14ac:dyDescent="0.25">
      <c r="A911" t="str">
        <f>"1085507635"</f>
        <v>1085507635</v>
      </c>
      <c r="B911" t="s">
        <v>1343</v>
      </c>
      <c r="C911" t="s">
        <v>5308</v>
      </c>
      <c r="D911" t="s">
        <v>5307</v>
      </c>
      <c r="E911">
        <v>424918</v>
      </c>
      <c r="F911" t="s">
        <v>1</v>
      </c>
      <c r="G911" t="s">
        <v>2</v>
      </c>
      <c r="H911" t="s">
        <v>629</v>
      </c>
      <c r="P911" t="s">
        <v>5309</v>
      </c>
      <c r="Y911" t="s">
        <v>1744</v>
      </c>
    </row>
    <row r="912" spans="1:25" x14ac:dyDescent="0.25">
      <c r="A912" t="str">
        <f>"1085675066"</f>
        <v>1085675066</v>
      </c>
      <c r="B912" t="s">
        <v>417</v>
      </c>
      <c r="C912" t="s">
        <v>418</v>
      </c>
      <c r="D912" t="s">
        <v>5310</v>
      </c>
      <c r="E912">
        <v>424003</v>
      </c>
      <c r="F912" t="s">
        <v>1</v>
      </c>
      <c r="G912" t="s">
        <v>2</v>
      </c>
      <c r="H912" t="s">
        <v>5311</v>
      </c>
      <c r="I912" t="s">
        <v>5312</v>
      </c>
      <c r="L912" t="s">
        <v>5313</v>
      </c>
      <c r="M912" t="s">
        <v>5314</v>
      </c>
      <c r="P912" t="s">
        <v>27</v>
      </c>
      <c r="Y912" t="s">
        <v>5315</v>
      </c>
    </row>
    <row r="913" spans="1:25" x14ac:dyDescent="0.25">
      <c r="A913" t="str">
        <f>"1085722609"</f>
        <v>1085722609</v>
      </c>
      <c r="B913" t="s">
        <v>417</v>
      </c>
      <c r="C913" t="s">
        <v>418</v>
      </c>
      <c r="D913" t="s">
        <v>5316</v>
      </c>
      <c r="E913">
        <v>424036</v>
      </c>
      <c r="F913" t="s">
        <v>1</v>
      </c>
      <c r="G913" t="s">
        <v>2</v>
      </c>
      <c r="H913" t="s">
        <v>5317</v>
      </c>
      <c r="I913" t="s">
        <v>5318</v>
      </c>
      <c r="J913" t="s">
        <v>5319</v>
      </c>
      <c r="L913" t="s">
        <v>5320</v>
      </c>
      <c r="M913" t="s">
        <v>5321</v>
      </c>
      <c r="P913" t="s">
        <v>2879</v>
      </c>
      <c r="Q913" t="s">
        <v>5322</v>
      </c>
      <c r="Y913" t="s">
        <v>5323</v>
      </c>
    </row>
    <row r="914" spans="1:25" x14ac:dyDescent="0.25">
      <c r="A914" t="str">
        <f>"1085788660"</f>
        <v>1085788660</v>
      </c>
      <c r="B914" t="s">
        <v>797</v>
      </c>
      <c r="C914" t="s">
        <v>5123</v>
      </c>
      <c r="D914" t="s">
        <v>5324</v>
      </c>
      <c r="E914">
        <v>424003</v>
      </c>
      <c r="F914" t="s">
        <v>1</v>
      </c>
      <c r="G914" t="s">
        <v>2</v>
      </c>
      <c r="H914" t="s">
        <v>5325</v>
      </c>
      <c r="I914" t="s">
        <v>5326</v>
      </c>
      <c r="P914" t="s">
        <v>2406</v>
      </c>
      <c r="Y914" t="s">
        <v>5327</v>
      </c>
    </row>
    <row r="915" spans="1:25" x14ac:dyDescent="0.25">
      <c r="A915" t="str">
        <f>"1085842131"</f>
        <v>1085842131</v>
      </c>
      <c r="B915" t="s">
        <v>96</v>
      </c>
      <c r="C915" t="s">
        <v>507</v>
      </c>
      <c r="D915" t="s">
        <v>5328</v>
      </c>
      <c r="E915">
        <v>424002</v>
      </c>
      <c r="F915" t="s">
        <v>1</v>
      </c>
      <c r="G915" t="s">
        <v>2</v>
      </c>
      <c r="H915" t="s">
        <v>5162</v>
      </c>
      <c r="J915" t="s">
        <v>5329</v>
      </c>
      <c r="L915" t="s">
        <v>5330</v>
      </c>
      <c r="M915" t="s">
        <v>5331</v>
      </c>
      <c r="P915" t="s">
        <v>5332</v>
      </c>
      <c r="Q915" t="s">
        <v>5333</v>
      </c>
      <c r="V915" t="s">
        <v>5334</v>
      </c>
      <c r="Y915" t="s">
        <v>5335</v>
      </c>
    </row>
    <row r="916" spans="1:25" x14ac:dyDescent="0.25">
      <c r="A916" t="str">
        <f>"1085898295"</f>
        <v>1085898295</v>
      </c>
      <c r="B916" t="s">
        <v>1315</v>
      </c>
      <c r="C916" t="s">
        <v>5340</v>
      </c>
      <c r="D916" t="s">
        <v>5336</v>
      </c>
      <c r="E916">
        <v>424007</v>
      </c>
      <c r="F916" t="s">
        <v>1</v>
      </c>
      <c r="G916" t="s">
        <v>2</v>
      </c>
      <c r="H916" t="s">
        <v>1085</v>
      </c>
      <c r="I916" t="s">
        <v>5337</v>
      </c>
      <c r="L916" t="s">
        <v>5338</v>
      </c>
      <c r="M916" t="s">
        <v>5339</v>
      </c>
      <c r="P916" t="s">
        <v>280</v>
      </c>
      <c r="Y916" t="s">
        <v>5341</v>
      </c>
    </row>
    <row r="917" spans="1:25" x14ac:dyDescent="0.25">
      <c r="A917" t="str">
        <f>"1085899338"</f>
        <v>1085899338</v>
      </c>
      <c r="B917" t="s">
        <v>243</v>
      </c>
      <c r="C917" t="s">
        <v>2538</v>
      </c>
      <c r="D917" t="s">
        <v>5342</v>
      </c>
      <c r="E917">
        <v>424004</v>
      </c>
      <c r="F917" t="s">
        <v>1</v>
      </c>
      <c r="G917" t="s">
        <v>2</v>
      </c>
      <c r="H917" t="s">
        <v>186</v>
      </c>
      <c r="I917" t="s">
        <v>5343</v>
      </c>
      <c r="L917" t="s">
        <v>5344</v>
      </c>
      <c r="P917" t="s">
        <v>27</v>
      </c>
      <c r="Q917" t="s">
        <v>5345</v>
      </c>
      <c r="R917" t="s">
        <v>5346</v>
      </c>
      <c r="V917" t="s">
        <v>5347</v>
      </c>
      <c r="Y917" t="s">
        <v>5348</v>
      </c>
    </row>
    <row r="918" spans="1:25" x14ac:dyDescent="0.25">
      <c r="A918" t="str">
        <f>"1085971662"</f>
        <v>1085971662</v>
      </c>
      <c r="B918" t="s">
        <v>574</v>
      </c>
      <c r="C918" t="s">
        <v>646</v>
      </c>
      <c r="D918" t="s">
        <v>5349</v>
      </c>
      <c r="F918" t="s">
        <v>1</v>
      </c>
      <c r="G918" t="s">
        <v>2</v>
      </c>
      <c r="H918" t="s">
        <v>5350</v>
      </c>
      <c r="P918" t="s">
        <v>330</v>
      </c>
      <c r="Y918" t="s">
        <v>5351</v>
      </c>
    </row>
    <row r="919" spans="1:25" x14ac:dyDescent="0.25">
      <c r="A919" t="str">
        <f>"1086182961"</f>
        <v>1086182961</v>
      </c>
      <c r="B919" t="s">
        <v>319</v>
      </c>
      <c r="C919" t="s">
        <v>320</v>
      </c>
      <c r="D919" t="s">
        <v>5352</v>
      </c>
      <c r="E919">
        <v>424031</v>
      </c>
      <c r="F919" t="s">
        <v>1</v>
      </c>
      <c r="G919" t="s">
        <v>2</v>
      </c>
      <c r="H919" t="s">
        <v>5353</v>
      </c>
      <c r="I919" t="s">
        <v>5354</v>
      </c>
      <c r="P919" t="s">
        <v>2561</v>
      </c>
      <c r="Y919" t="s">
        <v>5355</v>
      </c>
    </row>
    <row r="920" spans="1:25" x14ac:dyDescent="0.25">
      <c r="A920" t="str">
        <f>"1086201656"</f>
        <v>1086201656</v>
      </c>
      <c r="B920" t="s">
        <v>553</v>
      </c>
      <c r="C920" t="s">
        <v>554</v>
      </c>
      <c r="D920" t="s">
        <v>5356</v>
      </c>
      <c r="E920">
        <v>424031</v>
      </c>
      <c r="F920" t="s">
        <v>1</v>
      </c>
      <c r="G920" t="s">
        <v>2</v>
      </c>
      <c r="H920" t="s">
        <v>1524</v>
      </c>
      <c r="I920" t="s">
        <v>5357</v>
      </c>
      <c r="Y920" t="s">
        <v>5358</v>
      </c>
    </row>
    <row r="921" spans="1:25" x14ac:dyDescent="0.25">
      <c r="A921" t="str">
        <f>"1086207060"</f>
        <v>1086207060</v>
      </c>
      <c r="B921" t="s">
        <v>1230</v>
      </c>
      <c r="C921" t="s">
        <v>2526</v>
      </c>
      <c r="D921" t="s">
        <v>5359</v>
      </c>
      <c r="E921">
        <v>424002</v>
      </c>
      <c r="F921" t="s">
        <v>1</v>
      </c>
      <c r="G921" t="s">
        <v>2</v>
      </c>
      <c r="H921" t="s">
        <v>5360</v>
      </c>
      <c r="Y921" t="s">
        <v>5361</v>
      </c>
    </row>
    <row r="922" spans="1:25" x14ac:dyDescent="0.25">
      <c r="A922" t="str">
        <f>"1086212379"</f>
        <v>1086212379</v>
      </c>
      <c r="B922" t="s">
        <v>25</v>
      </c>
      <c r="C922" t="s">
        <v>1005</v>
      </c>
      <c r="D922" t="s">
        <v>5362</v>
      </c>
      <c r="E922">
        <v>424028</v>
      </c>
      <c r="F922" t="s">
        <v>1</v>
      </c>
      <c r="G922" t="s">
        <v>2</v>
      </c>
      <c r="H922" t="s">
        <v>1260</v>
      </c>
      <c r="I922" t="s">
        <v>5363</v>
      </c>
      <c r="P922" t="s">
        <v>280</v>
      </c>
      <c r="Y922" t="s">
        <v>1264</v>
      </c>
    </row>
    <row r="923" spans="1:25" x14ac:dyDescent="0.25">
      <c r="A923" t="str">
        <f>"1086241101"</f>
        <v>1086241101</v>
      </c>
      <c r="B923" t="s">
        <v>334</v>
      </c>
      <c r="C923" t="s">
        <v>5366</v>
      </c>
      <c r="D923" t="s">
        <v>5364</v>
      </c>
      <c r="E923">
        <v>424004</v>
      </c>
      <c r="F923" t="s">
        <v>1</v>
      </c>
      <c r="G923" t="s">
        <v>2</v>
      </c>
      <c r="H923" t="s">
        <v>229</v>
      </c>
      <c r="I923" t="s">
        <v>5365</v>
      </c>
      <c r="P923" t="s">
        <v>260</v>
      </c>
      <c r="Y923" t="s">
        <v>237</v>
      </c>
    </row>
    <row r="924" spans="1:25" x14ac:dyDescent="0.25">
      <c r="A924" t="str">
        <f>"1086379278"</f>
        <v>1086379278</v>
      </c>
      <c r="B924" t="s">
        <v>417</v>
      </c>
      <c r="C924" t="s">
        <v>418</v>
      </c>
      <c r="D924" t="s">
        <v>5367</v>
      </c>
      <c r="E924">
        <v>424003</v>
      </c>
      <c r="F924" t="s">
        <v>1</v>
      </c>
      <c r="G924" t="s">
        <v>2</v>
      </c>
      <c r="H924" t="s">
        <v>5368</v>
      </c>
      <c r="I924" t="s">
        <v>5369</v>
      </c>
      <c r="L924" t="s">
        <v>5370</v>
      </c>
      <c r="M924" t="s">
        <v>5371</v>
      </c>
      <c r="P924" t="s">
        <v>4093</v>
      </c>
      <c r="Y924" t="s">
        <v>5372</v>
      </c>
    </row>
    <row r="925" spans="1:25" x14ac:dyDescent="0.25">
      <c r="A925" t="str">
        <f>"1086529686"</f>
        <v>1086529686</v>
      </c>
      <c r="B925" t="s">
        <v>2601</v>
      </c>
      <c r="C925" t="s">
        <v>5375</v>
      </c>
      <c r="D925" t="s">
        <v>5373</v>
      </c>
      <c r="E925">
        <v>424006</v>
      </c>
      <c r="F925" t="s">
        <v>1</v>
      </c>
      <c r="G925" t="s">
        <v>2</v>
      </c>
      <c r="H925" t="s">
        <v>3330</v>
      </c>
      <c r="I925" t="s">
        <v>5374</v>
      </c>
      <c r="Y925" t="s">
        <v>5376</v>
      </c>
    </row>
    <row r="926" spans="1:25" x14ac:dyDescent="0.25">
      <c r="A926" t="str">
        <f>"1086572804"</f>
        <v>1086572804</v>
      </c>
      <c r="B926" t="s">
        <v>1046</v>
      </c>
      <c r="C926" t="s">
        <v>2695</v>
      </c>
      <c r="D926" t="s">
        <v>5377</v>
      </c>
      <c r="E926">
        <v>424008</v>
      </c>
      <c r="F926" t="s">
        <v>1</v>
      </c>
      <c r="G926" t="s">
        <v>2</v>
      </c>
      <c r="H926" t="s">
        <v>5378</v>
      </c>
      <c r="I926" t="s">
        <v>5379</v>
      </c>
      <c r="M926" t="s">
        <v>2694</v>
      </c>
      <c r="P926" t="s">
        <v>330</v>
      </c>
      <c r="Y926" t="s">
        <v>5380</v>
      </c>
    </row>
    <row r="927" spans="1:25" x14ac:dyDescent="0.25">
      <c r="A927" t="str">
        <f>"1086690949"</f>
        <v>1086690949</v>
      </c>
      <c r="B927" t="s">
        <v>319</v>
      </c>
      <c r="C927" t="s">
        <v>320</v>
      </c>
      <c r="D927" t="s">
        <v>2556</v>
      </c>
      <c r="E927">
        <v>424002</v>
      </c>
      <c r="F927" t="s">
        <v>1</v>
      </c>
      <c r="G927" t="s">
        <v>2</v>
      </c>
      <c r="H927" t="s">
        <v>5381</v>
      </c>
      <c r="I927" t="s">
        <v>5382</v>
      </c>
      <c r="L927" t="s">
        <v>2559</v>
      </c>
      <c r="M927" t="s">
        <v>2560</v>
      </c>
      <c r="P927" t="s">
        <v>5383</v>
      </c>
      <c r="Y927" t="s">
        <v>5384</v>
      </c>
    </row>
    <row r="928" spans="1:25" x14ac:dyDescent="0.25">
      <c r="A928" t="str">
        <f>"1086856708"</f>
        <v>1086856708</v>
      </c>
      <c r="B928" t="s">
        <v>1544</v>
      </c>
      <c r="C928" t="s">
        <v>5388</v>
      </c>
      <c r="D928" t="s">
        <v>5385</v>
      </c>
      <c r="E928">
        <v>424031</v>
      </c>
      <c r="F928" t="s">
        <v>1</v>
      </c>
      <c r="G928" t="s">
        <v>2</v>
      </c>
      <c r="H928" t="s">
        <v>5386</v>
      </c>
      <c r="I928" t="s">
        <v>5387</v>
      </c>
      <c r="P928" t="s">
        <v>5084</v>
      </c>
      <c r="Y928" t="s">
        <v>5389</v>
      </c>
    </row>
    <row r="929" spans="1:25" x14ac:dyDescent="0.25">
      <c r="A929" t="str">
        <f>"1087075295"</f>
        <v>1087075295</v>
      </c>
      <c r="B929" t="s">
        <v>574</v>
      </c>
      <c r="C929" t="s">
        <v>646</v>
      </c>
      <c r="D929" t="s">
        <v>5390</v>
      </c>
      <c r="E929">
        <v>424038</v>
      </c>
      <c r="F929" t="s">
        <v>1</v>
      </c>
      <c r="G929" t="s">
        <v>2</v>
      </c>
      <c r="H929" t="s">
        <v>5391</v>
      </c>
      <c r="I929" t="s">
        <v>5392</v>
      </c>
      <c r="P929" t="s">
        <v>2050</v>
      </c>
      <c r="Y929" t="s">
        <v>5393</v>
      </c>
    </row>
    <row r="930" spans="1:25" x14ac:dyDescent="0.25">
      <c r="A930" t="str">
        <f>"1087413886"</f>
        <v>1087413886</v>
      </c>
      <c r="B930" t="s">
        <v>224</v>
      </c>
      <c r="C930" t="s">
        <v>4139</v>
      </c>
      <c r="D930" t="s">
        <v>5394</v>
      </c>
      <c r="E930">
        <v>424007</v>
      </c>
      <c r="F930" t="s">
        <v>1</v>
      </c>
      <c r="G930" t="s">
        <v>2</v>
      </c>
      <c r="H930" t="s">
        <v>1085</v>
      </c>
      <c r="J930" t="s">
        <v>5395</v>
      </c>
      <c r="P930" t="s">
        <v>5396</v>
      </c>
      <c r="Y930" t="s">
        <v>1412</v>
      </c>
    </row>
    <row r="931" spans="1:25" x14ac:dyDescent="0.25">
      <c r="A931" t="str">
        <f>"1087547526"</f>
        <v>1087547526</v>
      </c>
      <c r="B931" t="s">
        <v>930</v>
      </c>
      <c r="C931" t="s">
        <v>5401</v>
      </c>
      <c r="D931" t="s">
        <v>5397</v>
      </c>
      <c r="E931">
        <v>424000</v>
      </c>
      <c r="F931" t="s">
        <v>1</v>
      </c>
      <c r="G931" t="s">
        <v>2</v>
      </c>
      <c r="H931" t="s">
        <v>5398</v>
      </c>
      <c r="I931" t="s">
        <v>5399</v>
      </c>
      <c r="M931" t="s">
        <v>5400</v>
      </c>
      <c r="P931" t="s">
        <v>260</v>
      </c>
      <c r="Y931" t="s">
        <v>5402</v>
      </c>
    </row>
    <row r="932" spans="1:25" x14ac:dyDescent="0.25">
      <c r="A932" t="str">
        <f>"1087607362"</f>
        <v>1087607362</v>
      </c>
      <c r="B932" t="s">
        <v>1078</v>
      </c>
      <c r="C932" t="s">
        <v>5405</v>
      </c>
      <c r="D932" t="s">
        <v>5403</v>
      </c>
      <c r="E932">
        <v>424008</v>
      </c>
      <c r="F932" t="s">
        <v>1</v>
      </c>
      <c r="G932" t="s">
        <v>2</v>
      </c>
      <c r="H932" t="s">
        <v>1031</v>
      </c>
      <c r="I932" t="s">
        <v>5404</v>
      </c>
      <c r="P932" t="s">
        <v>5406</v>
      </c>
      <c r="Y932" t="s">
        <v>5407</v>
      </c>
    </row>
    <row r="933" spans="1:25" x14ac:dyDescent="0.25">
      <c r="A933" t="str">
        <f>"1087660619"</f>
        <v>1087660619</v>
      </c>
      <c r="B933" t="s">
        <v>687</v>
      </c>
      <c r="C933" t="s">
        <v>5413</v>
      </c>
      <c r="D933" t="s">
        <v>5408</v>
      </c>
      <c r="E933">
        <v>424006</v>
      </c>
      <c r="F933" t="s">
        <v>1</v>
      </c>
      <c r="G933" t="s">
        <v>2</v>
      </c>
      <c r="H933" t="s">
        <v>2825</v>
      </c>
      <c r="I933" t="s">
        <v>5409</v>
      </c>
      <c r="K933" t="s">
        <v>5410</v>
      </c>
      <c r="L933" t="s">
        <v>5411</v>
      </c>
      <c r="M933" t="s">
        <v>5412</v>
      </c>
      <c r="P933" t="s">
        <v>27</v>
      </c>
      <c r="Q933" t="s">
        <v>5414</v>
      </c>
      <c r="Y933" t="s">
        <v>2832</v>
      </c>
    </row>
    <row r="934" spans="1:25" x14ac:dyDescent="0.25">
      <c r="A934" t="str">
        <f>"1087868127"</f>
        <v>1087868127</v>
      </c>
      <c r="B934" t="s">
        <v>1222</v>
      </c>
      <c r="C934" t="s">
        <v>5418</v>
      </c>
      <c r="D934" t="s">
        <v>5415</v>
      </c>
      <c r="E934">
        <v>424002</v>
      </c>
      <c r="F934" t="s">
        <v>1</v>
      </c>
      <c r="G934" t="s">
        <v>2</v>
      </c>
      <c r="H934" t="s">
        <v>5416</v>
      </c>
      <c r="I934" t="s">
        <v>5417</v>
      </c>
      <c r="P934" t="s">
        <v>27</v>
      </c>
      <c r="Y934" t="s">
        <v>5419</v>
      </c>
    </row>
    <row r="935" spans="1:25" x14ac:dyDescent="0.25">
      <c r="A935" t="str">
        <f>"1087880338"</f>
        <v>1087880338</v>
      </c>
      <c r="B935" t="s">
        <v>447</v>
      </c>
      <c r="C935" t="s">
        <v>448</v>
      </c>
      <c r="D935" t="s">
        <v>5420</v>
      </c>
      <c r="E935">
        <v>424002</v>
      </c>
      <c r="F935" t="s">
        <v>1</v>
      </c>
      <c r="G935" t="s">
        <v>2</v>
      </c>
      <c r="H935" t="s">
        <v>1190</v>
      </c>
      <c r="I935" t="s">
        <v>5421</v>
      </c>
      <c r="Y935" t="s">
        <v>1193</v>
      </c>
    </row>
    <row r="936" spans="1:25" x14ac:dyDescent="0.25">
      <c r="A936" t="str">
        <f>"1087921930"</f>
        <v>1087921930</v>
      </c>
      <c r="B936" t="s">
        <v>1182</v>
      </c>
      <c r="C936" t="s">
        <v>1499</v>
      </c>
      <c r="D936" t="s">
        <v>5422</v>
      </c>
      <c r="E936">
        <v>424007</v>
      </c>
      <c r="F936" t="s">
        <v>1</v>
      </c>
      <c r="G936" t="s">
        <v>2</v>
      </c>
      <c r="H936" t="s">
        <v>1566</v>
      </c>
      <c r="I936" t="s">
        <v>5423</v>
      </c>
      <c r="Y936" t="s">
        <v>2882</v>
      </c>
    </row>
    <row r="937" spans="1:25" x14ac:dyDescent="0.25">
      <c r="A937" t="str">
        <f>"1088172373"</f>
        <v>1088172373</v>
      </c>
      <c r="B937" t="s">
        <v>243</v>
      </c>
      <c r="C937" t="s">
        <v>2538</v>
      </c>
      <c r="D937" t="s">
        <v>5424</v>
      </c>
      <c r="E937">
        <v>424020</v>
      </c>
      <c r="F937" t="s">
        <v>1</v>
      </c>
      <c r="G937" t="s">
        <v>2</v>
      </c>
      <c r="H937" t="s">
        <v>1837</v>
      </c>
      <c r="J937" t="s">
        <v>5425</v>
      </c>
      <c r="P937" t="s">
        <v>27</v>
      </c>
      <c r="Y937" t="s">
        <v>1842</v>
      </c>
    </row>
    <row r="938" spans="1:25" x14ac:dyDescent="0.25">
      <c r="A938" t="str">
        <f>"1088229451"</f>
        <v>1088229451</v>
      </c>
      <c r="B938" t="s">
        <v>624</v>
      </c>
      <c r="C938" t="s">
        <v>2640</v>
      </c>
      <c r="D938" t="s">
        <v>5426</v>
      </c>
      <c r="E938">
        <v>424003</v>
      </c>
      <c r="F938" t="s">
        <v>1</v>
      </c>
      <c r="G938" t="s">
        <v>2</v>
      </c>
      <c r="H938" t="s">
        <v>4546</v>
      </c>
      <c r="Y938" t="s">
        <v>5427</v>
      </c>
    </row>
    <row r="939" spans="1:25" x14ac:dyDescent="0.25">
      <c r="A939" t="str">
        <f>"1088261535"</f>
        <v>1088261535</v>
      </c>
      <c r="B939" t="s">
        <v>462</v>
      </c>
      <c r="C939" t="s">
        <v>463</v>
      </c>
      <c r="D939" t="s">
        <v>5428</v>
      </c>
      <c r="E939">
        <v>424005</v>
      </c>
      <c r="F939" t="s">
        <v>1</v>
      </c>
      <c r="G939" t="s">
        <v>2</v>
      </c>
      <c r="H939" t="s">
        <v>5429</v>
      </c>
      <c r="I939" t="s">
        <v>5430</v>
      </c>
      <c r="P939" t="s">
        <v>20</v>
      </c>
      <c r="Y939" t="s">
        <v>5431</v>
      </c>
    </row>
    <row r="940" spans="1:25" x14ac:dyDescent="0.25">
      <c r="A940" t="str">
        <f>"1088420737"</f>
        <v>1088420737</v>
      </c>
      <c r="B940" t="s">
        <v>3094</v>
      </c>
      <c r="C940" t="s">
        <v>3095</v>
      </c>
      <c r="D940" t="s">
        <v>5432</v>
      </c>
      <c r="E940">
        <v>424033</v>
      </c>
      <c r="F940" t="s">
        <v>1</v>
      </c>
      <c r="G940" t="s">
        <v>2</v>
      </c>
      <c r="H940" t="s">
        <v>5433</v>
      </c>
      <c r="I940" t="s">
        <v>5434</v>
      </c>
      <c r="L940" t="s">
        <v>5435</v>
      </c>
      <c r="M940" t="s">
        <v>5436</v>
      </c>
      <c r="P940" t="s">
        <v>280</v>
      </c>
      <c r="Q940" t="s">
        <v>5437</v>
      </c>
      <c r="Y940" t="s">
        <v>5438</v>
      </c>
    </row>
    <row r="941" spans="1:25" x14ac:dyDescent="0.25">
      <c r="A941" t="str">
        <f>"1088498471"</f>
        <v>1088498471</v>
      </c>
      <c r="B941" t="s">
        <v>5443</v>
      </c>
      <c r="C941" t="s">
        <v>5444</v>
      </c>
      <c r="D941" t="s">
        <v>5439</v>
      </c>
      <c r="E941">
        <v>424000</v>
      </c>
      <c r="F941" t="s">
        <v>1</v>
      </c>
      <c r="G941" t="s">
        <v>2</v>
      </c>
      <c r="H941" t="s">
        <v>1473</v>
      </c>
      <c r="I941" t="s">
        <v>5440</v>
      </c>
      <c r="L941" t="s">
        <v>5441</v>
      </c>
      <c r="M941" t="s">
        <v>5442</v>
      </c>
      <c r="P941" t="s">
        <v>941</v>
      </c>
      <c r="Q941" t="s">
        <v>5445</v>
      </c>
      <c r="Y941" t="s">
        <v>5446</v>
      </c>
    </row>
    <row r="942" spans="1:25" x14ac:dyDescent="0.25">
      <c r="A942" t="str">
        <f>"1088506547"</f>
        <v>1088506547</v>
      </c>
      <c r="B942" t="s">
        <v>18</v>
      </c>
      <c r="C942" t="s">
        <v>2593</v>
      </c>
      <c r="D942" t="s">
        <v>5447</v>
      </c>
      <c r="E942">
        <v>424004</v>
      </c>
      <c r="F942" t="s">
        <v>1</v>
      </c>
      <c r="G942" t="s">
        <v>2</v>
      </c>
      <c r="H942" t="s">
        <v>351</v>
      </c>
      <c r="I942" t="s">
        <v>5448</v>
      </c>
      <c r="P942" t="s">
        <v>280</v>
      </c>
      <c r="Y942" t="s">
        <v>354</v>
      </c>
    </row>
    <row r="943" spans="1:25" x14ac:dyDescent="0.25">
      <c r="A943" t="str">
        <f>"1088568740"</f>
        <v>1088568740</v>
      </c>
      <c r="B943" t="s">
        <v>18</v>
      </c>
      <c r="C943" t="s">
        <v>964</v>
      </c>
      <c r="D943" t="s">
        <v>5449</v>
      </c>
      <c r="E943">
        <v>424007</v>
      </c>
      <c r="F943" t="s">
        <v>1</v>
      </c>
      <c r="G943" t="s">
        <v>2</v>
      </c>
      <c r="H943" t="s">
        <v>5450</v>
      </c>
      <c r="I943" t="s">
        <v>5451</v>
      </c>
      <c r="Y943" t="s">
        <v>5452</v>
      </c>
    </row>
    <row r="944" spans="1:25" x14ac:dyDescent="0.25">
      <c r="A944" t="str">
        <f>"1088762231"</f>
        <v>1088762231</v>
      </c>
      <c r="B944" t="s">
        <v>456</v>
      </c>
      <c r="C944" t="s">
        <v>2040</v>
      </c>
      <c r="D944" t="s">
        <v>5453</v>
      </c>
      <c r="E944">
        <v>424003</v>
      </c>
      <c r="F944" t="s">
        <v>1</v>
      </c>
      <c r="G944" t="s">
        <v>2</v>
      </c>
      <c r="H944" t="s">
        <v>1725</v>
      </c>
      <c r="I944" t="s">
        <v>5454</v>
      </c>
      <c r="P944" t="s">
        <v>330</v>
      </c>
      <c r="Y944" t="s">
        <v>5455</v>
      </c>
    </row>
    <row r="945" spans="1:25" x14ac:dyDescent="0.25">
      <c r="A945" t="str">
        <f>"1088828418"</f>
        <v>1088828418</v>
      </c>
      <c r="B945" t="s">
        <v>110</v>
      </c>
      <c r="C945" t="s">
        <v>5458</v>
      </c>
      <c r="D945" t="s">
        <v>5456</v>
      </c>
      <c r="E945">
        <v>424031</v>
      </c>
      <c r="F945" t="s">
        <v>1</v>
      </c>
      <c r="G945" t="s">
        <v>2</v>
      </c>
      <c r="H945" t="s">
        <v>4622</v>
      </c>
      <c r="I945" t="s">
        <v>5457</v>
      </c>
      <c r="P945" t="s">
        <v>5459</v>
      </c>
      <c r="Y945" t="s">
        <v>5460</v>
      </c>
    </row>
    <row r="946" spans="1:25" x14ac:dyDescent="0.25">
      <c r="A946" t="str">
        <f>"1088887814"</f>
        <v>1088887814</v>
      </c>
      <c r="B946" t="s">
        <v>18</v>
      </c>
      <c r="C946" t="s">
        <v>5463</v>
      </c>
      <c r="D946" t="s">
        <v>5461</v>
      </c>
      <c r="E946">
        <v>424002</v>
      </c>
      <c r="F946" t="s">
        <v>1</v>
      </c>
      <c r="G946" t="s">
        <v>2</v>
      </c>
      <c r="H946" t="s">
        <v>744</v>
      </c>
      <c r="I946" t="s">
        <v>5462</v>
      </c>
      <c r="P946" t="s">
        <v>748</v>
      </c>
      <c r="Y946" t="s">
        <v>5464</v>
      </c>
    </row>
    <row r="947" spans="1:25" x14ac:dyDescent="0.25">
      <c r="A947" t="str">
        <f>"1088943458"</f>
        <v>1088943458</v>
      </c>
      <c r="B947" t="s">
        <v>1475</v>
      </c>
      <c r="C947" t="s">
        <v>1476</v>
      </c>
      <c r="D947" t="s">
        <v>5465</v>
      </c>
      <c r="E947">
        <v>424000</v>
      </c>
      <c r="F947" t="s">
        <v>1</v>
      </c>
      <c r="G947" t="s">
        <v>2</v>
      </c>
      <c r="H947" t="s">
        <v>1531</v>
      </c>
      <c r="P947" t="s">
        <v>941</v>
      </c>
      <c r="Y947" t="s">
        <v>5466</v>
      </c>
    </row>
    <row r="948" spans="1:25" x14ac:dyDescent="0.25">
      <c r="A948" t="str">
        <f>"1089094364"</f>
        <v>1089094364</v>
      </c>
      <c r="B948" t="s">
        <v>447</v>
      </c>
      <c r="C948" t="s">
        <v>448</v>
      </c>
      <c r="D948" t="s">
        <v>5467</v>
      </c>
      <c r="F948" t="s">
        <v>1</v>
      </c>
      <c r="G948" t="s">
        <v>2</v>
      </c>
      <c r="H948" t="s">
        <v>1600</v>
      </c>
      <c r="I948" t="s">
        <v>5468</v>
      </c>
      <c r="Y948" t="s">
        <v>2417</v>
      </c>
    </row>
    <row r="949" spans="1:25" x14ac:dyDescent="0.25">
      <c r="A949" t="str">
        <f>"1089113701"</f>
        <v>1089113701</v>
      </c>
      <c r="B949" t="s">
        <v>574</v>
      </c>
      <c r="C949" t="s">
        <v>646</v>
      </c>
      <c r="D949" t="s">
        <v>5469</v>
      </c>
      <c r="E949">
        <v>424008</v>
      </c>
      <c r="F949" t="s">
        <v>1</v>
      </c>
      <c r="G949" t="s">
        <v>2</v>
      </c>
      <c r="H949" t="s">
        <v>1031</v>
      </c>
      <c r="I949" t="s">
        <v>5470</v>
      </c>
      <c r="P949" t="s">
        <v>410</v>
      </c>
      <c r="Y949" t="s">
        <v>5471</v>
      </c>
    </row>
    <row r="950" spans="1:25" x14ac:dyDescent="0.25">
      <c r="A950" t="str">
        <f>"1089154874"</f>
        <v>1089154874</v>
      </c>
      <c r="B950" t="s">
        <v>18</v>
      </c>
      <c r="C950" t="s">
        <v>5475</v>
      </c>
      <c r="D950" t="s">
        <v>5472</v>
      </c>
      <c r="E950">
        <v>424007</v>
      </c>
      <c r="F950" t="s">
        <v>1</v>
      </c>
      <c r="G950" t="s">
        <v>2</v>
      </c>
      <c r="H950" t="s">
        <v>1085</v>
      </c>
      <c r="I950" t="s">
        <v>5473</v>
      </c>
      <c r="L950" t="s">
        <v>5474</v>
      </c>
      <c r="P950" t="s">
        <v>584</v>
      </c>
      <c r="Y950" t="s">
        <v>1412</v>
      </c>
    </row>
    <row r="951" spans="1:25" x14ac:dyDescent="0.25">
      <c r="A951" t="str">
        <f>"1089212172"</f>
        <v>1089212172</v>
      </c>
      <c r="B951" t="s">
        <v>110</v>
      </c>
      <c r="C951" t="s">
        <v>111</v>
      </c>
      <c r="D951" t="s">
        <v>5476</v>
      </c>
      <c r="E951">
        <v>424000</v>
      </c>
      <c r="F951" t="s">
        <v>1</v>
      </c>
      <c r="G951" t="s">
        <v>2</v>
      </c>
      <c r="H951" t="s">
        <v>404</v>
      </c>
      <c r="P951" t="s">
        <v>1433</v>
      </c>
      <c r="Y951" t="s">
        <v>5477</v>
      </c>
    </row>
    <row r="952" spans="1:25" x14ac:dyDescent="0.25">
      <c r="A952" t="str">
        <f>"1089416393"</f>
        <v>1089416393</v>
      </c>
      <c r="B952" t="s">
        <v>738</v>
      </c>
      <c r="C952" t="s">
        <v>5482</v>
      </c>
      <c r="D952" t="s">
        <v>5478</v>
      </c>
      <c r="E952">
        <v>424006</v>
      </c>
      <c r="F952" t="s">
        <v>1</v>
      </c>
      <c r="G952" t="s">
        <v>2</v>
      </c>
      <c r="H952" t="s">
        <v>5479</v>
      </c>
      <c r="I952" t="s">
        <v>5480</v>
      </c>
      <c r="L952" t="s">
        <v>597</v>
      </c>
      <c r="M952" t="s">
        <v>5481</v>
      </c>
      <c r="P952" t="s">
        <v>5483</v>
      </c>
      <c r="Y952" t="s">
        <v>5484</v>
      </c>
    </row>
    <row r="953" spans="1:25" x14ac:dyDescent="0.25">
      <c r="A953" t="str">
        <f>"1089645451"</f>
        <v>1089645451</v>
      </c>
      <c r="B953" t="s">
        <v>80</v>
      </c>
      <c r="C953" t="s">
        <v>5487</v>
      </c>
      <c r="D953" t="s">
        <v>1466</v>
      </c>
      <c r="E953">
        <v>424019</v>
      </c>
      <c r="F953" t="s">
        <v>1</v>
      </c>
      <c r="G953" t="s">
        <v>2</v>
      </c>
      <c r="H953" t="s">
        <v>1467</v>
      </c>
      <c r="I953" t="s">
        <v>5485</v>
      </c>
      <c r="L953" t="s">
        <v>5486</v>
      </c>
      <c r="P953" t="s">
        <v>5488</v>
      </c>
      <c r="Q953" t="s">
        <v>5489</v>
      </c>
      <c r="Y953" t="s">
        <v>5490</v>
      </c>
    </row>
    <row r="954" spans="1:25" x14ac:dyDescent="0.25">
      <c r="A954" t="str">
        <f>"1089694116"</f>
        <v>1089694116</v>
      </c>
      <c r="B954" t="s">
        <v>2062</v>
      </c>
      <c r="C954" t="s">
        <v>3293</v>
      </c>
      <c r="D954" t="s">
        <v>5491</v>
      </c>
      <c r="E954">
        <v>424033</v>
      </c>
      <c r="F954" t="s">
        <v>1</v>
      </c>
      <c r="G954" t="s">
        <v>2</v>
      </c>
      <c r="H954" t="s">
        <v>5492</v>
      </c>
      <c r="I954" t="s">
        <v>5493</v>
      </c>
      <c r="L954" t="s">
        <v>5494</v>
      </c>
      <c r="M954" t="s">
        <v>5495</v>
      </c>
      <c r="P954" t="s">
        <v>280</v>
      </c>
      <c r="Y954" t="s">
        <v>5496</v>
      </c>
    </row>
    <row r="955" spans="1:25" x14ac:dyDescent="0.25">
      <c r="A955" t="str">
        <f>"1089764777"</f>
        <v>1089764777</v>
      </c>
      <c r="B955" t="s">
        <v>88</v>
      </c>
      <c r="C955" t="s">
        <v>5500</v>
      </c>
      <c r="D955" t="s">
        <v>5497</v>
      </c>
      <c r="E955">
        <v>424007</v>
      </c>
      <c r="F955" t="s">
        <v>1</v>
      </c>
      <c r="G955" t="s">
        <v>2</v>
      </c>
      <c r="H955" t="s">
        <v>2358</v>
      </c>
      <c r="I955" t="s">
        <v>5498</v>
      </c>
      <c r="J955" t="s">
        <v>5499</v>
      </c>
      <c r="P955" t="s">
        <v>2084</v>
      </c>
      <c r="Y955" t="s">
        <v>5501</v>
      </c>
    </row>
    <row r="956" spans="1:25" x14ac:dyDescent="0.25">
      <c r="A956" t="str">
        <f>"1089819896"</f>
        <v>1089819896</v>
      </c>
      <c r="B956" t="s">
        <v>790</v>
      </c>
      <c r="C956" t="s">
        <v>5506</v>
      </c>
      <c r="D956" t="s">
        <v>5502</v>
      </c>
      <c r="E956">
        <v>424020</v>
      </c>
      <c r="F956" t="s">
        <v>1</v>
      </c>
      <c r="G956" t="s">
        <v>2</v>
      </c>
      <c r="H956" t="s">
        <v>2069</v>
      </c>
      <c r="I956" t="s">
        <v>5503</v>
      </c>
      <c r="L956" t="s">
        <v>5504</v>
      </c>
      <c r="M956" t="s">
        <v>5505</v>
      </c>
      <c r="P956" t="s">
        <v>27</v>
      </c>
      <c r="Y956" t="s">
        <v>5507</v>
      </c>
    </row>
    <row r="957" spans="1:25" x14ac:dyDescent="0.25">
      <c r="A957" t="str">
        <f>"1089935659"</f>
        <v>1089935659</v>
      </c>
      <c r="B957" t="s">
        <v>1391</v>
      </c>
      <c r="C957" t="s">
        <v>1392</v>
      </c>
      <c r="D957" t="s">
        <v>5508</v>
      </c>
      <c r="E957">
        <v>424036</v>
      </c>
      <c r="F957" t="s">
        <v>1</v>
      </c>
      <c r="G957" t="s">
        <v>2</v>
      </c>
      <c r="H957" t="s">
        <v>5509</v>
      </c>
      <c r="I957" t="s">
        <v>3855</v>
      </c>
      <c r="Y957" t="s">
        <v>5510</v>
      </c>
    </row>
    <row r="958" spans="1:25" x14ac:dyDescent="0.25">
      <c r="A958" t="str">
        <f>"1089945836"</f>
        <v>1089945836</v>
      </c>
      <c r="B958" t="s">
        <v>96</v>
      </c>
      <c r="C958" t="s">
        <v>5515</v>
      </c>
      <c r="D958" t="s">
        <v>5511</v>
      </c>
      <c r="E958">
        <v>424000</v>
      </c>
      <c r="F958" t="s">
        <v>1</v>
      </c>
      <c r="G958" t="s">
        <v>2</v>
      </c>
      <c r="H958" t="s">
        <v>2671</v>
      </c>
      <c r="I958" t="s">
        <v>5512</v>
      </c>
      <c r="L958" t="s">
        <v>5513</v>
      </c>
      <c r="M958" t="s">
        <v>5514</v>
      </c>
      <c r="P958" t="s">
        <v>144</v>
      </c>
      <c r="Q958" t="s">
        <v>5516</v>
      </c>
      <c r="R958" t="s">
        <v>5517</v>
      </c>
      <c r="T958" t="s">
        <v>5518</v>
      </c>
      <c r="U958" t="s">
        <v>5519</v>
      </c>
      <c r="V958" t="s">
        <v>5520</v>
      </c>
      <c r="Y958" t="s">
        <v>5521</v>
      </c>
    </row>
    <row r="959" spans="1:25" x14ac:dyDescent="0.25">
      <c r="A959" t="str">
        <f>"1089946147"</f>
        <v>1089946147</v>
      </c>
      <c r="B959" t="s">
        <v>1053</v>
      </c>
      <c r="C959" t="s">
        <v>5528</v>
      </c>
      <c r="D959" t="s">
        <v>5522</v>
      </c>
      <c r="E959">
        <v>424000</v>
      </c>
      <c r="F959" t="s">
        <v>1</v>
      </c>
      <c r="G959" t="s">
        <v>2</v>
      </c>
      <c r="H959" t="s">
        <v>5523</v>
      </c>
      <c r="I959" t="s">
        <v>5524</v>
      </c>
      <c r="J959" t="s">
        <v>5525</v>
      </c>
      <c r="L959" t="s">
        <v>5526</v>
      </c>
      <c r="M959" t="s">
        <v>5527</v>
      </c>
      <c r="P959" t="s">
        <v>152</v>
      </c>
      <c r="Y959" t="s">
        <v>5529</v>
      </c>
    </row>
    <row r="960" spans="1:25" x14ac:dyDescent="0.25">
      <c r="A960" t="str">
        <f>"1090142407"</f>
        <v>1090142407</v>
      </c>
      <c r="B960" t="s">
        <v>1053</v>
      </c>
      <c r="C960" t="s">
        <v>5533</v>
      </c>
      <c r="D960" t="s">
        <v>5530</v>
      </c>
      <c r="E960">
        <v>424004</v>
      </c>
      <c r="F960" t="s">
        <v>1</v>
      </c>
      <c r="G960" t="s">
        <v>2</v>
      </c>
      <c r="H960" t="s">
        <v>3956</v>
      </c>
      <c r="I960" t="s">
        <v>5531</v>
      </c>
      <c r="K960" t="s">
        <v>5532</v>
      </c>
      <c r="P960" t="s">
        <v>20</v>
      </c>
      <c r="Y960" t="s">
        <v>3960</v>
      </c>
    </row>
    <row r="961" spans="1:25" x14ac:dyDescent="0.25">
      <c r="A961" t="str">
        <f>"1090177230"</f>
        <v>1090177230</v>
      </c>
      <c r="B961" t="s">
        <v>151</v>
      </c>
      <c r="C961" t="s">
        <v>151</v>
      </c>
      <c r="D961" t="s">
        <v>5534</v>
      </c>
      <c r="E961">
        <v>424033</v>
      </c>
      <c r="F961" t="s">
        <v>1</v>
      </c>
      <c r="G961" t="s">
        <v>2</v>
      </c>
      <c r="H961" t="s">
        <v>5535</v>
      </c>
      <c r="I961" t="s">
        <v>5536</v>
      </c>
      <c r="P961" t="s">
        <v>5084</v>
      </c>
      <c r="Y961" t="s">
        <v>5537</v>
      </c>
    </row>
    <row r="962" spans="1:25" x14ac:dyDescent="0.25">
      <c r="A962" t="str">
        <f>"1090265345"</f>
        <v>1090265345</v>
      </c>
      <c r="B962" t="s">
        <v>703</v>
      </c>
      <c r="C962" t="s">
        <v>2129</v>
      </c>
      <c r="D962" t="s">
        <v>5538</v>
      </c>
      <c r="F962" t="s">
        <v>1</v>
      </c>
      <c r="G962" t="s">
        <v>2</v>
      </c>
      <c r="H962" t="s">
        <v>5539</v>
      </c>
      <c r="I962" t="s">
        <v>5540</v>
      </c>
      <c r="P962" t="s">
        <v>280</v>
      </c>
      <c r="Y962" t="s">
        <v>5541</v>
      </c>
    </row>
    <row r="963" spans="1:25" x14ac:dyDescent="0.25">
      <c r="A963" t="str">
        <f>"1090330151"</f>
        <v>1090330151</v>
      </c>
      <c r="B963" t="s">
        <v>160</v>
      </c>
      <c r="C963" t="s">
        <v>5544</v>
      </c>
      <c r="D963" t="s">
        <v>5542</v>
      </c>
      <c r="E963">
        <v>424913</v>
      </c>
      <c r="F963" t="s">
        <v>1</v>
      </c>
      <c r="G963" t="s">
        <v>2</v>
      </c>
      <c r="H963" t="s">
        <v>1278</v>
      </c>
      <c r="I963" t="s">
        <v>5543</v>
      </c>
      <c r="Y963" t="s">
        <v>1280</v>
      </c>
    </row>
    <row r="964" spans="1:25" x14ac:dyDescent="0.25">
      <c r="A964" t="str">
        <f>"1090383738"</f>
        <v>1090383738</v>
      </c>
      <c r="B964" t="s">
        <v>447</v>
      </c>
      <c r="C964" t="s">
        <v>448</v>
      </c>
      <c r="D964" t="s">
        <v>5545</v>
      </c>
      <c r="F964" t="s">
        <v>1</v>
      </c>
      <c r="G964" t="s">
        <v>2</v>
      </c>
      <c r="H964" t="s">
        <v>5546</v>
      </c>
      <c r="I964" t="s">
        <v>5547</v>
      </c>
      <c r="Y964" t="s">
        <v>5548</v>
      </c>
    </row>
    <row r="965" spans="1:25" x14ac:dyDescent="0.25">
      <c r="A965" t="str">
        <f>"1090689688"</f>
        <v>1090689688</v>
      </c>
      <c r="B965" t="s">
        <v>1758</v>
      </c>
      <c r="C965" t="s">
        <v>5551</v>
      </c>
      <c r="D965" t="s">
        <v>5549</v>
      </c>
      <c r="E965">
        <v>424006</v>
      </c>
      <c r="F965" t="s">
        <v>1</v>
      </c>
      <c r="G965" t="s">
        <v>2</v>
      </c>
      <c r="H965" t="s">
        <v>3436</v>
      </c>
      <c r="I965" t="s">
        <v>5550</v>
      </c>
      <c r="P965" t="s">
        <v>5552</v>
      </c>
      <c r="Y965" t="s">
        <v>5553</v>
      </c>
    </row>
    <row r="966" spans="1:25" x14ac:dyDescent="0.25">
      <c r="A966" t="str">
        <f>"1090710756"</f>
        <v>1090710756</v>
      </c>
      <c r="B966" t="s">
        <v>7</v>
      </c>
      <c r="C966" t="s">
        <v>5559</v>
      </c>
      <c r="D966" t="s">
        <v>5554</v>
      </c>
      <c r="E966">
        <v>424006</v>
      </c>
      <c r="F966" t="s">
        <v>1</v>
      </c>
      <c r="G966" t="s">
        <v>2</v>
      </c>
      <c r="H966" t="s">
        <v>2012</v>
      </c>
      <c r="I966" t="s">
        <v>5555</v>
      </c>
      <c r="K966" t="s">
        <v>5556</v>
      </c>
      <c r="L966" t="s">
        <v>5557</v>
      </c>
      <c r="M966" t="s">
        <v>5558</v>
      </c>
      <c r="P966" t="s">
        <v>20</v>
      </c>
      <c r="Y966" t="s">
        <v>2016</v>
      </c>
    </row>
    <row r="967" spans="1:25" x14ac:dyDescent="0.25">
      <c r="A967" t="str">
        <f>"1090730332"</f>
        <v>1090730332</v>
      </c>
      <c r="B967" t="s">
        <v>388</v>
      </c>
      <c r="C967" t="s">
        <v>5565</v>
      </c>
      <c r="D967" t="s">
        <v>5560</v>
      </c>
      <c r="E967">
        <v>424016</v>
      </c>
      <c r="F967" t="s">
        <v>1</v>
      </c>
      <c r="G967" t="s">
        <v>2</v>
      </c>
      <c r="H967" t="s">
        <v>5561</v>
      </c>
      <c r="I967" t="s">
        <v>5562</v>
      </c>
      <c r="L967" t="s">
        <v>5563</v>
      </c>
      <c r="M967" t="s">
        <v>5564</v>
      </c>
      <c r="P967" t="s">
        <v>5566</v>
      </c>
      <c r="Y967" t="s">
        <v>5567</v>
      </c>
    </row>
    <row r="968" spans="1:25" x14ac:dyDescent="0.25">
      <c r="A968" t="str">
        <f>"1090763049"</f>
        <v>1090763049</v>
      </c>
      <c r="B968" t="s">
        <v>669</v>
      </c>
      <c r="C968" t="s">
        <v>1292</v>
      </c>
      <c r="D968" t="s">
        <v>5568</v>
      </c>
      <c r="E968">
        <v>424037</v>
      </c>
      <c r="F968" t="s">
        <v>1</v>
      </c>
      <c r="G968" t="s">
        <v>2</v>
      </c>
      <c r="H968" t="s">
        <v>1290</v>
      </c>
      <c r="Y968" t="s">
        <v>2266</v>
      </c>
    </row>
    <row r="969" spans="1:25" x14ac:dyDescent="0.25">
      <c r="A969" t="str">
        <f>"1090911593"</f>
        <v>1090911593</v>
      </c>
      <c r="B969" t="s">
        <v>5573</v>
      </c>
      <c r="C969" t="s">
        <v>5574</v>
      </c>
      <c r="D969" t="s">
        <v>5569</v>
      </c>
      <c r="E969">
        <v>424007</v>
      </c>
      <c r="F969" t="s">
        <v>1</v>
      </c>
      <c r="G969" t="s">
        <v>2</v>
      </c>
      <c r="H969" t="s">
        <v>1085</v>
      </c>
      <c r="I969" t="s">
        <v>5570</v>
      </c>
      <c r="L969" t="s">
        <v>5571</v>
      </c>
      <c r="M969" t="s">
        <v>5572</v>
      </c>
      <c r="P969" t="s">
        <v>5575</v>
      </c>
      <c r="Y969" t="s">
        <v>1412</v>
      </c>
    </row>
    <row r="970" spans="1:25" x14ac:dyDescent="0.25">
      <c r="A970" t="str">
        <f>"1090947306"</f>
        <v>1090947306</v>
      </c>
      <c r="B970" t="s">
        <v>151</v>
      </c>
      <c r="C970" t="s">
        <v>2522</v>
      </c>
      <c r="D970" t="s">
        <v>5576</v>
      </c>
      <c r="E970">
        <v>424002</v>
      </c>
      <c r="F970" t="s">
        <v>1</v>
      </c>
      <c r="G970" t="s">
        <v>2</v>
      </c>
      <c r="H970" t="s">
        <v>3604</v>
      </c>
      <c r="I970" t="s">
        <v>5577</v>
      </c>
      <c r="J970" t="s">
        <v>5578</v>
      </c>
      <c r="L970" t="s">
        <v>5579</v>
      </c>
      <c r="M970" t="s">
        <v>2521</v>
      </c>
      <c r="P970" t="s">
        <v>5580</v>
      </c>
      <c r="Y970" t="s">
        <v>5581</v>
      </c>
    </row>
    <row r="971" spans="1:25" x14ac:dyDescent="0.25">
      <c r="A971" t="str">
        <f>"1090953002"</f>
        <v>1090953002</v>
      </c>
      <c r="B971" t="s">
        <v>96</v>
      </c>
      <c r="C971" t="s">
        <v>5586</v>
      </c>
      <c r="D971" t="s">
        <v>5582</v>
      </c>
      <c r="E971">
        <v>424031</v>
      </c>
      <c r="F971" t="s">
        <v>1</v>
      </c>
      <c r="G971" t="s">
        <v>2</v>
      </c>
      <c r="H971" t="s">
        <v>4622</v>
      </c>
      <c r="I971" t="s">
        <v>5583</v>
      </c>
      <c r="L971" t="s">
        <v>5584</v>
      </c>
      <c r="M971" t="s">
        <v>5585</v>
      </c>
      <c r="Q971" t="s">
        <v>5587</v>
      </c>
      <c r="T971" t="s">
        <v>5588</v>
      </c>
      <c r="V971" t="s">
        <v>5589</v>
      </c>
      <c r="Y971" t="s">
        <v>5590</v>
      </c>
    </row>
    <row r="972" spans="1:25" x14ac:dyDescent="0.25">
      <c r="A972" t="str">
        <f>"1091017711"</f>
        <v>1091017711</v>
      </c>
      <c r="B972" t="s">
        <v>3700</v>
      </c>
      <c r="C972" t="s">
        <v>5593</v>
      </c>
      <c r="D972" t="s">
        <v>5591</v>
      </c>
      <c r="E972">
        <v>424918</v>
      </c>
      <c r="F972" t="s">
        <v>1</v>
      </c>
      <c r="G972" t="s">
        <v>2</v>
      </c>
      <c r="H972" t="s">
        <v>629</v>
      </c>
      <c r="I972" t="s">
        <v>5592</v>
      </c>
      <c r="P972" t="s">
        <v>630</v>
      </c>
      <c r="Y972" t="s">
        <v>5594</v>
      </c>
    </row>
    <row r="973" spans="1:25" x14ac:dyDescent="0.25">
      <c r="A973" t="str">
        <f>"1091137905"</f>
        <v>1091137905</v>
      </c>
      <c r="B973" t="s">
        <v>462</v>
      </c>
      <c r="C973" t="s">
        <v>5599</v>
      </c>
      <c r="D973" t="s">
        <v>5595</v>
      </c>
      <c r="E973">
        <v>424002</v>
      </c>
      <c r="F973" t="s">
        <v>1</v>
      </c>
      <c r="G973" t="s">
        <v>2</v>
      </c>
      <c r="H973" t="s">
        <v>5596</v>
      </c>
      <c r="I973" t="s">
        <v>5597</v>
      </c>
      <c r="J973" t="s">
        <v>5598</v>
      </c>
      <c r="P973" t="s">
        <v>27</v>
      </c>
      <c r="Y973" t="s">
        <v>5600</v>
      </c>
    </row>
    <row r="974" spans="1:25" x14ac:dyDescent="0.25">
      <c r="A974" t="str">
        <f>"1091413387"</f>
        <v>1091413387</v>
      </c>
      <c r="B974" t="s">
        <v>3908</v>
      </c>
      <c r="C974" t="s">
        <v>3909</v>
      </c>
      <c r="D974" t="s">
        <v>5601</v>
      </c>
      <c r="E974">
        <v>424040</v>
      </c>
      <c r="F974" t="s">
        <v>1</v>
      </c>
      <c r="G974" t="s">
        <v>2</v>
      </c>
      <c r="H974" t="s">
        <v>5602</v>
      </c>
      <c r="I974" t="s">
        <v>5603</v>
      </c>
      <c r="L974" t="s">
        <v>5604</v>
      </c>
      <c r="M974" t="s">
        <v>5605</v>
      </c>
      <c r="P974" t="s">
        <v>419</v>
      </c>
      <c r="Y974" t="s">
        <v>5606</v>
      </c>
    </row>
    <row r="975" spans="1:25" x14ac:dyDescent="0.25">
      <c r="A975" t="str">
        <f>"1091914884"</f>
        <v>1091914884</v>
      </c>
      <c r="B975" t="s">
        <v>1299</v>
      </c>
      <c r="C975" t="s">
        <v>1504</v>
      </c>
      <c r="D975" t="s">
        <v>5607</v>
      </c>
      <c r="E975">
        <v>424039</v>
      </c>
      <c r="F975" t="s">
        <v>1</v>
      </c>
      <c r="G975" t="s">
        <v>2</v>
      </c>
      <c r="H975" t="s">
        <v>5195</v>
      </c>
      <c r="I975" t="s">
        <v>5608</v>
      </c>
      <c r="Y975" t="s">
        <v>5196</v>
      </c>
    </row>
    <row r="976" spans="1:25" x14ac:dyDescent="0.25">
      <c r="A976" t="str">
        <f>"1091964495"</f>
        <v>1091964495</v>
      </c>
      <c r="B976" t="s">
        <v>25</v>
      </c>
      <c r="C976" t="s">
        <v>59</v>
      </c>
      <c r="D976" t="s">
        <v>5609</v>
      </c>
      <c r="F976" t="s">
        <v>1</v>
      </c>
      <c r="G976" t="s">
        <v>2</v>
      </c>
      <c r="H976" t="s">
        <v>2745</v>
      </c>
      <c r="I976" t="s">
        <v>5610</v>
      </c>
      <c r="J976" t="s">
        <v>5611</v>
      </c>
      <c r="M976" t="s">
        <v>5612</v>
      </c>
      <c r="P976" t="s">
        <v>27</v>
      </c>
      <c r="Y976" t="s">
        <v>5613</v>
      </c>
    </row>
    <row r="977" spans="1:25" x14ac:dyDescent="0.25">
      <c r="A977" t="str">
        <f>"1092056325"</f>
        <v>1092056325</v>
      </c>
      <c r="B977" t="s">
        <v>462</v>
      </c>
      <c r="C977" t="s">
        <v>5618</v>
      </c>
      <c r="D977" t="s">
        <v>5614</v>
      </c>
      <c r="E977">
        <v>424000</v>
      </c>
      <c r="F977" t="s">
        <v>1</v>
      </c>
      <c r="G977" t="s">
        <v>2</v>
      </c>
      <c r="H977" t="s">
        <v>5615</v>
      </c>
      <c r="I977" t="s">
        <v>5616</v>
      </c>
      <c r="L977" t="s">
        <v>5617</v>
      </c>
      <c r="P977" t="s">
        <v>235</v>
      </c>
      <c r="Y977" t="s">
        <v>5619</v>
      </c>
    </row>
    <row r="978" spans="1:25" x14ac:dyDescent="0.25">
      <c r="A978" t="str">
        <f>"1092122987"</f>
        <v>1092122987</v>
      </c>
      <c r="B978" t="s">
        <v>32</v>
      </c>
      <c r="C978" t="s">
        <v>5623</v>
      </c>
      <c r="D978" t="s">
        <v>5620</v>
      </c>
      <c r="E978">
        <v>424032</v>
      </c>
      <c r="F978" t="s">
        <v>1</v>
      </c>
      <c r="G978" t="s">
        <v>2</v>
      </c>
      <c r="H978" t="s">
        <v>5621</v>
      </c>
      <c r="I978" t="s">
        <v>5622</v>
      </c>
      <c r="P978" t="s">
        <v>5624</v>
      </c>
      <c r="Y978" t="s">
        <v>5625</v>
      </c>
    </row>
    <row r="979" spans="1:25" x14ac:dyDescent="0.25">
      <c r="A979" t="str">
        <f>"1092252940"</f>
        <v>1092252940</v>
      </c>
      <c r="B979" t="s">
        <v>32</v>
      </c>
      <c r="C979" t="s">
        <v>40</v>
      </c>
      <c r="D979" t="s">
        <v>40</v>
      </c>
      <c r="E979">
        <v>424003</v>
      </c>
      <c r="F979" t="s">
        <v>1</v>
      </c>
      <c r="G979" t="s">
        <v>2</v>
      </c>
      <c r="H979" t="s">
        <v>3077</v>
      </c>
      <c r="Y979" t="s">
        <v>5626</v>
      </c>
    </row>
    <row r="980" spans="1:25" x14ac:dyDescent="0.25">
      <c r="A980" t="str">
        <f>"1092276992"</f>
        <v>1092276992</v>
      </c>
      <c r="B980" t="s">
        <v>290</v>
      </c>
      <c r="C980" t="s">
        <v>290</v>
      </c>
      <c r="D980" t="s">
        <v>5627</v>
      </c>
      <c r="E980">
        <v>424007</v>
      </c>
      <c r="F980" t="s">
        <v>1</v>
      </c>
      <c r="G980" t="s">
        <v>2</v>
      </c>
      <c r="H980" t="s">
        <v>5628</v>
      </c>
      <c r="P980" t="s">
        <v>60</v>
      </c>
      <c r="Y980" t="s">
        <v>5629</v>
      </c>
    </row>
    <row r="981" spans="1:25" x14ac:dyDescent="0.25">
      <c r="A981" t="str">
        <f>"1092426654"</f>
        <v>1092426654</v>
      </c>
      <c r="B981" t="s">
        <v>25</v>
      </c>
      <c r="C981" t="s">
        <v>5632</v>
      </c>
      <c r="D981" t="s">
        <v>5630</v>
      </c>
      <c r="E981">
        <v>424007</v>
      </c>
      <c r="F981" t="s">
        <v>1</v>
      </c>
      <c r="G981" t="s">
        <v>2</v>
      </c>
      <c r="H981" t="s">
        <v>499</v>
      </c>
      <c r="I981" t="s">
        <v>5631</v>
      </c>
      <c r="P981" t="s">
        <v>4543</v>
      </c>
      <c r="Y981" t="s">
        <v>1598</v>
      </c>
    </row>
    <row r="982" spans="1:25" x14ac:dyDescent="0.25">
      <c r="A982" t="str">
        <f>"1092455394"</f>
        <v>1092455394</v>
      </c>
      <c r="B982" t="s">
        <v>32</v>
      </c>
      <c r="C982" t="s">
        <v>777</v>
      </c>
      <c r="D982" t="s">
        <v>5633</v>
      </c>
      <c r="E982">
        <v>424020</v>
      </c>
      <c r="F982" t="s">
        <v>1</v>
      </c>
      <c r="G982" t="s">
        <v>2</v>
      </c>
      <c r="H982" t="s">
        <v>5634</v>
      </c>
      <c r="I982" t="s">
        <v>5635</v>
      </c>
      <c r="P982" t="s">
        <v>5636</v>
      </c>
      <c r="Y982" t="s">
        <v>5637</v>
      </c>
    </row>
    <row r="983" spans="1:25" x14ac:dyDescent="0.25">
      <c r="A983" t="str">
        <f>"1092567518"</f>
        <v>1092567518</v>
      </c>
      <c r="B983" t="s">
        <v>1729</v>
      </c>
      <c r="C983" t="s">
        <v>1730</v>
      </c>
      <c r="D983" t="s">
        <v>5638</v>
      </c>
      <c r="E983">
        <v>424000</v>
      </c>
      <c r="F983" t="s">
        <v>1</v>
      </c>
      <c r="G983" t="s">
        <v>2</v>
      </c>
      <c r="H983" t="s">
        <v>128</v>
      </c>
      <c r="I983" t="s">
        <v>5639</v>
      </c>
      <c r="P983" t="s">
        <v>340</v>
      </c>
      <c r="Y983" t="s">
        <v>5640</v>
      </c>
    </row>
    <row r="984" spans="1:25" x14ac:dyDescent="0.25">
      <c r="A984" t="str">
        <f>"1092671781"</f>
        <v>1092671781</v>
      </c>
      <c r="B984" t="s">
        <v>371</v>
      </c>
      <c r="C984" t="s">
        <v>372</v>
      </c>
      <c r="D984" t="s">
        <v>5641</v>
      </c>
      <c r="E984">
        <v>424031</v>
      </c>
      <c r="F984" t="s">
        <v>1</v>
      </c>
      <c r="G984" t="s">
        <v>2</v>
      </c>
      <c r="H984" t="s">
        <v>239</v>
      </c>
      <c r="I984" t="s">
        <v>5642</v>
      </c>
      <c r="L984" t="s">
        <v>5643</v>
      </c>
      <c r="M984" t="s">
        <v>5644</v>
      </c>
      <c r="P984" t="s">
        <v>152</v>
      </c>
      <c r="Y984" t="s">
        <v>5645</v>
      </c>
    </row>
    <row r="985" spans="1:25" x14ac:dyDescent="0.25">
      <c r="A985" t="str">
        <f>"1093000873"</f>
        <v>1093000873</v>
      </c>
      <c r="B985" t="s">
        <v>640</v>
      </c>
      <c r="C985" t="s">
        <v>663</v>
      </c>
      <c r="D985" t="s">
        <v>5646</v>
      </c>
      <c r="E985">
        <v>424007</v>
      </c>
      <c r="F985" t="s">
        <v>1</v>
      </c>
      <c r="G985" t="s">
        <v>2</v>
      </c>
      <c r="H985" t="s">
        <v>5647</v>
      </c>
      <c r="I985" t="s">
        <v>5648</v>
      </c>
      <c r="P985" t="s">
        <v>5649</v>
      </c>
      <c r="Y985" t="s">
        <v>5650</v>
      </c>
    </row>
    <row r="986" spans="1:25" x14ac:dyDescent="0.25">
      <c r="A986" t="str">
        <f>"1093007644"</f>
        <v>1093007644</v>
      </c>
      <c r="B986" t="s">
        <v>18</v>
      </c>
      <c r="C986" t="s">
        <v>5655</v>
      </c>
      <c r="D986" t="s">
        <v>5651</v>
      </c>
      <c r="E986">
        <v>424016</v>
      </c>
      <c r="F986" t="s">
        <v>1</v>
      </c>
      <c r="G986" t="s">
        <v>2</v>
      </c>
      <c r="H986" t="s">
        <v>5652</v>
      </c>
      <c r="I986" t="s">
        <v>5653</v>
      </c>
      <c r="M986" t="s">
        <v>5654</v>
      </c>
      <c r="P986" t="s">
        <v>280</v>
      </c>
      <c r="Y986" t="s">
        <v>5656</v>
      </c>
    </row>
    <row r="987" spans="1:25" x14ac:dyDescent="0.25">
      <c r="A987" t="str">
        <f>"1093059848"</f>
        <v>1093059848</v>
      </c>
      <c r="B987" t="s">
        <v>669</v>
      </c>
      <c r="C987" t="s">
        <v>670</v>
      </c>
      <c r="D987" t="s">
        <v>5657</v>
      </c>
      <c r="F987" t="s">
        <v>1</v>
      </c>
      <c r="G987" t="s">
        <v>2</v>
      </c>
      <c r="H987" t="s">
        <v>1600</v>
      </c>
      <c r="Y987" t="s">
        <v>2417</v>
      </c>
    </row>
    <row r="988" spans="1:25" x14ac:dyDescent="0.25">
      <c r="A988" t="str">
        <f>"1093112171"</f>
        <v>1093112171</v>
      </c>
      <c r="B988" t="s">
        <v>553</v>
      </c>
      <c r="C988" t="s">
        <v>5662</v>
      </c>
      <c r="D988" t="s">
        <v>5658</v>
      </c>
      <c r="E988">
        <v>424000</v>
      </c>
      <c r="F988" t="s">
        <v>1</v>
      </c>
      <c r="G988" t="s">
        <v>2</v>
      </c>
      <c r="H988" t="s">
        <v>265</v>
      </c>
      <c r="I988" t="s">
        <v>5659</v>
      </c>
      <c r="J988" t="s">
        <v>5660</v>
      </c>
      <c r="L988" t="s">
        <v>5661</v>
      </c>
      <c r="P988" t="s">
        <v>3776</v>
      </c>
      <c r="Q988" t="s">
        <v>5663</v>
      </c>
      <c r="Y988" t="s">
        <v>5664</v>
      </c>
    </row>
    <row r="989" spans="1:25" x14ac:dyDescent="0.25">
      <c r="A989" t="str">
        <f>"1093287158"</f>
        <v>1093287158</v>
      </c>
      <c r="B989" t="s">
        <v>430</v>
      </c>
      <c r="C989" t="s">
        <v>5669</v>
      </c>
      <c r="D989" t="s">
        <v>5665</v>
      </c>
      <c r="E989">
        <v>424000</v>
      </c>
      <c r="F989" t="s">
        <v>1</v>
      </c>
      <c r="G989" t="s">
        <v>2</v>
      </c>
      <c r="H989" t="s">
        <v>1531</v>
      </c>
      <c r="I989" t="s">
        <v>5666</v>
      </c>
      <c r="L989" t="s">
        <v>5667</v>
      </c>
      <c r="M989" t="s">
        <v>5668</v>
      </c>
      <c r="P989" t="s">
        <v>4487</v>
      </c>
      <c r="Q989" t="s">
        <v>5670</v>
      </c>
      <c r="Y989" t="s">
        <v>4373</v>
      </c>
    </row>
    <row r="990" spans="1:25" x14ac:dyDescent="0.25">
      <c r="A990" t="str">
        <f>"1093351602"</f>
        <v>1093351602</v>
      </c>
      <c r="B990" t="s">
        <v>18</v>
      </c>
      <c r="C990" t="s">
        <v>5677</v>
      </c>
      <c r="D990" t="s">
        <v>5671</v>
      </c>
      <c r="E990">
        <v>424007</v>
      </c>
      <c r="F990" t="s">
        <v>1</v>
      </c>
      <c r="G990" t="s">
        <v>2</v>
      </c>
      <c r="H990" t="s">
        <v>1085</v>
      </c>
      <c r="I990" t="s">
        <v>5672</v>
      </c>
      <c r="J990" t="s">
        <v>5673</v>
      </c>
      <c r="K990" t="s">
        <v>5674</v>
      </c>
      <c r="L990" t="s">
        <v>5675</v>
      </c>
      <c r="M990" t="s">
        <v>5676</v>
      </c>
      <c r="P990" t="s">
        <v>340</v>
      </c>
      <c r="Y990" t="s">
        <v>1412</v>
      </c>
    </row>
    <row r="991" spans="1:25" x14ac:dyDescent="0.25">
      <c r="A991" t="str">
        <f>"1093554740"</f>
        <v>1093554740</v>
      </c>
      <c r="B991" t="s">
        <v>243</v>
      </c>
      <c r="C991" t="s">
        <v>5683</v>
      </c>
      <c r="D991" t="s">
        <v>5678</v>
      </c>
      <c r="E991">
        <v>424000</v>
      </c>
      <c r="F991" t="s">
        <v>1</v>
      </c>
      <c r="G991" t="s">
        <v>2</v>
      </c>
      <c r="H991" t="s">
        <v>1473</v>
      </c>
      <c r="I991" t="s">
        <v>5679</v>
      </c>
      <c r="J991" t="s">
        <v>5680</v>
      </c>
      <c r="L991" t="s">
        <v>5681</v>
      </c>
      <c r="M991" t="s">
        <v>5682</v>
      </c>
      <c r="P991" t="s">
        <v>5684</v>
      </c>
      <c r="Y991" t="s">
        <v>5685</v>
      </c>
    </row>
    <row r="992" spans="1:25" x14ac:dyDescent="0.25">
      <c r="A992" t="str">
        <f>"1093638519"</f>
        <v>1093638519</v>
      </c>
      <c r="B992" t="s">
        <v>790</v>
      </c>
      <c r="C992" t="s">
        <v>4583</v>
      </c>
      <c r="D992" t="s">
        <v>5686</v>
      </c>
      <c r="E992">
        <v>424004</v>
      </c>
      <c r="F992" t="s">
        <v>1</v>
      </c>
      <c r="G992" t="s">
        <v>2</v>
      </c>
      <c r="H992" t="s">
        <v>1169</v>
      </c>
      <c r="I992" t="s">
        <v>5687</v>
      </c>
      <c r="L992" t="s">
        <v>5688</v>
      </c>
      <c r="P992" t="s">
        <v>5689</v>
      </c>
      <c r="Q992" t="s">
        <v>5690</v>
      </c>
      <c r="Y992" t="s">
        <v>1178</v>
      </c>
    </row>
    <row r="993" spans="1:25" x14ac:dyDescent="0.25">
      <c r="A993" t="str">
        <f>"1093663427"</f>
        <v>1093663427</v>
      </c>
      <c r="B993" t="s">
        <v>18</v>
      </c>
      <c r="C993" t="s">
        <v>2171</v>
      </c>
      <c r="D993" t="s">
        <v>5691</v>
      </c>
      <c r="E993">
        <v>424002</v>
      </c>
      <c r="F993" t="s">
        <v>1</v>
      </c>
      <c r="G993" t="s">
        <v>2</v>
      </c>
      <c r="H993" t="s">
        <v>5692</v>
      </c>
      <c r="I993" t="s">
        <v>5693</v>
      </c>
      <c r="K993" t="s">
        <v>5693</v>
      </c>
      <c r="L993" t="s">
        <v>5694</v>
      </c>
      <c r="M993" t="s">
        <v>5695</v>
      </c>
      <c r="Q993" t="s">
        <v>5696</v>
      </c>
      <c r="Y993" t="s">
        <v>5697</v>
      </c>
    </row>
    <row r="994" spans="1:25" x14ac:dyDescent="0.25">
      <c r="A994" t="str">
        <f>"1093718648"</f>
        <v>1093718648</v>
      </c>
      <c r="B994" t="s">
        <v>67</v>
      </c>
      <c r="C994" t="s">
        <v>269</v>
      </c>
      <c r="D994" t="s">
        <v>5698</v>
      </c>
      <c r="E994">
        <v>424032</v>
      </c>
      <c r="F994" t="s">
        <v>1</v>
      </c>
      <c r="G994" t="s">
        <v>2</v>
      </c>
      <c r="H994" t="s">
        <v>5699</v>
      </c>
      <c r="I994" t="s">
        <v>5700</v>
      </c>
      <c r="L994" t="s">
        <v>5701</v>
      </c>
      <c r="M994" t="s">
        <v>5702</v>
      </c>
      <c r="P994" t="s">
        <v>5703</v>
      </c>
      <c r="Q994" t="s">
        <v>5704</v>
      </c>
      <c r="R994" t="s">
        <v>5705</v>
      </c>
      <c r="T994" t="s">
        <v>5706</v>
      </c>
      <c r="U994" t="s">
        <v>5707</v>
      </c>
      <c r="V994" t="s">
        <v>5708</v>
      </c>
      <c r="Y994" t="s">
        <v>5709</v>
      </c>
    </row>
    <row r="995" spans="1:25" x14ac:dyDescent="0.25">
      <c r="A995" t="str">
        <f>"1093743733"</f>
        <v>1093743733</v>
      </c>
      <c r="B995" t="s">
        <v>1053</v>
      </c>
      <c r="C995" t="s">
        <v>5712</v>
      </c>
      <c r="D995" t="s">
        <v>5710</v>
      </c>
      <c r="E995">
        <v>424007</v>
      </c>
      <c r="F995" t="s">
        <v>1</v>
      </c>
      <c r="G995" t="s">
        <v>2</v>
      </c>
      <c r="H995" t="s">
        <v>5711</v>
      </c>
      <c r="Y995" t="s">
        <v>5713</v>
      </c>
    </row>
    <row r="996" spans="1:25" x14ac:dyDescent="0.25">
      <c r="A996" t="str">
        <f>"1093768156"</f>
        <v>1093768156</v>
      </c>
      <c r="B996" t="s">
        <v>352</v>
      </c>
      <c r="C996" t="s">
        <v>353</v>
      </c>
      <c r="D996" t="s">
        <v>5714</v>
      </c>
      <c r="E996">
        <v>424001</v>
      </c>
      <c r="F996" t="s">
        <v>1</v>
      </c>
      <c r="G996" t="s">
        <v>2</v>
      </c>
      <c r="H996" t="s">
        <v>919</v>
      </c>
      <c r="J996" t="s">
        <v>5715</v>
      </c>
      <c r="P996" t="s">
        <v>280</v>
      </c>
      <c r="Y996" t="s">
        <v>1750</v>
      </c>
    </row>
    <row r="997" spans="1:25" x14ac:dyDescent="0.25">
      <c r="A997" t="str">
        <f>"1093837341"</f>
        <v>1093837341</v>
      </c>
      <c r="B997" t="s">
        <v>538</v>
      </c>
      <c r="C997" t="s">
        <v>3633</v>
      </c>
      <c r="D997" t="s">
        <v>5716</v>
      </c>
      <c r="E997">
        <v>424000</v>
      </c>
      <c r="F997" t="s">
        <v>1</v>
      </c>
      <c r="G997" t="s">
        <v>2</v>
      </c>
      <c r="H997" t="s">
        <v>5717</v>
      </c>
      <c r="L997" t="s">
        <v>5718</v>
      </c>
      <c r="Y997" t="s">
        <v>5719</v>
      </c>
    </row>
    <row r="998" spans="1:25" x14ac:dyDescent="0.25">
      <c r="A998" t="str">
        <f>"1093918456"</f>
        <v>1093918456</v>
      </c>
      <c r="B998" t="s">
        <v>1611</v>
      </c>
      <c r="C998" t="s">
        <v>2214</v>
      </c>
      <c r="D998" t="s">
        <v>5720</v>
      </c>
      <c r="F998" t="s">
        <v>1</v>
      </c>
      <c r="G998" t="s">
        <v>2</v>
      </c>
      <c r="H998" t="s">
        <v>5721</v>
      </c>
      <c r="I998" t="s">
        <v>5722</v>
      </c>
      <c r="L998" t="s">
        <v>581</v>
      </c>
      <c r="M998" t="s">
        <v>582</v>
      </c>
      <c r="P998" t="s">
        <v>5723</v>
      </c>
      <c r="Y998" t="s">
        <v>5724</v>
      </c>
    </row>
    <row r="999" spans="1:25" x14ac:dyDescent="0.25">
      <c r="A999" t="str">
        <f>"1094022043"</f>
        <v>1094022043</v>
      </c>
      <c r="B999" t="s">
        <v>348</v>
      </c>
      <c r="C999" t="s">
        <v>5728</v>
      </c>
      <c r="D999" t="s">
        <v>5725</v>
      </c>
      <c r="E999">
        <v>424006</v>
      </c>
      <c r="F999" t="s">
        <v>1</v>
      </c>
      <c r="G999" t="s">
        <v>2</v>
      </c>
      <c r="H999" t="s">
        <v>5726</v>
      </c>
      <c r="J999" t="s">
        <v>5727</v>
      </c>
      <c r="P999" t="s">
        <v>280</v>
      </c>
      <c r="Y999" t="s">
        <v>656</v>
      </c>
    </row>
    <row r="1000" spans="1:25" x14ac:dyDescent="0.25">
      <c r="A1000" t="str">
        <f>"1094043917"</f>
        <v>1094043917</v>
      </c>
      <c r="B1000" t="s">
        <v>1846</v>
      </c>
      <c r="C1000" t="s">
        <v>5735</v>
      </c>
      <c r="D1000" t="s">
        <v>5729</v>
      </c>
      <c r="F1000" t="s">
        <v>1</v>
      </c>
      <c r="G1000" t="s">
        <v>2</v>
      </c>
      <c r="H1000" t="s">
        <v>5730</v>
      </c>
      <c r="I1000" t="s">
        <v>5731</v>
      </c>
      <c r="J1000" t="s">
        <v>5732</v>
      </c>
      <c r="L1000" t="s">
        <v>5733</v>
      </c>
      <c r="M1000" t="s">
        <v>5734</v>
      </c>
      <c r="Y1000" t="s">
        <v>5736</v>
      </c>
    </row>
    <row r="1001" spans="1:25" x14ac:dyDescent="0.25">
      <c r="A1001" t="str">
        <f>"1094104596"</f>
        <v>1094104596</v>
      </c>
      <c r="B1001" t="s">
        <v>32</v>
      </c>
      <c r="C1001" t="s">
        <v>777</v>
      </c>
      <c r="D1001" t="s">
        <v>5737</v>
      </c>
      <c r="E1001">
        <v>424033</v>
      </c>
      <c r="F1001" t="s">
        <v>1</v>
      </c>
      <c r="G1001" t="s">
        <v>2</v>
      </c>
      <c r="H1001" t="s">
        <v>5738</v>
      </c>
      <c r="I1001" t="s">
        <v>5739</v>
      </c>
      <c r="P1001" t="s">
        <v>216</v>
      </c>
      <c r="Y1001" t="s">
        <v>5740</v>
      </c>
    </row>
    <row r="1002" spans="1:25" x14ac:dyDescent="0.25">
      <c r="A1002" t="str">
        <f>"1094126257"</f>
        <v>1094126257</v>
      </c>
      <c r="B1002" t="s">
        <v>5745</v>
      </c>
      <c r="C1002" t="s">
        <v>5746</v>
      </c>
      <c r="D1002" t="s">
        <v>5741</v>
      </c>
      <c r="E1002">
        <v>424007</v>
      </c>
      <c r="F1002" t="s">
        <v>1</v>
      </c>
      <c r="G1002" t="s">
        <v>2</v>
      </c>
      <c r="H1002" t="s">
        <v>1085</v>
      </c>
      <c r="I1002" t="s">
        <v>5742</v>
      </c>
      <c r="L1002" t="s">
        <v>5743</v>
      </c>
      <c r="M1002" t="s">
        <v>5744</v>
      </c>
      <c r="P1002" t="s">
        <v>280</v>
      </c>
      <c r="Y1002" t="s">
        <v>5341</v>
      </c>
    </row>
    <row r="1003" spans="1:25" x14ac:dyDescent="0.25">
      <c r="A1003" t="str">
        <f>"1094147918"</f>
        <v>1094147918</v>
      </c>
      <c r="B1003" t="s">
        <v>738</v>
      </c>
      <c r="C1003" t="s">
        <v>5750</v>
      </c>
      <c r="D1003" t="s">
        <v>5747</v>
      </c>
      <c r="F1003" t="s">
        <v>1</v>
      </c>
      <c r="G1003" t="s">
        <v>2</v>
      </c>
      <c r="H1003" t="s">
        <v>684</v>
      </c>
      <c r="I1003" t="s">
        <v>5748</v>
      </c>
      <c r="J1003" t="s">
        <v>5749</v>
      </c>
      <c r="P1003" t="s">
        <v>696</v>
      </c>
      <c r="Y1003" t="s">
        <v>690</v>
      </c>
    </row>
    <row r="1004" spans="1:25" x14ac:dyDescent="0.25">
      <c r="A1004" t="str">
        <f>"1094252371"</f>
        <v>1094252371</v>
      </c>
      <c r="B1004" t="s">
        <v>624</v>
      </c>
      <c r="C1004" t="s">
        <v>2640</v>
      </c>
      <c r="D1004" t="s">
        <v>5751</v>
      </c>
      <c r="E1004">
        <v>424002</v>
      </c>
      <c r="F1004" t="s">
        <v>1</v>
      </c>
      <c r="G1004" t="s">
        <v>2</v>
      </c>
      <c r="H1004" t="s">
        <v>662</v>
      </c>
      <c r="I1004" t="s">
        <v>5752</v>
      </c>
      <c r="Y1004" t="s">
        <v>3342</v>
      </c>
    </row>
    <row r="1005" spans="1:25" x14ac:dyDescent="0.25">
      <c r="A1005" t="str">
        <f>"1094313023"</f>
        <v>1094313023</v>
      </c>
      <c r="B1005" t="s">
        <v>110</v>
      </c>
      <c r="C1005" t="s">
        <v>5755</v>
      </c>
      <c r="D1005" t="s">
        <v>5753</v>
      </c>
      <c r="E1005">
        <v>424000</v>
      </c>
      <c r="F1005" t="s">
        <v>1</v>
      </c>
      <c r="G1005" t="s">
        <v>2</v>
      </c>
      <c r="H1005" t="s">
        <v>5754</v>
      </c>
      <c r="Y1005" t="s">
        <v>1141</v>
      </c>
    </row>
    <row r="1006" spans="1:25" x14ac:dyDescent="0.25">
      <c r="A1006" t="str">
        <f>"1094511279"</f>
        <v>1094511279</v>
      </c>
      <c r="B1006" t="s">
        <v>456</v>
      </c>
      <c r="C1006" t="s">
        <v>5758</v>
      </c>
      <c r="D1006" t="s">
        <v>5756</v>
      </c>
      <c r="E1006">
        <v>424007</v>
      </c>
      <c r="F1006" t="s">
        <v>1</v>
      </c>
      <c r="G1006" t="s">
        <v>2</v>
      </c>
      <c r="H1006" t="s">
        <v>4869</v>
      </c>
      <c r="I1006" t="s">
        <v>5757</v>
      </c>
      <c r="P1006" t="s">
        <v>27</v>
      </c>
      <c r="Y1006" t="s">
        <v>5759</v>
      </c>
    </row>
    <row r="1007" spans="1:25" x14ac:dyDescent="0.25">
      <c r="A1007" t="str">
        <f>"1094652708"</f>
        <v>1094652708</v>
      </c>
      <c r="B1007" t="s">
        <v>2474</v>
      </c>
      <c r="C1007" t="s">
        <v>2475</v>
      </c>
      <c r="D1007" t="s">
        <v>5760</v>
      </c>
      <c r="E1007">
        <v>424006</v>
      </c>
      <c r="F1007" t="s">
        <v>1</v>
      </c>
      <c r="G1007" t="s">
        <v>2</v>
      </c>
      <c r="H1007" t="s">
        <v>5761</v>
      </c>
      <c r="J1007" t="s">
        <v>5762</v>
      </c>
      <c r="P1007" t="s">
        <v>5763</v>
      </c>
      <c r="Y1007" t="s">
        <v>5764</v>
      </c>
    </row>
    <row r="1008" spans="1:25" x14ac:dyDescent="0.25">
      <c r="A1008" t="str">
        <f>"1094679348"</f>
        <v>1094679348</v>
      </c>
      <c r="B1008" t="s">
        <v>18</v>
      </c>
      <c r="C1008" t="s">
        <v>5767</v>
      </c>
      <c r="D1008" t="s">
        <v>5765</v>
      </c>
      <c r="E1008">
        <v>424006</v>
      </c>
      <c r="F1008" t="s">
        <v>1</v>
      </c>
      <c r="G1008" t="s">
        <v>2</v>
      </c>
      <c r="H1008" t="s">
        <v>2012</v>
      </c>
      <c r="I1008" t="s">
        <v>5766</v>
      </c>
      <c r="P1008" t="s">
        <v>340</v>
      </c>
      <c r="Y1008" t="s">
        <v>2016</v>
      </c>
    </row>
    <row r="1009" spans="1:25" x14ac:dyDescent="0.25">
      <c r="A1009" t="str">
        <f>"1094860964"</f>
        <v>1094860964</v>
      </c>
      <c r="B1009" t="s">
        <v>32</v>
      </c>
      <c r="C1009" t="s">
        <v>182</v>
      </c>
      <c r="D1009" t="s">
        <v>5768</v>
      </c>
      <c r="E1009">
        <v>424004</v>
      </c>
      <c r="F1009" t="s">
        <v>1</v>
      </c>
      <c r="G1009" t="s">
        <v>2</v>
      </c>
      <c r="H1009" t="s">
        <v>5226</v>
      </c>
      <c r="I1009" t="s">
        <v>5769</v>
      </c>
      <c r="P1009" t="s">
        <v>5770</v>
      </c>
      <c r="Y1009" t="s">
        <v>5771</v>
      </c>
    </row>
    <row r="1010" spans="1:25" x14ac:dyDescent="0.25">
      <c r="A1010" t="str">
        <f>"1094930123"</f>
        <v>1094930123</v>
      </c>
      <c r="B1010" t="s">
        <v>123</v>
      </c>
      <c r="C1010" t="s">
        <v>424</v>
      </c>
      <c r="D1010" t="s">
        <v>5772</v>
      </c>
      <c r="E1010">
        <v>424003</v>
      </c>
      <c r="F1010" t="s">
        <v>1</v>
      </c>
      <c r="G1010" t="s">
        <v>2</v>
      </c>
      <c r="H1010" t="s">
        <v>5773</v>
      </c>
      <c r="I1010" t="s">
        <v>5774</v>
      </c>
      <c r="P1010" t="s">
        <v>4998</v>
      </c>
      <c r="Y1010" t="s">
        <v>5775</v>
      </c>
    </row>
    <row r="1011" spans="1:25" x14ac:dyDescent="0.25">
      <c r="A1011" t="str">
        <f>"1094938973"</f>
        <v>1094938973</v>
      </c>
      <c r="B1011" t="s">
        <v>18</v>
      </c>
      <c r="C1011" t="s">
        <v>143</v>
      </c>
      <c r="D1011" t="s">
        <v>5776</v>
      </c>
      <c r="E1011">
        <v>424008</v>
      </c>
      <c r="F1011" t="s">
        <v>1</v>
      </c>
      <c r="G1011" t="s">
        <v>2</v>
      </c>
      <c r="H1011" t="s">
        <v>337</v>
      </c>
      <c r="Y1011" t="s">
        <v>5777</v>
      </c>
    </row>
    <row r="1012" spans="1:25" x14ac:dyDescent="0.25">
      <c r="A1012" t="str">
        <f>"1095112978"</f>
        <v>1095112978</v>
      </c>
      <c r="B1012" t="s">
        <v>1343</v>
      </c>
      <c r="C1012" t="s">
        <v>5308</v>
      </c>
      <c r="D1012" t="s">
        <v>5778</v>
      </c>
      <c r="E1012">
        <v>424038</v>
      </c>
      <c r="F1012" t="s">
        <v>1</v>
      </c>
      <c r="G1012" t="s">
        <v>2</v>
      </c>
      <c r="H1012" t="s">
        <v>5779</v>
      </c>
      <c r="Y1012" t="s">
        <v>5780</v>
      </c>
    </row>
    <row r="1013" spans="1:25" x14ac:dyDescent="0.25">
      <c r="A1013" t="str">
        <f>"1095128511"</f>
        <v>1095128511</v>
      </c>
      <c r="B1013" t="s">
        <v>379</v>
      </c>
      <c r="C1013" t="s">
        <v>1776</v>
      </c>
      <c r="D1013" t="s">
        <v>5781</v>
      </c>
      <c r="E1013">
        <v>424006</v>
      </c>
      <c r="F1013" t="s">
        <v>1</v>
      </c>
      <c r="G1013" t="s">
        <v>2</v>
      </c>
      <c r="H1013" t="s">
        <v>4821</v>
      </c>
      <c r="I1013" t="s">
        <v>5782</v>
      </c>
      <c r="L1013" t="s">
        <v>5783</v>
      </c>
      <c r="M1013" t="s">
        <v>5784</v>
      </c>
      <c r="P1013" t="s">
        <v>1731</v>
      </c>
      <c r="Y1013" t="s">
        <v>5785</v>
      </c>
    </row>
    <row r="1014" spans="1:25" x14ac:dyDescent="0.25">
      <c r="A1014" t="str">
        <f>"1095156317"</f>
        <v>1095156317</v>
      </c>
      <c r="B1014" t="s">
        <v>18</v>
      </c>
      <c r="C1014" t="s">
        <v>4981</v>
      </c>
      <c r="D1014" t="s">
        <v>5786</v>
      </c>
      <c r="E1014">
        <v>424032</v>
      </c>
      <c r="F1014" t="s">
        <v>1</v>
      </c>
      <c r="G1014" t="s">
        <v>2</v>
      </c>
      <c r="H1014" t="s">
        <v>5699</v>
      </c>
      <c r="I1014" t="s">
        <v>5787</v>
      </c>
      <c r="L1014" t="s">
        <v>5788</v>
      </c>
      <c r="M1014" t="s">
        <v>5789</v>
      </c>
      <c r="P1014" t="s">
        <v>5703</v>
      </c>
      <c r="Q1014" t="s">
        <v>5790</v>
      </c>
      <c r="V1014" t="s">
        <v>5791</v>
      </c>
      <c r="Y1014" t="s">
        <v>5709</v>
      </c>
    </row>
    <row r="1015" spans="1:25" x14ac:dyDescent="0.25">
      <c r="A1015" t="str">
        <f>"1095167275"</f>
        <v>1095167275</v>
      </c>
      <c r="B1015" t="s">
        <v>25</v>
      </c>
      <c r="C1015" t="s">
        <v>5796</v>
      </c>
      <c r="D1015" t="s">
        <v>5792</v>
      </c>
      <c r="E1015">
        <v>424006</v>
      </c>
      <c r="F1015" t="s">
        <v>1</v>
      </c>
      <c r="G1015" t="s">
        <v>2</v>
      </c>
      <c r="H1015" t="s">
        <v>2966</v>
      </c>
      <c r="I1015" t="s">
        <v>5793</v>
      </c>
      <c r="J1015" t="s">
        <v>5794</v>
      </c>
      <c r="L1015" t="s">
        <v>5795</v>
      </c>
      <c r="P1015" t="s">
        <v>20</v>
      </c>
      <c r="Q1015" t="s">
        <v>5797</v>
      </c>
      <c r="Y1015" t="s">
        <v>2970</v>
      </c>
    </row>
    <row r="1016" spans="1:25" x14ac:dyDescent="0.25">
      <c r="A1016" t="str">
        <f>"1095217922"</f>
        <v>1095217922</v>
      </c>
      <c r="B1016" t="s">
        <v>25</v>
      </c>
      <c r="C1016" t="s">
        <v>59</v>
      </c>
      <c r="D1016" t="s">
        <v>5798</v>
      </c>
      <c r="F1016" t="s">
        <v>1</v>
      </c>
      <c r="G1016" t="s">
        <v>2</v>
      </c>
      <c r="H1016" t="s">
        <v>5799</v>
      </c>
      <c r="I1016" t="s">
        <v>5800</v>
      </c>
      <c r="J1016" t="s">
        <v>5801</v>
      </c>
      <c r="L1016" t="s">
        <v>5802</v>
      </c>
      <c r="M1016" t="s">
        <v>5803</v>
      </c>
      <c r="P1016" t="s">
        <v>60</v>
      </c>
      <c r="Y1016" t="s">
        <v>5804</v>
      </c>
    </row>
    <row r="1017" spans="1:25" x14ac:dyDescent="0.25">
      <c r="A1017" t="str">
        <f>"1095259392"</f>
        <v>1095259392</v>
      </c>
      <c r="B1017" t="s">
        <v>32</v>
      </c>
      <c r="C1017" t="s">
        <v>5809</v>
      </c>
      <c r="D1017" t="s">
        <v>5805</v>
      </c>
      <c r="E1017">
        <v>424002</v>
      </c>
      <c r="F1017" t="s">
        <v>1</v>
      </c>
      <c r="G1017" t="s">
        <v>2</v>
      </c>
      <c r="H1017" t="s">
        <v>5806</v>
      </c>
      <c r="I1017" t="s">
        <v>5807</v>
      </c>
      <c r="J1017" t="s">
        <v>5808</v>
      </c>
      <c r="P1017" t="s">
        <v>1027</v>
      </c>
      <c r="Q1017" t="s">
        <v>5810</v>
      </c>
      <c r="V1017" t="s">
        <v>5811</v>
      </c>
      <c r="Y1017" t="s">
        <v>5812</v>
      </c>
    </row>
    <row r="1018" spans="1:25" x14ac:dyDescent="0.25">
      <c r="A1018" t="str">
        <f>"1095372065"</f>
        <v>1095372065</v>
      </c>
      <c r="B1018" t="s">
        <v>3573</v>
      </c>
      <c r="C1018" t="s">
        <v>5816</v>
      </c>
      <c r="D1018" t="s">
        <v>5813</v>
      </c>
      <c r="E1018">
        <v>424000</v>
      </c>
      <c r="F1018" t="s">
        <v>1</v>
      </c>
      <c r="G1018" t="s">
        <v>2</v>
      </c>
      <c r="H1018" t="s">
        <v>5814</v>
      </c>
      <c r="I1018" t="s">
        <v>5815</v>
      </c>
      <c r="P1018" t="s">
        <v>27</v>
      </c>
      <c r="Y1018" t="s">
        <v>5817</v>
      </c>
    </row>
    <row r="1019" spans="1:25" x14ac:dyDescent="0.25">
      <c r="A1019" t="str">
        <f>"1095398080"</f>
        <v>1095398080</v>
      </c>
      <c r="B1019" t="s">
        <v>1152</v>
      </c>
      <c r="C1019" t="s">
        <v>4926</v>
      </c>
      <c r="D1019" t="s">
        <v>5818</v>
      </c>
      <c r="E1019">
        <v>424020</v>
      </c>
      <c r="F1019" t="s">
        <v>1</v>
      </c>
      <c r="G1019" t="s">
        <v>2</v>
      </c>
      <c r="H1019" t="s">
        <v>802</v>
      </c>
      <c r="J1019" t="s">
        <v>5819</v>
      </c>
      <c r="M1019" t="s">
        <v>5820</v>
      </c>
      <c r="P1019" t="s">
        <v>5821</v>
      </c>
      <c r="Y1019" t="s">
        <v>5822</v>
      </c>
    </row>
    <row r="1020" spans="1:25" x14ac:dyDescent="0.25">
      <c r="A1020" t="str">
        <f>"1095525369"</f>
        <v>1095525369</v>
      </c>
      <c r="B1020" t="s">
        <v>1053</v>
      </c>
      <c r="C1020" t="s">
        <v>5826</v>
      </c>
      <c r="D1020" t="s">
        <v>5823</v>
      </c>
      <c r="E1020">
        <v>424004</v>
      </c>
      <c r="F1020" t="s">
        <v>1</v>
      </c>
      <c r="G1020" t="s">
        <v>2</v>
      </c>
      <c r="H1020" t="s">
        <v>1169</v>
      </c>
      <c r="I1020" t="s">
        <v>5824</v>
      </c>
      <c r="K1020" t="s">
        <v>5825</v>
      </c>
      <c r="P1020" t="s">
        <v>280</v>
      </c>
      <c r="Y1020" t="s">
        <v>1178</v>
      </c>
    </row>
    <row r="1021" spans="1:25" x14ac:dyDescent="0.25">
      <c r="A1021" t="str">
        <f>"1095534991"</f>
        <v>1095534991</v>
      </c>
      <c r="B1021" t="s">
        <v>18</v>
      </c>
      <c r="C1021" t="s">
        <v>959</v>
      </c>
      <c r="D1021" t="s">
        <v>1365</v>
      </c>
      <c r="E1021">
        <v>424039</v>
      </c>
      <c r="F1021" t="s">
        <v>1</v>
      </c>
      <c r="G1021" t="s">
        <v>2</v>
      </c>
      <c r="H1021" t="s">
        <v>5827</v>
      </c>
      <c r="I1021" t="s">
        <v>5828</v>
      </c>
      <c r="L1021" t="s">
        <v>1368</v>
      </c>
      <c r="M1021" t="s">
        <v>1369</v>
      </c>
      <c r="P1021" t="s">
        <v>5829</v>
      </c>
      <c r="Q1021" t="s">
        <v>5830</v>
      </c>
      <c r="Y1021" t="s">
        <v>5831</v>
      </c>
    </row>
    <row r="1022" spans="1:25" x14ac:dyDescent="0.25">
      <c r="A1022" t="str">
        <f>"1095619128"</f>
        <v>1095619128</v>
      </c>
      <c r="B1022" t="s">
        <v>110</v>
      </c>
      <c r="C1022" t="s">
        <v>5755</v>
      </c>
      <c r="D1022" t="s">
        <v>5832</v>
      </c>
      <c r="E1022">
        <v>424007</v>
      </c>
      <c r="F1022" t="s">
        <v>1</v>
      </c>
      <c r="G1022" t="s">
        <v>2</v>
      </c>
      <c r="H1022" t="s">
        <v>2609</v>
      </c>
      <c r="I1022" t="s">
        <v>5833</v>
      </c>
      <c r="P1022" t="s">
        <v>280</v>
      </c>
      <c r="Y1022" t="s">
        <v>5834</v>
      </c>
    </row>
    <row r="1023" spans="1:25" x14ac:dyDescent="0.25">
      <c r="A1023" t="str">
        <f>"1095642062"</f>
        <v>1095642062</v>
      </c>
      <c r="B1023" t="s">
        <v>5840</v>
      </c>
      <c r="C1023" t="s">
        <v>5841</v>
      </c>
      <c r="D1023" t="s">
        <v>5835</v>
      </c>
      <c r="E1023">
        <v>424007</v>
      </c>
      <c r="F1023" t="s">
        <v>1</v>
      </c>
      <c r="G1023" t="s">
        <v>2</v>
      </c>
      <c r="H1023" t="s">
        <v>1085</v>
      </c>
      <c r="I1023" t="s">
        <v>5836</v>
      </c>
      <c r="J1023" t="s">
        <v>5837</v>
      </c>
      <c r="L1023" t="s">
        <v>5838</v>
      </c>
      <c r="M1023" t="s">
        <v>5839</v>
      </c>
      <c r="P1023" t="s">
        <v>1257</v>
      </c>
      <c r="Y1023" t="s">
        <v>1412</v>
      </c>
    </row>
    <row r="1024" spans="1:25" x14ac:dyDescent="0.25">
      <c r="A1024" t="str">
        <f>"1095710409"</f>
        <v>1095710409</v>
      </c>
      <c r="B1024" t="s">
        <v>1078</v>
      </c>
      <c r="C1024" t="s">
        <v>1944</v>
      </c>
      <c r="D1024" t="s">
        <v>5842</v>
      </c>
      <c r="E1024">
        <v>424005</v>
      </c>
      <c r="F1024" t="s">
        <v>1</v>
      </c>
      <c r="G1024" t="s">
        <v>2</v>
      </c>
      <c r="H1024" t="s">
        <v>5843</v>
      </c>
      <c r="Y1024" t="s">
        <v>5844</v>
      </c>
    </row>
    <row r="1025" spans="1:25" x14ac:dyDescent="0.25">
      <c r="A1025" t="str">
        <f>"1095783562"</f>
        <v>1095783562</v>
      </c>
      <c r="B1025" t="s">
        <v>574</v>
      </c>
      <c r="C1025" t="s">
        <v>646</v>
      </c>
      <c r="D1025" t="s">
        <v>5845</v>
      </c>
      <c r="E1025">
        <v>424006</v>
      </c>
      <c r="F1025" t="s">
        <v>1</v>
      </c>
      <c r="G1025" t="s">
        <v>2</v>
      </c>
      <c r="H1025" t="s">
        <v>5846</v>
      </c>
      <c r="J1025" t="s">
        <v>5847</v>
      </c>
      <c r="L1025" t="s">
        <v>5848</v>
      </c>
      <c r="M1025" t="s">
        <v>5849</v>
      </c>
      <c r="P1025" t="s">
        <v>1433</v>
      </c>
      <c r="Y1025" t="s">
        <v>5850</v>
      </c>
    </row>
    <row r="1026" spans="1:25" x14ac:dyDescent="0.25">
      <c r="A1026" t="str">
        <f>"1095815084"</f>
        <v>1095815084</v>
      </c>
      <c r="B1026" t="s">
        <v>284</v>
      </c>
      <c r="C1026" t="s">
        <v>3046</v>
      </c>
      <c r="D1026" t="s">
        <v>5851</v>
      </c>
      <c r="E1026">
        <v>424007</v>
      </c>
      <c r="F1026" t="s">
        <v>1</v>
      </c>
      <c r="G1026" t="s">
        <v>2</v>
      </c>
      <c r="H1026" t="s">
        <v>3696</v>
      </c>
      <c r="I1026" t="s">
        <v>5852</v>
      </c>
      <c r="J1026" t="s">
        <v>5853</v>
      </c>
      <c r="K1026" t="s">
        <v>5854</v>
      </c>
      <c r="L1026" t="s">
        <v>5855</v>
      </c>
      <c r="M1026" t="s">
        <v>5856</v>
      </c>
      <c r="Y1026" t="s">
        <v>5857</v>
      </c>
    </row>
    <row r="1027" spans="1:25" x14ac:dyDescent="0.25">
      <c r="A1027" t="str">
        <f>"1095835794"</f>
        <v>1095835794</v>
      </c>
      <c r="B1027" t="s">
        <v>803</v>
      </c>
      <c r="C1027" t="s">
        <v>5860</v>
      </c>
      <c r="D1027" t="s">
        <v>5858</v>
      </c>
      <c r="E1027">
        <v>424031</v>
      </c>
      <c r="F1027" t="s">
        <v>1</v>
      </c>
      <c r="G1027" t="s">
        <v>2</v>
      </c>
      <c r="H1027" t="s">
        <v>413</v>
      </c>
      <c r="I1027" t="s">
        <v>5859</v>
      </c>
      <c r="Y1027" t="s">
        <v>1421</v>
      </c>
    </row>
    <row r="1028" spans="1:25" x14ac:dyDescent="0.25">
      <c r="A1028" t="str">
        <f>"1095993898"</f>
        <v>1095993898</v>
      </c>
      <c r="B1028" t="s">
        <v>558</v>
      </c>
      <c r="C1028" t="s">
        <v>559</v>
      </c>
      <c r="D1028" t="s">
        <v>5861</v>
      </c>
      <c r="E1028">
        <v>424003</v>
      </c>
      <c r="F1028" t="s">
        <v>1</v>
      </c>
      <c r="G1028" t="s">
        <v>2</v>
      </c>
      <c r="H1028" t="s">
        <v>5862</v>
      </c>
      <c r="I1028" t="s">
        <v>5863</v>
      </c>
      <c r="Y1028" t="s">
        <v>5864</v>
      </c>
    </row>
    <row r="1029" spans="1:25" x14ac:dyDescent="0.25">
      <c r="A1029" t="str">
        <f>"1096034992"</f>
        <v>1096034992</v>
      </c>
      <c r="B1029" t="s">
        <v>738</v>
      </c>
      <c r="C1029" t="s">
        <v>739</v>
      </c>
      <c r="D1029" t="s">
        <v>5865</v>
      </c>
      <c r="E1029">
        <v>424037</v>
      </c>
      <c r="F1029" t="s">
        <v>1</v>
      </c>
      <c r="G1029" t="s">
        <v>2</v>
      </c>
      <c r="H1029" t="s">
        <v>2781</v>
      </c>
      <c r="I1029" t="s">
        <v>5866</v>
      </c>
      <c r="P1029" t="s">
        <v>5867</v>
      </c>
      <c r="Y1029" t="s">
        <v>5868</v>
      </c>
    </row>
    <row r="1030" spans="1:25" x14ac:dyDescent="0.25">
      <c r="A1030" t="str">
        <f>"1096155686"</f>
        <v>1096155686</v>
      </c>
      <c r="B1030" t="s">
        <v>417</v>
      </c>
      <c r="C1030" t="s">
        <v>418</v>
      </c>
      <c r="D1030" t="s">
        <v>5869</v>
      </c>
      <c r="E1030">
        <v>424033</v>
      </c>
      <c r="F1030" t="s">
        <v>1</v>
      </c>
      <c r="G1030" t="s">
        <v>2</v>
      </c>
      <c r="H1030" t="s">
        <v>4300</v>
      </c>
      <c r="I1030" t="s">
        <v>5870</v>
      </c>
      <c r="P1030" t="s">
        <v>5871</v>
      </c>
      <c r="Y1030" t="s">
        <v>5872</v>
      </c>
    </row>
    <row r="1031" spans="1:25" x14ac:dyDescent="0.25">
      <c r="A1031" t="str">
        <f>"1096214425"</f>
        <v>1096214425</v>
      </c>
      <c r="B1031" t="s">
        <v>447</v>
      </c>
      <c r="C1031" t="s">
        <v>5875</v>
      </c>
      <c r="D1031" t="s">
        <v>5873</v>
      </c>
      <c r="E1031">
        <v>424016</v>
      </c>
      <c r="F1031" t="s">
        <v>1</v>
      </c>
      <c r="G1031" t="s">
        <v>2</v>
      </c>
      <c r="H1031" t="s">
        <v>4568</v>
      </c>
      <c r="I1031" t="s">
        <v>5874</v>
      </c>
      <c r="P1031" t="s">
        <v>152</v>
      </c>
      <c r="Y1031" t="s">
        <v>4574</v>
      </c>
    </row>
    <row r="1032" spans="1:25" x14ac:dyDescent="0.25">
      <c r="A1032" t="str">
        <f>"1096232230"</f>
        <v>1096232230</v>
      </c>
      <c r="B1032" t="s">
        <v>1702</v>
      </c>
      <c r="C1032" t="s">
        <v>1703</v>
      </c>
      <c r="D1032" t="s">
        <v>5876</v>
      </c>
      <c r="E1032">
        <v>424007</v>
      </c>
      <c r="F1032" t="s">
        <v>1</v>
      </c>
      <c r="G1032" t="s">
        <v>2</v>
      </c>
      <c r="H1032" t="s">
        <v>5877</v>
      </c>
      <c r="I1032" t="s">
        <v>5878</v>
      </c>
      <c r="Y1032" t="s">
        <v>953</v>
      </c>
    </row>
    <row r="1033" spans="1:25" x14ac:dyDescent="0.25">
      <c r="A1033" t="str">
        <f>"1096240446"</f>
        <v>1096240446</v>
      </c>
      <c r="B1033" t="s">
        <v>624</v>
      </c>
      <c r="C1033" t="s">
        <v>2640</v>
      </c>
      <c r="D1033" t="s">
        <v>5879</v>
      </c>
      <c r="E1033">
        <v>424006</v>
      </c>
      <c r="F1033" t="s">
        <v>1</v>
      </c>
      <c r="G1033" t="s">
        <v>2</v>
      </c>
      <c r="H1033" t="s">
        <v>2185</v>
      </c>
      <c r="Y1033" t="s">
        <v>2191</v>
      </c>
    </row>
    <row r="1034" spans="1:25" x14ac:dyDescent="0.25">
      <c r="A1034" t="str">
        <f>"1096256679"</f>
        <v>1096256679</v>
      </c>
      <c r="B1034" t="s">
        <v>96</v>
      </c>
      <c r="C1034" t="s">
        <v>5883</v>
      </c>
      <c r="D1034" t="s">
        <v>5880</v>
      </c>
      <c r="E1034">
        <v>424000</v>
      </c>
      <c r="F1034" t="s">
        <v>1</v>
      </c>
      <c r="G1034" t="s">
        <v>2</v>
      </c>
      <c r="H1034" t="s">
        <v>404</v>
      </c>
      <c r="L1034" t="s">
        <v>5881</v>
      </c>
      <c r="M1034" t="s">
        <v>5882</v>
      </c>
      <c r="Y1034" t="s">
        <v>5884</v>
      </c>
    </row>
    <row r="1035" spans="1:25" x14ac:dyDescent="0.25">
      <c r="A1035" t="str">
        <f>"1096329350"</f>
        <v>1096329350</v>
      </c>
      <c r="B1035" t="s">
        <v>25</v>
      </c>
      <c r="C1035" t="s">
        <v>5888</v>
      </c>
      <c r="D1035" t="s">
        <v>5885</v>
      </c>
      <c r="E1035">
        <v>424006</v>
      </c>
      <c r="F1035" t="s">
        <v>1</v>
      </c>
      <c r="G1035" t="s">
        <v>2</v>
      </c>
      <c r="H1035" t="s">
        <v>5886</v>
      </c>
      <c r="I1035" t="s">
        <v>5887</v>
      </c>
      <c r="P1035" t="s">
        <v>5575</v>
      </c>
      <c r="Y1035" t="s">
        <v>5889</v>
      </c>
    </row>
    <row r="1036" spans="1:25" x14ac:dyDescent="0.25">
      <c r="A1036" t="str">
        <f>"1096365965"</f>
        <v>1096365965</v>
      </c>
      <c r="B1036" t="s">
        <v>417</v>
      </c>
      <c r="C1036" t="s">
        <v>418</v>
      </c>
      <c r="D1036" t="s">
        <v>5890</v>
      </c>
      <c r="E1036">
        <v>424004</v>
      </c>
      <c r="F1036" t="s">
        <v>1</v>
      </c>
      <c r="G1036" t="s">
        <v>2</v>
      </c>
      <c r="H1036" t="s">
        <v>2392</v>
      </c>
      <c r="I1036" t="s">
        <v>5891</v>
      </c>
      <c r="P1036" t="s">
        <v>5892</v>
      </c>
      <c r="Y1036" t="s">
        <v>5893</v>
      </c>
    </row>
    <row r="1037" spans="1:25" x14ac:dyDescent="0.25">
      <c r="A1037" t="str">
        <f>"1096564699"</f>
        <v>1096564699</v>
      </c>
      <c r="B1037" t="s">
        <v>18</v>
      </c>
      <c r="C1037" t="s">
        <v>5899</v>
      </c>
      <c r="D1037" t="s">
        <v>5894</v>
      </c>
      <c r="E1037">
        <v>424003</v>
      </c>
      <c r="F1037" t="s">
        <v>1</v>
      </c>
      <c r="G1037" t="s">
        <v>2</v>
      </c>
      <c r="H1037" t="s">
        <v>248</v>
      </c>
      <c r="I1037" t="s">
        <v>5895</v>
      </c>
      <c r="J1037" t="s">
        <v>5896</v>
      </c>
      <c r="L1037" t="s">
        <v>5897</v>
      </c>
      <c r="M1037" t="s">
        <v>5898</v>
      </c>
      <c r="P1037" t="s">
        <v>5900</v>
      </c>
      <c r="Y1037" t="s">
        <v>5901</v>
      </c>
    </row>
    <row r="1038" spans="1:25" x14ac:dyDescent="0.25">
      <c r="A1038" t="str">
        <f>"1096684091"</f>
        <v>1096684091</v>
      </c>
      <c r="B1038" t="s">
        <v>430</v>
      </c>
      <c r="C1038" t="s">
        <v>940</v>
      </c>
      <c r="D1038" t="s">
        <v>5902</v>
      </c>
      <c r="E1038">
        <v>424020</v>
      </c>
      <c r="F1038" t="s">
        <v>1</v>
      </c>
      <c r="G1038" t="s">
        <v>2</v>
      </c>
      <c r="H1038" t="s">
        <v>5903</v>
      </c>
      <c r="J1038" t="s">
        <v>5904</v>
      </c>
      <c r="Y1038" t="s">
        <v>5905</v>
      </c>
    </row>
    <row r="1039" spans="1:25" x14ac:dyDescent="0.25">
      <c r="A1039" t="str">
        <f>"1096711895"</f>
        <v>1096711895</v>
      </c>
      <c r="B1039" t="s">
        <v>2601</v>
      </c>
      <c r="C1039" t="s">
        <v>5375</v>
      </c>
      <c r="D1039" t="s">
        <v>5373</v>
      </c>
      <c r="F1039" t="s">
        <v>1</v>
      </c>
      <c r="G1039" t="s">
        <v>2</v>
      </c>
      <c r="H1039" t="s">
        <v>5906</v>
      </c>
      <c r="P1039" t="s">
        <v>799</v>
      </c>
      <c r="Y1039" t="s">
        <v>5907</v>
      </c>
    </row>
    <row r="1040" spans="1:25" x14ac:dyDescent="0.25">
      <c r="A1040" t="str">
        <f>"1096717934"</f>
        <v>1096717934</v>
      </c>
      <c r="B1040" t="s">
        <v>18</v>
      </c>
      <c r="C1040" t="s">
        <v>3349</v>
      </c>
      <c r="D1040" t="s">
        <v>5908</v>
      </c>
      <c r="E1040">
        <v>424007</v>
      </c>
      <c r="F1040" t="s">
        <v>1</v>
      </c>
      <c r="G1040" t="s">
        <v>2</v>
      </c>
      <c r="H1040" t="s">
        <v>5909</v>
      </c>
      <c r="I1040" t="s">
        <v>5910</v>
      </c>
      <c r="Y1040" t="s">
        <v>5911</v>
      </c>
    </row>
    <row r="1041" spans="1:25" x14ac:dyDescent="0.25">
      <c r="A1041" t="str">
        <f>"1096930311"</f>
        <v>1096930311</v>
      </c>
      <c r="B1041" t="s">
        <v>352</v>
      </c>
      <c r="C1041" t="s">
        <v>5914</v>
      </c>
      <c r="D1041" t="s">
        <v>5912</v>
      </c>
      <c r="E1041">
        <v>424032</v>
      </c>
      <c r="F1041" t="s">
        <v>1</v>
      </c>
      <c r="G1041" t="s">
        <v>2</v>
      </c>
      <c r="H1041" t="s">
        <v>5699</v>
      </c>
      <c r="I1041" t="s">
        <v>5913</v>
      </c>
      <c r="P1041" t="s">
        <v>27</v>
      </c>
      <c r="Y1041" t="s">
        <v>5709</v>
      </c>
    </row>
    <row r="1042" spans="1:25" x14ac:dyDescent="0.25">
      <c r="A1042" t="str">
        <f>"1097338322"</f>
        <v>1097338322</v>
      </c>
      <c r="B1042" t="s">
        <v>558</v>
      </c>
      <c r="C1042" t="s">
        <v>559</v>
      </c>
      <c r="D1042" t="s">
        <v>5915</v>
      </c>
      <c r="E1042">
        <v>424033</v>
      </c>
      <c r="F1042" t="s">
        <v>1</v>
      </c>
      <c r="G1042" t="s">
        <v>2</v>
      </c>
      <c r="H1042" t="s">
        <v>5916</v>
      </c>
      <c r="I1042" t="s">
        <v>5917</v>
      </c>
      <c r="Y1042" t="s">
        <v>5918</v>
      </c>
    </row>
    <row r="1043" spans="1:25" x14ac:dyDescent="0.25">
      <c r="A1043" t="str">
        <f>"1097348093"</f>
        <v>1097348093</v>
      </c>
      <c r="B1043" t="s">
        <v>1222</v>
      </c>
      <c r="C1043" t="s">
        <v>1223</v>
      </c>
      <c r="D1043" t="s">
        <v>5919</v>
      </c>
      <c r="E1043">
        <v>424006</v>
      </c>
      <c r="F1043" t="s">
        <v>1</v>
      </c>
      <c r="G1043" t="s">
        <v>2</v>
      </c>
      <c r="H1043" t="s">
        <v>5920</v>
      </c>
      <c r="I1043" t="s">
        <v>5921</v>
      </c>
      <c r="P1043" t="s">
        <v>5922</v>
      </c>
      <c r="Y1043" t="s">
        <v>5923</v>
      </c>
    </row>
    <row r="1044" spans="1:25" x14ac:dyDescent="0.25">
      <c r="A1044" t="str">
        <f>"1097445450"</f>
        <v>1097445450</v>
      </c>
      <c r="B1044" t="s">
        <v>96</v>
      </c>
      <c r="C1044" t="s">
        <v>507</v>
      </c>
      <c r="D1044" t="s">
        <v>5924</v>
      </c>
      <c r="E1044">
        <v>424002</v>
      </c>
      <c r="F1044" t="s">
        <v>1</v>
      </c>
      <c r="G1044" t="s">
        <v>2</v>
      </c>
      <c r="H1044" t="s">
        <v>5162</v>
      </c>
      <c r="I1044" t="s">
        <v>5925</v>
      </c>
      <c r="L1044" t="s">
        <v>5926</v>
      </c>
      <c r="M1044" t="s">
        <v>5927</v>
      </c>
      <c r="Q1044" t="s">
        <v>5928</v>
      </c>
      <c r="T1044" t="s">
        <v>5929</v>
      </c>
      <c r="V1044" t="s">
        <v>5930</v>
      </c>
      <c r="Y1044" t="s">
        <v>5931</v>
      </c>
    </row>
    <row r="1045" spans="1:25" x14ac:dyDescent="0.25">
      <c r="A1045" t="str">
        <f>"1097754490"</f>
        <v>1097754490</v>
      </c>
      <c r="B1045" t="s">
        <v>290</v>
      </c>
      <c r="C1045" t="s">
        <v>5937</v>
      </c>
      <c r="D1045" t="s">
        <v>5932</v>
      </c>
      <c r="E1045">
        <v>424002</v>
      </c>
      <c r="F1045" t="s">
        <v>1</v>
      </c>
      <c r="G1045" t="s">
        <v>2</v>
      </c>
      <c r="H1045" t="s">
        <v>5933</v>
      </c>
      <c r="I1045" t="s">
        <v>5934</v>
      </c>
      <c r="L1045" t="s">
        <v>5935</v>
      </c>
      <c r="M1045" t="s">
        <v>5936</v>
      </c>
      <c r="P1045" t="s">
        <v>5938</v>
      </c>
      <c r="V1045" t="s">
        <v>5939</v>
      </c>
      <c r="Y1045" t="s">
        <v>5940</v>
      </c>
    </row>
    <row r="1046" spans="1:25" x14ac:dyDescent="0.25">
      <c r="A1046" t="str">
        <f>"1097822286"</f>
        <v>1097822286</v>
      </c>
      <c r="B1046" t="s">
        <v>2677</v>
      </c>
      <c r="C1046" t="s">
        <v>2678</v>
      </c>
      <c r="D1046" t="s">
        <v>5941</v>
      </c>
      <c r="E1046">
        <v>424000</v>
      </c>
      <c r="F1046" t="s">
        <v>1</v>
      </c>
      <c r="G1046" t="s">
        <v>2</v>
      </c>
      <c r="H1046" t="s">
        <v>5942</v>
      </c>
      <c r="I1046" t="s">
        <v>5943</v>
      </c>
      <c r="Y1046" t="s">
        <v>5944</v>
      </c>
    </row>
    <row r="1047" spans="1:25" x14ac:dyDescent="0.25">
      <c r="A1047" t="str">
        <f>"1097849489"</f>
        <v>1097849489</v>
      </c>
      <c r="B1047" t="s">
        <v>25</v>
      </c>
      <c r="C1047" t="s">
        <v>5949</v>
      </c>
      <c r="D1047" t="s">
        <v>5236</v>
      </c>
      <c r="E1047">
        <v>424004</v>
      </c>
      <c r="F1047" t="s">
        <v>1</v>
      </c>
      <c r="G1047" t="s">
        <v>2</v>
      </c>
      <c r="H1047" t="s">
        <v>5945</v>
      </c>
      <c r="I1047" t="s">
        <v>5946</v>
      </c>
      <c r="K1047" t="s">
        <v>5947</v>
      </c>
      <c r="L1047" t="s">
        <v>5239</v>
      </c>
      <c r="M1047" t="s">
        <v>5948</v>
      </c>
      <c r="P1047" t="s">
        <v>20</v>
      </c>
      <c r="Y1047" t="s">
        <v>5950</v>
      </c>
    </row>
    <row r="1048" spans="1:25" x14ac:dyDescent="0.25">
      <c r="A1048" t="str">
        <f>"1097905245"</f>
        <v>1097905245</v>
      </c>
      <c r="B1048" t="s">
        <v>123</v>
      </c>
      <c r="C1048" t="s">
        <v>424</v>
      </c>
      <c r="D1048" t="s">
        <v>5951</v>
      </c>
      <c r="E1048">
        <v>424036</v>
      </c>
      <c r="F1048" t="s">
        <v>1</v>
      </c>
      <c r="G1048" t="s">
        <v>2</v>
      </c>
      <c r="H1048" t="s">
        <v>5952</v>
      </c>
      <c r="I1048" t="s">
        <v>5953</v>
      </c>
      <c r="L1048" t="s">
        <v>5954</v>
      </c>
      <c r="M1048" t="s">
        <v>5955</v>
      </c>
      <c r="P1048" t="s">
        <v>425</v>
      </c>
      <c r="Y1048" t="s">
        <v>5956</v>
      </c>
    </row>
    <row r="1049" spans="1:25" x14ac:dyDescent="0.25">
      <c r="A1049" t="str">
        <f>"1098533382"</f>
        <v>1098533382</v>
      </c>
      <c r="B1049" t="s">
        <v>456</v>
      </c>
      <c r="C1049" t="s">
        <v>5959</v>
      </c>
      <c r="D1049" t="s">
        <v>5957</v>
      </c>
      <c r="E1049">
        <v>424003</v>
      </c>
      <c r="F1049" t="s">
        <v>1</v>
      </c>
      <c r="G1049" t="s">
        <v>2</v>
      </c>
      <c r="H1049" t="s">
        <v>862</v>
      </c>
      <c r="J1049" t="s">
        <v>5958</v>
      </c>
      <c r="P1049" t="s">
        <v>3456</v>
      </c>
      <c r="Y1049" t="s">
        <v>865</v>
      </c>
    </row>
    <row r="1050" spans="1:25" x14ac:dyDescent="0.25">
      <c r="A1050" t="str">
        <f>"1098616773"</f>
        <v>1098616773</v>
      </c>
      <c r="B1050" t="s">
        <v>123</v>
      </c>
      <c r="C1050" t="s">
        <v>424</v>
      </c>
      <c r="D1050" t="s">
        <v>5960</v>
      </c>
      <c r="E1050">
        <v>424007</v>
      </c>
      <c r="F1050" t="s">
        <v>1</v>
      </c>
      <c r="G1050" t="s">
        <v>2</v>
      </c>
      <c r="H1050" t="s">
        <v>5961</v>
      </c>
      <c r="I1050" t="s">
        <v>5962</v>
      </c>
      <c r="L1050" t="s">
        <v>5963</v>
      </c>
      <c r="M1050" t="s">
        <v>5964</v>
      </c>
      <c r="P1050" t="s">
        <v>425</v>
      </c>
      <c r="Y1050" t="s">
        <v>5965</v>
      </c>
    </row>
    <row r="1051" spans="1:25" x14ac:dyDescent="0.25">
      <c r="A1051" t="str">
        <f>"1098726529"</f>
        <v>1098726529</v>
      </c>
      <c r="B1051" t="s">
        <v>348</v>
      </c>
      <c r="C1051" t="s">
        <v>5971</v>
      </c>
      <c r="D1051" t="s">
        <v>5966</v>
      </c>
      <c r="E1051">
        <v>424002</v>
      </c>
      <c r="F1051" t="s">
        <v>1</v>
      </c>
      <c r="G1051" t="s">
        <v>2</v>
      </c>
      <c r="H1051" t="s">
        <v>5967</v>
      </c>
      <c r="I1051" t="s">
        <v>5968</v>
      </c>
      <c r="L1051" t="s">
        <v>5969</v>
      </c>
      <c r="M1051" t="s">
        <v>5970</v>
      </c>
      <c r="P1051" t="s">
        <v>2731</v>
      </c>
      <c r="Q1051" t="s">
        <v>5972</v>
      </c>
      <c r="R1051" t="s">
        <v>5973</v>
      </c>
      <c r="T1051" t="s">
        <v>5974</v>
      </c>
      <c r="V1051" t="s">
        <v>5975</v>
      </c>
      <c r="Y1051" t="s">
        <v>5976</v>
      </c>
    </row>
    <row r="1052" spans="1:25" x14ac:dyDescent="0.25">
      <c r="A1052" t="str">
        <f>"1098775269"</f>
        <v>1098775269</v>
      </c>
      <c r="B1052" t="s">
        <v>151</v>
      </c>
      <c r="C1052" t="s">
        <v>1034</v>
      </c>
      <c r="D1052" t="s">
        <v>5977</v>
      </c>
      <c r="E1052">
        <v>424002</v>
      </c>
      <c r="F1052" t="s">
        <v>1</v>
      </c>
      <c r="G1052" t="s">
        <v>2</v>
      </c>
      <c r="H1052" t="s">
        <v>5596</v>
      </c>
      <c r="I1052" t="s">
        <v>5978</v>
      </c>
      <c r="J1052" t="s">
        <v>5598</v>
      </c>
      <c r="L1052" t="s">
        <v>5979</v>
      </c>
      <c r="M1052" t="s">
        <v>5980</v>
      </c>
      <c r="P1052" t="s">
        <v>20</v>
      </c>
      <c r="Y1052" t="s">
        <v>5981</v>
      </c>
    </row>
    <row r="1053" spans="1:25" x14ac:dyDescent="0.25">
      <c r="A1053" t="str">
        <f>"1099130953"</f>
        <v>1099130953</v>
      </c>
      <c r="B1053" t="s">
        <v>1343</v>
      </c>
      <c r="C1053" t="s">
        <v>5984</v>
      </c>
      <c r="D1053" t="s">
        <v>3507</v>
      </c>
      <c r="E1053">
        <v>424000</v>
      </c>
      <c r="F1053" t="s">
        <v>1</v>
      </c>
      <c r="G1053" t="s">
        <v>2</v>
      </c>
      <c r="H1053" t="s">
        <v>1473</v>
      </c>
      <c r="I1053" t="s">
        <v>5982</v>
      </c>
      <c r="L1053" t="s">
        <v>3511</v>
      </c>
      <c r="M1053" t="s">
        <v>5983</v>
      </c>
      <c r="P1053" t="s">
        <v>941</v>
      </c>
      <c r="Y1053" t="s">
        <v>5985</v>
      </c>
    </row>
    <row r="1054" spans="1:25" x14ac:dyDescent="0.25">
      <c r="A1054" t="str">
        <f>"1099395726"</f>
        <v>1099395726</v>
      </c>
      <c r="B1054" t="s">
        <v>151</v>
      </c>
      <c r="C1054" t="s">
        <v>151</v>
      </c>
      <c r="D1054" t="s">
        <v>5986</v>
      </c>
      <c r="E1054">
        <v>424039</v>
      </c>
      <c r="F1054" t="s">
        <v>1</v>
      </c>
      <c r="G1054" t="s">
        <v>2</v>
      </c>
      <c r="H1054" t="s">
        <v>5827</v>
      </c>
      <c r="I1054" t="s">
        <v>5987</v>
      </c>
      <c r="J1054" t="s">
        <v>5988</v>
      </c>
      <c r="P1054" t="s">
        <v>152</v>
      </c>
      <c r="Y1054" t="s">
        <v>5989</v>
      </c>
    </row>
    <row r="1055" spans="1:25" x14ac:dyDescent="0.25">
      <c r="A1055" t="str">
        <f>"1099423939"</f>
        <v>1099423939</v>
      </c>
      <c r="B1055" t="s">
        <v>1702</v>
      </c>
      <c r="C1055" t="s">
        <v>2265</v>
      </c>
      <c r="D1055" t="s">
        <v>5990</v>
      </c>
      <c r="E1055">
        <v>424031</v>
      </c>
      <c r="F1055" t="s">
        <v>1</v>
      </c>
      <c r="G1055" t="s">
        <v>2</v>
      </c>
      <c r="H1055" t="s">
        <v>5991</v>
      </c>
      <c r="L1055" t="s">
        <v>5992</v>
      </c>
      <c r="Y1055" t="s">
        <v>5993</v>
      </c>
    </row>
    <row r="1056" spans="1:25" x14ac:dyDescent="0.25">
      <c r="A1056" t="str">
        <f>"1099481058"</f>
        <v>1099481058</v>
      </c>
      <c r="B1056" t="s">
        <v>25</v>
      </c>
      <c r="C1056" t="s">
        <v>5632</v>
      </c>
      <c r="D1056" t="s">
        <v>5994</v>
      </c>
      <c r="E1056">
        <v>424006</v>
      </c>
      <c r="F1056" t="s">
        <v>1</v>
      </c>
      <c r="G1056" t="s">
        <v>2</v>
      </c>
      <c r="H1056" t="s">
        <v>2966</v>
      </c>
      <c r="I1056" t="s">
        <v>5995</v>
      </c>
      <c r="L1056" t="s">
        <v>5996</v>
      </c>
      <c r="M1056" t="s">
        <v>5997</v>
      </c>
      <c r="P1056" t="s">
        <v>27</v>
      </c>
      <c r="Y1056" t="s">
        <v>2970</v>
      </c>
    </row>
    <row r="1057" spans="1:25" x14ac:dyDescent="0.25">
      <c r="A1057" t="str">
        <f>"1099491942"</f>
        <v>1099491942</v>
      </c>
      <c r="B1057" t="s">
        <v>417</v>
      </c>
      <c r="C1057" t="s">
        <v>418</v>
      </c>
      <c r="D1057" t="s">
        <v>2433</v>
      </c>
      <c r="E1057">
        <v>424002</v>
      </c>
      <c r="F1057" t="s">
        <v>1</v>
      </c>
      <c r="G1057" t="s">
        <v>2</v>
      </c>
      <c r="H1057" t="s">
        <v>5998</v>
      </c>
      <c r="I1057" t="s">
        <v>5999</v>
      </c>
      <c r="L1057" t="s">
        <v>2436</v>
      </c>
      <c r="M1057" t="s">
        <v>2437</v>
      </c>
      <c r="P1057" t="s">
        <v>2438</v>
      </c>
      <c r="Y1057" t="s">
        <v>6000</v>
      </c>
    </row>
    <row r="1058" spans="1:25" x14ac:dyDescent="0.25">
      <c r="A1058" t="str">
        <f>"1099555666"</f>
        <v>1099555666</v>
      </c>
      <c r="B1058" t="s">
        <v>18</v>
      </c>
      <c r="C1058" t="s">
        <v>6004</v>
      </c>
      <c r="D1058" t="s">
        <v>4756</v>
      </c>
      <c r="E1058">
        <v>424003</v>
      </c>
      <c r="F1058" t="s">
        <v>1</v>
      </c>
      <c r="G1058" t="s">
        <v>2</v>
      </c>
      <c r="H1058" t="s">
        <v>3647</v>
      </c>
      <c r="I1058" t="s">
        <v>6001</v>
      </c>
      <c r="L1058" t="s">
        <v>6002</v>
      </c>
      <c r="M1058" t="s">
        <v>6003</v>
      </c>
      <c r="P1058" t="s">
        <v>2580</v>
      </c>
      <c r="Y1058" t="s">
        <v>6005</v>
      </c>
    </row>
    <row r="1059" spans="1:25" x14ac:dyDescent="0.25">
      <c r="A1059" t="str">
        <f>"1099559946"</f>
        <v>1099559946</v>
      </c>
      <c r="B1059" t="s">
        <v>482</v>
      </c>
      <c r="C1059" t="s">
        <v>6009</v>
      </c>
      <c r="D1059" t="s">
        <v>6006</v>
      </c>
      <c r="E1059">
        <v>424000</v>
      </c>
      <c r="F1059" t="s">
        <v>1</v>
      </c>
      <c r="G1059" t="s">
        <v>2</v>
      </c>
      <c r="H1059" t="s">
        <v>6007</v>
      </c>
      <c r="I1059" t="s">
        <v>6008</v>
      </c>
      <c r="P1059" t="s">
        <v>2044</v>
      </c>
      <c r="Y1059" t="s">
        <v>5529</v>
      </c>
    </row>
    <row r="1060" spans="1:25" x14ac:dyDescent="0.25">
      <c r="A1060" t="str">
        <f>"1099622493"</f>
        <v>1099622493</v>
      </c>
      <c r="B1060" t="s">
        <v>1182</v>
      </c>
      <c r="C1060" t="s">
        <v>6011</v>
      </c>
      <c r="D1060" t="s">
        <v>6010</v>
      </c>
      <c r="E1060">
        <v>424006</v>
      </c>
      <c r="F1060" t="s">
        <v>1</v>
      </c>
      <c r="G1060" t="s">
        <v>2</v>
      </c>
      <c r="H1060" t="s">
        <v>3521</v>
      </c>
      <c r="Y1060" t="s">
        <v>3523</v>
      </c>
    </row>
    <row r="1061" spans="1:25" x14ac:dyDescent="0.25">
      <c r="A1061" t="str">
        <f>"1099868076"</f>
        <v>1099868076</v>
      </c>
      <c r="B1061" t="s">
        <v>1573</v>
      </c>
      <c r="C1061" t="s">
        <v>3282</v>
      </c>
      <c r="D1061" t="s">
        <v>3277</v>
      </c>
      <c r="E1061">
        <v>424002</v>
      </c>
      <c r="F1061" t="s">
        <v>1</v>
      </c>
      <c r="G1061" t="s">
        <v>2</v>
      </c>
      <c r="H1061" t="s">
        <v>6012</v>
      </c>
      <c r="I1061" t="s">
        <v>6013</v>
      </c>
      <c r="L1061" t="s">
        <v>3280</v>
      </c>
      <c r="M1061" t="s">
        <v>3281</v>
      </c>
      <c r="P1061" t="s">
        <v>410</v>
      </c>
      <c r="Y1061" t="s">
        <v>6014</v>
      </c>
    </row>
    <row r="1062" spans="1:25" x14ac:dyDescent="0.25">
      <c r="A1062" t="str">
        <f>"1099883846"</f>
        <v>1099883846</v>
      </c>
      <c r="B1062" t="s">
        <v>388</v>
      </c>
      <c r="C1062" t="s">
        <v>6019</v>
      </c>
      <c r="D1062" t="s">
        <v>6015</v>
      </c>
      <c r="E1062">
        <v>424004</v>
      </c>
      <c r="F1062" t="s">
        <v>1</v>
      </c>
      <c r="G1062" t="s">
        <v>2</v>
      </c>
      <c r="H1062" t="s">
        <v>4791</v>
      </c>
      <c r="I1062" t="s">
        <v>6016</v>
      </c>
      <c r="L1062" t="s">
        <v>6017</v>
      </c>
      <c r="M1062" t="s">
        <v>6018</v>
      </c>
      <c r="P1062" t="s">
        <v>280</v>
      </c>
      <c r="Y1062" t="s">
        <v>6020</v>
      </c>
    </row>
    <row r="1063" spans="1:25" x14ac:dyDescent="0.25">
      <c r="A1063" t="str">
        <f>"1099990225"</f>
        <v>1099990225</v>
      </c>
      <c r="B1063" t="s">
        <v>7</v>
      </c>
      <c r="C1063" t="s">
        <v>6023</v>
      </c>
      <c r="D1063" t="s">
        <v>6021</v>
      </c>
      <c r="E1063">
        <v>424020</v>
      </c>
      <c r="F1063" t="s">
        <v>1</v>
      </c>
      <c r="G1063" t="s">
        <v>2</v>
      </c>
      <c r="H1063" t="s">
        <v>23</v>
      </c>
      <c r="I1063" t="s">
        <v>6022</v>
      </c>
      <c r="Y1063" t="s">
        <v>6024</v>
      </c>
    </row>
    <row r="1064" spans="1:25" x14ac:dyDescent="0.25">
      <c r="A1064" t="str">
        <f>"1100021627"</f>
        <v>1100021627</v>
      </c>
      <c r="B1064" t="s">
        <v>2236</v>
      </c>
      <c r="C1064" t="s">
        <v>6029</v>
      </c>
      <c r="D1064" t="s">
        <v>6025</v>
      </c>
      <c r="F1064" t="s">
        <v>1</v>
      </c>
      <c r="G1064" t="s">
        <v>2</v>
      </c>
      <c r="H1064" t="s">
        <v>6026</v>
      </c>
      <c r="I1064" t="s">
        <v>6027</v>
      </c>
      <c r="L1064" t="s">
        <v>6028</v>
      </c>
      <c r="P1064" t="s">
        <v>280</v>
      </c>
      <c r="Y1064" t="s">
        <v>6030</v>
      </c>
    </row>
    <row r="1065" spans="1:25" x14ac:dyDescent="0.25">
      <c r="A1065" t="str">
        <f>"1100034887"</f>
        <v>1100034887</v>
      </c>
      <c r="B1065" t="s">
        <v>2790</v>
      </c>
      <c r="C1065" t="s">
        <v>3528</v>
      </c>
      <c r="D1065" t="s">
        <v>6031</v>
      </c>
      <c r="E1065">
        <v>424002</v>
      </c>
      <c r="F1065" t="s">
        <v>1</v>
      </c>
      <c r="G1065" t="s">
        <v>2</v>
      </c>
      <c r="H1065" t="s">
        <v>6032</v>
      </c>
      <c r="I1065" t="s">
        <v>6033</v>
      </c>
      <c r="L1065" t="s">
        <v>6034</v>
      </c>
      <c r="M1065" t="s">
        <v>6035</v>
      </c>
      <c r="P1065" t="s">
        <v>20</v>
      </c>
      <c r="Q1065" t="s">
        <v>6036</v>
      </c>
      <c r="T1065" t="s">
        <v>6037</v>
      </c>
      <c r="Y1065" t="s">
        <v>6038</v>
      </c>
    </row>
    <row r="1066" spans="1:25" x14ac:dyDescent="0.25">
      <c r="A1066" t="str">
        <f>"1100108948"</f>
        <v>1100108948</v>
      </c>
      <c r="B1066" t="s">
        <v>930</v>
      </c>
      <c r="C1066" t="s">
        <v>1096</v>
      </c>
      <c r="D1066" t="s">
        <v>6039</v>
      </c>
      <c r="E1066">
        <v>424005</v>
      </c>
      <c r="F1066" t="s">
        <v>1</v>
      </c>
      <c r="G1066" t="s">
        <v>2</v>
      </c>
      <c r="H1066" t="s">
        <v>6040</v>
      </c>
      <c r="I1066" t="s">
        <v>6041</v>
      </c>
      <c r="J1066" t="s">
        <v>6042</v>
      </c>
      <c r="P1066" t="s">
        <v>3938</v>
      </c>
      <c r="Y1066" t="s">
        <v>6043</v>
      </c>
    </row>
    <row r="1067" spans="1:25" x14ac:dyDescent="0.25">
      <c r="A1067" t="str">
        <f>"1100131733"</f>
        <v>1100131733</v>
      </c>
      <c r="B1067" t="s">
        <v>888</v>
      </c>
      <c r="C1067" t="s">
        <v>6047</v>
      </c>
      <c r="D1067" t="s">
        <v>6044</v>
      </c>
      <c r="E1067">
        <v>424032</v>
      </c>
      <c r="F1067" t="s">
        <v>1</v>
      </c>
      <c r="G1067" t="s">
        <v>2</v>
      </c>
      <c r="H1067" t="s">
        <v>6045</v>
      </c>
      <c r="I1067" t="s">
        <v>6046</v>
      </c>
      <c r="Y1067" t="s">
        <v>6048</v>
      </c>
    </row>
    <row r="1068" spans="1:25" x14ac:dyDescent="0.25">
      <c r="A1068" t="str">
        <f>"1100136905"</f>
        <v>1100136905</v>
      </c>
      <c r="B1068" t="s">
        <v>574</v>
      </c>
      <c r="C1068" t="s">
        <v>646</v>
      </c>
      <c r="D1068" t="s">
        <v>6049</v>
      </c>
      <c r="E1068">
        <v>424003</v>
      </c>
      <c r="F1068" t="s">
        <v>1</v>
      </c>
      <c r="G1068" t="s">
        <v>2</v>
      </c>
      <c r="H1068" t="s">
        <v>6050</v>
      </c>
      <c r="I1068" t="s">
        <v>6051</v>
      </c>
      <c r="P1068" t="s">
        <v>330</v>
      </c>
      <c r="Y1068" t="s">
        <v>6052</v>
      </c>
    </row>
    <row r="1069" spans="1:25" x14ac:dyDescent="0.25">
      <c r="A1069" t="str">
        <f>"1100308282"</f>
        <v>1100308282</v>
      </c>
      <c r="B1069" t="s">
        <v>334</v>
      </c>
      <c r="C1069" t="s">
        <v>5366</v>
      </c>
      <c r="D1069" t="s">
        <v>6053</v>
      </c>
      <c r="E1069">
        <v>424002</v>
      </c>
      <c r="F1069" t="s">
        <v>1</v>
      </c>
      <c r="G1069" t="s">
        <v>2</v>
      </c>
      <c r="H1069" t="s">
        <v>662</v>
      </c>
      <c r="Y1069" t="s">
        <v>3342</v>
      </c>
    </row>
    <row r="1070" spans="1:25" x14ac:dyDescent="0.25">
      <c r="A1070" t="str">
        <f>"1100409342"</f>
        <v>1100409342</v>
      </c>
      <c r="B1070" t="s">
        <v>797</v>
      </c>
      <c r="C1070" t="s">
        <v>5123</v>
      </c>
      <c r="D1070" t="s">
        <v>6054</v>
      </c>
      <c r="E1070">
        <v>424002</v>
      </c>
      <c r="F1070" t="s">
        <v>1</v>
      </c>
      <c r="G1070" t="s">
        <v>2</v>
      </c>
      <c r="H1070" t="s">
        <v>57</v>
      </c>
      <c r="I1070" t="s">
        <v>6055</v>
      </c>
      <c r="L1070" t="s">
        <v>6056</v>
      </c>
      <c r="M1070" t="s">
        <v>6057</v>
      </c>
      <c r="P1070" t="s">
        <v>399</v>
      </c>
      <c r="Y1070" t="s">
        <v>3783</v>
      </c>
    </row>
    <row r="1071" spans="1:25" x14ac:dyDescent="0.25">
      <c r="A1071" t="str">
        <f>"1100448389"</f>
        <v>1100448389</v>
      </c>
      <c r="B1071" t="s">
        <v>574</v>
      </c>
      <c r="C1071" t="s">
        <v>6061</v>
      </c>
      <c r="D1071" t="s">
        <v>6058</v>
      </c>
      <c r="E1071">
        <v>424038</v>
      </c>
      <c r="F1071" t="s">
        <v>1</v>
      </c>
      <c r="G1071" t="s">
        <v>2</v>
      </c>
      <c r="H1071" t="s">
        <v>6059</v>
      </c>
      <c r="J1071" t="s">
        <v>6060</v>
      </c>
      <c r="P1071" t="s">
        <v>1642</v>
      </c>
      <c r="Y1071" t="s">
        <v>6062</v>
      </c>
    </row>
    <row r="1072" spans="1:25" x14ac:dyDescent="0.25">
      <c r="A1072" t="str">
        <f>"1100460798"</f>
        <v>1100460798</v>
      </c>
      <c r="B1072" t="s">
        <v>1604</v>
      </c>
      <c r="C1072" t="s">
        <v>2271</v>
      </c>
      <c r="D1072" t="s">
        <v>6063</v>
      </c>
      <c r="E1072">
        <v>424002</v>
      </c>
      <c r="F1072" t="s">
        <v>1</v>
      </c>
      <c r="G1072" t="s">
        <v>2</v>
      </c>
      <c r="H1072" t="s">
        <v>57</v>
      </c>
      <c r="I1072" t="s">
        <v>6064</v>
      </c>
      <c r="K1072" t="s">
        <v>6064</v>
      </c>
      <c r="Y1072" t="s">
        <v>6065</v>
      </c>
    </row>
    <row r="1073" spans="1:25" x14ac:dyDescent="0.25">
      <c r="A1073" t="str">
        <f>"1100543622"</f>
        <v>1100543622</v>
      </c>
      <c r="B1073" t="s">
        <v>88</v>
      </c>
      <c r="C1073" t="s">
        <v>6066</v>
      </c>
      <c r="D1073" t="s">
        <v>1755</v>
      </c>
      <c r="E1073">
        <v>424002</v>
      </c>
      <c r="F1073" t="s">
        <v>1</v>
      </c>
      <c r="G1073" t="s">
        <v>2</v>
      </c>
      <c r="H1073" t="s">
        <v>3864</v>
      </c>
      <c r="I1073" t="s">
        <v>3199</v>
      </c>
      <c r="P1073" t="s">
        <v>1760</v>
      </c>
      <c r="Y1073" t="s">
        <v>6067</v>
      </c>
    </row>
    <row r="1074" spans="1:25" x14ac:dyDescent="0.25">
      <c r="A1074" t="str">
        <f>"1100633233"</f>
        <v>1100633233</v>
      </c>
      <c r="B1074" t="s">
        <v>930</v>
      </c>
      <c r="C1074" t="s">
        <v>6070</v>
      </c>
      <c r="D1074" t="s">
        <v>6068</v>
      </c>
      <c r="E1074">
        <v>424008</v>
      </c>
      <c r="F1074" t="s">
        <v>1</v>
      </c>
      <c r="G1074" t="s">
        <v>2</v>
      </c>
      <c r="H1074" t="s">
        <v>1895</v>
      </c>
      <c r="I1074" t="s">
        <v>6069</v>
      </c>
      <c r="P1074" t="s">
        <v>330</v>
      </c>
      <c r="Y1074" t="s">
        <v>1898</v>
      </c>
    </row>
    <row r="1075" spans="1:25" x14ac:dyDescent="0.25">
      <c r="A1075" t="str">
        <f>"1100640371"</f>
        <v>1100640371</v>
      </c>
      <c r="B1075" t="s">
        <v>456</v>
      </c>
      <c r="C1075" t="s">
        <v>6076</v>
      </c>
      <c r="D1075" t="s">
        <v>6071</v>
      </c>
      <c r="E1075">
        <v>424036</v>
      </c>
      <c r="F1075" t="s">
        <v>1</v>
      </c>
      <c r="G1075" t="s">
        <v>2</v>
      </c>
      <c r="H1075" t="s">
        <v>6072</v>
      </c>
      <c r="I1075" t="s">
        <v>6073</v>
      </c>
      <c r="L1075" t="s">
        <v>6074</v>
      </c>
      <c r="M1075" t="s">
        <v>6075</v>
      </c>
      <c r="P1075" t="s">
        <v>27</v>
      </c>
      <c r="Y1075" t="s">
        <v>6077</v>
      </c>
    </row>
    <row r="1076" spans="1:25" x14ac:dyDescent="0.25">
      <c r="A1076" t="str">
        <f>"1100862415"</f>
        <v>1100862415</v>
      </c>
      <c r="B1076" t="s">
        <v>6083</v>
      </c>
      <c r="C1076" t="s">
        <v>6084</v>
      </c>
      <c r="D1076" t="s">
        <v>6078</v>
      </c>
      <c r="E1076">
        <v>424002</v>
      </c>
      <c r="F1076" t="s">
        <v>1</v>
      </c>
      <c r="G1076" t="s">
        <v>2</v>
      </c>
      <c r="H1076" t="s">
        <v>6079</v>
      </c>
      <c r="I1076" t="s">
        <v>6080</v>
      </c>
      <c r="K1076" t="s">
        <v>6081</v>
      </c>
      <c r="L1076" t="s">
        <v>6082</v>
      </c>
      <c r="P1076" t="s">
        <v>9</v>
      </c>
      <c r="Q1076" t="s">
        <v>6085</v>
      </c>
      <c r="S1076" t="s">
        <v>6086</v>
      </c>
      <c r="T1076" t="s">
        <v>6087</v>
      </c>
      <c r="Y1076" t="s">
        <v>6088</v>
      </c>
    </row>
    <row r="1077" spans="1:25" x14ac:dyDescent="0.25">
      <c r="A1077" t="str">
        <f>"1100892940"</f>
        <v>1100892940</v>
      </c>
      <c r="B1077" t="s">
        <v>123</v>
      </c>
      <c r="C1077" t="s">
        <v>424</v>
      </c>
      <c r="D1077" t="s">
        <v>6089</v>
      </c>
      <c r="E1077">
        <v>424003</v>
      </c>
      <c r="F1077" t="s">
        <v>1</v>
      </c>
      <c r="G1077" t="s">
        <v>2</v>
      </c>
      <c r="H1077" t="s">
        <v>6090</v>
      </c>
      <c r="I1077" t="s">
        <v>6091</v>
      </c>
      <c r="L1077" t="s">
        <v>6092</v>
      </c>
      <c r="M1077" t="s">
        <v>6093</v>
      </c>
      <c r="P1077" t="s">
        <v>390</v>
      </c>
      <c r="Y1077" t="s">
        <v>6094</v>
      </c>
    </row>
    <row r="1078" spans="1:25" x14ac:dyDescent="0.25">
      <c r="A1078" t="str">
        <f>"1100904582"</f>
        <v>1100904582</v>
      </c>
      <c r="B1078" t="s">
        <v>1230</v>
      </c>
      <c r="C1078" t="s">
        <v>2526</v>
      </c>
      <c r="D1078" t="s">
        <v>6095</v>
      </c>
      <c r="E1078">
        <v>424006</v>
      </c>
      <c r="F1078" t="s">
        <v>1</v>
      </c>
      <c r="G1078" t="s">
        <v>2</v>
      </c>
      <c r="H1078" t="s">
        <v>6096</v>
      </c>
      <c r="I1078" t="s">
        <v>6097</v>
      </c>
      <c r="L1078" t="s">
        <v>6098</v>
      </c>
      <c r="M1078" t="s">
        <v>6099</v>
      </c>
      <c r="P1078" t="s">
        <v>6100</v>
      </c>
      <c r="Y1078" t="s">
        <v>6101</v>
      </c>
    </row>
    <row r="1079" spans="1:25" x14ac:dyDescent="0.25">
      <c r="A1079" t="str">
        <f>"1100942621"</f>
        <v>1100942621</v>
      </c>
      <c r="B1079" t="s">
        <v>379</v>
      </c>
      <c r="C1079" t="s">
        <v>6107</v>
      </c>
      <c r="D1079" t="s">
        <v>6102</v>
      </c>
      <c r="F1079" t="s">
        <v>1</v>
      </c>
      <c r="G1079" t="s">
        <v>2</v>
      </c>
      <c r="H1079" t="s">
        <v>1600</v>
      </c>
      <c r="I1079" t="s">
        <v>6103</v>
      </c>
      <c r="J1079" t="s">
        <v>6104</v>
      </c>
      <c r="L1079" t="s">
        <v>6105</v>
      </c>
      <c r="M1079" t="s">
        <v>6106</v>
      </c>
      <c r="P1079" t="s">
        <v>27</v>
      </c>
      <c r="Y1079" t="s">
        <v>2417</v>
      </c>
    </row>
    <row r="1080" spans="1:25" x14ac:dyDescent="0.25">
      <c r="A1080" t="str">
        <f>"1100998749"</f>
        <v>1100998749</v>
      </c>
      <c r="B1080" t="s">
        <v>352</v>
      </c>
      <c r="C1080" t="s">
        <v>6112</v>
      </c>
      <c r="D1080" t="s">
        <v>6108</v>
      </c>
      <c r="E1080">
        <v>424006</v>
      </c>
      <c r="F1080" t="s">
        <v>1</v>
      </c>
      <c r="G1080" t="s">
        <v>2</v>
      </c>
      <c r="H1080" t="s">
        <v>751</v>
      </c>
      <c r="I1080" t="s">
        <v>6109</v>
      </c>
      <c r="L1080" t="s">
        <v>6110</v>
      </c>
      <c r="M1080" t="s">
        <v>6111</v>
      </c>
      <c r="P1080" t="s">
        <v>260</v>
      </c>
      <c r="Q1080" t="s">
        <v>6113</v>
      </c>
      <c r="Y1080" t="s">
        <v>755</v>
      </c>
    </row>
    <row r="1081" spans="1:25" x14ac:dyDescent="0.25">
      <c r="A1081" t="str">
        <f>"1101056687"</f>
        <v>1101056687</v>
      </c>
      <c r="B1081" t="s">
        <v>352</v>
      </c>
      <c r="C1081" t="s">
        <v>6118</v>
      </c>
      <c r="D1081" t="s">
        <v>6114</v>
      </c>
      <c r="E1081">
        <v>424005</v>
      </c>
      <c r="F1081" t="s">
        <v>1</v>
      </c>
      <c r="G1081" t="s">
        <v>2</v>
      </c>
      <c r="H1081" t="s">
        <v>1310</v>
      </c>
      <c r="I1081" t="s">
        <v>6115</v>
      </c>
      <c r="K1081" t="s">
        <v>6115</v>
      </c>
      <c r="L1081" t="s">
        <v>6116</v>
      </c>
      <c r="M1081" t="s">
        <v>6117</v>
      </c>
      <c r="P1081" t="s">
        <v>20</v>
      </c>
      <c r="Y1081" t="s">
        <v>6119</v>
      </c>
    </row>
    <row r="1082" spans="1:25" x14ac:dyDescent="0.25">
      <c r="A1082" t="str">
        <f>"1101348090"</f>
        <v>1101348090</v>
      </c>
      <c r="B1082" t="s">
        <v>2474</v>
      </c>
      <c r="C1082" t="s">
        <v>2475</v>
      </c>
      <c r="D1082" t="s">
        <v>6120</v>
      </c>
      <c r="E1082">
        <v>424036</v>
      </c>
      <c r="F1082" t="s">
        <v>1</v>
      </c>
      <c r="G1082" t="s">
        <v>2</v>
      </c>
      <c r="H1082" t="s">
        <v>3896</v>
      </c>
      <c r="I1082" t="s">
        <v>6121</v>
      </c>
      <c r="L1082" t="s">
        <v>581</v>
      </c>
      <c r="M1082" t="s">
        <v>6122</v>
      </c>
      <c r="P1082" t="s">
        <v>6123</v>
      </c>
      <c r="Y1082" t="s">
        <v>6124</v>
      </c>
    </row>
    <row r="1083" spans="1:25" x14ac:dyDescent="0.25">
      <c r="A1083" t="str">
        <f>"1101429746"</f>
        <v>1101429746</v>
      </c>
      <c r="B1083" t="s">
        <v>88</v>
      </c>
      <c r="C1083" t="s">
        <v>6066</v>
      </c>
      <c r="D1083" t="s">
        <v>6125</v>
      </c>
      <c r="E1083">
        <v>424033</v>
      </c>
      <c r="F1083" t="s">
        <v>1</v>
      </c>
      <c r="G1083" t="s">
        <v>2</v>
      </c>
      <c r="H1083" t="s">
        <v>6126</v>
      </c>
      <c r="J1083" t="s">
        <v>6127</v>
      </c>
      <c r="P1083" t="s">
        <v>2738</v>
      </c>
      <c r="Y1083" t="s">
        <v>6128</v>
      </c>
    </row>
    <row r="1084" spans="1:25" x14ac:dyDescent="0.25">
      <c r="A1084" t="str">
        <f>"1101600049"</f>
        <v>1101600049</v>
      </c>
      <c r="B1084" t="s">
        <v>462</v>
      </c>
      <c r="C1084" t="s">
        <v>5618</v>
      </c>
      <c r="D1084" t="s">
        <v>6129</v>
      </c>
      <c r="F1084" t="s">
        <v>1</v>
      </c>
      <c r="G1084" t="s">
        <v>2</v>
      </c>
      <c r="H1084" t="s">
        <v>757</v>
      </c>
      <c r="I1084" t="s">
        <v>6130</v>
      </c>
      <c r="Y1084" t="s">
        <v>6131</v>
      </c>
    </row>
    <row r="1085" spans="1:25" x14ac:dyDescent="0.25">
      <c r="A1085" t="str">
        <f>"1101728319"</f>
        <v>1101728319</v>
      </c>
      <c r="B1085" t="s">
        <v>25</v>
      </c>
      <c r="C1085" t="s">
        <v>6137</v>
      </c>
      <c r="D1085" t="s">
        <v>6132</v>
      </c>
      <c r="E1085">
        <v>424006</v>
      </c>
      <c r="F1085" t="s">
        <v>1</v>
      </c>
      <c r="G1085" t="s">
        <v>2</v>
      </c>
      <c r="H1085" t="s">
        <v>6133</v>
      </c>
      <c r="I1085" t="s">
        <v>6134</v>
      </c>
      <c r="L1085" t="s">
        <v>6135</v>
      </c>
      <c r="M1085" t="s">
        <v>6136</v>
      </c>
      <c r="P1085" t="s">
        <v>458</v>
      </c>
      <c r="Q1085" t="s">
        <v>6138</v>
      </c>
      <c r="Y1085" t="s">
        <v>6139</v>
      </c>
    </row>
    <row r="1086" spans="1:25" x14ac:dyDescent="0.25">
      <c r="A1086" t="str">
        <f>"1101795987"</f>
        <v>1101795987</v>
      </c>
      <c r="B1086" t="s">
        <v>243</v>
      </c>
      <c r="C1086" t="s">
        <v>244</v>
      </c>
      <c r="D1086" t="s">
        <v>6140</v>
      </c>
      <c r="E1086">
        <v>424000</v>
      </c>
      <c r="F1086" t="s">
        <v>1</v>
      </c>
      <c r="G1086" t="s">
        <v>2</v>
      </c>
      <c r="H1086" t="s">
        <v>1531</v>
      </c>
      <c r="I1086" t="s">
        <v>6141</v>
      </c>
      <c r="L1086" t="s">
        <v>6142</v>
      </c>
      <c r="M1086" t="s">
        <v>6143</v>
      </c>
      <c r="P1086" t="s">
        <v>5084</v>
      </c>
      <c r="Y1086" t="s">
        <v>6144</v>
      </c>
    </row>
    <row r="1087" spans="1:25" x14ac:dyDescent="0.25">
      <c r="A1087" t="str">
        <f>"1101845491"</f>
        <v>1101845491</v>
      </c>
      <c r="B1087" t="s">
        <v>18</v>
      </c>
      <c r="C1087" t="s">
        <v>6150</v>
      </c>
      <c r="D1087" t="s">
        <v>6145</v>
      </c>
      <c r="E1087">
        <v>424008</v>
      </c>
      <c r="F1087" t="s">
        <v>1</v>
      </c>
      <c r="G1087" t="s">
        <v>2</v>
      </c>
      <c r="H1087" t="s">
        <v>1895</v>
      </c>
      <c r="I1087" t="s">
        <v>6146</v>
      </c>
      <c r="J1087" t="s">
        <v>6147</v>
      </c>
      <c r="L1087" t="s">
        <v>6148</v>
      </c>
      <c r="M1087" t="s">
        <v>6149</v>
      </c>
      <c r="P1087" t="s">
        <v>6151</v>
      </c>
      <c r="Y1087" t="s">
        <v>6152</v>
      </c>
    </row>
    <row r="1088" spans="1:25" x14ac:dyDescent="0.25">
      <c r="A1088" t="str">
        <f>"1101869718"</f>
        <v>1101869718</v>
      </c>
      <c r="B1088" t="s">
        <v>738</v>
      </c>
      <c r="C1088" t="s">
        <v>6158</v>
      </c>
      <c r="D1088" t="s">
        <v>6153</v>
      </c>
      <c r="E1088">
        <v>424020</v>
      </c>
      <c r="F1088" t="s">
        <v>1</v>
      </c>
      <c r="G1088" t="s">
        <v>2</v>
      </c>
      <c r="H1088" t="s">
        <v>23</v>
      </c>
      <c r="I1088" t="s">
        <v>6154</v>
      </c>
      <c r="J1088" t="s">
        <v>6155</v>
      </c>
      <c r="L1088" t="s">
        <v>6156</v>
      </c>
      <c r="M1088" t="s">
        <v>6157</v>
      </c>
      <c r="P1088" t="s">
        <v>6159</v>
      </c>
      <c r="Q1088" t="s">
        <v>6160</v>
      </c>
      <c r="R1088" t="s">
        <v>6161</v>
      </c>
      <c r="Y1088" t="s">
        <v>6162</v>
      </c>
    </row>
    <row r="1089" spans="1:25" x14ac:dyDescent="0.25">
      <c r="A1089" t="str">
        <f>"1101917519"</f>
        <v>1101917519</v>
      </c>
      <c r="B1089" t="s">
        <v>624</v>
      </c>
      <c r="C1089" t="s">
        <v>6169</v>
      </c>
      <c r="D1089" t="s">
        <v>6163</v>
      </c>
      <c r="E1089">
        <v>424007</v>
      </c>
      <c r="F1089" t="s">
        <v>1</v>
      </c>
      <c r="G1089" t="s">
        <v>2</v>
      </c>
      <c r="H1089" t="s">
        <v>6164</v>
      </c>
      <c r="I1089" t="s">
        <v>6165</v>
      </c>
      <c r="J1089" t="s">
        <v>6166</v>
      </c>
      <c r="L1089" t="s">
        <v>6167</v>
      </c>
      <c r="M1089" t="s">
        <v>6168</v>
      </c>
      <c r="P1089" t="s">
        <v>6170</v>
      </c>
      <c r="Q1089" t="s">
        <v>6171</v>
      </c>
      <c r="Y1089" t="s">
        <v>6172</v>
      </c>
    </row>
    <row r="1090" spans="1:25" x14ac:dyDescent="0.25">
      <c r="A1090" t="str">
        <f>"1101995524"</f>
        <v>1101995524</v>
      </c>
      <c r="B1090" t="s">
        <v>160</v>
      </c>
      <c r="C1090" t="s">
        <v>6175</v>
      </c>
      <c r="D1090" t="s">
        <v>6173</v>
      </c>
      <c r="E1090">
        <v>424000</v>
      </c>
      <c r="F1090" t="s">
        <v>1</v>
      </c>
      <c r="G1090" t="s">
        <v>2</v>
      </c>
      <c r="H1090" t="s">
        <v>2365</v>
      </c>
      <c r="I1090" t="s">
        <v>6174</v>
      </c>
      <c r="P1090" t="s">
        <v>280</v>
      </c>
      <c r="Y1090" t="s">
        <v>2368</v>
      </c>
    </row>
    <row r="1091" spans="1:25" x14ac:dyDescent="0.25">
      <c r="A1091" t="str">
        <f>"1102093842"</f>
        <v>1102093842</v>
      </c>
      <c r="B1091" t="s">
        <v>151</v>
      </c>
      <c r="C1091" t="s">
        <v>6182</v>
      </c>
      <c r="D1091" t="s">
        <v>6176</v>
      </c>
      <c r="E1091">
        <v>424006</v>
      </c>
      <c r="F1091" t="s">
        <v>1</v>
      </c>
      <c r="G1091" t="s">
        <v>2</v>
      </c>
      <c r="H1091" t="s">
        <v>6177</v>
      </c>
      <c r="I1091" t="s">
        <v>6178</v>
      </c>
      <c r="J1091" t="s">
        <v>6179</v>
      </c>
      <c r="L1091" t="s">
        <v>6180</v>
      </c>
      <c r="M1091" t="s">
        <v>6181</v>
      </c>
      <c r="P1091" t="s">
        <v>27</v>
      </c>
      <c r="Y1091" t="s">
        <v>6183</v>
      </c>
    </row>
    <row r="1092" spans="1:25" x14ac:dyDescent="0.25">
      <c r="A1092" t="str">
        <f>"1102159067"</f>
        <v>1102159067</v>
      </c>
      <c r="B1092" t="s">
        <v>319</v>
      </c>
      <c r="C1092" t="s">
        <v>320</v>
      </c>
      <c r="D1092" t="s">
        <v>6184</v>
      </c>
      <c r="F1092" t="s">
        <v>1</v>
      </c>
      <c r="G1092" t="s">
        <v>2</v>
      </c>
      <c r="H1092" t="s">
        <v>6185</v>
      </c>
      <c r="I1092" t="s">
        <v>6186</v>
      </c>
      <c r="K1092" t="s">
        <v>6186</v>
      </c>
      <c r="P1092" t="s">
        <v>1035</v>
      </c>
      <c r="Y1092" t="s">
        <v>6187</v>
      </c>
    </row>
    <row r="1093" spans="1:25" x14ac:dyDescent="0.25">
      <c r="A1093" t="str">
        <f>"1102791765"</f>
        <v>1102791765</v>
      </c>
      <c r="B1093" t="s">
        <v>160</v>
      </c>
      <c r="C1093" t="s">
        <v>2327</v>
      </c>
      <c r="D1093" t="s">
        <v>6188</v>
      </c>
      <c r="E1093">
        <v>424028</v>
      </c>
      <c r="F1093" t="s">
        <v>1</v>
      </c>
      <c r="G1093" t="s">
        <v>2</v>
      </c>
      <c r="H1093" t="s">
        <v>2388</v>
      </c>
      <c r="I1093" t="s">
        <v>6189</v>
      </c>
      <c r="L1093" t="s">
        <v>6190</v>
      </c>
      <c r="M1093" t="s">
        <v>6191</v>
      </c>
      <c r="P1093" t="s">
        <v>20</v>
      </c>
      <c r="Y1093" t="s">
        <v>6192</v>
      </c>
    </row>
    <row r="1094" spans="1:25" x14ac:dyDescent="0.25">
      <c r="A1094" t="str">
        <f>"1103001757"</f>
        <v>1103001757</v>
      </c>
      <c r="B1094" t="s">
        <v>538</v>
      </c>
      <c r="C1094" t="s">
        <v>3633</v>
      </c>
      <c r="D1094" t="s">
        <v>6193</v>
      </c>
      <c r="E1094">
        <v>424003</v>
      </c>
      <c r="F1094" t="s">
        <v>1</v>
      </c>
      <c r="G1094" t="s">
        <v>2</v>
      </c>
      <c r="H1094" t="s">
        <v>6194</v>
      </c>
      <c r="P1094" t="s">
        <v>1071</v>
      </c>
      <c r="Y1094" t="s">
        <v>6195</v>
      </c>
    </row>
    <row r="1095" spans="1:25" x14ac:dyDescent="0.25">
      <c r="A1095" t="str">
        <f>"1103057963"</f>
        <v>1103057963</v>
      </c>
      <c r="B1095" t="s">
        <v>462</v>
      </c>
      <c r="C1095" t="s">
        <v>1140</v>
      </c>
      <c r="D1095" t="s">
        <v>6196</v>
      </c>
      <c r="E1095">
        <v>424031</v>
      </c>
      <c r="F1095" t="s">
        <v>1</v>
      </c>
      <c r="G1095" t="s">
        <v>2</v>
      </c>
      <c r="H1095" t="s">
        <v>897</v>
      </c>
      <c r="I1095" t="s">
        <v>6197</v>
      </c>
      <c r="L1095" t="s">
        <v>6198</v>
      </c>
      <c r="M1095" t="s">
        <v>6199</v>
      </c>
      <c r="P1095" t="s">
        <v>27</v>
      </c>
      <c r="Q1095" t="s">
        <v>6200</v>
      </c>
      <c r="S1095" t="s">
        <v>6201</v>
      </c>
      <c r="T1095" t="s">
        <v>6202</v>
      </c>
      <c r="V1095" t="s">
        <v>6203</v>
      </c>
      <c r="Y1095" t="s">
        <v>6204</v>
      </c>
    </row>
    <row r="1096" spans="1:25" x14ac:dyDescent="0.25">
      <c r="A1096" t="str">
        <f>"1103084442"</f>
        <v>1103084442</v>
      </c>
      <c r="B1096" t="s">
        <v>32</v>
      </c>
      <c r="C1096" t="s">
        <v>777</v>
      </c>
      <c r="D1096" t="s">
        <v>6205</v>
      </c>
      <c r="E1096">
        <v>424039</v>
      </c>
      <c r="F1096" t="s">
        <v>1</v>
      </c>
      <c r="G1096" t="s">
        <v>2</v>
      </c>
      <c r="H1096" t="s">
        <v>6206</v>
      </c>
      <c r="I1096" t="s">
        <v>6207</v>
      </c>
      <c r="P1096" t="s">
        <v>2531</v>
      </c>
      <c r="Q1096" t="s">
        <v>6208</v>
      </c>
      <c r="Y1096" t="s">
        <v>6209</v>
      </c>
    </row>
    <row r="1097" spans="1:25" x14ac:dyDescent="0.25">
      <c r="A1097" t="str">
        <f>"1103241313"</f>
        <v>1103241313</v>
      </c>
      <c r="B1097" t="s">
        <v>352</v>
      </c>
      <c r="C1097" t="s">
        <v>6213</v>
      </c>
      <c r="D1097" t="s">
        <v>6210</v>
      </c>
      <c r="E1097">
        <v>424020</v>
      </c>
      <c r="F1097" t="s">
        <v>1</v>
      </c>
      <c r="G1097" t="s">
        <v>2</v>
      </c>
      <c r="H1097" t="s">
        <v>4181</v>
      </c>
      <c r="I1097" t="s">
        <v>6211</v>
      </c>
      <c r="M1097" t="s">
        <v>6212</v>
      </c>
      <c r="P1097" t="s">
        <v>2710</v>
      </c>
      <c r="Q1097" t="s">
        <v>6214</v>
      </c>
      <c r="V1097" t="s">
        <v>6215</v>
      </c>
      <c r="Y1097" t="s">
        <v>6216</v>
      </c>
    </row>
    <row r="1098" spans="1:25" x14ac:dyDescent="0.25">
      <c r="A1098" t="str">
        <f>"1103251773"</f>
        <v>1103251773</v>
      </c>
      <c r="B1098" t="s">
        <v>591</v>
      </c>
      <c r="C1098" t="s">
        <v>1904</v>
      </c>
      <c r="D1098" t="s">
        <v>1904</v>
      </c>
      <c r="E1098">
        <v>424006</v>
      </c>
      <c r="F1098" t="s">
        <v>1</v>
      </c>
      <c r="G1098" t="s">
        <v>2</v>
      </c>
      <c r="H1098" t="s">
        <v>2775</v>
      </c>
      <c r="I1098" t="s">
        <v>6217</v>
      </c>
      <c r="K1098" t="s">
        <v>6217</v>
      </c>
      <c r="P1098" t="s">
        <v>6218</v>
      </c>
      <c r="Y1098" t="s">
        <v>2779</v>
      </c>
    </row>
    <row r="1099" spans="1:25" x14ac:dyDescent="0.25">
      <c r="A1099" t="str">
        <f>"1103346133"</f>
        <v>1103346133</v>
      </c>
      <c r="B1099" t="s">
        <v>18</v>
      </c>
      <c r="C1099" t="s">
        <v>6222</v>
      </c>
      <c r="D1099" t="s">
        <v>6219</v>
      </c>
      <c r="E1099">
        <v>424032</v>
      </c>
      <c r="F1099" t="s">
        <v>1</v>
      </c>
      <c r="G1099" t="s">
        <v>2</v>
      </c>
      <c r="H1099" t="s">
        <v>6220</v>
      </c>
      <c r="I1099" t="s">
        <v>6221</v>
      </c>
      <c r="P1099" t="s">
        <v>1232</v>
      </c>
      <c r="Y1099" t="s">
        <v>6223</v>
      </c>
    </row>
    <row r="1100" spans="1:25" x14ac:dyDescent="0.25">
      <c r="A1100" t="str">
        <f>"1103378730"</f>
        <v>1103378730</v>
      </c>
      <c r="B1100" t="s">
        <v>1152</v>
      </c>
      <c r="C1100" t="s">
        <v>4218</v>
      </c>
      <c r="D1100" t="s">
        <v>6224</v>
      </c>
      <c r="E1100">
        <v>424037</v>
      </c>
      <c r="F1100" t="s">
        <v>1</v>
      </c>
      <c r="G1100" t="s">
        <v>2</v>
      </c>
      <c r="H1100" t="s">
        <v>4635</v>
      </c>
      <c r="I1100" t="s">
        <v>6225</v>
      </c>
      <c r="J1100" t="s">
        <v>6226</v>
      </c>
      <c r="L1100" t="s">
        <v>6227</v>
      </c>
      <c r="M1100" t="s">
        <v>6228</v>
      </c>
      <c r="P1100" t="s">
        <v>696</v>
      </c>
      <c r="Q1100" t="s">
        <v>6229</v>
      </c>
      <c r="Y1100" t="s">
        <v>6230</v>
      </c>
    </row>
    <row r="1101" spans="1:25" x14ac:dyDescent="0.25">
      <c r="A1101" t="str">
        <f>"1103523991"</f>
        <v>1103523991</v>
      </c>
      <c r="B1101" t="s">
        <v>2055</v>
      </c>
      <c r="C1101" t="s">
        <v>6235</v>
      </c>
      <c r="D1101" t="s">
        <v>6231</v>
      </c>
      <c r="E1101">
        <v>424008</v>
      </c>
      <c r="F1101" t="s">
        <v>1</v>
      </c>
      <c r="G1101" t="s">
        <v>2</v>
      </c>
      <c r="H1101" t="s">
        <v>1031</v>
      </c>
      <c r="I1101" t="s">
        <v>6232</v>
      </c>
      <c r="L1101" t="s">
        <v>6233</v>
      </c>
      <c r="M1101" t="s">
        <v>6234</v>
      </c>
      <c r="P1101" t="s">
        <v>6236</v>
      </c>
      <c r="Y1101" t="s">
        <v>6237</v>
      </c>
    </row>
    <row r="1102" spans="1:25" x14ac:dyDescent="0.25">
      <c r="A1102" t="str">
        <f>"1103651896"</f>
        <v>1103651896</v>
      </c>
      <c r="B1102" t="s">
        <v>1152</v>
      </c>
      <c r="C1102" t="s">
        <v>1159</v>
      </c>
      <c r="D1102" t="s">
        <v>6238</v>
      </c>
      <c r="E1102">
        <v>424020</v>
      </c>
      <c r="F1102" t="s">
        <v>1</v>
      </c>
      <c r="G1102" t="s">
        <v>2</v>
      </c>
      <c r="H1102" t="s">
        <v>4528</v>
      </c>
      <c r="I1102" t="s">
        <v>6239</v>
      </c>
      <c r="J1102" t="s">
        <v>6240</v>
      </c>
      <c r="L1102" t="s">
        <v>6241</v>
      </c>
      <c r="M1102" t="s">
        <v>6242</v>
      </c>
      <c r="P1102" t="s">
        <v>1232</v>
      </c>
      <c r="Q1102" t="s">
        <v>6243</v>
      </c>
      <c r="V1102" t="s">
        <v>6244</v>
      </c>
      <c r="Y1102" t="s">
        <v>6245</v>
      </c>
    </row>
    <row r="1103" spans="1:25" x14ac:dyDescent="0.25">
      <c r="A1103" t="str">
        <f>"1103712371"</f>
        <v>1103712371</v>
      </c>
      <c r="B1103" t="s">
        <v>2846</v>
      </c>
      <c r="C1103" t="s">
        <v>6249</v>
      </c>
      <c r="D1103" t="s">
        <v>6246</v>
      </c>
      <c r="E1103">
        <v>424038</v>
      </c>
      <c r="F1103" t="s">
        <v>1</v>
      </c>
      <c r="G1103" t="s">
        <v>2</v>
      </c>
      <c r="H1103" t="s">
        <v>6247</v>
      </c>
      <c r="I1103" t="s">
        <v>6248</v>
      </c>
      <c r="P1103" t="s">
        <v>748</v>
      </c>
      <c r="Y1103" t="s">
        <v>6250</v>
      </c>
    </row>
    <row r="1104" spans="1:25" x14ac:dyDescent="0.25">
      <c r="A1104" t="str">
        <f>"1103726108"</f>
        <v>1103726108</v>
      </c>
      <c r="B1104" t="s">
        <v>1343</v>
      </c>
      <c r="C1104" t="s">
        <v>5308</v>
      </c>
      <c r="D1104" t="s">
        <v>6251</v>
      </c>
      <c r="E1104">
        <v>424019</v>
      </c>
      <c r="F1104" t="s">
        <v>1</v>
      </c>
      <c r="G1104" t="s">
        <v>2</v>
      </c>
      <c r="H1104" t="s">
        <v>1801</v>
      </c>
      <c r="P1104" t="s">
        <v>112</v>
      </c>
      <c r="Y1104" t="s">
        <v>6252</v>
      </c>
    </row>
    <row r="1105" spans="1:25" x14ac:dyDescent="0.25">
      <c r="A1105" t="str">
        <f>"1104114952"</f>
        <v>1104114952</v>
      </c>
      <c r="B1105" t="s">
        <v>591</v>
      </c>
      <c r="C1105" t="s">
        <v>6255</v>
      </c>
      <c r="D1105" t="s">
        <v>6253</v>
      </c>
      <c r="E1105">
        <v>424005</v>
      </c>
      <c r="F1105" t="s">
        <v>1</v>
      </c>
      <c r="G1105" t="s">
        <v>2</v>
      </c>
      <c r="H1105" t="s">
        <v>6254</v>
      </c>
      <c r="Y1105" t="s">
        <v>6256</v>
      </c>
    </row>
    <row r="1106" spans="1:25" x14ac:dyDescent="0.25">
      <c r="A1106" t="str">
        <f>"1104159119"</f>
        <v>1104159119</v>
      </c>
      <c r="B1106" t="s">
        <v>123</v>
      </c>
      <c r="C1106" t="s">
        <v>424</v>
      </c>
      <c r="D1106" t="s">
        <v>6257</v>
      </c>
      <c r="E1106">
        <v>424031</v>
      </c>
      <c r="F1106" t="s">
        <v>1</v>
      </c>
      <c r="G1106" t="s">
        <v>2</v>
      </c>
      <c r="H1106" t="s">
        <v>6258</v>
      </c>
      <c r="I1106" t="s">
        <v>6259</v>
      </c>
      <c r="L1106" t="s">
        <v>3631</v>
      </c>
      <c r="M1106" t="s">
        <v>6260</v>
      </c>
      <c r="P1106" t="s">
        <v>425</v>
      </c>
      <c r="Y1106" t="s">
        <v>6261</v>
      </c>
    </row>
    <row r="1107" spans="1:25" x14ac:dyDescent="0.25">
      <c r="A1107" t="str">
        <f>"1104427567"</f>
        <v>1104427567</v>
      </c>
      <c r="B1107" t="s">
        <v>1343</v>
      </c>
      <c r="C1107" t="s">
        <v>1344</v>
      </c>
      <c r="D1107" t="s">
        <v>1340</v>
      </c>
      <c r="E1107">
        <v>424020</v>
      </c>
      <c r="F1107" t="s">
        <v>1</v>
      </c>
      <c r="G1107" t="s">
        <v>2</v>
      </c>
      <c r="H1107" t="s">
        <v>6262</v>
      </c>
      <c r="I1107" t="s">
        <v>1342</v>
      </c>
      <c r="P1107" t="s">
        <v>6263</v>
      </c>
      <c r="Y1107" t="s">
        <v>6264</v>
      </c>
    </row>
    <row r="1108" spans="1:25" x14ac:dyDescent="0.25">
      <c r="A1108" t="str">
        <f>"1104569847"</f>
        <v>1104569847</v>
      </c>
      <c r="B1108" t="s">
        <v>1475</v>
      </c>
      <c r="C1108" t="s">
        <v>1476</v>
      </c>
      <c r="D1108" t="s">
        <v>6265</v>
      </c>
      <c r="E1108">
        <v>424006</v>
      </c>
      <c r="F1108" t="s">
        <v>1</v>
      </c>
      <c r="G1108" t="s">
        <v>2</v>
      </c>
      <c r="H1108" t="s">
        <v>393</v>
      </c>
      <c r="P1108" t="s">
        <v>1404</v>
      </c>
      <c r="Y1108" t="s">
        <v>6266</v>
      </c>
    </row>
    <row r="1109" spans="1:25" x14ac:dyDescent="0.25">
      <c r="A1109" t="str">
        <f>"1104800448"</f>
        <v>1104800448</v>
      </c>
      <c r="B1109" t="s">
        <v>18</v>
      </c>
      <c r="C1109" t="s">
        <v>2703</v>
      </c>
      <c r="D1109" t="s">
        <v>6267</v>
      </c>
      <c r="F1109" t="s">
        <v>1</v>
      </c>
      <c r="G1109" t="s">
        <v>2</v>
      </c>
      <c r="H1109" t="s">
        <v>6268</v>
      </c>
      <c r="I1109" t="s">
        <v>6269</v>
      </c>
      <c r="L1109" t="s">
        <v>6270</v>
      </c>
      <c r="M1109" t="s">
        <v>6271</v>
      </c>
      <c r="P1109" t="s">
        <v>20</v>
      </c>
      <c r="Y1109" t="s">
        <v>6272</v>
      </c>
    </row>
    <row r="1110" spans="1:25" x14ac:dyDescent="0.25">
      <c r="A1110" t="str">
        <f>"1104979162"</f>
        <v>1104979162</v>
      </c>
      <c r="B1110" t="s">
        <v>2846</v>
      </c>
      <c r="C1110" t="s">
        <v>6277</v>
      </c>
      <c r="D1110" t="s">
        <v>6273</v>
      </c>
      <c r="E1110">
        <v>424918</v>
      </c>
      <c r="F1110" t="s">
        <v>1</v>
      </c>
      <c r="G1110" t="s">
        <v>2</v>
      </c>
      <c r="H1110" t="s">
        <v>629</v>
      </c>
      <c r="I1110" t="s">
        <v>6274</v>
      </c>
      <c r="L1110" t="s">
        <v>6275</v>
      </c>
      <c r="M1110" t="s">
        <v>6276</v>
      </c>
      <c r="P1110" t="s">
        <v>630</v>
      </c>
      <c r="Q1110" t="s">
        <v>6278</v>
      </c>
      <c r="Y1110" t="s">
        <v>6279</v>
      </c>
    </row>
    <row r="1111" spans="1:25" x14ac:dyDescent="0.25">
      <c r="A1111" t="str">
        <f>"1105006141"</f>
        <v>1105006141</v>
      </c>
      <c r="B1111" t="s">
        <v>574</v>
      </c>
      <c r="C1111" t="s">
        <v>646</v>
      </c>
      <c r="D1111" t="s">
        <v>4221</v>
      </c>
      <c r="E1111">
        <v>424032</v>
      </c>
      <c r="F1111" t="s">
        <v>1</v>
      </c>
      <c r="G1111" t="s">
        <v>2</v>
      </c>
      <c r="H1111" t="s">
        <v>6280</v>
      </c>
      <c r="Y1111" t="s">
        <v>6281</v>
      </c>
    </row>
    <row r="1112" spans="1:25" x14ac:dyDescent="0.25">
      <c r="A1112" t="str">
        <f>"1105108687"</f>
        <v>1105108687</v>
      </c>
      <c r="B1112" t="s">
        <v>3200</v>
      </c>
      <c r="C1112" t="s">
        <v>6287</v>
      </c>
      <c r="D1112" t="s">
        <v>6282</v>
      </c>
      <c r="E1112">
        <v>424008</v>
      </c>
      <c r="F1112" t="s">
        <v>1</v>
      </c>
      <c r="G1112" t="s">
        <v>2</v>
      </c>
      <c r="H1112" t="s">
        <v>6283</v>
      </c>
      <c r="I1112" t="s">
        <v>6284</v>
      </c>
      <c r="L1112" t="s">
        <v>6285</v>
      </c>
      <c r="M1112" t="s">
        <v>6286</v>
      </c>
      <c r="P1112" t="s">
        <v>280</v>
      </c>
      <c r="Y1112" t="s">
        <v>6288</v>
      </c>
    </row>
    <row r="1113" spans="1:25" x14ac:dyDescent="0.25">
      <c r="A1113" t="str">
        <f>"1105218505"</f>
        <v>1105218505</v>
      </c>
      <c r="B1113" t="s">
        <v>233</v>
      </c>
      <c r="C1113" t="s">
        <v>6291</v>
      </c>
      <c r="D1113" t="s">
        <v>6289</v>
      </c>
      <c r="E1113">
        <v>424007</v>
      </c>
      <c r="F1113" t="s">
        <v>1</v>
      </c>
      <c r="G1113" t="s">
        <v>2</v>
      </c>
      <c r="H1113" t="s">
        <v>4869</v>
      </c>
      <c r="I1113" t="s">
        <v>6290</v>
      </c>
      <c r="P1113" t="s">
        <v>280</v>
      </c>
      <c r="Y1113" t="s">
        <v>4872</v>
      </c>
    </row>
    <row r="1114" spans="1:25" x14ac:dyDescent="0.25">
      <c r="A1114" t="str">
        <f>"1105287267"</f>
        <v>1105287267</v>
      </c>
      <c r="B1114" t="s">
        <v>123</v>
      </c>
      <c r="C1114" t="s">
        <v>424</v>
      </c>
      <c r="D1114" t="s">
        <v>6292</v>
      </c>
      <c r="E1114">
        <v>424002</v>
      </c>
      <c r="F1114" t="s">
        <v>1</v>
      </c>
      <c r="G1114" t="s">
        <v>2</v>
      </c>
      <c r="H1114" t="s">
        <v>6293</v>
      </c>
      <c r="I1114" t="s">
        <v>6294</v>
      </c>
      <c r="L1114" t="s">
        <v>6295</v>
      </c>
      <c r="M1114" t="s">
        <v>6296</v>
      </c>
      <c r="P1114" t="s">
        <v>425</v>
      </c>
      <c r="Y1114" t="s">
        <v>6297</v>
      </c>
    </row>
    <row r="1115" spans="1:25" x14ac:dyDescent="0.25">
      <c r="A1115" t="str">
        <f>"1105547662"</f>
        <v>1105547662</v>
      </c>
      <c r="B1115" t="s">
        <v>1053</v>
      </c>
      <c r="C1115" t="s">
        <v>6300</v>
      </c>
      <c r="D1115" t="s">
        <v>6298</v>
      </c>
      <c r="E1115">
        <v>424000</v>
      </c>
      <c r="F1115" t="s">
        <v>1</v>
      </c>
      <c r="G1115" t="s">
        <v>2</v>
      </c>
      <c r="H1115" t="s">
        <v>3570</v>
      </c>
      <c r="I1115" t="s">
        <v>6299</v>
      </c>
      <c r="P1115" t="s">
        <v>20</v>
      </c>
      <c r="Y1115" t="s">
        <v>6301</v>
      </c>
    </row>
    <row r="1116" spans="1:25" x14ac:dyDescent="0.25">
      <c r="A1116" t="str">
        <f>"1105576057"</f>
        <v>1105576057</v>
      </c>
      <c r="B1116" t="s">
        <v>67</v>
      </c>
      <c r="C1116" t="s">
        <v>832</v>
      </c>
      <c r="D1116" t="s">
        <v>6302</v>
      </c>
      <c r="E1116">
        <v>424000</v>
      </c>
      <c r="F1116" t="s">
        <v>1</v>
      </c>
      <c r="G1116" t="s">
        <v>2</v>
      </c>
      <c r="H1116" t="s">
        <v>6303</v>
      </c>
      <c r="I1116" t="s">
        <v>6304</v>
      </c>
      <c r="K1116" t="s">
        <v>6305</v>
      </c>
      <c r="L1116" t="s">
        <v>6306</v>
      </c>
      <c r="M1116" t="s">
        <v>6307</v>
      </c>
      <c r="P1116" t="s">
        <v>2064</v>
      </c>
      <c r="Q1116" t="s">
        <v>6308</v>
      </c>
      <c r="S1116" t="s">
        <v>6309</v>
      </c>
      <c r="T1116" t="s">
        <v>6310</v>
      </c>
      <c r="U1116" t="s">
        <v>6311</v>
      </c>
      <c r="Y1116" t="s">
        <v>6312</v>
      </c>
    </row>
    <row r="1117" spans="1:25" x14ac:dyDescent="0.25">
      <c r="A1117" t="str">
        <f>"1105614907"</f>
        <v>1105614907</v>
      </c>
      <c r="B1117" t="s">
        <v>930</v>
      </c>
      <c r="C1117" t="s">
        <v>1096</v>
      </c>
      <c r="D1117" t="s">
        <v>6313</v>
      </c>
      <c r="F1117" t="s">
        <v>1</v>
      </c>
      <c r="G1117" t="s">
        <v>2</v>
      </c>
      <c r="H1117" t="s">
        <v>3430</v>
      </c>
      <c r="I1117" t="s">
        <v>6314</v>
      </c>
      <c r="P1117" t="s">
        <v>6315</v>
      </c>
      <c r="Y1117" t="s">
        <v>6316</v>
      </c>
    </row>
    <row r="1118" spans="1:25" x14ac:dyDescent="0.25">
      <c r="A1118" t="str">
        <f>"1105707495"</f>
        <v>1105707495</v>
      </c>
      <c r="B1118" t="s">
        <v>224</v>
      </c>
      <c r="C1118" t="s">
        <v>3240</v>
      </c>
      <c r="D1118" t="s">
        <v>3240</v>
      </c>
      <c r="E1118">
        <v>424006</v>
      </c>
      <c r="F1118" t="s">
        <v>1</v>
      </c>
      <c r="G1118" t="s">
        <v>2</v>
      </c>
      <c r="H1118" t="s">
        <v>4821</v>
      </c>
      <c r="I1118" t="s">
        <v>6317</v>
      </c>
      <c r="P1118" t="s">
        <v>152</v>
      </c>
      <c r="Y1118" t="s">
        <v>4825</v>
      </c>
    </row>
    <row r="1119" spans="1:25" x14ac:dyDescent="0.25">
      <c r="A1119" t="str">
        <f>"1105775027"</f>
        <v>1105775027</v>
      </c>
      <c r="B1119" t="s">
        <v>1078</v>
      </c>
      <c r="C1119" t="s">
        <v>6321</v>
      </c>
      <c r="D1119" t="s">
        <v>6318</v>
      </c>
      <c r="E1119">
        <v>424002</v>
      </c>
      <c r="F1119" t="s">
        <v>1</v>
      </c>
      <c r="G1119" t="s">
        <v>2</v>
      </c>
      <c r="H1119" t="s">
        <v>6319</v>
      </c>
      <c r="I1119" t="s">
        <v>6320</v>
      </c>
      <c r="P1119" t="s">
        <v>112</v>
      </c>
      <c r="Y1119" t="s">
        <v>6322</v>
      </c>
    </row>
    <row r="1120" spans="1:25" x14ac:dyDescent="0.25">
      <c r="A1120" t="str">
        <f>"1105843301"</f>
        <v>1105843301</v>
      </c>
      <c r="B1120" t="s">
        <v>25</v>
      </c>
      <c r="C1120" t="s">
        <v>5632</v>
      </c>
      <c r="D1120" t="s">
        <v>6323</v>
      </c>
      <c r="E1120">
        <v>424004</v>
      </c>
      <c r="F1120" t="s">
        <v>1</v>
      </c>
      <c r="G1120" t="s">
        <v>2</v>
      </c>
      <c r="H1120" t="s">
        <v>186</v>
      </c>
      <c r="I1120" t="s">
        <v>6324</v>
      </c>
      <c r="L1120" t="s">
        <v>6325</v>
      </c>
      <c r="P1120" t="s">
        <v>27</v>
      </c>
      <c r="Y1120" t="s">
        <v>190</v>
      </c>
    </row>
    <row r="1121" spans="1:25" x14ac:dyDescent="0.25">
      <c r="A1121" t="str">
        <f>"1105990175"</f>
        <v>1105990175</v>
      </c>
      <c r="B1121" t="s">
        <v>25</v>
      </c>
      <c r="C1121" t="s">
        <v>6332</v>
      </c>
      <c r="D1121" t="s">
        <v>6326</v>
      </c>
      <c r="E1121">
        <v>424008</v>
      </c>
      <c r="F1121" t="s">
        <v>1</v>
      </c>
      <c r="G1121" t="s">
        <v>2</v>
      </c>
      <c r="H1121" t="s">
        <v>6327</v>
      </c>
      <c r="I1121" t="s">
        <v>6328</v>
      </c>
      <c r="K1121" t="s">
        <v>6329</v>
      </c>
      <c r="L1121" t="s">
        <v>6330</v>
      </c>
      <c r="M1121" t="s">
        <v>6331</v>
      </c>
      <c r="P1121" t="s">
        <v>2951</v>
      </c>
      <c r="Q1121" t="s">
        <v>6333</v>
      </c>
      <c r="Y1121" t="s">
        <v>6334</v>
      </c>
    </row>
    <row r="1122" spans="1:25" x14ac:dyDescent="0.25">
      <c r="A1122" t="str">
        <f>"1106057256"</f>
        <v>1106057256</v>
      </c>
      <c r="B1122" t="s">
        <v>117</v>
      </c>
      <c r="C1122" t="s">
        <v>873</v>
      </c>
      <c r="D1122" t="s">
        <v>6335</v>
      </c>
      <c r="F1122" t="s">
        <v>1</v>
      </c>
      <c r="G1122" t="s">
        <v>2</v>
      </c>
      <c r="H1122" t="s">
        <v>6336</v>
      </c>
      <c r="I1122" t="s">
        <v>6337</v>
      </c>
      <c r="P1122" t="s">
        <v>6338</v>
      </c>
      <c r="Y1122" t="s">
        <v>6339</v>
      </c>
    </row>
    <row r="1123" spans="1:25" x14ac:dyDescent="0.25">
      <c r="A1123" t="str">
        <f>"1106285775"</f>
        <v>1106285775</v>
      </c>
      <c r="B1123" t="s">
        <v>397</v>
      </c>
      <c r="C1123" t="s">
        <v>1432</v>
      </c>
      <c r="D1123" t="s">
        <v>6340</v>
      </c>
      <c r="E1123">
        <v>424004</v>
      </c>
      <c r="F1123" t="s">
        <v>1</v>
      </c>
      <c r="G1123" t="s">
        <v>2</v>
      </c>
      <c r="H1123" t="s">
        <v>2589</v>
      </c>
      <c r="Y1123" t="s">
        <v>6341</v>
      </c>
    </row>
    <row r="1124" spans="1:25" x14ac:dyDescent="0.25">
      <c r="A1124" t="str">
        <f>"1106619040"</f>
        <v>1106619040</v>
      </c>
      <c r="B1124" t="s">
        <v>32</v>
      </c>
      <c r="C1124" t="s">
        <v>40</v>
      </c>
      <c r="D1124" t="s">
        <v>6342</v>
      </c>
      <c r="E1124">
        <v>424002</v>
      </c>
      <c r="F1124" t="s">
        <v>1</v>
      </c>
      <c r="G1124" t="s">
        <v>2</v>
      </c>
      <c r="H1124" t="s">
        <v>57</v>
      </c>
      <c r="P1124" t="s">
        <v>1270</v>
      </c>
      <c r="Y1124" t="s">
        <v>6343</v>
      </c>
    </row>
    <row r="1125" spans="1:25" x14ac:dyDescent="0.25">
      <c r="A1125" t="str">
        <f>"1106806133"</f>
        <v>1106806133</v>
      </c>
      <c r="B1125" t="s">
        <v>110</v>
      </c>
      <c r="C1125" t="s">
        <v>784</v>
      </c>
      <c r="D1125" t="s">
        <v>1399</v>
      </c>
      <c r="E1125">
        <v>424002</v>
      </c>
      <c r="F1125" t="s">
        <v>1</v>
      </c>
      <c r="G1125" t="s">
        <v>2</v>
      </c>
      <c r="H1125" t="s">
        <v>6344</v>
      </c>
      <c r="I1125" t="s">
        <v>6345</v>
      </c>
      <c r="L1125" t="s">
        <v>6346</v>
      </c>
      <c r="M1125" t="s">
        <v>6347</v>
      </c>
      <c r="P1125" t="s">
        <v>1404</v>
      </c>
      <c r="Q1125" t="s">
        <v>6348</v>
      </c>
      <c r="T1125" t="s">
        <v>6349</v>
      </c>
      <c r="V1125" t="s">
        <v>6350</v>
      </c>
      <c r="Y1125" t="s">
        <v>6351</v>
      </c>
    </row>
    <row r="1126" spans="1:25" x14ac:dyDescent="0.25">
      <c r="A1126" t="str">
        <f>"1106936225"</f>
        <v>1106936225</v>
      </c>
      <c r="B1126" t="s">
        <v>131</v>
      </c>
      <c r="C1126" t="s">
        <v>6358</v>
      </c>
      <c r="D1126" t="s">
        <v>6352</v>
      </c>
      <c r="E1126">
        <v>424000</v>
      </c>
      <c r="F1126" t="s">
        <v>1</v>
      </c>
      <c r="G1126" t="s">
        <v>2</v>
      </c>
      <c r="H1126" t="s">
        <v>6353</v>
      </c>
      <c r="I1126" t="s">
        <v>6354</v>
      </c>
      <c r="K1126" t="s">
        <v>6355</v>
      </c>
      <c r="L1126" t="s">
        <v>6356</v>
      </c>
      <c r="M1126" t="s">
        <v>6357</v>
      </c>
      <c r="Q1126" t="s">
        <v>6359</v>
      </c>
      <c r="R1126" t="s">
        <v>6360</v>
      </c>
      <c r="T1126" t="s">
        <v>6361</v>
      </c>
      <c r="V1126" t="s">
        <v>6362</v>
      </c>
      <c r="Y1126" t="s">
        <v>6363</v>
      </c>
    </row>
    <row r="1127" spans="1:25" x14ac:dyDescent="0.25">
      <c r="A1127" t="str">
        <f>"1107026068"</f>
        <v>1107026068</v>
      </c>
      <c r="B1127" t="s">
        <v>553</v>
      </c>
      <c r="C1127" t="s">
        <v>3753</v>
      </c>
      <c r="D1127" t="s">
        <v>6364</v>
      </c>
      <c r="F1127" t="s">
        <v>1</v>
      </c>
      <c r="G1127" t="s">
        <v>2</v>
      </c>
      <c r="H1127" t="s">
        <v>6365</v>
      </c>
      <c r="I1127" t="s">
        <v>6366</v>
      </c>
      <c r="L1127" t="s">
        <v>6367</v>
      </c>
      <c r="P1127" t="s">
        <v>133</v>
      </c>
      <c r="Y1127" t="s">
        <v>6368</v>
      </c>
    </row>
    <row r="1128" spans="1:25" x14ac:dyDescent="0.25">
      <c r="A1128" t="str">
        <f>"1107277094"</f>
        <v>1107277094</v>
      </c>
      <c r="B1128" t="s">
        <v>290</v>
      </c>
      <c r="C1128" t="s">
        <v>2737</v>
      </c>
      <c r="D1128" t="s">
        <v>6369</v>
      </c>
      <c r="E1128">
        <v>424000</v>
      </c>
      <c r="F1128" t="s">
        <v>1</v>
      </c>
      <c r="G1128" t="s">
        <v>2</v>
      </c>
      <c r="H1128" t="s">
        <v>4021</v>
      </c>
      <c r="I1128" t="s">
        <v>6370</v>
      </c>
      <c r="P1128" t="s">
        <v>27</v>
      </c>
      <c r="Y1128" t="s">
        <v>6371</v>
      </c>
    </row>
    <row r="1129" spans="1:25" x14ac:dyDescent="0.25">
      <c r="A1129" t="str">
        <f>"1107284098"</f>
        <v>1107284098</v>
      </c>
      <c r="B1129" t="s">
        <v>18</v>
      </c>
      <c r="C1129" t="s">
        <v>143</v>
      </c>
      <c r="D1129" t="s">
        <v>6372</v>
      </c>
      <c r="F1129" t="s">
        <v>1</v>
      </c>
      <c r="G1129" t="s">
        <v>2</v>
      </c>
      <c r="H1129" t="s">
        <v>633</v>
      </c>
      <c r="I1129" t="s">
        <v>6373</v>
      </c>
      <c r="P1129" t="s">
        <v>9</v>
      </c>
      <c r="Y1129" t="s">
        <v>636</v>
      </c>
    </row>
    <row r="1130" spans="1:25" x14ac:dyDescent="0.25">
      <c r="A1130" t="str">
        <f>"1107332890"</f>
        <v>1107332890</v>
      </c>
      <c r="B1130" t="s">
        <v>482</v>
      </c>
      <c r="C1130" t="s">
        <v>483</v>
      </c>
      <c r="D1130" t="s">
        <v>6374</v>
      </c>
      <c r="E1130">
        <v>424031</v>
      </c>
      <c r="F1130" t="s">
        <v>1</v>
      </c>
      <c r="G1130" t="s">
        <v>2</v>
      </c>
      <c r="H1130" t="s">
        <v>239</v>
      </c>
      <c r="I1130" t="s">
        <v>6375</v>
      </c>
      <c r="P1130" t="s">
        <v>27</v>
      </c>
      <c r="Y1130" t="s">
        <v>246</v>
      </c>
    </row>
    <row r="1131" spans="1:25" x14ac:dyDescent="0.25">
      <c r="A1131" t="str">
        <f>"1107395198"</f>
        <v>1107395198</v>
      </c>
      <c r="B1131" t="s">
        <v>176</v>
      </c>
      <c r="C1131" t="s">
        <v>6380</v>
      </c>
      <c r="D1131" t="s">
        <v>6376</v>
      </c>
      <c r="E1131">
        <v>424002</v>
      </c>
      <c r="F1131" t="s">
        <v>1</v>
      </c>
      <c r="G1131" t="s">
        <v>2</v>
      </c>
      <c r="H1131" t="s">
        <v>3098</v>
      </c>
      <c r="I1131" t="s">
        <v>6377</v>
      </c>
      <c r="L1131" t="s">
        <v>6378</v>
      </c>
      <c r="M1131" t="s">
        <v>6379</v>
      </c>
      <c r="P1131" t="s">
        <v>458</v>
      </c>
      <c r="Q1131" t="s">
        <v>6381</v>
      </c>
      <c r="Y1131" t="s">
        <v>3102</v>
      </c>
    </row>
    <row r="1132" spans="1:25" x14ac:dyDescent="0.25">
      <c r="A1132" t="str">
        <f>"1107744787"</f>
        <v>1107744787</v>
      </c>
      <c r="B1132" t="s">
        <v>519</v>
      </c>
      <c r="C1132" t="s">
        <v>6385</v>
      </c>
      <c r="D1132" t="s">
        <v>6382</v>
      </c>
      <c r="F1132" t="s">
        <v>1</v>
      </c>
      <c r="G1132" t="s">
        <v>2</v>
      </c>
      <c r="H1132" t="s">
        <v>3525</v>
      </c>
      <c r="I1132" t="s">
        <v>6383</v>
      </c>
      <c r="M1132" t="s">
        <v>6384</v>
      </c>
      <c r="Y1132" t="s">
        <v>4985</v>
      </c>
    </row>
    <row r="1133" spans="1:25" x14ac:dyDescent="0.25">
      <c r="A1133" t="str">
        <f>"1107873134"</f>
        <v>1107873134</v>
      </c>
      <c r="B1133" t="s">
        <v>123</v>
      </c>
      <c r="C1133" t="s">
        <v>424</v>
      </c>
      <c r="D1133" t="s">
        <v>6386</v>
      </c>
      <c r="E1133">
        <v>424019</v>
      </c>
      <c r="F1133" t="s">
        <v>1</v>
      </c>
      <c r="G1133" t="s">
        <v>2</v>
      </c>
      <c r="H1133" t="s">
        <v>6387</v>
      </c>
      <c r="I1133" t="s">
        <v>6388</v>
      </c>
      <c r="L1133" t="s">
        <v>6389</v>
      </c>
      <c r="M1133" t="s">
        <v>6390</v>
      </c>
      <c r="P1133" t="s">
        <v>425</v>
      </c>
      <c r="Y1133" t="s">
        <v>6391</v>
      </c>
    </row>
    <row r="1134" spans="1:25" x14ac:dyDescent="0.25">
      <c r="A1134" t="str">
        <f>"1107978863"</f>
        <v>1107978863</v>
      </c>
      <c r="B1134" t="s">
        <v>319</v>
      </c>
      <c r="C1134" t="s">
        <v>320</v>
      </c>
      <c r="D1134" t="s">
        <v>6392</v>
      </c>
      <c r="E1134">
        <v>424003</v>
      </c>
      <c r="F1134" t="s">
        <v>1</v>
      </c>
      <c r="G1134" t="s">
        <v>2</v>
      </c>
      <c r="H1134" t="s">
        <v>1622</v>
      </c>
      <c r="I1134" t="s">
        <v>6393</v>
      </c>
      <c r="P1134" t="s">
        <v>6394</v>
      </c>
      <c r="Y1134" t="s">
        <v>6395</v>
      </c>
    </row>
    <row r="1135" spans="1:25" x14ac:dyDescent="0.25">
      <c r="A1135" t="str">
        <f>"1108114125"</f>
        <v>1108114125</v>
      </c>
      <c r="B1135" t="s">
        <v>888</v>
      </c>
      <c r="C1135" t="s">
        <v>6399</v>
      </c>
      <c r="D1135" t="s">
        <v>6396</v>
      </c>
      <c r="E1135">
        <v>424002</v>
      </c>
      <c r="F1135" t="s">
        <v>1</v>
      </c>
      <c r="G1135" t="s">
        <v>2</v>
      </c>
      <c r="H1135" t="s">
        <v>6397</v>
      </c>
      <c r="I1135" t="s">
        <v>6398</v>
      </c>
      <c r="P1135" t="s">
        <v>6400</v>
      </c>
      <c r="Y1135" t="s">
        <v>6401</v>
      </c>
    </row>
    <row r="1136" spans="1:25" x14ac:dyDescent="0.25">
      <c r="A1136" t="str">
        <f>"1108179494"</f>
        <v>1108179494</v>
      </c>
      <c r="B1136" t="s">
        <v>67</v>
      </c>
      <c r="C1136" t="s">
        <v>6407</v>
      </c>
      <c r="D1136" t="s">
        <v>6402</v>
      </c>
      <c r="E1136">
        <v>424036</v>
      </c>
      <c r="F1136" t="s">
        <v>1</v>
      </c>
      <c r="G1136" t="s">
        <v>2</v>
      </c>
      <c r="H1136" t="s">
        <v>6403</v>
      </c>
      <c r="I1136" t="s">
        <v>6404</v>
      </c>
      <c r="L1136" t="s">
        <v>6405</v>
      </c>
      <c r="M1136" t="s">
        <v>6406</v>
      </c>
      <c r="P1136" t="s">
        <v>2406</v>
      </c>
      <c r="Q1136" t="s">
        <v>6408</v>
      </c>
      <c r="S1136" t="s">
        <v>6409</v>
      </c>
      <c r="T1136" t="s">
        <v>6410</v>
      </c>
      <c r="U1136" t="s">
        <v>6411</v>
      </c>
      <c r="V1136" t="s">
        <v>6412</v>
      </c>
      <c r="Y1136" t="s">
        <v>6413</v>
      </c>
    </row>
    <row r="1137" spans="1:25" x14ac:dyDescent="0.25">
      <c r="A1137" t="str">
        <f>"1108377578"</f>
        <v>1108377578</v>
      </c>
      <c r="B1137" t="s">
        <v>2055</v>
      </c>
      <c r="C1137" t="s">
        <v>6421</v>
      </c>
      <c r="D1137" t="s">
        <v>6414</v>
      </c>
      <c r="E1137">
        <v>424026</v>
      </c>
      <c r="F1137" t="s">
        <v>1</v>
      </c>
      <c r="G1137" t="s">
        <v>2</v>
      </c>
      <c r="H1137" t="s">
        <v>6415</v>
      </c>
      <c r="I1137" t="s">
        <v>6416</v>
      </c>
      <c r="J1137" t="s">
        <v>6417</v>
      </c>
      <c r="K1137" t="s">
        <v>6418</v>
      </c>
      <c r="L1137" t="s">
        <v>6419</v>
      </c>
      <c r="M1137" t="s">
        <v>6420</v>
      </c>
      <c r="P1137" t="s">
        <v>152</v>
      </c>
      <c r="Y1137" t="s">
        <v>6422</v>
      </c>
    </row>
    <row r="1138" spans="1:25" x14ac:dyDescent="0.25">
      <c r="A1138" t="str">
        <f>"1108394451"</f>
        <v>1108394451</v>
      </c>
      <c r="B1138" t="s">
        <v>284</v>
      </c>
      <c r="C1138" t="s">
        <v>6425</v>
      </c>
      <c r="D1138" t="s">
        <v>3041</v>
      </c>
      <c r="E1138">
        <v>424008</v>
      </c>
      <c r="F1138" t="s">
        <v>1</v>
      </c>
      <c r="G1138" t="s">
        <v>2</v>
      </c>
      <c r="H1138" t="s">
        <v>528</v>
      </c>
      <c r="I1138" t="s">
        <v>6423</v>
      </c>
      <c r="K1138" t="s">
        <v>6424</v>
      </c>
      <c r="P1138" t="s">
        <v>6426</v>
      </c>
      <c r="Y1138" t="s">
        <v>6427</v>
      </c>
    </row>
    <row r="1139" spans="1:25" x14ac:dyDescent="0.25">
      <c r="A1139" t="str">
        <f>"1108403742"</f>
        <v>1108403742</v>
      </c>
      <c r="B1139" t="s">
        <v>462</v>
      </c>
      <c r="C1139" t="s">
        <v>463</v>
      </c>
      <c r="D1139" t="s">
        <v>6428</v>
      </c>
      <c r="E1139">
        <v>424002</v>
      </c>
      <c r="F1139" t="s">
        <v>1</v>
      </c>
      <c r="G1139" t="s">
        <v>2</v>
      </c>
      <c r="H1139" t="s">
        <v>57</v>
      </c>
      <c r="I1139" t="s">
        <v>6429</v>
      </c>
      <c r="Y1139" t="s">
        <v>6430</v>
      </c>
    </row>
    <row r="1140" spans="1:25" x14ac:dyDescent="0.25">
      <c r="A1140" t="str">
        <f>"1108633845"</f>
        <v>1108633845</v>
      </c>
      <c r="B1140" t="s">
        <v>18</v>
      </c>
      <c r="C1140" t="s">
        <v>6433</v>
      </c>
      <c r="D1140" t="s">
        <v>6431</v>
      </c>
      <c r="E1140">
        <v>424032</v>
      </c>
      <c r="F1140" t="s">
        <v>1</v>
      </c>
      <c r="G1140" t="s">
        <v>2</v>
      </c>
      <c r="H1140" t="s">
        <v>2972</v>
      </c>
      <c r="J1140" t="s">
        <v>6432</v>
      </c>
      <c r="P1140" t="s">
        <v>6315</v>
      </c>
      <c r="Y1140" t="s">
        <v>2975</v>
      </c>
    </row>
    <row r="1141" spans="1:25" x14ac:dyDescent="0.25">
      <c r="A1141" t="str">
        <f>"1108817191"</f>
        <v>1108817191</v>
      </c>
      <c r="B1141" t="s">
        <v>1617</v>
      </c>
      <c r="C1141" t="s">
        <v>1618</v>
      </c>
      <c r="D1141" t="s">
        <v>1618</v>
      </c>
      <c r="E1141">
        <v>424000</v>
      </c>
      <c r="F1141" t="s">
        <v>1</v>
      </c>
      <c r="G1141" t="s">
        <v>2</v>
      </c>
      <c r="H1141" t="s">
        <v>2671</v>
      </c>
      <c r="Y1141" t="s">
        <v>6434</v>
      </c>
    </row>
    <row r="1142" spans="1:25" x14ac:dyDescent="0.25">
      <c r="A1142" t="str">
        <f>"1108946033"</f>
        <v>1108946033</v>
      </c>
      <c r="B1142" t="s">
        <v>110</v>
      </c>
      <c r="C1142" t="s">
        <v>6439</v>
      </c>
      <c r="D1142" t="s">
        <v>6435</v>
      </c>
      <c r="E1142">
        <v>424020</v>
      </c>
      <c r="F1142" t="s">
        <v>1</v>
      </c>
      <c r="G1142" t="s">
        <v>2</v>
      </c>
      <c r="H1142" t="s">
        <v>1837</v>
      </c>
      <c r="J1142" t="s">
        <v>6436</v>
      </c>
      <c r="L1142" t="s">
        <v>6437</v>
      </c>
      <c r="M1142" t="s">
        <v>6438</v>
      </c>
      <c r="P1142" t="s">
        <v>6440</v>
      </c>
      <c r="Q1142" t="s">
        <v>6441</v>
      </c>
      <c r="V1142" t="s">
        <v>6442</v>
      </c>
      <c r="Y1142" t="s">
        <v>6443</v>
      </c>
    </row>
    <row r="1143" spans="1:25" x14ac:dyDescent="0.25">
      <c r="A1143" t="str">
        <f>"1109255161"</f>
        <v>1109255161</v>
      </c>
      <c r="B1143" t="s">
        <v>1262</v>
      </c>
      <c r="C1143" t="s">
        <v>3214</v>
      </c>
      <c r="D1143" t="s">
        <v>3214</v>
      </c>
      <c r="F1143" t="s">
        <v>1</v>
      </c>
      <c r="G1143" t="s">
        <v>2</v>
      </c>
      <c r="H1143" t="s">
        <v>6444</v>
      </c>
      <c r="I1143" t="s">
        <v>6445</v>
      </c>
      <c r="J1143" t="s">
        <v>6446</v>
      </c>
      <c r="L1143" t="s">
        <v>6447</v>
      </c>
      <c r="M1143" t="s">
        <v>6448</v>
      </c>
      <c r="P1143" t="s">
        <v>152</v>
      </c>
      <c r="Y1143" t="s">
        <v>6449</v>
      </c>
    </row>
    <row r="1144" spans="1:25" x14ac:dyDescent="0.25">
      <c r="A1144" t="str">
        <f>"1109317767"</f>
        <v>1109317767</v>
      </c>
      <c r="B1144" t="s">
        <v>348</v>
      </c>
      <c r="C1144" t="s">
        <v>6455</v>
      </c>
      <c r="D1144" t="s">
        <v>6450</v>
      </c>
      <c r="E1144">
        <v>424006</v>
      </c>
      <c r="F1144" t="s">
        <v>1</v>
      </c>
      <c r="G1144" t="s">
        <v>2</v>
      </c>
      <c r="H1144" t="s">
        <v>6451</v>
      </c>
      <c r="I1144" t="s">
        <v>6452</v>
      </c>
      <c r="L1144" t="s">
        <v>6453</v>
      </c>
      <c r="M1144" t="s">
        <v>6454</v>
      </c>
      <c r="P1144" t="s">
        <v>6456</v>
      </c>
      <c r="Y1144" t="s">
        <v>6457</v>
      </c>
    </row>
    <row r="1145" spans="1:25" x14ac:dyDescent="0.25">
      <c r="A1145" t="str">
        <f>"1109324071"</f>
        <v>1109324071</v>
      </c>
      <c r="B1145" t="s">
        <v>1475</v>
      </c>
      <c r="C1145" t="s">
        <v>1476</v>
      </c>
      <c r="D1145" t="s">
        <v>6458</v>
      </c>
      <c r="E1145">
        <v>424007</v>
      </c>
      <c r="F1145" t="s">
        <v>1</v>
      </c>
      <c r="G1145" t="s">
        <v>2</v>
      </c>
      <c r="H1145" t="s">
        <v>5281</v>
      </c>
      <c r="I1145" t="s">
        <v>6459</v>
      </c>
      <c r="P1145" t="s">
        <v>60</v>
      </c>
      <c r="Y1145" t="s">
        <v>6460</v>
      </c>
    </row>
    <row r="1146" spans="1:25" x14ac:dyDescent="0.25">
      <c r="A1146" t="str">
        <f>"1109499497"</f>
        <v>1109499497</v>
      </c>
      <c r="B1146" t="s">
        <v>2818</v>
      </c>
      <c r="C1146" t="s">
        <v>6466</v>
      </c>
      <c r="D1146" t="s">
        <v>6461</v>
      </c>
      <c r="E1146">
        <v>424033</v>
      </c>
      <c r="F1146" t="s">
        <v>1</v>
      </c>
      <c r="G1146" t="s">
        <v>2</v>
      </c>
      <c r="H1146" t="s">
        <v>4244</v>
      </c>
      <c r="I1146" t="s">
        <v>6462</v>
      </c>
      <c r="J1146" t="s">
        <v>6463</v>
      </c>
      <c r="L1146" t="s">
        <v>6464</v>
      </c>
      <c r="M1146" t="s">
        <v>6465</v>
      </c>
      <c r="P1146" t="s">
        <v>6467</v>
      </c>
      <c r="Y1146" t="s">
        <v>6468</v>
      </c>
    </row>
    <row r="1147" spans="1:25" x14ac:dyDescent="0.25">
      <c r="A1147" t="str">
        <f>"1109619712"</f>
        <v>1109619712</v>
      </c>
      <c r="B1147" t="s">
        <v>7</v>
      </c>
      <c r="C1147" t="s">
        <v>6470</v>
      </c>
      <c r="D1147" t="s">
        <v>6469</v>
      </c>
      <c r="E1147">
        <v>424006</v>
      </c>
      <c r="F1147" t="s">
        <v>1</v>
      </c>
      <c r="G1147" t="s">
        <v>2</v>
      </c>
      <c r="H1147" t="s">
        <v>2012</v>
      </c>
      <c r="Y1147" t="s">
        <v>2016</v>
      </c>
    </row>
    <row r="1148" spans="1:25" x14ac:dyDescent="0.25">
      <c r="A1148" t="str">
        <f>"1109634191"</f>
        <v>1109634191</v>
      </c>
      <c r="B1148" t="s">
        <v>379</v>
      </c>
      <c r="C1148" t="s">
        <v>864</v>
      </c>
      <c r="D1148" t="s">
        <v>6471</v>
      </c>
      <c r="E1148">
        <v>424006</v>
      </c>
      <c r="F1148" t="s">
        <v>1</v>
      </c>
      <c r="G1148" t="s">
        <v>2</v>
      </c>
      <c r="H1148" t="s">
        <v>445</v>
      </c>
      <c r="I1148" t="s">
        <v>6472</v>
      </c>
      <c r="Y1148" t="s">
        <v>449</v>
      </c>
    </row>
    <row r="1149" spans="1:25" x14ac:dyDescent="0.25">
      <c r="A1149" t="str">
        <f>"1109660127"</f>
        <v>1109660127</v>
      </c>
      <c r="B1149" t="s">
        <v>6478</v>
      </c>
      <c r="C1149" t="s">
        <v>6479</v>
      </c>
      <c r="D1149" t="s">
        <v>6473</v>
      </c>
      <c r="E1149">
        <v>424006</v>
      </c>
      <c r="F1149" t="s">
        <v>1</v>
      </c>
      <c r="G1149" t="s">
        <v>2</v>
      </c>
      <c r="H1149" t="s">
        <v>6474</v>
      </c>
      <c r="I1149" t="s">
        <v>6475</v>
      </c>
      <c r="L1149" t="s">
        <v>6476</v>
      </c>
      <c r="M1149" t="s">
        <v>6477</v>
      </c>
      <c r="P1149" t="s">
        <v>2839</v>
      </c>
      <c r="Y1149" t="s">
        <v>6480</v>
      </c>
    </row>
    <row r="1150" spans="1:25" x14ac:dyDescent="0.25">
      <c r="A1150" t="str">
        <f>"1109799614"</f>
        <v>1109799614</v>
      </c>
      <c r="B1150" t="s">
        <v>18</v>
      </c>
      <c r="C1150" t="s">
        <v>143</v>
      </c>
      <c r="D1150" t="s">
        <v>6481</v>
      </c>
      <c r="E1150">
        <v>424006</v>
      </c>
      <c r="F1150" t="s">
        <v>1</v>
      </c>
      <c r="G1150" t="s">
        <v>2</v>
      </c>
      <c r="H1150" t="s">
        <v>2012</v>
      </c>
      <c r="P1150" t="s">
        <v>3938</v>
      </c>
      <c r="Y1150" t="s">
        <v>2016</v>
      </c>
    </row>
    <row r="1151" spans="1:25" x14ac:dyDescent="0.25">
      <c r="A1151" t="str">
        <f>"1109838930"</f>
        <v>1109838930</v>
      </c>
      <c r="B1151" t="s">
        <v>1053</v>
      </c>
      <c r="C1151" t="s">
        <v>1927</v>
      </c>
      <c r="D1151" t="s">
        <v>6482</v>
      </c>
      <c r="E1151">
        <v>424016</v>
      </c>
      <c r="F1151" t="s">
        <v>1</v>
      </c>
      <c r="G1151" t="s">
        <v>2</v>
      </c>
      <c r="H1151" t="s">
        <v>6483</v>
      </c>
      <c r="I1151" t="s">
        <v>6484</v>
      </c>
      <c r="P1151" t="s">
        <v>20</v>
      </c>
      <c r="Y1151" t="s">
        <v>6485</v>
      </c>
    </row>
    <row r="1152" spans="1:25" x14ac:dyDescent="0.25">
      <c r="A1152" t="str">
        <f>"1109858022"</f>
        <v>1109858022</v>
      </c>
      <c r="B1152" t="s">
        <v>978</v>
      </c>
      <c r="C1152" t="s">
        <v>6490</v>
      </c>
      <c r="D1152" t="s">
        <v>6486</v>
      </c>
      <c r="E1152">
        <v>424006</v>
      </c>
      <c r="F1152" t="s">
        <v>1</v>
      </c>
      <c r="G1152" t="s">
        <v>2</v>
      </c>
      <c r="H1152" t="s">
        <v>6487</v>
      </c>
      <c r="I1152" t="s">
        <v>6488</v>
      </c>
      <c r="M1152" t="s">
        <v>6489</v>
      </c>
      <c r="P1152" t="s">
        <v>6491</v>
      </c>
      <c r="Q1152" t="s">
        <v>6492</v>
      </c>
      <c r="R1152" t="s">
        <v>6493</v>
      </c>
      <c r="Y1152" t="s">
        <v>6494</v>
      </c>
    </row>
    <row r="1153" spans="1:25" x14ac:dyDescent="0.25">
      <c r="A1153" t="str">
        <f>"1109931709"</f>
        <v>1109931709</v>
      </c>
      <c r="B1153" t="s">
        <v>703</v>
      </c>
      <c r="C1153" t="s">
        <v>3518</v>
      </c>
      <c r="D1153" t="s">
        <v>6495</v>
      </c>
      <c r="F1153" t="s">
        <v>1</v>
      </c>
      <c r="G1153" t="s">
        <v>2</v>
      </c>
      <c r="H1153" t="s">
        <v>2687</v>
      </c>
      <c r="I1153" t="s">
        <v>6496</v>
      </c>
      <c r="P1153" t="s">
        <v>280</v>
      </c>
      <c r="Y1153" t="s">
        <v>2690</v>
      </c>
    </row>
    <row r="1154" spans="1:25" x14ac:dyDescent="0.25">
      <c r="A1154" t="str">
        <f>"1110064941"</f>
        <v>1110064941</v>
      </c>
      <c r="B1154" t="s">
        <v>25</v>
      </c>
      <c r="C1154" t="s">
        <v>6499</v>
      </c>
      <c r="D1154" t="s">
        <v>6497</v>
      </c>
      <c r="E1154">
        <v>424000</v>
      </c>
      <c r="F1154" t="s">
        <v>1</v>
      </c>
      <c r="G1154" t="s">
        <v>2</v>
      </c>
      <c r="H1154" t="s">
        <v>2547</v>
      </c>
      <c r="I1154" t="s">
        <v>6498</v>
      </c>
      <c r="P1154" t="s">
        <v>260</v>
      </c>
      <c r="Y1154" t="s">
        <v>6500</v>
      </c>
    </row>
    <row r="1155" spans="1:25" x14ac:dyDescent="0.25">
      <c r="A1155" t="str">
        <f>"1110171580"</f>
        <v>1110171580</v>
      </c>
      <c r="B1155" t="s">
        <v>447</v>
      </c>
      <c r="C1155" t="s">
        <v>6504</v>
      </c>
      <c r="D1155" t="s">
        <v>6501</v>
      </c>
      <c r="E1155">
        <v>424002</v>
      </c>
      <c r="F1155" t="s">
        <v>1</v>
      </c>
      <c r="G1155" t="s">
        <v>2</v>
      </c>
      <c r="H1155" t="s">
        <v>6502</v>
      </c>
      <c r="I1155" t="s">
        <v>6503</v>
      </c>
      <c r="K1155" t="s">
        <v>6503</v>
      </c>
      <c r="Y1155" t="s">
        <v>6505</v>
      </c>
    </row>
    <row r="1156" spans="1:25" x14ac:dyDescent="0.25">
      <c r="A1156" t="str">
        <f>"1110274845"</f>
        <v>1110274845</v>
      </c>
      <c r="B1156" t="s">
        <v>18</v>
      </c>
      <c r="C1156" t="s">
        <v>6508</v>
      </c>
      <c r="D1156" t="s">
        <v>6506</v>
      </c>
      <c r="E1156">
        <v>424016</v>
      </c>
      <c r="F1156" t="s">
        <v>1</v>
      </c>
      <c r="G1156" t="s">
        <v>2</v>
      </c>
      <c r="H1156" t="s">
        <v>3396</v>
      </c>
      <c r="I1156" t="s">
        <v>6507</v>
      </c>
      <c r="P1156" t="s">
        <v>6509</v>
      </c>
      <c r="Y1156" t="s">
        <v>6510</v>
      </c>
    </row>
    <row r="1157" spans="1:25" x14ac:dyDescent="0.25">
      <c r="A1157" t="str">
        <f>"1110323150"</f>
        <v>1110323150</v>
      </c>
      <c r="B1157" t="s">
        <v>1544</v>
      </c>
      <c r="C1157" t="s">
        <v>3596</v>
      </c>
      <c r="D1157" t="s">
        <v>6511</v>
      </c>
      <c r="E1157">
        <v>424000</v>
      </c>
      <c r="F1157" t="s">
        <v>1</v>
      </c>
      <c r="G1157" t="s">
        <v>2</v>
      </c>
      <c r="H1157" t="s">
        <v>4021</v>
      </c>
      <c r="I1157" t="s">
        <v>6512</v>
      </c>
      <c r="L1157" t="s">
        <v>6513</v>
      </c>
      <c r="M1157" t="s">
        <v>6514</v>
      </c>
      <c r="P1157" t="s">
        <v>60</v>
      </c>
      <c r="Q1157" t="s">
        <v>6515</v>
      </c>
      <c r="Y1157" t="s">
        <v>6516</v>
      </c>
    </row>
    <row r="1158" spans="1:25" x14ac:dyDescent="0.25">
      <c r="A1158" t="str">
        <f>"1110351716"</f>
        <v>1110351716</v>
      </c>
      <c r="B1158" t="s">
        <v>3094</v>
      </c>
      <c r="C1158" t="s">
        <v>6522</v>
      </c>
      <c r="D1158" t="s">
        <v>6517</v>
      </c>
      <c r="E1158">
        <v>424003</v>
      </c>
      <c r="F1158" t="s">
        <v>1</v>
      </c>
      <c r="G1158" t="s">
        <v>2</v>
      </c>
      <c r="H1158" t="s">
        <v>6518</v>
      </c>
      <c r="I1158" t="s">
        <v>6519</v>
      </c>
      <c r="L1158" t="s">
        <v>6520</v>
      </c>
      <c r="M1158" t="s">
        <v>6521</v>
      </c>
      <c r="P1158" t="s">
        <v>3938</v>
      </c>
      <c r="Q1158" t="s">
        <v>6523</v>
      </c>
      <c r="S1158" t="s">
        <v>6524</v>
      </c>
      <c r="U1158" t="s">
        <v>6525</v>
      </c>
      <c r="V1158" t="s">
        <v>6526</v>
      </c>
      <c r="Y1158" t="s">
        <v>6527</v>
      </c>
    </row>
    <row r="1159" spans="1:25" x14ac:dyDescent="0.25">
      <c r="A1159" t="str">
        <f>"1110388992"</f>
        <v>1110388992</v>
      </c>
      <c r="B1159" t="s">
        <v>417</v>
      </c>
      <c r="C1159" t="s">
        <v>6532</v>
      </c>
      <c r="D1159" t="s">
        <v>6528</v>
      </c>
      <c r="E1159">
        <v>424030</v>
      </c>
      <c r="F1159" t="s">
        <v>1</v>
      </c>
      <c r="G1159" t="s">
        <v>2</v>
      </c>
      <c r="H1159" t="s">
        <v>6529</v>
      </c>
      <c r="I1159" t="s">
        <v>6530</v>
      </c>
      <c r="M1159" t="s">
        <v>6531</v>
      </c>
      <c r="P1159" t="s">
        <v>1035</v>
      </c>
      <c r="Y1159" t="s">
        <v>6533</v>
      </c>
    </row>
    <row r="1160" spans="1:25" x14ac:dyDescent="0.25">
      <c r="A1160" t="str">
        <f>"1110661512"</f>
        <v>1110661512</v>
      </c>
      <c r="B1160" t="s">
        <v>624</v>
      </c>
      <c r="C1160" t="s">
        <v>6535</v>
      </c>
      <c r="D1160" t="s">
        <v>6534</v>
      </c>
      <c r="E1160">
        <v>424016</v>
      </c>
      <c r="F1160" t="s">
        <v>1</v>
      </c>
      <c r="G1160" t="s">
        <v>2</v>
      </c>
      <c r="H1160" t="s">
        <v>3703</v>
      </c>
      <c r="Y1160" t="s">
        <v>5274</v>
      </c>
    </row>
    <row r="1161" spans="1:25" x14ac:dyDescent="0.25">
      <c r="A1161" t="str">
        <f>"1110687543"</f>
        <v>1110687543</v>
      </c>
      <c r="B1161" t="s">
        <v>243</v>
      </c>
      <c r="C1161" t="s">
        <v>5683</v>
      </c>
      <c r="D1161" t="s">
        <v>6536</v>
      </c>
      <c r="E1161">
        <v>424007</v>
      </c>
      <c r="F1161" t="s">
        <v>1</v>
      </c>
      <c r="G1161" t="s">
        <v>2</v>
      </c>
      <c r="H1161" t="s">
        <v>4869</v>
      </c>
      <c r="I1161" t="s">
        <v>6537</v>
      </c>
      <c r="P1161" t="s">
        <v>689</v>
      </c>
      <c r="Y1161" t="s">
        <v>6538</v>
      </c>
    </row>
    <row r="1162" spans="1:25" x14ac:dyDescent="0.25">
      <c r="A1162" t="str">
        <f>"1110843369"</f>
        <v>1110843369</v>
      </c>
      <c r="B1162" t="s">
        <v>18</v>
      </c>
      <c r="C1162" t="s">
        <v>6544</v>
      </c>
      <c r="D1162" t="s">
        <v>6539</v>
      </c>
      <c r="E1162">
        <v>424032</v>
      </c>
      <c r="F1162" t="s">
        <v>1</v>
      </c>
      <c r="G1162" t="s">
        <v>2</v>
      </c>
      <c r="H1162" t="s">
        <v>4808</v>
      </c>
      <c r="I1162" t="s">
        <v>6540</v>
      </c>
      <c r="J1162" t="s">
        <v>6541</v>
      </c>
      <c r="L1162" t="s">
        <v>6542</v>
      </c>
      <c r="M1162" t="s">
        <v>6543</v>
      </c>
      <c r="P1162" t="s">
        <v>152</v>
      </c>
      <c r="Y1162" t="s">
        <v>4812</v>
      </c>
    </row>
    <row r="1163" spans="1:25" x14ac:dyDescent="0.25">
      <c r="A1163" t="str">
        <f>"1110907020"</f>
        <v>1110907020</v>
      </c>
      <c r="B1163" t="s">
        <v>328</v>
      </c>
      <c r="C1163" t="s">
        <v>1920</v>
      </c>
      <c r="D1163" t="s">
        <v>6545</v>
      </c>
      <c r="E1163">
        <v>424000</v>
      </c>
      <c r="F1163" t="s">
        <v>1</v>
      </c>
      <c r="G1163" t="s">
        <v>2</v>
      </c>
      <c r="H1163" t="s">
        <v>1473</v>
      </c>
      <c r="I1163" t="s">
        <v>6546</v>
      </c>
      <c r="J1163" t="s">
        <v>6547</v>
      </c>
      <c r="L1163" t="s">
        <v>6548</v>
      </c>
      <c r="M1163" t="s">
        <v>6549</v>
      </c>
      <c r="P1163" t="s">
        <v>152</v>
      </c>
      <c r="Y1163" t="s">
        <v>3754</v>
      </c>
    </row>
    <row r="1164" spans="1:25" x14ac:dyDescent="0.25">
      <c r="A1164" t="str">
        <f>"1110937874"</f>
        <v>1110937874</v>
      </c>
      <c r="B1164" t="s">
        <v>348</v>
      </c>
      <c r="C1164" t="s">
        <v>4366</v>
      </c>
      <c r="D1164" t="s">
        <v>3603</v>
      </c>
      <c r="E1164">
        <v>424038</v>
      </c>
      <c r="F1164" t="s">
        <v>1</v>
      </c>
      <c r="G1164" t="s">
        <v>2</v>
      </c>
      <c r="H1164" t="s">
        <v>6550</v>
      </c>
      <c r="J1164" t="s">
        <v>6551</v>
      </c>
      <c r="P1164" t="s">
        <v>941</v>
      </c>
      <c r="Y1164" t="s">
        <v>6552</v>
      </c>
    </row>
    <row r="1165" spans="1:25" x14ac:dyDescent="0.25">
      <c r="A1165" t="str">
        <f>"1110978034"</f>
        <v>1110978034</v>
      </c>
      <c r="B1165" t="s">
        <v>352</v>
      </c>
      <c r="C1165" t="s">
        <v>6213</v>
      </c>
      <c r="D1165" t="s">
        <v>6553</v>
      </c>
      <c r="E1165">
        <v>424004</v>
      </c>
      <c r="F1165" t="s">
        <v>1</v>
      </c>
      <c r="G1165" t="s">
        <v>2</v>
      </c>
      <c r="H1165" t="s">
        <v>1169</v>
      </c>
      <c r="I1165" t="s">
        <v>6554</v>
      </c>
      <c r="J1165" t="s">
        <v>6555</v>
      </c>
      <c r="P1165" t="s">
        <v>152</v>
      </c>
      <c r="Y1165" t="s">
        <v>1178</v>
      </c>
    </row>
    <row r="1166" spans="1:25" x14ac:dyDescent="0.25">
      <c r="A1166" t="str">
        <f>"1111000913"</f>
        <v>1111000913</v>
      </c>
      <c r="B1166" t="s">
        <v>669</v>
      </c>
      <c r="C1166" t="s">
        <v>6562</v>
      </c>
      <c r="D1166" t="s">
        <v>6556</v>
      </c>
      <c r="E1166">
        <v>424006</v>
      </c>
      <c r="F1166" t="s">
        <v>1</v>
      </c>
      <c r="G1166" t="s">
        <v>2</v>
      </c>
      <c r="H1166" t="s">
        <v>6557</v>
      </c>
      <c r="I1166" t="s">
        <v>6558</v>
      </c>
      <c r="J1166" t="s">
        <v>6559</v>
      </c>
      <c r="L1166" t="s">
        <v>6560</v>
      </c>
      <c r="M1166" t="s">
        <v>6561</v>
      </c>
      <c r="P1166" t="s">
        <v>6563</v>
      </c>
      <c r="Y1166" t="s">
        <v>6564</v>
      </c>
    </row>
    <row r="1167" spans="1:25" x14ac:dyDescent="0.25">
      <c r="A1167" t="str">
        <f>"1111094836"</f>
        <v>1111094836</v>
      </c>
      <c r="B1167" t="s">
        <v>2790</v>
      </c>
      <c r="C1167" t="s">
        <v>3528</v>
      </c>
      <c r="D1167" t="s">
        <v>6565</v>
      </c>
      <c r="E1167">
        <v>424031</v>
      </c>
      <c r="F1167" t="s">
        <v>1</v>
      </c>
      <c r="G1167" t="s">
        <v>2</v>
      </c>
      <c r="H1167" t="s">
        <v>1273</v>
      </c>
      <c r="I1167" t="s">
        <v>6566</v>
      </c>
      <c r="L1167" t="s">
        <v>6034</v>
      </c>
      <c r="M1167" t="s">
        <v>6035</v>
      </c>
      <c r="P1167" t="s">
        <v>6567</v>
      </c>
      <c r="Q1167" t="s">
        <v>6036</v>
      </c>
      <c r="T1167" t="s">
        <v>6037</v>
      </c>
      <c r="Y1167" t="s">
        <v>6568</v>
      </c>
    </row>
    <row r="1168" spans="1:25" x14ac:dyDescent="0.25">
      <c r="A1168" t="str">
        <f>"1111179198"</f>
        <v>1111179198</v>
      </c>
      <c r="B1168" t="s">
        <v>67</v>
      </c>
      <c r="C1168" t="s">
        <v>6573</v>
      </c>
      <c r="D1168" t="s">
        <v>6569</v>
      </c>
      <c r="E1168">
        <v>424033</v>
      </c>
      <c r="F1168" t="s">
        <v>1</v>
      </c>
      <c r="G1168" t="s">
        <v>2</v>
      </c>
      <c r="H1168" t="s">
        <v>5492</v>
      </c>
      <c r="I1168" t="s">
        <v>6570</v>
      </c>
      <c r="L1168" t="s">
        <v>6571</v>
      </c>
      <c r="M1168" t="s">
        <v>6572</v>
      </c>
      <c r="P1168" t="s">
        <v>6574</v>
      </c>
      <c r="T1168" t="s">
        <v>6575</v>
      </c>
      <c r="Y1168" t="s">
        <v>6576</v>
      </c>
    </row>
    <row r="1169" spans="1:25" x14ac:dyDescent="0.25">
      <c r="A1169" t="str">
        <f>"1111249324"</f>
        <v>1111249324</v>
      </c>
      <c r="B1169" t="s">
        <v>176</v>
      </c>
      <c r="C1169" t="s">
        <v>250</v>
      </c>
      <c r="D1169" t="s">
        <v>6577</v>
      </c>
      <c r="E1169">
        <v>424000</v>
      </c>
      <c r="F1169" t="s">
        <v>1</v>
      </c>
      <c r="G1169" t="s">
        <v>2</v>
      </c>
      <c r="H1169" t="s">
        <v>6578</v>
      </c>
      <c r="I1169" t="s">
        <v>6579</v>
      </c>
      <c r="K1169" t="s">
        <v>6580</v>
      </c>
      <c r="P1169" t="s">
        <v>6581</v>
      </c>
      <c r="Y1169" t="s">
        <v>6582</v>
      </c>
    </row>
    <row r="1170" spans="1:25" x14ac:dyDescent="0.25">
      <c r="A1170" t="str">
        <f>"1111256805"</f>
        <v>1111256805</v>
      </c>
      <c r="B1170" t="s">
        <v>348</v>
      </c>
      <c r="C1170" t="s">
        <v>6588</v>
      </c>
      <c r="D1170" t="s">
        <v>6583</v>
      </c>
      <c r="E1170">
        <v>424008</v>
      </c>
      <c r="F1170" t="s">
        <v>1</v>
      </c>
      <c r="G1170" t="s">
        <v>2</v>
      </c>
      <c r="H1170" t="s">
        <v>6584</v>
      </c>
      <c r="I1170" t="s">
        <v>6585</v>
      </c>
      <c r="L1170" t="s">
        <v>6586</v>
      </c>
      <c r="M1170" t="s">
        <v>6587</v>
      </c>
      <c r="P1170" t="s">
        <v>1760</v>
      </c>
      <c r="Y1170" t="s">
        <v>6589</v>
      </c>
    </row>
    <row r="1171" spans="1:25" x14ac:dyDescent="0.25">
      <c r="A1171" t="str">
        <f>"1111551189"</f>
        <v>1111551189</v>
      </c>
      <c r="B1171" t="s">
        <v>88</v>
      </c>
      <c r="C1171" t="s">
        <v>6593</v>
      </c>
      <c r="D1171" t="s">
        <v>6590</v>
      </c>
      <c r="E1171">
        <v>424020</v>
      </c>
      <c r="F1171" t="s">
        <v>1</v>
      </c>
      <c r="G1171" t="s">
        <v>2</v>
      </c>
      <c r="H1171" t="s">
        <v>288</v>
      </c>
      <c r="I1171" t="s">
        <v>6591</v>
      </c>
      <c r="L1171" t="s">
        <v>6592</v>
      </c>
      <c r="P1171" t="s">
        <v>1855</v>
      </c>
      <c r="Q1171" t="s">
        <v>6594</v>
      </c>
      <c r="Y1171" t="s">
        <v>6595</v>
      </c>
    </row>
    <row r="1172" spans="1:25" x14ac:dyDescent="0.25">
      <c r="A1172" t="str">
        <f>"1111659381"</f>
        <v>1111659381</v>
      </c>
      <c r="B1172" t="s">
        <v>80</v>
      </c>
      <c r="C1172" t="s">
        <v>6600</v>
      </c>
      <c r="D1172" t="s">
        <v>6596</v>
      </c>
      <c r="E1172">
        <v>424002</v>
      </c>
      <c r="F1172" t="s">
        <v>1</v>
      </c>
      <c r="G1172" t="s">
        <v>2</v>
      </c>
      <c r="H1172" t="s">
        <v>6597</v>
      </c>
      <c r="I1172" t="s">
        <v>6598</v>
      </c>
      <c r="L1172" t="s">
        <v>6599</v>
      </c>
      <c r="P1172" t="s">
        <v>6601</v>
      </c>
      <c r="Q1172" t="s">
        <v>6602</v>
      </c>
      <c r="Y1172" t="s">
        <v>6603</v>
      </c>
    </row>
    <row r="1173" spans="1:25" x14ac:dyDescent="0.25">
      <c r="A1173" t="str">
        <f>"1111674998"</f>
        <v>1111674998</v>
      </c>
      <c r="B1173" t="s">
        <v>6609</v>
      </c>
      <c r="C1173" t="s">
        <v>6610</v>
      </c>
      <c r="D1173" t="s">
        <v>6604</v>
      </c>
      <c r="E1173">
        <v>424026</v>
      </c>
      <c r="F1173" t="s">
        <v>1</v>
      </c>
      <c r="G1173" t="s">
        <v>2</v>
      </c>
      <c r="H1173" t="s">
        <v>6605</v>
      </c>
      <c r="I1173" t="s">
        <v>6606</v>
      </c>
      <c r="L1173" t="s">
        <v>6607</v>
      </c>
      <c r="M1173" t="s">
        <v>6608</v>
      </c>
      <c r="P1173" t="s">
        <v>911</v>
      </c>
      <c r="Y1173" t="s">
        <v>6611</v>
      </c>
    </row>
    <row r="1174" spans="1:25" x14ac:dyDescent="0.25">
      <c r="A1174" t="str">
        <f>"1111746389"</f>
        <v>1111746389</v>
      </c>
      <c r="B1174" t="s">
        <v>888</v>
      </c>
      <c r="C1174" t="s">
        <v>6616</v>
      </c>
      <c r="D1174" t="s">
        <v>6612</v>
      </c>
      <c r="E1174">
        <v>424007</v>
      </c>
      <c r="F1174" t="s">
        <v>1</v>
      </c>
      <c r="G1174" t="s">
        <v>2</v>
      </c>
      <c r="H1174" t="s">
        <v>5281</v>
      </c>
      <c r="I1174" t="s">
        <v>6613</v>
      </c>
      <c r="L1174" t="s">
        <v>6614</v>
      </c>
      <c r="M1174" t="s">
        <v>6615</v>
      </c>
      <c r="P1174" t="s">
        <v>20</v>
      </c>
      <c r="Q1174" t="s">
        <v>6617</v>
      </c>
      <c r="R1174" t="s">
        <v>6618</v>
      </c>
      <c r="U1174" t="s">
        <v>6619</v>
      </c>
      <c r="Y1174" t="s">
        <v>6620</v>
      </c>
    </row>
    <row r="1175" spans="1:25" x14ac:dyDescent="0.25">
      <c r="A1175" t="str">
        <f>"1111750805"</f>
        <v>1111750805</v>
      </c>
      <c r="B1175" t="s">
        <v>88</v>
      </c>
      <c r="C1175" t="s">
        <v>6624</v>
      </c>
      <c r="D1175" t="s">
        <v>6621</v>
      </c>
      <c r="E1175">
        <v>424006</v>
      </c>
      <c r="F1175" t="s">
        <v>1</v>
      </c>
      <c r="G1175" t="s">
        <v>2</v>
      </c>
      <c r="H1175" t="s">
        <v>6622</v>
      </c>
      <c r="I1175" t="s">
        <v>6623</v>
      </c>
      <c r="P1175" t="s">
        <v>6625</v>
      </c>
      <c r="Y1175" t="s">
        <v>6626</v>
      </c>
    </row>
    <row r="1176" spans="1:25" x14ac:dyDescent="0.25">
      <c r="A1176" t="str">
        <f>"1111887801"</f>
        <v>1111887801</v>
      </c>
      <c r="B1176" t="s">
        <v>160</v>
      </c>
      <c r="C1176" t="s">
        <v>1666</v>
      </c>
      <c r="D1176" t="s">
        <v>6627</v>
      </c>
      <c r="E1176">
        <v>424006</v>
      </c>
      <c r="F1176" t="s">
        <v>1</v>
      </c>
      <c r="G1176" t="s">
        <v>2</v>
      </c>
      <c r="H1176" t="s">
        <v>6628</v>
      </c>
      <c r="I1176" t="s">
        <v>6629</v>
      </c>
      <c r="K1176" t="s">
        <v>6630</v>
      </c>
      <c r="L1176" t="s">
        <v>6631</v>
      </c>
      <c r="M1176" t="s">
        <v>6632</v>
      </c>
      <c r="P1176" t="s">
        <v>20</v>
      </c>
      <c r="Y1176" t="s">
        <v>6633</v>
      </c>
    </row>
    <row r="1177" spans="1:25" x14ac:dyDescent="0.25">
      <c r="A1177" t="str">
        <f>"1111955032"</f>
        <v>1111955032</v>
      </c>
      <c r="B1177" t="s">
        <v>482</v>
      </c>
      <c r="C1177" t="s">
        <v>483</v>
      </c>
      <c r="D1177" t="s">
        <v>6634</v>
      </c>
      <c r="E1177">
        <v>424016</v>
      </c>
      <c r="F1177" t="s">
        <v>1</v>
      </c>
      <c r="G1177" t="s">
        <v>2</v>
      </c>
      <c r="H1177" t="s">
        <v>6635</v>
      </c>
      <c r="I1177" t="s">
        <v>808</v>
      </c>
      <c r="Y1177" t="s">
        <v>810</v>
      </c>
    </row>
    <row r="1178" spans="1:25" x14ac:dyDescent="0.25">
      <c r="A1178" t="str">
        <f>"1111984716"</f>
        <v>1111984716</v>
      </c>
      <c r="B1178" t="s">
        <v>687</v>
      </c>
      <c r="C1178" t="s">
        <v>6641</v>
      </c>
      <c r="D1178" t="s">
        <v>6636</v>
      </c>
      <c r="E1178">
        <v>424007</v>
      </c>
      <c r="F1178" t="s">
        <v>1</v>
      </c>
      <c r="G1178" t="s">
        <v>2</v>
      </c>
      <c r="H1178" t="s">
        <v>1085</v>
      </c>
      <c r="I1178" t="s">
        <v>6637</v>
      </c>
      <c r="J1178" t="s">
        <v>6638</v>
      </c>
      <c r="L1178" t="s">
        <v>6639</v>
      </c>
      <c r="M1178" t="s">
        <v>6640</v>
      </c>
      <c r="P1178" t="s">
        <v>20</v>
      </c>
      <c r="T1178" t="s">
        <v>6642</v>
      </c>
      <c r="V1178" t="s">
        <v>6643</v>
      </c>
      <c r="Y1178" t="s">
        <v>6644</v>
      </c>
    </row>
    <row r="1179" spans="1:25" x14ac:dyDescent="0.25">
      <c r="A1179" t="str">
        <f>"1112132141"</f>
        <v>1112132141</v>
      </c>
      <c r="B1179" t="s">
        <v>1025</v>
      </c>
      <c r="C1179" t="s">
        <v>6647</v>
      </c>
      <c r="D1179" t="s">
        <v>6645</v>
      </c>
      <c r="E1179">
        <v>424000</v>
      </c>
      <c r="F1179" t="s">
        <v>1</v>
      </c>
      <c r="G1179" t="s">
        <v>2</v>
      </c>
      <c r="H1179" t="s">
        <v>4427</v>
      </c>
      <c r="I1179" t="s">
        <v>6646</v>
      </c>
      <c r="P1179" t="s">
        <v>1642</v>
      </c>
      <c r="Q1179" t="s">
        <v>6648</v>
      </c>
      <c r="Y1179" t="s">
        <v>6649</v>
      </c>
    </row>
    <row r="1180" spans="1:25" x14ac:dyDescent="0.25">
      <c r="A1180" t="str">
        <f>"1112285249"</f>
        <v>1112285249</v>
      </c>
      <c r="B1180" t="s">
        <v>25</v>
      </c>
      <c r="C1180" t="s">
        <v>4458</v>
      </c>
      <c r="D1180" t="s">
        <v>6650</v>
      </c>
      <c r="E1180">
        <v>424032</v>
      </c>
      <c r="F1180" t="s">
        <v>1</v>
      </c>
      <c r="G1180" t="s">
        <v>2</v>
      </c>
      <c r="H1180" t="s">
        <v>6651</v>
      </c>
      <c r="I1180" t="s">
        <v>6652</v>
      </c>
      <c r="P1180" t="s">
        <v>6653</v>
      </c>
      <c r="Y1180" t="s">
        <v>6654</v>
      </c>
    </row>
    <row r="1181" spans="1:25" x14ac:dyDescent="0.25">
      <c r="A1181" t="str">
        <f>"1112442949"</f>
        <v>1112442949</v>
      </c>
      <c r="B1181" t="s">
        <v>32</v>
      </c>
      <c r="C1181" t="s">
        <v>6659</v>
      </c>
      <c r="D1181" t="s">
        <v>6655</v>
      </c>
      <c r="E1181">
        <v>424002</v>
      </c>
      <c r="F1181" t="s">
        <v>1</v>
      </c>
      <c r="G1181" t="s">
        <v>2</v>
      </c>
      <c r="H1181" t="s">
        <v>6656</v>
      </c>
      <c r="I1181" t="s">
        <v>6657</v>
      </c>
      <c r="J1181" t="s">
        <v>6658</v>
      </c>
      <c r="P1181" t="s">
        <v>6660</v>
      </c>
      <c r="Q1181" t="s">
        <v>6661</v>
      </c>
      <c r="Y1181" t="s">
        <v>6662</v>
      </c>
    </row>
    <row r="1182" spans="1:25" x14ac:dyDescent="0.25">
      <c r="A1182" t="str">
        <f>"1112567022"</f>
        <v>1112567022</v>
      </c>
      <c r="B1182" t="s">
        <v>2818</v>
      </c>
      <c r="C1182" t="s">
        <v>6466</v>
      </c>
      <c r="D1182" t="s">
        <v>6663</v>
      </c>
      <c r="E1182">
        <v>424002</v>
      </c>
      <c r="F1182" t="s">
        <v>1</v>
      </c>
      <c r="G1182" t="s">
        <v>2</v>
      </c>
      <c r="H1182" t="s">
        <v>781</v>
      </c>
      <c r="I1182" t="s">
        <v>6664</v>
      </c>
      <c r="L1182" t="s">
        <v>6665</v>
      </c>
      <c r="M1182" t="s">
        <v>6666</v>
      </c>
      <c r="P1182" t="s">
        <v>1270</v>
      </c>
      <c r="Q1182" t="s">
        <v>6667</v>
      </c>
      <c r="V1182" t="s">
        <v>6668</v>
      </c>
      <c r="Y1182" t="s">
        <v>6669</v>
      </c>
    </row>
    <row r="1183" spans="1:25" x14ac:dyDescent="0.25">
      <c r="A1183" t="str">
        <f>"1112573016"</f>
        <v>1112573016</v>
      </c>
      <c r="B1183" t="s">
        <v>2062</v>
      </c>
      <c r="C1183" t="s">
        <v>6672</v>
      </c>
      <c r="D1183" t="s">
        <v>6670</v>
      </c>
      <c r="E1183">
        <v>424006</v>
      </c>
      <c r="F1183" t="s">
        <v>1</v>
      </c>
      <c r="G1183" t="s">
        <v>2</v>
      </c>
      <c r="H1183" t="s">
        <v>1890</v>
      </c>
      <c r="I1183" t="s">
        <v>6671</v>
      </c>
      <c r="P1183" t="s">
        <v>9</v>
      </c>
      <c r="Y1183" t="s">
        <v>6673</v>
      </c>
    </row>
    <row r="1184" spans="1:25" x14ac:dyDescent="0.25">
      <c r="A1184" t="str">
        <f>"1112621445"</f>
        <v>1112621445</v>
      </c>
      <c r="B1184" t="s">
        <v>1046</v>
      </c>
      <c r="C1184" t="s">
        <v>3497</v>
      </c>
      <c r="D1184" t="s">
        <v>6674</v>
      </c>
      <c r="E1184">
        <v>424032</v>
      </c>
      <c r="F1184" t="s">
        <v>1</v>
      </c>
      <c r="G1184" t="s">
        <v>2</v>
      </c>
      <c r="H1184" t="s">
        <v>6675</v>
      </c>
      <c r="I1184" t="s">
        <v>6676</v>
      </c>
      <c r="P1184" t="s">
        <v>3304</v>
      </c>
      <c r="Y1184" t="s">
        <v>6677</v>
      </c>
    </row>
    <row r="1185" spans="1:25" x14ac:dyDescent="0.25">
      <c r="A1185" t="str">
        <f>"1112635994"</f>
        <v>1112635994</v>
      </c>
      <c r="B1185" t="s">
        <v>978</v>
      </c>
      <c r="C1185" t="s">
        <v>1659</v>
      </c>
      <c r="D1185" t="s">
        <v>6678</v>
      </c>
      <c r="E1185">
        <v>424002</v>
      </c>
      <c r="F1185" t="s">
        <v>1</v>
      </c>
      <c r="G1185" t="s">
        <v>2</v>
      </c>
      <c r="H1185" t="s">
        <v>6679</v>
      </c>
      <c r="I1185" t="s">
        <v>6680</v>
      </c>
      <c r="M1185" t="s">
        <v>6681</v>
      </c>
      <c r="P1185" t="s">
        <v>6682</v>
      </c>
      <c r="Y1185" t="s">
        <v>6683</v>
      </c>
    </row>
    <row r="1186" spans="1:25" x14ac:dyDescent="0.25">
      <c r="A1186" t="str">
        <f>"1112636485"</f>
        <v>1112636485</v>
      </c>
      <c r="B1186" t="s">
        <v>18</v>
      </c>
      <c r="C1186" t="s">
        <v>959</v>
      </c>
      <c r="D1186" t="s">
        <v>6684</v>
      </c>
      <c r="E1186">
        <v>424003</v>
      </c>
      <c r="F1186" t="s">
        <v>1</v>
      </c>
      <c r="G1186" t="s">
        <v>2</v>
      </c>
      <c r="H1186" t="s">
        <v>775</v>
      </c>
      <c r="I1186" t="s">
        <v>6685</v>
      </c>
      <c r="P1186" t="s">
        <v>20</v>
      </c>
      <c r="Y1186" t="s">
        <v>6686</v>
      </c>
    </row>
    <row r="1187" spans="1:25" x14ac:dyDescent="0.25">
      <c r="A1187" t="str">
        <f>"1112739909"</f>
        <v>1112739909</v>
      </c>
      <c r="B1187" t="s">
        <v>1573</v>
      </c>
      <c r="C1187" t="s">
        <v>6692</v>
      </c>
      <c r="D1187" t="s">
        <v>6687</v>
      </c>
      <c r="E1187">
        <v>424026</v>
      </c>
      <c r="F1187" t="s">
        <v>1</v>
      </c>
      <c r="G1187" t="s">
        <v>2</v>
      </c>
      <c r="H1187" t="s">
        <v>6605</v>
      </c>
      <c r="I1187" t="s">
        <v>6688</v>
      </c>
      <c r="K1187" t="s">
        <v>6689</v>
      </c>
      <c r="L1187" t="s">
        <v>6690</v>
      </c>
      <c r="M1187" t="s">
        <v>6691</v>
      </c>
      <c r="P1187" t="s">
        <v>6693</v>
      </c>
      <c r="Y1187" t="s">
        <v>6694</v>
      </c>
    </row>
    <row r="1188" spans="1:25" x14ac:dyDescent="0.25">
      <c r="A1188" t="str">
        <f>"1112799761"</f>
        <v>1112799761</v>
      </c>
      <c r="B1188" t="s">
        <v>1352</v>
      </c>
      <c r="C1188" t="s">
        <v>1353</v>
      </c>
      <c r="D1188" t="s">
        <v>6695</v>
      </c>
      <c r="E1188">
        <v>424000</v>
      </c>
      <c r="F1188" t="s">
        <v>1</v>
      </c>
      <c r="G1188" t="s">
        <v>2</v>
      </c>
      <c r="H1188" t="s">
        <v>2671</v>
      </c>
      <c r="J1188" t="s">
        <v>6696</v>
      </c>
      <c r="P1188" t="s">
        <v>6697</v>
      </c>
      <c r="Y1188" t="s">
        <v>2674</v>
      </c>
    </row>
    <row r="1189" spans="1:25" x14ac:dyDescent="0.25">
      <c r="A1189" t="str">
        <f>"1112815673"</f>
        <v>1112815673</v>
      </c>
      <c r="B1189" t="s">
        <v>430</v>
      </c>
      <c r="C1189" t="s">
        <v>6701</v>
      </c>
      <c r="D1189" t="s">
        <v>6698</v>
      </c>
      <c r="E1189">
        <v>424000</v>
      </c>
      <c r="F1189" t="s">
        <v>1</v>
      </c>
      <c r="G1189" t="s">
        <v>2</v>
      </c>
      <c r="H1189" t="s">
        <v>1531</v>
      </c>
      <c r="I1189" t="s">
        <v>6699</v>
      </c>
      <c r="J1189" t="s">
        <v>6700</v>
      </c>
      <c r="P1189" t="s">
        <v>112</v>
      </c>
      <c r="Q1189" t="s">
        <v>6702</v>
      </c>
      <c r="Y1189" t="s">
        <v>6703</v>
      </c>
    </row>
    <row r="1190" spans="1:25" x14ac:dyDescent="0.25">
      <c r="A1190" t="str">
        <f>"1112927903"</f>
        <v>1112927903</v>
      </c>
      <c r="B1190" t="s">
        <v>530</v>
      </c>
      <c r="C1190" t="s">
        <v>5046</v>
      </c>
      <c r="D1190" t="s">
        <v>6704</v>
      </c>
      <c r="E1190">
        <v>424006</v>
      </c>
      <c r="F1190" t="s">
        <v>1</v>
      </c>
      <c r="G1190" t="s">
        <v>2</v>
      </c>
      <c r="H1190" t="s">
        <v>6705</v>
      </c>
      <c r="I1190" t="s">
        <v>6706</v>
      </c>
      <c r="P1190" t="s">
        <v>20</v>
      </c>
      <c r="Y1190" t="s">
        <v>6707</v>
      </c>
    </row>
    <row r="1191" spans="1:25" x14ac:dyDescent="0.25">
      <c r="A1191" t="str">
        <f>"1113210930"</f>
        <v>1113210930</v>
      </c>
      <c r="B1191" t="s">
        <v>456</v>
      </c>
      <c r="C1191" t="s">
        <v>2040</v>
      </c>
      <c r="D1191" t="s">
        <v>6708</v>
      </c>
      <c r="E1191">
        <v>424000</v>
      </c>
      <c r="F1191" t="s">
        <v>1</v>
      </c>
      <c r="G1191" t="s">
        <v>2</v>
      </c>
      <c r="H1191" t="s">
        <v>1531</v>
      </c>
      <c r="I1191" t="s">
        <v>6709</v>
      </c>
      <c r="P1191" t="s">
        <v>6710</v>
      </c>
      <c r="Y1191" t="s">
        <v>1707</v>
      </c>
    </row>
    <row r="1192" spans="1:25" x14ac:dyDescent="0.25">
      <c r="A1192" t="str">
        <f>"1113252900"</f>
        <v>1113252900</v>
      </c>
      <c r="B1192" t="s">
        <v>290</v>
      </c>
      <c r="C1192" t="s">
        <v>6716</v>
      </c>
      <c r="D1192" t="s">
        <v>6711</v>
      </c>
      <c r="E1192">
        <v>424040</v>
      </c>
      <c r="F1192" t="s">
        <v>1</v>
      </c>
      <c r="G1192" t="s">
        <v>2</v>
      </c>
      <c r="H1192" t="s">
        <v>6712</v>
      </c>
      <c r="I1192" t="s">
        <v>6713</v>
      </c>
      <c r="L1192" t="s">
        <v>6714</v>
      </c>
      <c r="M1192" t="s">
        <v>6715</v>
      </c>
      <c r="P1192" t="s">
        <v>6717</v>
      </c>
      <c r="Q1192" t="s">
        <v>6718</v>
      </c>
      <c r="V1192" t="s">
        <v>6719</v>
      </c>
      <c r="Y1192" t="s">
        <v>6720</v>
      </c>
    </row>
    <row r="1193" spans="1:25" x14ac:dyDescent="0.25">
      <c r="A1193" t="str">
        <f>"1113307000"</f>
        <v>1113307000</v>
      </c>
      <c r="B1193" t="s">
        <v>462</v>
      </c>
      <c r="C1193" t="s">
        <v>463</v>
      </c>
      <c r="D1193" t="s">
        <v>6721</v>
      </c>
      <c r="E1193">
        <v>424001</v>
      </c>
      <c r="F1193" t="s">
        <v>1</v>
      </c>
      <c r="G1193" t="s">
        <v>2</v>
      </c>
      <c r="H1193" t="s">
        <v>919</v>
      </c>
      <c r="I1193" t="s">
        <v>6722</v>
      </c>
      <c r="Y1193" t="s">
        <v>923</v>
      </c>
    </row>
    <row r="1194" spans="1:25" x14ac:dyDescent="0.25">
      <c r="A1194" t="str">
        <f>"1113316849"</f>
        <v>1113316849</v>
      </c>
      <c r="B1194" t="s">
        <v>1352</v>
      </c>
      <c r="C1194" t="s">
        <v>2093</v>
      </c>
      <c r="D1194" t="s">
        <v>6723</v>
      </c>
      <c r="F1194" t="s">
        <v>1</v>
      </c>
      <c r="G1194" t="s">
        <v>2</v>
      </c>
      <c r="H1194" t="s">
        <v>2745</v>
      </c>
      <c r="I1194" t="s">
        <v>6724</v>
      </c>
      <c r="J1194" t="s">
        <v>6725</v>
      </c>
      <c r="L1194" t="s">
        <v>6726</v>
      </c>
      <c r="M1194" t="s">
        <v>6727</v>
      </c>
      <c r="P1194" t="s">
        <v>6728</v>
      </c>
      <c r="Q1194" t="s">
        <v>6729</v>
      </c>
      <c r="S1194" t="s">
        <v>6730</v>
      </c>
      <c r="T1194" t="s">
        <v>6731</v>
      </c>
      <c r="U1194" t="s">
        <v>6732</v>
      </c>
      <c r="V1194" t="s">
        <v>6733</v>
      </c>
      <c r="Y1194" t="s">
        <v>6734</v>
      </c>
    </row>
    <row r="1195" spans="1:25" x14ac:dyDescent="0.25">
      <c r="A1195" t="str">
        <f>"1113393728"</f>
        <v>1113393728</v>
      </c>
      <c r="B1195" t="s">
        <v>88</v>
      </c>
      <c r="C1195" t="s">
        <v>6737</v>
      </c>
      <c r="D1195" t="s">
        <v>6735</v>
      </c>
      <c r="E1195">
        <v>424002</v>
      </c>
      <c r="F1195" t="s">
        <v>1</v>
      </c>
      <c r="G1195" t="s">
        <v>2</v>
      </c>
      <c r="H1195" t="s">
        <v>744</v>
      </c>
      <c r="J1195" t="s">
        <v>6736</v>
      </c>
      <c r="P1195" t="s">
        <v>6738</v>
      </c>
      <c r="Y1195" t="s">
        <v>6739</v>
      </c>
    </row>
    <row r="1196" spans="1:25" x14ac:dyDescent="0.25">
      <c r="A1196" t="str">
        <f>"1113436861"</f>
        <v>1113436861</v>
      </c>
      <c r="B1196" t="s">
        <v>1152</v>
      </c>
      <c r="C1196" t="s">
        <v>2319</v>
      </c>
      <c r="D1196" t="s">
        <v>2317</v>
      </c>
      <c r="E1196">
        <v>424020</v>
      </c>
      <c r="F1196" t="s">
        <v>1</v>
      </c>
      <c r="G1196" t="s">
        <v>2</v>
      </c>
      <c r="H1196" t="s">
        <v>1837</v>
      </c>
      <c r="I1196" t="s">
        <v>6740</v>
      </c>
      <c r="P1196" t="s">
        <v>2710</v>
      </c>
      <c r="Y1196" t="s">
        <v>1842</v>
      </c>
    </row>
    <row r="1197" spans="1:25" x14ac:dyDescent="0.25">
      <c r="A1197" t="str">
        <f>"1113536142"</f>
        <v>1113536142</v>
      </c>
      <c r="B1197" t="s">
        <v>1262</v>
      </c>
      <c r="C1197" t="s">
        <v>1263</v>
      </c>
      <c r="D1197" t="s">
        <v>6741</v>
      </c>
      <c r="E1197">
        <v>424002</v>
      </c>
      <c r="F1197" t="s">
        <v>1</v>
      </c>
      <c r="G1197" t="s">
        <v>2</v>
      </c>
      <c r="H1197" t="s">
        <v>2338</v>
      </c>
      <c r="I1197" t="s">
        <v>6742</v>
      </c>
      <c r="Y1197" t="s">
        <v>2954</v>
      </c>
    </row>
    <row r="1198" spans="1:25" x14ac:dyDescent="0.25">
      <c r="A1198" t="str">
        <f>"1113802285"</f>
        <v>1113802285</v>
      </c>
      <c r="B1198" t="s">
        <v>352</v>
      </c>
      <c r="C1198" t="s">
        <v>6747</v>
      </c>
      <c r="D1198" t="s">
        <v>6743</v>
      </c>
      <c r="E1198">
        <v>424007</v>
      </c>
      <c r="F1198" t="s">
        <v>1</v>
      </c>
      <c r="G1198" t="s">
        <v>2</v>
      </c>
      <c r="H1198" t="s">
        <v>1389</v>
      </c>
      <c r="I1198" t="s">
        <v>6744</v>
      </c>
      <c r="L1198" t="s">
        <v>6745</v>
      </c>
      <c r="M1198" t="s">
        <v>6746</v>
      </c>
      <c r="P1198" t="s">
        <v>280</v>
      </c>
      <c r="Y1198" t="s">
        <v>1393</v>
      </c>
    </row>
    <row r="1199" spans="1:25" x14ac:dyDescent="0.25">
      <c r="A1199" t="str">
        <f>"1113904611"</f>
        <v>1113904611</v>
      </c>
      <c r="B1199" t="s">
        <v>482</v>
      </c>
      <c r="C1199" t="s">
        <v>483</v>
      </c>
      <c r="D1199" t="s">
        <v>6748</v>
      </c>
      <c r="E1199">
        <v>424008</v>
      </c>
      <c r="F1199" t="s">
        <v>1</v>
      </c>
      <c r="G1199" t="s">
        <v>2</v>
      </c>
      <c r="H1199" t="s">
        <v>4250</v>
      </c>
      <c r="I1199" t="s">
        <v>6749</v>
      </c>
      <c r="J1199" t="s">
        <v>6750</v>
      </c>
      <c r="L1199" t="s">
        <v>6751</v>
      </c>
      <c r="M1199" t="s">
        <v>6752</v>
      </c>
      <c r="P1199" t="s">
        <v>152</v>
      </c>
      <c r="Q1199" t="s">
        <v>6753</v>
      </c>
      <c r="Y1199" t="s">
        <v>6754</v>
      </c>
    </row>
    <row r="1200" spans="1:25" x14ac:dyDescent="0.25">
      <c r="A1200" t="str">
        <f>"1114014893"</f>
        <v>1114014893</v>
      </c>
      <c r="B1200" t="s">
        <v>348</v>
      </c>
      <c r="C1200" t="s">
        <v>4366</v>
      </c>
      <c r="D1200" t="s">
        <v>6755</v>
      </c>
      <c r="E1200">
        <v>424002</v>
      </c>
      <c r="F1200" t="s">
        <v>1</v>
      </c>
      <c r="G1200" t="s">
        <v>2</v>
      </c>
      <c r="H1200" t="s">
        <v>2164</v>
      </c>
      <c r="I1200" t="s">
        <v>6756</v>
      </c>
      <c r="Y1200" t="s">
        <v>6757</v>
      </c>
    </row>
    <row r="1201" spans="1:25" x14ac:dyDescent="0.25">
      <c r="A1201" t="str">
        <f>"1114040107"</f>
        <v>1114040107</v>
      </c>
      <c r="B1201" t="s">
        <v>1152</v>
      </c>
      <c r="C1201" t="s">
        <v>6763</v>
      </c>
      <c r="D1201" t="s">
        <v>6758</v>
      </c>
      <c r="E1201">
        <v>424003</v>
      </c>
      <c r="F1201" t="s">
        <v>1</v>
      </c>
      <c r="G1201" t="s">
        <v>2</v>
      </c>
      <c r="H1201" t="s">
        <v>6759</v>
      </c>
      <c r="I1201" t="s">
        <v>6760</v>
      </c>
      <c r="L1201" t="s">
        <v>6761</v>
      </c>
      <c r="M1201" t="s">
        <v>6762</v>
      </c>
      <c r="P1201" t="s">
        <v>6764</v>
      </c>
      <c r="S1201" t="s">
        <v>6765</v>
      </c>
      <c r="Y1201" t="s">
        <v>6766</v>
      </c>
    </row>
    <row r="1202" spans="1:25" x14ac:dyDescent="0.25">
      <c r="A1202" t="str">
        <f>"1114128362"</f>
        <v>1114128362</v>
      </c>
      <c r="B1202" t="s">
        <v>538</v>
      </c>
      <c r="C1202" t="s">
        <v>539</v>
      </c>
      <c r="D1202" t="s">
        <v>6767</v>
      </c>
      <c r="E1202">
        <v>424002</v>
      </c>
      <c r="F1202" t="s">
        <v>1</v>
      </c>
      <c r="G1202" t="s">
        <v>2</v>
      </c>
      <c r="H1202" t="s">
        <v>6768</v>
      </c>
      <c r="I1202" t="s">
        <v>6769</v>
      </c>
      <c r="L1202" t="s">
        <v>6770</v>
      </c>
      <c r="M1202" t="s">
        <v>6771</v>
      </c>
      <c r="P1202" t="s">
        <v>280</v>
      </c>
      <c r="Q1202" t="s">
        <v>6772</v>
      </c>
      <c r="T1202" t="s">
        <v>6773</v>
      </c>
      <c r="Y1202" t="s">
        <v>6774</v>
      </c>
    </row>
    <row r="1203" spans="1:25" x14ac:dyDescent="0.25">
      <c r="A1203" t="str">
        <f>"1114130673"</f>
        <v>1114130673</v>
      </c>
      <c r="B1203" t="s">
        <v>371</v>
      </c>
      <c r="C1203" t="s">
        <v>6779</v>
      </c>
      <c r="D1203" t="s">
        <v>6775</v>
      </c>
      <c r="E1203">
        <v>424003</v>
      </c>
      <c r="F1203" t="s">
        <v>1</v>
      </c>
      <c r="G1203" t="s">
        <v>2</v>
      </c>
      <c r="H1203" t="s">
        <v>3158</v>
      </c>
      <c r="I1203" t="s">
        <v>6776</v>
      </c>
      <c r="K1203" t="s">
        <v>6777</v>
      </c>
      <c r="M1203" t="s">
        <v>6778</v>
      </c>
      <c r="P1203" t="s">
        <v>280</v>
      </c>
      <c r="Y1203" t="s">
        <v>6780</v>
      </c>
    </row>
    <row r="1204" spans="1:25" x14ac:dyDescent="0.25">
      <c r="A1204" t="str">
        <f>"1114288604"</f>
        <v>1114288604</v>
      </c>
      <c r="B1204" t="s">
        <v>417</v>
      </c>
      <c r="C1204" t="s">
        <v>6532</v>
      </c>
      <c r="D1204" t="s">
        <v>6781</v>
      </c>
      <c r="E1204">
        <v>424000</v>
      </c>
      <c r="F1204" t="s">
        <v>1</v>
      </c>
      <c r="G1204" t="s">
        <v>2</v>
      </c>
      <c r="H1204" t="s">
        <v>6782</v>
      </c>
      <c r="I1204" t="s">
        <v>6783</v>
      </c>
      <c r="M1204" t="s">
        <v>6784</v>
      </c>
      <c r="P1204" t="s">
        <v>6785</v>
      </c>
      <c r="Y1204" t="s">
        <v>6786</v>
      </c>
    </row>
    <row r="1205" spans="1:25" x14ac:dyDescent="0.25">
      <c r="A1205" t="str">
        <f>"1114338520"</f>
        <v>1114338520</v>
      </c>
      <c r="B1205" t="s">
        <v>123</v>
      </c>
      <c r="C1205" t="s">
        <v>424</v>
      </c>
      <c r="D1205" t="s">
        <v>6787</v>
      </c>
      <c r="E1205">
        <v>424039</v>
      </c>
      <c r="F1205" t="s">
        <v>1</v>
      </c>
      <c r="G1205" t="s">
        <v>2</v>
      </c>
      <c r="H1205" t="s">
        <v>6788</v>
      </c>
      <c r="I1205" t="s">
        <v>6789</v>
      </c>
      <c r="L1205" t="s">
        <v>6790</v>
      </c>
      <c r="M1205" t="s">
        <v>6791</v>
      </c>
      <c r="P1205" t="s">
        <v>425</v>
      </c>
      <c r="Y1205" t="s">
        <v>6792</v>
      </c>
    </row>
    <row r="1206" spans="1:25" x14ac:dyDescent="0.25">
      <c r="A1206" t="str">
        <f>"1114511401"</f>
        <v>1114511401</v>
      </c>
      <c r="B1206" t="s">
        <v>1053</v>
      </c>
      <c r="C1206" t="s">
        <v>6796</v>
      </c>
      <c r="D1206" t="s">
        <v>6793</v>
      </c>
      <c r="E1206">
        <v>424007</v>
      </c>
      <c r="F1206" t="s">
        <v>1</v>
      </c>
      <c r="G1206" t="s">
        <v>2</v>
      </c>
      <c r="H1206" t="s">
        <v>6794</v>
      </c>
      <c r="I1206" t="s">
        <v>6795</v>
      </c>
      <c r="P1206" t="s">
        <v>1232</v>
      </c>
      <c r="Y1206" t="s">
        <v>6797</v>
      </c>
    </row>
    <row r="1207" spans="1:25" x14ac:dyDescent="0.25">
      <c r="A1207" t="str">
        <f>"1114614321"</f>
        <v>1114614321</v>
      </c>
      <c r="B1207" t="s">
        <v>6801</v>
      </c>
      <c r="C1207" t="s">
        <v>6802</v>
      </c>
      <c r="D1207" t="s">
        <v>6798</v>
      </c>
      <c r="E1207">
        <v>424006</v>
      </c>
      <c r="F1207" t="s">
        <v>1</v>
      </c>
      <c r="G1207" t="s">
        <v>2</v>
      </c>
      <c r="H1207" t="s">
        <v>2525</v>
      </c>
      <c r="I1207" t="s">
        <v>6799</v>
      </c>
      <c r="K1207" t="s">
        <v>6800</v>
      </c>
      <c r="P1207" t="s">
        <v>2979</v>
      </c>
      <c r="Y1207" t="s">
        <v>6803</v>
      </c>
    </row>
    <row r="1208" spans="1:25" x14ac:dyDescent="0.25">
      <c r="A1208" t="str">
        <f>"1114643004"</f>
        <v>1114643004</v>
      </c>
      <c r="B1208" t="s">
        <v>456</v>
      </c>
      <c r="C1208" t="s">
        <v>6808</v>
      </c>
      <c r="D1208" t="s">
        <v>6804</v>
      </c>
      <c r="E1208">
        <v>424002</v>
      </c>
      <c r="F1208" t="s">
        <v>1</v>
      </c>
      <c r="G1208" t="s">
        <v>2</v>
      </c>
      <c r="H1208" t="s">
        <v>57</v>
      </c>
      <c r="I1208" t="s">
        <v>6805</v>
      </c>
      <c r="L1208" t="s">
        <v>6806</v>
      </c>
      <c r="M1208" t="s">
        <v>6807</v>
      </c>
      <c r="P1208" t="s">
        <v>152</v>
      </c>
      <c r="Y1208" t="s">
        <v>6809</v>
      </c>
    </row>
    <row r="1209" spans="1:25" x14ac:dyDescent="0.25">
      <c r="A1209" t="str">
        <f>"1114661627"</f>
        <v>1114661627</v>
      </c>
      <c r="B1209" t="s">
        <v>1053</v>
      </c>
      <c r="C1209" t="s">
        <v>1927</v>
      </c>
      <c r="D1209" t="s">
        <v>6810</v>
      </c>
      <c r="E1209">
        <v>424007</v>
      </c>
      <c r="F1209" t="s">
        <v>1</v>
      </c>
      <c r="G1209" t="s">
        <v>2</v>
      </c>
      <c r="H1209" t="s">
        <v>3119</v>
      </c>
      <c r="I1209" t="s">
        <v>6811</v>
      </c>
      <c r="P1209" t="s">
        <v>280</v>
      </c>
      <c r="Y1209" t="s">
        <v>6812</v>
      </c>
    </row>
    <row r="1210" spans="1:25" x14ac:dyDescent="0.25">
      <c r="A1210" t="str">
        <f>"1114792596"</f>
        <v>1114792596</v>
      </c>
      <c r="B1210" t="s">
        <v>18</v>
      </c>
      <c r="C1210" t="s">
        <v>6817</v>
      </c>
      <c r="D1210" t="s">
        <v>6813</v>
      </c>
      <c r="E1210">
        <v>424004</v>
      </c>
      <c r="F1210" t="s">
        <v>1</v>
      </c>
      <c r="G1210" t="s">
        <v>2</v>
      </c>
      <c r="H1210" t="s">
        <v>2589</v>
      </c>
      <c r="I1210" t="s">
        <v>6814</v>
      </c>
      <c r="L1210" t="s">
        <v>6815</v>
      </c>
      <c r="M1210" t="s">
        <v>6816</v>
      </c>
      <c r="P1210" t="s">
        <v>5575</v>
      </c>
      <c r="Y1210" t="s">
        <v>6818</v>
      </c>
    </row>
    <row r="1211" spans="1:25" x14ac:dyDescent="0.25">
      <c r="A1211" t="str">
        <f>"1114835522"</f>
        <v>1114835522</v>
      </c>
      <c r="B1211" t="s">
        <v>574</v>
      </c>
      <c r="C1211" t="s">
        <v>6825</v>
      </c>
      <c r="D1211" t="s">
        <v>6819</v>
      </c>
      <c r="E1211">
        <v>424007</v>
      </c>
      <c r="F1211" t="s">
        <v>1</v>
      </c>
      <c r="G1211" t="s">
        <v>2</v>
      </c>
      <c r="H1211" t="s">
        <v>6820</v>
      </c>
      <c r="I1211" t="s">
        <v>6821</v>
      </c>
      <c r="K1211" t="s">
        <v>6822</v>
      </c>
      <c r="L1211" t="s">
        <v>6823</v>
      </c>
      <c r="M1211" t="s">
        <v>6824</v>
      </c>
      <c r="P1211" t="s">
        <v>20</v>
      </c>
      <c r="Q1211" t="s">
        <v>6826</v>
      </c>
      <c r="Y1211" t="s">
        <v>6827</v>
      </c>
    </row>
    <row r="1212" spans="1:25" x14ac:dyDescent="0.25">
      <c r="A1212" t="str">
        <f>"1114853913"</f>
        <v>1114853913</v>
      </c>
      <c r="B1212" t="s">
        <v>430</v>
      </c>
      <c r="C1212" t="s">
        <v>6831</v>
      </c>
      <c r="D1212" t="s">
        <v>6828</v>
      </c>
      <c r="E1212">
        <v>424003</v>
      </c>
      <c r="F1212" t="s">
        <v>1</v>
      </c>
      <c r="G1212" t="s">
        <v>2</v>
      </c>
      <c r="H1212" t="s">
        <v>6829</v>
      </c>
      <c r="I1212" t="s">
        <v>6830</v>
      </c>
      <c r="P1212" t="s">
        <v>6832</v>
      </c>
      <c r="Y1212" t="s">
        <v>6833</v>
      </c>
    </row>
    <row r="1213" spans="1:25" x14ac:dyDescent="0.25">
      <c r="A1213" t="str">
        <f>"1115549741"</f>
        <v>1115549741</v>
      </c>
      <c r="B1213" t="s">
        <v>1152</v>
      </c>
      <c r="C1213" t="s">
        <v>6836</v>
      </c>
      <c r="D1213" t="s">
        <v>6834</v>
      </c>
      <c r="E1213">
        <v>424000</v>
      </c>
      <c r="F1213" t="s">
        <v>1</v>
      </c>
      <c r="G1213" t="s">
        <v>2</v>
      </c>
      <c r="H1213" t="s">
        <v>1531</v>
      </c>
      <c r="I1213" t="s">
        <v>6835</v>
      </c>
      <c r="P1213" t="s">
        <v>6837</v>
      </c>
      <c r="Y1213" t="s">
        <v>6838</v>
      </c>
    </row>
    <row r="1214" spans="1:25" x14ac:dyDescent="0.25">
      <c r="A1214" t="str">
        <f>"1115704948"</f>
        <v>1115704948</v>
      </c>
      <c r="B1214" t="s">
        <v>462</v>
      </c>
      <c r="C1214" t="s">
        <v>1140</v>
      </c>
      <c r="D1214" t="s">
        <v>1479</v>
      </c>
      <c r="F1214" t="s">
        <v>1</v>
      </c>
      <c r="G1214" t="s">
        <v>2</v>
      </c>
      <c r="H1214" t="s">
        <v>6839</v>
      </c>
      <c r="I1214" t="s">
        <v>6840</v>
      </c>
      <c r="Y1214" t="s">
        <v>6841</v>
      </c>
    </row>
    <row r="1215" spans="1:25" x14ac:dyDescent="0.25">
      <c r="A1215" t="str">
        <f>"1115731676"</f>
        <v>1115731676</v>
      </c>
      <c r="B1215" t="s">
        <v>1053</v>
      </c>
      <c r="C1215" t="s">
        <v>6796</v>
      </c>
      <c r="D1215" t="s">
        <v>6842</v>
      </c>
      <c r="E1215">
        <v>424005</v>
      </c>
      <c r="F1215" t="s">
        <v>1</v>
      </c>
      <c r="G1215" t="s">
        <v>2</v>
      </c>
      <c r="H1215" t="s">
        <v>6843</v>
      </c>
      <c r="I1215" t="s">
        <v>6844</v>
      </c>
      <c r="K1215" t="s">
        <v>6845</v>
      </c>
      <c r="Y1215" t="s">
        <v>6846</v>
      </c>
    </row>
    <row r="1216" spans="1:25" x14ac:dyDescent="0.25">
      <c r="A1216" t="str">
        <f>"1115772915"</f>
        <v>1115772915</v>
      </c>
      <c r="B1216" t="s">
        <v>117</v>
      </c>
      <c r="C1216" t="s">
        <v>6850</v>
      </c>
      <c r="D1216" t="s">
        <v>6847</v>
      </c>
      <c r="E1216">
        <v>424019</v>
      </c>
      <c r="F1216" t="s">
        <v>1</v>
      </c>
      <c r="G1216" t="s">
        <v>2</v>
      </c>
      <c r="H1216" t="s">
        <v>6848</v>
      </c>
      <c r="I1216" t="s">
        <v>6849</v>
      </c>
      <c r="P1216" t="s">
        <v>330</v>
      </c>
      <c r="Y1216" t="s">
        <v>6851</v>
      </c>
    </row>
    <row r="1217" spans="1:25" x14ac:dyDescent="0.25">
      <c r="A1217" t="str">
        <f>"1115981698"</f>
        <v>1115981698</v>
      </c>
      <c r="B1217" t="s">
        <v>1343</v>
      </c>
      <c r="C1217" t="s">
        <v>5308</v>
      </c>
      <c r="D1217" t="s">
        <v>6852</v>
      </c>
      <c r="E1217">
        <v>424003</v>
      </c>
      <c r="F1217" t="s">
        <v>1</v>
      </c>
      <c r="G1217" t="s">
        <v>2</v>
      </c>
      <c r="H1217" t="s">
        <v>4546</v>
      </c>
      <c r="P1217" t="s">
        <v>1027</v>
      </c>
      <c r="Y1217" t="s">
        <v>6853</v>
      </c>
    </row>
    <row r="1218" spans="1:25" x14ac:dyDescent="0.25">
      <c r="A1218" t="str">
        <f>"1116046770"</f>
        <v>1116046770</v>
      </c>
      <c r="B1218" t="s">
        <v>1053</v>
      </c>
      <c r="C1218" t="s">
        <v>5712</v>
      </c>
      <c r="D1218" t="s">
        <v>6854</v>
      </c>
      <c r="E1218">
        <v>424913</v>
      </c>
      <c r="F1218" t="s">
        <v>1</v>
      </c>
      <c r="G1218" t="s">
        <v>2</v>
      </c>
      <c r="H1218" t="s">
        <v>1278</v>
      </c>
      <c r="I1218" t="s">
        <v>6855</v>
      </c>
      <c r="Y1218" t="s">
        <v>1280</v>
      </c>
    </row>
    <row r="1219" spans="1:25" x14ac:dyDescent="0.25">
      <c r="A1219" t="str">
        <f>"1116296554"</f>
        <v>1116296554</v>
      </c>
      <c r="B1219" t="s">
        <v>462</v>
      </c>
      <c r="C1219" t="s">
        <v>6860</v>
      </c>
      <c r="D1219" t="s">
        <v>6856</v>
      </c>
      <c r="E1219">
        <v>424000</v>
      </c>
      <c r="F1219" t="s">
        <v>1</v>
      </c>
      <c r="G1219" t="s">
        <v>2</v>
      </c>
      <c r="H1219" t="s">
        <v>4726</v>
      </c>
      <c r="J1219" t="s">
        <v>6857</v>
      </c>
      <c r="L1219" t="s">
        <v>6858</v>
      </c>
      <c r="M1219" t="s">
        <v>6859</v>
      </c>
      <c r="P1219" t="s">
        <v>6861</v>
      </c>
      <c r="Q1219" t="s">
        <v>6862</v>
      </c>
      <c r="T1219" t="s">
        <v>6863</v>
      </c>
      <c r="V1219" t="s">
        <v>6864</v>
      </c>
      <c r="Y1219" t="s">
        <v>6865</v>
      </c>
    </row>
    <row r="1220" spans="1:25" x14ac:dyDescent="0.25">
      <c r="A1220" t="str">
        <f>"1116614270"</f>
        <v>1116614270</v>
      </c>
      <c r="B1220" t="s">
        <v>388</v>
      </c>
      <c r="C1220" t="s">
        <v>6867</v>
      </c>
      <c r="D1220" t="s">
        <v>793</v>
      </c>
      <c r="E1220">
        <v>424005</v>
      </c>
      <c r="F1220" t="s">
        <v>1</v>
      </c>
      <c r="G1220" t="s">
        <v>2</v>
      </c>
      <c r="H1220" t="s">
        <v>1310</v>
      </c>
      <c r="I1220" t="s">
        <v>6866</v>
      </c>
      <c r="P1220" t="s">
        <v>2710</v>
      </c>
      <c r="Y1220" t="s">
        <v>3926</v>
      </c>
    </row>
    <row r="1221" spans="1:25" x14ac:dyDescent="0.25">
      <c r="A1221" t="str">
        <f>"1116685869"</f>
        <v>1116685869</v>
      </c>
      <c r="B1221" t="s">
        <v>1611</v>
      </c>
      <c r="C1221" t="s">
        <v>6872</v>
      </c>
      <c r="D1221" t="s">
        <v>6868</v>
      </c>
      <c r="E1221">
        <v>424004</v>
      </c>
      <c r="F1221" t="s">
        <v>1</v>
      </c>
      <c r="G1221" t="s">
        <v>2</v>
      </c>
      <c r="H1221" t="s">
        <v>6869</v>
      </c>
      <c r="I1221" t="s">
        <v>6870</v>
      </c>
      <c r="M1221" t="s">
        <v>6871</v>
      </c>
      <c r="P1221" t="s">
        <v>425</v>
      </c>
      <c r="Y1221" t="s">
        <v>6873</v>
      </c>
    </row>
    <row r="1222" spans="1:25" x14ac:dyDescent="0.25">
      <c r="A1222" t="str">
        <f>"1116740735"</f>
        <v>1116740735</v>
      </c>
      <c r="B1222" t="s">
        <v>1152</v>
      </c>
      <c r="C1222" t="s">
        <v>6880</v>
      </c>
      <c r="D1222" t="s">
        <v>6874</v>
      </c>
      <c r="E1222">
        <v>424033</v>
      </c>
      <c r="F1222" t="s">
        <v>1</v>
      </c>
      <c r="G1222" t="s">
        <v>2</v>
      </c>
      <c r="H1222" t="s">
        <v>6875</v>
      </c>
      <c r="I1222" t="s">
        <v>6876</v>
      </c>
      <c r="J1222" t="s">
        <v>6877</v>
      </c>
      <c r="L1222" t="s">
        <v>6878</v>
      </c>
      <c r="M1222" t="s">
        <v>6879</v>
      </c>
      <c r="P1222" t="s">
        <v>6400</v>
      </c>
      <c r="Y1222" t="s">
        <v>6881</v>
      </c>
    </row>
    <row r="1223" spans="1:25" x14ac:dyDescent="0.25">
      <c r="A1223" t="str">
        <f>"1116798405"</f>
        <v>1116798405</v>
      </c>
      <c r="B1223" t="s">
        <v>18</v>
      </c>
      <c r="C1223" t="s">
        <v>959</v>
      </c>
      <c r="D1223" t="s">
        <v>6882</v>
      </c>
      <c r="E1223">
        <v>424006</v>
      </c>
      <c r="F1223" t="s">
        <v>1</v>
      </c>
      <c r="G1223" t="s">
        <v>2</v>
      </c>
      <c r="H1223" t="s">
        <v>4628</v>
      </c>
      <c r="I1223" t="s">
        <v>6883</v>
      </c>
      <c r="P1223" t="s">
        <v>27</v>
      </c>
      <c r="Y1223" t="s">
        <v>6884</v>
      </c>
    </row>
    <row r="1224" spans="1:25" x14ac:dyDescent="0.25">
      <c r="A1224" t="str">
        <f>"1116832543"</f>
        <v>1116832543</v>
      </c>
      <c r="B1224" t="s">
        <v>233</v>
      </c>
      <c r="C1224" t="s">
        <v>6890</v>
      </c>
      <c r="D1224" t="s">
        <v>6885</v>
      </c>
      <c r="E1224">
        <v>424020</v>
      </c>
      <c r="F1224" t="s">
        <v>1</v>
      </c>
      <c r="G1224" t="s">
        <v>2</v>
      </c>
      <c r="H1224" t="s">
        <v>6886</v>
      </c>
      <c r="I1224" t="s">
        <v>6887</v>
      </c>
      <c r="L1224" t="s">
        <v>6888</v>
      </c>
      <c r="M1224" t="s">
        <v>6889</v>
      </c>
      <c r="P1224" t="s">
        <v>280</v>
      </c>
      <c r="Y1224" t="s">
        <v>6891</v>
      </c>
    </row>
    <row r="1225" spans="1:25" x14ac:dyDescent="0.25">
      <c r="A1225" t="str">
        <f>"1116856703"</f>
        <v>1116856703</v>
      </c>
      <c r="B1225" t="s">
        <v>18</v>
      </c>
      <c r="C1225" t="s">
        <v>6896</v>
      </c>
      <c r="D1225" t="s">
        <v>6892</v>
      </c>
      <c r="E1225">
        <v>424007</v>
      </c>
      <c r="F1225" t="s">
        <v>1</v>
      </c>
      <c r="G1225" t="s">
        <v>2</v>
      </c>
      <c r="H1225" t="s">
        <v>1085</v>
      </c>
      <c r="I1225" t="s">
        <v>6893</v>
      </c>
      <c r="L1225" t="s">
        <v>6894</v>
      </c>
      <c r="M1225" t="s">
        <v>6895</v>
      </c>
      <c r="P1225" t="s">
        <v>280</v>
      </c>
      <c r="Y1225" t="s">
        <v>5341</v>
      </c>
    </row>
    <row r="1226" spans="1:25" x14ac:dyDescent="0.25">
      <c r="A1226" t="str">
        <f>"1116863475"</f>
        <v>1116863475</v>
      </c>
      <c r="B1226" t="s">
        <v>558</v>
      </c>
      <c r="C1226" t="s">
        <v>559</v>
      </c>
      <c r="D1226" t="s">
        <v>6897</v>
      </c>
      <c r="F1226" t="s">
        <v>1</v>
      </c>
      <c r="G1226" t="s">
        <v>2</v>
      </c>
      <c r="H1226" t="s">
        <v>6898</v>
      </c>
      <c r="I1226" t="s">
        <v>6899</v>
      </c>
      <c r="Y1226" t="s">
        <v>6900</v>
      </c>
    </row>
    <row r="1227" spans="1:25" x14ac:dyDescent="0.25">
      <c r="A1227" t="str">
        <f>"1117020574"</f>
        <v>1117020574</v>
      </c>
      <c r="B1227" t="s">
        <v>408</v>
      </c>
      <c r="C1227" t="s">
        <v>6906</v>
      </c>
      <c r="D1227" t="s">
        <v>6901</v>
      </c>
      <c r="E1227">
        <v>424006</v>
      </c>
      <c r="F1227" t="s">
        <v>1</v>
      </c>
      <c r="G1227" t="s">
        <v>2</v>
      </c>
      <c r="H1227" t="s">
        <v>6902</v>
      </c>
      <c r="I1227" t="s">
        <v>6903</v>
      </c>
      <c r="L1227" t="s">
        <v>6904</v>
      </c>
      <c r="M1227" t="s">
        <v>6905</v>
      </c>
      <c r="P1227" t="s">
        <v>6907</v>
      </c>
      <c r="Q1227" t="s">
        <v>6908</v>
      </c>
      <c r="R1227" t="s">
        <v>6909</v>
      </c>
      <c r="S1227" t="s">
        <v>6910</v>
      </c>
      <c r="T1227" t="s">
        <v>6911</v>
      </c>
      <c r="V1227" t="s">
        <v>6912</v>
      </c>
      <c r="Y1227" t="s">
        <v>6913</v>
      </c>
    </row>
    <row r="1228" spans="1:25" x14ac:dyDescent="0.25">
      <c r="A1228" t="str">
        <f>"1117123981"</f>
        <v>1117123981</v>
      </c>
      <c r="B1228" t="s">
        <v>96</v>
      </c>
      <c r="C1228" t="s">
        <v>893</v>
      </c>
      <c r="D1228" t="s">
        <v>6914</v>
      </c>
      <c r="E1228">
        <v>424918</v>
      </c>
      <c r="F1228" t="s">
        <v>1</v>
      </c>
      <c r="G1228" t="s">
        <v>2</v>
      </c>
      <c r="H1228" t="s">
        <v>629</v>
      </c>
      <c r="P1228" t="s">
        <v>630</v>
      </c>
      <c r="Y1228" t="s">
        <v>1744</v>
      </c>
    </row>
    <row r="1229" spans="1:25" x14ac:dyDescent="0.25">
      <c r="A1229" t="str">
        <f>"1117190248"</f>
        <v>1117190248</v>
      </c>
      <c r="B1229" t="s">
        <v>624</v>
      </c>
      <c r="C1229" t="s">
        <v>6535</v>
      </c>
      <c r="D1229" t="s">
        <v>6915</v>
      </c>
      <c r="E1229">
        <v>424002</v>
      </c>
      <c r="F1229" t="s">
        <v>1</v>
      </c>
      <c r="G1229" t="s">
        <v>2</v>
      </c>
      <c r="H1229" t="s">
        <v>6916</v>
      </c>
      <c r="I1229" t="s">
        <v>6917</v>
      </c>
      <c r="K1229" t="s">
        <v>6917</v>
      </c>
      <c r="Y1229" t="s">
        <v>6918</v>
      </c>
    </row>
    <row r="1230" spans="1:25" x14ac:dyDescent="0.25">
      <c r="A1230" t="str">
        <f>"1117263050"</f>
        <v>1117263050</v>
      </c>
      <c r="B1230" t="s">
        <v>430</v>
      </c>
      <c r="C1230" t="s">
        <v>6831</v>
      </c>
      <c r="D1230" t="s">
        <v>6919</v>
      </c>
      <c r="E1230">
        <v>424040</v>
      </c>
      <c r="F1230" t="s">
        <v>1</v>
      </c>
      <c r="G1230" t="s">
        <v>2</v>
      </c>
      <c r="H1230" t="s">
        <v>6920</v>
      </c>
      <c r="I1230" t="s">
        <v>6921</v>
      </c>
      <c r="J1230" t="s">
        <v>6922</v>
      </c>
      <c r="P1230" t="s">
        <v>6400</v>
      </c>
      <c r="Y1230" t="s">
        <v>6923</v>
      </c>
    </row>
    <row r="1231" spans="1:25" x14ac:dyDescent="0.25">
      <c r="A1231" t="str">
        <f>"1117281327"</f>
        <v>1117281327</v>
      </c>
      <c r="B1231" t="s">
        <v>25</v>
      </c>
      <c r="C1231" t="s">
        <v>59</v>
      </c>
      <c r="D1231" t="s">
        <v>6924</v>
      </c>
      <c r="E1231">
        <v>424031</v>
      </c>
      <c r="F1231" t="s">
        <v>1</v>
      </c>
      <c r="G1231" t="s">
        <v>2</v>
      </c>
      <c r="H1231" t="s">
        <v>6925</v>
      </c>
      <c r="I1231" t="s">
        <v>6926</v>
      </c>
      <c r="M1231" t="s">
        <v>6927</v>
      </c>
      <c r="P1231" t="s">
        <v>340</v>
      </c>
      <c r="Y1231" t="s">
        <v>6928</v>
      </c>
    </row>
    <row r="1232" spans="1:25" x14ac:dyDescent="0.25">
      <c r="A1232" t="str">
        <f>"1117472970"</f>
        <v>1117472970</v>
      </c>
      <c r="B1232" t="s">
        <v>18</v>
      </c>
      <c r="C1232" t="s">
        <v>143</v>
      </c>
      <c r="D1232" t="s">
        <v>6813</v>
      </c>
      <c r="E1232">
        <v>424002</v>
      </c>
      <c r="F1232" t="s">
        <v>1</v>
      </c>
      <c r="G1232" t="s">
        <v>2</v>
      </c>
      <c r="H1232" t="s">
        <v>3604</v>
      </c>
      <c r="I1232" t="s">
        <v>6929</v>
      </c>
      <c r="P1232" t="s">
        <v>6930</v>
      </c>
      <c r="Y1232" t="s">
        <v>6931</v>
      </c>
    </row>
    <row r="1233" spans="1:25" x14ac:dyDescent="0.25">
      <c r="A1233" t="str">
        <f>"1117538738"</f>
        <v>1117538738</v>
      </c>
      <c r="B1233" t="s">
        <v>716</v>
      </c>
      <c r="C1233" t="s">
        <v>717</v>
      </c>
      <c r="D1233" t="s">
        <v>6932</v>
      </c>
      <c r="E1233">
        <v>424028</v>
      </c>
      <c r="F1233" t="s">
        <v>1</v>
      </c>
      <c r="G1233" t="s">
        <v>2</v>
      </c>
      <c r="H1233" t="s">
        <v>3628</v>
      </c>
      <c r="I1233" t="s">
        <v>6933</v>
      </c>
      <c r="P1233" t="s">
        <v>330</v>
      </c>
      <c r="Y1233" t="s">
        <v>6934</v>
      </c>
    </row>
    <row r="1234" spans="1:25" x14ac:dyDescent="0.25">
      <c r="A1234" t="str">
        <f>"1117571457"</f>
        <v>1117571457</v>
      </c>
      <c r="B1234" t="s">
        <v>160</v>
      </c>
      <c r="C1234" t="s">
        <v>2479</v>
      </c>
      <c r="D1234" t="s">
        <v>6935</v>
      </c>
      <c r="F1234" t="s">
        <v>1</v>
      </c>
      <c r="G1234" t="s">
        <v>2</v>
      </c>
      <c r="H1234" t="s">
        <v>6936</v>
      </c>
      <c r="I1234" t="s">
        <v>6937</v>
      </c>
      <c r="L1234" t="s">
        <v>6938</v>
      </c>
      <c r="M1234" t="s">
        <v>6939</v>
      </c>
      <c r="P1234" t="s">
        <v>280</v>
      </c>
      <c r="Q1234" t="s">
        <v>6940</v>
      </c>
      <c r="R1234" t="s">
        <v>6941</v>
      </c>
      <c r="S1234" t="s">
        <v>6942</v>
      </c>
      <c r="T1234" t="s">
        <v>6943</v>
      </c>
      <c r="Y1234" t="s">
        <v>6944</v>
      </c>
    </row>
    <row r="1235" spans="1:25" x14ac:dyDescent="0.25">
      <c r="A1235" t="str">
        <f>"1117802962"</f>
        <v>1117802962</v>
      </c>
      <c r="B1235" t="s">
        <v>1053</v>
      </c>
      <c r="C1235" t="s">
        <v>6947</v>
      </c>
      <c r="D1235" t="s">
        <v>6945</v>
      </c>
      <c r="E1235">
        <v>424004</v>
      </c>
      <c r="F1235" t="s">
        <v>1</v>
      </c>
      <c r="G1235" t="s">
        <v>2</v>
      </c>
      <c r="H1235" t="s">
        <v>2133</v>
      </c>
      <c r="I1235" t="s">
        <v>6946</v>
      </c>
      <c r="P1235" t="s">
        <v>152</v>
      </c>
      <c r="Y1235" t="s">
        <v>2137</v>
      </c>
    </row>
    <row r="1236" spans="1:25" x14ac:dyDescent="0.25">
      <c r="A1236" t="str">
        <f>"1118178205"</f>
        <v>1118178205</v>
      </c>
      <c r="B1236" t="s">
        <v>462</v>
      </c>
      <c r="C1236" t="s">
        <v>1140</v>
      </c>
      <c r="D1236" t="s">
        <v>6948</v>
      </c>
      <c r="E1236">
        <v>424006</v>
      </c>
      <c r="F1236" t="s">
        <v>1</v>
      </c>
      <c r="G1236" t="s">
        <v>2</v>
      </c>
      <c r="H1236" t="s">
        <v>4541</v>
      </c>
      <c r="I1236" t="s">
        <v>6949</v>
      </c>
      <c r="P1236" t="s">
        <v>6950</v>
      </c>
      <c r="Y1236" t="s">
        <v>6951</v>
      </c>
    </row>
    <row r="1237" spans="1:25" x14ac:dyDescent="0.25">
      <c r="A1237" t="str">
        <f>"1118283908"</f>
        <v>1118283908</v>
      </c>
      <c r="B1237" t="s">
        <v>328</v>
      </c>
      <c r="C1237" t="s">
        <v>1920</v>
      </c>
      <c r="D1237" t="s">
        <v>6952</v>
      </c>
      <c r="E1237">
        <v>424033</v>
      </c>
      <c r="F1237" t="s">
        <v>1</v>
      </c>
      <c r="G1237" t="s">
        <v>2</v>
      </c>
      <c r="H1237" t="s">
        <v>6953</v>
      </c>
      <c r="I1237" t="s">
        <v>6954</v>
      </c>
      <c r="K1237" t="s">
        <v>6955</v>
      </c>
      <c r="L1237" t="s">
        <v>6956</v>
      </c>
      <c r="M1237" t="s">
        <v>6957</v>
      </c>
      <c r="P1237" t="s">
        <v>330</v>
      </c>
      <c r="Y1237" t="s">
        <v>6958</v>
      </c>
    </row>
    <row r="1238" spans="1:25" x14ac:dyDescent="0.25">
      <c r="A1238" t="str">
        <f>"1118367671"</f>
        <v>1118367671</v>
      </c>
      <c r="B1238" t="s">
        <v>1078</v>
      </c>
      <c r="C1238" t="s">
        <v>6962</v>
      </c>
      <c r="D1238" t="s">
        <v>6959</v>
      </c>
      <c r="E1238">
        <v>424007</v>
      </c>
      <c r="F1238" t="s">
        <v>1</v>
      </c>
      <c r="G1238" t="s">
        <v>2</v>
      </c>
      <c r="H1238" t="s">
        <v>1389</v>
      </c>
      <c r="I1238" t="s">
        <v>6960</v>
      </c>
      <c r="K1238" t="s">
        <v>6961</v>
      </c>
      <c r="P1238" t="s">
        <v>280</v>
      </c>
      <c r="Y1238" t="s">
        <v>4197</v>
      </c>
    </row>
    <row r="1239" spans="1:25" x14ac:dyDescent="0.25">
      <c r="A1239" t="str">
        <f>"1118382513"</f>
        <v>1118382513</v>
      </c>
      <c r="B1239" t="s">
        <v>482</v>
      </c>
      <c r="C1239" t="s">
        <v>483</v>
      </c>
      <c r="D1239" t="s">
        <v>6963</v>
      </c>
      <c r="E1239">
        <v>424004</v>
      </c>
      <c r="F1239" t="s">
        <v>1</v>
      </c>
      <c r="G1239" t="s">
        <v>2</v>
      </c>
      <c r="H1239" t="s">
        <v>5226</v>
      </c>
      <c r="I1239" t="s">
        <v>6964</v>
      </c>
      <c r="L1239" t="s">
        <v>6965</v>
      </c>
      <c r="M1239" t="s">
        <v>6966</v>
      </c>
      <c r="P1239" t="s">
        <v>280</v>
      </c>
      <c r="Y1239" t="s">
        <v>6967</v>
      </c>
    </row>
    <row r="1240" spans="1:25" x14ac:dyDescent="0.25">
      <c r="A1240" t="str">
        <f>"1118529552"</f>
        <v>1118529552</v>
      </c>
      <c r="B1240" t="s">
        <v>18</v>
      </c>
      <c r="C1240" t="s">
        <v>6972</v>
      </c>
      <c r="D1240" t="s">
        <v>6968</v>
      </c>
      <c r="E1240">
        <v>424000</v>
      </c>
      <c r="F1240" t="s">
        <v>1</v>
      </c>
      <c r="G1240" t="s">
        <v>2</v>
      </c>
      <c r="H1240" t="s">
        <v>2193</v>
      </c>
      <c r="I1240" t="s">
        <v>6969</v>
      </c>
      <c r="L1240" t="s">
        <v>6970</v>
      </c>
      <c r="M1240" t="s">
        <v>6971</v>
      </c>
      <c r="P1240" t="s">
        <v>390</v>
      </c>
      <c r="Y1240" t="s">
        <v>2196</v>
      </c>
    </row>
    <row r="1241" spans="1:25" x14ac:dyDescent="0.25">
      <c r="A1241" t="str">
        <f>"1118552383"</f>
        <v>1118552383</v>
      </c>
      <c r="B1241" t="s">
        <v>348</v>
      </c>
      <c r="C1241" t="s">
        <v>6978</v>
      </c>
      <c r="D1241" t="s">
        <v>6973</v>
      </c>
      <c r="E1241">
        <v>424000</v>
      </c>
      <c r="F1241" t="s">
        <v>1</v>
      </c>
      <c r="G1241" t="s">
        <v>2</v>
      </c>
      <c r="H1241" t="s">
        <v>6974</v>
      </c>
      <c r="I1241" t="s">
        <v>6975</v>
      </c>
      <c r="L1241" t="s">
        <v>6976</v>
      </c>
      <c r="M1241" t="s">
        <v>6977</v>
      </c>
      <c r="P1241" t="s">
        <v>6979</v>
      </c>
      <c r="Q1241" t="s">
        <v>6980</v>
      </c>
      <c r="V1241" t="s">
        <v>6981</v>
      </c>
      <c r="Y1241" t="s">
        <v>6982</v>
      </c>
    </row>
    <row r="1242" spans="1:25" x14ac:dyDescent="0.25">
      <c r="A1242" t="str">
        <f>"1118560773"</f>
        <v>1118560773</v>
      </c>
      <c r="B1242" t="s">
        <v>110</v>
      </c>
      <c r="C1242" t="s">
        <v>111</v>
      </c>
      <c r="D1242" t="s">
        <v>780</v>
      </c>
      <c r="E1242">
        <v>424033</v>
      </c>
      <c r="F1242" t="s">
        <v>1</v>
      </c>
      <c r="G1242" t="s">
        <v>2</v>
      </c>
      <c r="H1242" t="s">
        <v>4536</v>
      </c>
      <c r="I1242" t="s">
        <v>6983</v>
      </c>
      <c r="P1242" t="s">
        <v>6984</v>
      </c>
      <c r="Y1242" t="s">
        <v>6985</v>
      </c>
    </row>
    <row r="1243" spans="1:25" x14ac:dyDescent="0.25">
      <c r="A1243" t="str">
        <f>"1118589973"</f>
        <v>1118589973</v>
      </c>
      <c r="B1243" t="s">
        <v>88</v>
      </c>
      <c r="C1243" t="s">
        <v>6991</v>
      </c>
      <c r="D1243" t="s">
        <v>6986</v>
      </c>
      <c r="E1243">
        <v>424028</v>
      </c>
      <c r="F1243" t="s">
        <v>1</v>
      </c>
      <c r="G1243" t="s">
        <v>2</v>
      </c>
      <c r="H1243" t="s">
        <v>3354</v>
      </c>
      <c r="I1243" t="s">
        <v>6987</v>
      </c>
      <c r="J1243" t="s">
        <v>6988</v>
      </c>
      <c r="K1243" t="s">
        <v>6989</v>
      </c>
      <c r="L1243" t="s">
        <v>6990</v>
      </c>
      <c r="P1243" t="s">
        <v>6992</v>
      </c>
      <c r="Y1243" t="s">
        <v>3357</v>
      </c>
    </row>
    <row r="1244" spans="1:25" x14ac:dyDescent="0.25">
      <c r="A1244" t="str">
        <f>"1118639305"</f>
        <v>1118639305</v>
      </c>
      <c r="B1244" t="s">
        <v>334</v>
      </c>
      <c r="C1244" t="s">
        <v>334</v>
      </c>
      <c r="D1244" t="s">
        <v>6993</v>
      </c>
      <c r="F1244" t="s">
        <v>1</v>
      </c>
      <c r="G1244" t="s">
        <v>2</v>
      </c>
      <c r="H1244" t="s">
        <v>3018</v>
      </c>
      <c r="Y1244" t="s">
        <v>3019</v>
      </c>
    </row>
    <row r="1245" spans="1:25" x14ac:dyDescent="0.25">
      <c r="A1245" t="str">
        <f>"1118720794"</f>
        <v>1118720794</v>
      </c>
      <c r="B1245" t="s">
        <v>160</v>
      </c>
      <c r="C1245" t="s">
        <v>1666</v>
      </c>
      <c r="D1245" t="s">
        <v>6994</v>
      </c>
      <c r="E1245">
        <v>424039</v>
      </c>
      <c r="F1245" t="s">
        <v>1</v>
      </c>
      <c r="G1245" t="s">
        <v>2</v>
      </c>
      <c r="H1245" t="s">
        <v>6995</v>
      </c>
      <c r="I1245" t="s">
        <v>6996</v>
      </c>
      <c r="L1245" t="s">
        <v>6190</v>
      </c>
      <c r="M1245" t="s">
        <v>6997</v>
      </c>
      <c r="P1245" t="s">
        <v>20</v>
      </c>
      <c r="Y1245" t="s">
        <v>6998</v>
      </c>
    </row>
    <row r="1246" spans="1:25" x14ac:dyDescent="0.25">
      <c r="A1246" t="str">
        <f>"1118729810"</f>
        <v>1118729810</v>
      </c>
      <c r="B1246" t="s">
        <v>1053</v>
      </c>
      <c r="C1246" t="s">
        <v>4372</v>
      </c>
      <c r="D1246" t="s">
        <v>6999</v>
      </c>
      <c r="E1246">
        <v>424031</v>
      </c>
      <c r="F1246" t="s">
        <v>1</v>
      </c>
      <c r="G1246" t="s">
        <v>2</v>
      </c>
      <c r="H1246" t="s">
        <v>1524</v>
      </c>
      <c r="J1246" t="s">
        <v>7000</v>
      </c>
      <c r="L1246" t="s">
        <v>7001</v>
      </c>
      <c r="M1246" t="s">
        <v>7002</v>
      </c>
      <c r="P1246" t="s">
        <v>20</v>
      </c>
      <c r="Y1246" t="s">
        <v>5358</v>
      </c>
    </row>
    <row r="1247" spans="1:25" x14ac:dyDescent="0.25">
      <c r="A1247" t="str">
        <f>"1118879156"</f>
        <v>1118879156</v>
      </c>
      <c r="B1247" t="s">
        <v>1053</v>
      </c>
      <c r="C1247" t="s">
        <v>1799</v>
      </c>
      <c r="D1247" t="s">
        <v>7003</v>
      </c>
      <c r="E1247">
        <v>424004</v>
      </c>
      <c r="F1247" t="s">
        <v>1</v>
      </c>
      <c r="G1247" t="s">
        <v>2</v>
      </c>
      <c r="H1247" t="s">
        <v>906</v>
      </c>
      <c r="I1247" t="s">
        <v>7004</v>
      </c>
      <c r="Y1247" t="s">
        <v>7005</v>
      </c>
    </row>
    <row r="1248" spans="1:25" x14ac:dyDescent="0.25">
      <c r="A1248" t="str">
        <f>"1119028461"</f>
        <v>1119028461</v>
      </c>
      <c r="B1248" t="s">
        <v>1152</v>
      </c>
      <c r="C1248" t="s">
        <v>7010</v>
      </c>
      <c r="D1248" t="s">
        <v>7006</v>
      </c>
      <c r="E1248">
        <v>424008</v>
      </c>
      <c r="F1248" t="s">
        <v>1</v>
      </c>
      <c r="G1248" t="s">
        <v>2</v>
      </c>
      <c r="H1248" t="s">
        <v>1012</v>
      </c>
      <c r="I1248" t="s">
        <v>7007</v>
      </c>
      <c r="K1248" t="s">
        <v>7007</v>
      </c>
      <c r="L1248" t="s">
        <v>7008</v>
      </c>
      <c r="M1248" t="s">
        <v>7009</v>
      </c>
      <c r="P1248" t="s">
        <v>2258</v>
      </c>
      <c r="Q1248" t="s">
        <v>7011</v>
      </c>
      <c r="S1248" t="s">
        <v>7012</v>
      </c>
      <c r="T1248" t="s">
        <v>7013</v>
      </c>
      <c r="Y1248" t="s">
        <v>2057</v>
      </c>
    </row>
    <row r="1249" spans="1:25" x14ac:dyDescent="0.25">
      <c r="A1249" t="str">
        <f>"1119059971"</f>
        <v>1119059971</v>
      </c>
      <c r="B1249" t="s">
        <v>640</v>
      </c>
      <c r="C1249" t="s">
        <v>7019</v>
      </c>
      <c r="D1249" t="s">
        <v>7014</v>
      </c>
      <c r="E1249">
        <v>424000</v>
      </c>
      <c r="F1249" t="s">
        <v>1</v>
      </c>
      <c r="G1249" t="s">
        <v>2</v>
      </c>
      <c r="H1249" t="s">
        <v>7015</v>
      </c>
      <c r="I1249" t="s">
        <v>7016</v>
      </c>
      <c r="L1249" t="s">
        <v>7017</v>
      </c>
      <c r="M1249" t="s">
        <v>7018</v>
      </c>
      <c r="P1249" t="s">
        <v>7020</v>
      </c>
      <c r="Q1249" t="s">
        <v>7021</v>
      </c>
      <c r="T1249" t="s">
        <v>7022</v>
      </c>
      <c r="Y1249" t="s">
        <v>7023</v>
      </c>
    </row>
    <row r="1250" spans="1:25" x14ac:dyDescent="0.25">
      <c r="A1250" t="str">
        <f>"1119100131"</f>
        <v>1119100131</v>
      </c>
      <c r="B1250" t="s">
        <v>3094</v>
      </c>
      <c r="C1250" t="s">
        <v>7029</v>
      </c>
      <c r="D1250" t="s">
        <v>7024</v>
      </c>
      <c r="E1250">
        <v>424002</v>
      </c>
      <c r="F1250" t="s">
        <v>1</v>
      </c>
      <c r="G1250" t="s">
        <v>2</v>
      </c>
      <c r="H1250" t="s">
        <v>7025</v>
      </c>
      <c r="I1250" t="s">
        <v>7026</v>
      </c>
      <c r="L1250" t="s">
        <v>7027</v>
      </c>
      <c r="M1250" t="s">
        <v>7028</v>
      </c>
      <c r="P1250" t="s">
        <v>6236</v>
      </c>
      <c r="Q1250" t="s">
        <v>7030</v>
      </c>
      <c r="Y1250" t="s">
        <v>7031</v>
      </c>
    </row>
    <row r="1251" spans="1:25" x14ac:dyDescent="0.25">
      <c r="A1251" t="str">
        <f>"1119376375"</f>
        <v>1119376375</v>
      </c>
      <c r="B1251" t="s">
        <v>379</v>
      </c>
      <c r="C1251" t="s">
        <v>864</v>
      </c>
      <c r="D1251" t="s">
        <v>7032</v>
      </c>
      <c r="E1251">
        <v>424004</v>
      </c>
      <c r="F1251" t="s">
        <v>1</v>
      </c>
      <c r="G1251" t="s">
        <v>2</v>
      </c>
      <c r="H1251" t="s">
        <v>229</v>
      </c>
      <c r="Y1251" t="s">
        <v>237</v>
      </c>
    </row>
    <row r="1252" spans="1:25" x14ac:dyDescent="0.25">
      <c r="A1252" t="str">
        <f>"1119438345"</f>
        <v>1119438345</v>
      </c>
      <c r="B1252" t="s">
        <v>558</v>
      </c>
      <c r="C1252" t="s">
        <v>559</v>
      </c>
      <c r="D1252" t="s">
        <v>7033</v>
      </c>
      <c r="E1252">
        <v>424031</v>
      </c>
      <c r="F1252" t="s">
        <v>1</v>
      </c>
      <c r="G1252" t="s">
        <v>2</v>
      </c>
      <c r="H1252" t="s">
        <v>7034</v>
      </c>
      <c r="I1252" t="s">
        <v>7035</v>
      </c>
      <c r="Y1252" t="s">
        <v>7036</v>
      </c>
    </row>
    <row r="1253" spans="1:25" x14ac:dyDescent="0.25">
      <c r="A1253" t="str">
        <f>"1119463983"</f>
        <v>1119463983</v>
      </c>
      <c r="B1253" t="s">
        <v>117</v>
      </c>
      <c r="C1253" t="s">
        <v>118</v>
      </c>
      <c r="D1253" t="s">
        <v>7037</v>
      </c>
      <c r="E1253">
        <v>424040</v>
      </c>
      <c r="F1253" t="s">
        <v>1</v>
      </c>
      <c r="G1253" t="s">
        <v>2</v>
      </c>
      <c r="H1253" t="s">
        <v>7038</v>
      </c>
      <c r="I1253" t="s">
        <v>7039</v>
      </c>
      <c r="P1253" t="s">
        <v>7040</v>
      </c>
      <c r="Y1253" t="s">
        <v>7041</v>
      </c>
    </row>
    <row r="1254" spans="1:25" x14ac:dyDescent="0.25">
      <c r="A1254" t="str">
        <f>"1119492209"</f>
        <v>1119492209</v>
      </c>
      <c r="B1254" t="s">
        <v>388</v>
      </c>
      <c r="C1254" t="s">
        <v>5565</v>
      </c>
      <c r="D1254" t="s">
        <v>7042</v>
      </c>
      <c r="F1254" t="s">
        <v>1</v>
      </c>
      <c r="G1254" t="s">
        <v>2</v>
      </c>
      <c r="H1254" t="s">
        <v>3018</v>
      </c>
      <c r="Y1254" t="s">
        <v>3019</v>
      </c>
    </row>
    <row r="1255" spans="1:25" x14ac:dyDescent="0.25">
      <c r="A1255" t="str">
        <f>"1119498794"</f>
        <v>1119498794</v>
      </c>
      <c r="B1255" t="s">
        <v>462</v>
      </c>
      <c r="C1255" t="s">
        <v>1140</v>
      </c>
      <c r="D1255" t="s">
        <v>7043</v>
      </c>
      <c r="E1255">
        <v>424031</v>
      </c>
      <c r="F1255" t="s">
        <v>1</v>
      </c>
      <c r="G1255" t="s">
        <v>2</v>
      </c>
      <c r="H1255" t="s">
        <v>1524</v>
      </c>
      <c r="I1255" t="s">
        <v>7044</v>
      </c>
      <c r="P1255" t="s">
        <v>27</v>
      </c>
      <c r="Y1255" t="s">
        <v>5358</v>
      </c>
    </row>
    <row r="1256" spans="1:25" x14ac:dyDescent="0.25">
      <c r="A1256" t="str">
        <f>"1119531113"</f>
        <v>1119531113</v>
      </c>
      <c r="B1256" t="s">
        <v>687</v>
      </c>
      <c r="C1256" t="s">
        <v>7047</v>
      </c>
      <c r="D1256" t="s">
        <v>7045</v>
      </c>
      <c r="E1256">
        <v>424002</v>
      </c>
      <c r="F1256" t="s">
        <v>1</v>
      </c>
      <c r="G1256" t="s">
        <v>2</v>
      </c>
      <c r="H1256" t="s">
        <v>1946</v>
      </c>
      <c r="I1256" t="s">
        <v>7046</v>
      </c>
      <c r="Y1256" t="s">
        <v>1948</v>
      </c>
    </row>
    <row r="1257" spans="1:25" x14ac:dyDescent="0.25">
      <c r="A1257" t="str">
        <f>"1119547824"</f>
        <v>1119547824</v>
      </c>
      <c r="B1257" t="s">
        <v>96</v>
      </c>
      <c r="C1257" t="s">
        <v>5515</v>
      </c>
      <c r="D1257" t="s">
        <v>7048</v>
      </c>
      <c r="E1257">
        <v>424000</v>
      </c>
      <c r="F1257" t="s">
        <v>1</v>
      </c>
      <c r="G1257" t="s">
        <v>2</v>
      </c>
      <c r="H1257" t="s">
        <v>7049</v>
      </c>
      <c r="I1257" t="s">
        <v>7050</v>
      </c>
      <c r="L1257" t="s">
        <v>7051</v>
      </c>
      <c r="M1257" t="s">
        <v>7052</v>
      </c>
      <c r="P1257" t="s">
        <v>7053</v>
      </c>
      <c r="Q1257" t="s">
        <v>7054</v>
      </c>
      <c r="R1257" t="s">
        <v>7055</v>
      </c>
      <c r="S1257" t="s">
        <v>7056</v>
      </c>
      <c r="T1257" t="s">
        <v>7057</v>
      </c>
      <c r="V1257" t="s">
        <v>7058</v>
      </c>
      <c r="Y1257" t="s">
        <v>7059</v>
      </c>
    </row>
    <row r="1258" spans="1:25" x14ac:dyDescent="0.25">
      <c r="A1258" t="str">
        <f>"1119562610"</f>
        <v>1119562610</v>
      </c>
      <c r="B1258" t="s">
        <v>591</v>
      </c>
      <c r="C1258" t="s">
        <v>1904</v>
      </c>
      <c r="D1258" t="s">
        <v>7060</v>
      </c>
      <c r="E1258">
        <v>424000</v>
      </c>
      <c r="F1258" t="s">
        <v>1</v>
      </c>
      <c r="G1258" t="s">
        <v>2</v>
      </c>
      <c r="H1258" t="s">
        <v>2193</v>
      </c>
      <c r="I1258" t="s">
        <v>7061</v>
      </c>
      <c r="Y1258" t="s">
        <v>2196</v>
      </c>
    </row>
    <row r="1259" spans="1:25" x14ac:dyDescent="0.25">
      <c r="A1259" t="str">
        <f>"1119660833"</f>
        <v>1119660833</v>
      </c>
      <c r="B1259" t="s">
        <v>319</v>
      </c>
      <c r="C1259" t="s">
        <v>320</v>
      </c>
      <c r="D1259" t="s">
        <v>7062</v>
      </c>
      <c r="E1259">
        <v>424020</v>
      </c>
      <c r="F1259" t="s">
        <v>1</v>
      </c>
      <c r="G1259" t="s">
        <v>2</v>
      </c>
      <c r="H1259" t="s">
        <v>7063</v>
      </c>
      <c r="I1259" t="s">
        <v>7064</v>
      </c>
      <c r="P1259" t="s">
        <v>2044</v>
      </c>
      <c r="Y1259" t="s">
        <v>7065</v>
      </c>
    </row>
    <row r="1260" spans="1:25" x14ac:dyDescent="0.25">
      <c r="A1260" t="str">
        <f>"1119664850"</f>
        <v>1119664850</v>
      </c>
      <c r="B1260" t="s">
        <v>96</v>
      </c>
      <c r="C1260" t="s">
        <v>7071</v>
      </c>
      <c r="D1260" t="s">
        <v>7066</v>
      </c>
      <c r="E1260">
        <v>424020</v>
      </c>
      <c r="F1260" t="s">
        <v>1</v>
      </c>
      <c r="G1260" t="s">
        <v>2</v>
      </c>
      <c r="H1260" t="s">
        <v>7067</v>
      </c>
      <c r="I1260" t="s">
        <v>7068</v>
      </c>
      <c r="L1260" t="s">
        <v>7069</v>
      </c>
      <c r="M1260" t="s">
        <v>7070</v>
      </c>
      <c r="P1260" t="s">
        <v>7072</v>
      </c>
      <c r="Q1260" t="s">
        <v>7073</v>
      </c>
      <c r="T1260" t="s">
        <v>7074</v>
      </c>
      <c r="V1260" t="s">
        <v>7075</v>
      </c>
      <c r="Y1260" t="s">
        <v>7076</v>
      </c>
    </row>
    <row r="1261" spans="1:25" x14ac:dyDescent="0.25">
      <c r="A1261" t="str">
        <f>"1119731433"</f>
        <v>1119731433</v>
      </c>
      <c r="B1261" t="s">
        <v>1152</v>
      </c>
      <c r="C1261" t="s">
        <v>7081</v>
      </c>
      <c r="D1261" t="s">
        <v>7077</v>
      </c>
      <c r="E1261">
        <v>424000</v>
      </c>
      <c r="F1261" t="s">
        <v>1</v>
      </c>
      <c r="G1261" t="s">
        <v>2</v>
      </c>
      <c r="H1261" t="s">
        <v>1531</v>
      </c>
      <c r="I1261" t="s">
        <v>7078</v>
      </c>
      <c r="J1261" t="s">
        <v>7079</v>
      </c>
      <c r="L1261" t="s">
        <v>7080</v>
      </c>
      <c r="P1261" t="s">
        <v>1027</v>
      </c>
      <c r="Q1261" t="s">
        <v>7082</v>
      </c>
      <c r="Y1261" t="s">
        <v>7083</v>
      </c>
    </row>
    <row r="1262" spans="1:25" x14ac:dyDescent="0.25">
      <c r="A1262" t="str">
        <f>"1119893381"</f>
        <v>1119893381</v>
      </c>
      <c r="B1262" t="s">
        <v>328</v>
      </c>
      <c r="C1262" t="s">
        <v>7088</v>
      </c>
      <c r="D1262" t="s">
        <v>7084</v>
      </c>
      <c r="E1262">
        <v>424000</v>
      </c>
      <c r="F1262" t="s">
        <v>1</v>
      </c>
      <c r="G1262" t="s">
        <v>2</v>
      </c>
      <c r="H1262" t="s">
        <v>4492</v>
      </c>
      <c r="I1262" t="s">
        <v>7085</v>
      </c>
      <c r="L1262" t="s">
        <v>7086</v>
      </c>
      <c r="M1262" t="s">
        <v>7087</v>
      </c>
      <c r="P1262" t="s">
        <v>869</v>
      </c>
      <c r="Y1262" t="s">
        <v>4497</v>
      </c>
    </row>
    <row r="1263" spans="1:25" x14ac:dyDescent="0.25">
      <c r="A1263" t="str">
        <f>"1119949490"</f>
        <v>1119949490</v>
      </c>
      <c r="B1263" t="s">
        <v>319</v>
      </c>
      <c r="C1263" t="s">
        <v>320</v>
      </c>
      <c r="D1263" t="s">
        <v>7089</v>
      </c>
      <c r="E1263">
        <v>424000</v>
      </c>
      <c r="F1263" t="s">
        <v>1</v>
      </c>
      <c r="G1263" t="s">
        <v>2</v>
      </c>
      <c r="H1263" t="s">
        <v>7090</v>
      </c>
      <c r="Y1263" t="s">
        <v>7091</v>
      </c>
    </row>
    <row r="1264" spans="1:25" x14ac:dyDescent="0.25">
      <c r="A1264" t="str">
        <f>"1120038922"</f>
        <v>1120038922</v>
      </c>
      <c r="B1264" t="s">
        <v>2361</v>
      </c>
      <c r="C1264" t="s">
        <v>7098</v>
      </c>
      <c r="D1264" t="s">
        <v>7092</v>
      </c>
      <c r="F1264" t="s">
        <v>1</v>
      </c>
      <c r="G1264" t="s">
        <v>2</v>
      </c>
      <c r="H1264" t="s">
        <v>7093</v>
      </c>
      <c r="I1264" t="s">
        <v>7094</v>
      </c>
      <c r="J1264" t="s">
        <v>7095</v>
      </c>
      <c r="L1264" t="s">
        <v>7096</v>
      </c>
      <c r="M1264" t="s">
        <v>7097</v>
      </c>
      <c r="P1264" t="s">
        <v>280</v>
      </c>
      <c r="Q1264" t="s">
        <v>7099</v>
      </c>
      <c r="V1264" t="s">
        <v>7100</v>
      </c>
      <c r="Y1264" t="s">
        <v>7101</v>
      </c>
    </row>
    <row r="1265" spans="1:25" x14ac:dyDescent="0.25">
      <c r="A1265" t="str">
        <f>"1120039959"</f>
        <v>1120039959</v>
      </c>
      <c r="B1265" t="s">
        <v>574</v>
      </c>
      <c r="C1265" t="s">
        <v>646</v>
      </c>
      <c r="D1265" t="s">
        <v>7102</v>
      </c>
      <c r="E1265">
        <v>424008</v>
      </c>
      <c r="F1265" t="s">
        <v>1</v>
      </c>
      <c r="G1265" t="s">
        <v>2</v>
      </c>
      <c r="H1265" t="s">
        <v>1031</v>
      </c>
      <c r="P1265" t="s">
        <v>7103</v>
      </c>
      <c r="Y1265" t="s">
        <v>5039</v>
      </c>
    </row>
    <row r="1266" spans="1:25" x14ac:dyDescent="0.25">
      <c r="A1266" t="str">
        <f>"1120168044"</f>
        <v>1120168044</v>
      </c>
      <c r="B1266" t="s">
        <v>176</v>
      </c>
      <c r="C1266" t="s">
        <v>566</v>
      </c>
      <c r="D1266" t="s">
        <v>7104</v>
      </c>
      <c r="E1266">
        <v>424000</v>
      </c>
      <c r="F1266" t="s">
        <v>1</v>
      </c>
      <c r="G1266" t="s">
        <v>2</v>
      </c>
      <c r="H1266" t="s">
        <v>128</v>
      </c>
      <c r="I1266" t="s">
        <v>7105</v>
      </c>
      <c r="K1266" t="s">
        <v>7106</v>
      </c>
      <c r="L1266" t="s">
        <v>7107</v>
      </c>
      <c r="M1266" t="s">
        <v>7108</v>
      </c>
      <c r="P1266" t="s">
        <v>330</v>
      </c>
      <c r="Q1266" t="s">
        <v>7109</v>
      </c>
      <c r="S1266" t="s">
        <v>7110</v>
      </c>
      <c r="T1266" t="s">
        <v>7111</v>
      </c>
      <c r="Y1266" t="s">
        <v>7112</v>
      </c>
    </row>
    <row r="1267" spans="1:25" x14ac:dyDescent="0.25">
      <c r="A1267" t="str">
        <f>"1120190329"</f>
        <v>1120190329</v>
      </c>
      <c r="B1267" t="s">
        <v>2361</v>
      </c>
      <c r="C1267" t="s">
        <v>2361</v>
      </c>
      <c r="D1267" t="s">
        <v>4384</v>
      </c>
      <c r="E1267">
        <v>424007</v>
      </c>
      <c r="F1267" t="s">
        <v>1</v>
      </c>
      <c r="G1267" t="s">
        <v>2</v>
      </c>
      <c r="H1267" t="s">
        <v>7113</v>
      </c>
      <c r="I1267" t="s">
        <v>7114</v>
      </c>
      <c r="L1267" t="s">
        <v>4386</v>
      </c>
      <c r="M1267" t="s">
        <v>7115</v>
      </c>
      <c r="P1267" t="s">
        <v>869</v>
      </c>
      <c r="Y1267" t="s">
        <v>7116</v>
      </c>
    </row>
    <row r="1268" spans="1:25" x14ac:dyDescent="0.25">
      <c r="A1268" t="str">
        <f>"1120227570"</f>
        <v>1120227570</v>
      </c>
      <c r="B1268" t="s">
        <v>803</v>
      </c>
      <c r="C1268" t="s">
        <v>3088</v>
      </c>
      <c r="D1268" t="s">
        <v>7117</v>
      </c>
      <c r="E1268">
        <v>424031</v>
      </c>
      <c r="F1268" t="s">
        <v>1</v>
      </c>
      <c r="G1268" t="s">
        <v>2</v>
      </c>
      <c r="H1268" t="s">
        <v>7118</v>
      </c>
      <c r="I1268" t="s">
        <v>7119</v>
      </c>
      <c r="P1268" t="s">
        <v>280</v>
      </c>
      <c r="Y1268" t="s">
        <v>7120</v>
      </c>
    </row>
    <row r="1269" spans="1:25" x14ac:dyDescent="0.25">
      <c r="A1269" t="str">
        <f>"1120283872"</f>
        <v>1120283872</v>
      </c>
      <c r="B1269" t="s">
        <v>790</v>
      </c>
      <c r="C1269" t="s">
        <v>1787</v>
      </c>
      <c r="D1269" t="s">
        <v>7121</v>
      </c>
      <c r="E1269">
        <v>424000</v>
      </c>
      <c r="F1269" t="s">
        <v>1</v>
      </c>
      <c r="G1269" t="s">
        <v>2</v>
      </c>
      <c r="H1269" t="s">
        <v>7122</v>
      </c>
      <c r="I1269" t="s">
        <v>7123</v>
      </c>
      <c r="L1269" t="s">
        <v>7124</v>
      </c>
      <c r="P1269" t="s">
        <v>7125</v>
      </c>
      <c r="Q1269" t="s">
        <v>7126</v>
      </c>
      <c r="Y1269" t="s">
        <v>7127</v>
      </c>
    </row>
    <row r="1270" spans="1:25" x14ac:dyDescent="0.25">
      <c r="A1270" t="str">
        <f>"1120398499"</f>
        <v>1120398499</v>
      </c>
      <c r="B1270" t="s">
        <v>558</v>
      </c>
      <c r="C1270" t="s">
        <v>559</v>
      </c>
      <c r="D1270" t="s">
        <v>7128</v>
      </c>
      <c r="F1270" t="s">
        <v>1</v>
      </c>
      <c r="G1270" t="s">
        <v>2</v>
      </c>
      <c r="H1270" t="s">
        <v>3018</v>
      </c>
      <c r="I1270" t="s">
        <v>7129</v>
      </c>
      <c r="Y1270" t="s">
        <v>3019</v>
      </c>
    </row>
    <row r="1271" spans="1:25" x14ac:dyDescent="0.25">
      <c r="A1271" t="str">
        <f>"1120423288"</f>
        <v>1120423288</v>
      </c>
      <c r="B1271" t="s">
        <v>574</v>
      </c>
      <c r="C1271" t="s">
        <v>646</v>
      </c>
      <c r="D1271" t="s">
        <v>7130</v>
      </c>
      <c r="E1271">
        <v>424038</v>
      </c>
      <c r="F1271" t="s">
        <v>1</v>
      </c>
      <c r="G1271" t="s">
        <v>2</v>
      </c>
      <c r="H1271" t="s">
        <v>1862</v>
      </c>
      <c r="P1271" t="s">
        <v>152</v>
      </c>
      <c r="Y1271" t="s">
        <v>3870</v>
      </c>
    </row>
    <row r="1272" spans="1:25" x14ac:dyDescent="0.25">
      <c r="A1272" t="str">
        <f>"1120563864"</f>
        <v>1120563864</v>
      </c>
      <c r="B1272" t="s">
        <v>447</v>
      </c>
      <c r="C1272" t="s">
        <v>7136</v>
      </c>
      <c r="D1272" t="s">
        <v>7131</v>
      </c>
      <c r="E1272">
        <v>424002</v>
      </c>
      <c r="F1272" t="s">
        <v>1</v>
      </c>
      <c r="G1272" t="s">
        <v>2</v>
      </c>
      <c r="H1272" t="s">
        <v>7132</v>
      </c>
      <c r="I1272" t="s">
        <v>7133</v>
      </c>
      <c r="L1272" t="s">
        <v>7134</v>
      </c>
      <c r="M1272" t="s">
        <v>7135</v>
      </c>
      <c r="P1272" t="s">
        <v>20</v>
      </c>
      <c r="Y1272" t="s">
        <v>7137</v>
      </c>
    </row>
    <row r="1273" spans="1:25" x14ac:dyDescent="0.25">
      <c r="A1273" t="str">
        <f>"1120678078"</f>
        <v>1120678078</v>
      </c>
      <c r="B1273" t="s">
        <v>930</v>
      </c>
      <c r="C1273" t="s">
        <v>7140</v>
      </c>
      <c r="D1273" t="s">
        <v>927</v>
      </c>
      <c r="E1273">
        <v>424039</v>
      </c>
      <c r="F1273" t="s">
        <v>1</v>
      </c>
      <c r="G1273" t="s">
        <v>2</v>
      </c>
      <c r="H1273" t="s">
        <v>7138</v>
      </c>
      <c r="I1273" t="s">
        <v>7139</v>
      </c>
      <c r="P1273" t="s">
        <v>216</v>
      </c>
      <c r="Q1273" t="s">
        <v>7141</v>
      </c>
      <c r="Y1273" t="s">
        <v>7142</v>
      </c>
    </row>
    <row r="1274" spans="1:25" x14ac:dyDescent="0.25">
      <c r="A1274" t="str">
        <f>"1120783951"</f>
        <v>1120783951</v>
      </c>
      <c r="B1274" t="s">
        <v>110</v>
      </c>
      <c r="C1274" t="s">
        <v>7148</v>
      </c>
      <c r="D1274" t="s">
        <v>7143</v>
      </c>
      <c r="E1274">
        <v>424006</v>
      </c>
      <c r="F1274" t="s">
        <v>1</v>
      </c>
      <c r="G1274" t="s">
        <v>2</v>
      </c>
      <c r="H1274" t="s">
        <v>451</v>
      </c>
      <c r="I1274" t="s">
        <v>7144</v>
      </c>
      <c r="J1274" t="s">
        <v>7145</v>
      </c>
      <c r="L1274" t="s">
        <v>7146</v>
      </c>
      <c r="M1274" t="s">
        <v>7147</v>
      </c>
      <c r="P1274" t="s">
        <v>3814</v>
      </c>
      <c r="V1274" t="s">
        <v>7149</v>
      </c>
      <c r="Y1274" t="s">
        <v>7150</v>
      </c>
    </row>
    <row r="1275" spans="1:25" x14ac:dyDescent="0.25">
      <c r="A1275" t="str">
        <f>"1120858049"</f>
        <v>1120858049</v>
      </c>
      <c r="B1275" t="s">
        <v>176</v>
      </c>
      <c r="C1275" t="s">
        <v>250</v>
      </c>
      <c r="D1275" t="s">
        <v>7151</v>
      </c>
      <c r="E1275">
        <v>424003</v>
      </c>
      <c r="F1275" t="s">
        <v>1</v>
      </c>
      <c r="G1275" t="s">
        <v>2</v>
      </c>
      <c r="H1275" t="s">
        <v>7152</v>
      </c>
      <c r="I1275" t="s">
        <v>7153</v>
      </c>
      <c r="L1275" t="s">
        <v>7154</v>
      </c>
      <c r="M1275" t="s">
        <v>7155</v>
      </c>
      <c r="P1275" t="s">
        <v>2438</v>
      </c>
      <c r="Q1275" t="s">
        <v>7156</v>
      </c>
      <c r="Y1275" t="s">
        <v>7157</v>
      </c>
    </row>
    <row r="1276" spans="1:25" x14ac:dyDescent="0.25">
      <c r="A1276" t="str">
        <f>"1120867160"</f>
        <v>1120867160</v>
      </c>
      <c r="B1276" t="s">
        <v>284</v>
      </c>
      <c r="C1276" t="s">
        <v>7160</v>
      </c>
      <c r="D1276" t="s">
        <v>7158</v>
      </c>
      <c r="E1276">
        <v>424007</v>
      </c>
      <c r="F1276" t="s">
        <v>1</v>
      </c>
      <c r="G1276" t="s">
        <v>2</v>
      </c>
      <c r="H1276" t="s">
        <v>220</v>
      </c>
      <c r="I1276" t="s">
        <v>7159</v>
      </c>
      <c r="K1276" t="s">
        <v>7159</v>
      </c>
      <c r="P1276" t="s">
        <v>280</v>
      </c>
      <c r="Y1276" t="s">
        <v>227</v>
      </c>
    </row>
    <row r="1277" spans="1:25" x14ac:dyDescent="0.25">
      <c r="A1277" t="str">
        <f>"1120882490"</f>
        <v>1120882490</v>
      </c>
      <c r="B1277" t="s">
        <v>1315</v>
      </c>
      <c r="C1277" t="s">
        <v>4274</v>
      </c>
      <c r="D1277" t="s">
        <v>7161</v>
      </c>
      <c r="E1277">
        <v>424007</v>
      </c>
      <c r="F1277" t="s">
        <v>1</v>
      </c>
      <c r="G1277" t="s">
        <v>2</v>
      </c>
      <c r="H1277" t="s">
        <v>1085</v>
      </c>
      <c r="I1277" t="s">
        <v>7162</v>
      </c>
      <c r="M1277" t="s">
        <v>7163</v>
      </c>
      <c r="P1277" t="s">
        <v>7164</v>
      </c>
      <c r="Y1277" t="s">
        <v>7165</v>
      </c>
    </row>
    <row r="1278" spans="1:25" x14ac:dyDescent="0.25">
      <c r="A1278" t="str">
        <f>"1120953846"</f>
        <v>1120953846</v>
      </c>
      <c r="B1278" t="s">
        <v>574</v>
      </c>
      <c r="C1278" t="s">
        <v>7170</v>
      </c>
      <c r="D1278" t="s">
        <v>7166</v>
      </c>
      <c r="E1278">
        <v>424008</v>
      </c>
      <c r="F1278" t="s">
        <v>1</v>
      </c>
      <c r="G1278" t="s">
        <v>2</v>
      </c>
      <c r="H1278" t="s">
        <v>7167</v>
      </c>
      <c r="I1278" t="s">
        <v>7168</v>
      </c>
      <c r="L1278" t="s">
        <v>597</v>
      </c>
      <c r="M1278" t="s">
        <v>7169</v>
      </c>
      <c r="P1278" t="s">
        <v>1528</v>
      </c>
      <c r="Y1278" t="s">
        <v>7171</v>
      </c>
    </row>
    <row r="1279" spans="1:25" x14ac:dyDescent="0.25">
      <c r="A1279" t="str">
        <f>"1121505398"</f>
        <v>1121505398</v>
      </c>
      <c r="B1279" t="s">
        <v>6609</v>
      </c>
      <c r="C1279" t="s">
        <v>7177</v>
      </c>
      <c r="D1279" t="s">
        <v>7172</v>
      </c>
      <c r="E1279">
        <v>424007</v>
      </c>
      <c r="F1279" t="s">
        <v>1</v>
      </c>
      <c r="G1279" t="s">
        <v>2</v>
      </c>
      <c r="H1279" t="s">
        <v>220</v>
      </c>
      <c r="I1279" t="s">
        <v>7173</v>
      </c>
      <c r="J1279" t="s">
        <v>7174</v>
      </c>
      <c r="L1279" t="s">
        <v>7175</v>
      </c>
      <c r="M1279" t="s">
        <v>7176</v>
      </c>
      <c r="P1279" t="s">
        <v>1257</v>
      </c>
      <c r="Y1279" t="s">
        <v>7178</v>
      </c>
    </row>
    <row r="1280" spans="1:25" x14ac:dyDescent="0.25">
      <c r="A1280" t="str">
        <f>"1121581300"</f>
        <v>1121581300</v>
      </c>
      <c r="B1280" t="s">
        <v>654</v>
      </c>
      <c r="C1280" t="s">
        <v>7182</v>
      </c>
      <c r="D1280" t="s">
        <v>7179</v>
      </c>
      <c r="E1280">
        <v>424007</v>
      </c>
      <c r="F1280" t="s">
        <v>1</v>
      </c>
      <c r="G1280" t="s">
        <v>2</v>
      </c>
      <c r="H1280" t="s">
        <v>1654</v>
      </c>
      <c r="I1280" t="s">
        <v>7180</v>
      </c>
      <c r="J1280" t="s">
        <v>7181</v>
      </c>
      <c r="P1280" t="s">
        <v>2951</v>
      </c>
      <c r="Q1280" t="s">
        <v>7183</v>
      </c>
      <c r="Y1280" t="s">
        <v>7184</v>
      </c>
    </row>
    <row r="1281" spans="1:25" x14ac:dyDescent="0.25">
      <c r="A1281" t="str">
        <f>"1121796638"</f>
        <v>1121796638</v>
      </c>
      <c r="B1281" t="s">
        <v>482</v>
      </c>
      <c r="C1281" t="s">
        <v>483</v>
      </c>
      <c r="D1281" t="s">
        <v>7185</v>
      </c>
      <c r="E1281">
        <v>424000</v>
      </c>
      <c r="F1281" t="s">
        <v>1</v>
      </c>
      <c r="G1281" t="s">
        <v>2</v>
      </c>
      <c r="H1281" t="s">
        <v>837</v>
      </c>
      <c r="I1281" t="s">
        <v>7186</v>
      </c>
      <c r="L1281" t="s">
        <v>7187</v>
      </c>
      <c r="M1281" t="s">
        <v>7188</v>
      </c>
      <c r="P1281" t="s">
        <v>27</v>
      </c>
      <c r="Q1281" t="s">
        <v>7189</v>
      </c>
      <c r="T1281" t="s">
        <v>7190</v>
      </c>
      <c r="V1281" t="s">
        <v>7191</v>
      </c>
      <c r="Y1281" t="s">
        <v>2964</v>
      </c>
    </row>
    <row r="1282" spans="1:25" x14ac:dyDescent="0.25">
      <c r="A1282" t="str">
        <f>"1121838625"</f>
        <v>1121838625</v>
      </c>
      <c r="B1282" t="s">
        <v>388</v>
      </c>
      <c r="C1282" t="s">
        <v>7194</v>
      </c>
      <c r="D1282" t="s">
        <v>7192</v>
      </c>
      <c r="E1282">
        <v>424004</v>
      </c>
      <c r="F1282" t="s">
        <v>1</v>
      </c>
      <c r="G1282" t="s">
        <v>2</v>
      </c>
      <c r="H1282" t="s">
        <v>5226</v>
      </c>
      <c r="I1282" t="s">
        <v>7193</v>
      </c>
      <c r="L1282" t="s">
        <v>6017</v>
      </c>
      <c r="M1282" t="s">
        <v>6018</v>
      </c>
      <c r="P1282" t="s">
        <v>280</v>
      </c>
      <c r="Y1282" t="s">
        <v>6967</v>
      </c>
    </row>
    <row r="1283" spans="1:25" x14ac:dyDescent="0.25">
      <c r="A1283" t="str">
        <f>"1122393344"</f>
        <v>1122393344</v>
      </c>
      <c r="B1283" t="s">
        <v>319</v>
      </c>
      <c r="C1283" t="s">
        <v>7198</v>
      </c>
      <c r="D1283" t="s">
        <v>7195</v>
      </c>
      <c r="E1283">
        <v>424007</v>
      </c>
      <c r="F1283" t="s">
        <v>1</v>
      </c>
      <c r="G1283" t="s">
        <v>2</v>
      </c>
      <c r="H1283" t="s">
        <v>7196</v>
      </c>
      <c r="I1283" t="s">
        <v>7197</v>
      </c>
      <c r="Y1283" t="s">
        <v>7199</v>
      </c>
    </row>
    <row r="1284" spans="1:25" x14ac:dyDescent="0.25">
      <c r="A1284" t="str">
        <f>"1122408707"</f>
        <v>1122408707</v>
      </c>
      <c r="B1284" t="s">
        <v>985</v>
      </c>
      <c r="C1284" t="s">
        <v>7202</v>
      </c>
      <c r="D1284" t="s">
        <v>7200</v>
      </c>
      <c r="E1284">
        <v>424000</v>
      </c>
      <c r="F1284" t="s">
        <v>1</v>
      </c>
      <c r="G1284" t="s">
        <v>2</v>
      </c>
      <c r="H1284" t="s">
        <v>1531</v>
      </c>
      <c r="I1284" t="s">
        <v>7201</v>
      </c>
      <c r="Y1284" t="s">
        <v>4373</v>
      </c>
    </row>
    <row r="1285" spans="1:25" x14ac:dyDescent="0.25">
      <c r="A1285" t="str">
        <f>"1122413893"</f>
        <v>1122413893</v>
      </c>
      <c r="B1285" t="s">
        <v>1758</v>
      </c>
      <c r="C1285" t="s">
        <v>7207</v>
      </c>
      <c r="D1285" t="s">
        <v>7203</v>
      </c>
      <c r="E1285">
        <v>424028</v>
      </c>
      <c r="F1285" t="s">
        <v>1</v>
      </c>
      <c r="G1285" t="s">
        <v>2</v>
      </c>
      <c r="H1285" t="s">
        <v>7204</v>
      </c>
      <c r="I1285" t="s">
        <v>7205</v>
      </c>
      <c r="L1285" t="s">
        <v>7206</v>
      </c>
      <c r="P1285" t="s">
        <v>330</v>
      </c>
      <c r="Q1285" t="s">
        <v>7208</v>
      </c>
      <c r="T1285" t="s">
        <v>7209</v>
      </c>
      <c r="V1285" t="s">
        <v>7210</v>
      </c>
      <c r="Y1285" t="s">
        <v>7211</v>
      </c>
    </row>
    <row r="1286" spans="1:25" x14ac:dyDescent="0.25">
      <c r="A1286" t="str">
        <f>"1122596563"</f>
        <v>1122596563</v>
      </c>
      <c r="B1286" t="s">
        <v>591</v>
      </c>
      <c r="C1286" t="s">
        <v>7217</v>
      </c>
      <c r="D1286" t="s">
        <v>7212</v>
      </c>
      <c r="E1286">
        <v>424004</v>
      </c>
      <c r="F1286" t="s">
        <v>1</v>
      </c>
      <c r="G1286" t="s">
        <v>2</v>
      </c>
      <c r="H1286" t="s">
        <v>7213</v>
      </c>
      <c r="I1286" t="s">
        <v>7214</v>
      </c>
      <c r="K1286" t="s">
        <v>7214</v>
      </c>
      <c r="L1286" t="s">
        <v>7215</v>
      </c>
      <c r="M1286" t="s">
        <v>7216</v>
      </c>
      <c r="P1286" t="s">
        <v>152</v>
      </c>
      <c r="Y1286" t="s">
        <v>2137</v>
      </c>
    </row>
    <row r="1287" spans="1:25" x14ac:dyDescent="0.25">
      <c r="A1287" t="str">
        <f>"1122648603"</f>
        <v>1122648603</v>
      </c>
      <c r="B1287" t="s">
        <v>110</v>
      </c>
      <c r="C1287" t="s">
        <v>111</v>
      </c>
      <c r="D1287" t="s">
        <v>7218</v>
      </c>
      <c r="E1287">
        <v>424028</v>
      </c>
      <c r="F1287" t="s">
        <v>1</v>
      </c>
      <c r="G1287" t="s">
        <v>2</v>
      </c>
      <c r="H1287" t="s">
        <v>2076</v>
      </c>
      <c r="I1287" t="s">
        <v>7219</v>
      </c>
      <c r="L1287" t="s">
        <v>7220</v>
      </c>
      <c r="P1287" t="s">
        <v>7221</v>
      </c>
      <c r="Y1287" t="s">
        <v>7222</v>
      </c>
    </row>
    <row r="1288" spans="1:25" x14ac:dyDescent="0.25">
      <c r="A1288" t="str">
        <f>"1122809774"</f>
        <v>1122809774</v>
      </c>
      <c r="B1288" t="s">
        <v>397</v>
      </c>
      <c r="C1288" t="s">
        <v>1432</v>
      </c>
      <c r="D1288" t="s">
        <v>7223</v>
      </c>
      <c r="E1288">
        <v>424004</v>
      </c>
      <c r="F1288" t="s">
        <v>1</v>
      </c>
      <c r="G1288" t="s">
        <v>2</v>
      </c>
      <c r="H1288" t="s">
        <v>7224</v>
      </c>
      <c r="I1288" t="s">
        <v>7225</v>
      </c>
      <c r="L1288" t="s">
        <v>7226</v>
      </c>
      <c r="M1288" t="s">
        <v>7227</v>
      </c>
      <c r="P1288" t="s">
        <v>696</v>
      </c>
      <c r="Y1288" t="s">
        <v>7228</v>
      </c>
    </row>
    <row r="1289" spans="1:25" x14ac:dyDescent="0.25">
      <c r="A1289" t="str">
        <f>"1123014131"</f>
        <v>1123014131</v>
      </c>
      <c r="B1289" t="s">
        <v>1078</v>
      </c>
      <c r="C1289" t="s">
        <v>1944</v>
      </c>
      <c r="D1289" t="s">
        <v>7229</v>
      </c>
      <c r="E1289">
        <v>424000</v>
      </c>
      <c r="F1289" t="s">
        <v>1</v>
      </c>
      <c r="G1289" t="s">
        <v>2</v>
      </c>
      <c r="H1289" t="s">
        <v>1531</v>
      </c>
      <c r="I1289" t="s">
        <v>7230</v>
      </c>
      <c r="P1289" t="s">
        <v>7231</v>
      </c>
      <c r="Y1289" t="s">
        <v>7232</v>
      </c>
    </row>
    <row r="1290" spans="1:25" x14ac:dyDescent="0.25">
      <c r="A1290" t="str">
        <f>"1123353774"</f>
        <v>1123353774</v>
      </c>
      <c r="B1290" t="s">
        <v>519</v>
      </c>
      <c r="C1290" t="s">
        <v>7239</v>
      </c>
      <c r="D1290" t="s">
        <v>7233</v>
      </c>
      <c r="E1290">
        <v>424002</v>
      </c>
      <c r="F1290" t="s">
        <v>1</v>
      </c>
      <c r="G1290" t="s">
        <v>2</v>
      </c>
      <c r="H1290" t="s">
        <v>7234</v>
      </c>
      <c r="I1290" t="s">
        <v>7235</v>
      </c>
      <c r="J1290" t="s">
        <v>7236</v>
      </c>
      <c r="L1290" t="s">
        <v>7237</v>
      </c>
      <c r="M1290" t="s">
        <v>7238</v>
      </c>
      <c r="P1290" t="s">
        <v>2050</v>
      </c>
      <c r="Q1290" t="s">
        <v>7240</v>
      </c>
      <c r="R1290" t="s">
        <v>7241</v>
      </c>
      <c r="S1290" t="s">
        <v>7242</v>
      </c>
      <c r="Y1290" t="s">
        <v>7243</v>
      </c>
    </row>
    <row r="1291" spans="1:25" x14ac:dyDescent="0.25">
      <c r="A1291" t="str">
        <f>"1123515919"</f>
        <v>1123515919</v>
      </c>
      <c r="B1291" t="s">
        <v>243</v>
      </c>
      <c r="C1291" t="s">
        <v>2538</v>
      </c>
      <c r="D1291" t="s">
        <v>7244</v>
      </c>
      <c r="E1291">
        <v>424006</v>
      </c>
      <c r="F1291" t="s">
        <v>1</v>
      </c>
      <c r="G1291" t="s">
        <v>2</v>
      </c>
      <c r="H1291" t="s">
        <v>4821</v>
      </c>
      <c r="I1291" t="s">
        <v>7245</v>
      </c>
      <c r="M1291" t="s">
        <v>7246</v>
      </c>
      <c r="P1291" t="s">
        <v>27</v>
      </c>
      <c r="Y1291" t="s">
        <v>4825</v>
      </c>
    </row>
    <row r="1292" spans="1:25" x14ac:dyDescent="0.25">
      <c r="A1292" t="str">
        <f>"1123696736"</f>
        <v>1123696736</v>
      </c>
      <c r="B1292" t="s">
        <v>18</v>
      </c>
      <c r="C1292" t="s">
        <v>7251</v>
      </c>
      <c r="D1292" t="s">
        <v>7247</v>
      </c>
      <c r="E1292">
        <v>424002</v>
      </c>
      <c r="F1292" t="s">
        <v>1</v>
      </c>
      <c r="G1292" t="s">
        <v>2</v>
      </c>
      <c r="H1292" t="s">
        <v>6319</v>
      </c>
      <c r="I1292" t="s">
        <v>7248</v>
      </c>
      <c r="J1292" t="s">
        <v>7249</v>
      </c>
      <c r="L1292" t="s">
        <v>908</v>
      </c>
      <c r="M1292" t="s">
        <v>7250</v>
      </c>
      <c r="P1292" t="s">
        <v>911</v>
      </c>
      <c r="Q1292" t="s">
        <v>912</v>
      </c>
      <c r="Y1292" t="s">
        <v>7252</v>
      </c>
    </row>
    <row r="1293" spans="1:25" x14ac:dyDescent="0.25">
      <c r="A1293" t="str">
        <f>"1123888773"</f>
        <v>1123888773</v>
      </c>
      <c r="B1293" t="s">
        <v>703</v>
      </c>
      <c r="C1293" t="s">
        <v>3518</v>
      </c>
      <c r="D1293" t="s">
        <v>7253</v>
      </c>
      <c r="E1293">
        <v>424006</v>
      </c>
      <c r="F1293" t="s">
        <v>1</v>
      </c>
      <c r="G1293" t="s">
        <v>2</v>
      </c>
      <c r="H1293" t="s">
        <v>7254</v>
      </c>
      <c r="I1293" t="s">
        <v>7255</v>
      </c>
      <c r="Y1293" t="s">
        <v>7256</v>
      </c>
    </row>
    <row r="1294" spans="1:25" x14ac:dyDescent="0.25">
      <c r="A1294" t="str">
        <f>"1124038877"</f>
        <v>1124038877</v>
      </c>
      <c r="B1294" t="s">
        <v>2846</v>
      </c>
      <c r="C1294" t="s">
        <v>7261</v>
      </c>
      <c r="D1294" t="s">
        <v>7257</v>
      </c>
      <c r="E1294">
        <v>424003</v>
      </c>
      <c r="F1294" t="s">
        <v>1</v>
      </c>
      <c r="G1294" t="s">
        <v>2</v>
      </c>
      <c r="H1294" t="s">
        <v>7258</v>
      </c>
      <c r="I1294" t="s">
        <v>7259</v>
      </c>
      <c r="L1294" t="s">
        <v>7260</v>
      </c>
      <c r="P1294" t="s">
        <v>7262</v>
      </c>
      <c r="Q1294" t="s">
        <v>7263</v>
      </c>
      <c r="Y1294" t="s">
        <v>7264</v>
      </c>
    </row>
    <row r="1295" spans="1:25" x14ac:dyDescent="0.25">
      <c r="A1295" t="str">
        <f>"1124044897"</f>
        <v>1124044897</v>
      </c>
      <c r="B1295" t="s">
        <v>160</v>
      </c>
      <c r="C1295" t="s">
        <v>7266</v>
      </c>
      <c r="D1295" t="s">
        <v>7265</v>
      </c>
      <c r="E1295">
        <v>424003</v>
      </c>
      <c r="F1295" t="s">
        <v>1</v>
      </c>
      <c r="G1295" t="s">
        <v>2</v>
      </c>
      <c r="H1295" t="s">
        <v>511</v>
      </c>
      <c r="Y1295" t="s">
        <v>7267</v>
      </c>
    </row>
    <row r="1296" spans="1:25" x14ac:dyDescent="0.25">
      <c r="A1296" t="str">
        <f>"1124284817"</f>
        <v>1124284817</v>
      </c>
      <c r="B1296" t="s">
        <v>1315</v>
      </c>
      <c r="C1296" t="s">
        <v>4274</v>
      </c>
      <c r="D1296" t="s">
        <v>7268</v>
      </c>
      <c r="E1296">
        <v>424007</v>
      </c>
      <c r="F1296" t="s">
        <v>1</v>
      </c>
      <c r="G1296" t="s">
        <v>2</v>
      </c>
      <c r="H1296" t="s">
        <v>1085</v>
      </c>
      <c r="I1296" t="s">
        <v>7269</v>
      </c>
      <c r="L1296" t="s">
        <v>7270</v>
      </c>
      <c r="M1296" t="s">
        <v>7271</v>
      </c>
      <c r="P1296" t="s">
        <v>584</v>
      </c>
      <c r="Q1296" t="s">
        <v>7272</v>
      </c>
      <c r="Y1296" t="s">
        <v>7273</v>
      </c>
    </row>
    <row r="1297" spans="1:25" x14ac:dyDescent="0.25">
      <c r="A1297" t="str">
        <f>"1124291138"</f>
        <v>1124291138</v>
      </c>
      <c r="B1297" t="s">
        <v>319</v>
      </c>
      <c r="C1297" t="s">
        <v>320</v>
      </c>
      <c r="D1297" t="s">
        <v>7274</v>
      </c>
      <c r="E1297">
        <v>424005</v>
      </c>
      <c r="F1297" t="s">
        <v>1</v>
      </c>
      <c r="G1297" t="s">
        <v>2</v>
      </c>
      <c r="H1297" t="s">
        <v>3053</v>
      </c>
      <c r="I1297" t="s">
        <v>7275</v>
      </c>
      <c r="L1297" t="s">
        <v>7276</v>
      </c>
      <c r="M1297" t="s">
        <v>7277</v>
      </c>
      <c r="P1297" t="s">
        <v>27</v>
      </c>
      <c r="Y1297" t="s">
        <v>7278</v>
      </c>
    </row>
    <row r="1298" spans="1:25" x14ac:dyDescent="0.25">
      <c r="A1298" t="str">
        <f>"1124357347"</f>
        <v>1124357347</v>
      </c>
      <c r="B1298" t="s">
        <v>18</v>
      </c>
      <c r="C1298" t="s">
        <v>959</v>
      </c>
      <c r="D1298" t="s">
        <v>7279</v>
      </c>
      <c r="E1298">
        <v>424031</v>
      </c>
      <c r="F1298" t="s">
        <v>1</v>
      </c>
      <c r="G1298" t="s">
        <v>2</v>
      </c>
      <c r="H1298" t="s">
        <v>2353</v>
      </c>
      <c r="I1298" t="s">
        <v>7280</v>
      </c>
      <c r="P1298" t="s">
        <v>152</v>
      </c>
      <c r="Y1298" t="s">
        <v>7281</v>
      </c>
    </row>
    <row r="1299" spans="1:25" x14ac:dyDescent="0.25">
      <c r="A1299" t="str">
        <f>"1124710511"</f>
        <v>1124710511</v>
      </c>
      <c r="B1299" t="s">
        <v>558</v>
      </c>
      <c r="C1299" t="s">
        <v>559</v>
      </c>
      <c r="D1299" t="s">
        <v>7282</v>
      </c>
      <c r="E1299">
        <v>424033</v>
      </c>
      <c r="F1299" t="s">
        <v>1</v>
      </c>
      <c r="G1299" t="s">
        <v>2</v>
      </c>
      <c r="H1299" t="s">
        <v>7283</v>
      </c>
      <c r="I1299" t="s">
        <v>7284</v>
      </c>
      <c r="Y1299" t="s">
        <v>7285</v>
      </c>
    </row>
    <row r="1300" spans="1:25" x14ac:dyDescent="0.25">
      <c r="A1300" t="str">
        <f>"1124984132"</f>
        <v>1124984132</v>
      </c>
      <c r="B1300" t="s">
        <v>1544</v>
      </c>
      <c r="C1300" t="s">
        <v>3596</v>
      </c>
      <c r="D1300" t="s">
        <v>7286</v>
      </c>
      <c r="E1300">
        <v>424008</v>
      </c>
      <c r="F1300" t="s">
        <v>1</v>
      </c>
      <c r="G1300" t="s">
        <v>2</v>
      </c>
      <c r="H1300" t="s">
        <v>1012</v>
      </c>
      <c r="I1300" t="s">
        <v>7287</v>
      </c>
      <c r="P1300" t="s">
        <v>7288</v>
      </c>
      <c r="Y1300" t="s">
        <v>7289</v>
      </c>
    </row>
    <row r="1301" spans="1:25" x14ac:dyDescent="0.25">
      <c r="A1301" t="str">
        <f>"1124993395"</f>
        <v>1124993395</v>
      </c>
      <c r="B1301" t="s">
        <v>96</v>
      </c>
      <c r="C1301" t="s">
        <v>7293</v>
      </c>
      <c r="D1301" t="s">
        <v>7290</v>
      </c>
      <c r="E1301">
        <v>424008</v>
      </c>
      <c r="F1301" t="s">
        <v>1</v>
      </c>
      <c r="G1301" t="s">
        <v>2</v>
      </c>
      <c r="H1301" t="s">
        <v>7291</v>
      </c>
      <c r="I1301" t="s">
        <v>7292</v>
      </c>
      <c r="P1301" t="s">
        <v>7294</v>
      </c>
      <c r="Y1301" t="s">
        <v>7295</v>
      </c>
    </row>
    <row r="1302" spans="1:25" x14ac:dyDescent="0.25">
      <c r="A1302" t="str">
        <f>"1125011990"</f>
        <v>1125011990</v>
      </c>
      <c r="B1302" t="s">
        <v>841</v>
      </c>
      <c r="C1302" t="s">
        <v>7300</v>
      </c>
      <c r="D1302" t="s">
        <v>7296</v>
      </c>
      <c r="E1302">
        <v>424000</v>
      </c>
      <c r="F1302" t="s">
        <v>1</v>
      </c>
      <c r="G1302" t="s">
        <v>2</v>
      </c>
      <c r="H1302" t="s">
        <v>7297</v>
      </c>
      <c r="J1302" t="s">
        <v>7298</v>
      </c>
      <c r="M1302" t="s">
        <v>7299</v>
      </c>
      <c r="P1302" t="s">
        <v>1760</v>
      </c>
      <c r="Q1302" t="s">
        <v>7301</v>
      </c>
      <c r="V1302" t="s">
        <v>7302</v>
      </c>
      <c r="Y1302" t="s">
        <v>7303</v>
      </c>
    </row>
    <row r="1303" spans="1:25" x14ac:dyDescent="0.25">
      <c r="A1303" t="str">
        <f>"1125142799"</f>
        <v>1125142799</v>
      </c>
      <c r="B1303" t="s">
        <v>462</v>
      </c>
      <c r="C1303" t="s">
        <v>1140</v>
      </c>
      <c r="D1303" t="s">
        <v>7304</v>
      </c>
      <c r="E1303">
        <v>424036</v>
      </c>
      <c r="F1303" t="s">
        <v>1</v>
      </c>
      <c r="G1303" t="s">
        <v>2</v>
      </c>
      <c r="H1303" t="s">
        <v>7305</v>
      </c>
      <c r="Y1303" t="s">
        <v>7306</v>
      </c>
    </row>
    <row r="1304" spans="1:25" x14ac:dyDescent="0.25">
      <c r="A1304" t="str">
        <f>"1125286482"</f>
        <v>1125286482</v>
      </c>
      <c r="B1304" t="s">
        <v>746</v>
      </c>
      <c r="C1304" t="s">
        <v>747</v>
      </c>
      <c r="D1304" t="s">
        <v>7307</v>
      </c>
      <c r="E1304">
        <v>424004</v>
      </c>
      <c r="F1304" t="s">
        <v>1</v>
      </c>
      <c r="G1304" t="s">
        <v>2</v>
      </c>
      <c r="H1304" t="s">
        <v>186</v>
      </c>
      <c r="I1304" t="s">
        <v>7308</v>
      </c>
      <c r="Y1304" t="s">
        <v>190</v>
      </c>
    </row>
    <row r="1305" spans="1:25" x14ac:dyDescent="0.25">
      <c r="A1305" t="str">
        <f>"1125443672"</f>
        <v>1125443672</v>
      </c>
      <c r="B1305" t="s">
        <v>290</v>
      </c>
      <c r="C1305" t="s">
        <v>290</v>
      </c>
      <c r="D1305" t="s">
        <v>7309</v>
      </c>
      <c r="E1305">
        <v>424000</v>
      </c>
      <c r="F1305" t="s">
        <v>1</v>
      </c>
      <c r="G1305" t="s">
        <v>2</v>
      </c>
      <c r="H1305" t="s">
        <v>937</v>
      </c>
      <c r="Y1305" t="s">
        <v>942</v>
      </c>
    </row>
    <row r="1306" spans="1:25" x14ac:dyDescent="0.25">
      <c r="A1306" t="str">
        <f>"1125664482"</f>
        <v>1125664482</v>
      </c>
      <c r="B1306" t="s">
        <v>7312</v>
      </c>
      <c r="C1306" t="s">
        <v>7313</v>
      </c>
      <c r="D1306" t="s">
        <v>7310</v>
      </c>
      <c r="E1306">
        <v>424002</v>
      </c>
      <c r="F1306" t="s">
        <v>1</v>
      </c>
      <c r="G1306" t="s">
        <v>2</v>
      </c>
      <c r="H1306" t="s">
        <v>744</v>
      </c>
      <c r="I1306" t="s">
        <v>7311</v>
      </c>
      <c r="P1306" t="s">
        <v>748</v>
      </c>
      <c r="Y1306" t="s">
        <v>749</v>
      </c>
    </row>
    <row r="1307" spans="1:25" x14ac:dyDescent="0.25">
      <c r="A1307" t="str">
        <f>"1125799199"</f>
        <v>1125799199</v>
      </c>
      <c r="B1307" t="s">
        <v>3573</v>
      </c>
      <c r="C1307" t="s">
        <v>3644</v>
      </c>
      <c r="D1307" t="s">
        <v>7314</v>
      </c>
      <c r="E1307">
        <v>424006</v>
      </c>
      <c r="F1307" t="s">
        <v>1</v>
      </c>
      <c r="G1307" t="s">
        <v>2</v>
      </c>
      <c r="H1307" t="s">
        <v>2557</v>
      </c>
      <c r="Y1307" t="s">
        <v>7315</v>
      </c>
    </row>
    <row r="1308" spans="1:25" x14ac:dyDescent="0.25">
      <c r="A1308" t="str">
        <f>"1125938741"</f>
        <v>1125938741</v>
      </c>
      <c r="B1308" t="s">
        <v>3958</v>
      </c>
      <c r="C1308" t="s">
        <v>3959</v>
      </c>
      <c r="D1308" t="s">
        <v>7316</v>
      </c>
      <c r="E1308">
        <v>424003</v>
      </c>
      <c r="F1308" t="s">
        <v>1</v>
      </c>
      <c r="G1308" t="s">
        <v>2</v>
      </c>
      <c r="H1308" t="s">
        <v>7317</v>
      </c>
      <c r="I1308" t="s">
        <v>7318</v>
      </c>
      <c r="J1308" t="s">
        <v>7319</v>
      </c>
      <c r="P1308" t="s">
        <v>330</v>
      </c>
      <c r="Y1308" t="s">
        <v>7320</v>
      </c>
    </row>
    <row r="1309" spans="1:25" x14ac:dyDescent="0.25">
      <c r="A1309" t="str">
        <f>"1126006595"</f>
        <v>1126006595</v>
      </c>
      <c r="B1309" t="s">
        <v>930</v>
      </c>
      <c r="C1309" t="s">
        <v>7323</v>
      </c>
      <c r="D1309" t="s">
        <v>7321</v>
      </c>
      <c r="E1309">
        <v>424006</v>
      </c>
      <c r="F1309" t="s">
        <v>1</v>
      </c>
      <c r="G1309" t="s">
        <v>2</v>
      </c>
      <c r="H1309" t="s">
        <v>5290</v>
      </c>
      <c r="I1309" t="s">
        <v>7322</v>
      </c>
      <c r="P1309" t="s">
        <v>584</v>
      </c>
      <c r="Y1309" t="s">
        <v>7324</v>
      </c>
    </row>
    <row r="1310" spans="1:25" x14ac:dyDescent="0.25">
      <c r="A1310" t="str">
        <f>"1126016947"</f>
        <v>1126016947</v>
      </c>
      <c r="B1310" t="s">
        <v>2846</v>
      </c>
      <c r="C1310" t="s">
        <v>7331</v>
      </c>
      <c r="D1310" t="s">
        <v>7325</v>
      </c>
      <c r="F1310" t="s">
        <v>1</v>
      </c>
      <c r="G1310" t="s">
        <v>2</v>
      </c>
      <c r="H1310" t="s">
        <v>7326</v>
      </c>
      <c r="I1310" t="s">
        <v>7327</v>
      </c>
      <c r="J1310" t="s">
        <v>7328</v>
      </c>
      <c r="L1310" t="s">
        <v>7329</v>
      </c>
      <c r="M1310" t="s">
        <v>7330</v>
      </c>
      <c r="P1310" t="s">
        <v>2050</v>
      </c>
      <c r="Q1310" t="s">
        <v>7332</v>
      </c>
      <c r="Y1310" t="s">
        <v>7333</v>
      </c>
    </row>
    <row r="1311" spans="1:25" x14ac:dyDescent="0.25">
      <c r="A1311" t="str">
        <f>"1126020422"</f>
        <v>1126020422</v>
      </c>
      <c r="B1311" t="s">
        <v>1758</v>
      </c>
      <c r="C1311" t="s">
        <v>7339</v>
      </c>
      <c r="D1311" t="s">
        <v>7334</v>
      </c>
      <c r="E1311">
        <v>424003</v>
      </c>
      <c r="F1311" t="s">
        <v>1</v>
      </c>
      <c r="G1311" t="s">
        <v>2</v>
      </c>
      <c r="H1311" t="s">
        <v>5311</v>
      </c>
      <c r="I1311" t="s">
        <v>7335</v>
      </c>
      <c r="J1311" t="s">
        <v>7336</v>
      </c>
      <c r="L1311" t="s">
        <v>7337</v>
      </c>
      <c r="M1311" t="s">
        <v>7338</v>
      </c>
      <c r="Y1311" t="s">
        <v>7340</v>
      </c>
    </row>
    <row r="1312" spans="1:25" x14ac:dyDescent="0.25">
      <c r="A1312" t="str">
        <f>"1126228553"</f>
        <v>1126228553</v>
      </c>
      <c r="B1312" t="s">
        <v>703</v>
      </c>
      <c r="C1312" t="s">
        <v>7344</v>
      </c>
      <c r="D1312" t="s">
        <v>7341</v>
      </c>
      <c r="F1312" t="s">
        <v>1</v>
      </c>
      <c r="G1312" t="s">
        <v>2</v>
      </c>
      <c r="H1312" t="s">
        <v>7342</v>
      </c>
      <c r="I1312" t="s">
        <v>7343</v>
      </c>
      <c r="P1312" t="s">
        <v>330</v>
      </c>
      <c r="Y1312" t="s">
        <v>7345</v>
      </c>
    </row>
    <row r="1313" spans="1:25" x14ac:dyDescent="0.25">
      <c r="A1313" t="str">
        <f>"1126356339"</f>
        <v>1126356339</v>
      </c>
      <c r="B1313" t="s">
        <v>388</v>
      </c>
      <c r="C1313" t="s">
        <v>5565</v>
      </c>
      <c r="D1313" t="s">
        <v>7346</v>
      </c>
      <c r="E1313">
        <v>424004</v>
      </c>
      <c r="F1313" t="s">
        <v>1</v>
      </c>
      <c r="G1313" t="s">
        <v>2</v>
      </c>
      <c r="H1313" t="s">
        <v>351</v>
      </c>
      <c r="P1313" t="s">
        <v>152</v>
      </c>
      <c r="Y1313" t="s">
        <v>354</v>
      </c>
    </row>
    <row r="1314" spans="1:25" x14ac:dyDescent="0.25">
      <c r="A1314" t="str">
        <f>"1126376089"</f>
        <v>1126376089</v>
      </c>
      <c r="B1314" t="s">
        <v>482</v>
      </c>
      <c r="C1314" t="s">
        <v>7348</v>
      </c>
      <c r="D1314" t="s">
        <v>7347</v>
      </c>
      <c r="E1314">
        <v>424006</v>
      </c>
      <c r="F1314" t="s">
        <v>1</v>
      </c>
      <c r="G1314" t="s">
        <v>2</v>
      </c>
      <c r="H1314" t="s">
        <v>2525</v>
      </c>
      <c r="P1314" t="s">
        <v>7349</v>
      </c>
      <c r="Y1314" t="s">
        <v>2527</v>
      </c>
    </row>
    <row r="1315" spans="1:25" x14ac:dyDescent="0.25">
      <c r="A1315" t="str">
        <f>"1126405526"</f>
        <v>1126405526</v>
      </c>
      <c r="B1315" t="s">
        <v>348</v>
      </c>
      <c r="C1315" t="s">
        <v>7354</v>
      </c>
      <c r="D1315" t="s">
        <v>7350</v>
      </c>
      <c r="E1315">
        <v>424000</v>
      </c>
      <c r="F1315" t="s">
        <v>1</v>
      </c>
      <c r="G1315" t="s">
        <v>2</v>
      </c>
      <c r="H1315" t="s">
        <v>3749</v>
      </c>
      <c r="I1315" t="s">
        <v>7351</v>
      </c>
      <c r="L1315" t="s">
        <v>7352</v>
      </c>
      <c r="M1315" t="s">
        <v>7353</v>
      </c>
      <c r="P1315" t="s">
        <v>941</v>
      </c>
      <c r="Q1315" t="s">
        <v>7355</v>
      </c>
      <c r="Y1315" t="s">
        <v>7356</v>
      </c>
    </row>
    <row r="1316" spans="1:25" x14ac:dyDescent="0.25">
      <c r="A1316" t="str">
        <f>"1126437325"</f>
        <v>1126437325</v>
      </c>
      <c r="B1316" t="s">
        <v>591</v>
      </c>
      <c r="C1316" t="s">
        <v>7358</v>
      </c>
      <c r="D1316" t="s">
        <v>7357</v>
      </c>
      <c r="F1316" t="s">
        <v>1</v>
      </c>
      <c r="G1316" t="s">
        <v>2</v>
      </c>
      <c r="H1316" t="s">
        <v>1600</v>
      </c>
      <c r="Y1316" t="s">
        <v>2417</v>
      </c>
    </row>
    <row r="1317" spans="1:25" x14ac:dyDescent="0.25">
      <c r="A1317" t="str">
        <f>"1126477176"</f>
        <v>1126477176</v>
      </c>
      <c r="B1317" t="s">
        <v>1343</v>
      </c>
      <c r="C1317" t="s">
        <v>5308</v>
      </c>
      <c r="D1317" t="s">
        <v>7359</v>
      </c>
      <c r="E1317">
        <v>424033</v>
      </c>
      <c r="F1317" t="s">
        <v>1</v>
      </c>
      <c r="G1317" t="s">
        <v>2</v>
      </c>
      <c r="H1317" t="s">
        <v>2597</v>
      </c>
      <c r="P1317" t="s">
        <v>2738</v>
      </c>
      <c r="Y1317" t="s">
        <v>7360</v>
      </c>
    </row>
    <row r="1318" spans="1:25" x14ac:dyDescent="0.25">
      <c r="A1318" t="str">
        <f>"1126486011"</f>
        <v>1126486011</v>
      </c>
      <c r="B1318" t="s">
        <v>319</v>
      </c>
      <c r="C1318" t="s">
        <v>320</v>
      </c>
      <c r="D1318" t="s">
        <v>7361</v>
      </c>
      <c r="E1318">
        <v>424007</v>
      </c>
      <c r="F1318" t="s">
        <v>1</v>
      </c>
      <c r="G1318" t="s">
        <v>2</v>
      </c>
      <c r="H1318" t="s">
        <v>2454</v>
      </c>
      <c r="I1318" t="s">
        <v>7362</v>
      </c>
      <c r="L1318" t="s">
        <v>7363</v>
      </c>
      <c r="P1318" t="s">
        <v>2561</v>
      </c>
      <c r="Q1318" t="s">
        <v>7364</v>
      </c>
      <c r="Y1318" t="s">
        <v>7365</v>
      </c>
    </row>
    <row r="1319" spans="1:25" x14ac:dyDescent="0.25">
      <c r="A1319" t="str">
        <f>"1126486915"</f>
        <v>1126486915</v>
      </c>
      <c r="B1319" t="s">
        <v>888</v>
      </c>
      <c r="C1319" t="s">
        <v>4712</v>
      </c>
      <c r="D1319" t="s">
        <v>7366</v>
      </c>
      <c r="E1319">
        <v>424002</v>
      </c>
      <c r="F1319" t="s">
        <v>1</v>
      </c>
      <c r="G1319" t="s">
        <v>2</v>
      </c>
      <c r="H1319" t="s">
        <v>7367</v>
      </c>
      <c r="I1319" t="s">
        <v>7368</v>
      </c>
      <c r="P1319" t="s">
        <v>7369</v>
      </c>
      <c r="Y1319" t="s">
        <v>7370</v>
      </c>
    </row>
    <row r="1320" spans="1:25" x14ac:dyDescent="0.25">
      <c r="A1320" t="str">
        <f>"1126531868"</f>
        <v>1126531868</v>
      </c>
      <c r="B1320" t="s">
        <v>591</v>
      </c>
      <c r="C1320" t="s">
        <v>7375</v>
      </c>
      <c r="D1320" t="s">
        <v>7371</v>
      </c>
      <c r="E1320">
        <v>424006</v>
      </c>
      <c r="F1320" t="s">
        <v>1</v>
      </c>
      <c r="G1320" t="s">
        <v>2</v>
      </c>
      <c r="H1320" t="s">
        <v>1645</v>
      </c>
      <c r="I1320" t="s">
        <v>7372</v>
      </c>
      <c r="K1320" t="s">
        <v>7373</v>
      </c>
      <c r="M1320" t="s">
        <v>7374</v>
      </c>
      <c r="P1320" t="s">
        <v>20</v>
      </c>
      <c r="Y1320" t="s">
        <v>4478</v>
      </c>
    </row>
    <row r="1321" spans="1:25" x14ac:dyDescent="0.25">
      <c r="A1321" t="str">
        <f>"1126536812"</f>
        <v>1126536812</v>
      </c>
      <c r="B1321" t="s">
        <v>348</v>
      </c>
      <c r="C1321" t="s">
        <v>7380</v>
      </c>
      <c r="D1321" t="s">
        <v>7376</v>
      </c>
      <c r="E1321">
        <v>424038</v>
      </c>
      <c r="F1321" t="s">
        <v>1</v>
      </c>
      <c r="G1321" t="s">
        <v>2</v>
      </c>
      <c r="H1321" t="s">
        <v>1366</v>
      </c>
      <c r="I1321" t="s">
        <v>7377</v>
      </c>
      <c r="L1321" t="s">
        <v>7378</v>
      </c>
      <c r="M1321" t="s">
        <v>7379</v>
      </c>
      <c r="P1321" t="s">
        <v>112</v>
      </c>
      <c r="Y1321" t="s">
        <v>7381</v>
      </c>
    </row>
    <row r="1322" spans="1:25" x14ac:dyDescent="0.25">
      <c r="A1322" t="str">
        <f>"1126715339"</f>
        <v>1126715339</v>
      </c>
      <c r="B1322" t="s">
        <v>25</v>
      </c>
      <c r="C1322" t="s">
        <v>1005</v>
      </c>
      <c r="D1322" t="s">
        <v>7382</v>
      </c>
      <c r="E1322">
        <v>424007</v>
      </c>
      <c r="F1322" t="s">
        <v>1</v>
      </c>
      <c r="G1322" t="s">
        <v>2</v>
      </c>
      <c r="H1322" t="s">
        <v>5178</v>
      </c>
      <c r="I1322" t="s">
        <v>7383</v>
      </c>
      <c r="P1322" t="s">
        <v>5575</v>
      </c>
      <c r="Y1322" t="s">
        <v>7384</v>
      </c>
    </row>
    <row r="1323" spans="1:25" x14ac:dyDescent="0.25">
      <c r="A1323" t="str">
        <f>"1126820378"</f>
        <v>1126820378</v>
      </c>
      <c r="B1323" t="s">
        <v>888</v>
      </c>
      <c r="C1323" t="s">
        <v>7389</v>
      </c>
      <c r="D1323" t="s">
        <v>7385</v>
      </c>
      <c r="E1323">
        <v>424020</v>
      </c>
      <c r="F1323" t="s">
        <v>1</v>
      </c>
      <c r="G1323" t="s">
        <v>2</v>
      </c>
      <c r="H1323" t="s">
        <v>3565</v>
      </c>
      <c r="I1323" t="s">
        <v>7386</v>
      </c>
      <c r="L1323" t="s">
        <v>7387</v>
      </c>
      <c r="M1323" t="s">
        <v>7388</v>
      </c>
      <c r="P1323" t="s">
        <v>7390</v>
      </c>
      <c r="Y1323" t="s">
        <v>7391</v>
      </c>
    </row>
    <row r="1324" spans="1:25" x14ac:dyDescent="0.25">
      <c r="A1324" t="str">
        <f>"1126924028"</f>
        <v>1126924028</v>
      </c>
      <c r="B1324" t="s">
        <v>654</v>
      </c>
      <c r="C1324" t="s">
        <v>2974</v>
      </c>
      <c r="D1324" t="s">
        <v>7392</v>
      </c>
      <c r="E1324">
        <v>424006</v>
      </c>
      <c r="F1324" t="s">
        <v>1</v>
      </c>
      <c r="G1324" t="s">
        <v>2</v>
      </c>
      <c r="H1324" t="s">
        <v>4821</v>
      </c>
      <c r="K1324" t="s">
        <v>7393</v>
      </c>
      <c r="P1324" t="s">
        <v>152</v>
      </c>
      <c r="Y1324" t="s">
        <v>7394</v>
      </c>
    </row>
    <row r="1325" spans="1:25" x14ac:dyDescent="0.25">
      <c r="A1325" t="str">
        <f>"1127060752"</f>
        <v>1127060752</v>
      </c>
      <c r="B1325" t="s">
        <v>379</v>
      </c>
      <c r="C1325" t="s">
        <v>7396</v>
      </c>
      <c r="D1325" t="s">
        <v>7395</v>
      </c>
      <c r="E1325">
        <v>424006</v>
      </c>
      <c r="F1325" t="s">
        <v>1</v>
      </c>
      <c r="G1325" t="s">
        <v>2</v>
      </c>
      <c r="H1325" t="s">
        <v>830</v>
      </c>
      <c r="I1325" t="s">
        <v>2921</v>
      </c>
      <c r="P1325" t="s">
        <v>1760</v>
      </c>
      <c r="Y1325" t="s">
        <v>3830</v>
      </c>
    </row>
    <row r="1326" spans="1:25" x14ac:dyDescent="0.25">
      <c r="A1326" t="str">
        <f>"1127259488"</f>
        <v>1127259488</v>
      </c>
      <c r="B1326" t="s">
        <v>841</v>
      </c>
      <c r="C1326" t="s">
        <v>7397</v>
      </c>
      <c r="D1326" t="s">
        <v>5177</v>
      </c>
      <c r="E1326">
        <v>424000</v>
      </c>
      <c r="F1326" t="s">
        <v>1</v>
      </c>
      <c r="G1326" t="s">
        <v>2</v>
      </c>
      <c r="H1326" t="s">
        <v>4255</v>
      </c>
      <c r="M1326" t="s">
        <v>5179</v>
      </c>
      <c r="P1326" t="s">
        <v>3456</v>
      </c>
      <c r="Q1326" t="s">
        <v>7398</v>
      </c>
      <c r="Y1326" t="s">
        <v>7399</v>
      </c>
    </row>
    <row r="1327" spans="1:25" x14ac:dyDescent="0.25">
      <c r="A1327" t="str">
        <f>"1127268950"</f>
        <v>1127268950</v>
      </c>
      <c r="B1327" t="s">
        <v>1475</v>
      </c>
      <c r="C1327" t="s">
        <v>1476</v>
      </c>
      <c r="D1327" t="s">
        <v>7400</v>
      </c>
      <c r="E1327">
        <v>424002</v>
      </c>
      <c r="F1327" t="s">
        <v>1</v>
      </c>
      <c r="G1327" t="s">
        <v>2</v>
      </c>
      <c r="H1327" t="s">
        <v>744</v>
      </c>
      <c r="P1327" t="s">
        <v>748</v>
      </c>
      <c r="Y1327" t="s">
        <v>7401</v>
      </c>
    </row>
    <row r="1328" spans="1:25" x14ac:dyDescent="0.25">
      <c r="A1328" t="str">
        <f>"1127325760"</f>
        <v>1127325760</v>
      </c>
      <c r="B1328" t="s">
        <v>117</v>
      </c>
      <c r="C1328" t="s">
        <v>118</v>
      </c>
      <c r="D1328" t="s">
        <v>7402</v>
      </c>
      <c r="E1328">
        <v>424037</v>
      </c>
      <c r="F1328" t="s">
        <v>1</v>
      </c>
      <c r="G1328" t="s">
        <v>2</v>
      </c>
      <c r="H1328" t="s">
        <v>7403</v>
      </c>
      <c r="Y1328" t="s">
        <v>7404</v>
      </c>
    </row>
    <row r="1329" spans="1:25" x14ac:dyDescent="0.25">
      <c r="A1329" t="str">
        <f>"1127543354"</f>
        <v>1127543354</v>
      </c>
      <c r="B1329" t="s">
        <v>482</v>
      </c>
      <c r="C1329" t="s">
        <v>1765</v>
      </c>
      <c r="D1329" t="s">
        <v>7405</v>
      </c>
      <c r="E1329">
        <v>424000</v>
      </c>
      <c r="F1329" t="s">
        <v>1</v>
      </c>
      <c r="G1329" t="s">
        <v>2</v>
      </c>
      <c r="H1329" t="s">
        <v>5754</v>
      </c>
      <c r="Y1329" t="s">
        <v>1141</v>
      </c>
    </row>
    <row r="1330" spans="1:25" x14ac:dyDescent="0.25">
      <c r="A1330" t="str">
        <f>"1127579616"</f>
        <v>1127579616</v>
      </c>
      <c r="B1330" t="s">
        <v>738</v>
      </c>
      <c r="C1330" t="s">
        <v>739</v>
      </c>
      <c r="D1330" t="s">
        <v>7406</v>
      </c>
      <c r="E1330">
        <v>424037</v>
      </c>
      <c r="F1330" t="s">
        <v>1</v>
      </c>
      <c r="G1330" t="s">
        <v>2</v>
      </c>
      <c r="H1330" t="s">
        <v>2680</v>
      </c>
      <c r="I1330" t="s">
        <v>7407</v>
      </c>
      <c r="P1330" t="s">
        <v>7408</v>
      </c>
      <c r="Y1330" t="s">
        <v>7409</v>
      </c>
    </row>
    <row r="1331" spans="1:25" x14ac:dyDescent="0.25">
      <c r="A1331" t="str">
        <f>"1127580738"</f>
        <v>1127580738</v>
      </c>
      <c r="B1331" t="s">
        <v>18</v>
      </c>
      <c r="C1331" t="s">
        <v>7413</v>
      </c>
      <c r="D1331" t="s">
        <v>3780</v>
      </c>
      <c r="E1331">
        <v>424032</v>
      </c>
      <c r="F1331" t="s">
        <v>1</v>
      </c>
      <c r="G1331" t="s">
        <v>2</v>
      </c>
      <c r="H1331" t="s">
        <v>7410</v>
      </c>
      <c r="I1331" t="s">
        <v>7411</v>
      </c>
      <c r="K1331" t="s">
        <v>7412</v>
      </c>
      <c r="P1331" t="s">
        <v>20</v>
      </c>
      <c r="Y1331" t="s">
        <v>7414</v>
      </c>
    </row>
    <row r="1332" spans="1:25" x14ac:dyDescent="0.25">
      <c r="A1332" t="str">
        <f>"1127641439"</f>
        <v>1127641439</v>
      </c>
      <c r="B1332" t="s">
        <v>2062</v>
      </c>
      <c r="C1332" t="s">
        <v>2063</v>
      </c>
      <c r="D1332" t="s">
        <v>7415</v>
      </c>
      <c r="E1332">
        <v>424006</v>
      </c>
      <c r="F1332" t="s">
        <v>1</v>
      </c>
      <c r="G1332" t="s">
        <v>2</v>
      </c>
      <c r="H1332" t="s">
        <v>2966</v>
      </c>
      <c r="I1332" t="s">
        <v>7416</v>
      </c>
      <c r="L1332" t="s">
        <v>7417</v>
      </c>
      <c r="M1332" t="s">
        <v>7418</v>
      </c>
      <c r="P1332" t="s">
        <v>260</v>
      </c>
      <c r="Y1332" t="s">
        <v>2970</v>
      </c>
    </row>
    <row r="1333" spans="1:25" x14ac:dyDescent="0.25">
      <c r="A1333" t="str">
        <f>"1127747929"</f>
        <v>1127747929</v>
      </c>
      <c r="B1333" t="s">
        <v>703</v>
      </c>
      <c r="C1333" t="s">
        <v>2129</v>
      </c>
      <c r="D1333" t="s">
        <v>7419</v>
      </c>
      <c r="E1333">
        <v>424004</v>
      </c>
      <c r="F1333" t="s">
        <v>1</v>
      </c>
      <c r="G1333" t="s">
        <v>2</v>
      </c>
      <c r="H1333" t="s">
        <v>351</v>
      </c>
      <c r="I1333" t="s">
        <v>7420</v>
      </c>
      <c r="Y1333" t="s">
        <v>354</v>
      </c>
    </row>
    <row r="1334" spans="1:25" x14ac:dyDescent="0.25">
      <c r="A1334" t="str">
        <f>"1127788861"</f>
        <v>1127788861</v>
      </c>
      <c r="B1334" t="s">
        <v>123</v>
      </c>
      <c r="C1334" t="s">
        <v>424</v>
      </c>
      <c r="D1334" t="s">
        <v>7421</v>
      </c>
      <c r="E1334">
        <v>424004</v>
      </c>
      <c r="F1334" t="s">
        <v>1</v>
      </c>
      <c r="G1334" t="s">
        <v>2</v>
      </c>
      <c r="H1334" t="s">
        <v>7422</v>
      </c>
      <c r="I1334" t="s">
        <v>7423</v>
      </c>
      <c r="L1334" t="s">
        <v>7424</v>
      </c>
      <c r="M1334" t="s">
        <v>7425</v>
      </c>
      <c r="P1334" t="s">
        <v>3039</v>
      </c>
      <c r="Y1334" t="s">
        <v>7426</v>
      </c>
    </row>
    <row r="1335" spans="1:25" x14ac:dyDescent="0.25">
      <c r="A1335" t="str">
        <f>"1127986286"</f>
        <v>1127986286</v>
      </c>
      <c r="B1335" t="s">
        <v>519</v>
      </c>
      <c r="C1335" t="s">
        <v>7430</v>
      </c>
      <c r="D1335" t="s">
        <v>7427</v>
      </c>
      <c r="E1335">
        <v>424020</v>
      </c>
      <c r="F1335" t="s">
        <v>1</v>
      </c>
      <c r="G1335" t="s">
        <v>2</v>
      </c>
      <c r="H1335" t="s">
        <v>1837</v>
      </c>
      <c r="I1335" t="s">
        <v>7428</v>
      </c>
      <c r="J1335" t="s">
        <v>7429</v>
      </c>
      <c r="P1335" t="s">
        <v>7431</v>
      </c>
      <c r="Y1335" t="s">
        <v>1842</v>
      </c>
    </row>
    <row r="1336" spans="1:25" x14ac:dyDescent="0.25">
      <c r="A1336" t="str">
        <f>"1128058207"</f>
        <v>1128058207</v>
      </c>
      <c r="B1336" t="s">
        <v>25</v>
      </c>
      <c r="C1336" t="s">
        <v>1005</v>
      </c>
      <c r="D1336" t="s">
        <v>7432</v>
      </c>
      <c r="E1336">
        <v>424004</v>
      </c>
      <c r="F1336" t="s">
        <v>1</v>
      </c>
      <c r="G1336" t="s">
        <v>2</v>
      </c>
      <c r="H1336" t="s">
        <v>229</v>
      </c>
      <c r="I1336" t="s">
        <v>7433</v>
      </c>
      <c r="K1336" t="s">
        <v>7434</v>
      </c>
      <c r="L1336" t="s">
        <v>7435</v>
      </c>
      <c r="P1336" t="s">
        <v>7436</v>
      </c>
      <c r="Y1336" t="s">
        <v>237</v>
      </c>
    </row>
    <row r="1337" spans="1:25" x14ac:dyDescent="0.25">
      <c r="A1337" t="str">
        <f>"1128063739"</f>
        <v>1128063739</v>
      </c>
      <c r="B1337" t="s">
        <v>738</v>
      </c>
      <c r="C1337" t="s">
        <v>7441</v>
      </c>
      <c r="D1337" t="s">
        <v>7437</v>
      </c>
      <c r="E1337">
        <v>424003</v>
      </c>
      <c r="F1337" t="s">
        <v>1</v>
      </c>
      <c r="G1337" t="s">
        <v>2</v>
      </c>
      <c r="H1337" t="s">
        <v>734</v>
      </c>
      <c r="I1337" t="s">
        <v>7438</v>
      </c>
      <c r="J1337" t="s">
        <v>7439</v>
      </c>
      <c r="K1337" t="s">
        <v>7438</v>
      </c>
      <c r="L1337" t="s">
        <v>7440</v>
      </c>
      <c r="P1337" t="s">
        <v>605</v>
      </c>
      <c r="Q1337" t="s">
        <v>7442</v>
      </c>
      <c r="Y1337" t="s">
        <v>7443</v>
      </c>
    </row>
    <row r="1338" spans="1:25" x14ac:dyDescent="0.25">
      <c r="A1338" t="str">
        <f>"1128221244"</f>
        <v>1128221244</v>
      </c>
      <c r="B1338" t="s">
        <v>110</v>
      </c>
      <c r="C1338" t="s">
        <v>111</v>
      </c>
      <c r="D1338" t="s">
        <v>7218</v>
      </c>
      <c r="E1338">
        <v>424003</v>
      </c>
      <c r="F1338" t="s">
        <v>1</v>
      </c>
      <c r="G1338" t="s">
        <v>2</v>
      </c>
      <c r="H1338" t="s">
        <v>3077</v>
      </c>
      <c r="I1338" t="s">
        <v>7444</v>
      </c>
      <c r="L1338" t="s">
        <v>7445</v>
      </c>
      <c r="P1338" t="s">
        <v>399</v>
      </c>
      <c r="Y1338" t="s">
        <v>7446</v>
      </c>
    </row>
    <row r="1339" spans="1:25" x14ac:dyDescent="0.25">
      <c r="A1339" t="str">
        <f>"1128268010"</f>
        <v>1128268010</v>
      </c>
      <c r="B1339" t="s">
        <v>3908</v>
      </c>
      <c r="C1339" t="s">
        <v>3918</v>
      </c>
      <c r="D1339" t="s">
        <v>7447</v>
      </c>
      <c r="E1339">
        <v>424004</v>
      </c>
      <c r="F1339" t="s">
        <v>1</v>
      </c>
      <c r="G1339" t="s">
        <v>2</v>
      </c>
      <c r="H1339" t="s">
        <v>7448</v>
      </c>
      <c r="I1339" t="s">
        <v>7449</v>
      </c>
      <c r="Y1339" t="s">
        <v>7450</v>
      </c>
    </row>
    <row r="1340" spans="1:25" x14ac:dyDescent="0.25">
      <c r="A1340" t="str">
        <f>"1128317609"</f>
        <v>1128317609</v>
      </c>
      <c r="B1340" t="s">
        <v>462</v>
      </c>
      <c r="C1340" t="s">
        <v>7456</v>
      </c>
      <c r="D1340" t="s">
        <v>7451</v>
      </c>
      <c r="E1340">
        <v>424000</v>
      </c>
      <c r="F1340" t="s">
        <v>1</v>
      </c>
      <c r="G1340" t="s">
        <v>2</v>
      </c>
      <c r="H1340" t="s">
        <v>7452</v>
      </c>
      <c r="I1340" t="s">
        <v>7453</v>
      </c>
      <c r="L1340" t="s">
        <v>7454</v>
      </c>
      <c r="M1340" t="s">
        <v>7455</v>
      </c>
      <c r="P1340" t="s">
        <v>340</v>
      </c>
      <c r="Q1340" t="s">
        <v>7457</v>
      </c>
      <c r="Y1340" t="s">
        <v>7458</v>
      </c>
    </row>
    <row r="1341" spans="1:25" x14ac:dyDescent="0.25">
      <c r="A1341" t="str">
        <f>"1128364736"</f>
        <v>1128364736</v>
      </c>
      <c r="B1341" t="s">
        <v>456</v>
      </c>
      <c r="C1341" t="s">
        <v>7464</v>
      </c>
      <c r="D1341" t="s">
        <v>7459</v>
      </c>
      <c r="E1341">
        <v>424003</v>
      </c>
      <c r="F1341" t="s">
        <v>1</v>
      </c>
      <c r="G1341" t="s">
        <v>2</v>
      </c>
      <c r="H1341" t="s">
        <v>2465</v>
      </c>
      <c r="I1341" t="s">
        <v>7460</v>
      </c>
      <c r="K1341" t="s">
        <v>7461</v>
      </c>
      <c r="L1341" t="s">
        <v>7462</v>
      </c>
      <c r="M1341" t="s">
        <v>7463</v>
      </c>
      <c r="P1341" t="s">
        <v>27</v>
      </c>
      <c r="Q1341" t="s">
        <v>7465</v>
      </c>
      <c r="S1341" t="s">
        <v>7466</v>
      </c>
      <c r="T1341" t="s">
        <v>7467</v>
      </c>
      <c r="Y1341" t="s">
        <v>7468</v>
      </c>
    </row>
    <row r="1342" spans="1:25" x14ac:dyDescent="0.25">
      <c r="A1342" t="str">
        <f>"1128472689"</f>
        <v>1128472689</v>
      </c>
      <c r="B1342" t="s">
        <v>32</v>
      </c>
      <c r="C1342" t="s">
        <v>182</v>
      </c>
      <c r="D1342" t="s">
        <v>7469</v>
      </c>
      <c r="E1342">
        <v>424031</v>
      </c>
      <c r="F1342" t="s">
        <v>1</v>
      </c>
      <c r="G1342" t="s">
        <v>2</v>
      </c>
      <c r="H1342" t="s">
        <v>7470</v>
      </c>
      <c r="I1342" t="s">
        <v>7471</v>
      </c>
      <c r="P1342" t="s">
        <v>7472</v>
      </c>
      <c r="Y1342" t="s">
        <v>7473</v>
      </c>
    </row>
    <row r="1343" spans="1:25" x14ac:dyDescent="0.25">
      <c r="A1343" t="str">
        <f>"1128526559"</f>
        <v>1128526559</v>
      </c>
      <c r="B1343" t="s">
        <v>687</v>
      </c>
      <c r="C1343" t="s">
        <v>7478</v>
      </c>
      <c r="D1343" t="s">
        <v>7474</v>
      </c>
      <c r="E1343">
        <v>424000</v>
      </c>
      <c r="F1343" t="s">
        <v>1</v>
      </c>
      <c r="G1343" t="s">
        <v>2</v>
      </c>
      <c r="H1343" t="s">
        <v>3570</v>
      </c>
      <c r="I1343" t="s">
        <v>7475</v>
      </c>
      <c r="L1343" t="s">
        <v>7476</v>
      </c>
      <c r="M1343" t="s">
        <v>7477</v>
      </c>
      <c r="P1343" t="s">
        <v>280</v>
      </c>
      <c r="Y1343" t="s">
        <v>6301</v>
      </c>
    </row>
    <row r="1344" spans="1:25" x14ac:dyDescent="0.25">
      <c r="A1344" t="str">
        <f>"1128805489"</f>
        <v>1128805489</v>
      </c>
      <c r="B1344" t="s">
        <v>96</v>
      </c>
      <c r="C1344" t="s">
        <v>893</v>
      </c>
      <c r="D1344" t="s">
        <v>7479</v>
      </c>
      <c r="E1344">
        <v>424005</v>
      </c>
      <c r="F1344" t="s">
        <v>1</v>
      </c>
      <c r="G1344" t="s">
        <v>2</v>
      </c>
      <c r="H1344" t="s">
        <v>7480</v>
      </c>
      <c r="I1344" t="s">
        <v>7481</v>
      </c>
      <c r="P1344" t="s">
        <v>941</v>
      </c>
      <c r="Y1344" t="s">
        <v>7482</v>
      </c>
    </row>
    <row r="1345" spans="1:25" x14ac:dyDescent="0.25">
      <c r="A1345" t="str">
        <f>"1128993027"</f>
        <v>1128993027</v>
      </c>
      <c r="B1345" t="s">
        <v>1078</v>
      </c>
      <c r="C1345" t="s">
        <v>7487</v>
      </c>
      <c r="D1345" t="s">
        <v>7483</v>
      </c>
      <c r="E1345">
        <v>424007</v>
      </c>
      <c r="F1345" t="s">
        <v>1</v>
      </c>
      <c r="G1345" t="s">
        <v>2</v>
      </c>
      <c r="H1345" t="s">
        <v>1654</v>
      </c>
      <c r="I1345" t="s">
        <v>7484</v>
      </c>
      <c r="L1345" t="s">
        <v>7485</v>
      </c>
      <c r="M1345" t="s">
        <v>7486</v>
      </c>
      <c r="P1345" t="s">
        <v>280</v>
      </c>
      <c r="Y1345" t="s">
        <v>1661</v>
      </c>
    </row>
    <row r="1346" spans="1:25" x14ac:dyDescent="0.25">
      <c r="A1346" t="str">
        <f>"1129193511"</f>
        <v>1129193511</v>
      </c>
      <c r="B1346" t="s">
        <v>32</v>
      </c>
      <c r="C1346" t="s">
        <v>33</v>
      </c>
      <c r="D1346" t="s">
        <v>7488</v>
      </c>
      <c r="E1346">
        <v>424033</v>
      </c>
      <c r="F1346" t="s">
        <v>1</v>
      </c>
      <c r="G1346" t="s">
        <v>2</v>
      </c>
      <c r="H1346" t="s">
        <v>6953</v>
      </c>
      <c r="I1346" t="s">
        <v>7489</v>
      </c>
      <c r="P1346" t="s">
        <v>7490</v>
      </c>
      <c r="Y1346" t="s">
        <v>7491</v>
      </c>
    </row>
    <row r="1347" spans="1:25" x14ac:dyDescent="0.25">
      <c r="A1347" t="str">
        <f>"1129339243"</f>
        <v>1129339243</v>
      </c>
      <c r="B1347" t="s">
        <v>151</v>
      </c>
      <c r="C1347" t="s">
        <v>151</v>
      </c>
      <c r="D1347" t="s">
        <v>7492</v>
      </c>
      <c r="E1347">
        <v>424019</v>
      </c>
      <c r="F1347" t="s">
        <v>1</v>
      </c>
      <c r="G1347" t="s">
        <v>2</v>
      </c>
      <c r="H1347" t="s">
        <v>1801</v>
      </c>
      <c r="I1347" t="s">
        <v>7493</v>
      </c>
      <c r="J1347" t="s">
        <v>7494</v>
      </c>
      <c r="L1347" t="s">
        <v>7495</v>
      </c>
      <c r="M1347" t="s">
        <v>7496</v>
      </c>
      <c r="P1347" t="s">
        <v>133</v>
      </c>
      <c r="Y1347" t="s">
        <v>1804</v>
      </c>
    </row>
    <row r="1348" spans="1:25" x14ac:dyDescent="0.25">
      <c r="A1348" t="str">
        <f>"1129372193"</f>
        <v>1129372193</v>
      </c>
      <c r="B1348" t="s">
        <v>888</v>
      </c>
      <c r="C1348" t="s">
        <v>6047</v>
      </c>
      <c r="D1348" t="s">
        <v>7497</v>
      </c>
      <c r="E1348">
        <v>424038</v>
      </c>
      <c r="F1348" t="s">
        <v>1</v>
      </c>
      <c r="G1348" t="s">
        <v>2</v>
      </c>
      <c r="H1348" t="s">
        <v>7498</v>
      </c>
      <c r="I1348" t="s">
        <v>7499</v>
      </c>
      <c r="Y1348" t="s">
        <v>7500</v>
      </c>
    </row>
    <row r="1349" spans="1:25" x14ac:dyDescent="0.25">
      <c r="A1349" t="str">
        <f>"1129424645"</f>
        <v>1129424645</v>
      </c>
      <c r="B1349" t="s">
        <v>1046</v>
      </c>
      <c r="C1349" t="s">
        <v>3497</v>
      </c>
      <c r="D1349" t="s">
        <v>7501</v>
      </c>
      <c r="E1349">
        <v>424002</v>
      </c>
      <c r="F1349" t="s">
        <v>1</v>
      </c>
      <c r="G1349" t="s">
        <v>2</v>
      </c>
      <c r="H1349" t="s">
        <v>7502</v>
      </c>
      <c r="I1349" t="s">
        <v>7503</v>
      </c>
      <c r="P1349" t="s">
        <v>7504</v>
      </c>
      <c r="Y1349" t="s">
        <v>7505</v>
      </c>
    </row>
    <row r="1350" spans="1:25" x14ac:dyDescent="0.25">
      <c r="A1350" t="str">
        <f>"1129430038"</f>
        <v>1129430038</v>
      </c>
      <c r="B1350" t="s">
        <v>1053</v>
      </c>
      <c r="C1350" t="s">
        <v>1927</v>
      </c>
      <c r="D1350" t="s">
        <v>7506</v>
      </c>
      <c r="E1350">
        <v>424007</v>
      </c>
      <c r="F1350" t="s">
        <v>1</v>
      </c>
      <c r="G1350" t="s">
        <v>2</v>
      </c>
      <c r="H1350" t="s">
        <v>220</v>
      </c>
      <c r="Y1350" t="s">
        <v>227</v>
      </c>
    </row>
    <row r="1351" spans="1:25" x14ac:dyDescent="0.25">
      <c r="A1351" t="str">
        <f>"1129513516"</f>
        <v>1129513516</v>
      </c>
      <c r="B1351" t="s">
        <v>96</v>
      </c>
      <c r="C1351" t="s">
        <v>695</v>
      </c>
      <c r="D1351" t="s">
        <v>7507</v>
      </c>
      <c r="F1351" t="s">
        <v>1</v>
      </c>
      <c r="G1351" t="s">
        <v>2</v>
      </c>
      <c r="H1351" t="s">
        <v>2745</v>
      </c>
      <c r="I1351" t="s">
        <v>7508</v>
      </c>
      <c r="P1351" t="s">
        <v>27</v>
      </c>
      <c r="Y1351" t="s">
        <v>7509</v>
      </c>
    </row>
    <row r="1352" spans="1:25" x14ac:dyDescent="0.25">
      <c r="A1352" t="str">
        <f>"1129663738"</f>
        <v>1129663738</v>
      </c>
      <c r="B1352" t="s">
        <v>1262</v>
      </c>
      <c r="C1352" t="s">
        <v>1263</v>
      </c>
      <c r="D1352" t="s">
        <v>7510</v>
      </c>
      <c r="E1352">
        <v>424007</v>
      </c>
      <c r="F1352" t="s">
        <v>1</v>
      </c>
      <c r="G1352" t="s">
        <v>2</v>
      </c>
      <c r="H1352" t="s">
        <v>7511</v>
      </c>
      <c r="Y1352" t="s">
        <v>7512</v>
      </c>
    </row>
    <row r="1353" spans="1:25" x14ac:dyDescent="0.25">
      <c r="A1353" t="str">
        <f>"1129778200"</f>
        <v>1129778200</v>
      </c>
      <c r="B1353" t="s">
        <v>640</v>
      </c>
      <c r="C1353" t="s">
        <v>7515</v>
      </c>
      <c r="D1353" t="s">
        <v>7513</v>
      </c>
      <c r="E1353">
        <v>424003</v>
      </c>
      <c r="F1353" t="s">
        <v>1</v>
      </c>
      <c r="G1353" t="s">
        <v>2</v>
      </c>
      <c r="H1353" t="s">
        <v>1725</v>
      </c>
      <c r="I1353" t="s">
        <v>7514</v>
      </c>
      <c r="P1353" t="s">
        <v>7516</v>
      </c>
      <c r="Y1353" t="s">
        <v>5455</v>
      </c>
    </row>
    <row r="1354" spans="1:25" x14ac:dyDescent="0.25">
      <c r="A1354" t="str">
        <f>"1129827381"</f>
        <v>1129827381</v>
      </c>
      <c r="B1354" t="s">
        <v>1152</v>
      </c>
      <c r="C1354" t="s">
        <v>7520</v>
      </c>
      <c r="D1354" t="s">
        <v>7517</v>
      </c>
      <c r="E1354">
        <v>424038</v>
      </c>
      <c r="F1354" t="s">
        <v>1</v>
      </c>
      <c r="G1354" t="s">
        <v>2</v>
      </c>
      <c r="H1354" t="s">
        <v>7518</v>
      </c>
      <c r="I1354" t="s">
        <v>7519</v>
      </c>
      <c r="P1354" t="s">
        <v>2580</v>
      </c>
      <c r="Y1354" t="s">
        <v>7521</v>
      </c>
    </row>
    <row r="1355" spans="1:25" x14ac:dyDescent="0.25">
      <c r="A1355" t="str">
        <f>"1129878834"</f>
        <v>1129878834</v>
      </c>
      <c r="B1355" t="s">
        <v>3094</v>
      </c>
      <c r="C1355" t="s">
        <v>7527</v>
      </c>
      <c r="D1355" t="s">
        <v>7522</v>
      </c>
      <c r="E1355">
        <v>424005</v>
      </c>
      <c r="F1355" t="s">
        <v>1</v>
      </c>
      <c r="G1355" t="s">
        <v>2</v>
      </c>
      <c r="H1355" t="s">
        <v>7523</v>
      </c>
      <c r="I1355" t="s">
        <v>7524</v>
      </c>
      <c r="L1355" t="s">
        <v>7525</v>
      </c>
      <c r="M1355" t="s">
        <v>7526</v>
      </c>
      <c r="P1355" t="s">
        <v>280</v>
      </c>
      <c r="Y1355" t="s">
        <v>7528</v>
      </c>
    </row>
    <row r="1356" spans="1:25" x14ac:dyDescent="0.25">
      <c r="A1356" t="str">
        <f>"1129923725"</f>
        <v>1129923725</v>
      </c>
      <c r="B1356" t="s">
        <v>591</v>
      </c>
      <c r="C1356" t="s">
        <v>7217</v>
      </c>
      <c r="D1356" t="s">
        <v>7529</v>
      </c>
      <c r="E1356">
        <v>424000</v>
      </c>
      <c r="F1356" t="s">
        <v>1</v>
      </c>
      <c r="G1356" t="s">
        <v>2</v>
      </c>
      <c r="H1356" t="s">
        <v>837</v>
      </c>
      <c r="I1356" t="s">
        <v>7530</v>
      </c>
      <c r="J1356" t="s">
        <v>7531</v>
      </c>
      <c r="M1356" t="s">
        <v>7532</v>
      </c>
      <c r="P1356" t="s">
        <v>5084</v>
      </c>
      <c r="Y1356" t="s">
        <v>7533</v>
      </c>
    </row>
    <row r="1357" spans="1:25" x14ac:dyDescent="0.25">
      <c r="A1357" t="str">
        <f>"1129937525"</f>
        <v>1129937525</v>
      </c>
      <c r="B1357" t="s">
        <v>151</v>
      </c>
      <c r="C1357" t="s">
        <v>1034</v>
      </c>
      <c r="D1357" t="s">
        <v>7534</v>
      </c>
      <c r="E1357">
        <v>424006</v>
      </c>
      <c r="F1357" t="s">
        <v>1</v>
      </c>
      <c r="G1357" t="s">
        <v>2</v>
      </c>
      <c r="H1357" t="s">
        <v>1124</v>
      </c>
      <c r="I1357" t="s">
        <v>7535</v>
      </c>
      <c r="L1357" t="s">
        <v>7536</v>
      </c>
      <c r="M1357" t="s">
        <v>7537</v>
      </c>
      <c r="P1357" t="s">
        <v>1731</v>
      </c>
      <c r="Y1357" t="s">
        <v>7538</v>
      </c>
    </row>
    <row r="1358" spans="1:25" x14ac:dyDescent="0.25">
      <c r="A1358" t="str">
        <f>"1129989044"</f>
        <v>1129989044</v>
      </c>
      <c r="B1358" t="s">
        <v>388</v>
      </c>
      <c r="C1358" t="s">
        <v>389</v>
      </c>
      <c r="D1358" t="s">
        <v>7539</v>
      </c>
      <c r="E1358">
        <v>424000</v>
      </c>
      <c r="F1358" t="s">
        <v>1</v>
      </c>
      <c r="G1358" t="s">
        <v>2</v>
      </c>
      <c r="H1358" t="s">
        <v>4255</v>
      </c>
      <c r="I1358" t="s">
        <v>7540</v>
      </c>
      <c r="L1358" t="s">
        <v>7541</v>
      </c>
      <c r="M1358" t="s">
        <v>7542</v>
      </c>
      <c r="P1358" t="s">
        <v>7543</v>
      </c>
      <c r="Q1358" t="s">
        <v>7544</v>
      </c>
      <c r="T1358" t="s">
        <v>7545</v>
      </c>
      <c r="Y1358" t="s">
        <v>4256</v>
      </c>
    </row>
    <row r="1359" spans="1:25" x14ac:dyDescent="0.25">
      <c r="A1359" t="str">
        <f>"1130024974"</f>
        <v>1130024974</v>
      </c>
      <c r="B1359" t="s">
        <v>738</v>
      </c>
      <c r="C1359" t="s">
        <v>1463</v>
      </c>
      <c r="D1359" t="s">
        <v>7546</v>
      </c>
      <c r="F1359" t="s">
        <v>1</v>
      </c>
      <c r="G1359" t="s">
        <v>2</v>
      </c>
      <c r="H1359" t="s">
        <v>7547</v>
      </c>
      <c r="I1359" t="s">
        <v>7548</v>
      </c>
      <c r="J1359" t="s">
        <v>7549</v>
      </c>
      <c r="M1359" t="s">
        <v>7550</v>
      </c>
      <c r="P1359" t="s">
        <v>1441</v>
      </c>
      <c r="Y1359" t="s">
        <v>7551</v>
      </c>
    </row>
    <row r="1360" spans="1:25" x14ac:dyDescent="0.25">
      <c r="A1360" t="str">
        <f>"1130040637"</f>
        <v>1130040637</v>
      </c>
      <c r="B1360" t="s">
        <v>1758</v>
      </c>
      <c r="C1360" t="s">
        <v>7555</v>
      </c>
      <c r="D1360" t="s">
        <v>7552</v>
      </c>
      <c r="E1360">
        <v>424019</v>
      </c>
      <c r="F1360" t="s">
        <v>1</v>
      </c>
      <c r="G1360" t="s">
        <v>2</v>
      </c>
      <c r="H1360" t="s">
        <v>7553</v>
      </c>
      <c r="J1360" t="s">
        <v>7554</v>
      </c>
      <c r="P1360" t="s">
        <v>7556</v>
      </c>
      <c r="Y1360" t="s">
        <v>7557</v>
      </c>
    </row>
    <row r="1361" spans="1:25" x14ac:dyDescent="0.25">
      <c r="A1361" t="str">
        <f>"1130160721"</f>
        <v>1130160721</v>
      </c>
      <c r="B1361" t="s">
        <v>1152</v>
      </c>
      <c r="C1361" t="s">
        <v>1385</v>
      </c>
      <c r="D1361" t="s">
        <v>1382</v>
      </c>
      <c r="E1361">
        <v>424028</v>
      </c>
      <c r="F1361" t="s">
        <v>1</v>
      </c>
      <c r="G1361" t="s">
        <v>2</v>
      </c>
      <c r="H1361" t="s">
        <v>7558</v>
      </c>
      <c r="I1361" t="s">
        <v>7559</v>
      </c>
      <c r="J1361" t="s">
        <v>7560</v>
      </c>
      <c r="M1361" t="s">
        <v>7561</v>
      </c>
      <c r="P1361" t="s">
        <v>1721</v>
      </c>
      <c r="Y1361" t="s">
        <v>7562</v>
      </c>
    </row>
    <row r="1362" spans="1:25" x14ac:dyDescent="0.25">
      <c r="A1362" t="str">
        <f>"1130166219"</f>
        <v>1130166219</v>
      </c>
      <c r="B1362" t="s">
        <v>1078</v>
      </c>
      <c r="C1362" t="s">
        <v>2306</v>
      </c>
      <c r="D1362" t="s">
        <v>1621</v>
      </c>
      <c r="E1362">
        <v>424003</v>
      </c>
      <c r="F1362" t="s">
        <v>1</v>
      </c>
      <c r="G1362" t="s">
        <v>2</v>
      </c>
      <c r="H1362" t="s">
        <v>4546</v>
      </c>
      <c r="I1362" t="s">
        <v>7563</v>
      </c>
      <c r="L1362" t="s">
        <v>1624</v>
      </c>
      <c r="M1362" t="s">
        <v>7564</v>
      </c>
      <c r="P1362" t="s">
        <v>1619</v>
      </c>
      <c r="Y1362" t="s">
        <v>7565</v>
      </c>
    </row>
    <row r="1363" spans="1:25" x14ac:dyDescent="0.25">
      <c r="A1363" t="str">
        <f>"1130221148"</f>
        <v>1130221148</v>
      </c>
      <c r="B1363" t="s">
        <v>978</v>
      </c>
      <c r="C1363" t="s">
        <v>7568</v>
      </c>
      <c r="D1363" t="s">
        <v>7296</v>
      </c>
      <c r="F1363" t="s">
        <v>1</v>
      </c>
      <c r="G1363" t="s">
        <v>2</v>
      </c>
      <c r="H1363" t="s">
        <v>2018</v>
      </c>
      <c r="I1363" t="s">
        <v>7566</v>
      </c>
      <c r="M1363" t="s">
        <v>7567</v>
      </c>
      <c r="P1363" t="s">
        <v>27</v>
      </c>
      <c r="Y1363" t="s">
        <v>2021</v>
      </c>
    </row>
    <row r="1364" spans="1:25" x14ac:dyDescent="0.25">
      <c r="A1364" t="str">
        <f>"1130354688"</f>
        <v>1130354688</v>
      </c>
      <c r="B1364" t="s">
        <v>32</v>
      </c>
      <c r="C1364" t="s">
        <v>4125</v>
      </c>
      <c r="D1364" t="s">
        <v>7569</v>
      </c>
      <c r="E1364">
        <v>424000</v>
      </c>
      <c r="F1364" t="s">
        <v>1</v>
      </c>
      <c r="G1364" t="s">
        <v>2</v>
      </c>
      <c r="H1364" t="s">
        <v>6578</v>
      </c>
      <c r="P1364" t="s">
        <v>7570</v>
      </c>
      <c r="Y1364" t="s">
        <v>7571</v>
      </c>
    </row>
    <row r="1365" spans="1:25" x14ac:dyDescent="0.25">
      <c r="A1365" t="str">
        <f>"1130388361"</f>
        <v>1130388361</v>
      </c>
      <c r="B1365" t="s">
        <v>790</v>
      </c>
      <c r="C1365" t="s">
        <v>7575</v>
      </c>
      <c r="D1365" t="s">
        <v>7572</v>
      </c>
      <c r="E1365">
        <v>424006</v>
      </c>
      <c r="F1365" t="s">
        <v>1</v>
      </c>
      <c r="G1365" t="s">
        <v>2</v>
      </c>
      <c r="H1365" t="s">
        <v>393</v>
      </c>
      <c r="I1365" t="s">
        <v>7573</v>
      </c>
      <c r="L1365" t="s">
        <v>7574</v>
      </c>
      <c r="P1365" t="s">
        <v>3556</v>
      </c>
      <c r="Q1365" t="s">
        <v>7576</v>
      </c>
      <c r="V1365" t="s">
        <v>7577</v>
      </c>
      <c r="Y1365" t="s">
        <v>7578</v>
      </c>
    </row>
    <row r="1366" spans="1:25" x14ac:dyDescent="0.25">
      <c r="A1366" t="str">
        <f>"1130488244"</f>
        <v>1130488244</v>
      </c>
      <c r="B1366" t="s">
        <v>1315</v>
      </c>
      <c r="C1366" t="s">
        <v>4688</v>
      </c>
      <c r="D1366" t="s">
        <v>7579</v>
      </c>
      <c r="E1366">
        <v>424000</v>
      </c>
      <c r="F1366" t="s">
        <v>1</v>
      </c>
      <c r="G1366" t="s">
        <v>2</v>
      </c>
      <c r="H1366" t="s">
        <v>3597</v>
      </c>
      <c r="I1366" t="s">
        <v>7580</v>
      </c>
      <c r="Y1366" t="s">
        <v>7581</v>
      </c>
    </row>
    <row r="1367" spans="1:25" x14ac:dyDescent="0.25">
      <c r="A1367" t="str">
        <f>"1130760365"</f>
        <v>1130760365</v>
      </c>
      <c r="B1367" t="s">
        <v>1552</v>
      </c>
      <c r="C1367" t="s">
        <v>7588</v>
      </c>
      <c r="D1367" t="s">
        <v>7582</v>
      </c>
      <c r="E1367">
        <v>424032</v>
      </c>
      <c r="F1367" t="s">
        <v>1</v>
      </c>
      <c r="G1367" t="s">
        <v>2</v>
      </c>
      <c r="H1367" t="s">
        <v>7583</v>
      </c>
      <c r="I1367" t="s">
        <v>7584</v>
      </c>
      <c r="J1367" t="s">
        <v>7585</v>
      </c>
      <c r="L1367" t="s">
        <v>7586</v>
      </c>
      <c r="M1367" t="s">
        <v>7587</v>
      </c>
      <c r="P1367" t="s">
        <v>280</v>
      </c>
      <c r="Y1367" t="s">
        <v>7589</v>
      </c>
    </row>
    <row r="1368" spans="1:25" x14ac:dyDescent="0.25">
      <c r="A1368" t="str">
        <f>"1130765887"</f>
        <v>1130765887</v>
      </c>
      <c r="B1368" t="s">
        <v>574</v>
      </c>
      <c r="C1368" t="s">
        <v>646</v>
      </c>
      <c r="D1368" t="s">
        <v>6049</v>
      </c>
      <c r="E1368">
        <v>424040</v>
      </c>
      <c r="F1368" t="s">
        <v>1</v>
      </c>
      <c r="G1368" t="s">
        <v>2</v>
      </c>
      <c r="H1368" t="s">
        <v>5602</v>
      </c>
      <c r="P1368" t="s">
        <v>60</v>
      </c>
      <c r="Y1368" t="s">
        <v>7590</v>
      </c>
    </row>
    <row r="1369" spans="1:25" x14ac:dyDescent="0.25">
      <c r="A1369" t="str">
        <f>"1130812320"</f>
        <v>1130812320</v>
      </c>
      <c r="B1369" t="s">
        <v>687</v>
      </c>
      <c r="C1369" t="s">
        <v>7594</v>
      </c>
      <c r="D1369" t="s">
        <v>7591</v>
      </c>
      <c r="E1369">
        <v>424007</v>
      </c>
      <c r="F1369" t="s">
        <v>1</v>
      </c>
      <c r="G1369" t="s">
        <v>2</v>
      </c>
      <c r="H1369" t="s">
        <v>7592</v>
      </c>
      <c r="I1369" t="s">
        <v>7593</v>
      </c>
      <c r="P1369" t="s">
        <v>280</v>
      </c>
      <c r="Y1369" t="s">
        <v>7595</v>
      </c>
    </row>
    <row r="1370" spans="1:25" x14ac:dyDescent="0.25">
      <c r="A1370" t="str">
        <f>"1130850100"</f>
        <v>1130850100</v>
      </c>
      <c r="B1370" t="s">
        <v>96</v>
      </c>
      <c r="C1370" t="s">
        <v>7601</v>
      </c>
      <c r="D1370" t="s">
        <v>7596</v>
      </c>
      <c r="E1370">
        <v>424038</v>
      </c>
      <c r="F1370" t="s">
        <v>1</v>
      </c>
      <c r="G1370" t="s">
        <v>2</v>
      </c>
      <c r="H1370" t="s">
        <v>7597</v>
      </c>
      <c r="I1370" t="s">
        <v>7598</v>
      </c>
      <c r="L1370" t="s">
        <v>7599</v>
      </c>
      <c r="M1370" t="s">
        <v>7600</v>
      </c>
      <c r="P1370" t="s">
        <v>1642</v>
      </c>
      <c r="Q1370" t="s">
        <v>7602</v>
      </c>
      <c r="T1370" t="s">
        <v>7603</v>
      </c>
      <c r="V1370" t="s">
        <v>7604</v>
      </c>
      <c r="Y1370" t="s">
        <v>7605</v>
      </c>
    </row>
    <row r="1371" spans="1:25" x14ac:dyDescent="0.25">
      <c r="A1371" t="str">
        <f>"1130906109"</f>
        <v>1130906109</v>
      </c>
      <c r="B1371" t="s">
        <v>1078</v>
      </c>
      <c r="C1371" t="s">
        <v>1079</v>
      </c>
      <c r="D1371" t="s">
        <v>1621</v>
      </c>
      <c r="E1371">
        <v>424006</v>
      </c>
      <c r="F1371" t="s">
        <v>1</v>
      </c>
      <c r="G1371" t="s">
        <v>2</v>
      </c>
      <c r="H1371" t="s">
        <v>1348</v>
      </c>
      <c r="I1371" t="s">
        <v>7606</v>
      </c>
      <c r="J1371" t="s">
        <v>7607</v>
      </c>
      <c r="L1371" t="s">
        <v>1624</v>
      </c>
      <c r="M1371" t="s">
        <v>7564</v>
      </c>
      <c r="P1371" t="s">
        <v>1619</v>
      </c>
      <c r="Q1371" t="s">
        <v>7608</v>
      </c>
      <c r="Y1371" t="s">
        <v>7609</v>
      </c>
    </row>
    <row r="1372" spans="1:25" x14ac:dyDescent="0.25">
      <c r="A1372" t="str">
        <f>"1130915992"</f>
        <v>1130915992</v>
      </c>
      <c r="B1372" t="s">
        <v>284</v>
      </c>
      <c r="C1372" t="s">
        <v>7612</v>
      </c>
      <c r="D1372" t="s">
        <v>7610</v>
      </c>
      <c r="F1372" t="s">
        <v>1</v>
      </c>
      <c r="G1372" t="s">
        <v>2</v>
      </c>
      <c r="H1372" t="s">
        <v>7611</v>
      </c>
      <c r="Y1372" t="s">
        <v>7613</v>
      </c>
    </row>
    <row r="1373" spans="1:25" x14ac:dyDescent="0.25">
      <c r="A1373" t="str">
        <f>"1130997231"</f>
        <v>1130997231</v>
      </c>
      <c r="B1373" t="s">
        <v>654</v>
      </c>
      <c r="C1373" t="s">
        <v>2195</v>
      </c>
      <c r="D1373" t="s">
        <v>7614</v>
      </c>
      <c r="E1373">
        <v>424006</v>
      </c>
      <c r="F1373" t="s">
        <v>1</v>
      </c>
      <c r="G1373" t="s">
        <v>2</v>
      </c>
      <c r="H1373" t="s">
        <v>2012</v>
      </c>
      <c r="I1373" t="s">
        <v>7615</v>
      </c>
      <c r="L1373" t="s">
        <v>7616</v>
      </c>
      <c r="M1373" t="s">
        <v>7617</v>
      </c>
      <c r="P1373" t="s">
        <v>280</v>
      </c>
      <c r="Y1373" t="s">
        <v>2016</v>
      </c>
    </row>
    <row r="1374" spans="1:25" x14ac:dyDescent="0.25">
      <c r="A1374" t="str">
        <f>"1131078472"</f>
        <v>1131078472</v>
      </c>
      <c r="B1374" t="s">
        <v>703</v>
      </c>
      <c r="C1374" t="s">
        <v>3518</v>
      </c>
      <c r="D1374" t="s">
        <v>7618</v>
      </c>
      <c r="F1374" t="s">
        <v>1</v>
      </c>
      <c r="G1374" t="s">
        <v>2</v>
      </c>
      <c r="H1374" t="s">
        <v>633</v>
      </c>
      <c r="I1374" t="s">
        <v>7619</v>
      </c>
      <c r="P1374" t="s">
        <v>152</v>
      </c>
      <c r="Y1374" t="s">
        <v>636</v>
      </c>
    </row>
    <row r="1375" spans="1:25" x14ac:dyDescent="0.25">
      <c r="A1375" t="str">
        <f>"1131101507"</f>
        <v>1131101507</v>
      </c>
      <c r="B1375" t="s">
        <v>447</v>
      </c>
      <c r="C1375" t="s">
        <v>448</v>
      </c>
      <c r="D1375" t="s">
        <v>7620</v>
      </c>
      <c r="E1375">
        <v>424031</v>
      </c>
      <c r="F1375" t="s">
        <v>1</v>
      </c>
      <c r="G1375" t="s">
        <v>2</v>
      </c>
      <c r="H1375" t="s">
        <v>1524</v>
      </c>
      <c r="I1375" t="s">
        <v>7621</v>
      </c>
      <c r="K1375" t="s">
        <v>7622</v>
      </c>
      <c r="P1375" t="s">
        <v>20</v>
      </c>
      <c r="Y1375" t="s">
        <v>5358</v>
      </c>
    </row>
    <row r="1376" spans="1:25" x14ac:dyDescent="0.25">
      <c r="A1376" t="str">
        <f>"1131220745"</f>
        <v>1131220745</v>
      </c>
      <c r="B1376" t="s">
        <v>978</v>
      </c>
      <c r="C1376" t="s">
        <v>7625</v>
      </c>
      <c r="D1376" t="s">
        <v>7623</v>
      </c>
      <c r="E1376">
        <v>424031</v>
      </c>
      <c r="F1376" t="s">
        <v>1</v>
      </c>
      <c r="G1376" t="s">
        <v>2</v>
      </c>
      <c r="H1376" t="s">
        <v>413</v>
      </c>
      <c r="I1376" t="s">
        <v>7624</v>
      </c>
      <c r="P1376" t="s">
        <v>2580</v>
      </c>
      <c r="Y1376" t="s">
        <v>7626</v>
      </c>
    </row>
    <row r="1377" spans="1:25" x14ac:dyDescent="0.25">
      <c r="A1377" t="str">
        <f>"1131344122"</f>
        <v>1131344122</v>
      </c>
      <c r="B1377" t="s">
        <v>417</v>
      </c>
      <c r="C1377" t="s">
        <v>418</v>
      </c>
      <c r="D1377" t="s">
        <v>7627</v>
      </c>
      <c r="E1377">
        <v>424000</v>
      </c>
      <c r="F1377" t="s">
        <v>1</v>
      </c>
      <c r="G1377" t="s">
        <v>2</v>
      </c>
      <c r="H1377" t="s">
        <v>7628</v>
      </c>
      <c r="I1377" t="s">
        <v>7629</v>
      </c>
      <c r="P1377" t="s">
        <v>4280</v>
      </c>
      <c r="Y1377" t="s">
        <v>7630</v>
      </c>
    </row>
    <row r="1378" spans="1:25" x14ac:dyDescent="0.25">
      <c r="A1378" t="str">
        <f>"1131357686"</f>
        <v>1131357686</v>
      </c>
      <c r="B1378" t="s">
        <v>25</v>
      </c>
      <c r="C1378" t="s">
        <v>59</v>
      </c>
      <c r="D1378" t="s">
        <v>7631</v>
      </c>
      <c r="E1378">
        <v>424000</v>
      </c>
      <c r="F1378" t="s">
        <v>1</v>
      </c>
      <c r="G1378" t="s">
        <v>2</v>
      </c>
      <c r="H1378" t="s">
        <v>2206</v>
      </c>
      <c r="I1378" t="s">
        <v>7632</v>
      </c>
      <c r="P1378" t="s">
        <v>2979</v>
      </c>
      <c r="Y1378" t="s">
        <v>2210</v>
      </c>
    </row>
    <row r="1379" spans="1:25" x14ac:dyDescent="0.25">
      <c r="A1379" t="str">
        <f>"1131488866"</f>
        <v>1131488866</v>
      </c>
      <c r="B1379" t="s">
        <v>1262</v>
      </c>
      <c r="C1379" t="s">
        <v>1263</v>
      </c>
      <c r="D1379" t="s">
        <v>7633</v>
      </c>
      <c r="E1379">
        <v>424007</v>
      </c>
      <c r="F1379" t="s">
        <v>1</v>
      </c>
      <c r="G1379" t="s">
        <v>2</v>
      </c>
      <c r="H1379" t="s">
        <v>1389</v>
      </c>
      <c r="I1379" t="s">
        <v>7634</v>
      </c>
      <c r="P1379" t="s">
        <v>280</v>
      </c>
      <c r="Y1379" t="s">
        <v>1393</v>
      </c>
    </row>
    <row r="1380" spans="1:25" x14ac:dyDescent="0.25">
      <c r="A1380" t="str">
        <f>"1131494458"</f>
        <v>1131494458</v>
      </c>
      <c r="B1380" t="s">
        <v>841</v>
      </c>
      <c r="C1380" t="s">
        <v>7637</v>
      </c>
      <c r="D1380" t="s">
        <v>7635</v>
      </c>
      <c r="E1380">
        <v>424031</v>
      </c>
      <c r="F1380" t="s">
        <v>1</v>
      </c>
      <c r="G1380" t="s">
        <v>2</v>
      </c>
      <c r="H1380" t="s">
        <v>812</v>
      </c>
      <c r="I1380" t="s">
        <v>7636</v>
      </c>
      <c r="P1380" t="s">
        <v>7638</v>
      </c>
      <c r="Y1380" t="s">
        <v>7639</v>
      </c>
    </row>
    <row r="1381" spans="1:25" x14ac:dyDescent="0.25">
      <c r="A1381" t="str">
        <f>"1131558369"</f>
        <v>1131558369</v>
      </c>
      <c r="B1381" t="s">
        <v>482</v>
      </c>
      <c r="C1381" t="s">
        <v>4430</v>
      </c>
      <c r="D1381" t="s">
        <v>7640</v>
      </c>
      <c r="E1381">
        <v>424033</v>
      </c>
      <c r="F1381" t="s">
        <v>1</v>
      </c>
      <c r="G1381" t="s">
        <v>2</v>
      </c>
      <c r="H1381" t="s">
        <v>2597</v>
      </c>
      <c r="I1381" t="s">
        <v>7641</v>
      </c>
      <c r="P1381" t="s">
        <v>280</v>
      </c>
      <c r="Y1381" t="s">
        <v>2718</v>
      </c>
    </row>
    <row r="1382" spans="1:25" x14ac:dyDescent="0.25">
      <c r="A1382" t="str">
        <f>"1131608689"</f>
        <v>1131608689</v>
      </c>
      <c r="B1382" t="s">
        <v>3094</v>
      </c>
      <c r="C1382" t="s">
        <v>3095</v>
      </c>
      <c r="D1382" t="s">
        <v>7642</v>
      </c>
      <c r="E1382">
        <v>424019</v>
      </c>
      <c r="F1382" t="s">
        <v>1</v>
      </c>
      <c r="G1382" t="s">
        <v>2</v>
      </c>
      <c r="H1382" t="s">
        <v>7643</v>
      </c>
      <c r="I1382" t="s">
        <v>7644</v>
      </c>
      <c r="L1382" t="s">
        <v>7645</v>
      </c>
      <c r="M1382" t="s">
        <v>7646</v>
      </c>
      <c r="P1382" t="s">
        <v>7647</v>
      </c>
      <c r="Q1382" t="s">
        <v>7648</v>
      </c>
      <c r="Y1382" t="s">
        <v>7649</v>
      </c>
    </row>
    <row r="1383" spans="1:25" x14ac:dyDescent="0.25">
      <c r="A1383" t="str">
        <f>"1131661731"</f>
        <v>1131661731</v>
      </c>
      <c r="B1383" t="s">
        <v>2104</v>
      </c>
      <c r="C1383" t="s">
        <v>2105</v>
      </c>
      <c r="D1383" t="s">
        <v>6058</v>
      </c>
      <c r="E1383">
        <v>424038</v>
      </c>
      <c r="F1383" t="s">
        <v>1</v>
      </c>
      <c r="G1383" t="s">
        <v>2</v>
      </c>
      <c r="H1383" t="s">
        <v>2614</v>
      </c>
      <c r="P1383" t="s">
        <v>7650</v>
      </c>
      <c r="Y1383" t="s">
        <v>7651</v>
      </c>
    </row>
    <row r="1384" spans="1:25" x14ac:dyDescent="0.25">
      <c r="A1384" t="str">
        <f>"1131812864"</f>
        <v>1131812864</v>
      </c>
      <c r="B1384" t="s">
        <v>624</v>
      </c>
      <c r="C1384" t="s">
        <v>1637</v>
      </c>
      <c r="D1384" t="s">
        <v>7652</v>
      </c>
      <c r="E1384">
        <v>424006</v>
      </c>
      <c r="F1384" t="s">
        <v>1</v>
      </c>
      <c r="G1384" t="s">
        <v>2</v>
      </c>
      <c r="H1384" t="s">
        <v>3521</v>
      </c>
      <c r="I1384" t="s">
        <v>7653</v>
      </c>
      <c r="P1384" t="s">
        <v>9</v>
      </c>
      <c r="Y1384" t="s">
        <v>3523</v>
      </c>
    </row>
    <row r="1385" spans="1:25" x14ac:dyDescent="0.25">
      <c r="A1385" t="str">
        <f>"1131831220"</f>
        <v>1131831220</v>
      </c>
      <c r="B1385" t="s">
        <v>456</v>
      </c>
      <c r="C1385" t="s">
        <v>7659</v>
      </c>
      <c r="D1385" t="s">
        <v>7654</v>
      </c>
      <c r="E1385">
        <v>424003</v>
      </c>
      <c r="F1385" t="s">
        <v>1</v>
      </c>
      <c r="G1385" t="s">
        <v>2</v>
      </c>
      <c r="H1385" t="s">
        <v>7655</v>
      </c>
      <c r="I1385" t="s">
        <v>7656</v>
      </c>
      <c r="L1385" t="s">
        <v>7657</v>
      </c>
      <c r="M1385" t="s">
        <v>7658</v>
      </c>
      <c r="P1385" t="s">
        <v>7660</v>
      </c>
      <c r="Q1385" t="s">
        <v>7661</v>
      </c>
      <c r="T1385" t="s">
        <v>7662</v>
      </c>
      <c r="V1385" t="s">
        <v>7663</v>
      </c>
      <c r="Y1385" t="s">
        <v>7664</v>
      </c>
    </row>
    <row r="1386" spans="1:25" x14ac:dyDescent="0.25">
      <c r="A1386" t="str">
        <f>"1131931339"</f>
        <v>1131931339</v>
      </c>
      <c r="B1386" t="s">
        <v>888</v>
      </c>
      <c r="C1386" t="s">
        <v>888</v>
      </c>
      <c r="D1386" t="s">
        <v>7665</v>
      </c>
      <c r="E1386">
        <v>424028</v>
      </c>
      <c r="F1386" t="s">
        <v>1</v>
      </c>
      <c r="G1386" t="s">
        <v>2</v>
      </c>
      <c r="H1386" t="s">
        <v>7666</v>
      </c>
      <c r="I1386" t="s">
        <v>7667</v>
      </c>
      <c r="Y1386" t="s">
        <v>7668</v>
      </c>
    </row>
    <row r="1387" spans="1:25" x14ac:dyDescent="0.25">
      <c r="A1387" t="str">
        <f>"1131954452"</f>
        <v>1131954452</v>
      </c>
      <c r="B1387" t="s">
        <v>1552</v>
      </c>
      <c r="C1387" t="s">
        <v>7674</v>
      </c>
      <c r="D1387" t="s">
        <v>7669</v>
      </c>
      <c r="E1387">
        <v>424002</v>
      </c>
      <c r="F1387" t="s">
        <v>1</v>
      </c>
      <c r="G1387" t="s">
        <v>2</v>
      </c>
      <c r="H1387" t="s">
        <v>781</v>
      </c>
      <c r="I1387" t="s">
        <v>7670</v>
      </c>
      <c r="K1387" t="s">
        <v>7671</v>
      </c>
      <c r="L1387" t="s">
        <v>7672</v>
      </c>
      <c r="M1387" t="s">
        <v>7673</v>
      </c>
      <c r="P1387" t="s">
        <v>2580</v>
      </c>
      <c r="Y1387" t="s">
        <v>7675</v>
      </c>
    </row>
    <row r="1388" spans="1:25" x14ac:dyDescent="0.25">
      <c r="A1388" t="str">
        <f>"1132133828"</f>
        <v>1132133828</v>
      </c>
      <c r="B1388" t="s">
        <v>456</v>
      </c>
      <c r="C1388" t="s">
        <v>7679</v>
      </c>
      <c r="D1388" t="s">
        <v>7676</v>
      </c>
      <c r="E1388">
        <v>424003</v>
      </c>
      <c r="F1388" t="s">
        <v>1</v>
      </c>
      <c r="G1388" t="s">
        <v>2</v>
      </c>
      <c r="H1388" t="s">
        <v>775</v>
      </c>
      <c r="J1388" t="s">
        <v>7677</v>
      </c>
      <c r="L1388" t="s">
        <v>7678</v>
      </c>
      <c r="P1388" t="s">
        <v>330</v>
      </c>
      <c r="Y1388" t="s">
        <v>6686</v>
      </c>
    </row>
    <row r="1389" spans="1:25" x14ac:dyDescent="0.25">
      <c r="A1389" t="str">
        <f>"1132633770"</f>
        <v>1132633770</v>
      </c>
      <c r="B1389" t="s">
        <v>1152</v>
      </c>
      <c r="C1389" t="s">
        <v>7684</v>
      </c>
      <c r="D1389" t="s">
        <v>7680</v>
      </c>
      <c r="F1389" t="s">
        <v>1</v>
      </c>
      <c r="G1389" t="s">
        <v>2</v>
      </c>
      <c r="H1389" t="s">
        <v>1508</v>
      </c>
      <c r="I1389" t="s">
        <v>7681</v>
      </c>
      <c r="L1389" t="s">
        <v>7682</v>
      </c>
      <c r="M1389" t="s">
        <v>7683</v>
      </c>
      <c r="P1389" t="s">
        <v>280</v>
      </c>
      <c r="Y1389" t="s">
        <v>7685</v>
      </c>
    </row>
    <row r="1390" spans="1:25" x14ac:dyDescent="0.25">
      <c r="A1390" t="str">
        <f>"1132688629"</f>
        <v>1132688629</v>
      </c>
      <c r="B1390" t="s">
        <v>290</v>
      </c>
      <c r="C1390" t="s">
        <v>290</v>
      </c>
      <c r="D1390" t="s">
        <v>7686</v>
      </c>
      <c r="E1390">
        <v>424006</v>
      </c>
      <c r="F1390" t="s">
        <v>1</v>
      </c>
      <c r="G1390" t="s">
        <v>2</v>
      </c>
      <c r="H1390" t="s">
        <v>7687</v>
      </c>
      <c r="I1390" t="s">
        <v>7688</v>
      </c>
      <c r="J1390" t="s">
        <v>7689</v>
      </c>
      <c r="L1390" t="s">
        <v>7690</v>
      </c>
      <c r="P1390" t="s">
        <v>7691</v>
      </c>
      <c r="Q1390" t="s">
        <v>7692</v>
      </c>
      <c r="T1390" t="s">
        <v>7693</v>
      </c>
      <c r="V1390" t="s">
        <v>7694</v>
      </c>
      <c r="Y1390" t="s">
        <v>7695</v>
      </c>
    </row>
    <row r="1391" spans="1:25" x14ac:dyDescent="0.25">
      <c r="A1391" t="str">
        <f>"1132853111"</f>
        <v>1132853111</v>
      </c>
      <c r="B1391" t="s">
        <v>930</v>
      </c>
      <c r="C1391" t="s">
        <v>1096</v>
      </c>
      <c r="D1391" t="s">
        <v>7696</v>
      </c>
      <c r="E1391">
        <v>424007</v>
      </c>
      <c r="F1391" t="s">
        <v>1</v>
      </c>
      <c r="G1391" t="s">
        <v>2</v>
      </c>
      <c r="H1391" t="s">
        <v>7697</v>
      </c>
      <c r="Y1391" t="s">
        <v>7698</v>
      </c>
    </row>
    <row r="1392" spans="1:25" x14ac:dyDescent="0.25">
      <c r="A1392" t="str">
        <f>"1132917086"</f>
        <v>1132917086</v>
      </c>
      <c r="B1392" t="s">
        <v>188</v>
      </c>
      <c r="C1392" t="s">
        <v>189</v>
      </c>
      <c r="D1392" t="s">
        <v>7699</v>
      </c>
      <c r="E1392">
        <v>424006</v>
      </c>
      <c r="F1392" t="s">
        <v>1</v>
      </c>
      <c r="G1392" t="s">
        <v>2</v>
      </c>
      <c r="H1392" t="s">
        <v>4078</v>
      </c>
      <c r="I1392" t="s">
        <v>7700</v>
      </c>
      <c r="P1392" t="s">
        <v>7701</v>
      </c>
      <c r="Y1392" t="s">
        <v>4080</v>
      </c>
    </row>
    <row r="1393" spans="1:25" x14ac:dyDescent="0.25">
      <c r="A1393" t="str">
        <f>"1132944371"</f>
        <v>1132944371</v>
      </c>
      <c r="B1393" t="s">
        <v>1573</v>
      </c>
      <c r="C1393" t="s">
        <v>7704</v>
      </c>
      <c r="D1393" t="s">
        <v>7702</v>
      </c>
      <c r="E1393">
        <v>424007</v>
      </c>
      <c r="F1393" t="s">
        <v>1</v>
      </c>
      <c r="G1393" t="s">
        <v>2</v>
      </c>
      <c r="H1393" t="s">
        <v>220</v>
      </c>
      <c r="I1393" t="s">
        <v>7703</v>
      </c>
      <c r="P1393" t="s">
        <v>280</v>
      </c>
      <c r="Y1393" t="s">
        <v>227</v>
      </c>
    </row>
    <row r="1394" spans="1:25" x14ac:dyDescent="0.25">
      <c r="A1394" t="str">
        <f>"1132967170"</f>
        <v>1132967170</v>
      </c>
      <c r="B1394" t="s">
        <v>462</v>
      </c>
      <c r="C1394" t="s">
        <v>1140</v>
      </c>
      <c r="D1394" t="s">
        <v>7705</v>
      </c>
      <c r="F1394" t="s">
        <v>1</v>
      </c>
      <c r="G1394" t="s">
        <v>2</v>
      </c>
      <c r="H1394" t="s">
        <v>5546</v>
      </c>
      <c r="I1394" t="s">
        <v>7706</v>
      </c>
      <c r="P1394" t="s">
        <v>4179</v>
      </c>
      <c r="Y1394" t="s">
        <v>7707</v>
      </c>
    </row>
    <row r="1395" spans="1:25" x14ac:dyDescent="0.25">
      <c r="A1395" t="str">
        <f>"1132990146"</f>
        <v>1132990146</v>
      </c>
      <c r="B1395" t="s">
        <v>290</v>
      </c>
      <c r="C1395" t="s">
        <v>290</v>
      </c>
      <c r="D1395" t="s">
        <v>7708</v>
      </c>
      <c r="E1395">
        <v>424000</v>
      </c>
      <c r="F1395" t="s">
        <v>1</v>
      </c>
      <c r="G1395" t="s">
        <v>2</v>
      </c>
      <c r="H1395" t="s">
        <v>7709</v>
      </c>
      <c r="J1395" t="s">
        <v>7710</v>
      </c>
      <c r="P1395" t="s">
        <v>60</v>
      </c>
      <c r="Q1395" t="s">
        <v>7711</v>
      </c>
      <c r="V1395" t="s">
        <v>7712</v>
      </c>
      <c r="Y1395" t="s">
        <v>7713</v>
      </c>
    </row>
    <row r="1396" spans="1:25" x14ac:dyDescent="0.25">
      <c r="A1396" t="str">
        <f>"1133254364"</f>
        <v>1133254364</v>
      </c>
      <c r="B1396" t="s">
        <v>790</v>
      </c>
      <c r="C1396" t="s">
        <v>2049</v>
      </c>
      <c r="D1396" t="s">
        <v>7714</v>
      </c>
      <c r="E1396">
        <v>424037</v>
      </c>
      <c r="F1396" t="s">
        <v>1</v>
      </c>
      <c r="G1396" t="s">
        <v>2</v>
      </c>
      <c r="H1396" t="s">
        <v>315</v>
      </c>
      <c r="Y1396" t="s">
        <v>7715</v>
      </c>
    </row>
    <row r="1397" spans="1:25" x14ac:dyDescent="0.25">
      <c r="A1397" t="str">
        <f>"1133337891"</f>
        <v>1133337891</v>
      </c>
      <c r="B1397" t="s">
        <v>25</v>
      </c>
      <c r="C1397" t="s">
        <v>59</v>
      </c>
      <c r="D1397" t="s">
        <v>7716</v>
      </c>
      <c r="E1397">
        <v>424004</v>
      </c>
      <c r="F1397" t="s">
        <v>1</v>
      </c>
      <c r="G1397" t="s">
        <v>2</v>
      </c>
      <c r="H1397" t="s">
        <v>186</v>
      </c>
      <c r="I1397" t="s">
        <v>7717</v>
      </c>
      <c r="J1397" t="s">
        <v>7718</v>
      </c>
      <c r="P1397" t="s">
        <v>27</v>
      </c>
      <c r="Y1397" t="s">
        <v>190</v>
      </c>
    </row>
    <row r="1398" spans="1:25" x14ac:dyDescent="0.25">
      <c r="A1398" t="str">
        <f>"1133486987"</f>
        <v>1133486987</v>
      </c>
      <c r="B1398" t="s">
        <v>417</v>
      </c>
      <c r="C1398" t="s">
        <v>418</v>
      </c>
      <c r="D1398" t="s">
        <v>7719</v>
      </c>
      <c r="F1398" t="s">
        <v>1</v>
      </c>
      <c r="G1398" t="s">
        <v>2</v>
      </c>
      <c r="H1398" t="s">
        <v>2018</v>
      </c>
      <c r="I1398" t="s">
        <v>7720</v>
      </c>
      <c r="P1398" t="s">
        <v>869</v>
      </c>
      <c r="Y1398" t="s">
        <v>7721</v>
      </c>
    </row>
    <row r="1399" spans="1:25" x14ac:dyDescent="0.25">
      <c r="A1399" t="str">
        <f>"1133527279"</f>
        <v>1133527279</v>
      </c>
      <c r="B1399" t="s">
        <v>397</v>
      </c>
      <c r="C1399" t="s">
        <v>5148</v>
      </c>
      <c r="D1399" t="s">
        <v>7722</v>
      </c>
      <c r="E1399">
        <v>424008</v>
      </c>
      <c r="F1399" t="s">
        <v>1</v>
      </c>
      <c r="G1399" t="s">
        <v>2</v>
      </c>
      <c r="H1399" t="s">
        <v>1012</v>
      </c>
      <c r="Y1399" t="s">
        <v>1016</v>
      </c>
    </row>
    <row r="1400" spans="1:25" x14ac:dyDescent="0.25">
      <c r="A1400" t="str">
        <f>"1133720639"</f>
        <v>1133720639</v>
      </c>
      <c r="B1400" t="s">
        <v>319</v>
      </c>
      <c r="C1400" t="s">
        <v>320</v>
      </c>
      <c r="D1400" t="s">
        <v>7723</v>
      </c>
      <c r="E1400">
        <v>424032</v>
      </c>
      <c r="F1400" t="s">
        <v>1</v>
      </c>
      <c r="G1400" t="s">
        <v>2</v>
      </c>
      <c r="H1400" t="s">
        <v>7724</v>
      </c>
      <c r="I1400" t="s">
        <v>7725</v>
      </c>
      <c r="P1400" t="s">
        <v>2561</v>
      </c>
      <c r="Y1400" t="s">
        <v>7726</v>
      </c>
    </row>
    <row r="1401" spans="1:25" x14ac:dyDescent="0.25">
      <c r="A1401" t="str">
        <f>"1134000296"</f>
        <v>1134000296</v>
      </c>
      <c r="B1401" t="s">
        <v>7</v>
      </c>
      <c r="C1401" t="s">
        <v>7732</v>
      </c>
      <c r="D1401" t="s">
        <v>7727</v>
      </c>
      <c r="E1401">
        <v>424016</v>
      </c>
      <c r="F1401" t="s">
        <v>1</v>
      </c>
      <c r="G1401" t="s">
        <v>2</v>
      </c>
      <c r="H1401" t="s">
        <v>7728</v>
      </c>
      <c r="I1401" t="s">
        <v>7729</v>
      </c>
      <c r="K1401" t="s">
        <v>7730</v>
      </c>
      <c r="L1401" t="s">
        <v>7731</v>
      </c>
      <c r="P1401" t="s">
        <v>280</v>
      </c>
      <c r="Q1401" t="s">
        <v>7733</v>
      </c>
      <c r="Y1401" t="s">
        <v>7734</v>
      </c>
    </row>
    <row r="1402" spans="1:25" x14ac:dyDescent="0.25">
      <c r="A1402" t="str">
        <f>"1134061571"</f>
        <v>1134061571</v>
      </c>
      <c r="B1402" t="s">
        <v>1391</v>
      </c>
      <c r="C1402" t="s">
        <v>1392</v>
      </c>
      <c r="D1402" t="s">
        <v>7735</v>
      </c>
      <c r="E1402">
        <v>424006</v>
      </c>
      <c r="F1402" t="s">
        <v>1</v>
      </c>
      <c r="G1402" t="s">
        <v>2</v>
      </c>
      <c r="H1402" t="s">
        <v>1696</v>
      </c>
      <c r="I1402" t="s">
        <v>7736</v>
      </c>
      <c r="Y1402" t="s">
        <v>1699</v>
      </c>
    </row>
    <row r="1403" spans="1:25" x14ac:dyDescent="0.25">
      <c r="A1403" t="str">
        <f>"1134064312"</f>
        <v>1134064312</v>
      </c>
      <c r="B1403" t="s">
        <v>1352</v>
      </c>
      <c r="C1403" t="s">
        <v>7742</v>
      </c>
      <c r="D1403" t="s">
        <v>7737</v>
      </c>
      <c r="E1403">
        <v>424020</v>
      </c>
      <c r="F1403" t="s">
        <v>1</v>
      </c>
      <c r="G1403" t="s">
        <v>2</v>
      </c>
      <c r="H1403" t="s">
        <v>7738</v>
      </c>
      <c r="I1403" t="s">
        <v>7739</v>
      </c>
      <c r="J1403" t="s">
        <v>7740</v>
      </c>
      <c r="L1403" t="s">
        <v>7741</v>
      </c>
      <c r="P1403" t="s">
        <v>2050</v>
      </c>
      <c r="Q1403" t="s">
        <v>7743</v>
      </c>
      <c r="Y1403" t="s">
        <v>7744</v>
      </c>
    </row>
    <row r="1404" spans="1:25" x14ac:dyDescent="0.25">
      <c r="A1404" t="str">
        <f>"1134265331"</f>
        <v>1134265331</v>
      </c>
      <c r="B1404" t="s">
        <v>25</v>
      </c>
      <c r="C1404" t="s">
        <v>4458</v>
      </c>
      <c r="D1404" t="s">
        <v>7745</v>
      </c>
      <c r="E1404">
        <v>424006</v>
      </c>
      <c r="F1404" t="s">
        <v>1</v>
      </c>
      <c r="G1404" t="s">
        <v>2</v>
      </c>
      <c r="H1404" t="s">
        <v>451</v>
      </c>
      <c r="I1404" t="s">
        <v>7746</v>
      </c>
      <c r="P1404" t="s">
        <v>381</v>
      </c>
      <c r="Y1404" t="s">
        <v>7747</v>
      </c>
    </row>
    <row r="1405" spans="1:25" x14ac:dyDescent="0.25">
      <c r="A1405" t="str">
        <f>"1134346115"</f>
        <v>1134346115</v>
      </c>
      <c r="B1405" t="s">
        <v>462</v>
      </c>
      <c r="C1405" t="s">
        <v>5618</v>
      </c>
      <c r="D1405" t="s">
        <v>7748</v>
      </c>
      <c r="E1405">
        <v>424000</v>
      </c>
      <c r="F1405" t="s">
        <v>1</v>
      </c>
      <c r="G1405" t="s">
        <v>2</v>
      </c>
      <c r="H1405" t="s">
        <v>4255</v>
      </c>
      <c r="P1405" t="s">
        <v>4848</v>
      </c>
      <c r="Y1405" t="s">
        <v>4256</v>
      </c>
    </row>
    <row r="1406" spans="1:25" x14ac:dyDescent="0.25">
      <c r="A1406" t="str">
        <f>"1134394078"</f>
        <v>1134394078</v>
      </c>
      <c r="B1406" t="s">
        <v>96</v>
      </c>
      <c r="C1406" t="s">
        <v>4268</v>
      </c>
      <c r="D1406" t="s">
        <v>7749</v>
      </c>
      <c r="E1406">
        <v>424000</v>
      </c>
      <c r="F1406" t="s">
        <v>1</v>
      </c>
      <c r="G1406" t="s">
        <v>2</v>
      </c>
      <c r="H1406" t="s">
        <v>937</v>
      </c>
      <c r="I1406" t="s">
        <v>7750</v>
      </c>
      <c r="L1406" t="s">
        <v>7751</v>
      </c>
      <c r="M1406" t="s">
        <v>7752</v>
      </c>
      <c r="P1406" t="s">
        <v>144</v>
      </c>
      <c r="Q1406" t="s">
        <v>7753</v>
      </c>
      <c r="S1406" t="s">
        <v>7754</v>
      </c>
      <c r="T1406" t="s">
        <v>7755</v>
      </c>
      <c r="U1406" t="s">
        <v>7756</v>
      </c>
      <c r="Y1406" t="s">
        <v>942</v>
      </c>
    </row>
    <row r="1407" spans="1:25" x14ac:dyDescent="0.25">
      <c r="A1407" t="str">
        <f>"1134432226"</f>
        <v>1134432226</v>
      </c>
      <c r="B1407" t="s">
        <v>284</v>
      </c>
      <c r="C1407" t="s">
        <v>7761</v>
      </c>
      <c r="D1407" t="s">
        <v>7757</v>
      </c>
      <c r="E1407">
        <v>424007</v>
      </c>
      <c r="F1407" t="s">
        <v>1</v>
      </c>
      <c r="G1407" t="s">
        <v>2</v>
      </c>
      <c r="H1407" t="s">
        <v>220</v>
      </c>
      <c r="I1407" t="s">
        <v>7758</v>
      </c>
      <c r="L1407" t="s">
        <v>7759</v>
      </c>
      <c r="M1407" t="s">
        <v>7760</v>
      </c>
      <c r="P1407" t="s">
        <v>280</v>
      </c>
      <c r="Y1407" t="s">
        <v>7762</v>
      </c>
    </row>
    <row r="1408" spans="1:25" x14ac:dyDescent="0.25">
      <c r="A1408" t="str">
        <f>"1134539745"</f>
        <v>1134539745</v>
      </c>
      <c r="B1408" t="s">
        <v>176</v>
      </c>
      <c r="C1408" t="s">
        <v>250</v>
      </c>
      <c r="D1408" t="s">
        <v>7763</v>
      </c>
      <c r="E1408">
        <v>424000</v>
      </c>
      <c r="F1408" t="s">
        <v>1</v>
      </c>
      <c r="G1408" t="s">
        <v>2</v>
      </c>
      <c r="H1408" t="s">
        <v>1473</v>
      </c>
      <c r="I1408" t="s">
        <v>7764</v>
      </c>
      <c r="K1408" t="s">
        <v>7765</v>
      </c>
      <c r="L1408" t="s">
        <v>7766</v>
      </c>
      <c r="P1408" t="s">
        <v>7767</v>
      </c>
      <c r="Q1408" t="s">
        <v>7768</v>
      </c>
      <c r="Y1408" t="s">
        <v>7769</v>
      </c>
    </row>
    <row r="1409" spans="1:25" x14ac:dyDescent="0.25">
      <c r="A1409" t="str">
        <f>"1134696470"</f>
        <v>1134696470</v>
      </c>
      <c r="B1409" t="s">
        <v>160</v>
      </c>
      <c r="C1409" t="s">
        <v>2479</v>
      </c>
      <c r="D1409" t="s">
        <v>7770</v>
      </c>
      <c r="E1409">
        <v>424038</v>
      </c>
      <c r="F1409" t="s">
        <v>1</v>
      </c>
      <c r="G1409" t="s">
        <v>2</v>
      </c>
      <c r="H1409" t="s">
        <v>6550</v>
      </c>
      <c r="I1409" t="s">
        <v>7771</v>
      </c>
      <c r="P1409" t="s">
        <v>20</v>
      </c>
      <c r="Y1409" t="s">
        <v>6552</v>
      </c>
    </row>
    <row r="1410" spans="1:25" x14ac:dyDescent="0.25">
      <c r="A1410" t="str">
        <f>"1134756511"</f>
        <v>1134756511</v>
      </c>
      <c r="B1410" t="s">
        <v>96</v>
      </c>
      <c r="C1410" t="s">
        <v>7775</v>
      </c>
      <c r="D1410" t="s">
        <v>7772</v>
      </c>
      <c r="E1410">
        <v>424033</v>
      </c>
      <c r="F1410" t="s">
        <v>1</v>
      </c>
      <c r="G1410" t="s">
        <v>2</v>
      </c>
      <c r="H1410" t="s">
        <v>4357</v>
      </c>
      <c r="I1410" t="s">
        <v>7773</v>
      </c>
      <c r="L1410" t="s">
        <v>7774</v>
      </c>
      <c r="P1410" t="s">
        <v>748</v>
      </c>
      <c r="Q1410" t="s">
        <v>7776</v>
      </c>
      <c r="Y1410" t="s">
        <v>7777</v>
      </c>
    </row>
    <row r="1411" spans="1:25" x14ac:dyDescent="0.25">
      <c r="A1411" t="str">
        <f>"1134800115"</f>
        <v>1134800115</v>
      </c>
      <c r="B1411" t="s">
        <v>96</v>
      </c>
      <c r="C1411" t="s">
        <v>893</v>
      </c>
      <c r="D1411" t="s">
        <v>7778</v>
      </c>
      <c r="E1411">
        <v>424918</v>
      </c>
      <c r="F1411" t="s">
        <v>1</v>
      </c>
      <c r="G1411" t="s">
        <v>2</v>
      </c>
      <c r="H1411" t="s">
        <v>629</v>
      </c>
      <c r="J1411" t="s">
        <v>7779</v>
      </c>
      <c r="P1411" t="s">
        <v>144</v>
      </c>
      <c r="Y1411" t="s">
        <v>1744</v>
      </c>
    </row>
    <row r="1412" spans="1:25" x14ac:dyDescent="0.25">
      <c r="A1412" t="str">
        <f>"1135548183"</f>
        <v>1135548183</v>
      </c>
      <c r="B1412" t="s">
        <v>1053</v>
      </c>
      <c r="C1412" t="s">
        <v>1927</v>
      </c>
      <c r="D1412" t="s">
        <v>7780</v>
      </c>
      <c r="E1412">
        <v>424007</v>
      </c>
      <c r="F1412" t="s">
        <v>1</v>
      </c>
      <c r="G1412" t="s">
        <v>2</v>
      </c>
      <c r="H1412" t="s">
        <v>1389</v>
      </c>
      <c r="I1412" t="s">
        <v>7781</v>
      </c>
      <c r="J1412" t="s">
        <v>7782</v>
      </c>
      <c r="L1412" t="s">
        <v>7783</v>
      </c>
      <c r="P1412" t="s">
        <v>152</v>
      </c>
      <c r="Y1412" t="s">
        <v>1393</v>
      </c>
    </row>
    <row r="1413" spans="1:25" x14ac:dyDescent="0.25">
      <c r="A1413" t="str">
        <f>"1135691034"</f>
        <v>1135691034</v>
      </c>
      <c r="B1413" t="s">
        <v>1343</v>
      </c>
      <c r="C1413" t="s">
        <v>7789</v>
      </c>
      <c r="D1413" t="s">
        <v>7784</v>
      </c>
      <c r="E1413">
        <v>424019</v>
      </c>
      <c r="F1413" t="s">
        <v>1</v>
      </c>
      <c r="G1413" t="s">
        <v>2</v>
      </c>
      <c r="H1413" t="s">
        <v>7785</v>
      </c>
      <c r="I1413" t="s">
        <v>7786</v>
      </c>
      <c r="L1413" t="s">
        <v>7787</v>
      </c>
      <c r="M1413" t="s">
        <v>7788</v>
      </c>
      <c r="P1413" t="s">
        <v>1760</v>
      </c>
      <c r="Q1413" t="s">
        <v>7790</v>
      </c>
      <c r="R1413" t="s">
        <v>7791</v>
      </c>
      <c r="T1413" t="s">
        <v>7792</v>
      </c>
      <c r="V1413" t="s">
        <v>7793</v>
      </c>
      <c r="Y1413" t="s">
        <v>7794</v>
      </c>
    </row>
    <row r="1414" spans="1:25" x14ac:dyDescent="0.25">
      <c r="A1414" t="str">
        <f>"1135992011"</f>
        <v>1135992011</v>
      </c>
      <c r="B1414" t="s">
        <v>519</v>
      </c>
      <c r="C1414" t="s">
        <v>7796</v>
      </c>
      <c r="D1414" t="s">
        <v>7795</v>
      </c>
      <c r="E1414">
        <v>424008</v>
      </c>
      <c r="F1414" t="s">
        <v>1</v>
      </c>
      <c r="G1414" t="s">
        <v>2</v>
      </c>
      <c r="H1414" t="s">
        <v>1012</v>
      </c>
      <c r="P1414" t="s">
        <v>340</v>
      </c>
      <c r="Y1414" t="s">
        <v>1016</v>
      </c>
    </row>
    <row r="1415" spans="1:25" x14ac:dyDescent="0.25">
      <c r="A1415" t="str">
        <f>"1136037457"</f>
        <v>1136037457</v>
      </c>
      <c r="B1415" t="s">
        <v>2790</v>
      </c>
      <c r="C1415" t="s">
        <v>3528</v>
      </c>
      <c r="D1415" t="s">
        <v>7797</v>
      </c>
      <c r="E1415">
        <v>424004</v>
      </c>
      <c r="F1415" t="s">
        <v>1</v>
      </c>
      <c r="G1415" t="s">
        <v>2</v>
      </c>
      <c r="H1415" t="s">
        <v>7798</v>
      </c>
      <c r="I1415" t="s">
        <v>7799</v>
      </c>
      <c r="L1415" t="s">
        <v>7800</v>
      </c>
      <c r="M1415" t="s">
        <v>7801</v>
      </c>
      <c r="P1415" t="s">
        <v>7802</v>
      </c>
      <c r="Y1415" t="s">
        <v>7803</v>
      </c>
    </row>
    <row r="1416" spans="1:25" x14ac:dyDescent="0.25">
      <c r="A1416" t="str">
        <f>"1136344859"</f>
        <v>1136344859</v>
      </c>
      <c r="B1416" t="s">
        <v>3573</v>
      </c>
      <c r="C1416" t="s">
        <v>7808</v>
      </c>
      <c r="D1416" t="s">
        <v>7804</v>
      </c>
      <c r="F1416" t="s">
        <v>1</v>
      </c>
      <c r="G1416" t="s">
        <v>2</v>
      </c>
      <c r="H1416" t="s">
        <v>1600</v>
      </c>
      <c r="I1416" t="s">
        <v>7805</v>
      </c>
      <c r="J1416" t="s">
        <v>7806</v>
      </c>
      <c r="M1416" t="s">
        <v>7807</v>
      </c>
      <c r="P1416" t="s">
        <v>410</v>
      </c>
      <c r="T1416" t="s">
        <v>7809</v>
      </c>
      <c r="Y1416" t="s">
        <v>7810</v>
      </c>
    </row>
    <row r="1417" spans="1:25" x14ac:dyDescent="0.25">
      <c r="A1417" t="str">
        <f>"1136367252"</f>
        <v>1136367252</v>
      </c>
      <c r="B1417" t="s">
        <v>379</v>
      </c>
      <c r="C1417" t="s">
        <v>380</v>
      </c>
      <c r="D1417" t="s">
        <v>7811</v>
      </c>
      <c r="E1417">
        <v>424036</v>
      </c>
      <c r="F1417" t="s">
        <v>1</v>
      </c>
      <c r="G1417" t="s">
        <v>2</v>
      </c>
      <c r="H1417" t="s">
        <v>7812</v>
      </c>
      <c r="I1417" t="s">
        <v>7813</v>
      </c>
      <c r="L1417" t="s">
        <v>7814</v>
      </c>
      <c r="M1417" t="s">
        <v>7815</v>
      </c>
      <c r="P1417" t="s">
        <v>7816</v>
      </c>
      <c r="S1417" t="s">
        <v>7817</v>
      </c>
      <c r="T1417" t="s">
        <v>7818</v>
      </c>
      <c r="U1417" t="s">
        <v>7819</v>
      </c>
      <c r="Y1417" t="s">
        <v>7820</v>
      </c>
    </row>
    <row r="1418" spans="1:25" x14ac:dyDescent="0.25">
      <c r="A1418" t="str">
        <f>"1137160032"</f>
        <v>1137160032</v>
      </c>
      <c r="B1418" t="s">
        <v>1475</v>
      </c>
      <c r="C1418" t="s">
        <v>4005</v>
      </c>
      <c r="D1418" t="s">
        <v>7821</v>
      </c>
      <c r="E1418">
        <v>424036</v>
      </c>
      <c r="F1418" t="s">
        <v>1</v>
      </c>
      <c r="G1418" t="s">
        <v>2</v>
      </c>
      <c r="H1418" t="s">
        <v>7822</v>
      </c>
      <c r="I1418" t="s">
        <v>7823</v>
      </c>
      <c r="L1418" t="s">
        <v>7824</v>
      </c>
      <c r="M1418" t="s">
        <v>7825</v>
      </c>
      <c r="P1418" t="s">
        <v>7826</v>
      </c>
      <c r="S1418" t="s">
        <v>7827</v>
      </c>
      <c r="V1418" t="s">
        <v>7828</v>
      </c>
      <c r="Y1418" t="s">
        <v>7829</v>
      </c>
    </row>
    <row r="1419" spans="1:25" x14ac:dyDescent="0.25">
      <c r="A1419" t="str">
        <f>"1137963549"</f>
        <v>1137963549</v>
      </c>
      <c r="B1419" t="s">
        <v>456</v>
      </c>
      <c r="C1419" t="s">
        <v>1522</v>
      </c>
      <c r="D1419" t="s">
        <v>7830</v>
      </c>
      <c r="E1419">
        <v>424000</v>
      </c>
      <c r="F1419" t="s">
        <v>1</v>
      </c>
      <c r="G1419" t="s">
        <v>2</v>
      </c>
      <c r="H1419" t="s">
        <v>1531</v>
      </c>
      <c r="I1419" t="s">
        <v>7831</v>
      </c>
      <c r="P1419" t="s">
        <v>280</v>
      </c>
      <c r="S1419" t="s">
        <v>7832</v>
      </c>
      <c r="Y1419" t="s">
        <v>1707</v>
      </c>
    </row>
    <row r="1420" spans="1:25" x14ac:dyDescent="0.25">
      <c r="A1420" t="str">
        <f>"1138193710"</f>
        <v>1138193710</v>
      </c>
      <c r="B1420" t="s">
        <v>1391</v>
      </c>
      <c r="C1420" t="s">
        <v>7837</v>
      </c>
      <c r="D1420" t="s">
        <v>7833</v>
      </c>
      <c r="E1420">
        <v>424031</v>
      </c>
      <c r="F1420" t="s">
        <v>1</v>
      </c>
      <c r="G1420" t="s">
        <v>2</v>
      </c>
      <c r="H1420" t="s">
        <v>4622</v>
      </c>
      <c r="J1420" t="s">
        <v>7834</v>
      </c>
      <c r="L1420" t="s">
        <v>7835</v>
      </c>
      <c r="M1420" t="s">
        <v>7836</v>
      </c>
      <c r="Y1420" t="s">
        <v>7838</v>
      </c>
    </row>
    <row r="1421" spans="1:25" x14ac:dyDescent="0.25">
      <c r="A1421" t="str">
        <f>"1138424717"</f>
        <v>1138424717</v>
      </c>
      <c r="B1421" t="s">
        <v>18</v>
      </c>
      <c r="C1421" t="s">
        <v>7842</v>
      </c>
      <c r="D1421" t="s">
        <v>7839</v>
      </c>
      <c r="E1421">
        <v>424031</v>
      </c>
      <c r="F1421" t="s">
        <v>1</v>
      </c>
      <c r="G1421" t="s">
        <v>2</v>
      </c>
      <c r="H1421" t="s">
        <v>413</v>
      </c>
      <c r="I1421" t="s">
        <v>7840</v>
      </c>
      <c r="J1421" t="s">
        <v>7841</v>
      </c>
      <c r="P1421" t="s">
        <v>6456</v>
      </c>
      <c r="Y1421" t="s">
        <v>7843</v>
      </c>
    </row>
    <row r="1422" spans="1:25" x14ac:dyDescent="0.25">
      <c r="A1422" t="str">
        <f>"1138604514"</f>
        <v>1138604514</v>
      </c>
      <c r="B1422" t="s">
        <v>7849</v>
      </c>
      <c r="C1422" t="s">
        <v>7850</v>
      </c>
      <c r="D1422" t="s">
        <v>7844</v>
      </c>
      <c r="E1422">
        <v>424032</v>
      </c>
      <c r="F1422" t="s">
        <v>1</v>
      </c>
      <c r="G1422" t="s">
        <v>2</v>
      </c>
      <c r="H1422" t="s">
        <v>7845</v>
      </c>
      <c r="I1422" t="s">
        <v>7846</v>
      </c>
      <c r="L1422" t="s">
        <v>7847</v>
      </c>
      <c r="M1422" t="s">
        <v>7848</v>
      </c>
      <c r="P1422" t="s">
        <v>7851</v>
      </c>
      <c r="Q1422" t="s">
        <v>7852</v>
      </c>
      <c r="S1422" t="s">
        <v>7853</v>
      </c>
      <c r="U1422" t="s">
        <v>7854</v>
      </c>
      <c r="V1422" t="s">
        <v>7855</v>
      </c>
      <c r="Y1422" t="s">
        <v>7856</v>
      </c>
    </row>
    <row r="1423" spans="1:25" x14ac:dyDescent="0.25">
      <c r="A1423" t="str">
        <f>"1138845832"</f>
        <v>1138845832</v>
      </c>
      <c r="B1423" t="s">
        <v>18</v>
      </c>
      <c r="C1423" t="s">
        <v>7860</v>
      </c>
      <c r="D1423" t="s">
        <v>7857</v>
      </c>
      <c r="E1423">
        <v>424000</v>
      </c>
      <c r="F1423" t="s">
        <v>1</v>
      </c>
      <c r="G1423" t="s">
        <v>2</v>
      </c>
      <c r="H1423" t="s">
        <v>2202</v>
      </c>
      <c r="I1423" t="s">
        <v>7858</v>
      </c>
      <c r="L1423" t="s">
        <v>7859</v>
      </c>
      <c r="P1423" t="s">
        <v>7861</v>
      </c>
      <c r="Y1423" t="s">
        <v>2204</v>
      </c>
    </row>
    <row r="1424" spans="1:25" x14ac:dyDescent="0.25">
      <c r="A1424" t="str">
        <f>"1139168928"</f>
        <v>1139168928</v>
      </c>
      <c r="B1424" t="s">
        <v>1758</v>
      </c>
      <c r="C1424" t="s">
        <v>7867</v>
      </c>
      <c r="D1424" t="s">
        <v>7862</v>
      </c>
      <c r="E1424">
        <v>424019</v>
      </c>
      <c r="F1424" t="s">
        <v>1</v>
      </c>
      <c r="G1424" t="s">
        <v>2</v>
      </c>
      <c r="H1424" t="s">
        <v>7863</v>
      </c>
      <c r="I1424" t="s">
        <v>7864</v>
      </c>
      <c r="L1424" t="s">
        <v>7865</v>
      </c>
      <c r="M1424" t="s">
        <v>7866</v>
      </c>
      <c r="P1424" t="s">
        <v>5459</v>
      </c>
      <c r="Y1424" t="s">
        <v>7868</v>
      </c>
    </row>
    <row r="1425" spans="1:25" x14ac:dyDescent="0.25">
      <c r="A1425" t="str">
        <f>"1140755278"</f>
        <v>1140755278</v>
      </c>
      <c r="B1425" t="s">
        <v>176</v>
      </c>
      <c r="C1425" t="s">
        <v>7874</v>
      </c>
      <c r="D1425" t="s">
        <v>7869</v>
      </c>
      <c r="E1425">
        <v>424000</v>
      </c>
      <c r="F1425" t="s">
        <v>1</v>
      </c>
      <c r="G1425" t="s">
        <v>2</v>
      </c>
      <c r="H1425" t="s">
        <v>404</v>
      </c>
      <c r="I1425" t="s">
        <v>7870</v>
      </c>
      <c r="J1425" t="s">
        <v>7871</v>
      </c>
      <c r="L1425" t="s">
        <v>7872</v>
      </c>
      <c r="M1425" t="s">
        <v>7873</v>
      </c>
      <c r="P1425" t="s">
        <v>4543</v>
      </c>
      <c r="Q1425" t="s">
        <v>7875</v>
      </c>
      <c r="V1425" t="s">
        <v>7876</v>
      </c>
      <c r="Y1425" t="s">
        <v>7877</v>
      </c>
    </row>
    <row r="1426" spans="1:25" x14ac:dyDescent="0.25">
      <c r="A1426" t="str">
        <f>"1141198934"</f>
        <v>1141198934</v>
      </c>
      <c r="B1426" t="s">
        <v>1152</v>
      </c>
      <c r="C1426" t="s">
        <v>4682</v>
      </c>
      <c r="D1426" t="s">
        <v>7878</v>
      </c>
      <c r="E1426">
        <v>424020</v>
      </c>
      <c r="F1426" t="s">
        <v>1</v>
      </c>
      <c r="G1426" t="s">
        <v>2</v>
      </c>
      <c r="H1426" t="s">
        <v>23</v>
      </c>
      <c r="Y1426" t="s">
        <v>7879</v>
      </c>
    </row>
    <row r="1427" spans="1:25" x14ac:dyDescent="0.25">
      <c r="A1427" t="str">
        <f>"1141406166"</f>
        <v>1141406166</v>
      </c>
      <c r="B1427" t="s">
        <v>430</v>
      </c>
      <c r="C1427" t="s">
        <v>7885</v>
      </c>
      <c r="D1427" t="s">
        <v>7880</v>
      </c>
      <c r="E1427">
        <v>424038</v>
      </c>
      <c r="F1427" t="s">
        <v>1</v>
      </c>
      <c r="G1427" t="s">
        <v>2</v>
      </c>
      <c r="H1427" t="s">
        <v>7881</v>
      </c>
      <c r="I1427" t="s">
        <v>7882</v>
      </c>
      <c r="L1427" t="s">
        <v>7883</v>
      </c>
      <c r="M1427" t="s">
        <v>7884</v>
      </c>
      <c r="P1427" t="s">
        <v>748</v>
      </c>
      <c r="Y1427" t="s">
        <v>7886</v>
      </c>
    </row>
    <row r="1428" spans="1:25" x14ac:dyDescent="0.25">
      <c r="A1428" t="str">
        <f>"1142032476"</f>
        <v>1142032476</v>
      </c>
      <c r="B1428" t="s">
        <v>1362</v>
      </c>
      <c r="C1428" t="s">
        <v>7890</v>
      </c>
      <c r="D1428" t="s">
        <v>7887</v>
      </c>
      <c r="E1428">
        <v>424003</v>
      </c>
      <c r="F1428" t="s">
        <v>1</v>
      </c>
      <c r="G1428" t="s">
        <v>2</v>
      </c>
      <c r="H1428" t="s">
        <v>7888</v>
      </c>
      <c r="L1428" t="s">
        <v>7889</v>
      </c>
      <c r="P1428" t="s">
        <v>7891</v>
      </c>
      <c r="Y1428" t="s">
        <v>7892</v>
      </c>
    </row>
    <row r="1429" spans="1:25" x14ac:dyDescent="0.25">
      <c r="A1429" t="str">
        <f>"1142268304"</f>
        <v>1142268304</v>
      </c>
      <c r="B1429" t="s">
        <v>18</v>
      </c>
      <c r="C1429" t="s">
        <v>6222</v>
      </c>
      <c r="D1429" t="s">
        <v>7893</v>
      </c>
      <c r="E1429">
        <v>424006</v>
      </c>
      <c r="F1429" t="s">
        <v>1</v>
      </c>
      <c r="G1429" t="s">
        <v>2</v>
      </c>
      <c r="H1429" t="s">
        <v>4821</v>
      </c>
      <c r="I1429" t="s">
        <v>7894</v>
      </c>
      <c r="L1429" t="s">
        <v>7895</v>
      </c>
      <c r="M1429" t="s">
        <v>7896</v>
      </c>
      <c r="P1429" t="s">
        <v>9</v>
      </c>
      <c r="Y1429" t="s">
        <v>7897</v>
      </c>
    </row>
    <row r="1430" spans="1:25" x14ac:dyDescent="0.25">
      <c r="A1430" t="str">
        <f>"1142702925"</f>
        <v>1142702925</v>
      </c>
      <c r="B1430" t="s">
        <v>456</v>
      </c>
      <c r="C1430" t="s">
        <v>7902</v>
      </c>
      <c r="D1430" t="s">
        <v>7898</v>
      </c>
      <c r="E1430">
        <v>424000</v>
      </c>
      <c r="F1430" t="s">
        <v>1</v>
      </c>
      <c r="G1430" t="s">
        <v>2</v>
      </c>
      <c r="H1430" t="s">
        <v>1531</v>
      </c>
      <c r="I1430" t="s">
        <v>7899</v>
      </c>
      <c r="J1430" t="s">
        <v>7900</v>
      </c>
      <c r="L1430" t="s">
        <v>7901</v>
      </c>
      <c r="P1430" t="s">
        <v>941</v>
      </c>
      <c r="Q1430" t="s">
        <v>7903</v>
      </c>
      <c r="Y1430" t="s">
        <v>7904</v>
      </c>
    </row>
    <row r="1431" spans="1:25" x14ac:dyDescent="0.25">
      <c r="A1431" t="str">
        <f>"1143149660"</f>
        <v>1143149660</v>
      </c>
      <c r="B1431" t="s">
        <v>352</v>
      </c>
      <c r="C1431" t="s">
        <v>7909</v>
      </c>
      <c r="D1431" t="s">
        <v>7905</v>
      </c>
      <c r="F1431" t="s">
        <v>1</v>
      </c>
      <c r="G1431" t="s">
        <v>2</v>
      </c>
      <c r="H1431" t="s">
        <v>4915</v>
      </c>
      <c r="J1431" t="s">
        <v>7906</v>
      </c>
      <c r="L1431" t="s">
        <v>7907</v>
      </c>
      <c r="M1431" t="s">
        <v>7908</v>
      </c>
      <c r="P1431" t="s">
        <v>869</v>
      </c>
      <c r="Y1431" t="s">
        <v>4917</v>
      </c>
    </row>
    <row r="1432" spans="1:25" x14ac:dyDescent="0.25">
      <c r="A1432" t="str">
        <f>"1143150768"</f>
        <v>1143150768</v>
      </c>
      <c r="B1432" t="s">
        <v>204</v>
      </c>
      <c r="C1432" t="s">
        <v>7914</v>
      </c>
      <c r="D1432" t="s">
        <v>7910</v>
      </c>
      <c r="E1432">
        <v>424019</v>
      </c>
      <c r="F1432" t="s">
        <v>1</v>
      </c>
      <c r="G1432" t="s">
        <v>2</v>
      </c>
      <c r="H1432" t="s">
        <v>7785</v>
      </c>
      <c r="I1432" t="s">
        <v>7911</v>
      </c>
      <c r="L1432" t="s">
        <v>7912</v>
      </c>
      <c r="M1432" t="s">
        <v>7913</v>
      </c>
      <c r="P1432" t="s">
        <v>144</v>
      </c>
      <c r="Q1432" t="s">
        <v>7915</v>
      </c>
      <c r="R1432" t="s">
        <v>7916</v>
      </c>
      <c r="S1432" t="s">
        <v>7917</v>
      </c>
      <c r="T1432" t="s">
        <v>7918</v>
      </c>
      <c r="U1432" t="s">
        <v>7919</v>
      </c>
      <c r="V1432" t="s">
        <v>7920</v>
      </c>
      <c r="Y1432" t="s">
        <v>7921</v>
      </c>
    </row>
    <row r="1433" spans="1:25" x14ac:dyDescent="0.25">
      <c r="A1433" t="str">
        <f>"1143248265"</f>
        <v>1143248265</v>
      </c>
      <c r="B1433" t="s">
        <v>930</v>
      </c>
      <c r="C1433" t="s">
        <v>7924</v>
      </c>
      <c r="D1433" t="s">
        <v>1094</v>
      </c>
      <c r="E1433">
        <v>424007</v>
      </c>
      <c r="F1433" t="s">
        <v>1</v>
      </c>
      <c r="G1433" t="s">
        <v>2</v>
      </c>
      <c r="H1433" t="s">
        <v>7922</v>
      </c>
      <c r="I1433" t="s">
        <v>7923</v>
      </c>
      <c r="P1433" t="s">
        <v>4831</v>
      </c>
      <c r="Y1433" t="s">
        <v>7925</v>
      </c>
    </row>
    <row r="1434" spans="1:25" x14ac:dyDescent="0.25">
      <c r="A1434" t="str">
        <f>"1143378543"</f>
        <v>1143378543</v>
      </c>
      <c r="B1434" t="s">
        <v>1053</v>
      </c>
      <c r="C1434" t="s">
        <v>1927</v>
      </c>
      <c r="D1434" t="s">
        <v>7926</v>
      </c>
      <c r="E1434">
        <v>424040</v>
      </c>
      <c r="F1434" t="s">
        <v>1</v>
      </c>
      <c r="G1434" t="s">
        <v>2</v>
      </c>
      <c r="H1434" t="s">
        <v>7927</v>
      </c>
      <c r="I1434" t="s">
        <v>7928</v>
      </c>
      <c r="K1434" t="s">
        <v>7929</v>
      </c>
      <c r="L1434" t="s">
        <v>7930</v>
      </c>
      <c r="M1434" t="s">
        <v>7931</v>
      </c>
      <c r="P1434" t="s">
        <v>20</v>
      </c>
      <c r="S1434" t="s">
        <v>7932</v>
      </c>
      <c r="Y1434" t="s">
        <v>7933</v>
      </c>
    </row>
    <row r="1435" spans="1:25" x14ac:dyDescent="0.25">
      <c r="A1435" t="str">
        <f>"1143541727"</f>
        <v>1143541727</v>
      </c>
      <c r="B1435" t="s">
        <v>3008</v>
      </c>
      <c r="C1435" t="s">
        <v>7936</v>
      </c>
      <c r="D1435" t="s">
        <v>7934</v>
      </c>
      <c r="E1435">
        <v>424002</v>
      </c>
      <c r="F1435" t="s">
        <v>1</v>
      </c>
      <c r="G1435" t="s">
        <v>2</v>
      </c>
      <c r="H1435" t="s">
        <v>57</v>
      </c>
      <c r="I1435" t="s">
        <v>7935</v>
      </c>
      <c r="P1435" t="s">
        <v>27</v>
      </c>
      <c r="Q1435" t="s">
        <v>7937</v>
      </c>
      <c r="S1435" t="s">
        <v>7938</v>
      </c>
      <c r="T1435" t="s">
        <v>7939</v>
      </c>
      <c r="Y1435" t="s">
        <v>61</v>
      </c>
    </row>
    <row r="1436" spans="1:25" x14ac:dyDescent="0.25">
      <c r="A1436" t="str">
        <f>"1144083427"</f>
        <v>1144083427</v>
      </c>
      <c r="B1436" t="s">
        <v>1152</v>
      </c>
      <c r="C1436" t="s">
        <v>7943</v>
      </c>
      <c r="D1436" t="s">
        <v>7940</v>
      </c>
      <c r="E1436">
        <v>424000</v>
      </c>
      <c r="F1436" t="s">
        <v>1</v>
      </c>
      <c r="G1436" t="s">
        <v>2</v>
      </c>
      <c r="H1436" t="s">
        <v>265</v>
      </c>
      <c r="J1436" t="s">
        <v>7941</v>
      </c>
      <c r="M1436" t="s">
        <v>7942</v>
      </c>
      <c r="P1436" t="s">
        <v>133</v>
      </c>
      <c r="Q1436" t="s">
        <v>7944</v>
      </c>
      <c r="Y1436" t="s">
        <v>7945</v>
      </c>
    </row>
    <row r="1437" spans="1:25" x14ac:dyDescent="0.25">
      <c r="A1437" t="str">
        <f>"1144829691"</f>
        <v>1144829691</v>
      </c>
      <c r="B1437" t="s">
        <v>4084</v>
      </c>
      <c r="C1437" t="s">
        <v>7951</v>
      </c>
      <c r="D1437" t="s">
        <v>7946</v>
      </c>
      <c r="E1437">
        <v>424004</v>
      </c>
      <c r="F1437" t="s">
        <v>1</v>
      </c>
      <c r="G1437" t="s">
        <v>2</v>
      </c>
      <c r="H1437" t="s">
        <v>7947</v>
      </c>
      <c r="I1437" t="s">
        <v>7948</v>
      </c>
      <c r="L1437" t="s">
        <v>7949</v>
      </c>
      <c r="M1437" t="s">
        <v>7950</v>
      </c>
      <c r="P1437" t="s">
        <v>7952</v>
      </c>
      <c r="Q1437" t="s">
        <v>7953</v>
      </c>
      <c r="Y1437" t="s">
        <v>7954</v>
      </c>
    </row>
    <row r="1438" spans="1:25" x14ac:dyDescent="0.25">
      <c r="A1438" t="str">
        <f>"1145908225"</f>
        <v>1145908225</v>
      </c>
      <c r="B1438" t="s">
        <v>1053</v>
      </c>
      <c r="C1438" t="s">
        <v>7959</v>
      </c>
      <c r="D1438" t="s">
        <v>7955</v>
      </c>
      <c r="E1438">
        <v>424004</v>
      </c>
      <c r="F1438" t="s">
        <v>1</v>
      </c>
      <c r="G1438" t="s">
        <v>2</v>
      </c>
      <c r="H1438" t="s">
        <v>3840</v>
      </c>
      <c r="I1438" t="s">
        <v>7956</v>
      </c>
      <c r="L1438" t="s">
        <v>7957</v>
      </c>
      <c r="M1438" t="s">
        <v>7958</v>
      </c>
      <c r="P1438" t="s">
        <v>2839</v>
      </c>
      <c r="Y1438" t="s">
        <v>3841</v>
      </c>
    </row>
    <row r="1439" spans="1:25" x14ac:dyDescent="0.25">
      <c r="A1439" t="str">
        <f>"1145944084"</f>
        <v>1145944084</v>
      </c>
      <c r="B1439" t="s">
        <v>25</v>
      </c>
      <c r="C1439" t="s">
        <v>5632</v>
      </c>
      <c r="D1439" t="s">
        <v>7960</v>
      </c>
      <c r="E1439">
        <v>424000</v>
      </c>
      <c r="F1439" t="s">
        <v>1</v>
      </c>
      <c r="G1439" t="s">
        <v>2</v>
      </c>
      <c r="H1439" t="s">
        <v>2202</v>
      </c>
      <c r="I1439" t="s">
        <v>7961</v>
      </c>
      <c r="J1439" t="s">
        <v>7962</v>
      </c>
      <c r="P1439" t="s">
        <v>2050</v>
      </c>
      <c r="Y1439" t="s">
        <v>2204</v>
      </c>
    </row>
    <row r="1440" spans="1:25" x14ac:dyDescent="0.25">
      <c r="A1440" t="str">
        <f>"1146618600"</f>
        <v>1146618600</v>
      </c>
      <c r="B1440" t="s">
        <v>18</v>
      </c>
      <c r="C1440" t="s">
        <v>7968</v>
      </c>
      <c r="D1440" t="s">
        <v>7963</v>
      </c>
      <c r="E1440">
        <v>424026</v>
      </c>
      <c r="F1440" t="s">
        <v>1</v>
      </c>
      <c r="G1440" t="s">
        <v>2</v>
      </c>
      <c r="H1440" t="s">
        <v>7964</v>
      </c>
      <c r="I1440" t="s">
        <v>7965</v>
      </c>
      <c r="L1440" t="s">
        <v>7966</v>
      </c>
      <c r="M1440" t="s">
        <v>7967</v>
      </c>
      <c r="P1440" t="s">
        <v>2923</v>
      </c>
      <c r="Q1440" t="s">
        <v>7969</v>
      </c>
      <c r="V1440" t="s">
        <v>7970</v>
      </c>
      <c r="Y1440" t="s">
        <v>7971</v>
      </c>
    </row>
    <row r="1441" spans="1:25" x14ac:dyDescent="0.25">
      <c r="A1441" t="str">
        <f>"1147222518"</f>
        <v>1147222518</v>
      </c>
      <c r="B1441" t="s">
        <v>1544</v>
      </c>
      <c r="C1441" t="s">
        <v>7974</v>
      </c>
      <c r="D1441" t="s">
        <v>7972</v>
      </c>
      <c r="E1441">
        <v>424002</v>
      </c>
      <c r="F1441" t="s">
        <v>1</v>
      </c>
      <c r="G1441" t="s">
        <v>2</v>
      </c>
      <c r="H1441" t="s">
        <v>744</v>
      </c>
      <c r="L1441" t="s">
        <v>7973</v>
      </c>
      <c r="P1441" t="s">
        <v>748</v>
      </c>
      <c r="Y1441" t="s">
        <v>749</v>
      </c>
    </row>
    <row r="1442" spans="1:25" x14ac:dyDescent="0.25">
      <c r="A1442" t="str">
        <f>"1147811803"</f>
        <v>1147811803</v>
      </c>
      <c r="B1442" t="s">
        <v>456</v>
      </c>
      <c r="C1442" t="s">
        <v>7979</v>
      </c>
      <c r="D1442" t="s">
        <v>7975</v>
      </c>
      <c r="F1442" t="s">
        <v>1</v>
      </c>
      <c r="G1442" t="s">
        <v>2</v>
      </c>
      <c r="H1442" t="s">
        <v>3018</v>
      </c>
      <c r="I1442" t="s">
        <v>7976</v>
      </c>
      <c r="L1442" t="s">
        <v>7977</v>
      </c>
      <c r="M1442" t="s">
        <v>7978</v>
      </c>
      <c r="P1442" t="s">
        <v>7980</v>
      </c>
      <c r="Q1442" t="s">
        <v>7981</v>
      </c>
      <c r="T1442" t="s">
        <v>7982</v>
      </c>
      <c r="Y1442" t="s">
        <v>3019</v>
      </c>
    </row>
    <row r="1443" spans="1:25" x14ac:dyDescent="0.25">
      <c r="A1443" t="str">
        <f>"1147825262"</f>
        <v>1147825262</v>
      </c>
      <c r="B1443" t="s">
        <v>25</v>
      </c>
      <c r="C1443" t="s">
        <v>7986</v>
      </c>
      <c r="D1443" t="s">
        <v>7983</v>
      </c>
      <c r="E1443">
        <v>424006</v>
      </c>
      <c r="F1443" t="s">
        <v>1</v>
      </c>
      <c r="G1443" t="s">
        <v>2</v>
      </c>
      <c r="H1443" t="s">
        <v>7984</v>
      </c>
      <c r="L1443" t="s">
        <v>7985</v>
      </c>
      <c r="Y1443" t="s">
        <v>7987</v>
      </c>
    </row>
    <row r="1444" spans="1:25" x14ac:dyDescent="0.25">
      <c r="A1444" t="str">
        <f>"1148173360"</f>
        <v>1148173360</v>
      </c>
      <c r="B1444" t="s">
        <v>176</v>
      </c>
      <c r="C1444" t="s">
        <v>566</v>
      </c>
      <c r="D1444" t="s">
        <v>7988</v>
      </c>
      <c r="E1444">
        <v>424040</v>
      </c>
      <c r="F1444" t="s">
        <v>1</v>
      </c>
      <c r="G1444" t="s">
        <v>2</v>
      </c>
      <c r="H1444" t="s">
        <v>7989</v>
      </c>
      <c r="I1444" t="s">
        <v>7990</v>
      </c>
      <c r="P1444" t="s">
        <v>330</v>
      </c>
      <c r="Y1444" t="s">
        <v>7991</v>
      </c>
    </row>
    <row r="1445" spans="1:25" x14ac:dyDescent="0.25">
      <c r="A1445" t="str">
        <f>"1148750968"</f>
        <v>1148750968</v>
      </c>
      <c r="B1445" t="s">
        <v>2601</v>
      </c>
      <c r="C1445" t="s">
        <v>7996</v>
      </c>
      <c r="D1445" t="s">
        <v>7992</v>
      </c>
      <c r="E1445">
        <v>424000</v>
      </c>
      <c r="F1445" t="s">
        <v>1</v>
      </c>
      <c r="G1445" t="s">
        <v>2</v>
      </c>
      <c r="H1445" t="s">
        <v>1975</v>
      </c>
      <c r="I1445" t="s">
        <v>7993</v>
      </c>
      <c r="L1445" t="s">
        <v>7994</v>
      </c>
      <c r="M1445" t="s">
        <v>7995</v>
      </c>
      <c r="P1445" t="s">
        <v>1027</v>
      </c>
      <c r="Q1445" t="s">
        <v>7997</v>
      </c>
      <c r="R1445" t="s">
        <v>7998</v>
      </c>
      <c r="T1445" t="s">
        <v>7999</v>
      </c>
      <c r="U1445" t="s">
        <v>8000</v>
      </c>
      <c r="V1445" t="s">
        <v>8001</v>
      </c>
      <c r="Y1445" t="s">
        <v>8002</v>
      </c>
    </row>
    <row r="1446" spans="1:25" x14ac:dyDescent="0.25">
      <c r="A1446" t="str">
        <f>"1149694054"</f>
        <v>1149694054</v>
      </c>
      <c r="B1446" t="s">
        <v>1053</v>
      </c>
      <c r="C1446" t="s">
        <v>8004</v>
      </c>
      <c r="D1446" t="s">
        <v>5125</v>
      </c>
      <c r="E1446">
        <v>424007</v>
      </c>
      <c r="F1446" t="s">
        <v>1</v>
      </c>
      <c r="G1446" t="s">
        <v>2</v>
      </c>
      <c r="H1446" t="s">
        <v>578</v>
      </c>
      <c r="I1446" t="s">
        <v>8003</v>
      </c>
      <c r="Y1446" t="s">
        <v>7116</v>
      </c>
    </row>
    <row r="1447" spans="1:25" x14ac:dyDescent="0.25">
      <c r="A1447" t="str">
        <f>"1149802457"</f>
        <v>1149802457</v>
      </c>
      <c r="B1447" t="s">
        <v>8011</v>
      </c>
      <c r="C1447" t="s">
        <v>8012</v>
      </c>
      <c r="D1447" t="s">
        <v>8005</v>
      </c>
      <c r="E1447">
        <v>424030</v>
      </c>
      <c r="F1447" t="s">
        <v>1</v>
      </c>
      <c r="G1447" t="s">
        <v>2</v>
      </c>
      <c r="H1447" t="s">
        <v>8006</v>
      </c>
      <c r="I1447" t="s">
        <v>8007</v>
      </c>
      <c r="J1447" t="s">
        <v>8008</v>
      </c>
      <c r="L1447" t="s">
        <v>8009</v>
      </c>
      <c r="M1447" t="s">
        <v>8010</v>
      </c>
      <c r="P1447" t="s">
        <v>8013</v>
      </c>
      <c r="Y1447" t="s">
        <v>8014</v>
      </c>
    </row>
    <row r="1448" spans="1:25" x14ac:dyDescent="0.25">
      <c r="A1448" t="str">
        <f>"1149958432"</f>
        <v>1149958432</v>
      </c>
      <c r="B1448" t="s">
        <v>703</v>
      </c>
      <c r="C1448" t="s">
        <v>8018</v>
      </c>
      <c r="D1448" t="s">
        <v>8015</v>
      </c>
      <c r="E1448">
        <v>424007</v>
      </c>
      <c r="F1448" t="s">
        <v>1</v>
      </c>
      <c r="G1448" t="s">
        <v>2</v>
      </c>
      <c r="H1448" t="s">
        <v>4869</v>
      </c>
      <c r="J1448" t="s">
        <v>8016</v>
      </c>
      <c r="L1448" t="s">
        <v>8017</v>
      </c>
      <c r="P1448" t="s">
        <v>9</v>
      </c>
      <c r="Q1448" t="s">
        <v>8019</v>
      </c>
      <c r="Y1448" t="s">
        <v>8020</v>
      </c>
    </row>
    <row r="1449" spans="1:25" x14ac:dyDescent="0.25">
      <c r="A1449" t="str">
        <f>"1150102418"</f>
        <v>1150102418</v>
      </c>
      <c r="B1449" t="s">
        <v>2055</v>
      </c>
      <c r="C1449" t="s">
        <v>8024</v>
      </c>
      <c r="D1449" t="s">
        <v>8021</v>
      </c>
      <c r="E1449">
        <v>424003</v>
      </c>
      <c r="F1449" t="s">
        <v>1</v>
      </c>
      <c r="G1449" t="s">
        <v>2</v>
      </c>
      <c r="H1449" t="s">
        <v>3647</v>
      </c>
      <c r="I1449" t="s">
        <v>8022</v>
      </c>
      <c r="L1449" t="s">
        <v>8023</v>
      </c>
      <c r="P1449" t="s">
        <v>27</v>
      </c>
      <c r="Y1449" t="s">
        <v>8025</v>
      </c>
    </row>
    <row r="1450" spans="1:25" x14ac:dyDescent="0.25">
      <c r="A1450" t="str">
        <f>"1150740727"</f>
        <v>1150740727</v>
      </c>
      <c r="B1450" t="s">
        <v>1573</v>
      </c>
      <c r="C1450" t="s">
        <v>8031</v>
      </c>
      <c r="D1450" t="s">
        <v>8026</v>
      </c>
      <c r="E1450">
        <v>424006</v>
      </c>
      <c r="F1450" t="s">
        <v>1</v>
      </c>
      <c r="G1450" t="s">
        <v>2</v>
      </c>
      <c r="H1450" t="s">
        <v>8027</v>
      </c>
      <c r="I1450" t="s">
        <v>8028</v>
      </c>
      <c r="L1450" t="s">
        <v>8029</v>
      </c>
      <c r="M1450" t="s">
        <v>8030</v>
      </c>
      <c r="P1450" t="s">
        <v>1107</v>
      </c>
      <c r="Q1450" t="s">
        <v>8032</v>
      </c>
      <c r="S1450" t="s">
        <v>8033</v>
      </c>
      <c r="T1450" t="s">
        <v>8034</v>
      </c>
      <c r="U1450" t="s">
        <v>8035</v>
      </c>
      <c r="Y1450" t="s">
        <v>8036</v>
      </c>
    </row>
    <row r="1451" spans="1:25" x14ac:dyDescent="0.25">
      <c r="A1451" t="str">
        <f>"1150806029"</f>
        <v>1150806029</v>
      </c>
      <c r="B1451" t="s">
        <v>7</v>
      </c>
      <c r="C1451" t="s">
        <v>8041</v>
      </c>
      <c r="D1451" t="s">
        <v>8037</v>
      </c>
      <c r="E1451">
        <v>424031</v>
      </c>
      <c r="F1451" t="s">
        <v>1</v>
      </c>
      <c r="G1451" t="s">
        <v>2</v>
      </c>
      <c r="H1451" t="s">
        <v>4622</v>
      </c>
      <c r="I1451" t="s">
        <v>8038</v>
      </c>
      <c r="L1451" t="s">
        <v>8039</v>
      </c>
      <c r="M1451" t="s">
        <v>8040</v>
      </c>
      <c r="P1451" t="s">
        <v>27</v>
      </c>
      <c r="Y1451" t="s">
        <v>7838</v>
      </c>
    </row>
    <row r="1452" spans="1:25" x14ac:dyDescent="0.25">
      <c r="A1452" t="str">
        <f>"1151414410"</f>
        <v>1151414410</v>
      </c>
      <c r="B1452" t="s">
        <v>18</v>
      </c>
      <c r="C1452" t="s">
        <v>8047</v>
      </c>
      <c r="D1452" t="s">
        <v>8042</v>
      </c>
      <c r="F1452" t="s">
        <v>1</v>
      </c>
      <c r="G1452" t="s">
        <v>2</v>
      </c>
      <c r="H1452" t="s">
        <v>8043</v>
      </c>
      <c r="I1452" t="s">
        <v>8044</v>
      </c>
      <c r="L1452" t="s">
        <v>8045</v>
      </c>
      <c r="M1452" t="s">
        <v>8046</v>
      </c>
      <c r="P1452" t="s">
        <v>3938</v>
      </c>
      <c r="Y1452" t="s">
        <v>8048</v>
      </c>
    </row>
    <row r="1453" spans="1:25" x14ac:dyDescent="0.25">
      <c r="A1453" t="str">
        <f>"1151788202"</f>
        <v>1151788202</v>
      </c>
      <c r="B1453" t="s">
        <v>352</v>
      </c>
      <c r="C1453" t="s">
        <v>8051</v>
      </c>
      <c r="D1453" t="s">
        <v>8049</v>
      </c>
      <c r="E1453">
        <v>424000</v>
      </c>
      <c r="F1453" t="s">
        <v>1</v>
      </c>
      <c r="G1453" t="s">
        <v>2</v>
      </c>
      <c r="H1453" t="s">
        <v>7628</v>
      </c>
      <c r="J1453" t="s">
        <v>8050</v>
      </c>
      <c r="Y1453" t="s">
        <v>8052</v>
      </c>
    </row>
    <row r="1454" spans="1:25" x14ac:dyDescent="0.25">
      <c r="A1454" t="str">
        <f>"1152073332"</f>
        <v>1152073332</v>
      </c>
      <c r="B1454" t="s">
        <v>88</v>
      </c>
      <c r="C1454" t="s">
        <v>8056</v>
      </c>
      <c r="D1454" t="s">
        <v>8053</v>
      </c>
      <c r="E1454">
        <v>424020</v>
      </c>
      <c r="F1454" t="s">
        <v>1</v>
      </c>
      <c r="G1454" t="s">
        <v>2</v>
      </c>
      <c r="H1454" t="s">
        <v>8054</v>
      </c>
      <c r="J1454" t="s">
        <v>8055</v>
      </c>
      <c r="P1454" t="s">
        <v>390</v>
      </c>
      <c r="Y1454" t="s">
        <v>8057</v>
      </c>
    </row>
    <row r="1455" spans="1:25" x14ac:dyDescent="0.25">
      <c r="A1455" t="str">
        <f>"1152260551"</f>
        <v>1152260551</v>
      </c>
      <c r="B1455" t="s">
        <v>18</v>
      </c>
      <c r="C1455" t="s">
        <v>2295</v>
      </c>
      <c r="D1455" t="s">
        <v>8058</v>
      </c>
      <c r="E1455">
        <v>424031</v>
      </c>
      <c r="F1455" t="s">
        <v>1</v>
      </c>
      <c r="G1455" t="s">
        <v>2</v>
      </c>
      <c r="H1455" t="s">
        <v>8059</v>
      </c>
      <c r="I1455" t="s">
        <v>8060</v>
      </c>
      <c r="P1455" t="s">
        <v>133</v>
      </c>
      <c r="Y1455" t="s">
        <v>8061</v>
      </c>
    </row>
    <row r="1456" spans="1:25" x14ac:dyDescent="0.25">
      <c r="A1456" t="str">
        <f>"1152327489"</f>
        <v>1152327489</v>
      </c>
      <c r="B1456" t="s">
        <v>978</v>
      </c>
      <c r="C1456" t="s">
        <v>8067</v>
      </c>
      <c r="D1456" t="s">
        <v>8062</v>
      </c>
      <c r="E1456">
        <v>424038</v>
      </c>
      <c r="F1456" t="s">
        <v>1</v>
      </c>
      <c r="G1456" t="s">
        <v>2</v>
      </c>
      <c r="H1456" t="s">
        <v>8063</v>
      </c>
      <c r="I1456" t="s">
        <v>8064</v>
      </c>
      <c r="L1456" t="s">
        <v>8065</v>
      </c>
      <c r="M1456" t="s">
        <v>8066</v>
      </c>
      <c r="P1456" t="s">
        <v>8068</v>
      </c>
      <c r="Q1456" t="s">
        <v>8069</v>
      </c>
      <c r="R1456" t="s">
        <v>8070</v>
      </c>
      <c r="T1456" t="s">
        <v>8071</v>
      </c>
      <c r="Y1456" t="s">
        <v>8072</v>
      </c>
    </row>
    <row r="1457" spans="1:25" x14ac:dyDescent="0.25">
      <c r="A1457" t="str">
        <f>"1152334951"</f>
        <v>1152334951</v>
      </c>
      <c r="B1457" t="s">
        <v>703</v>
      </c>
      <c r="C1457" t="s">
        <v>2129</v>
      </c>
      <c r="D1457" t="s">
        <v>8073</v>
      </c>
      <c r="E1457">
        <v>424006</v>
      </c>
      <c r="F1457" t="s">
        <v>1</v>
      </c>
      <c r="G1457" t="s">
        <v>2</v>
      </c>
      <c r="H1457" t="s">
        <v>2775</v>
      </c>
      <c r="I1457" t="s">
        <v>8074</v>
      </c>
      <c r="L1457" t="s">
        <v>8075</v>
      </c>
      <c r="M1457" t="s">
        <v>8076</v>
      </c>
      <c r="P1457" t="s">
        <v>27</v>
      </c>
      <c r="Y1457" t="s">
        <v>2779</v>
      </c>
    </row>
    <row r="1458" spans="1:25" x14ac:dyDescent="0.25">
      <c r="A1458" t="str">
        <f>"1152922989"</f>
        <v>1152922989</v>
      </c>
      <c r="B1458" t="s">
        <v>930</v>
      </c>
      <c r="C1458" t="s">
        <v>8083</v>
      </c>
      <c r="D1458" t="s">
        <v>8077</v>
      </c>
      <c r="F1458" t="s">
        <v>1</v>
      </c>
      <c r="G1458" t="s">
        <v>2</v>
      </c>
      <c r="H1458" t="s">
        <v>8078</v>
      </c>
      <c r="I1458" t="s">
        <v>8079</v>
      </c>
      <c r="J1458" t="s">
        <v>8080</v>
      </c>
      <c r="L1458" t="s">
        <v>8081</v>
      </c>
      <c r="M1458" t="s">
        <v>8082</v>
      </c>
      <c r="P1458" t="s">
        <v>2406</v>
      </c>
      <c r="Q1458" t="s">
        <v>8084</v>
      </c>
      <c r="V1458" t="s">
        <v>8085</v>
      </c>
      <c r="Y1458" t="s">
        <v>8086</v>
      </c>
    </row>
    <row r="1459" spans="1:25" x14ac:dyDescent="0.25">
      <c r="A1459" t="str">
        <f>"1152965321"</f>
        <v>1152965321</v>
      </c>
      <c r="B1459" t="s">
        <v>1758</v>
      </c>
      <c r="C1459" t="s">
        <v>8089</v>
      </c>
      <c r="D1459" t="s">
        <v>8087</v>
      </c>
      <c r="E1459">
        <v>424038</v>
      </c>
      <c r="F1459" t="s">
        <v>1</v>
      </c>
      <c r="G1459" t="s">
        <v>2</v>
      </c>
      <c r="H1459" t="s">
        <v>1366</v>
      </c>
      <c r="I1459" t="s">
        <v>8088</v>
      </c>
      <c r="P1459" t="s">
        <v>8090</v>
      </c>
      <c r="Y1459" t="s">
        <v>8091</v>
      </c>
    </row>
    <row r="1460" spans="1:25" x14ac:dyDescent="0.25">
      <c r="A1460" t="str">
        <f>"1153479097"</f>
        <v>1153479097</v>
      </c>
      <c r="B1460" t="s">
        <v>233</v>
      </c>
      <c r="C1460" t="s">
        <v>8094</v>
      </c>
      <c r="D1460" t="s">
        <v>8092</v>
      </c>
      <c r="E1460">
        <v>424006</v>
      </c>
      <c r="F1460" t="s">
        <v>1</v>
      </c>
      <c r="G1460" t="s">
        <v>2</v>
      </c>
      <c r="H1460" t="s">
        <v>1645</v>
      </c>
      <c r="I1460" t="s">
        <v>8093</v>
      </c>
      <c r="P1460" t="s">
        <v>1071</v>
      </c>
      <c r="Y1460" t="s">
        <v>4478</v>
      </c>
    </row>
    <row r="1461" spans="1:25" x14ac:dyDescent="0.25">
      <c r="A1461" t="str">
        <f>"1154753222"</f>
        <v>1154753222</v>
      </c>
      <c r="B1461" t="s">
        <v>430</v>
      </c>
      <c r="C1461" t="s">
        <v>8101</v>
      </c>
      <c r="D1461" t="s">
        <v>8095</v>
      </c>
      <c r="E1461">
        <v>424006</v>
      </c>
      <c r="F1461" t="s">
        <v>1</v>
      </c>
      <c r="G1461" t="s">
        <v>2</v>
      </c>
      <c r="H1461" t="s">
        <v>8096</v>
      </c>
      <c r="I1461" t="s">
        <v>8097</v>
      </c>
      <c r="J1461" t="s">
        <v>8098</v>
      </c>
      <c r="L1461" t="s">
        <v>8099</v>
      </c>
      <c r="M1461" t="s">
        <v>8100</v>
      </c>
      <c r="P1461" t="s">
        <v>8102</v>
      </c>
      <c r="Q1461" t="s">
        <v>8103</v>
      </c>
      <c r="Y1461" t="s">
        <v>8104</v>
      </c>
    </row>
    <row r="1462" spans="1:25" x14ac:dyDescent="0.25">
      <c r="A1462" t="str">
        <f>"1156253173"</f>
        <v>1156253173</v>
      </c>
      <c r="B1462" t="s">
        <v>930</v>
      </c>
      <c r="C1462" t="s">
        <v>8110</v>
      </c>
      <c r="D1462" t="s">
        <v>8105</v>
      </c>
      <c r="F1462" t="s">
        <v>1</v>
      </c>
      <c r="G1462" t="s">
        <v>2</v>
      </c>
      <c r="H1462" t="s">
        <v>8106</v>
      </c>
      <c r="I1462" t="s">
        <v>8107</v>
      </c>
      <c r="L1462" t="s">
        <v>8108</v>
      </c>
      <c r="M1462" t="s">
        <v>8109</v>
      </c>
      <c r="P1462" t="s">
        <v>2050</v>
      </c>
      <c r="Y1462" t="s">
        <v>8111</v>
      </c>
    </row>
    <row r="1463" spans="1:25" x14ac:dyDescent="0.25">
      <c r="A1463" t="str">
        <f>"1156555197"</f>
        <v>1156555197</v>
      </c>
      <c r="B1463" t="s">
        <v>8117</v>
      </c>
      <c r="C1463" t="s">
        <v>8118</v>
      </c>
      <c r="D1463" t="s">
        <v>8112</v>
      </c>
      <c r="E1463">
        <v>424033</v>
      </c>
      <c r="F1463" t="s">
        <v>1</v>
      </c>
      <c r="G1463" t="s">
        <v>2</v>
      </c>
      <c r="H1463" t="s">
        <v>8113</v>
      </c>
      <c r="I1463" t="s">
        <v>8114</v>
      </c>
      <c r="L1463" t="s">
        <v>8115</v>
      </c>
      <c r="M1463" t="s">
        <v>8116</v>
      </c>
      <c r="P1463" t="s">
        <v>152</v>
      </c>
      <c r="Q1463" t="s">
        <v>8119</v>
      </c>
      <c r="R1463" t="s">
        <v>8120</v>
      </c>
      <c r="S1463" t="s">
        <v>8121</v>
      </c>
      <c r="T1463" t="s">
        <v>8122</v>
      </c>
      <c r="V1463" t="s">
        <v>8123</v>
      </c>
      <c r="Y1463" t="s">
        <v>8124</v>
      </c>
    </row>
    <row r="1464" spans="1:25" x14ac:dyDescent="0.25">
      <c r="A1464" t="str">
        <f>"1156922510"</f>
        <v>1156922510</v>
      </c>
      <c r="B1464" t="s">
        <v>176</v>
      </c>
      <c r="C1464" t="s">
        <v>8127</v>
      </c>
      <c r="D1464" t="s">
        <v>8125</v>
      </c>
      <c r="E1464">
        <v>424000</v>
      </c>
      <c r="F1464" t="s">
        <v>1</v>
      </c>
      <c r="G1464" t="s">
        <v>2</v>
      </c>
      <c r="H1464" t="s">
        <v>837</v>
      </c>
      <c r="I1464" t="s">
        <v>8126</v>
      </c>
      <c r="P1464" t="s">
        <v>7390</v>
      </c>
      <c r="Y1464" t="s">
        <v>2964</v>
      </c>
    </row>
    <row r="1465" spans="1:25" x14ac:dyDescent="0.25">
      <c r="A1465" t="str">
        <f>"1157173172"</f>
        <v>1157173172</v>
      </c>
      <c r="B1465" t="s">
        <v>1046</v>
      </c>
      <c r="C1465" t="s">
        <v>8132</v>
      </c>
      <c r="D1465" t="s">
        <v>8128</v>
      </c>
      <c r="E1465">
        <v>424003</v>
      </c>
      <c r="F1465" t="s">
        <v>1</v>
      </c>
      <c r="G1465" t="s">
        <v>2</v>
      </c>
      <c r="H1465" t="s">
        <v>1042</v>
      </c>
      <c r="I1465" t="s">
        <v>8129</v>
      </c>
      <c r="L1465" t="s">
        <v>8130</v>
      </c>
      <c r="M1465" t="s">
        <v>8131</v>
      </c>
      <c r="P1465" t="s">
        <v>8133</v>
      </c>
      <c r="Q1465" t="s">
        <v>8134</v>
      </c>
      <c r="T1465" t="s">
        <v>8135</v>
      </c>
      <c r="V1465" t="s">
        <v>8136</v>
      </c>
      <c r="Y1465" t="s">
        <v>8137</v>
      </c>
    </row>
    <row r="1466" spans="1:25" x14ac:dyDescent="0.25">
      <c r="A1466" t="str">
        <f>"1157598180"</f>
        <v>1157598180</v>
      </c>
      <c r="B1466" t="s">
        <v>176</v>
      </c>
      <c r="C1466" t="s">
        <v>8142</v>
      </c>
      <c r="D1466" t="s">
        <v>8138</v>
      </c>
      <c r="E1466">
        <v>424004</v>
      </c>
      <c r="F1466" t="s">
        <v>1</v>
      </c>
      <c r="G1466" t="s">
        <v>2</v>
      </c>
      <c r="H1466" t="s">
        <v>186</v>
      </c>
      <c r="I1466" t="s">
        <v>8139</v>
      </c>
      <c r="L1466" t="s">
        <v>8140</v>
      </c>
      <c r="M1466" t="s">
        <v>8141</v>
      </c>
      <c r="P1466" t="s">
        <v>27</v>
      </c>
      <c r="Q1466" t="s">
        <v>8143</v>
      </c>
      <c r="T1466" t="s">
        <v>8144</v>
      </c>
      <c r="V1466" t="s">
        <v>8145</v>
      </c>
      <c r="Y1466" t="s">
        <v>8146</v>
      </c>
    </row>
    <row r="1467" spans="1:25" x14ac:dyDescent="0.25">
      <c r="A1467" t="str">
        <f>"1159188924"</f>
        <v>1159188924</v>
      </c>
      <c r="B1467" t="s">
        <v>18</v>
      </c>
      <c r="C1467" t="s">
        <v>5160</v>
      </c>
      <c r="D1467" t="s">
        <v>8147</v>
      </c>
      <c r="E1467">
        <v>424007</v>
      </c>
      <c r="F1467" t="s">
        <v>1</v>
      </c>
      <c r="G1467" t="s">
        <v>2</v>
      </c>
      <c r="H1467" t="s">
        <v>8148</v>
      </c>
      <c r="I1467" t="s">
        <v>8149</v>
      </c>
      <c r="J1467" t="s">
        <v>8150</v>
      </c>
      <c r="L1467" t="s">
        <v>8151</v>
      </c>
      <c r="M1467" t="s">
        <v>8152</v>
      </c>
      <c r="P1467" t="s">
        <v>280</v>
      </c>
      <c r="Q1467" t="s">
        <v>8153</v>
      </c>
      <c r="Y1467" t="s">
        <v>8154</v>
      </c>
    </row>
    <row r="1468" spans="1:25" x14ac:dyDescent="0.25">
      <c r="A1468" t="str">
        <f>"1159693824"</f>
        <v>1159693824</v>
      </c>
      <c r="B1468" t="s">
        <v>1078</v>
      </c>
      <c r="C1468" t="s">
        <v>6962</v>
      </c>
      <c r="D1468" t="s">
        <v>8155</v>
      </c>
      <c r="E1468">
        <v>424007</v>
      </c>
      <c r="F1468" t="s">
        <v>1</v>
      </c>
      <c r="G1468" t="s">
        <v>2</v>
      </c>
      <c r="H1468" t="s">
        <v>5281</v>
      </c>
      <c r="J1468" t="s">
        <v>8156</v>
      </c>
      <c r="L1468" t="s">
        <v>8157</v>
      </c>
      <c r="M1468" t="s">
        <v>8158</v>
      </c>
      <c r="P1468" t="s">
        <v>8159</v>
      </c>
      <c r="Q1468" t="s">
        <v>8160</v>
      </c>
      <c r="R1468" t="s">
        <v>8161</v>
      </c>
      <c r="V1468" t="s">
        <v>8162</v>
      </c>
      <c r="Y1468" t="s">
        <v>8163</v>
      </c>
    </row>
    <row r="1469" spans="1:25" x14ac:dyDescent="0.25">
      <c r="A1469" t="str">
        <f>"1160449915"</f>
        <v>1160449915</v>
      </c>
      <c r="B1469" t="s">
        <v>687</v>
      </c>
      <c r="C1469" t="s">
        <v>8169</v>
      </c>
      <c r="D1469" t="s">
        <v>8164</v>
      </c>
      <c r="E1469">
        <v>424016</v>
      </c>
      <c r="F1469" t="s">
        <v>1</v>
      </c>
      <c r="G1469" t="s">
        <v>2</v>
      </c>
      <c r="H1469" t="s">
        <v>8165</v>
      </c>
      <c r="I1469" t="s">
        <v>8166</v>
      </c>
      <c r="L1469" t="s">
        <v>8167</v>
      </c>
      <c r="M1469" t="s">
        <v>8168</v>
      </c>
      <c r="P1469" t="s">
        <v>3776</v>
      </c>
      <c r="Y1469" t="s">
        <v>8170</v>
      </c>
    </row>
    <row r="1470" spans="1:25" x14ac:dyDescent="0.25">
      <c r="A1470" t="str">
        <f>"1160496807"</f>
        <v>1160496807</v>
      </c>
      <c r="B1470" t="s">
        <v>117</v>
      </c>
      <c r="C1470" t="s">
        <v>6850</v>
      </c>
      <c r="D1470" t="s">
        <v>8171</v>
      </c>
      <c r="E1470">
        <v>424006</v>
      </c>
      <c r="F1470" t="s">
        <v>1</v>
      </c>
      <c r="G1470" t="s">
        <v>2</v>
      </c>
      <c r="H1470" t="s">
        <v>8172</v>
      </c>
      <c r="I1470" t="s">
        <v>8173</v>
      </c>
      <c r="L1470" t="s">
        <v>8174</v>
      </c>
      <c r="M1470" t="s">
        <v>8175</v>
      </c>
      <c r="P1470" t="s">
        <v>330</v>
      </c>
      <c r="Q1470" t="s">
        <v>8176</v>
      </c>
      <c r="R1470" t="s">
        <v>8177</v>
      </c>
      <c r="S1470" t="s">
        <v>8178</v>
      </c>
      <c r="T1470" t="s">
        <v>8179</v>
      </c>
      <c r="V1470" t="s">
        <v>8180</v>
      </c>
      <c r="Y1470" t="s">
        <v>8181</v>
      </c>
    </row>
    <row r="1471" spans="1:25" x14ac:dyDescent="0.25">
      <c r="A1471" t="str">
        <f>"1160625757"</f>
        <v>1160625757</v>
      </c>
      <c r="B1471" t="s">
        <v>803</v>
      </c>
      <c r="C1471" t="s">
        <v>8186</v>
      </c>
      <c r="D1471" t="s">
        <v>8182</v>
      </c>
      <c r="F1471" t="s">
        <v>1</v>
      </c>
      <c r="G1471" t="s">
        <v>2</v>
      </c>
      <c r="H1471" t="s">
        <v>2027</v>
      </c>
      <c r="I1471" t="s">
        <v>8183</v>
      </c>
      <c r="L1471" t="s">
        <v>8184</v>
      </c>
      <c r="M1471" t="s">
        <v>8185</v>
      </c>
      <c r="P1471" t="s">
        <v>9</v>
      </c>
      <c r="Y1471" t="s">
        <v>2029</v>
      </c>
    </row>
    <row r="1472" spans="1:25" x14ac:dyDescent="0.25">
      <c r="A1472" t="str">
        <f>"1160693857"</f>
        <v>1160693857</v>
      </c>
      <c r="B1472" t="s">
        <v>290</v>
      </c>
      <c r="C1472" t="s">
        <v>8191</v>
      </c>
      <c r="D1472" t="s">
        <v>8187</v>
      </c>
      <c r="E1472">
        <v>424020</v>
      </c>
      <c r="F1472" t="s">
        <v>1</v>
      </c>
      <c r="G1472" t="s">
        <v>2</v>
      </c>
      <c r="H1472" t="s">
        <v>3</v>
      </c>
      <c r="I1472" t="s">
        <v>8188</v>
      </c>
      <c r="L1472" t="s">
        <v>8189</v>
      </c>
      <c r="M1472" t="s">
        <v>8190</v>
      </c>
      <c r="P1472" t="s">
        <v>1642</v>
      </c>
      <c r="Q1472" t="s">
        <v>8192</v>
      </c>
      <c r="T1472" t="s">
        <v>8193</v>
      </c>
      <c r="Y1472" t="s">
        <v>8194</v>
      </c>
    </row>
    <row r="1473" spans="1:25" x14ac:dyDescent="0.25">
      <c r="A1473" t="str">
        <f>"1160850783"</f>
        <v>1160850783</v>
      </c>
      <c r="B1473" t="s">
        <v>738</v>
      </c>
      <c r="C1473" t="s">
        <v>1463</v>
      </c>
      <c r="D1473" t="s">
        <v>8195</v>
      </c>
      <c r="E1473">
        <v>424038</v>
      </c>
      <c r="F1473" t="s">
        <v>1</v>
      </c>
      <c r="G1473" t="s">
        <v>2</v>
      </c>
      <c r="H1473" t="s">
        <v>8196</v>
      </c>
      <c r="I1473" t="s">
        <v>8197</v>
      </c>
      <c r="L1473" t="s">
        <v>8198</v>
      </c>
      <c r="M1473" t="s">
        <v>8199</v>
      </c>
      <c r="P1473" t="s">
        <v>5459</v>
      </c>
      <c r="Q1473" t="s">
        <v>8200</v>
      </c>
      <c r="Y1473" t="s">
        <v>8201</v>
      </c>
    </row>
    <row r="1474" spans="1:25" x14ac:dyDescent="0.25">
      <c r="A1474" t="str">
        <f>"1160966288"</f>
        <v>1160966288</v>
      </c>
      <c r="B1474" t="s">
        <v>110</v>
      </c>
      <c r="C1474" t="s">
        <v>8206</v>
      </c>
      <c r="D1474" t="s">
        <v>8202</v>
      </c>
      <c r="E1474">
        <v>424002</v>
      </c>
      <c r="F1474" t="s">
        <v>1</v>
      </c>
      <c r="G1474" t="s">
        <v>2</v>
      </c>
      <c r="H1474" t="s">
        <v>3604</v>
      </c>
      <c r="I1474" t="s">
        <v>8203</v>
      </c>
      <c r="L1474" t="s">
        <v>8204</v>
      </c>
      <c r="M1474" t="s">
        <v>8205</v>
      </c>
      <c r="P1474" t="s">
        <v>2050</v>
      </c>
      <c r="Q1474" t="s">
        <v>8207</v>
      </c>
      <c r="T1474" t="s">
        <v>8208</v>
      </c>
      <c r="Y1474" t="s">
        <v>8209</v>
      </c>
    </row>
    <row r="1475" spans="1:25" x14ac:dyDescent="0.25">
      <c r="A1475" t="str">
        <f>"1160994018"</f>
        <v>1160994018</v>
      </c>
      <c r="B1475" t="s">
        <v>379</v>
      </c>
      <c r="C1475" t="s">
        <v>766</v>
      </c>
      <c r="D1475" t="s">
        <v>8210</v>
      </c>
      <c r="E1475">
        <v>424000</v>
      </c>
      <c r="F1475" t="s">
        <v>1</v>
      </c>
      <c r="G1475" t="s">
        <v>2</v>
      </c>
      <c r="H1475" t="s">
        <v>265</v>
      </c>
      <c r="I1475" t="s">
        <v>8211</v>
      </c>
      <c r="J1475" t="s">
        <v>8212</v>
      </c>
      <c r="L1475" t="s">
        <v>8213</v>
      </c>
      <c r="M1475" t="s">
        <v>8214</v>
      </c>
      <c r="P1475" t="s">
        <v>8215</v>
      </c>
      <c r="Q1475" t="s">
        <v>8216</v>
      </c>
      <c r="R1475" t="s">
        <v>8217</v>
      </c>
      <c r="T1475" t="s">
        <v>8218</v>
      </c>
      <c r="U1475" t="s">
        <v>8219</v>
      </c>
      <c r="V1475" t="s">
        <v>8220</v>
      </c>
      <c r="Y1475" t="s">
        <v>8221</v>
      </c>
    </row>
    <row r="1476" spans="1:25" x14ac:dyDescent="0.25">
      <c r="A1476" t="str">
        <f>"1161098359"</f>
        <v>1161098359</v>
      </c>
      <c r="B1476" t="s">
        <v>1222</v>
      </c>
      <c r="C1476" t="s">
        <v>8227</v>
      </c>
      <c r="D1476" t="s">
        <v>896</v>
      </c>
      <c r="E1476">
        <v>424036</v>
      </c>
      <c r="F1476" t="s">
        <v>1</v>
      </c>
      <c r="G1476" t="s">
        <v>2</v>
      </c>
      <c r="H1476" t="s">
        <v>8222</v>
      </c>
      <c r="I1476" t="s">
        <v>8223</v>
      </c>
      <c r="J1476" t="s">
        <v>8224</v>
      </c>
      <c r="L1476" t="s">
        <v>8225</v>
      </c>
      <c r="M1476" t="s">
        <v>8226</v>
      </c>
      <c r="P1476" t="s">
        <v>8228</v>
      </c>
      <c r="Q1476" t="s">
        <v>8229</v>
      </c>
      <c r="T1476" t="s">
        <v>8230</v>
      </c>
      <c r="V1476" t="s">
        <v>8231</v>
      </c>
      <c r="Y1476" t="s">
        <v>8232</v>
      </c>
    </row>
    <row r="1477" spans="1:25" x14ac:dyDescent="0.25">
      <c r="A1477" t="str">
        <f>"1161568571"</f>
        <v>1161568571</v>
      </c>
      <c r="B1477" t="s">
        <v>7</v>
      </c>
      <c r="C1477" t="s">
        <v>8238</v>
      </c>
      <c r="D1477" t="s">
        <v>8233</v>
      </c>
      <c r="E1477">
        <v>424036</v>
      </c>
      <c r="F1477" t="s">
        <v>1</v>
      </c>
      <c r="G1477" t="s">
        <v>2</v>
      </c>
      <c r="H1477" t="s">
        <v>8234</v>
      </c>
      <c r="I1477" t="s">
        <v>8235</v>
      </c>
      <c r="L1477" t="s">
        <v>8236</v>
      </c>
      <c r="M1477" t="s">
        <v>8237</v>
      </c>
      <c r="P1477" t="s">
        <v>9</v>
      </c>
      <c r="Q1477" t="s">
        <v>8239</v>
      </c>
      <c r="V1477" t="s">
        <v>8240</v>
      </c>
      <c r="Y1477" t="s">
        <v>8241</v>
      </c>
    </row>
    <row r="1478" spans="1:25" x14ac:dyDescent="0.25">
      <c r="A1478" t="str">
        <f>"1163471045"</f>
        <v>1163471045</v>
      </c>
      <c r="B1478" t="s">
        <v>2601</v>
      </c>
      <c r="C1478" t="s">
        <v>5375</v>
      </c>
      <c r="D1478" t="s">
        <v>8242</v>
      </c>
      <c r="E1478">
        <v>424000</v>
      </c>
      <c r="F1478" t="s">
        <v>1</v>
      </c>
      <c r="G1478" t="s">
        <v>2</v>
      </c>
      <c r="H1478" t="s">
        <v>8243</v>
      </c>
      <c r="I1478" t="s">
        <v>8244</v>
      </c>
      <c r="L1478" t="s">
        <v>8245</v>
      </c>
      <c r="M1478" t="s">
        <v>8246</v>
      </c>
      <c r="P1478" t="s">
        <v>2738</v>
      </c>
      <c r="Q1478" t="s">
        <v>8247</v>
      </c>
      <c r="T1478" t="s">
        <v>8248</v>
      </c>
      <c r="U1478" t="s">
        <v>8249</v>
      </c>
      <c r="Y1478" t="s">
        <v>8250</v>
      </c>
    </row>
    <row r="1479" spans="1:25" x14ac:dyDescent="0.25">
      <c r="A1479" t="str">
        <f>"1163575185"</f>
        <v>1163575185</v>
      </c>
      <c r="B1479" t="s">
        <v>2818</v>
      </c>
      <c r="C1479" t="s">
        <v>8255</v>
      </c>
      <c r="D1479" t="s">
        <v>8251</v>
      </c>
      <c r="E1479">
        <v>424000</v>
      </c>
      <c r="F1479" t="s">
        <v>1</v>
      </c>
      <c r="G1479" t="s">
        <v>2</v>
      </c>
      <c r="H1479" t="s">
        <v>2202</v>
      </c>
      <c r="I1479" t="s">
        <v>8252</v>
      </c>
      <c r="L1479" t="s">
        <v>8253</v>
      </c>
      <c r="M1479" t="s">
        <v>8254</v>
      </c>
      <c r="P1479" t="s">
        <v>8256</v>
      </c>
      <c r="Q1479" t="s">
        <v>8257</v>
      </c>
      <c r="S1479" t="s">
        <v>8258</v>
      </c>
      <c r="T1479" t="s">
        <v>8259</v>
      </c>
      <c r="Y1479" t="s">
        <v>8260</v>
      </c>
    </row>
    <row r="1480" spans="1:25" x14ac:dyDescent="0.25">
      <c r="A1480" t="str">
        <f>"1163846600"</f>
        <v>1163846600</v>
      </c>
      <c r="B1480" t="s">
        <v>640</v>
      </c>
      <c r="C1480" t="s">
        <v>8265</v>
      </c>
      <c r="D1480" t="s">
        <v>8261</v>
      </c>
      <c r="E1480">
        <v>424002</v>
      </c>
      <c r="F1480" t="s">
        <v>1</v>
      </c>
      <c r="G1480" t="s">
        <v>2</v>
      </c>
      <c r="H1480" t="s">
        <v>309</v>
      </c>
      <c r="I1480" t="s">
        <v>8262</v>
      </c>
      <c r="L1480" t="s">
        <v>8263</v>
      </c>
      <c r="M1480" t="s">
        <v>8264</v>
      </c>
      <c r="P1480" t="s">
        <v>8266</v>
      </c>
      <c r="Q1480" t="s">
        <v>8267</v>
      </c>
      <c r="Y1480" t="s">
        <v>8268</v>
      </c>
    </row>
    <row r="1481" spans="1:25" x14ac:dyDescent="0.25">
      <c r="A1481" t="str">
        <f>"1163928132"</f>
        <v>1163928132</v>
      </c>
      <c r="B1481" t="s">
        <v>456</v>
      </c>
      <c r="C1481" t="s">
        <v>2040</v>
      </c>
      <c r="D1481" t="s">
        <v>8269</v>
      </c>
      <c r="E1481">
        <v>424003</v>
      </c>
      <c r="F1481" t="s">
        <v>1</v>
      </c>
      <c r="G1481" t="s">
        <v>2</v>
      </c>
      <c r="H1481" t="s">
        <v>734</v>
      </c>
      <c r="I1481" t="s">
        <v>8270</v>
      </c>
      <c r="M1481" t="s">
        <v>8271</v>
      </c>
      <c r="P1481" t="s">
        <v>1160</v>
      </c>
      <c r="Q1481" t="s">
        <v>8272</v>
      </c>
      <c r="Y1481" t="s">
        <v>8273</v>
      </c>
    </row>
    <row r="1482" spans="1:25" x14ac:dyDescent="0.25">
      <c r="A1482" t="str">
        <f>"1164137390"</f>
        <v>1164137390</v>
      </c>
      <c r="B1482" t="s">
        <v>519</v>
      </c>
      <c r="C1482" t="s">
        <v>8279</v>
      </c>
      <c r="D1482" t="s">
        <v>8274</v>
      </c>
      <c r="F1482" t="s">
        <v>1</v>
      </c>
      <c r="G1482" t="s">
        <v>2</v>
      </c>
      <c r="H1482" t="s">
        <v>8275</v>
      </c>
      <c r="I1482" t="s">
        <v>8276</v>
      </c>
      <c r="L1482" t="s">
        <v>8277</v>
      </c>
      <c r="M1482" t="s">
        <v>8278</v>
      </c>
      <c r="P1482" t="s">
        <v>8280</v>
      </c>
      <c r="Q1482" t="s">
        <v>8281</v>
      </c>
      <c r="R1482" t="s">
        <v>8282</v>
      </c>
      <c r="T1482" t="s">
        <v>8283</v>
      </c>
      <c r="V1482" t="s">
        <v>8284</v>
      </c>
      <c r="Y1482" t="s">
        <v>8285</v>
      </c>
    </row>
    <row r="1483" spans="1:25" x14ac:dyDescent="0.25">
      <c r="A1483" t="str">
        <f>"1164763558"</f>
        <v>1164763558</v>
      </c>
      <c r="B1483" t="s">
        <v>456</v>
      </c>
      <c r="C1483" t="s">
        <v>8290</v>
      </c>
      <c r="D1483" t="s">
        <v>8286</v>
      </c>
      <c r="E1483">
        <v>424031</v>
      </c>
      <c r="F1483" t="s">
        <v>1</v>
      </c>
      <c r="G1483" t="s">
        <v>2</v>
      </c>
      <c r="H1483" t="s">
        <v>413</v>
      </c>
      <c r="I1483" t="s">
        <v>8287</v>
      </c>
      <c r="L1483" t="s">
        <v>8288</v>
      </c>
      <c r="M1483" t="s">
        <v>8289</v>
      </c>
      <c r="P1483" t="s">
        <v>330</v>
      </c>
      <c r="Q1483" t="s">
        <v>8291</v>
      </c>
      <c r="Y1483" t="s">
        <v>8292</v>
      </c>
    </row>
    <row r="1484" spans="1:25" x14ac:dyDescent="0.25">
      <c r="A1484" t="str">
        <f>"1165089749"</f>
        <v>1165089749</v>
      </c>
      <c r="B1484" t="s">
        <v>18</v>
      </c>
      <c r="C1484" t="s">
        <v>8297</v>
      </c>
      <c r="D1484" t="s">
        <v>8293</v>
      </c>
      <c r="F1484" t="s">
        <v>1</v>
      </c>
      <c r="G1484" t="s">
        <v>2</v>
      </c>
      <c r="H1484" t="s">
        <v>3536</v>
      </c>
      <c r="I1484" t="s">
        <v>8294</v>
      </c>
      <c r="L1484" t="s">
        <v>8295</v>
      </c>
      <c r="M1484" t="s">
        <v>8296</v>
      </c>
      <c r="P1484" t="s">
        <v>280</v>
      </c>
      <c r="Y1484" t="s">
        <v>8298</v>
      </c>
    </row>
    <row r="1485" spans="1:25" x14ac:dyDescent="0.25">
      <c r="A1485" t="str">
        <f>"1165240860"</f>
        <v>1165240860</v>
      </c>
      <c r="B1485" t="s">
        <v>319</v>
      </c>
      <c r="C1485" t="s">
        <v>320</v>
      </c>
      <c r="D1485" t="s">
        <v>8299</v>
      </c>
      <c r="E1485">
        <v>424038</v>
      </c>
      <c r="F1485" t="s">
        <v>1</v>
      </c>
      <c r="G1485" t="s">
        <v>2</v>
      </c>
      <c r="H1485" t="s">
        <v>465</v>
      </c>
      <c r="I1485" t="s">
        <v>8300</v>
      </c>
      <c r="L1485" t="s">
        <v>8301</v>
      </c>
      <c r="M1485" t="s">
        <v>8302</v>
      </c>
      <c r="P1485" t="s">
        <v>216</v>
      </c>
      <c r="Y1485" t="s">
        <v>8303</v>
      </c>
    </row>
    <row r="1486" spans="1:25" x14ac:dyDescent="0.25">
      <c r="A1486" t="str">
        <f>"1165598467"</f>
        <v>1165598467</v>
      </c>
      <c r="B1486" t="s">
        <v>2790</v>
      </c>
      <c r="C1486" t="s">
        <v>3528</v>
      </c>
      <c r="D1486" t="s">
        <v>8304</v>
      </c>
      <c r="E1486">
        <v>424000</v>
      </c>
      <c r="F1486" t="s">
        <v>1</v>
      </c>
      <c r="G1486" t="s">
        <v>2</v>
      </c>
      <c r="H1486" t="s">
        <v>3741</v>
      </c>
      <c r="I1486" t="s">
        <v>8305</v>
      </c>
      <c r="Y1486" t="s">
        <v>8306</v>
      </c>
    </row>
    <row r="1487" spans="1:25" x14ac:dyDescent="0.25">
      <c r="A1487" t="str">
        <f>"1166298558"</f>
        <v>1166298558</v>
      </c>
      <c r="B1487" t="s">
        <v>188</v>
      </c>
      <c r="C1487" t="s">
        <v>8311</v>
      </c>
      <c r="D1487" t="s">
        <v>8307</v>
      </c>
      <c r="E1487">
        <v>424036</v>
      </c>
      <c r="F1487" t="s">
        <v>1</v>
      </c>
      <c r="G1487" t="s">
        <v>2</v>
      </c>
      <c r="H1487" t="s">
        <v>2291</v>
      </c>
      <c r="I1487" t="s">
        <v>8308</v>
      </c>
      <c r="L1487" t="s">
        <v>8309</v>
      </c>
      <c r="M1487" t="s">
        <v>8310</v>
      </c>
      <c r="P1487" t="s">
        <v>4126</v>
      </c>
      <c r="Q1487" t="s">
        <v>8312</v>
      </c>
      <c r="Y1487" t="s">
        <v>8313</v>
      </c>
    </row>
    <row r="1488" spans="1:25" x14ac:dyDescent="0.25">
      <c r="A1488" t="str">
        <f>"1166385494"</f>
        <v>1166385494</v>
      </c>
      <c r="B1488" t="s">
        <v>1046</v>
      </c>
      <c r="C1488" t="s">
        <v>3497</v>
      </c>
      <c r="D1488" t="s">
        <v>1594</v>
      </c>
      <c r="E1488">
        <v>424028</v>
      </c>
      <c r="F1488" t="s">
        <v>1</v>
      </c>
      <c r="G1488" t="s">
        <v>2</v>
      </c>
      <c r="H1488" t="s">
        <v>8314</v>
      </c>
      <c r="I1488" t="s">
        <v>8315</v>
      </c>
      <c r="J1488" t="s">
        <v>8316</v>
      </c>
      <c r="P1488" t="s">
        <v>330</v>
      </c>
      <c r="Y1488" t="s">
        <v>8317</v>
      </c>
    </row>
    <row r="1489" spans="1:25" x14ac:dyDescent="0.25">
      <c r="A1489" t="str">
        <f>"1167221976"</f>
        <v>1167221976</v>
      </c>
      <c r="B1489" t="s">
        <v>624</v>
      </c>
      <c r="C1489" t="s">
        <v>8322</v>
      </c>
      <c r="D1489" t="s">
        <v>8318</v>
      </c>
      <c r="E1489">
        <v>424006</v>
      </c>
      <c r="F1489" t="s">
        <v>1</v>
      </c>
      <c r="G1489" t="s">
        <v>2</v>
      </c>
      <c r="H1489" t="s">
        <v>2775</v>
      </c>
      <c r="I1489" t="s">
        <v>8319</v>
      </c>
      <c r="L1489" t="s">
        <v>8320</v>
      </c>
      <c r="M1489" t="s">
        <v>8321</v>
      </c>
      <c r="P1489" t="s">
        <v>2979</v>
      </c>
      <c r="Q1489" t="s">
        <v>8323</v>
      </c>
      <c r="Y1489" t="s">
        <v>8324</v>
      </c>
    </row>
    <row r="1490" spans="1:25" x14ac:dyDescent="0.25">
      <c r="A1490" t="str">
        <f>"1167463349"</f>
        <v>1167463349</v>
      </c>
      <c r="B1490" t="s">
        <v>456</v>
      </c>
      <c r="C1490" t="s">
        <v>8330</v>
      </c>
      <c r="D1490" t="s">
        <v>8325</v>
      </c>
      <c r="E1490">
        <v>424004</v>
      </c>
      <c r="F1490" t="s">
        <v>1</v>
      </c>
      <c r="G1490" t="s">
        <v>2</v>
      </c>
      <c r="H1490" t="s">
        <v>8326</v>
      </c>
      <c r="I1490" t="s">
        <v>8327</v>
      </c>
      <c r="L1490" t="s">
        <v>8328</v>
      </c>
      <c r="M1490" t="s">
        <v>8329</v>
      </c>
      <c r="Y1490" t="s">
        <v>8331</v>
      </c>
    </row>
    <row r="1491" spans="1:25" x14ac:dyDescent="0.25">
      <c r="A1491" t="str">
        <f>"1167523825"</f>
        <v>1167523825</v>
      </c>
      <c r="B1491" t="s">
        <v>18</v>
      </c>
      <c r="C1491" t="s">
        <v>8337</v>
      </c>
      <c r="D1491" t="s">
        <v>8332</v>
      </c>
      <c r="F1491" t="s">
        <v>1</v>
      </c>
      <c r="G1491" t="s">
        <v>2</v>
      </c>
      <c r="H1491" t="s">
        <v>3711</v>
      </c>
      <c r="I1491" t="s">
        <v>8333</v>
      </c>
      <c r="J1491" t="s">
        <v>8334</v>
      </c>
      <c r="L1491" t="s">
        <v>8335</v>
      </c>
      <c r="M1491" t="s">
        <v>8336</v>
      </c>
      <c r="P1491" t="s">
        <v>8338</v>
      </c>
      <c r="Q1491" t="s">
        <v>8339</v>
      </c>
      <c r="Y1491" t="s">
        <v>8340</v>
      </c>
    </row>
    <row r="1492" spans="1:25" x14ac:dyDescent="0.25">
      <c r="A1492" t="str">
        <f>"1167583052"</f>
        <v>1167583052</v>
      </c>
      <c r="B1492" t="s">
        <v>18</v>
      </c>
      <c r="C1492" t="s">
        <v>8346</v>
      </c>
      <c r="D1492" t="s">
        <v>8341</v>
      </c>
      <c r="F1492" t="s">
        <v>1</v>
      </c>
      <c r="G1492" t="s">
        <v>2</v>
      </c>
      <c r="H1492" t="s">
        <v>4152</v>
      </c>
      <c r="I1492" t="s">
        <v>8342</v>
      </c>
      <c r="J1492" t="s">
        <v>8343</v>
      </c>
      <c r="L1492" t="s">
        <v>8344</v>
      </c>
      <c r="M1492" t="s">
        <v>8345</v>
      </c>
      <c r="P1492" t="s">
        <v>799</v>
      </c>
      <c r="Q1492" t="s">
        <v>8347</v>
      </c>
      <c r="Y1492" t="s">
        <v>8348</v>
      </c>
    </row>
    <row r="1493" spans="1:25" x14ac:dyDescent="0.25">
      <c r="A1493" t="str">
        <f>"1167759265"</f>
        <v>1167759265</v>
      </c>
      <c r="B1493" t="s">
        <v>18</v>
      </c>
      <c r="C1493" t="s">
        <v>8353</v>
      </c>
      <c r="D1493" t="s">
        <v>8349</v>
      </c>
      <c r="E1493">
        <v>424016</v>
      </c>
      <c r="F1493" t="s">
        <v>1</v>
      </c>
      <c r="G1493" t="s">
        <v>2</v>
      </c>
      <c r="H1493" t="s">
        <v>8350</v>
      </c>
      <c r="I1493" t="s">
        <v>8351</v>
      </c>
      <c r="K1493" t="s">
        <v>8352</v>
      </c>
      <c r="P1493" t="s">
        <v>8354</v>
      </c>
      <c r="Y1493" t="s">
        <v>8355</v>
      </c>
    </row>
    <row r="1494" spans="1:25" x14ac:dyDescent="0.25">
      <c r="A1494" t="str">
        <f>"1168314958"</f>
        <v>1168314958</v>
      </c>
      <c r="B1494" t="s">
        <v>319</v>
      </c>
      <c r="C1494" t="s">
        <v>320</v>
      </c>
      <c r="D1494" t="s">
        <v>8356</v>
      </c>
      <c r="E1494">
        <v>424004</v>
      </c>
      <c r="F1494" t="s">
        <v>1</v>
      </c>
      <c r="G1494" t="s">
        <v>2</v>
      </c>
      <c r="H1494" t="s">
        <v>8357</v>
      </c>
      <c r="I1494" t="s">
        <v>8358</v>
      </c>
      <c r="L1494" t="s">
        <v>8359</v>
      </c>
      <c r="M1494" t="s">
        <v>8360</v>
      </c>
      <c r="P1494" t="s">
        <v>8361</v>
      </c>
      <c r="T1494" t="s">
        <v>8362</v>
      </c>
      <c r="Y1494" t="s">
        <v>8363</v>
      </c>
    </row>
    <row r="1495" spans="1:25" x14ac:dyDescent="0.25">
      <c r="A1495" t="str">
        <f>"1168720230"</f>
        <v>1168720230</v>
      </c>
      <c r="B1495" t="s">
        <v>379</v>
      </c>
      <c r="C1495" t="s">
        <v>1776</v>
      </c>
      <c r="D1495" t="s">
        <v>8364</v>
      </c>
      <c r="E1495">
        <v>424000</v>
      </c>
      <c r="F1495" t="s">
        <v>1</v>
      </c>
      <c r="G1495" t="s">
        <v>2</v>
      </c>
      <c r="H1495" t="s">
        <v>8365</v>
      </c>
      <c r="I1495" t="s">
        <v>8366</v>
      </c>
      <c r="L1495" t="s">
        <v>8367</v>
      </c>
      <c r="M1495" t="s">
        <v>8368</v>
      </c>
      <c r="P1495" t="s">
        <v>27</v>
      </c>
      <c r="Y1495" t="s">
        <v>8369</v>
      </c>
    </row>
    <row r="1496" spans="1:25" x14ac:dyDescent="0.25">
      <c r="A1496" t="str">
        <f>"1169416122"</f>
        <v>1169416122</v>
      </c>
      <c r="B1496" t="s">
        <v>930</v>
      </c>
      <c r="C1496" t="s">
        <v>6070</v>
      </c>
      <c r="D1496" t="s">
        <v>8370</v>
      </c>
      <c r="F1496" t="s">
        <v>1</v>
      </c>
      <c r="G1496" t="s">
        <v>2</v>
      </c>
      <c r="H1496" t="s">
        <v>1600</v>
      </c>
      <c r="I1496" t="s">
        <v>8371</v>
      </c>
      <c r="P1496" t="s">
        <v>8372</v>
      </c>
      <c r="Y1496" t="s">
        <v>2417</v>
      </c>
    </row>
    <row r="1497" spans="1:25" x14ac:dyDescent="0.25">
      <c r="A1497" t="str">
        <f>"1169441587"</f>
        <v>1169441587</v>
      </c>
      <c r="B1497" t="s">
        <v>123</v>
      </c>
      <c r="C1497" t="s">
        <v>424</v>
      </c>
      <c r="D1497" t="s">
        <v>8373</v>
      </c>
      <c r="E1497">
        <v>424004</v>
      </c>
      <c r="F1497" t="s">
        <v>1</v>
      </c>
      <c r="G1497" t="s">
        <v>2</v>
      </c>
      <c r="H1497" t="s">
        <v>1330</v>
      </c>
      <c r="I1497" t="s">
        <v>8374</v>
      </c>
      <c r="J1497" t="s">
        <v>8375</v>
      </c>
      <c r="L1497" t="s">
        <v>8376</v>
      </c>
      <c r="M1497" t="s">
        <v>8377</v>
      </c>
      <c r="P1497" t="s">
        <v>425</v>
      </c>
      <c r="Y1497" t="s">
        <v>8378</v>
      </c>
    </row>
    <row r="1498" spans="1:25" x14ac:dyDescent="0.25">
      <c r="A1498" t="str">
        <f>"1170455561"</f>
        <v>1170455561</v>
      </c>
      <c r="B1498" t="s">
        <v>397</v>
      </c>
      <c r="C1498" t="s">
        <v>8383</v>
      </c>
      <c r="D1498" t="s">
        <v>8379</v>
      </c>
      <c r="E1498">
        <v>424006</v>
      </c>
      <c r="F1498" t="s">
        <v>1</v>
      </c>
      <c r="G1498" t="s">
        <v>2</v>
      </c>
      <c r="H1498" t="s">
        <v>1003</v>
      </c>
      <c r="I1498" t="s">
        <v>8380</v>
      </c>
      <c r="L1498" t="s">
        <v>8381</v>
      </c>
      <c r="M1498" t="s">
        <v>8382</v>
      </c>
      <c r="P1498" t="s">
        <v>689</v>
      </c>
      <c r="Y1498" t="s">
        <v>1006</v>
      </c>
    </row>
    <row r="1499" spans="1:25" x14ac:dyDescent="0.25">
      <c r="A1499" t="str">
        <f>"1170645060"</f>
        <v>1170645060</v>
      </c>
      <c r="B1499" t="s">
        <v>25</v>
      </c>
      <c r="C1499" t="s">
        <v>59</v>
      </c>
      <c r="D1499" t="s">
        <v>8384</v>
      </c>
      <c r="E1499">
        <v>424002</v>
      </c>
      <c r="F1499" t="s">
        <v>1</v>
      </c>
      <c r="G1499" t="s">
        <v>2</v>
      </c>
      <c r="H1499" t="s">
        <v>3611</v>
      </c>
      <c r="I1499" t="s">
        <v>8385</v>
      </c>
      <c r="L1499" t="s">
        <v>8386</v>
      </c>
      <c r="M1499" t="s">
        <v>8387</v>
      </c>
      <c r="P1499" t="s">
        <v>2438</v>
      </c>
      <c r="Y1499" t="s">
        <v>8388</v>
      </c>
    </row>
    <row r="1500" spans="1:25" x14ac:dyDescent="0.25">
      <c r="A1500" t="str">
        <f>"1170722544"</f>
        <v>1170722544</v>
      </c>
      <c r="B1500" t="s">
        <v>328</v>
      </c>
      <c r="C1500" t="s">
        <v>8392</v>
      </c>
      <c r="D1500" t="s">
        <v>8389</v>
      </c>
      <c r="E1500">
        <v>424006</v>
      </c>
      <c r="F1500" t="s">
        <v>1</v>
      </c>
      <c r="G1500" t="s">
        <v>2</v>
      </c>
      <c r="H1500" t="s">
        <v>4821</v>
      </c>
      <c r="I1500" t="s">
        <v>8390</v>
      </c>
      <c r="K1500" t="s">
        <v>8391</v>
      </c>
      <c r="P1500" t="s">
        <v>2979</v>
      </c>
      <c r="Y1500" t="s">
        <v>4825</v>
      </c>
    </row>
    <row r="1501" spans="1:25" x14ac:dyDescent="0.25">
      <c r="A1501" t="str">
        <f>"1170772485"</f>
        <v>1170772485</v>
      </c>
      <c r="B1501" t="s">
        <v>379</v>
      </c>
      <c r="C1501" t="s">
        <v>380</v>
      </c>
      <c r="D1501" t="s">
        <v>8393</v>
      </c>
      <c r="E1501">
        <v>424004</v>
      </c>
      <c r="F1501" t="s">
        <v>1</v>
      </c>
      <c r="G1501" t="s">
        <v>2</v>
      </c>
      <c r="H1501" t="s">
        <v>3489</v>
      </c>
      <c r="I1501" t="s">
        <v>8394</v>
      </c>
      <c r="L1501" t="s">
        <v>8395</v>
      </c>
      <c r="M1501" t="s">
        <v>8396</v>
      </c>
      <c r="P1501" t="s">
        <v>8397</v>
      </c>
      <c r="Q1501" t="s">
        <v>8398</v>
      </c>
      <c r="R1501" t="s">
        <v>8399</v>
      </c>
      <c r="S1501" t="s">
        <v>8400</v>
      </c>
      <c r="T1501" t="s">
        <v>8401</v>
      </c>
      <c r="Y1501" t="s">
        <v>8402</v>
      </c>
    </row>
    <row r="1502" spans="1:25" x14ac:dyDescent="0.25">
      <c r="A1502" t="str">
        <f>"1171284258"</f>
        <v>1171284258</v>
      </c>
      <c r="B1502" t="s">
        <v>348</v>
      </c>
      <c r="C1502" t="s">
        <v>8406</v>
      </c>
      <c r="D1502" t="s">
        <v>4850</v>
      </c>
      <c r="E1502">
        <v>424019</v>
      </c>
      <c r="F1502" t="s">
        <v>1</v>
      </c>
      <c r="G1502" t="s">
        <v>2</v>
      </c>
      <c r="H1502" t="s">
        <v>7785</v>
      </c>
      <c r="J1502" t="s">
        <v>8403</v>
      </c>
      <c r="L1502" t="s">
        <v>8404</v>
      </c>
      <c r="M1502" t="s">
        <v>8405</v>
      </c>
      <c r="P1502" t="s">
        <v>98</v>
      </c>
      <c r="Q1502" t="s">
        <v>8407</v>
      </c>
      <c r="T1502" t="s">
        <v>8408</v>
      </c>
      <c r="V1502" t="s">
        <v>8409</v>
      </c>
      <c r="Y1502" t="s">
        <v>8410</v>
      </c>
    </row>
    <row r="1503" spans="1:25" x14ac:dyDescent="0.25">
      <c r="A1503" t="str">
        <f>"1171407407"</f>
        <v>1171407407</v>
      </c>
      <c r="B1503" t="s">
        <v>379</v>
      </c>
      <c r="C1503" t="s">
        <v>380</v>
      </c>
      <c r="D1503" t="s">
        <v>8393</v>
      </c>
      <c r="E1503">
        <v>424038</v>
      </c>
      <c r="F1503" t="s">
        <v>1</v>
      </c>
      <c r="G1503" t="s">
        <v>2</v>
      </c>
      <c r="H1503" t="s">
        <v>6550</v>
      </c>
      <c r="I1503" t="s">
        <v>8411</v>
      </c>
      <c r="L1503" t="s">
        <v>8395</v>
      </c>
      <c r="M1503" t="s">
        <v>8396</v>
      </c>
      <c r="P1503" t="s">
        <v>3814</v>
      </c>
      <c r="Q1503" t="s">
        <v>8412</v>
      </c>
      <c r="R1503" t="s">
        <v>8399</v>
      </c>
      <c r="S1503" t="s">
        <v>8400</v>
      </c>
      <c r="T1503" t="s">
        <v>8401</v>
      </c>
      <c r="Y1503" t="s">
        <v>8413</v>
      </c>
    </row>
    <row r="1504" spans="1:25" x14ac:dyDescent="0.25">
      <c r="A1504" t="str">
        <f>"1172546769"</f>
        <v>1172546769</v>
      </c>
      <c r="B1504" t="s">
        <v>456</v>
      </c>
      <c r="C1504" t="s">
        <v>8419</v>
      </c>
      <c r="D1504" t="s">
        <v>8414</v>
      </c>
      <c r="E1504">
        <v>424037</v>
      </c>
      <c r="F1504" t="s">
        <v>1</v>
      </c>
      <c r="G1504" t="s">
        <v>2</v>
      </c>
      <c r="H1504" t="s">
        <v>8415</v>
      </c>
      <c r="I1504" t="s">
        <v>8416</v>
      </c>
      <c r="J1504" t="s">
        <v>8417</v>
      </c>
      <c r="L1504" t="s">
        <v>8418</v>
      </c>
      <c r="P1504" t="s">
        <v>133</v>
      </c>
      <c r="Q1504" t="s">
        <v>8420</v>
      </c>
      <c r="Y1504" t="s">
        <v>8421</v>
      </c>
    </row>
    <row r="1505" spans="1:25" x14ac:dyDescent="0.25">
      <c r="A1505" t="str">
        <f>"1173790391"</f>
        <v>1173790391</v>
      </c>
      <c r="B1505" t="s">
        <v>1078</v>
      </c>
      <c r="C1505" t="s">
        <v>8425</v>
      </c>
      <c r="D1505" t="s">
        <v>8422</v>
      </c>
      <c r="F1505" t="s">
        <v>1</v>
      </c>
      <c r="G1505" t="s">
        <v>2</v>
      </c>
      <c r="H1505" t="s">
        <v>343</v>
      </c>
      <c r="I1505" t="s">
        <v>8423</v>
      </c>
      <c r="J1505" t="s">
        <v>8424</v>
      </c>
      <c r="K1505" t="s">
        <v>6777</v>
      </c>
      <c r="M1505" t="s">
        <v>6778</v>
      </c>
      <c r="P1505" t="s">
        <v>280</v>
      </c>
      <c r="Y1505" t="s">
        <v>345</v>
      </c>
    </row>
    <row r="1506" spans="1:25" x14ac:dyDescent="0.25">
      <c r="A1506" t="str">
        <f>"1174431838"</f>
        <v>1174431838</v>
      </c>
      <c r="B1506" t="s">
        <v>123</v>
      </c>
      <c r="C1506" t="s">
        <v>196</v>
      </c>
      <c r="D1506" t="s">
        <v>8426</v>
      </c>
      <c r="E1506">
        <v>424007</v>
      </c>
      <c r="F1506" t="s">
        <v>1</v>
      </c>
      <c r="G1506" t="s">
        <v>2</v>
      </c>
      <c r="H1506" t="s">
        <v>5647</v>
      </c>
      <c r="I1506" t="s">
        <v>8427</v>
      </c>
      <c r="L1506" t="s">
        <v>8428</v>
      </c>
      <c r="M1506" t="s">
        <v>8429</v>
      </c>
      <c r="P1506" t="s">
        <v>8372</v>
      </c>
      <c r="Q1506" t="s">
        <v>8430</v>
      </c>
      <c r="Y1506" t="s">
        <v>8431</v>
      </c>
    </row>
    <row r="1507" spans="1:25" x14ac:dyDescent="0.25">
      <c r="A1507" t="str">
        <f>"1174556074"</f>
        <v>1174556074</v>
      </c>
      <c r="B1507" t="s">
        <v>574</v>
      </c>
      <c r="C1507" t="s">
        <v>8436</v>
      </c>
      <c r="D1507" t="s">
        <v>8432</v>
      </c>
      <c r="E1507">
        <v>424033</v>
      </c>
      <c r="F1507" t="s">
        <v>1</v>
      </c>
      <c r="G1507" t="s">
        <v>2</v>
      </c>
      <c r="H1507" t="s">
        <v>6126</v>
      </c>
      <c r="I1507" t="s">
        <v>8433</v>
      </c>
      <c r="L1507" t="s">
        <v>8434</v>
      </c>
      <c r="M1507" t="s">
        <v>8435</v>
      </c>
      <c r="P1507" t="s">
        <v>330</v>
      </c>
      <c r="Q1507" t="s">
        <v>8437</v>
      </c>
      <c r="T1507" t="s">
        <v>8438</v>
      </c>
      <c r="V1507" t="s">
        <v>8439</v>
      </c>
      <c r="Y1507" t="s">
        <v>8440</v>
      </c>
    </row>
    <row r="1508" spans="1:25" x14ac:dyDescent="0.25">
      <c r="A1508" t="str">
        <f>"1174824606"</f>
        <v>1174824606</v>
      </c>
      <c r="B1508" t="s">
        <v>80</v>
      </c>
      <c r="C1508" t="s">
        <v>3295</v>
      </c>
      <c r="D1508" t="s">
        <v>8441</v>
      </c>
      <c r="E1508">
        <v>424032</v>
      </c>
      <c r="F1508" t="s">
        <v>1</v>
      </c>
      <c r="G1508" t="s">
        <v>2</v>
      </c>
      <c r="H1508" t="s">
        <v>6045</v>
      </c>
      <c r="I1508" t="s">
        <v>8442</v>
      </c>
      <c r="L1508" t="s">
        <v>8443</v>
      </c>
      <c r="M1508" t="s">
        <v>8444</v>
      </c>
      <c r="P1508" t="s">
        <v>8445</v>
      </c>
      <c r="Q1508" t="s">
        <v>8446</v>
      </c>
      <c r="Y1508" t="s">
        <v>6048</v>
      </c>
    </row>
    <row r="1509" spans="1:25" x14ac:dyDescent="0.25">
      <c r="A1509" t="str">
        <f>"1175657816"</f>
        <v>1175657816</v>
      </c>
      <c r="B1509" t="s">
        <v>1152</v>
      </c>
      <c r="C1509" t="s">
        <v>8449</v>
      </c>
      <c r="D1509" t="s">
        <v>8447</v>
      </c>
      <c r="E1509">
        <v>424007</v>
      </c>
      <c r="F1509" t="s">
        <v>1</v>
      </c>
      <c r="G1509" t="s">
        <v>2</v>
      </c>
      <c r="H1509" t="s">
        <v>7196</v>
      </c>
      <c r="J1509" t="s">
        <v>8448</v>
      </c>
      <c r="P1509" t="s">
        <v>7053</v>
      </c>
      <c r="Y1509" t="s">
        <v>8450</v>
      </c>
    </row>
    <row r="1510" spans="1:25" x14ac:dyDescent="0.25">
      <c r="A1510" t="str">
        <f>"1175853442"</f>
        <v>1175853442</v>
      </c>
      <c r="B1510" t="s">
        <v>1262</v>
      </c>
      <c r="C1510" t="s">
        <v>8454</v>
      </c>
      <c r="D1510" t="s">
        <v>8451</v>
      </c>
      <c r="E1510">
        <v>424007</v>
      </c>
      <c r="F1510" t="s">
        <v>1</v>
      </c>
      <c r="G1510" t="s">
        <v>2</v>
      </c>
      <c r="H1510" t="s">
        <v>7511</v>
      </c>
      <c r="I1510" t="s">
        <v>8452</v>
      </c>
      <c r="J1510" t="s">
        <v>8453</v>
      </c>
      <c r="P1510" t="s">
        <v>390</v>
      </c>
      <c r="Y1510" t="s">
        <v>7512</v>
      </c>
    </row>
    <row r="1511" spans="1:25" x14ac:dyDescent="0.25">
      <c r="A1511" t="str">
        <f>"1175903303"</f>
        <v>1175903303</v>
      </c>
      <c r="B1511" t="s">
        <v>348</v>
      </c>
      <c r="C1511" t="s">
        <v>8457</v>
      </c>
      <c r="D1511" t="s">
        <v>8455</v>
      </c>
      <c r="E1511">
        <v>424038</v>
      </c>
      <c r="F1511" t="s">
        <v>1</v>
      </c>
      <c r="G1511" t="s">
        <v>2</v>
      </c>
      <c r="H1511" t="s">
        <v>6550</v>
      </c>
      <c r="J1511" t="s">
        <v>8456</v>
      </c>
      <c r="P1511" t="s">
        <v>941</v>
      </c>
      <c r="Y1511" t="s">
        <v>6552</v>
      </c>
    </row>
    <row r="1512" spans="1:25" x14ac:dyDescent="0.25">
      <c r="A1512" t="str">
        <f>"1175911096"</f>
        <v>1175911096</v>
      </c>
      <c r="B1512" t="s">
        <v>348</v>
      </c>
      <c r="C1512" t="s">
        <v>8460</v>
      </c>
      <c r="D1512" t="s">
        <v>348</v>
      </c>
      <c r="E1512">
        <v>424003</v>
      </c>
      <c r="F1512" t="s">
        <v>1</v>
      </c>
      <c r="G1512" t="s">
        <v>2</v>
      </c>
      <c r="H1512" t="s">
        <v>38</v>
      </c>
      <c r="I1512" t="s">
        <v>8458</v>
      </c>
      <c r="L1512" t="s">
        <v>8459</v>
      </c>
      <c r="P1512" t="s">
        <v>1160</v>
      </c>
      <c r="Q1512" t="s">
        <v>8461</v>
      </c>
      <c r="Y1512" t="s">
        <v>8462</v>
      </c>
    </row>
    <row r="1513" spans="1:25" x14ac:dyDescent="0.25">
      <c r="A1513" t="str">
        <f>"1176066387"</f>
        <v>1176066387</v>
      </c>
      <c r="B1513" t="s">
        <v>2846</v>
      </c>
      <c r="C1513" t="s">
        <v>8468</v>
      </c>
      <c r="D1513" t="s">
        <v>8463</v>
      </c>
      <c r="F1513" t="s">
        <v>1</v>
      </c>
      <c r="G1513" t="s">
        <v>2</v>
      </c>
      <c r="H1513" t="s">
        <v>8464</v>
      </c>
      <c r="J1513" t="s">
        <v>8465</v>
      </c>
      <c r="L1513" t="s">
        <v>8466</v>
      </c>
      <c r="M1513" t="s">
        <v>8467</v>
      </c>
      <c r="P1513" t="s">
        <v>6456</v>
      </c>
      <c r="Q1513" t="s">
        <v>8469</v>
      </c>
      <c r="Y1513" t="s">
        <v>8470</v>
      </c>
    </row>
    <row r="1514" spans="1:25" x14ac:dyDescent="0.25">
      <c r="A1514" t="str">
        <f>"1176176762"</f>
        <v>1176176762</v>
      </c>
      <c r="B1514" t="s">
        <v>1078</v>
      </c>
      <c r="C1514" t="s">
        <v>1079</v>
      </c>
      <c r="D1514" t="s">
        <v>8471</v>
      </c>
      <c r="E1514">
        <v>424003</v>
      </c>
      <c r="F1514" t="s">
        <v>1</v>
      </c>
      <c r="G1514" t="s">
        <v>2</v>
      </c>
      <c r="H1514" t="s">
        <v>8472</v>
      </c>
      <c r="I1514" t="s">
        <v>8473</v>
      </c>
      <c r="L1514" t="s">
        <v>4892</v>
      </c>
      <c r="M1514" t="s">
        <v>8474</v>
      </c>
      <c r="P1514" t="s">
        <v>112</v>
      </c>
      <c r="Q1514" t="s">
        <v>4894</v>
      </c>
      <c r="Y1514" t="s">
        <v>8475</v>
      </c>
    </row>
    <row r="1515" spans="1:25" x14ac:dyDescent="0.25">
      <c r="A1515" t="str">
        <f>"1176280756"</f>
        <v>1176280756</v>
      </c>
      <c r="B1515" t="s">
        <v>96</v>
      </c>
      <c r="C1515" t="s">
        <v>8479</v>
      </c>
      <c r="D1515" t="s">
        <v>8476</v>
      </c>
      <c r="E1515">
        <v>424000</v>
      </c>
      <c r="F1515" t="s">
        <v>1</v>
      </c>
      <c r="G1515" t="s">
        <v>2</v>
      </c>
      <c r="H1515" t="s">
        <v>265</v>
      </c>
      <c r="I1515" t="s">
        <v>8477</v>
      </c>
      <c r="J1515" t="s">
        <v>8478</v>
      </c>
      <c r="Y1515" t="s">
        <v>8480</v>
      </c>
    </row>
    <row r="1516" spans="1:25" x14ac:dyDescent="0.25">
      <c r="A1516" t="str">
        <f>"1176354238"</f>
        <v>1176354238</v>
      </c>
      <c r="B1516" t="s">
        <v>96</v>
      </c>
      <c r="C1516" t="s">
        <v>8487</v>
      </c>
      <c r="D1516" t="s">
        <v>8481</v>
      </c>
      <c r="E1516">
        <v>424006</v>
      </c>
      <c r="F1516" t="s">
        <v>1</v>
      </c>
      <c r="G1516" t="s">
        <v>2</v>
      </c>
      <c r="H1516" t="s">
        <v>8482</v>
      </c>
      <c r="I1516" t="s">
        <v>8483</v>
      </c>
      <c r="J1516" t="s">
        <v>8484</v>
      </c>
      <c r="L1516" t="s">
        <v>8485</v>
      </c>
      <c r="M1516" t="s">
        <v>8486</v>
      </c>
      <c r="P1516" t="s">
        <v>27</v>
      </c>
      <c r="Y1516" t="s">
        <v>8488</v>
      </c>
    </row>
    <row r="1517" spans="1:25" x14ac:dyDescent="0.25">
      <c r="A1517" t="str">
        <f>"1176630891"</f>
        <v>1176630891</v>
      </c>
      <c r="B1517" t="s">
        <v>348</v>
      </c>
      <c r="C1517" t="s">
        <v>4366</v>
      </c>
      <c r="D1517" t="s">
        <v>8489</v>
      </c>
      <c r="F1517" t="s">
        <v>1</v>
      </c>
      <c r="G1517" t="s">
        <v>2</v>
      </c>
      <c r="H1517" t="s">
        <v>2745</v>
      </c>
      <c r="I1517" t="s">
        <v>8490</v>
      </c>
      <c r="M1517" t="s">
        <v>8491</v>
      </c>
      <c r="P1517" t="s">
        <v>27</v>
      </c>
      <c r="Y1517" t="s">
        <v>8492</v>
      </c>
    </row>
    <row r="1518" spans="1:25" x14ac:dyDescent="0.25">
      <c r="A1518" t="str">
        <f>"1176661932"</f>
        <v>1176661932</v>
      </c>
      <c r="B1518" t="s">
        <v>2818</v>
      </c>
      <c r="C1518" t="s">
        <v>6466</v>
      </c>
      <c r="D1518" t="s">
        <v>8493</v>
      </c>
      <c r="E1518">
        <v>424037</v>
      </c>
      <c r="F1518" t="s">
        <v>1</v>
      </c>
      <c r="G1518" t="s">
        <v>2</v>
      </c>
      <c r="H1518" t="s">
        <v>8494</v>
      </c>
      <c r="I1518" t="s">
        <v>8495</v>
      </c>
      <c r="L1518" t="s">
        <v>8496</v>
      </c>
      <c r="M1518" t="s">
        <v>8497</v>
      </c>
      <c r="P1518" t="s">
        <v>20</v>
      </c>
      <c r="Q1518" t="s">
        <v>8498</v>
      </c>
      <c r="Y1518" t="s">
        <v>8499</v>
      </c>
    </row>
    <row r="1519" spans="1:25" x14ac:dyDescent="0.25">
      <c r="A1519" t="str">
        <f>"1176948047"</f>
        <v>1176948047</v>
      </c>
      <c r="B1519" t="s">
        <v>2062</v>
      </c>
      <c r="C1519" t="s">
        <v>2063</v>
      </c>
      <c r="D1519" t="s">
        <v>8500</v>
      </c>
      <c r="E1519">
        <v>424006</v>
      </c>
      <c r="F1519" t="s">
        <v>1</v>
      </c>
      <c r="G1519" t="s">
        <v>2</v>
      </c>
      <c r="H1519" t="s">
        <v>2966</v>
      </c>
      <c r="I1519" t="s">
        <v>8501</v>
      </c>
      <c r="L1519" t="s">
        <v>8502</v>
      </c>
      <c r="M1519" t="s">
        <v>8503</v>
      </c>
      <c r="P1519" t="s">
        <v>8504</v>
      </c>
      <c r="Y1519" t="s">
        <v>8505</v>
      </c>
    </row>
    <row r="1520" spans="1:25" x14ac:dyDescent="0.25">
      <c r="A1520" t="str">
        <f>"1177556935"</f>
        <v>1177556935</v>
      </c>
      <c r="B1520" t="s">
        <v>18</v>
      </c>
      <c r="C1520" t="s">
        <v>8510</v>
      </c>
      <c r="D1520" t="s">
        <v>8506</v>
      </c>
      <c r="E1520">
        <v>424007</v>
      </c>
      <c r="F1520" t="s">
        <v>1</v>
      </c>
      <c r="G1520" t="s">
        <v>2</v>
      </c>
      <c r="H1520" t="s">
        <v>220</v>
      </c>
      <c r="I1520" t="s">
        <v>8507</v>
      </c>
      <c r="L1520" t="s">
        <v>8508</v>
      </c>
      <c r="M1520" t="s">
        <v>8509</v>
      </c>
      <c r="P1520" t="s">
        <v>1257</v>
      </c>
      <c r="Y1520" t="s">
        <v>227</v>
      </c>
    </row>
    <row r="1521" spans="1:25" x14ac:dyDescent="0.25">
      <c r="A1521" t="str">
        <f>"1177786205"</f>
        <v>1177786205</v>
      </c>
      <c r="B1521" t="s">
        <v>25</v>
      </c>
      <c r="C1521" t="s">
        <v>59</v>
      </c>
      <c r="D1521" t="s">
        <v>8511</v>
      </c>
      <c r="E1521">
        <v>424004</v>
      </c>
      <c r="F1521" t="s">
        <v>1</v>
      </c>
      <c r="G1521" t="s">
        <v>2</v>
      </c>
      <c r="H1521" t="s">
        <v>186</v>
      </c>
      <c r="I1521" t="s">
        <v>8512</v>
      </c>
      <c r="J1521" t="s">
        <v>8513</v>
      </c>
      <c r="L1521" t="s">
        <v>8514</v>
      </c>
      <c r="M1521" t="s">
        <v>8515</v>
      </c>
      <c r="P1521" t="s">
        <v>2951</v>
      </c>
      <c r="Y1521" t="s">
        <v>190</v>
      </c>
    </row>
    <row r="1522" spans="1:25" x14ac:dyDescent="0.25">
      <c r="A1522" t="str">
        <f>"1178991468"</f>
        <v>1178991468</v>
      </c>
      <c r="B1522" t="s">
        <v>352</v>
      </c>
      <c r="C1522" t="s">
        <v>353</v>
      </c>
      <c r="D1522" t="s">
        <v>8516</v>
      </c>
      <c r="E1522">
        <v>424007</v>
      </c>
      <c r="F1522" t="s">
        <v>1</v>
      </c>
      <c r="G1522" t="s">
        <v>2</v>
      </c>
      <c r="H1522" t="s">
        <v>1085</v>
      </c>
      <c r="I1522" t="s">
        <v>8517</v>
      </c>
      <c r="J1522" t="s">
        <v>8518</v>
      </c>
      <c r="Y1522" t="s">
        <v>1412</v>
      </c>
    </row>
    <row r="1523" spans="1:25" x14ac:dyDescent="0.25">
      <c r="A1523" t="str">
        <f>"1179049878"</f>
        <v>1179049878</v>
      </c>
      <c r="B1523" t="s">
        <v>1846</v>
      </c>
      <c r="C1523" t="s">
        <v>1846</v>
      </c>
      <c r="D1523" t="s">
        <v>8519</v>
      </c>
      <c r="E1523">
        <v>424006</v>
      </c>
      <c r="F1523" t="s">
        <v>1</v>
      </c>
      <c r="G1523" t="s">
        <v>2</v>
      </c>
      <c r="H1523" t="s">
        <v>2185</v>
      </c>
      <c r="P1523" t="s">
        <v>27</v>
      </c>
      <c r="Y1523" t="s">
        <v>2191</v>
      </c>
    </row>
    <row r="1524" spans="1:25" x14ac:dyDescent="0.25">
      <c r="A1524" t="str">
        <f>"1179974770"</f>
        <v>1179974770</v>
      </c>
      <c r="B1524" t="s">
        <v>1152</v>
      </c>
      <c r="C1524" t="s">
        <v>8523</v>
      </c>
      <c r="D1524" t="s">
        <v>8520</v>
      </c>
      <c r="F1524" t="s">
        <v>1</v>
      </c>
      <c r="G1524" t="s">
        <v>2</v>
      </c>
      <c r="H1524" t="s">
        <v>8521</v>
      </c>
      <c r="J1524" t="s">
        <v>8522</v>
      </c>
      <c r="P1524" t="s">
        <v>27</v>
      </c>
      <c r="Q1524" t="s">
        <v>8524</v>
      </c>
      <c r="Y1524" t="s">
        <v>8525</v>
      </c>
    </row>
    <row r="1525" spans="1:25" x14ac:dyDescent="0.25">
      <c r="A1525" t="str">
        <f>"1180467698"</f>
        <v>1180467698</v>
      </c>
      <c r="B1525" t="s">
        <v>703</v>
      </c>
      <c r="C1525" t="s">
        <v>2129</v>
      </c>
      <c r="D1525" t="s">
        <v>8526</v>
      </c>
      <c r="E1525">
        <v>424002</v>
      </c>
      <c r="F1525" t="s">
        <v>1</v>
      </c>
      <c r="G1525" t="s">
        <v>2</v>
      </c>
      <c r="H1525" t="s">
        <v>8527</v>
      </c>
      <c r="I1525" t="s">
        <v>8528</v>
      </c>
      <c r="P1525" t="s">
        <v>330</v>
      </c>
      <c r="Y1525" t="s">
        <v>8529</v>
      </c>
    </row>
    <row r="1526" spans="1:25" x14ac:dyDescent="0.25">
      <c r="A1526" t="str">
        <f>"1180769698"</f>
        <v>1180769698</v>
      </c>
      <c r="B1526" t="s">
        <v>3008</v>
      </c>
      <c r="C1526" t="s">
        <v>8536</v>
      </c>
      <c r="D1526" t="s">
        <v>8530</v>
      </c>
      <c r="E1526">
        <v>424918</v>
      </c>
      <c r="F1526" t="s">
        <v>1</v>
      </c>
      <c r="G1526" t="s">
        <v>2</v>
      </c>
      <c r="H1526" t="s">
        <v>8531</v>
      </c>
      <c r="I1526" t="s">
        <v>8532</v>
      </c>
      <c r="J1526" t="s">
        <v>8533</v>
      </c>
      <c r="L1526" t="s">
        <v>8534</v>
      </c>
      <c r="M1526" t="s">
        <v>8535</v>
      </c>
      <c r="P1526" t="s">
        <v>27</v>
      </c>
      <c r="Q1526" t="s">
        <v>8537</v>
      </c>
      <c r="S1526" t="s">
        <v>8538</v>
      </c>
      <c r="T1526" t="s">
        <v>8539</v>
      </c>
      <c r="V1526" t="s">
        <v>8540</v>
      </c>
      <c r="Y1526" t="s">
        <v>8541</v>
      </c>
    </row>
    <row r="1527" spans="1:25" x14ac:dyDescent="0.25">
      <c r="A1527" t="str">
        <f>"1181478157"</f>
        <v>1181478157</v>
      </c>
      <c r="B1527" t="s">
        <v>687</v>
      </c>
      <c r="C1527" t="s">
        <v>8544</v>
      </c>
      <c r="D1527" t="s">
        <v>8542</v>
      </c>
      <c r="E1527">
        <v>424020</v>
      </c>
      <c r="F1527" t="s">
        <v>1</v>
      </c>
      <c r="G1527" t="s">
        <v>2</v>
      </c>
      <c r="H1527" t="s">
        <v>1837</v>
      </c>
      <c r="J1527" t="s">
        <v>8543</v>
      </c>
      <c r="P1527" t="s">
        <v>260</v>
      </c>
      <c r="Y1527" t="s">
        <v>1842</v>
      </c>
    </row>
    <row r="1528" spans="1:25" x14ac:dyDescent="0.25">
      <c r="A1528" t="str">
        <f>"1181655066"</f>
        <v>1181655066</v>
      </c>
      <c r="B1528" t="s">
        <v>1493</v>
      </c>
      <c r="C1528" t="s">
        <v>8550</v>
      </c>
      <c r="D1528" t="s">
        <v>8545</v>
      </c>
      <c r="E1528">
        <v>424006</v>
      </c>
      <c r="F1528" t="s">
        <v>1</v>
      </c>
      <c r="G1528" t="s">
        <v>2</v>
      </c>
      <c r="H1528" t="s">
        <v>1923</v>
      </c>
      <c r="I1528" t="s">
        <v>8546</v>
      </c>
      <c r="K1528" t="s">
        <v>8547</v>
      </c>
      <c r="L1528" t="s">
        <v>8548</v>
      </c>
      <c r="M1528" t="s">
        <v>8549</v>
      </c>
      <c r="P1528" t="s">
        <v>2979</v>
      </c>
      <c r="Q1528" t="s">
        <v>8551</v>
      </c>
      <c r="Y1528" t="s">
        <v>1928</v>
      </c>
    </row>
    <row r="1529" spans="1:25" x14ac:dyDescent="0.25">
      <c r="A1529" t="str">
        <f>"1181840407"</f>
        <v>1181840407</v>
      </c>
      <c r="B1529" t="s">
        <v>456</v>
      </c>
      <c r="C1529" t="s">
        <v>8558</v>
      </c>
      <c r="D1529" t="s">
        <v>8552</v>
      </c>
      <c r="F1529" t="s">
        <v>1</v>
      </c>
      <c r="G1529" t="s">
        <v>2</v>
      </c>
      <c r="H1529" t="s">
        <v>8553</v>
      </c>
      <c r="I1529" t="s">
        <v>8554</v>
      </c>
      <c r="J1529" t="s">
        <v>8555</v>
      </c>
      <c r="L1529" t="s">
        <v>8556</v>
      </c>
      <c r="M1529" t="s">
        <v>8557</v>
      </c>
      <c r="P1529" t="s">
        <v>4043</v>
      </c>
      <c r="Q1529" t="s">
        <v>8559</v>
      </c>
      <c r="R1529" t="s">
        <v>8560</v>
      </c>
      <c r="T1529" t="s">
        <v>8561</v>
      </c>
      <c r="U1529" t="s">
        <v>8562</v>
      </c>
      <c r="V1529" t="s">
        <v>8563</v>
      </c>
      <c r="Y1529" t="s">
        <v>8564</v>
      </c>
    </row>
    <row r="1530" spans="1:25" x14ac:dyDescent="0.25">
      <c r="A1530" t="str">
        <f>"1182103554"</f>
        <v>1182103554</v>
      </c>
      <c r="B1530" t="s">
        <v>1846</v>
      </c>
      <c r="C1530" t="s">
        <v>1846</v>
      </c>
      <c r="D1530" t="s">
        <v>8565</v>
      </c>
      <c r="E1530">
        <v>424006</v>
      </c>
      <c r="F1530" t="s">
        <v>1</v>
      </c>
      <c r="G1530" t="s">
        <v>2</v>
      </c>
      <c r="H1530" t="s">
        <v>5761</v>
      </c>
      <c r="I1530" t="s">
        <v>8566</v>
      </c>
      <c r="J1530" t="s">
        <v>8567</v>
      </c>
      <c r="L1530" t="s">
        <v>8568</v>
      </c>
      <c r="M1530" t="s">
        <v>8569</v>
      </c>
      <c r="P1530" t="s">
        <v>27</v>
      </c>
      <c r="Y1530" t="s">
        <v>5764</v>
      </c>
    </row>
    <row r="1531" spans="1:25" x14ac:dyDescent="0.25">
      <c r="A1531" t="str">
        <f>"1182181827"</f>
        <v>1182181827</v>
      </c>
      <c r="B1531" t="s">
        <v>117</v>
      </c>
      <c r="C1531" t="s">
        <v>6850</v>
      </c>
      <c r="D1531" t="s">
        <v>2161</v>
      </c>
      <c r="F1531" t="s">
        <v>1</v>
      </c>
      <c r="G1531" t="s">
        <v>2</v>
      </c>
      <c r="H1531" t="s">
        <v>8570</v>
      </c>
      <c r="L1531" t="s">
        <v>8571</v>
      </c>
      <c r="M1531" t="s">
        <v>8572</v>
      </c>
      <c r="P1531" t="s">
        <v>330</v>
      </c>
      <c r="Y1531" t="s">
        <v>8573</v>
      </c>
    </row>
    <row r="1532" spans="1:25" x14ac:dyDescent="0.25">
      <c r="A1532" t="str">
        <f>"1182517377"</f>
        <v>1182517377</v>
      </c>
      <c r="B1532" t="s">
        <v>96</v>
      </c>
      <c r="C1532" t="s">
        <v>8578</v>
      </c>
      <c r="D1532" t="s">
        <v>8574</v>
      </c>
      <c r="E1532">
        <v>424019</v>
      </c>
      <c r="F1532" t="s">
        <v>1</v>
      </c>
      <c r="G1532" t="s">
        <v>2</v>
      </c>
      <c r="H1532" t="s">
        <v>7785</v>
      </c>
      <c r="I1532" t="s">
        <v>8575</v>
      </c>
      <c r="L1532" t="s">
        <v>8576</v>
      </c>
      <c r="M1532" t="s">
        <v>8577</v>
      </c>
      <c r="P1532" t="s">
        <v>98</v>
      </c>
      <c r="Q1532" t="s">
        <v>8579</v>
      </c>
      <c r="R1532" t="s">
        <v>8580</v>
      </c>
      <c r="S1532" t="s">
        <v>8581</v>
      </c>
      <c r="T1532" t="s">
        <v>8582</v>
      </c>
      <c r="V1532" t="s">
        <v>8583</v>
      </c>
      <c r="Y1532" t="s">
        <v>8584</v>
      </c>
    </row>
    <row r="1533" spans="1:25" x14ac:dyDescent="0.25">
      <c r="A1533" t="str">
        <f>"1182539114"</f>
        <v>1182539114</v>
      </c>
      <c r="B1533" t="s">
        <v>1053</v>
      </c>
      <c r="C1533" t="s">
        <v>8589</v>
      </c>
      <c r="D1533" t="s">
        <v>8585</v>
      </c>
      <c r="E1533">
        <v>424026</v>
      </c>
      <c r="F1533" t="s">
        <v>1</v>
      </c>
      <c r="G1533" t="s">
        <v>2</v>
      </c>
      <c r="H1533" t="s">
        <v>8586</v>
      </c>
      <c r="I1533" t="s">
        <v>8587</v>
      </c>
      <c r="L1533" t="s">
        <v>8588</v>
      </c>
      <c r="P1533" t="s">
        <v>2296</v>
      </c>
      <c r="Q1533" t="s">
        <v>8590</v>
      </c>
      <c r="Y1533" t="s">
        <v>8591</v>
      </c>
    </row>
    <row r="1534" spans="1:25" x14ac:dyDescent="0.25">
      <c r="A1534" t="str">
        <f>"1183209548"</f>
        <v>1183209548</v>
      </c>
      <c r="B1534" t="s">
        <v>80</v>
      </c>
      <c r="C1534" t="s">
        <v>8596</v>
      </c>
      <c r="D1534" t="s">
        <v>8592</v>
      </c>
      <c r="E1534">
        <v>424000</v>
      </c>
      <c r="F1534" t="s">
        <v>1</v>
      </c>
      <c r="G1534" t="s">
        <v>2</v>
      </c>
      <c r="H1534" t="s">
        <v>128</v>
      </c>
      <c r="J1534" t="s">
        <v>8593</v>
      </c>
      <c r="L1534" t="s">
        <v>8594</v>
      </c>
      <c r="M1534" t="s">
        <v>8595</v>
      </c>
      <c r="P1534" t="s">
        <v>8597</v>
      </c>
      <c r="Q1534" t="s">
        <v>8598</v>
      </c>
      <c r="R1534" t="s">
        <v>8599</v>
      </c>
      <c r="S1534" t="s">
        <v>8600</v>
      </c>
      <c r="T1534" t="s">
        <v>8601</v>
      </c>
      <c r="V1534" t="s">
        <v>8602</v>
      </c>
      <c r="Y1534" t="s">
        <v>8603</v>
      </c>
    </row>
    <row r="1535" spans="1:25" x14ac:dyDescent="0.25">
      <c r="A1535" t="str">
        <f>"1183971566"</f>
        <v>1183971566</v>
      </c>
      <c r="B1535" t="s">
        <v>18</v>
      </c>
      <c r="C1535" t="s">
        <v>8608</v>
      </c>
      <c r="D1535" t="s">
        <v>8604</v>
      </c>
      <c r="E1535">
        <v>424031</v>
      </c>
      <c r="F1535" t="s">
        <v>1</v>
      </c>
      <c r="G1535" t="s">
        <v>2</v>
      </c>
      <c r="H1535" t="s">
        <v>413</v>
      </c>
      <c r="I1535" t="s">
        <v>8605</v>
      </c>
      <c r="L1535" t="s">
        <v>8606</v>
      </c>
      <c r="M1535" t="s">
        <v>8607</v>
      </c>
      <c r="P1535" t="s">
        <v>152</v>
      </c>
      <c r="Y1535" t="s">
        <v>1421</v>
      </c>
    </row>
    <row r="1536" spans="1:25" x14ac:dyDescent="0.25">
      <c r="A1536" t="str">
        <f>"1184262098"</f>
        <v>1184262098</v>
      </c>
      <c r="B1536" t="s">
        <v>3700</v>
      </c>
      <c r="C1536" t="s">
        <v>3700</v>
      </c>
      <c r="D1536" t="s">
        <v>8609</v>
      </c>
      <c r="F1536" t="s">
        <v>1</v>
      </c>
      <c r="G1536" t="s">
        <v>2</v>
      </c>
      <c r="H1536" t="s">
        <v>8610</v>
      </c>
      <c r="I1536" t="s">
        <v>8611</v>
      </c>
      <c r="P1536" t="s">
        <v>133</v>
      </c>
      <c r="Y1536" t="s">
        <v>8612</v>
      </c>
    </row>
    <row r="1537" spans="1:25" x14ac:dyDescent="0.25">
      <c r="A1537" t="str">
        <f>"1185294607"</f>
        <v>1185294607</v>
      </c>
      <c r="B1537" t="s">
        <v>1152</v>
      </c>
      <c r="C1537" t="s">
        <v>8523</v>
      </c>
      <c r="D1537" t="s">
        <v>8613</v>
      </c>
      <c r="E1537">
        <v>424033</v>
      </c>
      <c r="F1537" t="s">
        <v>1</v>
      </c>
      <c r="G1537" t="s">
        <v>2</v>
      </c>
      <c r="H1537" t="s">
        <v>1341</v>
      </c>
      <c r="J1537" t="s">
        <v>8614</v>
      </c>
      <c r="P1537" t="s">
        <v>1027</v>
      </c>
      <c r="Y1537" t="s">
        <v>1346</v>
      </c>
    </row>
    <row r="1538" spans="1:25" x14ac:dyDescent="0.25">
      <c r="A1538" t="str">
        <f>"1185341843"</f>
        <v>1185341843</v>
      </c>
      <c r="B1538" t="s">
        <v>2818</v>
      </c>
      <c r="C1538" t="s">
        <v>6466</v>
      </c>
      <c r="D1538" t="s">
        <v>8615</v>
      </c>
      <c r="E1538">
        <v>424020</v>
      </c>
      <c r="F1538" t="s">
        <v>1</v>
      </c>
      <c r="G1538" t="s">
        <v>2</v>
      </c>
      <c r="H1538" t="s">
        <v>8616</v>
      </c>
      <c r="I1538" t="s">
        <v>8617</v>
      </c>
      <c r="L1538" t="s">
        <v>6275</v>
      </c>
      <c r="M1538" t="s">
        <v>8618</v>
      </c>
      <c r="P1538" t="s">
        <v>4280</v>
      </c>
      <c r="Q1538" t="s">
        <v>8619</v>
      </c>
      <c r="Y1538" t="s">
        <v>8620</v>
      </c>
    </row>
    <row r="1539" spans="1:25" x14ac:dyDescent="0.25">
      <c r="A1539" t="str">
        <f>"1185693865"</f>
        <v>1185693865</v>
      </c>
      <c r="B1539" t="s">
        <v>703</v>
      </c>
      <c r="C1539" t="s">
        <v>8626</v>
      </c>
      <c r="D1539" t="s">
        <v>8621</v>
      </c>
      <c r="E1539">
        <v>424006</v>
      </c>
      <c r="F1539" t="s">
        <v>1</v>
      </c>
      <c r="G1539" t="s">
        <v>2</v>
      </c>
      <c r="H1539" t="s">
        <v>8622</v>
      </c>
      <c r="I1539" t="s">
        <v>8623</v>
      </c>
      <c r="L1539" t="s">
        <v>8624</v>
      </c>
      <c r="M1539" t="s">
        <v>8625</v>
      </c>
      <c r="P1539" t="s">
        <v>458</v>
      </c>
      <c r="Q1539" t="s">
        <v>8627</v>
      </c>
      <c r="T1539" t="s">
        <v>8628</v>
      </c>
      <c r="U1539" t="s">
        <v>8629</v>
      </c>
      <c r="V1539" t="s">
        <v>8630</v>
      </c>
      <c r="Y1539" t="s">
        <v>8631</v>
      </c>
    </row>
    <row r="1540" spans="1:25" x14ac:dyDescent="0.25">
      <c r="A1540" t="str">
        <f>"1185752505"</f>
        <v>1185752505</v>
      </c>
      <c r="B1540" t="s">
        <v>930</v>
      </c>
      <c r="C1540" t="s">
        <v>8634</v>
      </c>
      <c r="D1540" t="s">
        <v>8632</v>
      </c>
      <c r="E1540">
        <v>424003</v>
      </c>
      <c r="F1540" t="s">
        <v>1</v>
      </c>
      <c r="G1540" t="s">
        <v>2</v>
      </c>
      <c r="H1540" t="s">
        <v>8633</v>
      </c>
      <c r="P1540" t="s">
        <v>6236</v>
      </c>
      <c r="Y1540" t="s">
        <v>8635</v>
      </c>
    </row>
    <row r="1541" spans="1:25" x14ac:dyDescent="0.25">
      <c r="A1541" t="str">
        <f>"1186357706"</f>
        <v>1186357706</v>
      </c>
      <c r="B1541" t="s">
        <v>18</v>
      </c>
      <c r="C1541" t="s">
        <v>8641</v>
      </c>
      <c r="D1541" t="s">
        <v>8636</v>
      </c>
      <c r="E1541">
        <v>424007</v>
      </c>
      <c r="F1541" t="s">
        <v>1</v>
      </c>
      <c r="G1541" t="s">
        <v>2</v>
      </c>
      <c r="H1541" t="s">
        <v>220</v>
      </c>
      <c r="I1541" t="s">
        <v>8637</v>
      </c>
      <c r="J1541" t="s">
        <v>8638</v>
      </c>
      <c r="L1541" t="s">
        <v>8639</v>
      </c>
      <c r="M1541" t="s">
        <v>8640</v>
      </c>
      <c r="P1541" t="s">
        <v>280</v>
      </c>
      <c r="Y1541" t="s">
        <v>227</v>
      </c>
    </row>
    <row r="1542" spans="1:25" x14ac:dyDescent="0.25">
      <c r="A1542" t="str">
        <f>"1186662750"</f>
        <v>1186662750</v>
      </c>
      <c r="B1542" t="s">
        <v>32</v>
      </c>
      <c r="C1542" t="s">
        <v>182</v>
      </c>
      <c r="D1542" t="s">
        <v>8642</v>
      </c>
      <c r="E1542">
        <v>424020</v>
      </c>
      <c r="F1542" t="s">
        <v>1</v>
      </c>
      <c r="G1542" t="s">
        <v>2</v>
      </c>
      <c r="H1542" t="s">
        <v>8643</v>
      </c>
      <c r="I1542" t="s">
        <v>8644</v>
      </c>
      <c r="Y1542" t="s">
        <v>8645</v>
      </c>
    </row>
    <row r="1543" spans="1:25" x14ac:dyDescent="0.25">
      <c r="A1543" t="str">
        <f>"1187394071"</f>
        <v>1187394071</v>
      </c>
      <c r="B1543" t="s">
        <v>1846</v>
      </c>
      <c r="C1543" t="s">
        <v>1846</v>
      </c>
      <c r="D1543" t="s">
        <v>8646</v>
      </c>
      <c r="E1543">
        <v>424033</v>
      </c>
      <c r="F1543" t="s">
        <v>1</v>
      </c>
      <c r="G1543" t="s">
        <v>2</v>
      </c>
      <c r="H1543" t="s">
        <v>5738</v>
      </c>
      <c r="J1543" t="s">
        <v>8647</v>
      </c>
      <c r="M1543" t="s">
        <v>8648</v>
      </c>
      <c r="P1543" t="s">
        <v>27</v>
      </c>
      <c r="Y1543" t="s">
        <v>8649</v>
      </c>
    </row>
    <row r="1544" spans="1:25" x14ac:dyDescent="0.25">
      <c r="A1544" t="str">
        <f>"1187736113"</f>
        <v>1187736113</v>
      </c>
      <c r="B1544" t="s">
        <v>1222</v>
      </c>
      <c r="C1544" t="s">
        <v>2114</v>
      </c>
      <c r="D1544" t="s">
        <v>8650</v>
      </c>
      <c r="E1544">
        <v>424002</v>
      </c>
      <c r="F1544" t="s">
        <v>1</v>
      </c>
      <c r="G1544" t="s">
        <v>2</v>
      </c>
      <c r="H1544" t="s">
        <v>662</v>
      </c>
      <c r="I1544" t="s">
        <v>8651</v>
      </c>
      <c r="J1544" t="s">
        <v>8652</v>
      </c>
      <c r="L1544" t="s">
        <v>8653</v>
      </c>
      <c r="M1544" t="s">
        <v>8654</v>
      </c>
      <c r="P1544" t="s">
        <v>8655</v>
      </c>
      <c r="Q1544" t="s">
        <v>8656</v>
      </c>
      <c r="Y1544" t="s">
        <v>8657</v>
      </c>
    </row>
    <row r="1545" spans="1:25" x14ac:dyDescent="0.25">
      <c r="A1545" t="str">
        <f>"1187809450"</f>
        <v>1187809450</v>
      </c>
      <c r="B1545" t="s">
        <v>553</v>
      </c>
      <c r="C1545" t="s">
        <v>8662</v>
      </c>
      <c r="D1545" t="s">
        <v>8658</v>
      </c>
      <c r="E1545">
        <v>424007</v>
      </c>
      <c r="F1545" t="s">
        <v>1</v>
      </c>
      <c r="G1545" t="s">
        <v>2</v>
      </c>
      <c r="H1545" t="s">
        <v>499</v>
      </c>
      <c r="I1545" t="s">
        <v>8659</v>
      </c>
      <c r="J1545" t="s">
        <v>8660</v>
      </c>
      <c r="L1545" t="s">
        <v>8661</v>
      </c>
      <c r="P1545" t="s">
        <v>8663</v>
      </c>
      <c r="Y1545" t="s">
        <v>8664</v>
      </c>
    </row>
    <row r="1546" spans="1:25" x14ac:dyDescent="0.25">
      <c r="A1546" t="str">
        <f>"1187868335"</f>
        <v>1187868335</v>
      </c>
      <c r="B1546" t="s">
        <v>379</v>
      </c>
      <c r="C1546" t="s">
        <v>766</v>
      </c>
      <c r="D1546" t="s">
        <v>8665</v>
      </c>
      <c r="E1546">
        <v>424000</v>
      </c>
      <c r="F1546" t="s">
        <v>1</v>
      </c>
      <c r="G1546" t="s">
        <v>2</v>
      </c>
      <c r="H1546" t="s">
        <v>265</v>
      </c>
      <c r="I1546" t="s">
        <v>8666</v>
      </c>
      <c r="M1546" t="s">
        <v>8667</v>
      </c>
      <c r="P1546" t="s">
        <v>216</v>
      </c>
      <c r="Y1546" t="s">
        <v>8668</v>
      </c>
    </row>
    <row r="1547" spans="1:25" x14ac:dyDescent="0.25">
      <c r="A1547" t="str">
        <f>"1188403650"</f>
        <v>1188403650</v>
      </c>
      <c r="B1547" t="s">
        <v>640</v>
      </c>
      <c r="C1547" t="s">
        <v>8672</v>
      </c>
      <c r="D1547" t="s">
        <v>8669</v>
      </c>
      <c r="E1547">
        <v>424007</v>
      </c>
      <c r="F1547" t="s">
        <v>1</v>
      </c>
      <c r="G1547" t="s">
        <v>2</v>
      </c>
      <c r="H1547" t="s">
        <v>5647</v>
      </c>
      <c r="J1547" t="s">
        <v>8670</v>
      </c>
      <c r="L1547" t="s">
        <v>8671</v>
      </c>
      <c r="P1547" t="s">
        <v>8673</v>
      </c>
      <c r="Q1547" t="s">
        <v>8674</v>
      </c>
      <c r="Y1547" t="s">
        <v>8675</v>
      </c>
    </row>
    <row r="1548" spans="1:25" x14ac:dyDescent="0.25">
      <c r="A1548" t="str">
        <f>"1188498335"</f>
        <v>1188498335</v>
      </c>
      <c r="B1548" t="s">
        <v>7</v>
      </c>
      <c r="C1548" t="s">
        <v>8680</v>
      </c>
      <c r="D1548" t="s">
        <v>8676</v>
      </c>
      <c r="E1548">
        <v>424002</v>
      </c>
      <c r="F1548" t="s">
        <v>1</v>
      </c>
      <c r="G1548" t="s">
        <v>2</v>
      </c>
      <c r="H1548" t="s">
        <v>8677</v>
      </c>
      <c r="I1548" t="s">
        <v>8678</v>
      </c>
      <c r="J1548" t="s">
        <v>8679</v>
      </c>
      <c r="P1548" t="s">
        <v>1160</v>
      </c>
      <c r="Y1548" t="s">
        <v>8681</v>
      </c>
    </row>
    <row r="1549" spans="1:25" x14ac:dyDescent="0.25">
      <c r="A1549" t="str">
        <f>"1188574580"</f>
        <v>1188574580</v>
      </c>
      <c r="B1549" t="s">
        <v>348</v>
      </c>
      <c r="C1549" t="s">
        <v>4366</v>
      </c>
      <c r="D1549" t="s">
        <v>8682</v>
      </c>
      <c r="E1549">
        <v>424006</v>
      </c>
      <c r="F1549" t="s">
        <v>1</v>
      </c>
      <c r="G1549" t="s">
        <v>2</v>
      </c>
      <c r="H1549" t="s">
        <v>3330</v>
      </c>
      <c r="I1549" t="s">
        <v>8683</v>
      </c>
      <c r="L1549" t="s">
        <v>8684</v>
      </c>
      <c r="M1549" t="s">
        <v>8685</v>
      </c>
      <c r="P1549" t="s">
        <v>5552</v>
      </c>
      <c r="Y1549" t="s">
        <v>5376</v>
      </c>
    </row>
    <row r="1550" spans="1:25" x14ac:dyDescent="0.25">
      <c r="A1550" t="str">
        <f>"1188574627"</f>
        <v>1188574627</v>
      </c>
      <c r="B1550" t="s">
        <v>96</v>
      </c>
      <c r="C1550" t="s">
        <v>311</v>
      </c>
      <c r="D1550" t="s">
        <v>8686</v>
      </c>
      <c r="E1550">
        <v>424918</v>
      </c>
      <c r="F1550" t="s">
        <v>1</v>
      </c>
      <c r="G1550" t="s">
        <v>2</v>
      </c>
      <c r="H1550" t="s">
        <v>629</v>
      </c>
      <c r="J1550" t="s">
        <v>8687</v>
      </c>
      <c r="P1550" t="s">
        <v>2315</v>
      </c>
      <c r="Y1550" t="s">
        <v>8688</v>
      </c>
    </row>
    <row r="1551" spans="1:25" x14ac:dyDescent="0.25">
      <c r="A1551" t="str">
        <f>"1188694471"</f>
        <v>1188694471</v>
      </c>
      <c r="B1551" t="s">
        <v>1552</v>
      </c>
      <c r="C1551" t="s">
        <v>5112</v>
      </c>
      <c r="D1551" t="s">
        <v>8689</v>
      </c>
      <c r="E1551">
        <v>424006</v>
      </c>
      <c r="F1551" t="s">
        <v>1</v>
      </c>
      <c r="G1551" t="s">
        <v>2</v>
      </c>
      <c r="H1551" t="s">
        <v>6487</v>
      </c>
      <c r="I1551" t="s">
        <v>8690</v>
      </c>
      <c r="P1551" t="s">
        <v>2580</v>
      </c>
      <c r="Y1551" t="s">
        <v>8691</v>
      </c>
    </row>
    <row r="1552" spans="1:25" x14ac:dyDescent="0.25">
      <c r="A1552" t="str">
        <f>"1188938151"</f>
        <v>1188938151</v>
      </c>
      <c r="B1552" t="s">
        <v>5745</v>
      </c>
      <c r="C1552" t="s">
        <v>5746</v>
      </c>
      <c r="D1552" t="s">
        <v>8692</v>
      </c>
      <c r="E1552">
        <v>424031</v>
      </c>
      <c r="F1552" t="s">
        <v>1</v>
      </c>
      <c r="G1552" t="s">
        <v>2</v>
      </c>
      <c r="H1552" t="s">
        <v>1524</v>
      </c>
      <c r="I1552" t="s">
        <v>8693</v>
      </c>
      <c r="P1552" t="s">
        <v>280</v>
      </c>
      <c r="Y1552" t="s">
        <v>5358</v>
      </c>
    </row>
    <row r="1553" spans="1:25" x14ac:dyDescent="0.25">
      <c r="A1553" t="str">
        <f>"1189661257"</f>
        <v>1189661257</v>
      </c>
      <c r="B1553" t="s">
        <v>348</v>
      </c>
      <c r="C1553" t="s">
        <v>8457</v>
      </c>
      <c r="D1553" t="s">
        <v>8455</v>
      </c>
      <c r="E1553">
        <v>424039</v>
      </c>
      <c r="F1553" t="s">
        <v>1</v>
      </c>
      <c r="G1553" t="s">
        <v>2</v>
      </c>
      <c r="H1553" t="s">
        <v>8694</v>
      </c>
      <c r="J1553" t="s">
        <v>8695</v>
      </c>
      <c r="P1553" t="s">
        <v>941</v>
      </c>
      <c r="Y1553" t="s">
        <v>8696</v>
      </c>
    </row>
    <row r="1554" spans="1:25" x14ac:dyDescent="0.25">
      <c r="A1554" t="str">
        <f>"1190155846"</f>
        <v>1190155846</v>
      </c>
      <c r="B1554" t="s">
        <v>1053</v>
      </c>
      <c r="C1554" t="s">
        <v>1799</v>
      </c>
      <c r="D1554" t="s">
        <v>8697</v>
      </c>
      <c r="E1554">
        <v>424007</v>
      </c>
      <c r="F1554" t="s">
        <v>1</v>
      </c>
      <c r="G1554" t="s">
        <v>2</v>
      </c>
      <c r="H1554" t="s">
        <v>220</v>
      </c>
      <c r="I1554" t="s">
        <v>8698</v>
      </c>
      <c r="P1554" t="s">
        <v>20</v>
      </c>
      <c r="Y1554" t="s">
        <v>227</v>
      </c>
    </row>
    <row r="1555" spans="1:25" x14ac:dyDescent="0.25">
      <c r="A1555" t="str">
        <f>"1191364082"</f>
        <v>1191364082</v>
      </c>
      <c r="B1555" t="s">
        <v>2055</v>
      </c>
      <c r="C1555" t="s">
        <v>6421</v>
      </c>
      <c r="D1555" t="s">
        <v>8699</v>
      </c>
      <c r="E1555">
        <v>424004</v>
      </c>
      <c r="F1555" t="s">
        <v>1</v>
      </c>
      <c r="G1555" t="s">
        <v>2</v>
      </c>
      <c r="H1555" t="s">
        <v>351</v>
      </c>
      <c r="I1555" t="s">
        <v>8700</v>
      </c>
      <c r="P1555" t="s">
        <v>27</v>
      </c>
      <c r="Y1555" t="s">
        <v>354</v>
      </c>
    </row>
    <row r="1556" spans="1:25" x14ac:dyDescent="0.25">
      <c r="A1556" t="str">
        <f>"1191590413"</f>
        <v>1191590413</v>
      </c>
      <c r="B1556" t="s">
        <v>888</v>
      </c>
      <c r="C1556" t="s">
        <v>7389</v>
      </c>
      <c r="D1556" t="s">
        <v>8701</v>
      </c>
      <c r="E1556">
        <v>424020</v>
      </c>
      <c r="F1556" t="s">
        <v>1</v>
      </c>
      <c r="G1556" t="s">
        <v>2</v>
      </c>
      <c r="H1556" t="s">
        <v>8702</v>
      </c>
      <c r="I1556" t="s">
        <v>8703</v>
      </c>
      <c r="L1556" t="s">
        <v>8704</v>
      </c>
      <c r="M1556" t="s">
        <v>8705</v>
      </c>
      <c r="P1556" t="s">
        <v>2438</v>
      </c>
      <c r="Y1556" t="s">
        <v>8706</v>
      </c>
    </row>
    <row r="1557" spans="1:25" x14ac:dyDescent="0.25">
      <c r="A1557" t="str">
        <f>"1192934458"</f>
        <v>1192934458</v>
      </c>
      <c r="B1557" t="s">
        <v>18</v>
      </c>
      <c r="C1557" t="s">
        <v>8711</v>
      </c>
      <c r="D1557" t="s">
        <v>8707</v>
      </c>
      <c r="E1557">
        <v>424016</v>
      </c>
      <c r="F1557" t="s">
        <v>1</v>
      </c>
      <c r="G1557" t="s">
        <v>2</v>
      </c>
      <c r="H1557" t="s">
        <v>673</v>
      </c>
      <c r="I1557" t="s">
        <v>8708</v>
      </c>
      <c r="L1557" t="s">
        <v>8709</v>
      </c>
      <c r="M1557" t="s">
        <v>8710</v>
      </c>
      <c r="P1557" t="s">
        <v>1071</v>
      </c>
      <c r="Q1557" t="s">
        <v>8712</v>
      </c>
      <c r="V1557" t="s">
        <v>8713</v>
      </c>
      <c r="Y1557" t="s">
        <v>8714</v>
      </c>
    </row>
    <row r="1558" spans="1:25" x14ac:dyDescent="0.25">
      <c r="A1558" t="str">
        <f>"1195473131"</f>
        <v>1195473131</v>
      </c>
      <c r="B1558" t="s">
        <v>243</v>
      </c>
      <c r="C1558" t="s">
        <v>8719</v>
      </c>
      <c r="D1558" t="s">
        <v>8715</v>
      </c>
      <c r="F1558" t="s">
        <v>1</v>
      </c>
      <c r="G1558" t="s">
        <v>2</v>
      </c>
      <c r="H1558" t="s">
        <v>1003</v>
      </c>
      <c r="I1558" t="s">
        <v>8716</v>
      </c>
      <c r="L1558" t="s">
        <v>8717</v>
      </c>
      <c r="M1558" t="s">
        <v>8718</v>
      </c>
      <c r="P1558" t="s">
        <v>9</v>
      </c>
      <c r="Q1558" t="s">
        <v>8720</v>
      </c>
      <c r="T1558" t="s">
        <v>8721</v>
      </c>
      <c r="Y1558" t="s">
        <v>8722</v>
      </c>
    </row>
    <row r="1559" spans="1:25" x14ac:dyDescent="0.25">
      <c r="A1559" t="str">
        <f>"1195499883"</f>
        <v>1195499883</v>
      </c>
      <c r="B1559" t="s">
        <v>1362</v>
      </c>
      <c r="C1559" t="s">
        <v>8728</v>
      </c>
      <c r="D1559" t="s">
        <v>8723</v>
      </c>
      <c r="E1559">
        <v>424003</v>
      </c>
      <c r="F1559" t="s">
        <v>1</v>
      </c>
      <c r="G1559" t="s">
        <v>2</v>
      </c>
      <c r="H1559" t="s">
        <v>8724</v>
      </c>
      <c r="J1559" t="s">
        <v>8725</v>
      </c>
      <c r="L1559" t="s">
        <v>8726</v>
      </c>
      <c r="M1559" t="s">
        <v>8727</v>
      </c>
      <c r="P1559" t="s">
        <v>152</v>
      </c>
      <c r="Q1559" t="s">
        <v>8729</v>
      </c>
      <c r="R1559" t="s">
        <v>8730</v>
      </c>
      <c r="T1559" t="s">
        <v>8731</v>
      </c>
      <c r="U1559" t="s">
        <v>8732</v>
      </c>
      <c r="V1559" t="s">
        <v>8733</v>
      </c>
      <c r="Y1559" t="s">
        <v>8734</v>
      </c>
    </row>
    <row r="1560" spans="1:25" x14ac:dyDescent="0.25">
      <c r="A1560" t="str">
        <f>"1195531814"</f>
        <v>1195531814</v>
      </c>
      <c r="B1560" t="s">
        <v>430</v>
      </c>
      <c r="C1560" t="s">
        <v>8739</v>
      </c>
      <c r="D1560" t="s">
        <v>8735</v>
      </c>
      <c r="E1560">
        <v>424002</v>
      </c>
      <c r="F1560" t="s">
        <v>1</v>
      </c>
      <c r="G1560" t="s">
        <v>2</v>
      </c>
      <c r="H1560" t="s">
        <v>8736</v>
      </c>
      <c r="I1560" t="s">
        <v>8737</v>
      </c>
      <c r="L1560" t="s">
        <v>1952</v>
      </c>
      <c r="M1560" t="s">
        <v>8738</v>
      </c>
      <c r="P1560" t="s">
        <v>8740</v>
      </c>
      <c r="Y1560" t="s">
        <v>8741</v>
      </c>
    </row>
    <row r="1561" spans="1:25" x14ac:dyDescent="0.25">
      <c r="A1561" t="str">
        <f>"1195723243"</f>
        <v>1195723243</v>
      </c>
      <c r="B1561" t="s">
        <v>654</v>
      </c>
      <c r="C1561" t="s">
        <v>1283</v>
      </c>
      <c r="D1561" t="s">
        <v>8742</v>
      </c>
      <c r="E1561">
        <v>424028</v>
      </c>
      <c r="F1561" t="s">
        <v>1</v>
      </c>
      <c r="G1561" t="s">
        <v>2</v>
      </c>
      <c r="H1561" t="s">
        <v>8743</v>
      </c>
      <c r="I1561" t="s">
        <v>8744</v>
      </c>
      <c r="J1561" t="s">
        <v>8745</v>
      </c>
      <c r="P1561" t="s">
        <v>280</v>
      </c>
      <c r="Y1561" t="s">
        <v>8746</v>
      </c>
    </row>
    <row r="1562" spans="1:25" x14ac:dyDescent="0.25">
      <c r="A1562" t="str">
        <f>"1196740372"</f>
        <v>1196740372</v>
      </c>
      <c r="B1562" t="s">
        <v>67</v>
      </c>
      <c r="C1562" t="s">
        <v>269</v>
      </c>
      <c r="D1562" t="s">
        <v>8747</v>
      </c>
      <c r="E1562">
        <v>424003</v>
      </c>
      <c r="F1562" t="s">
        <v>1</v>
      </c>
      <c r="G1562" t="s">
        <v>2</v>
      </c>
      <c r="H1562" t="s">
        <v>1622</v>
      </c>
      <c r="I1562" t="s">
        <v>8748</v>
      </c>
      <c r="L1562" t="s">
        <v>8749</v>
      </c>
      <c r="M1562" t="s">
        <v>8750</v>
      </c>
      <c r="P1562" t="s">
        <v>8751</v>
      </c>
      <c r="Q1562" t="s">
        <v>8752</v>
      </c>
      <c r="R1562" t="s">
        <v>8753</v>
      </c>
      <c r="S1562" t="s">
        <v>8754</v>
      </c>
      <c r="T1562" t="s">
        <v>8755</v>
      </c>
      <c r="U1562" t="s">
        <v>8756</v>
      </c>
      <c r="V1562" t="s">
        <v>8757</v>
      </c>
      <c r="Y1562" t="s">
        <v>8758</v>
      </c>
    </row>
    <row r="1563" spans="1:25" x14ac:dyDescent="0.25">
      <c r="A1563" t="str">
        <f>"1197119504"</f>
        <v>1197119504</v>
      </c>
      <c r="B1563" t="s">
        <v>25</v>
      </c>
      <c r="C1563" t="s">
        <v>1596</v>
      </c>
      <c r="D1563" t="s">
        <v>8759</v>
      </c>
      <c r="E1563">
        <v>424020</v>
      </c>
      <c r="F1563" t="s">
        <v>1</v>
      </c>
      <c r="G1563" t="s">
        <v>2</v>
      </c>
      <c r="H1563" t="s">
        <v>4181</v>
      </c>
      <c r="I1563" t="s">
        <v>8760</v>
      </c>
      <c r="P1563" t="s">
        <v>2923</v>
      </c>
      <c r="Y1563" t="s">
        <v>4183</v>
      </c>
    </row>
    <row r="1564" spans="1:25" x14ac:dyDescent="0.25">
      <c r="A1564" t="str">
        <f>"1197289471"</f>
        <v>1197289471</v>
      </c>
      <c r="B1564" t="s">
        <v>67</v>
      </c>
      <c r="C1564" t="s">
        <v>832</v>
      </c>
      <c r="D1564" t="s">
        <v>62</v>
      </c>
      <c r="E1564">
        <v>424002</v>
      </c>
      <c r="F1564" t="s">
        <v>1</v>
      </c>
      <c r="G1564" t="s">
        <v>2</v>
      </c>
      <c r="H1564" t="s">
        <v>5692</v>
      </c>
      <c r="I1564" t="s">
        <v>8761</v>
      </c>
      <c r="M1564" t="s">
        <v>1248</v>
      </c>
      <c r="P1564" t="s">
        <v>330</v>
      </c>
      <c r="Q1564" t="s">
        <v>70</v>
      </c>
      <c r="S1564" t="s">
        <v>71</v>
      </c>
      <c r="T1564" t="s">
        <v>72</v>
      </c>
      <c r="V1564" t="s">
        <v>73</v>
      </c>
      <c r="Y1564" t="s">
        <v>8762</v>
      </c>
    </row>
    <row r="1565" spans="1:25" x14ac:dyDescent="0.25">
      <c r="A1565" t="str">
        <f>"1197525775"</f>
        <v>1197525775</v>
      </c>
      <c r="B1565" t="s">
        <v>1262</v>
      </c>
      <c r="C1565" t="s">
        <v>2335</v>
      </c>
      <c r="D1565" t="s">
        <v>8763</v>
      </c>
      <c r="E1565">
        <v>424030</v>
      </c>
      <c r="F1565" t="s">
        <v>1</v>
      </c>
      <c r="G1565" t="s">
        <v>2</v>
      </c>
      <c r="H1565" t="s">
        <v>8764</v>
      </c>
      <c r="J1565" t="s">
        <v>8765</v>
      </c>
      <c r="L1565" t="s">
        <v>8766</v>
      </c>
      <c r="P1565" t="s">
        <v>1027</v>
      </c>
      <c r="Y1565" t="s">
        <v>8767</v>
      </c>
    </row>
    <row r="1566" spans="1:25" x14ac:dyDescent="0.25">
      <c r="A1566" t="str">
        <f>"1198424786"</f>
        <v>1198424786</v>
      </c>
      <c r="B1566" t="s">
        <v>888</v>
      </c>
      <c r="C1566" t="s">
        <v>888</v>
      </c>
      <c r="D1566" t="s">
        <v>8768</v>
      </c>
      <c r="E1566">
        <v>424000</v>
      </c>
      <c r="F1566" t="s">
        <v>1</v>
      </c>
      <c r="G1566" t="s">
        <v>2</v>
      </c>
      <c r="H1566" t="s">
        <v>5717</v>
      </c>
      <c r="I1566" t="s">
        <v>8769</v>
      </c>
      <c r="L1566" t="s">
        <v>194</v>
      </c>
      <c r="M1566" t="s">
        <v>195</v>
      </c>
      <c r="P1566" t="s">
        <v>9</v>
      </c>
      <c r="Q1566" t="s">
        <v>8770</v>
      </c>
      <c r="Y1566" t="s">
        <v>8771</v>
      </c>
    </row>
    <row r="1567" spans="1:25" x14ac:dyDescent="0.25">
      <c r="A1567" t="str">
        <f>"1199024342"</f>
        <v>1199024342</v>
      </c>
      <c r="B1567" t="s">
        <v>2601</v>
      </c>
      <c r="C1567" t="s">
        <v>2602</v>
      </c>
      <c r="D1567" t="s">
        <v>8772</v>
      </c>
      <c r="E1567">
        <v>424019</v>
      </c>
      <c r="F1567" t="s">
        <v>1</v>
      </c>
      <c r="G1567" t="s">
        <v>2</v>
      </c>
      <c r="H1567" t="s">
        <v>7785</v>
      </c>
      <c r="I1567" t="s">
        <v>8773</v>
      </c>
      <c r="L1567" t="s">
        <v>8774</v>
      </c>
      <c r="M1567" t="s">
        <v>8775</v>
      </c>
      <c r="P1567" t="s">
        <v>98</v>
      </c>
      <c r="Q1567" t="s">
        <v>8776</v>
      </c>
      <c r="R1567" t="s">
        <v>8777</v>
      </c>
      <c r="S1567" t="s">
        <v>8778</v>
      </c>
      <c r="T1567" t="s">
        <v>8779</v>
      </c>
      <c r="V1567" t="s">
        <v>8780</v>
      </c>
      <c r="Y1567" t="s">
        <v>8781</v>
      </c>
    </row>
    <row r="1568" spans="1:25" x14ac:dyDescent="0.25">
      <c r="A1568" t="str">
        <f>"1199568837"</f>
        <v>1199568837</v>
      </c>
      <c r="B1568" t="s">
        <v>624</v>
      </c>
      <c r="C1568" t="s">
        <v>1637</v>
      </c>
      <c r="D1568" t="s">
        <v>8782</v>
      </c>
      <c r="E1568">
        <v>424007</v>
      </c>
      <c r="F1568" t="s">
        <v>1</v>
      </c>
      <c r="G1568" t="s">
        <v>2</v>
      </c>
      <c r="H1568" t="s">
        <v>1085</v>
      </c>
      <c r="I1568" t="s">
        <v>8783</v>
      </c>
      <c r="J1568" t="s">
        <v>8784</v>
      </c>
      <c r="P1568" t="s">
        <v>20</v>
      </c>
      <c r="Q1568" t="s">
        <v>8785</v>
      </c>
      <c r="Y1568" t="s">
        <v>1412</v>
      </c>
    </row>
    <row r="1569" spans="1:25" x14ac:dyDescent="0.25">
      <c r="A1569" t="str">
        <f>"1200095604"</f>
        <v>1200095604</v>
      </c>
      <c r="B1569" t="s">
        <v>687</v>
      </c>
      <c r="C1569" t="s">
        <v>8789</v>
      </c>
      <c r="D1569" t="s">
        <v>8786</v>
      </c>
      <c r="E1569">
        <v>424033</v>
      </c>
      <c r="F1569" t="s">
        <v>1</v>
      </c>
      <c r="G1569" t="s">
        <v>2</v>
      </c>
      <c r="H1569" t="s">
        <v>1383</v>
      </c>
      <c r="I1569" t="s">
        <v>8787</v>
      </c>
      <c r="J1569" t="s">
        <v>8788</v>
      </c>
      <c r="P1569" t="s">
        <v>696</v>
      </c>
      <c r="Y1569" t="s">
        <v>8790</v>
      </c>
    </row>
    <row r="1570" spans="1:25" x14ac:dyDescent="0.25">
      <c r="A1570" t="str">
        <f>"1200240211"</f>
        <v>1200240211</v>
      </c>
      <c r="B1570" t="s">
        <v>7312</v>
      </c>
      <c r="C1570" t="s">
        <v>8795</v>
      </c>
      <c r="D1570" t="s">
        <v>8791</v>
      </c>
      <c r="F1570" t="s">
        <v>1</v>
      </c>
      <c r="G1570" t="s">
        <v>2</v>
      </c>
      <c r="H1570" t="s">
        <v>4152</v>
      </c>
      <c r="I1570" t="s">
        <v>8792</v>
      </c>
      <c r="L1570" t="s">
        <v>8793</v>
      </c>
      <c r="M1570" t="s">
        <v>8794</v>
      </c>
      <c r="P1570" t="s">
        <v>362</v>
      </c>
      <c r="Q1570" t="s">
        <v>8796</v>
      </c>
      <c r="Y1570" t="s">
        <v>8797</v>
      </c>
    </row>
    <row r="1571" spans="1:25" x14ac:dyDescent="0.25">
      <c r="A1571" t="str">
        <f>"1202079189"</f>
        <v>1202079189</v>
      </c>
      <c r="B1571" t="s">
        <v>1552</v>
      </c>
      <c r="C1571" t="s">
        <v>1553</v>
      </c>
      <c r="D1571" t="s">
        <v>8798</v>
      </c>
      <c r="E1571">
        <v>424031</v>
      </c>
      <c r="F1571" t="s">
        <v>1</v>
      </c>
      <c r="G1571" t="s">
        <v>2</v>
      </c>
      <c r="H1571" t="s">
        <v>8799</v>
      </c>
      <c r="J1571" t="s">
        <v>8800</v>
      </c>
      <c r="L1571" t="s">
        <v>8801</v>
      </c>
      <c r="M1571" t="s">
        <v>8802</v>
      </c>
      <c r="P1571" t="s">
        <v>280</v>
      </c>
      <c r="Y1571" t="s">
        <v>8803</v>
      </c>
    </row>
    <row r="1572" spans="1:25" x14ac:dyDescent="0.25">
      <c r="A1572" t="str">
        <f>"1202113525"</f>
        <v>1202113525</v>
      </c>
      <c r="B1572" t="s">
        <v>96</v>
      </c>
      <c r="C1572" t="s">
        <v>8808</v>
      </c>
      <c r="D1572" t="s">
        <v>8804</v>
      </c>
      <c r="E1572">
        <v>424918</v>
      </c>
      <c r="F1572" t="s">
        <v>1</v>
      </c>
      <c r="G1572" t="s">
        <v>2</v>
      </c>
      <c r="H1572" t="s">
        <v>629</v>
      </c>
      <c r="J1572" t="s">
        <v>8805</v>
      </c>
      <c r="L1572" t="s">
        <v>8806</v>
      </c>
      <c r="M1572" t="s">
        <v>8807</v>
      </c>
      <c r="P1572" t="s">
        <v>630</v>
      </c>
      <c r="Y1572" t="s">
        <v>8809</v>
      </c>
    </row>
    <row r="1573" spans="1:25" x14ac:dyDescent="0.25">
      <c r="A1573" t="str">
        <f>"1202190474"</f>
        <v>1202190474</v>
      </c>
      <c r="B1573" t="s">
        <v>1475</v>
      </c>
      <c r="C1573" t="s">
        <v>8813</v>
      </c>
      <c r="D1573" t="s">
        <v>8810</v>
      </c>
      <c r="E1573">
        <v>424038</v>
      </c>
      <c r="F1573" t="s">
        <v>1</v>
      </c>
      <c r="G1573" t="s">
        <v>2</v>
      </c>
      <c r="H1573" t="s">
        <v>465</v>
      </c>
      <c r="I1573" t="s">
        <v>8811</v>
      </c>
      <c r="L1573" t="s">
        <v>8812</v>
      </c>
      <c r="M1573" t="s">
        <v>7825</v>
      </c>
      <c r="P1573" t="s">
        <v>3799</v>
      </c>
      <c r="Q1573" t="s">
        <v>8814</v>
      </c>
      <c r="S1573" t="s">
        <v>7827</v>
      </c>
      <c r="V1573" t="s">
        <v>7828</v>
      </c>
      <c r="Y1573" t="s">
        <v>8815</v>
      </c>
    </row>
    <row r="1574" spans="1:25" x14ac:dyDescent="0.25">
      <c r="A1574" t="str">
        <f>"1202553813"</f>
        <v>1202553813</v>
      </c>
      <c r="B1574" t="s">
        <v>151</v>
      </c>
      <c r="C1574" t="s">
        <v>8819</v>
      </c>
      <c r="D1574" t="s">
        <v>8816</v>
      </c>
      <c r="E1574">
        <v>424038</v>
      </c>
      <c r="F1574" t="s">
        <v>1</v>
      </c>
      <c r="G1574" t="s">
        <v>2</v>
      </c>
      <c r="H1574" t="s">
        <v>762</v>
      </c>
      <c r="I1574" t="s">
        <v>8817</v>
      </c>
      <c r="L1574" t="s">
        <v>8818</v>
      </c>
      <c r="P1574" t="s">
        <v>260</v>
      </c>
      <c r="Y1574" t="s">
        <v>8820</v>
      </c>
    </row>
    <row r="1575" spans="1:25" x14ac:dyDescent="0.25">
      <c r="A1575" t="str">
        <f>"1203149758"</f>
        <v>1203149758</v>
      </c>
      <c r="B1575" t="s">
        <v>131</v>
      </c>
      <c r="C1575" t="s">
        <v>8826</v>
      </c>
      <c r="D1575" t="s">
        <v>8821</v>
      </c>
      <c r="F1575" t="s">
        <v>1</v>
      </c>
      <c r="G1575" t="s">
        <v>2</v>
      </c>
      <c r="H1575" t="s">
        <v>8822</v>
      </c>
      <c r="I1575" t="s">
        <v>8823</v>
      </c>
      <c r="L1575" t="s">
        <v>8824</v>
      </c>
      <c r="M1575" t="s">
        <v>8825</v>
      </c>
      <c r="P1575" t="s">
        <v>8827</v>
      </c>
      <c r="Q1575" t="s">
        <v>8828</v>
      </c>
      <c r="T1575" t="s">
        <v>8829</v>
      </c>
      <c r="Y1575" t="s">
        <v>8830</v>
      </c>
    </row>
    <row r="1576" spans="1:25" x14ac:dyDescent="0.25">
      <c r="A1576" t="str">
        <f>"1203620191"</f>
        <v>1203620191</v>
      </c>
      <c r="B1576" t="s">
        <v>290</v>
      </c>
      <c r="C1576" t="s">
        <v>8833</v>
      </c>
      <c r="D1576" t="s">
        <v>8831</v>
      </c>
      <c r="E1576">
        <v>424002</v>
      </c>
      <c r="F1576" t="s">
        <v>1</v>
      </c>
      <c r="G1576" t="s">
        <v>2</v>
      </c>
      <c r="H1576" t="s">
        <v>8832</v>
      </c>
      <c r="P1576" t="s">
        <v>1505</v>
      </c>
      <c r="Y1576" t="s">
        <v>8834</v>
      </c>
    </row>
    <row r="1577" spans="1:25" x14ac:dyDescent="0.25">
      <c r="A1577" t="str">
        <f>"1204016689"</f>
        <v>1204016689</v>
      </c>
      <c r="B1577" t="s">
        <v>738</v>
      </c>
      <c r="C1577" t="s">
        <v>8841</v>
      </c>
      <c r="D1577" t="s">
        <v>8835</v>
      </c>
      <c r="E1577">
        <v>424005</v>
      </c>
      <c r="F1577" t="s">
        <v>1</v>
      </c>
      <c r="G1577" t="s">
        <v>2</v>
      </c>
      <c r="H1577" t="s">
        <v>8836</v>
      </c>
      <c r="I1577" t="s">
        <v>8837</v>
      </c>
      <c r="J1577" t="s">
        <v>8838</v>
      </c>
      <c r="L1577" t="s">
        <v>8839</v>
      </c>
      <c r="M1577" t="s">
        <v>8840</v>
      </c>
      <c r="P1577" t="s">
        <v>689</v>
      </c>
      <c r="Y1577" t="s">
        <v>8842</v>
      </c>
    </row>
    <row r="1578" spans="1:25" x14ac:dyDescent="0.25">
      <c r="A1578" t="str">
        <f>"1205171721"</f>
        <v>1205171721</v>
      </c>
      <c r="B1578" t="s">
        <v>18</v>
      </c>
      <c r="C1578" t="s">
        <v>8846</v>
      </c>
      <c r="D1578" t="s">
        <v>8843</v>
      </c>
      <c r="E1578">
        <v>424002</v>
      </c>
      <c r="F1578" t="s">
        <v>1</v>
      </c>
      <c r="G1578" t="s">
        <v>2</v>
      </c>
      <c r="H1578" t="s">
        <v>781</v>
      </c>
      <c r="I1578" t="s">
        <v>4576</v>
      </c>
      <c r="L1578" t="s">
        <v>8844</v>
      </c>
      <c r="M1578" t="s">
        <v>8845</v>
      </c>
      <c r="P1578" t="s">
        <v>2296</v>
      </c>
      <c r="Q1578" t="s">
        <v>8847</v>
      </c>
      <c r="T1578" t="s">
        <v>8848</v>
      </c>
      <c r="V1578" t="s">
        <v>8849</v>
      </c>
      <c r="Y1578" t="s">
        <v>8850</v>
      </c>
    </row>
    <row r="1579" spans="1:25" x14ac:dyDescent="0.25">
      <c r="A1579" t="str">
        <f>"1206265996"</f>
        <v>1206265996</v>
      </c>
      <c r="B1579" t="s">
        <v>379</v>
      </c>
      <c r="C1579" t="s">
        <v>380</v>
      </c>
      <c r="D1579" t="s">
        <v>8393</v>
      </c>
      <c r="E1579">
        <v>424038</v>
      </c>
      <c r="F1579" t="s">
        <v>1</v>
      </c>
      <c r="G1579" t="s">
        <v>2</v>
      </c>
      <c r="H1579" t="s">
        <v>546</v>
      </c>
      <c r="I1579" t="s">
        <v>8851</v>
      </c>
      <c r="L1579" t="s">
        <v>8395</v>
      </c>
      <c r="M1579" t="s">
        <v>8396</v>
      </c>
      <c r="P1579" t="s">
        <v>27</v>
      </c>
      <c r="Q1579" t="s">
        <v>8412</v>
      </c>
      <c r="R1579" t="s">
        <v>8399</v>
      </c>
      <c r="S1579" t="s">
        <v>8400</v>
      </c>
      <c r="T1579" t="s">
        <v>8401</v>
      </c>
      <c r="Y1579" t="s">
        <v>549</v>
      </c>
    </row>
    <row r="1580" spans="1:25" x14ac:dyDescent="0.25">
      <c r="A1580" t="str">
        <f>"1206474353"</f>
        <v>1206474353</v>
      </c>
      <c r="B1580" t="s">
        <v>2846</v>
      </c>
      <c r="C1580" t="s">
        <v>8856</v>
      </c>
      <c r="D1580" t="s">
        <v>8852</v>
      </c>
      <c r="E1580">
        <v>424004</v>
      </c>
      <c r="F1580" t="s">
        <v>1</v>
      </c>
      <c r="G1580" t="s">
        <v>2</v>
      </c>
      <c r="H1580" t="s">
        <v>8853</v>
      </c>
      <c r="I1580" t="s">
        <v>8854</v>
      </c>
      <c r="J1580" t="s">
        <v>8855</v>
      </c>
      <c r="P1580" t="s">
        <v>1760</v>
      </c>
      <c r="Q1580" t="s">
        <v>8857</v>
      </c>
      <c r="Y1580" t="s">
        <v>8858</v>
      </c>
    </row>
    <row r="1581" spans="1:25" x14ac:dyDescent="0.25">
      <c r="A1581" t="str">
        <f>"1206846490"</f>
        <v>1206846490</v>
      </c>
      <c r="B1581" t="s">
        <v>379</v>
      </c>
      <c r="C1581" t="s">
        <v>380</v>
      </c>
      <c r="D1581" t="s">
        <v>8393</v>
      </c>
      <c r="E1581">
        <v>424019</v>
      </c>
      <c r="F1581" t="s">
        <v>1</v>
      </c>
      <c r="G1581" t="s">
        <v>2</v>
      </c>
      <c r="H1581" t="s">
        <v>7785</v>
      </c>
      <c r="I1581" t="s">
        <v>8859</v>
      </c>
      <c r="L1581" t="s">
        <v>8395</v>
      </c>
      <c r="M1581" t="s">
        <v>8396</v>
      </c>
      <c r="P1581" t="s">
        <v>98</v>
      </c>
      <c r="Q1581" t="s">
        <v>8412</v>
      </c>
      <c r="R1581" t="s">
        <v>8399</v>
      </c>
      <c r="S1581" t="s">
        <v>8400</v>
      </c>
      <c r="T1581" t="s">
        <v>8401</v>
      </c>
      <c r="Y1581" t="s">
        <v>8860</v>
      </c>
    </row>
    <row r="1582" spans="1:25" x14ac:dyDescent="0.25">
      <c r="A1582" t="str">
        <f>"1206935911"</f>
        <v>1206935911</v>
      </c>
      <c r="B1582" t="s">
        <v>1078</v>
      </c>
      <c r="C1582" t="s">
        <v>8865</v>
      </c>
      <c r="D1582" t="s">
        <v>8861</v>
      </c>
      <c r="E1582">
        <v>424006</v>
      </c>
      <c r="F1582" t="s">
        <v>1</v>
      </c>
      <c r="G1582" t="s">
        <v>2</v>
      </c>
      <c r="H1582" t="s">
        <v>8622</v>
      </c>
      <c r="I1582" t="s">
        <v>8862</v>
      </c>
      <c r="L1582" t="s">
        <v>8863</v>
      </c>
      <c r="M1582" t="s">
        <v>8864</v>
      </c>
      <c r="P1582" t="s">
        <v>390</v>
      </c>
      <c r="Y1582" t="s">
        <v>8866</v>
      </c>
    </row>
    <row r="1583" spans="1:25" x14ac:dyDescent="0.25">
      <c r="A1583" t="str">
        <f>"1207622457"</f>
        <v>1207622457</v>
      </c>
      <c r="B1583" t="s">
        <v>462</v>
      </c>
      <c r="C1583" t="s">
        <v>1140</v>
      </c>
      <c r="D1583" t="s">
        <v>8867</v>
      </c>
      <c r="E1583">
        <v>424006</v>
      </c>
      <c r="F1583" t="s">
        <v>1</v>
      </c>
      <c r="G1583" t="s">
        <v>2</v>
      </c>
      <c r="H1583" t="s">
        <v>2525</v>
      </c>
      <c r="J1583" t="s">
        <v>8868</v>
      </c>
      <c r="L1583" t="s">
        <v>8869</v>
      </c>
      <c r="P1583" t="s">
        <v>2951</v>
      </c>
      <c r="Q1583" t="s">
        <v>8870</v>
      </c>
      <c r="T1583" t="s">
        <v>8871</v>
      </c>
      <c r="V1583" t="s">
        <v>8872</v>
      </c>
      <c r="Y1583" t="s">
        <v>2527</v>
      </c>
    </row>
    <row r="1584" spans="1:25" x14ac:dyDescent="0.25">
      <c r="A1584" t="str">
        <f>"1208464689"</f>
        <v>1208464689</v>
      </c>
      <c r="B1584" t="s">
        <v>790</v>
      </c>
      <c r="C1584" t="s">
        <v>8877</v>
      </c>
      <c r="D1584" t="s">
        <v>8873</v>
      </c>
      <c r="E1584">
        <v>424031</v>
      </c>
      <c r="F1584" t="s">
        <v>1</v>
      </c>
      <c r="G1584" t="s">
        <v>2</v>
      </c>
      <c r="H1584" t="s">
        <v>4622</v>
      </c>
      <c r="I1584" t="s">
        <v>8874</v>
      </c>
      <c r="L1584" t="s">
        <v>8875</v>
      </c>
      <c r="M1584" t="s">
        <v>8876</v>
      </c>
      <c r="P1584" t="s">
        <v>4126</v>
      </c>
      <c r="Q1584" t="s">
        <v>8878</v>
      </c>
      <c r="Y1584" t="s">
        <v>8879</v>
      </c>
    </row>
    <row r="1585" spans="1:25" x14ac:dyDescent="0.25">
      <c r="A1585" t="str">
        <f>"1208789143"</f>
        <v>1208789143</v>
      </c>
      <c r="B1585" t="s">
        <v>574</v>
      </c>
      <c r="C1585" t="s">
        <v>8884</v>
      </c>
      <c r="D1585" t="s">
        <v>8880</v>
      </c>
      <c r="E1585">
        <v>424003</v>
      </c>
      <c r="F1585" t="s">
        <v>1</v>
      </c>
      <c r="G1585" t="s">
        <v>2</v>
      </c>
      <c r="H1585" t="s">
        <v>8881</v>
      </c>
      <c r="J1585" t="s">
        <v>8882</v>
      </c>
      <c r="L1585" t="s">
        <v>2892</v>
      </c>
      <c r="M1585" t="s">
        <v>8883</v>
      </c>
      <c r="P1585" t="s">
        <v>8885</v>
      </c>
      <c r="Q1585" t="s">
        <v>8886</v>
      </c>
      <c r="T1585" t="s">
        <v>8887</v>
      </c>
      <c r="V1585" t="s">
        <v>8888</v>
      </c>
      <c r="Y1585" t="s">
        <v>8889</v>
      </c>
    </row>
    <row r="1586" spans="1:25" x14ac:dyDescent="0.25">
      <c r="A1586" t="str">
        <f>"1208804795"</f>
        <v>1208804795</v>
      </c>
      <c r="B1586" t="s">
        <v>334</v>
      </c>
      <c r="C1586" t="s">
        <v>8894</v>
      </c>
      <c r="D1586" t="s">
        <v>8890</v>
      </c>
      <c r="E1586">
        <v>424003</v>
      </c>
      <c r="F1586" t="s">
        <v>1</v>
      </c>
      <c r="G1586" t="s">
        <v>2</v>
      </c>
      <c r="H1586" t="s">
        <v>2465</v>
      </c>
      <c r="I1586" t="s">
        <v>8891</v>
      </c>
      <c r="L1586" t="s">
        <v>8892</v>
      </c>
      <c r="M1586" t="s">
        <v>8893</v>
      </c>
      <c r="P1586" t="s">
        <v>152</v>
      </c>
      <c r="Q1586" t="s">
        <v>8895</v>
      </c>
      <c r="S1586" t="s">
        <v>8896</v>
      </c>
      <c r="T1586" t="s">
        <v>8897</v>
      </c>
      <c r="V1586" t="s">
        <v>8898</v>
      </c>
      <c r="Y1586" t="s">
        <v>2469</v>
      </c>
    </row>
    <row r="1587" spans="1:25" x14ac:dyDescent="0.25">
      <c r="A1587" t="str">
        <f>"1209739166"</f>
        <v>1209739166</v>
      </c>
      <c r="B1587" t="s">
        <v>462</v>
      </c>
      <c r="C1587" t="s">
        <v>1140</v>
      </c>
      <c r="D1587" t="s">
        <v>8899</v>
      </c>
      <c r="E1587">
        <v>424002</v>
      </c>
      <c r="F1587" t="s">
        <v>1</v>
      </c>
      <c r="G1587" t="s">
        <v>2</v>
      </c>
      <c r="H1587" t="s">
        <v>8832</v>
      </c>
      <c r="I1587" t="s">
        <v>8900</v>
      </c>
      <c r="P1587" t="s">
        <v>133</v>
      </c>
      <c r="Q1587" t="s">
        <v>8901</v>
      </c>
      <c r="Y1587" t="s">
        <v>8902</v>
      </c>
    </row>
    <row r="1588" spans="1:25" x14ac:dyDescent="0.25">
      <c r="A1588" t="str">
        <f>"1210102299"</f>
        <v>1210102299</v>
      </c>
      <c r="B1588" t="s">
        <v>379</v>
      </c>
      <c r="C1588" t="s">
        <v>380</v>
      </c>
      <c r="D1588" t="s">
        <v>8393</v>
      </c>
      <c r="E1588">
        <v>424006</v>
      </c>
      <c r="F1588" t="s">
        <v>1</v>
      </c>
      <c r="G1588" t="s">
        <v>2</v>
      </c>
      <c r="H1588" t="s">
        <v>1348</v>
      </c>
      <c r="I1588" t="s">
        <v>8903</v>
      </c>
      <c r="L1588" t="s">
        <v>8395</v>
      </c>
      <c r="M1588" t="s">
        <v>8396</v>
      </c>
      <c r="P1588" t="s">
        <v>8504</v>
      </c>
      <c r="Q1588" t="s">
        <v>8412</v>
      </c>
      <c r="R1588" t="s">
        <v>8399</v>
      </c>
      <c r="S1588" t="s">
        <v>8400</v>
      </c>
      <c r="T1588" t="s">
        <v>8401</v>
      </c>
      <c r="Y1588" t="s">
        <v>7609</v>
      </c>
    </row>
    <row r="1589" spans="1:25" x14ac:dyDescent="0.25">
      <c r="A1589" t="str">
        <f>"1210206088"</f>
        <v>1210206088</v>
      </c>
      <c r="B1589" t="s">
        <v>348</v>
      </c>
      <c r="C1589" t="s">
        <v>5728</v>
      </c>
      <c r="D1589" t="s">
        <v>1501</v>
      </c>
      <c r="E1589">
        <v>424038</v>
      </c>
      <c r="F1589" t="s">
        <v>1</v>
      </c>
      <c r="G1589" t="s">
        <v>2</v>
      </c>
      <c r="H1589" t="s">
        <v>6550</v>
      </c>
      <c r="J1589" t="s">
        <v>8904</v>
      </c>
      <c r="M1589" t="s">
        <v>8905</v>
      </c>
      <c r="P1589" t="s">
        <v>133</v>
      </c>
      <c r="Y1589" t="s">
        <v>6552</v>
      </c>
    </row>
    <row r="1590" spans="1:25" x14ac:dyDescent="0.25">
      <c r="A1590" t="str">
        <f>"1210465438"</f>
        <v>1210465438</v>
      </c>
      <c r="B1590" t="s">
        <v>300</v>
      </c>
      <c r="C1590" t="s">
        <v>8910</v>
      </c>
      <c r="D1590" t="s">
        <v>8906</v>
      </c>
      <c r="E1590">
        <v>424006</v>
      </c>
      <c r="F1590" t="s">
        <v>1</v>
      </c>
      <c r="G1590" t="s">
        <v>2</v>
      </c>
      <c r="H1590" t="s">
        <v>478</v>
      </c>
      <c r="I1590" t="s">
        <v>8907</v>
      </c>
      <c r="L1590" t="s">
        <v>8908</v>
      </c>
      <c r="M1590" t="s">
        <v>8909</v>
      </c>
      <c r="P1590" t="s">
        <v>8911</v>
      </c>
      <c r="Q1590" t="s">
        <v>8912</v>
      </c>
      <c r="T1590" t="s">
        <v>8913</v>
      </c>
      <c r="V1590" t="s">
        <v>8914</v>
      </c>
      <c r="Y1590" t="s">
        <v>8915</v>
      </c>
    </row>
    <row r="1591" spans="1:25" x14ac:dyDescent="0.25">
      <c r="A1591" t="str">
        <f>"1211262302"</f>
        <v>1211262302</v>
      </c>
      <c r="B1591" t="s">
        <v>348</v>
      </c>
      <c r="C1591" t="s">
        <v>8920</v>
      </c>
      <c r="D1591" t="s">
        <v>8916</v>
      </c>
      <c r="E1591">
        <v>424016</v>
      </c>
      <c r="F1591" t="s">
        <v>1</v>
      </c>
      <c r="G1591" t="s">
        <v>2</v>
      </c>
      <c r="H1591" t="s">
        <v>5561</v>
      </c>
      <c r="I1591" t="s">
        <v>8917</v>
      </c>
      <c r="L1591" t="s">
        <v>8918</v>
      </c>
      <c r="M1591" t="s">
        <v>8919</v>
      </c>
      <c r="P1591" t="s">
        <v>27</v>
      </c>
      <c r="Q1591" t="s">
        <v>8921</v>
      </c>
      <c r="T1591" t="s">
        <v>8922</v>
      </c>
      <c r="U1591" t="s">
        <v>8923</v>
      </c>
      <c r="V1591" t="s">
        <v>8924</v>
      </c>
      <c r="Y1591" t="s">
        <v>5567</v>
      </c>
    </row>
    <row r="1592" spans="1:25" x14ac:dyDescent="0.25">
      <c r="A1592" t="str">
        <f>"1212032396"</f>
        <v>1212032396</v>
      </c>
      <c r="B1592" t="s">
        <v>110</v>
      </c>
      <c r="C1592" t="s">
        <v>8928</v>
      </c>
      <c r="D1592" t="s">
        <v>8925</v>
      </c>
      <c r="E1592">
        <v>424003</v>
      </c>
      <c r="F1592" t="s">
        <v>1</v>
      </c>
      <c r="G1592" t="s">
        <v>2</v>
      </c>
      <c r="H1592" t="s">
        <v>8926</v>
      </c>
      <c r="I1592" t="s">
        <v>8927</v>
      </c>
      <c r="P1592" t="s">
        <v>152</v>
      </c>
      <c r="Y1592" t="s">
        <v>8929</v>
      </c>
    </row>
    <row r="1593" spans="1:25" x14ac:dyDescent="0.25">
      <c r="A1593" t="str">
        <f>"1212251516"</f>
        <v>1212251516</v>
      </c>
      <c r="B1593" t="s">
        <v>703</v>
      </c>
      <c r="C1593" t="s">
        <v>2129</v>
      </c>
      <c r="D1593" t="s">
        <v>8930</v>
      </c>
      <c r="E1593">
        <v>424038</v>
      </c>
      <c r="F1593" t="s">
        <v>1</v>
      </c>
      <c r="G1593" t="s">
        <v>2</v>
      </c>
      <c r="H1593" t="s">
        <v>2855</v>
      </c>
      <c r="I1593" t="s">
        <v>8931</v>
      </c>
      <c r="J1593" t="s">
        <v>8932</v>
      </c>
      <c r="P1593" t="s">
        <v>133</v>
      </c>
      <c r="Y1593" t="s">
        <v>8933</v>
      </c>
    </row>
    <row r="1594" spans="1:25" x14ac:dyDescent="0.25">
      <c r="A1594" t="str">
        <f>"1212395055"</f>
        <v>1212395055</v>
      </c>
      <c r="B1594" t="s">
        <v>654</v>
      </c>
      <c r="C1594" t="s">
        <v>2195</v>
      </c>
      <c r="D1594" t="s">
        <v>8934</v>
      </c>
      <c r="E1594">
        <v>424020</v>
      </c>
      <c r="F1594" t="s">
        <v>1</v>
      </c>
      <c r="G1594" t="s">
        <v>2</v>
      </c>
      <c r="H1594" t="s">
        <v>1837</v>
      </c>
      <c r="J1594" t="s">
        <v>8935</v>
      </c>
      <c r="L1594" t="s">
        <v>8936</v>
      </c>
      <c r="M1594" t="s">
        <v>8937</v>
      </c>
      <c r="P1594" t="s">
        <v>6400</v>
      </c>
      <c r="Q1594" t="s">
        <v>8938</v>
      </c>
      <c r="R1594" t="s">
        <v>8939</v>
      </c>
      <c r="V1594" t="s">
        <v>8940</v>
      </c>
      <c r="Y1594" t="s">
        <v>1842</v>
      </c>
    </row>
    <row r="1595" spans="1:25" x14ac:dyDescent="0.25">
      <c r="A1595" t="str">
        <f>"1213834010"</f>
        <v>1213834010</v>
      </c>
      <c r="B1595" t="s">
        <v>328</v>
      </c>
      <c r="C1595" t="s">
        <v>8392</v>
      </c>
      <c r="D1595" t="s">
        <v>8941</v>
      </c>
      <c r="E1595">
        <v>424002</v>
      </c>
      <c r="F1595" t="s">
        <v>1</v>
      </c>
      <c r="G1595" t="s">
        <v>2</v>
      </c>
      <c r="H1595" t="s">
        <v>57</v>
      </c>
      <c r="I1595" t="s">
        <v>8942</v>
      </c>
      <c r="P1595" t="s">
        <v>20</v>
      </c>
      <c r="Y1595" t="s">
        <v>3783</v>
      </c>
    </row>
    <row r="1596" spans="1:25" x14ac:dyDescent="0.25">
      <c r="A1596" t="str">
        <f>"1214447874"</f>
        <v>1214447874</v>
      </c>
      <c r="B1596" t="s">
        <v>32</v>
      </c>
      <c r="C1596" t="s">
        <v>182</v>
      </c>
      <c r="D1596" t="s">
        <v>8943</v>
      </c>
      <c r="E1596">
        <v>424020</v>
      </c>
      <c r="F1596" t="s">
        <v>1</v>
      </c>
      <c r="G1596" t="s">
        <v>2</v>
      </c>
      <c r="H1596" t="s">
        <v>8702</v>
      </c>
      <c r="I1596" t="s">
        <v>8944</v>
      </c>
      <c r="P1596" t="s">
        <v>8945</v>
      </c>
      <c r="Y1596" t="s">
        <v>8946</v>
      </c>
    </row>
    <row r="1597" spans="1:25" x14ac:dyDescent="0.25">
      <c r="A1597" t="str">
        <f>"1214448934"</f>
        <v>1214448934</v>
      </c>
      <c r="B1597" t="s">
        <v>1315</v>
      </c>
      <c r="C1597" t="s">
        <v>8951</v>
      </c>
      <c r="D1597" t="s">
        <v>8947</v>
      </c>
      <c r="E1597">
        <v>424007</v>
      </c>
      <c r="F1597" t="s">
        <v>1</v>
      </c>
      <c r="G1597" t="s">
        <v>2</v>
      </c>
      <c r="H1597" t="s">
        <v>1085</v>
      </c>
      <c r="I1597" t="s">
        <v>8948</v>
      </c>
      <c r="J1597" t="s">
        <v>8949</v>
      </c>
      <c r="L1597" t="s">
        <v>5571</v>
      </c>
      <c r="M1597" t="s">
        <v>8950</v>
      </c>
      <c r="P1597" t="s">
        <v>5575</v>
      </c>
      <c r="Y1597" t="s">
        <v>1412</v>
      </c>
    </row>
    <row r="1598" spans="1:25" x14ac:dyDescent="0.25">
      <c r="A1598" t="str">
        <f>"1214668999"</f>
        <v>1214668999</v>
      </c>
      <c r="B1598" t="s">
        <v>790</v>
      </c>
      <c r="C1598" t="s">
        <v>8954</v>
      </c>
      <c r="D1598" t="s">
        <v>8952</v>
      </c>
      <c r="E1598">
        <v>424028</v>
      </c>
      <c r="F1598" t="s">
        <v>1</v>
      </c>
      <c r="G1598" t="s">
        <v>2</v>
      </c>
      <c r="H1598" t="s">
        <v>3628</v>
      </c>
      <c r="I1598" t="s">
        <v>8953</v>
      </c>
      <c r="L1598" t="s">
        <v>5049</v>
      </c>
      <c r="P1598" t="s">
        <v>1760</v>
      </c>
      <c r="V1598" t="s">
        <v>8955</v>
      </c>
      <c r="Y1598" t="s">
        <v>8956</v>
      </c>
    </row>
    <row r="1599" spans="1:25" x14ac:dyDescent="0.25">
      <c r="A1599" t="str">
        <f>"1214682548"</f>
        <v>1214682548</v>
      </c>
      <c r="B1599" t="s">
        <v>8959</v>
      </c>
      <c r="C1599" t="s">
        <v>8960</v>
      </c>
      <c r="D1599" t="s">
        <v>8957</v>
      </c>
      <c r="E1599">
        <v>424038</v>
      </c>
      <c r="F1599" t="s">
        <v>1</v>
      </c>
      <c r="G1599" t="s">
        <v>2</v>
      </c>
      <c r="H1599" t="s">
        <v>2103</v>
      </c>
      <c r="I1599" t="s">
        <v>8958</v>
      </c>
      <c r="P1599" t="s">
        <v>27</v>
      </c>
      <c r="Y1599" t="s">
        <v>2323</v>
      </c>
    </row>
    <row r="1600" spans="1:25" x14ac:dyDescent="0.25">
      <c r="A1600" t="str">
        <f>"1214977272"</f>
        <v>1214977272</v>
      </c>
      <c r="B1600" t="s">
        <v>388</v>
      </c>
      <c r="C1600" t="s">
        <v>8963</v>
      </c>
      <c r="D1600" t="s">
        <v>8961</v>
      </c>
      <c r="E1600">
        <v>424000</v>
      </c>
      <c r="F1600" t="s">
        <v>1</v>
      </c>
      <c r="G1600" t="s">
        <v>2</v>
      </c>
      <c r="H1600" t="s">
        <v>128</v>
      </c>
      <c r="I1600" t="s">
        <v>8962</v>
      </c>
      <c r="P1600" t="s">
        <v>27</v>
      </c>
      <c r="Y1600" t="s">
        <v>5640</v>
      </c>
    </row>
    <row r="1601" spans="1:25" x14ac:dyDescent="0.25">
      <c r="A1601" t="str">
        <f>"1215423214"</f>
        <v>1215423214</v>
      </c>
      <c r="B1601" t="s">
        <v>930</v>
      </c>
      <c r="C1601" t="s">
        <v>1096</v>
      </c>
      <c r="D1601" t="s">
        <v>8964</v>
      </c>
      <c r="F1601" t="s">
        <v>1</v>
      </c>
      <c r="G1601" t="s">
        <v>2</v>
      </c>
      <c r="H1601" t="s">
        <v>684</v>
      </c>
      <c r="I1601" t="s">
        <v>8965</v>
      </c>
      <c r="J1601" t="s">
        <v>8966</v>
      </c>
      <c r="L1601" t="s">
        <v>8967</v>
      </c>
      <c r="M1601" t="s">
        <v>8968</v>
      </c>
      <c r="P1601" t="s">
        <v>27</v>
      </c>
      <c r="Q1601" t="s">
        <v>8969</v>
      </c>
      <c r="Y1601" t="s">
        <v>4019</v>
      </c>
    </row>
    <row r="1602" spans="1:25" x14ac:dyDescent="0.25">
      <c r="A1602" t="str">
        <f>"1215600624"</f>
        <v>1215600624</v>
      </c>
      <c r="B1602" t="s">
        <v>18</v>
      </c>
      <c r="C1602" t="s">
        <v>8972</v>
      </c>
      <c r="D1602" t="s">
        <v>8970</v>
      </c>
      <c r="E1602">
        <v>424031</v>
      </c>
      <c r="F1602" t="s">
        <v>1</v>
      </c>
      <c r="G1602" t="s">
        <v>2</v>
      </c>
      <c r="H1602" t="s">
        <v>239</v>
      </c>
      <c r="J1602" t="s">
        <v>8971</v>
      </c>
      <c r="P1602" t="s">
        <v>9</v>
      </c>
      <c r="Y1602" t="s">
        <v>246</v>
      </c>
    </row>
    <row r="1603" spans="1:25" x14ac:dyDescent="0.25">
      <c r="A1603" t="str">
        <f>"1216097685"</f>
        <v>1216097685</v>
      </c>
      <c r="B1603" t="s">
        <v>930</v>
      </c>
      <c r="C1603" t="s">
        <v>7140</v>
      </c>
      <c r="D1603" t="s">
        <v>8973</v>
      </c>
      <c r="E1603">
        <v>424019</v>
      </c>
      <c r="F1603" t="s">
        <v>1</v>
      </c>
      <c r="G1603" t="s">
        <v>2</v>
      </c>
      <c r="H1603" t="s">
        <v>8974</v>
      </c>
      <c r="I1603" t="s">
        <v>8975</v>
      </c>
      <c r="L1603" t="s">
        <v>8976</v>
      </c>
      <c r="P1603" t="s">
        <v>216</v>
      </c>
      <c r="Q1603" t="s">
        <v>8977</v>
      </c>
      <c r="S1603" t="s">
        <v>8978</v>
      </c>
      <c r="U1603" t="s">
        <v>8979</v>
      </c>
      <c r="V1603" t="s">
        <v>8980</v>
      </c>
      <c r="Y1603" t="s">
        <v>8981</v>
      </c>
    </row>
    <row r="1604" spans="1:25" x14ac:dyDescent="0.25">
      <c r="A1604" t="str">
        <f>"1216189647"</f>
        <v>1216189647</v>
      </c>
      <c r="B1604" t="s">
        <v>1046</v>
      </c>
      <c r="C1604" t="s">
        <v>2695</v>
      </c>
      <c r="D1604" t="s">
        <v>8982</v>
      </c>
      <c r="E1604">
        <v>424005</v>
      </c>
      <c r="F1604" t="s">
        <v>1</v>
      </c>
      <c r="G1604" t="s">
        <v>2</v>
      </c>
      <c r="H1604" t="s">
        <v>8983</v>
      </c>
      <c r="I1604" t="s">
        <v>8984</v>
      </c>
      <c r="J1604" t="s">
        <v>8985</v>
      </c>
      <c r="P1604" t="s">
        <v>330</v>
      </c>
      <c r="Q1604" t="s">
        <v>8986</v>
      </c>
      <c r="Y1604" t="s">
        <v>8987</v>
      </c>
    </row>
    <row r="1605" spans="1:25" x14ac:dyDescent="0.25">
      <c r="A1605" t="str">
        <f>"1217760219"</f>
        <v>1217760219</v>
      </c>
      <c r="B1605" t="s">
        <v>930</v>
      </c>
      <c r="C1605" t="s">
        <v>8993</v>
      </c>
      <c r="D1605" t="s">
        <v>8988</v>
      </c>
      <c r="F1605" t="s">
        <v>1</v>
      </c>
      <c r="G1605" t="s">
        <v>2</v>
      </c>
      <c r="H1605" t="s">
        <v>8989</v>
      </c>
      <c r="I1605" t="s">
        <v>8990</v>
      </c>
      <c r="J1605" t="s">
        <v>8991</v>
      </c>
      <c r="L1605" t="s">
        <v>8992</v>
      </c>
      <c r="P1605" t="s">
        <v>8994</v>
      </c>
      <c r="Q1605" t="s">
        <v>8995</v>
      </c>
      <c r="Y1605" t="s">
        <v>8996</v>
      </c>
    </row>
    <row r="1606" spans="1:25" x14ac:dyDescent="0.25">
      <c r="A1606" t="str">
        <f>"1218401638"</f>
        <v>1218401638</v>
      </c>
      <c r="B1606" t="s">
        <v>80</v>
      </c>
      <c r="C1606" t="s">
        <v>9002</v>
      </c>
      <c r="D1606" t="s">
        <v>8997</v>
      </c>
      <c r="E1606">
        <v>424019</v>
      </c>
      <c r="F1606" t="s">
        <v>1</v>
      </c>
      <c r="G1606" t="s">
        <v>2</v>
      </c>
      <c r="H1606" t="s">
        <v>8998</v>
      </c>
      <c r="I1606" t="s">
        <v>8999</v>
      </c>
      <c r="L1606" t="s">
        <v>9000</v>
      </c>
      <c r="M1606" t="s">
        <v>9001</v>
      </c>
      <c r="P1606" t="s">
        <v>9003</v>
      </c>
      <c r="Q1606" t="s">
        <v>9004</v>
      </c>
      <c r="Y1606" t="s">
        <v>9005</v>
      </c>
    </row>
    <row r="1607" spans="1:25" x14ac:dyDescent="0.25">
      <c r="A1607" t="str">
        <f>"1218946430"</f>
        <v>1218946430</v>
      </c>
      <c r="B1607" t="s">
        <v>553</v>
      </c>
      <c r="C1607" t="s">
        <v>9008</v>
      </c>
      <c r="D1607" t="s">
        <v>9006</v>
      </c>
      <c r="E1607">
        <v>424006</v>
      </c>
      <c r="F1607" t="s">
        <v>1</v>
      </c>
      <c r="G1607" t="s">
        <v>2</v>
      </c>
      <c r="H1607" t="s">
        <v>9007</v>
      </c>
      <c r="P1607" t="s">
        <v>27</v>
      </c>
      <c r="Q1607" t="s">
        <v>9009</v>
      </c>
      <c r="Y1607" t="s">
        <v>9010</v>
      </c>
    </row>
    <row r="1608" spans="1:25" x14ac:dyDescent="0.25">
      <c r="A1608" t="str">
        <f>"1219750057"</f>
        <v>1219750057</v>
      </c>
      <c r="B1608" t="s">
        <v>1573</v>
      </c>
      <c r="C1608" t="s">
        <v>9016</v>
      </c>
      <c r="D1608" t="s">
        <v>9011</v>
      </c>
      <c r="E1608">
        <v>424031</v>
      </c>
      <c r="F1608" t="s">
        <v>1</v>
      </c>
      <c r="G1608" t="s">
        <v>2</v>
      </c>
      <c r="H1608" t="s">
        <v>9012</v>
      </c>
      <c r="I1608" t="s">
        <v>9013</v>
      </c>
      <c r="L1608" t="s">
        <v>9014</v>
      </c>
      <c r="M1608" t="s">
        <v>9015</v>
      </c>
      <c r="P1608" t="s">
        <v>133</v>
      </c>
      <c r="S1608" t="s">
        <v>9017</v>
      </c>
      <c r="T1608" t="s">
        <v>9018</v>
      </c>
      <c r="V1608" t="s">
        <v>9019</v>
      </c>
      <c r="Y1608" t="s">
        <v>9020</v>
      </c>
    </row>
    <row r="1609" spans="1:25" x14ac:dyDescent="0.25">
      <c r="A1609" t="str">
        <f>"1220062504"</f>
        <v>1220062504</v>
      </c>
      <c r="B1609" t="s">
        <v>18</v>
      </c>
      <c r="C1609" t="s">
        <v>9025</v>
      </c>
      <c r="D1609" t="s">
        <v>9021</v>
      </c>
      <c r="E1609">
        <v>424037</v>
      </c>
      <c r="F1609" t="s">
        <v>1</v>
      </c>
      <c r="G1609" t="s">
        <v>2</v>
      </c>
      <c r="H1609" t="s">
        <v>9022</v>
      </c>
      <c r="I1609" t="s">
        <v>9023</v>
      </c>
      <c r="M1609" t="s">
        <v>9024</v>
      </c>
      <c r="P1609" t="s">
        <v>9026</v>
      </c>
      <c r="Y1609" t="s">
        <v>9027</v>
      </c>
    </row>
    <row r="1610" spans="1:25" x14ac:dyDescent="0.25">
      <c r="A1610" t="str">
        <f>"1220118688"</f>
        <v>1220118688</v>
      </c>
      <c r="B1610" t="s">
        <v>160</v>
      </c>
      <c r="C1610" t="s">
        <v>9032</v>
      </c>
      <c r="D1610" t="s">
        <v>9028</v>
      </c>
      <c r="E1610">
        <v>424006</v>
      </c>
      <c r="F1610" t="s">
        <v>1</v>
      </c>
      <c r="G1610" t="s">
        <v>2</v>
      </c>
      <c r="H1610" t="s">
        <v>9029</v>
      </c>
      <c r="I1610" t="s">
        <v>9030</v>
      </c>
      <c r="L1610" t="s">
        <v>9031</v>
      </c>
      <c r="P1610" t="s">
        <v>280</v>
      </c>
      <c r="Y1610" t="s">
        <v>9033</v>
      </c>
    </row>
    <row r="1611" spans="1:25" x14ac:dyDescent="0.25">
      <c r="A1611" t="str">
        <f>"1221165621"</f>
        <v>1221165621</v>
      </c>
      <c r="B1611" t="s">
        <v>18</v>
      </c>
      <c r="C1611" t="s">
        <v>9038</v>
      </c>
      <c r="D1611" t="s">
        <v>9034</v>
      </c>
      <c r="E1611">
        <v>424007</v>
      </c>
      <c r="F1611" t="s">
        <v>1</v>
      </c>
      <c r="G1611" t="s">
        <v>2</v>
      </c>
      <c r="H1611" t="s">
        <v>7592</v>
      </c>
      <c r="I1611" t="s">
        <v>9035</v>
      </c>
      <c r="L1611" t="s">
        <v>9036</v>
      </c>
      <c r="M1611" t="s">
        <v>9037</v>
      </c>
      <c r="P1611" t="s">
        <v>152</v>
      </c>
      <c r="Y1611" t="s">
        <v>9039</v>
      </c>
    </row>
    <row r="1612" spans="1:25" x14ac:dyDescent="0.25">
      <c r="A1612" t="str">
        <f>"1221233456"</f>
        <v>1221233456</v>
      </c>
      <c r="B1612" t="s">
        <v>379</v>
      </c>
      <c r="C1612" t="s">
        <v>380</v>
      </c>
      <c r="D1612" t="s">
        <v>8393</v>
      </c>
      <c r="E1612">
        <v>424000</v>
      </c>
      <c r="F1612" t="s">
        <v>1</v>
      </c>
      <c r="G1612" t="s">
        <v>2</v>
      </c>
      <c r="H1612" t="s">
        <v>265</v>
      </c>
      <c r="I1612" t="s">
        <v>9040</v>
      </c>
      <c r="J1612" t="s">
        <v>9041</v>
      </c>
      <c r="L1612" t="s">
        <v>8395</v>
      </c>
      <c r="M1612" t="s">
        <v>8396</v>
      </c>
      <c r="P1612" t="s">
        <v>152</v>
      </c>
      <c r="Q1612" t="s">
        <v>8412</v>
      </c>
      <c r="R1612" t="s">
        <v>8399</v>
      </c>
      <c r="S1612" t="s">
        <v>8400</v>
      </c>
      <c r="T1612" t="s">
        <v>8401</v>
      </c>
      <c r="Y1612" t="s">
        <v>9042</v>
      </c>
    </row>
    <row r="1613" spans="1:25" x14ac:dyDescent="0.25">
      <c r="A1613" t="str">
        <f>"1221561170"</f>
        <v>1221561170</v>
      </c>
      <c r="B1613" t="s">
        <v>7</v>
      </c>
      <c r="C1613" t="s">
        <v>925</v>
      </c>
      <c r="D1613" t="s">
        <v>9043</v>
      </c>
      <c r="E1613">
        <v>424004</v>
      </c>
      <c r="F1613" t="s">
        <v>1</v>
      </c>
      <c r="G1613" t="s">
        <v>2</v>
      </c>
      <c r="H1613" t="s">
        <v>9044</v>
      </c>
      <c r="I1613" t="s">
        <v>9045</v>
      </c>
      <c r="P1613" t="s">
        <v>340</v>
      </c>
      <c r="Y1613" t="s">
        <v>9046</v>
      </c>
    </row>
    <row r="1614" spans="1:25" x14ac:dyDescent="0.25">
      <c r="A1614" t="str">
        <f>"1222073473"</f>
        <v>1222073473</v>
      </c>
      <c r="B1614" t="s">
        <v>591</v>
      </c>
      <c r="C1614" t="s">
        <v>9051</v>
      </c>
      <c r="D1614" t="s">
        <v>9047</v>
      </c>
      <c r="E1614">
        <v>424007</v>
      </c>
      <c r="F1614" t="s">
        <v>1</v>
      </c>
      <c r="G1614" t="s">
        <v>2</v>
      </c>
      <c r="H1614" t="s">
        <v>3536</v>
      </c>
      <c r="I1614" t="s">
        <v>9048</v>
      </c>
      <c r="L1614" t="s">
        <v>9049</v>
      </c>
      <c r="M1614" t="s">
        <v>9050</v>
      </c>
      <c r="P1614" t="s">
        <v>20</v>
      </c>
      <c r="Y1614" t="s">
        <v>9052</v>
      </c>
    </row>
    <row r="1615" spans="1:25" x14ac:dyDescent="0.25">
      <c r="A1615" t="str">
        <f>"1222450303"</f>
        <v>1222450303</v>
      </c>
      <c r="B1615" t="s">
        <v>417</v>
      </c>
      <c r="C1615" t="s">
        <v>418</v>
      </c>
      <c r="D1615" t="s">
        <v>9053</v>
      </c>
      <c r="E1615">
        <v>424037</v>
      </c>
      <c r="F1615" t="s">
        <v>1</v>
      </c>
      <c r="G1615" t="s">
        <v>2</v>
      </c>
      <c r="H1615" t="s">
        <v>1116</v>
      </c>
      <c r="I1615" t="s">
        <v>9054</v>
      </c>
      <c r="L1615" t="s">
        <v>9055</v>
      </c>
      <c r="M1615" t="s">
        <v>9056</v>
      </c>
      <c r="P1615" t="s">
        <v>6400</v>
      </c>
      <c r="Y1615" t="s">
        <v>9057</v>
      </c>
    </row>
    <row r="1616" spans="1:25" x14ac:dyDescent="0.25">
      <c r="A1616" t="str">
        <f>"1222721055"</f>
        <v>1222721055</v>
      </c>
      <c r="B1616" t="s">
        <v>25</v>
      </c>
      <c r="C1616" t="s">
        <v>9062</v>
      </c>
      <c r="D1616" t="s">
        <v>9058</v>
      </c>
      <c r="F1616" t="s">
        <v>1</v>
      </c>
      <c r="G1616" t="s">
        <v>2</v>
      </c>
      <c r="H1616" t="s">
        <v>3984</v>
      </c>
      <c r="I1616" t="s">
        <v>9059</v>
      </c>
      <c r="L1616" t="s">
        <v>9060</v>
      </c>
      <c r="M1616" t="s">
        <v>9061</v>
      </c>
      <c r="P1616" t="s">
        <v>1232</v>
      </c>
      <c r="Q1616" t="s">
        <v>9063</v>
      </c>
      <c r="T1616" t="s">
        <v>9064</v>
      </c>
      <c r="Y1616" t="s">
        <v>9065</v>
      </c>
    </row>
    <row r="1617" spans="1:25" x14ac:dyDescent="0.25">
      <c r="A1617" t="str">
        <f>"1222728106"</f>
        <v>1222728106</v>
      </c>
      <c r="B1617" t="s">
        <v>18</v>
      </c>
      <c r="C1617" t="s">
        <v>9069</v>
      </c>
      <c r="D1617" t="s">
        <v>9066</v>
      </c>
      <c r="E1617">
        <v>424038</v>
      </c>
      <c r="F1617" t="s">
        <v>1</v>
      </c>
      <c r="G1617" t="s">
        <v>2</v>
      </c>
      <c r="H1617" t="s">
        <v>1366</v>
      </c>
      <c r="I1617" t="s">
        <v>9067</v>
      </c>
      <c r="J1617" t="s">
        <v>9068</v>
      </c>
      <c r="P1617" t="s">
        <v>9070</v>
      </c>
      <c r="Q1617" t="s">
        <v>9071</v>
      </c>
      <c r="Y1617" t="s">
        <v>7381</v>
      </c>
    </row>
    <row r="1618" spans="1:25" x14ac:dyDescent="0.25">
      <c r="A1618" t="str">
        <f>"1223182061"</f>
        <v>1223182061</v>
      </c>
      <c r="B1618" t="s">
        <v>417</v>
      </c>
      <c r="C1618" t="s">
        <v>418</v>
      </c>
      <c r="D1618" t="s">
        <v>9072</v>
      </c>
      <c r="E1618">
        <v>424031</v>
      </c>
      <c r="F1618" t="s">
        <v>1</v>
      </c>
      <c r="G1618" t="s">
        <v>2</v>
      </c>
      <c r="H1618" t="s">
        <v>8059</v>
      </c>
      <c r="I1618" t="s">
        <v>9073</v>
      </c>
      <c r="L1618" t="s">
        <v>9074</v>
      </c>
      <c r="P1618" t="s">
        <v>9075</v>
      </c>
      <c r="Y1618" t="s">
        <v>8061</v>
      </c>
    </row>
    <row r="1619" spans="1:25" x14ac:dyDescent="0.25">
      <c r="A1619" t="str">
        <f>"1223427755"</f>
        <v>1223427755</v>
      </c>
      <c r="B1619" t="s">
        <v>1152</v>
      </c>
      <c r="C1619" t="s">
        <v>9079</v>
      </c>
      <c r="D1619" t="s">
        <v>9076</v>
      </c>
      <c r="F1619" t="s">
        <v>1</v>
      </c>
      <c r="G1619" t="s">
        <v>2</v>
      </c>
      <c r="H1619" t="s">
        <v>9077</v>
      </c>
      <c r="J1619" t="s">
        <v>9078</v>
      </c>
      <c r="P1619" t="s">
        <v>330</v>
      </c>
      <c r="Q1619" t="s">
        <v>9080</v>
      </c>
      <c r="Y1619" t="s">
        <v>9081</v>
      </c>
    </row>
    <row r="1620" spans="1:25" x14ac:dyDescent="0.25">
      <c r="A1620" t="str">
        <f>"1224422888"</f>
        <v>1224422888</v>
      </c>
      <c r="B1620" t="s">
        <v>96</v>
      </c>
      <c r="C1620" t="s">
        <v>9085</v>
      </c>
      <c r="D1620" t="s">
        <v>9082</v>
      </c>
      <c r="E1620">
        <v>424039</v>
      </c>
      <c r="F1620" t="s">
        <v>1</v>
      </c>
      <c r="G1620" t="s">
        <v>2</v>
      </c>
      <c r="H1620" t="s">
        <v>9083</v>
      </c>
      <c r="J1620" t="s">
        <v>9084</v>
      </c>
      <c r="P1620" t="s">
        <v>144</v>
      </c>
      <c r="Y1620" t="s">
        <v>9086</v>
      </c>
    </row>
    <row r="1621" spans="1:25" x14ac:dyDescent="0.25">
      <c r="A1621" t="str">
        <f>"1224779379"</f>
        <v>1224779379</v>
      </c>
      <c r="B1621" t="s">
        <v>18</v>
      </c>
      <c r="C1621" t="s">
        <v>9090</v>
      </c>
      <c r="D1621" t="s">
        <v>9087</v>
      </c>
      <c r="F1621" t="s">
        <v>1</v>
      </c>
      <c r="G1621" t="s">
        <v>2</v>
      </c>
      <c r="H1621" t="s">
        <v>9088</v>
      </c>
      <c r="I1621" t="s">
        <v>9089</v>
      </c>
      <c r="L1621" t="s">
        <v>8045</v>
      </c>
      <c r="M1621" t="s">
        <v>8046</v>
      </c>
      <c r="P1621" t="s">
        <v>280</v>
      </c>
      <c r="Y1621" t="s">
        <v>9091</v>
      </c>
    </row>
    <row r="1622" spans="1:25" x14ac:dyDescent="0.25">
      <c r="A1622" t="str">
        <f>"1225584188"</f>
        <v>1225584188</v>
      </c>
      <c r="B1622" t="s">
        <v>6609</v>
      </c>
      <c r="C1622" t="s">
        <v>9097</v>
      </c>
      <c r="D1622" t="s">
        <v>9092</v>
      </c>
      <c r="E1622">
        <v>424002</v>
      </c>
      <c r="F1622" t="s">
        <v>1</v>
      </c>
      <c r="G1622" t="s">
        <v>2</v>
      </c>
      <c r="H1622" t="s">
        <v>9093</v>
      </c>
      <c r="I1622" t="s">
        <v>9094</v>
      </c>
      <c r="L1622" t="s">
        <v>9095</v>
      </c>
      <c r="M1622" t="s">
        <v>9096</v>
      </c>
      <c r="P1622" t="s">
        <v>280</v>
      </c>
      <c r="Y1622" t="s">
        <v>9098</v>
      </c>
    </row>
    <row r="1623" spans="1:25" x14ac:dyDescent="0.25">
      <c r="A1623" t="str">
        <f>"1225635265"</f>
        <v>1225635265</v>
      </c>
      <c r="B1623" t="s">
        <v>160</v>
      </c>
      <c r="C1623" t="s">
        <v>1666</v>
      </c>
      <c r="D1623" t="s">
        <v>9099</v>
      </c>
      <c r="E1623">
        <v>424002</v>
      </c>
      <c r="F1623" t="s">
        <v>1</v>
      </c>
      <c r="G1623" t="s">
        <v>2</v>
      </c>
      <c r="H1623" t="s">
        <v>9100</v>
      </c>
      <c r="J1623" t="s">
        <v>9101</v>
      </c>
      <c r="P1623" t="s">
        <v>340</v>
      </c>
      <c r="Y1623" t="s">
        <v>9102</v>
      </c>
    </row>
    <row r="1624" spans="1:25" x14ac:dyDescent="0.25">
      <c r="A1624" t="str">
        <f>"1225811290"</f>
        <v>1225811290</v>
      </c>
      <c r="B1624" t="s">
        <v>379</v>
      </c>
      <c r="C1624" t="s">
        <v>380</v>
      </c>
      <c r="D1624" t="s">
        <v>8393</v>
      </c>
      <c r="E1624">
        <v>424000</v>
      </c>
      <c r="F1624" t="s">
        <v>1</v>
      </c>
      <c r="G1624" t="s">
        <v>2</v>
      </c>
      <c r="H1624" t="s">
        <v>9103</v>
      </c>
      <c r="I1624" t="s">
        <v>9104</v>
      </c>
      <c r="L1624" t="s">
        <v>8395</v>
      </c>
      <c r="M1624" t="s">
        <v>8396</v>
      </c>
      <c r="P1624" t="s">
        <v>9105</v>
      </c>
      <c r="Q1624" t="s">
        <v>8412</v>
      </c>
      <c r="R1624" t="s">
        <v>8399</v>
      </c>
      <c r="S1624" t="s">
        <v>8400</v>
      </c>
      <c r="T1624" t="s">
        <v>8401</v>
      </c>
      <c r="Y1624" t="s">
        <v>9106</v>
      </c>
    </row>
    <row r="1625" spans="1:25" x14ac:dyDescent="0.25">
      <c r="A1625" t="str">
        <f>"1226005714"</f>
        <v>1226005714</v>
      </c>
      <c r="B1625" t="s">
        <v>430</v>
      </c>
      <c r="C1625" t="s">
        <v>940</v>
      </c>
      <c r="D1625" t="s">
        <v>9107</v>
      </c>
      <c r="E1625">
        <v>424000</v>
      </c>
      <c r="F1625" t="s">
        <v>1</v>
      </c>
      <c r="G1625" t="s">
        <v>2</v>
      </c>
      <c r="H1625" t="s">
        <v>2202</v>
      </c>
      <c r="P1625" t="s">
        <v>9108</v>
      </c>
      <c r="Q1625" t="s">
        <v>9109</v>
      </c>
      <c r="Y1625" t="s">
        <v>2204</v>
      </c>
    </row>
    <row r="1626" spans="1:25" x14ac:dyDescent="0.25">
      <c r="A1626" t="str">
        <f>"1226280587"</f>
        <v>1226280587</v>
      </c>
      <c r="B1626" t="s">
        <v>1758</v>
      </c>
      <c r="C1626" t="s">
        <v>8089</v>
      </c>
      <c r="D1626" t="s">
        <v>9110</v>
      </c>
      <c r="E1626">
        <v>424038</v>
      </c>
      <c r="F1626" t="s">
        <v>1</v>
      </c>
      <c r="G1626" t="s">
        <v>2</v>
      </c>
      <c r="H1626" t="s">
        <v>2614</v>
      </c>
      <c r="Y1626" t="s">
        <v>9111</v>
      </c>
    </row>
    <row r="1627" spans="1:25" x14ac:dyDescent="0.25">
      <c r="A1627" t="str">
        <f>"1226523456"</f>
        <v>1226523456</v>
      </c>
      <c r="B1627" t="s">
        <v>7</v>
      </c>
      <c r="C1627" t="s">
        <v>6023</v>
      </c>
      <c r="D1627" t="s">
        <v>9112</v>
      </c>
      <c r="E1627">
        <v>424006</v>
      </c>
      <c r="F1627" t="s">
        <v>1</v>
      </c>
      <c r="G1627" t="s">
        <v>2</v>
      </c>
      <c r="H1627" t="s">
        <v>4821</v>
      </c>
      <c r="I1627" t="s">
        <v>9113</v>
      </c>
      <c r="P1627" t="s">
        <v>27</v>
      </c>
      <c r="Y1627" t="s">
        <v>9114</v>
      </c>
    </row>
    <row r="1628" spans="1:25" x14ac:dyDescent="0.25">
      <c r="A1628" t="str">
        <f>"1226546734"</f>
        <v>1226546734</v>
      </c>
      <c r="B1628" t="s">
        <v>18</v>
      </c>
      <c r="C1628" t="s">
        <v>143</v>
      </c>
      <c r="D1628" t="s">
        <v>6596</v>
      </c>
      <c r="E1628">
        <v>424006</v>
      </c>
      <c r="F1628" t="s">
        <v>1</v>
      </c>
      <c r="G1628" t="s">
        <v>2</v>
      </c>
      <c r="H1628" t="s">
        <v>3521</v>
      </c>
      <c r="J1628" t="s">
        <v>9115</v>
      </c>
      <c r="L1628" t="s">
        <v>9116</v>
      </c>
      <c r="M1628" t="s">
        <v>9117</v>
      </c>
      <c r="P1628" t="s">
        <v>2738</v>
      </c>
      <c r="Y1628" t="s">
        <v>9118</v>
      </c>
    </row>
    <row r="1629" spans="1:25" x14ac:dyDescent="0.25">
      <c r="A1629" t="str">
        <f>"1226991981"</f>
        <v>1226991981</v>
      </c>
      <c r="B1629" t="s">
        <v>123</v>
      </c>
      <c r="C1629" t="s">
        <v>424</v>
      </c>
      <c r="D1629" t="s">
        <v>9119</v>
      </c>
      <c r="E1629">
        <v>424007</v>
      </c>
      <c r="F1629" t="s">
        <v>1</v>
      </c>
      <c r="G1629" t="s">
        <v>2</v>
      </c>
      <c r="H1629" t="s">
        <v>5647</v>
      </c>
      <c r="I1629" t="s">
        <v>9120</v>
      </c>
      <c r="J1629" t="s">
        <v>9121</v>
      </c>
      <c r="P1629" t="s">
        <v>4998</v>
      </c>
      <c r="Y1629" t="s">
        <v>9122</v>
      </c>
    </row>
    <row r="1630" spans="1:25" x14ac:dyDescent="0.25">
      <c r="A1630" t="str">
        <f>"1227542623"</f>
        <v>1227542623</v>
      </c>
      <c r="B1630" t="s">
        <v>738</v>
      </c>
      <c r="C1630" t="s">
        <v>9128</v>
      </c>
      <c r="D1630" t="s">
        <v>9123</v>
      </c>
      <c r="F1630" t="s">
        <v>1</v>
      </c>
      <c r="G1630" t="s">
        <v>2</v>
      </c>
      <c r="H1630" t="s">
        <v>9124</v>
      </c>
      <c r="I1630" t="s">
        <v>9125</v>
      </c>
      <c r="J1630" t="s">
        <v>9126</v>
      </c>
      <c r="L1630" t="s">
        <v>9127</v>
      </c>
      <c r="P1630" t="s">
        <v>410</v>
      </c>
      <c r="Q1630" t="s">
        <v>9129</v>
      </c>
      <c r="Y1630" t="s">
        <v>9130</v>
      </c>
    </row>
    <row r="1631" spans="1:25" x14ac:dyDescent="0.25">
      <c r="A1631" t="str">
        <f>"1227610492"</f>
        <v>1227610492</v>
      </c>
      <c r="B1631" t="s">
        <v>1222</v>
      </c>
      <c r="C1631" t="s">
        <v>2114</v>
      </c>
      <c r="D1631" t="s">
        <v>9131</v>
      </c>
      <c r="E1631">
        <v>424032</v>
      </c>
      <c r="F1631" t="s">
        <v>1</v>
      </c>
      <c r="G1631" t="s">
        <v>2</v>
      </c>
      <c r="H1631" t="s">
        <v>9132</v>
      </c>
      <c r="J1631" t="s">
        <v>9133</v>
      </c>
      <c r="L1631" t="s">
        <v>9134</v>
      </c>
      <c r="P1631" t="s">
        <v>216</v>
      </c>
      <c r="Q1631" t="s">
        <v>9135</v>
      </c>
      <c r="Y1631" t="s">
        <v>9136</v>
      </c>
    </row>
    <row r="1632" spans="1:25" x14ac:dyDescent="0.25">
      <c r="A1632" t="str">
        <f>"1227930645"</f>
        <v>1227930645</v>
      </c>
      <c r="B1632" t="s">
        <v>151</v>
      </c>
      <c r="C1632" t="s">
        <v>151</v>
      </c>
      <c r="D1632" t="s">
        <v>9137</v>
      </c>
      <c r="E1632">
        <v>424002</v>
      </c>
      <c r="F1632" t="s">
        <v>1</v>
      </c>
      <c r="G1632" t="s">
        <v>2</v>
      </c>
      <c r="H1632" t="s">
        <v>9138</v>
      </c>
      <c r="I1632" t="s">
        <v>9139</v>
      </c>
      <c r="J1632" t="s">
        <v>9140</v>
      </c>
      <c r="P1632" t="s">
        <v>152</v>
      </c>
      <c r="Y1632" t="s">
        <v>9141</v>
      </c>
    </row>
    <row r="1633" spans="1:25" x14ac:dyDescent="0.25">
      <c r="A1633" t="str">
        <f>"1228199780"</f>
        <v>1228199780</v>
      </c>
      <c r="B1633" t="s">
        <v>1362</v>
      </c>
      <c r="C1633" t="s">
        <v>7890</v>
      </c>
      <c r="D1633" t="s">
        <v>9142</v>
      </c>
      <c r="E1633">
        <v>424006</v>
      </c>
      <c r="F1633" t="s">
        <v>1</v>
      </c>
      <c r="G1633" t="s">
        <v>2</v>
      </c>
      <c r="H1633" t="s">
        <v>6902</v>
      </c>
      <c r="J1633" t="s">
        <v>9143</v>
      </c>
      <c r="L1633" t="s">
        <v>9144</v>
      </c>
      <c r="M1633" t="s">
        <v>9145</v>
      </c>
      <c r="P1633" t="s">
        <v>312</v>
      </c>
      <c r="Q1633" t="s">
        <v>9146</v>
      </c>
      <c r="T1633" t="s">
        <v>9147</v>
      </c>
      <c r="Y1633" t="s">
        <v>7256</v>
      </c>
    </row>
    <row r="1634" spans="1:25" x14ac:dyDescent="0.25">
      <c r="A1634" t="str">
        <f>"1228333831"</f>
        <v>1228333831</v>
      </c>
      <c r="B1634" t="s">
        <v>348</v>
      </c>
      <c r="C1634" t="s">
        <v>9150</v>
      </c>
      <c r="D1634" t="s">
        <v>8682</v>
      </c>
      <c r="E1634">
        <v>424031</v>
      </c>
      <c r="F1634" t="s">
        <v>1</v>
      </c>
      <c r="G1634" t="s">
        <v>2</v>
      </c>
      <c r="H1634" t="s">
        <v>413</v>
      </c>
      <c r="J1634" t="s">
        <v>9148</v>
      </c>
      <c r="L1634" t="s">
        <v>8684</v>
      </c>
      <c r="M1634" t="s">
        <v>9149</v>
      </c>
      <c r="P1634" t="s">
        <v>362</v>
      </c>
      <c r="Y1634" t="s">
        <v>9151</v>
      </c>
    </row>
    <row r="1635" spans="1:25" x14ac:dyDescent="0.25">
      <c r="A1635" t="str">
        <f>"1228385872"</f>
        <v>1228385872</v>
      </c>
      <c r="B1635" t="s">
        <v>352</v>
      </c>
      <c r="C1635" t="s">
        <v>8051</v>
      </c>
      <c r="D1635" t="s">
        <v>9152</v>
      </c>
      <c r="E1635">
        <v>424000</v>
      </c>
      <c r="F1635" t="s">
        <v>1</v>
      </c>
      <c r="G1635" t="s">
        <v>2</v>
      </c>
      <c r="H1635" t="s">
        <v>404</v>
      </c>
      <c r="I1635" t="s">
        <v>9153</v>
      </c>
      <c r="L1635" t="s">
        <v>9154</v>
      </c>
      <c r="P1635" t="s">
        <v>34</v>
      </c>
      <c r="Y1635" t="s">
        <v>5477</v>
      </c>
    </row>
    <row r="1636" spans="1:25" x14ac:dyDescent="0.25">
      <c r="A1636" t="str">
        <f>"1228921384"</f>
        <v>1228921384</v>
      </c>
      <c r="B1636" t="s">
        <v>67</v>
      </c>
      <c r="C1636" t="s">
        <v>832</v>
      </c>
      <c r="D1636" t="s">
        <v>9155</v>
      </c>
      <c r="E1636">
        <v>424031</v>
      </c>
      <c r="F1636" t="s">
        <v>1</v>
      </c>
      <c r="G1636" t="s">
        <v>2</v>
      </c>
      <c r="H1636" t="s">
        <v>9156</v>
      </c>
      <c r="I1636" t="s">
        <v>9157</v>
      </c>
      <c r="L1636" t="s">
        <v>9158</v>
      </c>
      <c r="M1636" t="s">
        <v>9159</v>
      </c>
      <c r="P1636" t="s">
        <v>2438</v>
      </c>
      <c r="Q1636" t="s">
        <v>9160</v>
      </c>
      <c r="V1636" t="s">
        <v>9161</v>
      </c>
      <c r="Y1636" t="s">
        <v>9162</v>
      </c>
    </row>
    <row r="1637" spans="1:25" x14ac:dyDescent="0.25">
      <c r="A1637" t="str">
        <f>"1229501010"</f>
        <v>1229501010</v>
      </c>
      <c r="B1637" t="s">
        <v>930</v>
      </c>
      <c r="C1637" t="s">
        <v>1940</v>
      </c>
      <c r="D1637" t="s">
        <v>9163</v>
      </c>
      <c r="E1637">
        <v>424038</v>
      </c>
      <c r="F1637" t="s">
        <v>1</v>
      </c>
      <c r="G1637" t="s">
        <v>2</v>
      </c>
      <c r="H1637" t="s">
        <v>9164</v>
      </c>
      <c r="I1637" t="s">
        <v>9165</v>
      </c>
      <c r="L1637" t="s">
        <v>9166</v>
      </c>
      <c r="M1637" t="s">
        <v>9167</v>
      </c>
      <c r="P1637" t="s">
        <v>2457</v>
      </c>
      <c r="V1637" t="s">
        <v>9168</v>
      </c>
      <c r="Y1637" t="s">
        <v>9169</v>
      </c>
    </row>
    <row r="1638" spans="1:25" x14ac:dyDescent="0.25">
      <c r="A1638" t="str">
        <f>"1231045975"</f>
        <v>1231045975</v>
      </c>
      <c r="B1638" t="s">
        <v>379</v>
      </c>
      <c r="C1638" t="s">
        <v>9174</v>
      </c>
      <c r="D1638" t="s">
        <v>9170</v>
      </c>
      <c r="E1638">
        <v>424000</v>
      </c>
      <c r="F1638" t="s">
        <v>1</v>
      </c>
      <c r="G1638" t="s">
        <v>2</v>
      </c>
      <c r="H1638" t="s">
        <v>265</v>
      </c>
      <c r="I1638" t="s">
        <v>9171</v>
      </c>
      <c r="L1638" t="s">
        <v>9172</v>
      </c>
      <c r="M1638" t="s">
        <v>9173</v>
      </c>
      <c r="P1638" t="s">
        <v>9175</v>
      </c>
      <c r="Q1638" t="s">
        <v>9176</v>
      </c>
      <c r="R1638" t="s">
        <v>9177</v>
      </c>
      <c r="T1638" t="s">
        <v>9178</v>
      </c>
      <c r="U1638" t="s">
        <v>9179</v>
      </c>
      <c r="V1638" t="s">
        <v>9180</v>
      </c>
      <c r="Y1638" t="s">
        <v>9181</v>
      </c>
    </row>
    <row r="1639" spans="1:25" x14ac:dyDescent="0.25">
      <c r="A1639" t="str">
        <f>"1231151279"</f>
        <v>1231151279</v>
      </c>
      <c r="B1639" t="s">
        <v>703</v>
      </c>
      <c r="C1639" t="s">
        <v>9184</v>
      </c>
      <c r="D1639" t="s">
        <v>9182</v>
      </c>
      <c r="E1639">
        <v>424031</v>
      </c>
      <c r="F1639" t="s">
        <v>1</v>
      </c>
      <c r="G1639" t="s">
        <v>2</v>
      </c>
      <c r="H1639" t="s">
        <v>897</v>
      </c>
      <c r="I1639" t="s">
        <v>9183</v>
      </c>
      <c r="P1639" t="s">
        <v>7436</v>
      </c>
      <c r="Y1639" t="s">
        <v>9185</v>
      </c>
    </row>
    <row r="1640" spans="1:25" x14ac:dyDescent="0.25">
      <c r="A1640" t="str">
        <f>"1231242104"</f>
        <v>1231242104</v>
      </c>
      <c r="B1640" t="s">
        <v>687</v>
      </c>
      <c r="C1640" t="s">
        <v>9188</v>
      </c>
      <c r="D1640" t="s">
        <v>9186</v>
      </c>
      <c r="E1640">
        <v>424007</v>
      </c>
      <c r="F1640" t="s">
        <v>1</v>
      </c>
      <c r="G1640" t="s">
        <v>2</v>
      </c>
      <c r="H1640" t="s">
        <v>2358</v>
      </c>
      <c r="I1640" t="s">
        <v>9187</v>
      </c>
      <c r="P1640" t="s">
        <v>27</v>
      </c>
      <c r="Q1640" t="s">
        <v>9189</v>
      </c>
      <c r="Y1640" t="s">
        <v>2363</v>
      </c>
    </row>
    <row r="1641" spans="1:25" x14ac:dyDescent="0.25">
      <c r="A1641" t="str">
        <f>"1231391641"</f>
        <v>1231391641</v>
      </c>
      <c r="B1641" t="s">
        <v>3652</v>
      </c>
      <c r="C1641" t="s">
        <v>3685</v>
      </c>
      <c r="D1641" t="s">
        <v>9190</v>
      </c>
      <c r="E1641">
        <v>424016</v>
      </c>
      <c r="F1641" t="s">
        <v>1</v>
      </c>
      <c r="G1641" t="s">
        <v>2</v>
      </c>
      <c r="H1641" t="s">
        <v>9191</v>
      </c>
      <c r="I1641" t="s">
        <v>9192</v>
      </c>
      <c r="L1641" t="s">
        <v>9193</v>
      </c>
      <c r="M1641" t="s">
        <v>9194</v>
      </c>
      <c r="P1641" t="s">
        <v>27</v>
      </c>
      <c r="Y1641" t="s">
        <v>9195</v>
      </c>
    </row>
    <row r="1642" spans="1:25" x14ac:dyDescent="0.25">
      <c r="A1642" t="str">
        <f>"1231533740"</f>
        <v>1231533740</v>
      </c>
      <c r="B1642" t="s">
        <v>1046</v>
      </c>
      <c r="C1642" t="s">
        <v>3497</v>
      </c>
      <c r="D1642" t="s">
        <v>9196</v>
      </c>
      <c r="E1642">
        <v>424006</v>
      </c>
      <c r="F1642" t="s">
        <v>1</v>
      </c>
      <c r="G1642" t="s">
        <v>2</v>
      </c>
      <c r="H1642" t="s">
        <v>5726</v>
      </c>
      <c r="I1642" t="s">
        <v>9197</v>
      </c>
      <c r="J1642" t="s">
        <v>9198</v>
      </c>
      <c r="P1642" t="s">
        <v>330</v>
      </c>
      <c r="Q1642" t="s">
        <v>9199</v>
      </c>
      <c r="V1642" t="s">
        <v>9200</v>
      </c>
      <c r="Y1642" t="s">
        <v>9201</v>
      </c>
    </row>
    <row r="1643" spans="1:25" x14ac:dyDescent="0.25">
      <c r="A1643" t="str">
        <f>"1232229075"</f>
        <v>1232229075</v>
      </c>
      <c r="B1643" t="s">
        <v>687</v>
      </c>
      <c r="C1643" t="s">
        <v>9205</v>
      </c>
      <c r="D1643" t="s">
        <v>9202</v>
      </c>
      <c r="E1643">
        <v>424003</v>
      </c>
      <c r="F1643" t="s">
        <v>1</v>
      </c>
      <c r="G1643" t="s">
        <v>2</v>
      </c>
      <c r="H1643" t="s">
        <v>9203</v>
      </c>
      <c r="I1643" t="s">
        <v>9204</v>
      </c>
      <c r="K1643" t="s">
        <v>9204</v>
      </c>
      <c r="P1643" t="s">
        <v>27</v>
      </c>
      <c r="Y1643" t="s">
        <v>9206</v>
      </c>
    </row>
    <row r="1644" spans="1:25" x14ac:dyDescent="0.25">
      <c r="A1644" t="str">
        <f>"1232746385"</f>
        <v>1232746385</v>
      </c>
      <c r="B1644" t="s">
        <v>352</v>
      </c>
      <c r="C1644" t="s">
        <v>9212</v>
      </c>
      <c r="D1644" t="s">
        <v>9207</v>
      </c>
      <c r="E1644">
        <v>424000</v>
      </c>
      <c r="F1644" t="s">
        <v>1</v>
      </c>
      <c r="G1644" t="s">
        <v>2</v>
      </c>
      <c r="H1644" t="s">
        <v>3749</v>
      </c>
      <c r="I1644" t="s">
        <v>9208</v>
      </c>
      <c r="J1644" t="s">
        <v>9209</v>
      </c>
      <c r="L1644" t="s">
        <v>9210</v>
      </c>
      <c r="M1644" t="s">
        <v>9211</v>
      </c>
      <c r="P1644" t="s">
        <v>9213</v>
      </c>
      <c r="Q1644" t="s">
        <v>9214</v>
      </c>
      <c r="T1644" t="s">
        <v>9215</v>
      </c>
      <c r="U1644" t="s">
        <v>9216</v>
      </c>
      <c r="V1644" t="s">
        <v>9217</v>
      </c>
      <c r="Y1644" t="s">
        <v>9218</v>
      </c>
    </row>
    <row r="1645" spans="1:25" x14ac:dyDescent="0.25">
      <c r="A1645" t="str">
        <f>"1233267976"</f>
        <v>1233267976</v>
      </c>
      <c r="B1645" t="s">
        <v>388</v>
      </c>
      <c r="C1645" t="s">
        <v>9224</v>
      </c>
      <c r="D1645" t="s">
        <v>9219</v>
      </c>
      <c r="E1645">
        <v>424000</v>
      </c>
      <c r="F1645" t="s">
        <v>1</v>
      </c>
      <c r="G1645" t="s">
        <v>2</v>
      </c>
      <c r="H1645" t="s">
        <v>2547</v>
      </c>
      <c r="I1645" t="s">
        <v>9220</v>
      </c>
      <c r="J1645" t="s">
        <v>9221</v>
      </c>
      <c r="L1645" t="s">
        <v>9222</v>
      </c>
      <c r="M1645" t="s">
        <v>9223</v>
      </c>
      <c r="P1645" t="s">
        <v>27</v>
      </c>
      <c r="Y1645" t="s">
        <v>9225</v>
      </c>
    </row>
    <row r="1646" spans="1:25" x14ac:dyDescent="0.25">
      <c r="A1646" t="str">
        <f>"1233305511"</f>
        <v>1233305511</v>
      </c>
      <c r="B1646" t="s">
        <v>18</v>
      </c>
      <c r="C1646" t="s">
        <v>9228</v>
      </c>
      <c r="D1646" t="s">
        <v>9226</v>
      </c>
      <c r="E1646">
        <v>424028</v>
      </c>
      <c r="F1646" t="s">
        <v>1</v>
      </c>
      <c r="G1646" t="s">
        <v>2</v>
      </c>
      <c r="H1646" t="s">
        <v>3628</v>
      </c>
      <c r="I1646" t="s">
        <v>9227</v>
      </c>
      <c r="P1646" t="s">
        <v>280</v>
      </c>
      <c r="Q1646" t="s">
        <v>9229</v>
      </c>
      <c r="Y1646" t="s">
        <v>6934</v>
      </c>
    </row>
    <row r="1647" spans="1:25" x14ac:dyDescent="0.25">
      <c r="A1647" t="str">
        <f>"1234008111"</f>
        <v>1234008111</v>
      </c>
      <c r="B1647" t="s">
        <v>18</v>
      </c>
      <c r="C1647" t="s">
        <v>8047</v>
      </c>
      <c r="D1647" t="s">
        <v>9087</v>
      </c>
      <c r="E1647">
        <v>424008</v>
      </c>
      <c r="F1647" t="s">
        <v>1</v>
      </c>
      <c r="G1647" t="s">
        <v>2</v>
      </c>
      <c r="H1647" t="s">
        <v>9230</v>
      </c>
      <c r="I1647" t="s">
        <v>9231</v>
      </c>
      <c r="L1647" t="s">
        <v>8045</v>
      </c>
      <c r="M1647" t="s">
        <v>8046</v>
      </c>
      <c r="P1647" t="s">
        <v>3938</v>
      </c>
      <c r="Y1647" t="s">
        <v>9232</v>
      </c>
    </row>
    <row r="1648" spans="1:25" x14ac:dyDescent="0.25">
      <c r="A1648" t="str">
        <f>"1234037500"</f>
        <v>1234037500</v>
      </c>
      <c r="B1648" t="s">
        <v>233</v>
      </c>
      <c r="C1648" t="s">
        <v>9237</v>
      </c>
      <c r="D1648" t="s">
        <v>9233</v>
      </c>
      <c r="E1648">
        <v>424006</v>
      </c>
      <c r="F1648" t="s">
        <v>1</v>
      </c>
      <c r="G1648" t="s">
        <v>2</v>
      </c>
      <c r="H1648" t="s">
        <v>2185</v>
      </c>
      <c r="J1648" t="s">
        <v>9234</v>
      </c>
      <c r="L1648" t="s">
        <v>9235</v>
      </c>
      <c r="M1648" t="s">
        <v>9236</v>
      </c>
      <c r="P1648" t="s">
        <v>280</v>
      </c>
      <c r="Y1648" t="s">
        <v>2191</v>
      </c>
    </row>
    <row r="1649" spans="1:25" x14ac:dyDescent="0.25">
      <c r="A1649" t="str">
        <f>"1234121469"</f>
        <v>1234121469</v>
      </c>
      <c r="B1649" t="s">
        <v>1604</v>
      </c>
      <c r="C1649" t="s">
        <v>9242</v>
      </c>
      <c r="D1649" t="s">
        <v>9238</v>
      </c>
      <c r="E1649">
        <v>424002</v>
      </c>
      <c r="F1649" t="s">
        <v>1</v>
      </c>
      <c r="G1649" t="s">
        <v>2</v>
      </c>
      <c r="H1649" t="s">
        <v>2164</v>
      </c>
      <c r="I1649" t="s">
        <v>9239</v>
      </c>
      <c r="L1649" t="s">
        <v>9240</v>
      </c>
      <c r="M1649" t="s">
        <v>9241</v>
      </c>
      <c r="P1649" t="s">
        <v>27</v>
      </c>
      <c r="Y1649" t="s">
        <v>2166</v>
      </c>
    </row>
    <row r="1650" spans="1:25" x14ac:dyDescent="0.25">
      <c r="A1650" t="str">
        <f>"1234401850"</f>
        <v>1234401850</v>
      </c>
      <c r="B1650" t="s">
        <v>96</v>
      </c>
      <c r="C1650" t="s">
        <v>9248</v>
      </c>
      <c r="D1650" t="s">
        <v>9243</v>
      </c>
      <c r="E1650">
        <v>424918</v>
      </c>
      <c r="F1650" t="s">
        <v>1</v>
      </c>
      <c r="G1650" t="s">
        <v>2</v>
      </c>
      <c r="H1650" t="s">
        <v>629</v>
      </c>
      <c r="I1650" t="s">
        <v>9244</v>
      </c>
      <c r="J1650" t="s">
        <v>9245</v>
      </c>
      <c r="L1650" t="s">
        <v>9246</v>
      </c>
      <c r="M1650" t="s">
        <v>9247</v>
      </c>
      <c r="P1650" t="s">
        <v>630</v>
      </c>
      <c r="Q1650" t="s">
        <v>9249</v>
      </c>
      <c r="S1650" t="s">
        <v>9250</v>
      </c>
      <c r="T1650" t="s">
        <v>9251</v>
      </c>
      <c r="V1650" t="s">
        <v>9252</v>
      </c>
      <c r="Y1650" t="s">
        <v>9253</v>
      </c>
    </row>
    <row r="1651" spans="1:25" x14ac:dyDescent="0.25">
      <c r="A1651" t="str">
        <f>"1234949329"</f>
        <v>1234949329</v>
      </c>
      <c r="B1651" t="s">
        <v>96</v>
      </c>
      <c r="C1651" t="s">
        <v>9259</v>
      </c>
      <c r="D1651" t="s">
        <v>9254</v>
      </c>
      <c r="E1651">
        <v>424002</v>
      </c>
      <c r="F1651" t="s">
        <v>1</v>
      </c>
      <c r="G1651" t="s">
        <v>2</v>
      </c>
      <c r="H1651" t="s">
        <v>6679</v>
      </c>
      <c r="I1651" t="s">
        <v>9255</v>
      </c>
      <c r="J1651" t="s">
        <v>9256</v>
      </c>
      <c r="L1651" t="s">
        <v>9257</v>
      </c>
      <c r="M1651" t="s">
        <v>9258</v>
      </c>
      <c r="P1651" t="s">
        <v>112</v>
      </c>
      <c r="Q1651" t="s">
        <v>9260</v>
      </c>
      <c r="V1651" t="s">
        <v>9261</v>
      </c>
      <c r="Y1651" t="s">
        <v>9262</v>
      </c>
    </row>
    <row r="1652" spans="1:25" x14ac:dyDescent="0.25">
      <c r="A1652" t="str">
        <f>"1236215911"</f>
        <v>1236215911</v>
      </c>
      <c r="B1652" t="s">
        <v>388</v>
      </c>
      <c r="C1652" t="s">
        <v>9267</v>
      </c>
      <c r="D1652" t="s">
        <v>9263</v>
      </c>
      <c r="E1652">
        <v>424006</v>
      </c>
      <c r="F1652" t="s">
        <v>1</v>
      </c>
      <c r="G1652" t="s">
        <v>2</v>
      </c>
      <c r="H1652" t="s">
        <v>445</v>
      </c>
      <c r="J1652" t="s">
        <v>9264</v>
      </c>
      <c r="L1652" t="s">
        <v>9265</v>
      </c>
      <c r="M1652" t="s">
        <v>9266</v>
      </c>
      <c r="P1652" t="s">
        <v>280</v>
      </c>
      <c r="Y1652" t="s">
        <v>449</v>
      </c>
    </row>
    <row r="1653" spans="1:25" x14ac:dyDescent="0.25">
      <c r="A1653" t="str">
        <f>"1236422195"</f>
        <v>1236422195</v>
      </c>
      <c r="B1653" t="s">
        <v>18</v>
      </c>
      <c r="C1653" t="s">
        <v>8608</v>
      </c>
      <c r="D1653" t="s">
        <v>9268</v>
      </c>
      <c r="E1653">
        <v>424039</v>
      </c>
      <c r="F1653" t="s">
        <v>1</v>
      </c>
      <c r="G1653" t="s">
        <v>2</v>
      </c>
      <c r="H1653" t="s">
        <v>8694</v>
      </c>
      <c r="I1653" t="s">
        <v>8605</v>
      </c>
      <c r="L1653" t="s">
        <v>8606</v>
      </c>
      <c r="M1653" t="s">
        <v>8607</v>
      </c>
      <c r="P1653" t="s">
        <v>152</v>
      </c>
      <c r="Y1653" t="s">
        <v>9269</v>
      </c>
    </row>
    <row r="1654" spans="1:25" x14ac:dyDescent="0.25">
      <c r="A1654" t="str">
        <f>"1237645078"</f>
        <v>1237645078</v>
      </c>
      <c r="B1654" t="s">
        <v>2818</v>
      </c>
      <c r="C1654" t="s">
        <v>9274</v>
      </c>
      <c r="D1654" t="s">
        <v>9270</v>
      </c>
      <c r="E1654">
        <v>424019</v>
      </c>
      <c r="F1654" t="s">
        <v>1</v>
      </c>
      <c r="G1654" t="s">
        <v>2</v>
      </c>
      <c r="H1654" t="s">
        <v>9271</v>
      </c>
      <c r="L1654" t="s">
        <v>9272</v>
      </c>
      <c r="M1654" t="s">
        <v>9273</v>
      </c>
      <c r="P1654" t="s">
        <v>27</v>
      </c>
      <c r="Y1654" t="s">
        <v>9275</v>
      </c>
    </row>
    <row r="1655" spans="1:25" x14ac:dyDescent="0.25">
      <c r="A1655" t="str">
        <f>"1237840736"</f>
        <v>1237840736</v>
      </c>
      <c r="B1655" t="s">
        <v>151</v>
      </c>
      <c r="C1655" t="s">
        <v>9277</v>
      </c>
      <c r="D1655" t="s">
        <v>7488</v>
      </c>
      <c r="E1655">
        <v>424020</v>
      </c>
      <c r="F1655" t="s">
        <v>1</v>
      </c>
      <c r="G1655" t="s">
        <v>2</v>
      </c>
      <c r="H1655" t="s">
        <v>3565</v>
      </c>
      <c r="I1655" t="s">
        <v>9276</v>
      </c>
      <c r="L1655" t="s">
        <v>7859</v>
      </c>
      <c r="P1655" t="s">
        <v>260</v>
      </c>
      <c r="Y1655" t="s">
        <v>9278</v>
      </c>
    </row>
    <row r="1656" spans="1:25" x14ac:dyDescent="0.25">
      <c r="A1656" t="str">
        <f>"1237957885"</f>
        <v>1237957885</v>
      </c>
      <c r="B1656" t="s">
        <v>1053</v>
      </c>
      <c r="C1656" t="s">
        <v>9283</v>
      </c>
      <c r="D1656" t="s">
        <v>9279</v>
      </c>
      <c r="E1656">
        <v>424032</v>
      </c>
      <c r="F1656" t="s">
        <v>1</v>
      </c>
      <c r="G1656" t="s">
        <v>2</v>
      </c>
      <c r="H1656" t="s">
        <v>4808</v>
      </c>
      <c r="I1656" t="s">
        <v>9280</v>
      </c>
      <c r="J1656" t="s">
        <v>9281</v>
      </c>
      <c r="L1656" t="s">
        <v>9282</v>
      </c>
      <c r="P1656" t="s">
        <v>20</v>
      </c>
      <c r="V1656" t="s">
        <v>9284</v>
      </c>
      <c r="Y1656" t="s">
        <v>4812</v>
      </c>
    </row>
    <row r="1657" spans="1:25" x14ac:dyDescent="0.25">
      <c r="A1657" t="str">
        <f>"1238593309"</f>
        <v>1238593309</v>
      </c>
      <c r="B1657" t="s">
        <v>1152</v>
      </c>
      <c r="C1657" t="s">
        <v>9289</v>
      </c>
      <c r="D1657" t="s">
        <v>9285</v>
      </c>
      <c r="E1657">
        <v>424006</v>
      </c>
      <c r="F1657" t="s">
        <v>1</v>
      </c>
      <c r="G1657" t="s">
        <v>2</v>
      </c>
      <c r="H1657" t="s">
        <v>492</v>
      </c>
      <c r="I1657" t="s">
        <v>9286</v>
      </c>
      <c r="L1657" t="s">
        <v>9287</v>
      </c>
      <c r="M1657" t="s">
        <v>9288</v>
      </c>
      <c r="P1657" t="s">
        <v>9290</v>
      </c>
      <c r="Q1657" t="s">
        <v>9291</v>
      </c>
      <c r="S1657" t="s">
        <v>9292</v>
      </c>
      <c r="T1657" t="s">
        <v>9293</v>
      </c>
      <c r="V1657" t="s">
        <v>9294</v>
      </c>
      <c r="Y1657" t="s">
        <v>9295</v>
      </c>
    </row>
    <row r="1658" spans="1:25" x14ac:dyDescent="0.25">
      <c r="A1658" t="str">
        <f>"1238821737"</f>
        <v>1238821737</v>
      </c>
      <c r="B1658" t="s">
        <v>738</v>
      </c>
      <c r="C1658" t="s">
        <v>9299</v>
      </c>
      <c r="D1658" t="s">
        <v>9296</v>
      </c>
      <c r="E1658">
        <v>424006</v>
      </c>
      <c r="F1658" t="s">
        <v>1</v>
      </c>
      <c r="G1658" t="s">
        <v>2</v>
      </c>
      <c r="H1658" t="s">
        <v>4346</v>
      </c>
      <c r="J1658" t="s">
        <v>9297</v>
      </c>
      <c r="L1658" t="s">
        <v>9298</v>
      </c>
      <c r="P1658" t="s">
        <v>7390</v>
      </c>
      <c r="Y1658" t="s">
        <v>9300</v>
      </c>
    </row>
    <row r="1659" spans="1:25" x14ac:dyDescent="0.25">
      <c r="A1659" t="str">
        <f>"1239065153"</f>
        <v>1239065153</v>
      </c>
      <c r="B1659" t="s">
        <v>379</v>
      </c>
      <c r="C1659" t="s">
        <v>380</v>
      </c>
      <c r="D1659" t="s">
        <v>8393</v>
      </c>
      <c r="E1659">
        <v>424036</v>
      </c>
      <c r="F1659" t="s">
        <v>1</v>
      </c>
      <c r="G1659" t="s">
        <v>2</v>
      </c>
      <c r="H1659" t="s">
        <v>375</v>
      </c>
      <c r="I1659" t="s">
        <v>9301</v>
      </c>
      <c r="L1659" t="s">
        <v>8395</v>
      </c>
      <c r="M1659" t="s">
        <v>8396</v>
      </c>
      <c r="Q1659" t="s">
        <v>8412</v>
      </c>
      <c r="R1659" t="s">
        <v>8399</v>
      </c>
      <c r="S1659" t="s">
        <v>8400</v>
      </c>
      <c r="T1659" t="s">
        <v>8401</v>
      </c>
      <c r="Y1659" t="s">
        <v>384</v>
      </c>
    </row>
    <row r="1660" spans="1:25" x14ac:dyDescent="0.25">
      <c r="A1660" t="str">
        <f>"1239107454"</f>
        <v>1239107454</v>
      </c>
      <c r="B1660" t="s">
        <v>790</v>
      </c>
      <c r="C1660" t="s">
        <v>4442</v>
      </c>
      <c r="D1660" t="s">
        <v>9302</v>
      </c>
      <c r="E1660">
        <v>424000</v>
      </c>
      <c r="F1660" t="s">
        <v>1</v>
      </c>
      <c r="G1660" t="s">
        <v>2</v>
      </c>
      <c r="H1660" t="s">
        <v>1531</v>
      </c>
      <c r="I1660" t="s">
        <v>9303</v>
      </c>
      <c r="L1660" t="s">
        <v>9304</v>
      </c>
      <c r="M1660" t="s">
        <v>9305</v>
      </c>
      <c r="P1660" t="s">
        <v>1855</v>
      </c>
      <c r="Q1660" t="s">
        <v>9306</v>
      </c>
      <c r="V1660" t="s">
        <v>9307</v>
      </c>
      <c r="Y1660" t="s">
        <v>1707</v>
      </c>
    </row>
    <row r="1661" spans="1:25" x14ac:dyDescent="0.25">
      <c r="A1661" t="str">
        <f>"1239226842"</f>
        <v>1239226842</v>
      </c>
      <c r="B1661" t="s">
        <v>348</v>
      </c>
      <c r="C1661" t="s">
        <v>8457</v>
      </c>
      <c r="D1661" t="s">
        <v>8455</v>
      </c>
      <c r="E1661">
        <v>424006</v>
      </c>
      <c r="F1661" t="s">
        <v>1</v>
      </c>
      <c r="G1661" t="s">
        <v>2</v>
      </c>
      <c r="H1661" t="s">
        <v>2012</v>
      </c>
      <c r="J1661" t="s">
        <v>9308</v>
      </c>
      <c r="P1661" t="s">
        <v>941</v>
      </c>
      <c r="Y1661" t="s">
        <v>9309</v>
      </c>
    </row>
    <row r="1662" spans="1:25" x14ac:dyDescent="0.25">
      <c r="A1662" t="str">
        <f>"1239599809"</f>
        <v>1239599809</v>
      </c>
      <c r="B1662" t="s">
        <v>430</v>
      </c>
      <c r="C1662" t="s">
        <v>9314</v>
      </c>
      <c r="D1662" t="s">
        <v>9310</v>
      </c>
      <c r="E1662">
        <v>424918</v>
      </c>
      <c r="F1662" t="s">
        <v>1</v>
      </c>
      <c r="G1662" t="s">
        <v>2</v>
      </c>
      <c r="H1662" t="s">
        <v>629</v>
      </c>
      <c r="J1662" t="s">
        <v>9311</v>
      </c>
      <c r="L1662" t="s">
        <v>9312</v>
      </c>
      <c r="M1662" t="s">
        <v>9313</v>
      </c>
      <c r="P1662" t="s">
        <v>1213</v>
      </c>
      <c r="Q1662" t="s">
        <v>9315</v>
      </c>
      <c r="R1662" t="s">
        <v>9316</v>
      </c>
      <c r="S1662" t="s">
        <v>9317</v>
      </c>
      <c r="T1662" t="s">
        <v>9318</v>
      </c>
      <c r="U1662" t="s">
        <v>9319</v>
      </c>
      <c r="V1662" t="s">
        <v>9320</v>
      </c>
      <c r="Y1662" t="s">
        <v>1744</v>
      </c>
    </row>
    <row r="1663" spans="1:25" x14ac:dyDescent="0.25">
      <c r="A1663" t="str">
        <f>"1239929196"</f>
        <v>1239929196</v>
      </c>
      <c r="B1663" t="s">
        <v>1611</v>
      </c>
      <c r="C1663" t="s">
        <v>9325</v>
      </c>
      <c r="D1663" t="s">
        <v>9321</v>
      </c>
      <c r="E1663">
        <v>424037</v>
      </c>
      <c r="F1663" t="s">
        <v>1</v>
      </c>
      <c r="G1663" t="s">
        <v>2</v>
      </c>
      <c r="H1663" t="s">
        <v>9322</v>
      </c>
      <c r="I1663" t="s">
        <v>9323</v>
      </c>
      <c r="M1663" t="s">
        <v>9324</v>
      </c>
      <c r="P1663" t="s">
        <v>9326</v>
      </c>
      <c r="Y1663" t="s">
        <v>9327</v>
      </c>
    </row>
    <row r="1664" spans="1:25" x14ac:dyDescent="0.25">
      <c r="A1664" t="str">
        <f>"1240034741"</f>
        <v>1240034741</v>
      </c>
      <c r="B1664" t="s">
        <v>160</v>
      </c>
      <c r="C1664" t="s">
        <v>9333</v>
      </c>
      <c r="D1664" t="s">
        <v>9328</v>
      </c>
      <c r="E1664">
        <v>424007</v>
      </c>
      <c r="F1664" t="s">
        <v>1</v>
      </c>
      <c r="G1664" t="s">
        <v>2</v>
      </c>
      <c r="H1664" t="s">
        <v>283</v>
      </c>
      <c r="I1664" t="s">
        <v>9329</v>
      </c>
      <c r="J1664" t="s">
        <v>9330</v>
      </c>
      <c r="L1664" t="s">
        <v>9331</v>
      </c>
      <c r="M1664" t="s">
        <v>9332</v>
      </c>
      <c r="P1664" t="s">
        <v>27</v>
      </c>
      <c r="Y1664" t="s">
        <v>286</v>
      </c>
    </row>
    <row r="1665" spans="1:25" x14ac:dyDescent="0.25">
      <c r="A1665" t="str">
        <f>"1240722595"</f>
        <v>1240722595</v>
      </c>
      <c r="B1665" t="s">
        <v>746</v>
      </c>
      <c r="C1665" t="s">
        <v>747</v>
      </c>
      <c r="D1665" t="s">
        <v>9334</v>
      </c>
      <c r="E1665">
        <v>424038</v>
      </c>
      <c r="F1665" t="s">
        <v>1</v>
      </c>
      <c r="G1665" t="s">
        <v>2</v>
      </c>
      <c r="H1665" t="s">
        <v>386</v>
      </c>
      <c r="J1665" t="s">
        <v>9335</v>
      </c>
      <c r="L1665" t="s">
        <v>9336</v>
      </c>
      <c r="P1665" t="s">
        <v>330</v>
      </c>
      <c r="Q1665" t="s">
        <v>9337</v>
      </c>
      <c r="S1665" t="s">
        <v>9338</v>
      </c>
      <c r="T1665" t="s">
        <v>9339</v>
      </c>
      <c r="V1665" t="s">
        <v>9340</v>
      </c>
      <c r="Y1665" t="s">
        <v>391</v>
      </c>
    </row>
    <row r="1666" spans="1:25" x14ac:dyDescent="0.25">
      <c r="A1666" t="str">
        <f>"1241001135"</f>
        <v>1241001135</v>
      </c>
      <c r="B1666" t="s">
        <v>151</v>
      </c>
      <c r="C1666" t="s">
        <v>9346</v>
      </c>
      <c r="D1666" t="s">
        <v>9341</v>
      </c>
      <c r="E1666">
        <v>424037</v>
      </c>
      <c r="F1666" t="s">
        <v>1</v>
      </c>
      <c r="G1666" t="s">
        <v>2</v>
      </c>
      <c r="H1666" t="s">
        <v>9342</v>
      </c>
      <c r="I1666" t="s">
        <v>9343</v>
      </c>
      <c r="L1666" t="s">
        <v>9344</v>
      </c>
      <c r="M1666" t="s">
        <v>9345</v>
      </c>
      <c r="P1666" t="s">
        <v>27</v>
      </c>
      <c r="Y1666" t="s">
        <v>9347</v>
      </c>
    </row>
    <row r="1667" spans="1:25" x14ac:dyDescent="0.25">
      <c r="A1667" t="str">
        <f>"1242263955"</f>
        <v>1242263955</v>
      </c>
      <c r="B1667" t="s">
        <v>18</v>
      </c>
      <c r="C1667" t="s">
        <v>9353</v>
      </c>
      <c r="D1667" t="s">
        <v>9348</v>
      </c>
      <c r="E1667">
        <v>424007</v>
      </c>
      <c r="F1667" t="s">
        <v>1</v>
      </c>
      <c r="G1667" t="s">
        <v>2</v>
      </c>
      <c r="H1667" t="s">
        <v>3696</v>
      </c>
      <c r="I1667" t="s">
        <v>9349</v>
      </c>
      <c r="J1667" t="s">
        <v>9350</v>
      </c>
      <c r="L1667" t="s">
        <v>9351</v>
      </c>
      <c r="M1667" t="s">
        <v>9352</v>
      </c>
      <c r="P1667" t="s">
        <v>6236</v>
      </c>
      <c r="Y1667" t="s">
        <v>3701</v>
      </c>
    </row>
    <row r="1668" spans="1:25" x14ac:dyDescent="0.25">
      <c r="A1668" t="str">
        <f>"1242430335"</f>
        <v>1242430335</v>
      </c>
      <c r="B1668" t="s">
        <v>352</v>
      </c>
      <c r="C1668" t="s">
        <v>9359</v>
      </c>
      <c r="D1668" t="s">
        <v>9354</v>
      </c>
      <c r="E1668">
        <v>424006</v>
      </c>
      <c r="F1668" t="s">
        <v>1</v>
      </c>
      <c r="G1668" t="s">
        <v>2</v>
      </c>
      <c r="H1668" t="s">
        <v>9355</v>
      </c>
      <c r="J1668" t="s">
        <v>9356</v>
      </c>
      <c r="L1668" t="s">
        <v>9357</v>
      </c>
      <c r="M1668" t="s">
        <v>9358</v>
      </c>
      <c r="P1668" t="s">
        <v>5084</v>
      </c>
      <c r="Q1668" t="s">
        <v>9360</v>
      </c>
      <c r="V1668" t="s">
        <v>9361</v>
      </c>
      <c r="Y1668" t="s">
        <v>9362</v>
      </c>
    </row>
    <row r="1669" spans="1:25" x14ac:dyDescent="0.25">
      <c r="A1669" t="str">
        <f>"1242793769"</f>
        <v>1242793769</v>
      </c>
      <c r="B1669" t="s">
        <v>1053</v>
      </c>
      <c r="C1669" t="s">
        <v>9368</v>
      </c>
      <c r="D1669" t="s">
        <v>9363</v>
      </c>
      <c r="E1669">
        <v>424007</v>
      </c>
      <c r="F1669" t="s">
        <v>1</v>
      </c>
      <c r="G1669" t="s">
        <v>2</v>
      </c>
      <c r="H1669" t="s">
        <v>4321</v>
      </c>
      <c r="I1669" t="s">
        <v>9364</v>
      </c>
      <c r="J1669" t="s">
        <v>9365</v>
      </c>
      <c r="L1669" t="s">
        <v>9366</v>
      </c>
      <c r="M1669" t="s">
        <v>9367</v>
      </c>
      <c r="P1669" t="s">
        <v>2738</v>
      </c>
      <c r="Q1669" t="s">
        <v>9369</v>
      </c>
      <c r="Y1669" t="s">
        <v>9370</v>
      </c>
    </row>
    <row r="1670" spans="1:25" x14ac:dyDescent="0.25">
      <c r="A1670" t="str">
        <f>"1243218857"</f>
        <v>1243218857</v>
      </c>
      <c r="B1670" t="s">
        <v>553</v>
      </c>
      <c r="C1670" t="s">
        <v>554</v>
      </c>
      <c r="D1670" t="s">
        <v>9371</v>
      </c>
      <c r="E1670">
        <v>424000</v>
      </c>
      <c r="F1670" t="s">
        <v>1</v>
      </c>
      <c r="G1670" t="s">
        <v>2</v>
      </c>
      <c r="H1670" t="s">
        <v>2547</v>
      </c>
      <c r="I1670" t="s">
        <v>9372</v>
      </c>
      <c r="L1670" t="s">
        <v>9373</v>
      </c>
      <c r="P1670" t="s">
        <v>2951</v>
      </c>
      <c r="Q1670" t="s">
        <v>9374</v>
      </c>
      <c r="Y1670" t="s">
        <v>6500</v>
      </c>
    </row>
    <row r="1671" spans="1:25" x14ac:dyDescent="0.25">
      <c r="A1671" t="str">
        <f>"1243402375"</f>
        <v>1243402375</v>
      </c>
      <c r="B1671" t="s">
        <v>371</v>
      </c>
      <c r="C1671" t="s">
        <v>372</v>
      </c>
      <c r="D1671" t="s">
        <v>9375</v>
      </c>
      <c r="F1671" t="s">
        <v>1</v>
      </c>
      <c r="G1671" t="s">
        <v>2</v>
      </c>
      <c r="H1671" t="s">
        <v>3984</v>
      </c>
      <c r="J1671" t="s">
        <v>9376</v>
      </c>
      <c r="L1671" t="s">
        <v>9377</v>
      </c>
      <c r="M1671" t="s">
        <v>9378</v>
      </c>
      <c r="P1671" t="s">
        <v>340</v>
      </c>
      <c r="Q1671" t="s">
        <v>9379</v>
      </c>
      <c r="T1671" t="s">
        <v>9380</v>
      </c>
      <c r="Y1671" t="s">
        <v>9381</v>
      </c>
    </row>
    <row r="1672" spans="1:25" x14ac:dyDescent="0.25">
      <c r="A1672" t="str">
        <f>"1243701122"</f>
        <v>1243701122</v>
      </c>
      <c r="B1672" t="s">
        <v>96</v>
      </c>
      <c r="C1672" t="s">
        <v>9386</v>
      </c>
      <c r="D1672" t="s">
        <v>9382</v>
      </c>
      <c r="E1672">
        <v>424019</v>
      </c>
      <c r="F1672" t="s">
        <v>1</v>
      </c>
      <c r="G1672" t="s">
        <v>2</v>
      </c>
      <c r="H1672" t="s">
        <v>7785</v>
      </c>
      <c r="I1672" t="s">
        <v>9383</v>
      </c>
      <c r="L1672" t="s">
        <v>9384</v>
      </c>
      <c r="M1672" t="s">
        <v>9385</v>
      </c>
      <c r="P1672" t="s">
        <v>98</v>
      </c>
      <c r="Q1672" t="s">
        <v>9387</v>
      </c>
      <c r="S1672" t="s">
        <v>9388</v>
      </c>
      <c r="T1672" t="s">
        <v>9389</v>
      </c>
      <c r="U1672" t="s">
        <v>9390</v>
      </c>
      <c r="V1672" t="s">
        <v>9391</v>
      </c>
      <c r="Y1672" t="s">
        <v>9392</v>
      </c>
    </row>
    <row r="1673" spans="1:25" x14ac:dyDescent="0.25">
      <c r="A1673" t="str">
        <f>"1243704922"</f>
        <v>1243704922</v>
      </c>
      <c r="B1673" t="s">
        <v>7</v>
      </c>
      <c r="C1673" t="s">
        <v>9397</v>
      </c>
      <c r="D1673" t="s">
        <v>9393</v>
      </c>
      <c r="E1673">
        <v>424008</v>
      </c>
      <c r="F1673" t="s">
        <v>1</v>
      </c>
      <c r="G1673" t="s">
        <v>2</v>
      </c>
      <c r="H1673" t="s">
        <v>1012</v>
      </c>
      <c r="I1673" t="s">
        <v>9394</v>
      </c>
      <c r="J1673" t="s">
        <v>9395</v>
      </c>
      <c r="L1673" t="s">
        <v>9396</v>
      </c>
      <c r="P1673" t="s">
        <v>27</v>
      </c>
      <c r="Y1673" t="s">
        <v>1016</v>
      </c>
    </row>
    <row r="1674" spans="1:25" x14ac:dyDescent="0.25">
      <c r="A1674" t="str">
        <f>"1243800178"</f>
        <v>1243800178</v>
      </c>
      <c r="B1674" t="s">
        <v>2178</v>
      </c>
      <c r="C1674" t="s">
        <v>3223</v>
      </c>
      <c r="D1674" t="s">
        <v>9398</v>
      </c>
      <c r="E1674">
        <v>424006</v>
      </c>
      <c r="F1674" t="s">
        <v>1</v>
      </c>
      <c r="G1674" t="s">
        <v>2</v>
      </c>
      <c r="H1674" t="s">
        <v>9399</v>
      </c>
      <c r="I1674" t="s">
        <v>9400</v>
      </c>
      <c r="L1674" t="s">
        <v>9401</v>
      </c>
      <c r="M1674" t="s">
        <v>9402</v>
      </c>
      <c r="P1674" t="s">
        <v>9403</v>
      </c>
      <c r="Y1674" t="s">
        <v>9404</v>
      </c>
    </row>
    <row r="1675" spans="1:25" x14ac:dyDescent="0.25">
      <c r="A1675" t="str">
        <f>"1244307482"</f>
        <v>1244307482</v>
      </c>
      <c r="B1675" t="s">
        <v>18</v>
      </c>
      <c r="C1675" t="s">
        <v>143</v>
      </c>
      <c r="D1675" t="s">
        <v>9405</v>
      </c>
      <c r="E1675">
        <v>424007</v>
      </c>
      <c r="F1675" t="s">
        <v>1</v>
      </c>
      <c r="G1675" t="s">
        <v>2</v>
      </c>
      <c r="H1675" t="s">
        <v>9406</v>
      </c>
      <c r="I1675" t="s">
        <v>9407</v>
      </c>
      <c r="L1675" t="s">
        <v>9408</v>
      </c>
      <c r="M1675" t="s">
        <v>9409</v>
      </c>
      <c r="P1675" t="s">
        <v>280</v>
      </c>
      <c r="Q1675" t="s">
        <v>9410</v>
      </c>
      <c r="S1675" t="s">
        <v>9411</v>
      </c>
      <c r="Y1675" t="s">
        <v>9412</v>
      </c>
    </row>
    <row r="1676" spans="1:25" x14ac:dyDescent="0.25">
      <c r="A1676" t="str">
        <f>"1244493844"</f>
        <v>1244493844</v>
      </c>
      <c r="B1676" t="s">
        <v>930</v>
      </c>
      <c r="C1676" t="s">
        <v>9418</v>
      </c>
      <c r="D1676" t="s">
        <v>9413</v>
      </c>
      <c r="F1676" t="s">
        <v>1</v>
      </c>
      <c r="G1676" t="s">
        <v>2</v>
      </c>
      <c r="H1676" t="s">
        <v>9414</v>
      </c>
      <c r="J1676" t="s">
        <v>9415</v>
      </c>
      <c r="L1676" t="s">
        <v>9416</v>
      </c>
      <c r="M1676" t="s">
        <v>9417</v>
      </c>
      <c r="P1676" t="s">
        <v>3938</v>
      </c>
      <c r="Q1676" t="s">
        <v>9419</v>
      </c>
      <c r="Y1676" t="s">
        <v>9420</v>
      </c>
    </row>
    <row r="1677" spans="1:25" x14ac:dyDescent="0.25">
      <c r="A1677" t="str">
        <f>"1244509040"</f>
        <v>1244509040</v>
      </c>
      <c r="B1677" t="s">
        <v>96</v>
      </c>
      <c r="C1677" t="s">
        <v>9425</v>
      </c>
      <c r="D1677" t="s">
        <v>9421</v>
      </c>
      <c r="E1677">
        <v>424019</v>
      </c>
      <c r="F1677" t="s">
        <v>1</v>
      </c>
      <c r="G1677" t="s">
        <v>2</v>
      </c>
      <c r="H1677" t="s">
        <v>7785</v>
      </c>
      <c r="I1677" t="s">
        <v>9422</v>
      </c>
      <c r="L1677" t="s">
        <v>9423</v>
      </c>
      <c r="M1677" t="s">
        <v>9424</v>
      </c>
      <c r="P1677" t="s">
        <v>98</v>
      </c>
      <c r="Q1677" t="s">
        <v>9426</v>
      </c>
      <c r="R1677" t="s">
        <v>9427</v>
      </c>
      <c r="T1677" t="s">
        <v>9428</v>
      </c>
      <c r="V1677" t="s">
        <v>9429</v>
      </c>
      <c r="Y1677" t="s">
        <v>9430</v>
      </c>
    </row>
    <row r="1678" spans="1:25" x14ac:dyDescent="0.25">
      <c r="A1678" t="str">
        <f>"1245494490"</f>
        <v>1245494490</v>
      </c>
      <c r="B1678" t="s">
        <v>176</v>
      </c>
      <c r="C1678" t="s">
        <v>9433</v>
      </c>
      <c r="D1678" t="s">
        <v>9431</v>
      </c>
      <c r="E1678">
        <v>424000</v>
      </c>
      <c r="F1678" t="s">
        <v>1</v>
      </c>
      <c r="G1678" t="s">
        <v>2</v>
      </c>
      <c r="H1678" t="s">
        <v>9432</v>
      </c>
      <c r="P1678" t="s">
        <v>330</v>
      </c>
      <c r="Q1678" t="s">
        <v>9434</v>
      </c>
      <c r="Y1678" t="s">
        <v>9435</v>
      </c>
    </row>
    <row r="1679" spans="1:25" x14ac:dyDescent="0.25">
      <c r="A1679" t="str">
        <f>"1245716943"</f>
        <v>1245716943</v>
      </c>
      <c r="B1679" t="s">
        <v>1053</v>
      </c>
      <c r="C1679" t="s">
        <v>1799</v>
      </c>
      <c r="D1679" t="s">
        <v>9436</v>
      </c>
      <c r="E1679">
        <v>424038</v>
      </c>
      <c r="F1679" t="s">
        <v>1</v>
      </c>
      <c r="G1679" t="s">
        <v>2</v>
      </c>
      <c r="H1679" t="s">
        <v>9437</v>
      </c>
      <c r="I1679" t="s">
        <v>9438</v>
      </c>
      <c r="L1679" t="s">
        <v>9439</v>
      </c>
      <c r="M1679" t="s">
        <v>9440</v>
      </c>
      <c r="P1679" t="s">
        <v>20</v>
      </c>
      <c r="Y1679" t="s">
        <v>9441</v>
      </c>
    </row>
    <row r="1680" spans="1:25" x14ac:dyDescent="0.25">
      <c r="A1680" t="str">
        <f>"1245971047"</f>
        <v>1245971047</v>
      </c>
      <c r="B1680" t="s">
        <v>352</v>
      </c>
      <c r="C1680" t="s">
        <v>9444</v>
      </c>
      <c r="D1680" t="s">
        <v>3784</v>
      </c>
      <c r="E1680">
        <v>424020</v>
      </c>
      <c r="F1680" t="s">
        <v>1</v>
      </c>
      <c r="G1680" t="s">
        <v>2</v>
      </c>
      <c r="H1680" t="s">
        <v>9442</v>
      </c>
      <c r="I1680" t="s">
        <v>9443</v>
      </c>
      <c r="P1680" t="s">
        <v>9445</v>
      </c>
      <c r="Y1680" t="s">
        <v>9446</v>
      </c>
    </row>
    <row r="1681" spans="1:25" x14ac:dyDescent="0.25">
      <c r="A1681" t="str">
        <f>"1247099706"</f>
        <v>1247099706</v>
      </c>
      <c r="B1681" t="s">
        <v>1152</v>
      </c>
      <c r="C1681" t="s">
        <v>9448</v>
      </c>
      <c r="D1681" t="s">
        <v>9447</v>
      </c>
      <c r="F1681" t="s">
        <v>1</v>
      </c>
      <c r="G1681" t="s">
        <v>2</v>
      </c>
      <c r="H1681" t="s">
        <v>1359</v>
      </c>
      <c r="P1681" t="s">
        <v>330</v>
      </c>
      <c r="Y1681" t="s">
        <v>1364</v>
      </c>
    </row>
    <row r="1682" spans="1:25" x14ac:dyDescent="0.25">
      <c r="A1682" t="str">
        <f>"1248329028"</f>
        <v>1248329028</v>
      </c>
      <c r="B1682" t="s">
        <v>96</v>
      </c>
      <c r="C1682" t="s">
        <v>9453</v>
      </c>
      <c r="D1682" t="s">
        <v>9449</v>
      </c>
      <c r="E1682">
        <v>424019</v>
      </c>
      <c r="F1682" t="s">
        <v>1</v>
      </c>
      <c r="G1682" t="s">
        <v>2</v>
      </c>
      <c r="H1682" t="s">
        <v>7785</v>
      </c>
      <c r="I1682" t="s">
        <v>9450</v>
      </c>
      <c r="L1682" t="s">
        <v>9451</v>
      </c>
      <c r="M1682" t="s">
        <v>9452</v>
      </c>
      <c r="P1682" t="s">
        <v>98</v>
      </c>
      <c r="Q1682" t="s">
        <v>9454</v>
      </c>
      <c r="S1682" t="s">
        <v>9455</v>
      </c>
      <c r="T1682" t="s">
        <v>9456</v>
      </c>
      <c r="V1682" t="s">
        <v>9457</v>
      </c>
      <c r="Y1682" t="s">
        <v>9458</v>
      </c>
    </row>
    <row r="1683" spans="1:25" x14ac:dyDescent="0.25">
      <c r="A1683" t="str">
        <f>"1248458726"</f>
        <v>1248458726</v>
      </c>
      <c r="B1683" t="s">
        <v>352</v>
      </c>
      <c r="C1683" t="s">
        <v>9463</v>
      </c>
      <c r="D1683" t="s">
        <v>9459</v>
      </c>
      <c r="E1683">
        <v>424006</v>
      </c>
      <c r="F1683" t="s">
        <v>1</v>
      </c>
      <c r="G1683" t="s">
        <v>2</v>
      </c>
      <c r="H1683" t="s">
        <v>1923</v>
      </c>
      <c r="I1683" t="s">
        <v>9460</v>
      </c>
      <c r="J1683" t="s">
        <v>9461</v>
      </c>
      <c r="L1683" t="s">
        <v>9462</v>
      </c>
      <c r="P1683" t="s">
        <v>27</v>
      </c>
      <c r="Y1683" t="s">
        <v>1928</v>
      </c>
    </row>
    <row r="1684" spans="1:25" x14ac:dyDescent="0.25">
      <c r="A1684" t="str">
        <f>"1248589091"</f>
        <v>1248589091</v>
      </c>
      <c r="B1684" t="s">
        <v>1046</v>
      </c>
      <c r="C1684" t="s">
        <v>3497</v>
      </c>
      <c r="D1684" t="s">
        <v>9464</v>
      </c>
      <c r="E1684">
        <v>424039</v>
      </c>
      <c r="F1684" t="s">
        <v>1</v>
      </c>
      <c r="G1684" t="s">
        <v>2</v>
      </c>
      <c r="H1684" t="s">
        <v>9465</v>
      </c>
      <c r="I1684" t="s">
        <v>9466</v>
      </c>
      <c r="J1684" t="s">
        <v>9467</v>
      </c>
      <c r="P1684" t="s">
        <v>330</v>
      </c>
      <c r="Q1684" t="s">
        <v>9468</v>
      </c>
      <c r="Y1684" t="s">
        <v>9469</v>
      </c>
    </row>
    <row r="1685" spans="1:25" x14ac:dyDescent="0.25">
      <c r="A1685" t="str">
        <f>"1249081333"</f>
        <v>1249081333</v>
      </c>
      <c r="B1685" t="s">
        <v>18</v>
      </c>
      <c r="C1685" t="s">
        <v>9475</v>
      </c>
      <c r="D1685" t="s">
        <v>9470</v>
      </c>
      <c r="E1685">
        <v>424007</v>
      </c>
      <c r="F1685" t="s">
        <v>1</v>
      </c>
      <c r="G1685" t="s">
        <v>2</v>
      </c>
      <c r="H1685" t="s">
        <v>9471</v>
      </c>
      <c r="I1685" t="s">
        <v>9472</v>
      </c>
      <c r="L1685" t="s">
        <v>9473</v>
      </c>
      <c r="M1685" t="s">
        <v>9474</v>
      </c>
      <c r="P1685" t="s">
        <v>27</v>
      </c>
      <c r="Q1685" t="s">
        <v>9476</v>
      </c>
      <c r="V1685" t="s">
        <v>9477</v>
      </c>
      <c r="Y1685" t="s">
        <v>9478</v>
      </c>
    </row>
    <row r="1686" spans="1:25" x14ac:dyDescent="0.25">
      <c r="A1686" t="str">
        <f>"1249535824"</f>
        <v>1249535824</v>
      </c>
      <c r="B1686" t="s">
        <v>456</v>
      </c>
      <c r="C1686" t="s">
        <v>9483</v>
      </c>
      <c r="D1686" t="s">
        <v>9479</v>
      </c>
      <c r="E1686">
        <v>424033</v>
      </c>
      <c r="F1686" t="s">
        <v>1</v>
      </c>
      <c r="G1686" t="s">
        <v>2</v>
      </c>
      <c r="H1686" t="s">
        <v>6126</v>
      </c>
      <c r="J1686" t="s">
        <v>9480</v>
      </c>
      <c r="L1686" t="s">
        <v>9481</v>
      </c>
      <c r="M1686" t="s">
        <v>9482</v>
      </c>
      <c r="P1686" t="s">
        <v>9484</v>
      </c>
      <c r="R1686" t="s">
        <v>9485</v>
      </c>
      <c r="S1686" t="s">
        <v>9486</v>
      </c>
      <c r="T1686" t="s">
        <v>9487</v>
      </c>
      <c r="Y1686" t="s">
        <v>9488</v>
      </c>
    </row>
    <row r="1687" spans="1:25" x14ac:dyDescent="0.25">
      <c r="A1687" t="str">
        <f>"1249724293"</f>
        <v>1249724293</v>
      </c>
      <c r="B1687" t="s">
        <v>3008</v>
      </c>
      <c r="C1687" t="s">
        <v>9493</v>
      </c>
      <c r="D1687" t="s">
        <v>9489</v>
      </c>
      <c r="E1687">
        <v>424006</v>
      </c>
      <c r="F1687" t="s">
        <v>1</v>
      </c>
      <c r="G1687" t="s">
        <v>2</v>
      </c>
      <c r="H1687" t="s">
        <v>1890</v>
      </c>
      <c r="I1687" t="s">
        <v>9490</v>
      </c>
      <c r="L1687" t="s">
        <v>9491</v>
      </c>
      <c r="M1687" t="s">
        <v>9492</v>
      </c>
      <c r="Y1687" t="s">
        <v>1893</v>
      </c>
    </row>
    <row r="1688" spans="1:25" x14ac:dyDescent="0.25">
      <c r="A1688" t="str">
        <f>"1249827487"</f>
        <v>1249827487</v>
      </c>
      <c r="B1688" t="s">
        <v>930</v>
      </c>
      <c r="C1688" t="s">
        <v>1096</v>
      </c>
      <c r="D1688" t="s">
        <v>9494</v>
      </c>
      <c r="E1688">
        <v>424032</v>
      </c>
      <c r="F1688" t="s">
        <v>1</v>
      </c>
      <c r="G1688" t="s">
        <v>2</v>
      </c>
      <c r="H1688" t="s">
        <v>6675</v>
      </c>
      <c r="I1688" t="s">
        <v>9495</v>
      </c>
      <c r="J1688" t="s">
        <v>9496</v>
      </c>
      <c r="P1688" t="s">
        <v>2580</v>
      </c>
      <c r="Q1688" t="s">
        <v>9497</v>
      </c>
      <c r="Y1688" t="s">
        <v>9498</v>
      </c>
    </row>
    <row r="1689" spans="1:25" x14ac:dyDescent="0.25">
      <c r="A1689" t="str">
        <f>"1250452647"</f>
        <v>1250452647</v>
      </c>
      <c r="B1689" t="s">
        <v>284</v>
      </c>
      <c r="C1689" t="s">
        <v>9502</v>
      </c>
      <c r="D1689" t="s">
        <v>9499</v>
      </c>
      <c r="E1689">
        <v>424007</v>
      </c>
      <c r="F1689" t="s">
        <v>1</v>
      </c>
      <c r="G1689" t="s">
        <v>2</v>
      </c>
      <c r="H1689" t="s">
        <v>9500</v>
      </c>
      <c r="I1689" t="s">
        <v>9501</v>
      </c>
      <c r="P1689" t="s">
        <v>1528</v>
      </c>
      <c r="Y1689" t="s">
        <v>9503</v>
      </c>
    </row>
    <row r="1690" spans="1:25" x14ac:dyDescent="0.25">
      <c r="A1690" t="str">
        <f>"1251692596"</f>
        <v>1251692596</v>
      </c>
      <c r="B1690" t="s">
        <v>151</v>
      </c>
      <c r="C1690" t="s">
        <v>1034</v>
      </c>
      <c r="D1690" t="s">
        <v>9504</v>
      </c>
      <c r="E1690">
        <v>424006</v>
      </c>
      <c r="F1690" t="s">
        <v>1</v>
      </c>
      <c r="G1690" t="s">
        <v>2</v>
      </c>
      <c r="H1690" t="s">
        <v>4821</v>
      </c>
      <c r="J1690" t="s">
        <v>9505</v>
      </c>
      <c r="L1690" t="s">
        <v>9506</v>
      </c>
      <c r="M1690" t="s">
        <v>9507</v>
      </c>
      <c r="P1690" t="s">
        <v>9</v>
      </c>
      <c r="Y1690" t="s">
        <v>4825</v>
      </c>
    </row>
    <row r="1691" spans="1:25" x14ac:dyDescent="0.25">
      <c r="A1691" t="str">
        <f>"1252431492"</f>
        <v>1252431492</v>
      </c>
      <c r="B1691" t="s">
        <v>176</v>
      </c>
      <c r="C1691" t="s">
        <v>177</v>
      </c>
      <c r="D1691" t="s">
        <v>9508</v>
      </c>
      <c r="E1691">
        <v>424008</v>
      </c>
      <c r="F1691" t="s">
        <v>1</v>
      </c>
      <c r="G1691" t="s">
        <v>2</v>
      </c>
      <c r="H1691" t="s">
        <v>9509</v>
      </c>
      <c r="J1691" t="s">
        <v>9510</v>
      </c>
      <c r="L1691" t="s">
        <v>9511</v>
      </c>
      <c r="M1691" t="s">
        <v>9512</v>
      </c>
      <c r="P1691" t="s">
        <v>330</v>
      </c>
      <c r="Q1691" t="s">
        <v>9513</v>
      </c>
      <c r="S1691" t="s">
        <v>9514</v>
      </c>
      <c r="T1691" t="s">
        <v>9515</v>
      </c>
      <c r="Y1691" t="s">
        <v>9516</v>
      </c>
    </row>
    <row r="1692" spans="1:25" x14ac:dyDescent="0.25">
      <c r="A1692" t="str">
        <f>"1252612752"</f>
        <v>1252612752</v>
      </c>
      <c r="B1692" t="s">
        <v>204</v>
      </c>
      <c r="C1692" t="s">
        <v>9522</v>
      </c>
      <c r="D1692" t="s">
        <v>9517</v>
      </c>
      <c r="F1692" t="s">
        <v>1</v>
      </c>
      <c r="G1692" t="s">
        <v>2</v>
      </c>
      <c r="H1692" t="s">
        <v>8078</v>
      </c>
      <c r="I1692" t="s">
        <v>9518</v>
      </c>
      <c r="J1692" t="s">
        <v>9519</v>
      </c>
      <c r="L1692" t="s">
        <v>9520</v>
      </c>
      <c r="M1692" t="s">
        <v>9521</v>
      </c>
      <c r="P1692" t="s">
        <v>9523</v>
      </c>
      <c r="Q1692" t="s">
        <v>9524</v>
      </c>
      <c r="T1692" t="s">
        <v>9525</v>
      </c>
      <c r="V1692" t="s">
        <v>9526</v>
      </c>
      <c r="Y1692" t="s">
        <v>9527</v>
      </c>
    </row>
    <row r="1693" spans="1:25" x14ac:dyDescent="0.25">
      <c r="A1693" t="str">
        <f>"1253569801"</f>
        <v>1253569801</v>
      </c>
      <c r="B1693" t="s">
        <v>18</v>
      </c>
      <c r="C1693" t="s">
        <v>9532</v>
      </c>
      <c r="D1693" t="s">
        <v>9528</v>
      </c>
      <c r="E1693">
        <v>424031</v>
      </c>
      <c r="F1693" t="s">
        <v>1</v>
      </c>
      <c r="G1693" t="s">
        <v>2</v>
      </c>
      <c r="H1693" t="s">
        <v>1524</v>
      </c>
      <c r="J1693" t="s">
        <v>9529</v>
      </c>
      <c r="L1693" t="s">
        <v>9530</v>
      </c>
      <c r="M1693" t="s">
        <v>9531</v>
      </c>
      <c r="P1693" t="s">
        <v>9533</v>
      </c>
      <c r="Q1693" t="s">
        <v>9534</v>
      </c>
      <c r="R1693" t="s">
        <v>9535</v>
      </c>
      <c r="S1693" t="s">
        <v>9536</v>
      </c>
      <c r="T1693" t="s">
        <v>9537</v>
      </c>
      <c r="U1693" t="s">
        <v>9538</v>
      </c>
      <c r="V1693" t="s">
        <v>9539</v>
      </c>
      <c r="Y1693" t="s">
        <v>5358</v>
      </c>
    </row>
    <row r="1694" spans="1:25" x14ac:dyDescent="0.25">
      <c r="A1694" t="str">
        <f>"1253916460"</f>
        <v>1253916460</v>
      </c>
      <c r="B1694" t="s">
        <v>18</v>
      </c>
      <c r="C1694" t="s">
        <v>5273</v>
      </c>
      <c r="D1694" t="s">
        <v>9540</v>
      </c>
      <c r="E1694">
        <v>424007</v>
      </c>
      <c r="F1694" t="s">
        <v>1</v>
      </c>
      <c r="G1694" t="s">
        <v>2</v>
      </c>
      <c r="H1694" t="s">
        <v>1085</v>
      </c>
      <c r="I1694" t="s">
        <v>9541</v>
      </c>
      <c r="L1694" t="s">
        <v>9542</v>
      </c>
      <c r="M1694" t="s">
        <v>9543</v>
      </c>
      <c r="P1694" t="s">
        <v>20</v>
      </c>
      <c r="Q1694" t="s">
        <v>9544</v>
      </c>
      <c r="T1694" t="s">
        <v>9545</v>
      </c>
      <c r="U1694" t="s">
        <v>9546</v>
      </c>
      <c r="V1694" t="s">
        <v>9547</v>
      </c>
      <c r="Y1694" t="s">
        <v>1412</v>
      </c>
    </row>
    <row r="1695" spans="1:25" x14ac:dyDescent="0.25">
      <c r="A1695" t="str">
        <f>"1254345355"</f>
        <v>1254345355</v>
      </c>
      <c r="B1695" t="s">
        <v>18</v>
      </c>
      <c r="C1695" t="s">
        <v>143</v>
      </c>
      <c r="D1695" t="s">
        <v>9548</v>
      </c>
      <c r="E1695">
        <v>424007</v>
      </c>
      <c r="F1695" t="s">
        <v>1</v>
      </c>
      <c r="G1695" t="s">
        <v>2</v>
      </c>
      <c r="H1695" t="s">
        <v>9549</v>
      </c>
      <c r="I1695" t="s">
        <v>9550</v>
      </c>
      <c r="L1695" t="s">
        <v>9551</v>
      </c>
      <c r="M1695" t="s">
        <v>9552</v>
      </c>
      <c r="P1695" t="s">
        <v>280</v>
      </c>
      <c r="Y1695" t="s">
        <v>9553</v>
      </c>
    </row>
    <row r="1696" spans="1:25" x14ac:dyDescent="0.25">
      <c r="A1696" t="str">
        <f>"1255505862"</f>
        <v>1255505862</v>
      </c>
      <c r="B1696" t="s">
        <v>1053</v>
      </c>
      <c r="C1696" t="s">
        <v>9558</v>
      </c>
      <c r="D1696" t="s">
        <v>9554</v>
      </c>
      <c r="E1696">
        <v>424019</v>
      </c>
      <c r="F1696" t="s">
        <v>1</v>
      </c>
      <c r="G1696" t="s">
        <v>2</v>
      </c>
      <c r="H1696" t="s">
        <v>9271</v>
      </c>
      <c r="I1696" t="s">
        <v>9555</v>
      </c>
      <c r="L1696" t="s">
        <v>9556</v>
      </c>
      <c r="M1696" t="s">
        <v>9557</v>
      </c>
      <c r="P1696" t="s">
        <v>27</v>
      </c>
      <c r="Q1696" t="s">
        <v>9559</v>
      </c>
      <c r="Y1696" t="s">
        <v>9560</v>
      </c>
    </row>
    <row r="1697" spans="1:25" x14ac:dyDescent="0.25">
      <c r="A1697" t="str">
        <f>"1256087505"</f>
        <v>1256087505</v>
      </c>
      <c r="B1697" t="s">
        <v>67</v>
      </c>
      <c r="C1697" t="s">
        <v>269</v>
      </c>
      <c r="D1697" t="s">
        <v>9561</v>
      </c>
      <c r="E1697">
        <v>424005</v>
      </c>
      <c r="F1697" t="s">
        <v>1</v>
      </c>
      <c r="G1697" t="s">
        <v>2</v>
      </c>
      <c r="H1697" t="s">
        <v>5429</v>
      </c>
      <c r="I1697" t="s">
        <v>9562</v>
      </c>
      <c r="L1697" t="s">
        <v>9563</v>
      </c>
      <c r="M1697" t="s">
        <v>9564</v>
      </c>
      <c r="P1697" t="s">
        <v>280</v>
      </c>
      <c r="Q1697" t="s">
        <v>9565</v>
      </c>
      <c r="S1697" t="s">
        <v>9566</v>
      </c>
      <c r="T1697" t="s">
        <v>9567</v>
      </c>
      <c r="U1697" t="s">
        <v>9568</v>
      </c>
      <c r="V1697" t="s">
        <v>9569</v>
      </c>
      <c r="Y1697" t="s">
        <v>5431</v>
      </c>
    </row>
    <row r="1698" spans="1:25" x14ac:dyDescent="0.25">
      <c r="A1698" t="str">
        <f>"1256112537"</f>
        <v>1256112537</v>
      </c>
      <c r="B1698" t="s">
        <v>624</v>
      </c>
      <c r="C1698" t="s">
        <v>9573</v>
      </c>
      <c r="D1698" t="s">
        <v>9570</v>
      </c>
      <c r="F1698" t="s">
        <v>1</v>
      </c>
      <c r="G1698" t="s">
        <v>2</v>
      </c>
      <c r="H1698" t="s">
        <v>9571</v>
      </c>
      <c r="I1698" t="s">
        <v>9572</v>
      </c>
      <c r="P1698" t="s">
        <v>330</v>
      </c>
      <c r="Y1698" t="s">
        <v>9574</v>
      </c>
    </row>
    <row r="1699" spans="1:25" x14ac:dyDescent="0.25">
      <c r="A1699" t="str">
        <f>"1257304476"</f>
        <v>1257304476</v>
      </c>
      <c r="B1699" t="s">
        <v>703</v>
      </c>
      <c r="C1699" t="s">
        <v>9184</v>
      </c>
      <c r="D1699" t="s">
        <v>9575</v>
      </c>
      <c r="E1699">
        <v>424007</v>
      </c>
      <c r="F1699" t="s">
        <v>1</v>
      </c>
      <c r="G1699" t="s">
        <v>2</v>
      </c>
      <c r="H1699" t="s">
        <v>1085</v>
      </c>
      <c r="I1699" t="s">
        <v>9576</v>
      </c>
      <c r="L1699" t="s">
        <v>9577</v>
      </c>
      <c r="M1699" t="s">
        <v>9578</v>
      </c>
      <c r="P1699" t="s">
        <v>3690</v>
      </c>
      <c r="Y1699" t="s">
        <v>1412</v>
      </c>
    </row>
    <row r="1700" spans="1:25" x14ac:dyDescent="0.25">
      <c r="A1700" t="str">
        <f>"1258005091"</f>
        <v>1258005091</v>
      </c>
      <c r="B1700" t="s">
        <v>290</v>
      </c>
      <c r="C1700" t="s">
        <v>9584</v>
      </c>
      <c r="D1700" t="s">
        <v>9579</v>
      </c>
      <c r="E1700">
        <v>424039</v>
      </c>
      <c r="F1700" t="s">
        <v>1</v>
      </c>
      <c r="G1700" t="s">
        <v>2</v>
      </c>
      <c r="H1700" t="s">
        <v>9580</v>
      </c>
      <c r="I1700" t="s">
        <v>9581</v>
      </c>
      <c r="L1700" t="s">
        <v>9582</v>
      </c>
      <c r="M1700" t="s">
        <v>9583</v>
      </c>
      <c r="P1700" t="s">
        <v>330</v>
      </c>
      <c r="Q1700" t="s">
        <v>9585</v>
      </c>
      <c r="T1700" t="s">
        <v>9586</v>
      </c>
      <c r="V1700" t="s">
        <v>9587</v>
      </c>
      <c r="Y1700" t="s">
        <v>9588</v>
      </c>
    </row>
    <row r="1701" spans="1:25" x14ac:dyDescent="0.25">
      <c r="A1701" t="str">
        <f>"1258579560"</f>
        <v>1258579560</v>
      </c>
      <c r="B1701" t="s">
        <v>3008</v>
      </c>
      <c r="C1701" t="s">
        <v>4616</v>
      </c>
      <c r="D1701" t="s">
        <v>9589</v>
      </c>
      <c r="E1701">
        <v>424037</v>
      </c>
      <c r="F1701" t="s">
        <v>1</v>
      </c>
      <c r="G1701" t="s">
        <v>2</v>
      </c>
      <c r="H1701" t="s">
        <v>2680</v>
      </c>
      <c r="I1701" t="s">
        <v>9590</v>
      </c>
      <c r="J1701" t="s">
        <v>9591</v>
      </c>
      <c r="L1701" t="s">
        <v>9592</v>
      </c>
      <c r="M1701" t="s">
        <v>9593</v>
      </c>
      <c r="P1701" t="s">
        <v>1027</v>
      </c>
      <c r="Q1701" t="s">
        <v>9594</v>
      </c>
      <c r="S1701" t="s">
        <v>9595</v>
      </c>
      <c r="T1701" t="s">
        <v>9596</v>
      </c>
      <c r="Y1701" t="s">
        <v>9597</v>
      </c>
    </row>
    <row r="1702" spans="1:25" x14ac:dyDescent="0.25">
      <c r="A1702" t="str">
        <f>"1258883599"</f>
        <v>1258883599</v>
      </c>
      <c r="B1702" t="s">
        <v>456</v>
      </c>
      <c r="C1702" t="s">
        <v>9602</v>
      </c>
      <c r="D1702" t="s">
        <v>9598</v>
      </c>
      <c r="E1702">
        <v>424004</v>
      </c>
      <c r="F1702" t="s">
        <v>1</v>
      </c>
      <c r="G1702" t="s">
        <v>2</v>
      </c>
      <c r="H1702" t="s">
        <v>351</v>
      </c>
      <c r="J1702" t="s">
        <v>9599</v>
      </c>
      <c r="L1702" t="s">
        <v>9600</v>
      </c>
      <c r="M1702" t="s">
        <v>9601</v>
      </c>
      <c r="P1702" t="s">
        <v>340</v>
      </c>
      <c r="Y1702" t="s">
        <v>354</v>
      </c>
    </row>
    <row r="1703" spans="1:25" x14ac:dyDescent="0.25">
      <c r="A1703" t="str">
        <f>"1258989199"</f>
        <v>1258989199</v>
      </c>
      <c r="B1703" t="s">
        <v>430</v>
      </c>
      <c r="C1703" t="s">
        <v>2431</v>
      </c>
      <c r="D1703" t="s">
        <v>9603</v>
      </c>
      <c r="E1703">
        <v>424038</v>
      </c>
      <c r="F1703" t="s">
        <v>1</v>
      </c>
      <c r="G1703" t="s">
        <v>2</v>
      </c>
      <c r="H1703" t="s">
        <v>2614</v>
      </c>
      <c r="I1703" t="s">
        <v>9604</v>
      </c>
      <c r="P1703" t="s">
        <v>9605</v>
      </c>
      <c r="Q1703" t="s">
        <v>9606</v>
      </c>
      <c r="Y1703" t="s">
        <v>9607</v>
      </c>
    </row>
    <row r="1704" spans="1:25" x14ac:dyDescent="0.25">
      <c r="A1704" t="str">
        <f>"1259054038"</f>
        <v>1259054038</v>
      </c>
      <c r="B1704" t="s">
        <v>131</v>
      </c>
      <c r="C1704" t="s">
        <v>8826</v>
      </c>
      <c r="D1704" t="s">
        <v>9608</v>
      </c>
      <c r="E1704">
        <v>424007</v>
      </c>
      <c r="F1704" t="s">
        <v>1</v>
      </c>
      <c r="G1704" t="s">
        <v>2</v>
      </c>
      <c r="H1704" t="s">
        <v>1085</v>
      </c>
      <c r="P1704" t="s">
        <v>280</v>
      </c>
      <c r="Y1704" t="s">
        <v>1412</v>
      </c>
    </row>
    <row r="1705" spans="1:25" x14ac:dyDescent="0.25">
      <c r="A1705" t="str">
        <f>"1259504446"</f>
        <v>1259504446</v>
      </c>
      <c r="B1705" t="s">
        <v>25</v>
      </c>
      <c r="C1705" t="s">
        <v>26</v>
      </c>
      <c r="D1705" t="s">
        <v>9609</v>
      </c>
      <c r="F1705" t="s">
        <v>1</v>
      </c>
      <c r="G1705" t="s">
        <v>2</v>
      </c>
      <c r="H1705" t="s">
        <v>9610</v>
      </c>
      <c r="I1705" t="s">
        <v>9611</v>
      </c>
      <c r="P1705" t="s">
        <v>280</v>
      </c>
      <c r="Y1705" t="s">
        <v>9612</v>
      </c>
    </row>
    <row r="1706" spans="1:25" x14ac:dyDescent="0.25">
      <c r="A1706" t="str">
        <f>"1259779070"</f>
        <v>1259779070</v>
      </c>
      <c r="B1706" t="s">
        <v>456</v>
      </c>
      <c r="C1706" t="s">
        <v>9615</v>
      </c>
      <c r="D1706" t="s">
        <v>9613</v>
      </c>
      <c r="E1706">
        <v>424004</v>
      </c>
      <c r="F1706" t="s">
        <v>1</v>
      </c>
      <c r="G1706" t="s">
        <v>2</v>
      </c>
      <c r="H1706" t="s">
        <v>351</v>
      </c>
      <c r="M1706" t="s">
        <v>9614</v>
      </c>
      <c r="P1706" t="s">
        <v>8133</v>
      </c>
      <c r="Q1706" t="s">
        <v>9616</v>
      </c>
      <c r="Y1706" t="s">
        <v>354</v>
      </c>
    </row>
    <row r="1707" spans="1:25" x14ac:dyDescent="0.25">
      <c r="A1707" t="str">
        <f>"1260284138"</f>
        <v>1260284138</v>
      </c>
      <c r="B1707" t="s">
        <v>176</v>
      </c>
      <c r="C1707" t="s">
        <v>9622</v>
      </c>
      <c r="D1707" t="s">
        <v>9617</v>
      </c>
      <c r="E1707">
        <v>424038</v>
      </c>
      <c r="F1707" t="s">
        <v>1</v>
      </c>
      <c r="G1707" t="s">
        <v>2</v>
      </c>
      <c r="H1707" t="s">
        <v>9618</v>
      </c>
      <c r="I1707" t="s">
        <v>9619</v>
      </c>
      <c r="J1707" t="s">
        <v>9620</v>
      </c>
      <c r="L1707" t="s">
        <v>9621</v>
      </c>
      <c r="P1707" t="s">
        <v>330</v>
      </c>
      <c r="Q1707" t="s">
        <v>9623</v>
      </c>
      <c r="R1707" t="s">
        <v>9624</v>
      </c>
      <c r="S1707" t="s">
        <v>9625</v>
      </c>
      <c r="T1707" t="s">
        <v>9626</v>
      </c>
      <c r="Y1707" t="s">
        <v>9627</v>
      </c>
    </row>
    <row r="1708" spans="1:25" x14ac:dyDescent="0.25">
      <c r="A1708" t="str">
        <f>"1260544052"</f>
        <v>1260544052</v>
      </c>
      <c r="B1708" t="s">
        <v>1475</v>
      </c>
      <c r="C1708" t="s">
        <v>1476</v>
      </c>
      <c r="D1708" t="s">
        <v>9628</v>
      </c>
      <c r="E1708">
        <v>424019</v>
      </c>
      <c r="F1708" t="s">
        <v>1</v>
      </c>
      <c r="G1708" t="s">
        <v>2</v>
      </c>
      <c r="H1708" t="s">
        <v>7785</v>
      </c>
      <c r="I1708" t="s">
        <v>9629</v>
      </c>
      <c r="J1708" t="s">
        <v>9630</v>
      </c>
      <c r="L1708" t="s">
        <v>9631</v>
      </c>
      <c r="M1708" t="s">
        <v>9632</v>
      </c>
      <c r="P1708" t="s">
        <v>98</v>
      </c>
      <c r="Q1708" t="s">
        <v>9633</v>
      </c>
      <c r="V1708" t="s">
        <v>9634</v>
      </c>
      <c r="Y1708" t="s">
        <v>9635</v>
      </c>
    </row>
    <row r="1709" spans="1:25" x14ac:dyDescent="0.25">
      <c r="A1709" t="str">
        <f>"1261988813"</f>
        <v>1261988813</v>
      </c>
      <c r="B1709" t="s">
        <v>18</v>
      </c>
      <c r="C1709" t="s">
        <v>8608</v>
      </c>
      <c r="D1709" t="s">
        <v>9636</v>
      </c>
      <c r="E1709">
        <v>424004</v>
      </c>
      <c r="F1709" t="s">
        <v>1</v>
      </c>
      <c r="G1709" t="s">
        <v>2</v>
      </c>
      <c r="H1709" t="s">
        <v>9637</v>
      </c>
      <c r="I1709" t="s">
        <v>9638</v>
      </c>
      <c r="J1709" t="s">
        <v>9639</v>
      </c>
      <c r="L1709" t="s">
        <v>9640</v>
      </c>
      <c r="M1709" t="s">
        <v>9641</v>
      </c>
      <c r="P1709" t="s">
        <v>696</v>
      </c>
      <c r="Q1709" t="s">
        <v>9642</v>
      </c>
      <c r="T1709" t="s">
        <v>9643</v>
      </c>
      <c r="Y1709" t="s">
        <v>354</v>
      </c>
    </row>
    <row r="1710" spans="1:25" x14ac:dyDescent="0.25">
      <c r="A1710" t="str">
        <f>"1262997542"</f>
        <v>1262997542</v>
      </c>
      <c r="B1710" t="s">
        <v>67</v>
      </c>
      <c r="C1710" t="s">
        <v>832</v>
      </c>
      <c r="D1710" t="s">
        <v>9561</v>
      </c>
      <c r="E1710">
        <v>424000</v>
      </c>
      <c r="F1710" t="s">
        <v>1</v>
      </c>
      <c r="G1710" t="s">
        <v>2</v>
      </c>
      <c r="H1710" t="s">
        <v>8365</v>
      </c>
      <c r="I1710" t="s">
        <v>9644</v>
      </c>
      <c r="L1710" t="s">
        <v>9563</v>
      </c>
      <c r="M1710" t="s">
        <v>9645</v>
      </c>
      <c r="P1710" t="s">
        <v>2438</v>
      </c>
      <c r="Q1710" t="s">
        <v>9565</v>
      </c>
      <c r="S1710" t="s">
        <v>9566</v>
      </c>
      <c r="T1710" t="s">
        <v>9567</v>
      </c>
      <c r="U1710" t="s">
        <v>9568</v>
      </c>
      <c r="V1710" t="s">
        <v>9569</v>
      </c>
      <c r="Y1710" t="s">
        <v>9646</v>
      </c>
    </row>
    <row r="1711" spans="1:25" x14ac:dyDescent="0.25">
      <c r="A1711" t="str">
        <f>"1263474658"</f>
        <v>1263474658</v>
      </c>
      <c r="B1711" t="s">
        <v>18</v>
      </c>
      <c r="C1711" t="s">
        <v>9652</v>
      </c>
      <c r="D1711" t="s">
        <v>9647</v>
      </c>
      <c r="E1711">
        <v>424007</v>
      </c>
      <c r="F1711" t="s">
        <v>1</v>
      </c>
      <c r="G1711" t="s">
        <v>2</v>
      </c>
      <c r="H1711" t="s">
        <v>1654</v>
      </c>
      <c r="I1711" t="s">
        <v>9648</v>
      </c>
      <c r="J1711" t="s">
        <v>9649</v>
      </c>
      <c r="L1711" t="s">
        <v>9650</v>
      </c>
      <c r="M1711" t="s">
        <v>9651</v>
      </c>
      <c r="P1711" t="s">
        <v>2084</v>
      </c>
      <c r="Y1711" t="s">
        <v>1661</v>
      </c>
    </row>
    <row r="1712" spans="1:25" x14ac:dyDescent="0.25">
      <c r="A1712" t="str">
        <f>"1263754893"</f>
        <v>1263754893</v>
      </c>
      <c r="B1712" t="s">
        <v>88</v>
      </c>
      <c r="C1712" t="s">
        <v>9655</v>
      </c>
      <c r="D1712" t="s">
        <v>9653</v>
      </c>
      <c r="E1712">
        <v>424006</v>
      </c>
      <c r="F1712" t="s">
        <v>1</v>
      </c>
      <c r="G1712" t="s">
        <v>2</v>
      </c>
      <c r="H1712" t="s">
        <v>2649</v>
      </c>
      <c r="J1712" t="s">
        <v>9654</v>
      </c>
      <c r="P1712" t="s">
        <v>941</v>
      </c>
      <c r="Y1712" t="s">
        <v>9656</v>
      </c>
    </row>
    <row r="1713" spans="1:25" x14ac:dyDescent="0.25">
      <c r="A1713" t="str">
        <f>"1264669920"</f>
        <v>1264669920</v>
      </c>
      <c r="B1713" t="s">
        <v>348</v>
      </c>
      <c r="C1713" t="s">
        <v>4366</v>
      </c>
      <c r="D1713" t="s">
        <v>9657</v>
      </c>
      <c r="E1713">
        <v>424038</v>
      </c>
      <c r="F1713" t="s">
        <v>1</v>
      </c>
      <c r="G1713" t="s">
        <v>2</v>
      </c>
      <c r="H1713" t="s">
        <v>6550</v>
      </c>
      <c r="I1713" t="s">
        <v>9658</v>
      </c>
      <c r="J1713" t="s">
        <v>9659</v>
      </c>
      <c r="P1713" t="s">
        <v>941</v>
      </c>
      <c r="Y1713" t="s">
        <v>9660</v>
      </c>
    </row>
    <row r="1714" spans="1:25" x14ac:dyDescent="0.25">
      <c r="A1714" t="str">
        <f>"1265305054"</f>
        <v>1265305054</v>
      </c>
      <c r="B1714" t="s">
        <v>1262</v>
      </c>
      <c r="C1714" t="s">
        <v>3214</v>
      </c>
      <c r="D1714" t="s">
        <v>9661</v>
      </c>
      <c r="E1714">
        <v>424007</v>
      </c>
      <c r="F1714" t="s">
        <v>1</v>
      </c>
      <c r="G1714" t="s">
        <v>2</v>
      </c>
      <c r="H1714" t="s">
        <v>220</v>
      </c>
      <c r="J1714" t="s">
        <v>9662</v>
      </c>
      <c r="M1714" t="s">
        <v>9663</v>
      </c>
      <c r="P1714" t="s">
        <v>133</v>
      </c>
      <c r="Y1714" t="s">
        <v>227</v>
      </c>
    </row>
    <row r="1715" spans="1:25" x14ac:dyDescent="0.25">
      <c r="A1715" t="str">
        <f>"1265364498"</f>
        <v>1265364498</v>
      </c>
      <c r="B1715" t="s">
        <v>352</v>
      </c>
      <c r="C1715" t="s">
        <v>9667</v>
      </c>
      <c r="D1715" t="s">
        <v>9226</v>
      </c>
      <c r="E1715">
        <v>424004</v>
      </c>
      <c r="F1715" t="s">
        <v>1</v>
      </c>
      <c r="G1715" t="s">
        <v>2</v>
      </c>
      <c r="H1715" t="s">
        <v>351</v>
      </c>
      <c r="I1715" t="s">
        <v>9664</v>
      </c>
      <c r="J1715" t="s">
        <v>9665</v>
      </c>
      <c r="L1715" t="s">
        <v>9666</v>
      </c>
      <c r="P1715" t="s">
        <v>280</v>
      </c>
      <c r="Y1715" t="s">
        <v>354</v>
      </c>
    </row>
    <row r="1716" spans="1:25" x14ac:dyDescent="0.25">
      <c r="A1716" t="str">
        <f>"1265379745"</f>
        <v>1265379745</v>
      </c>
      <c r="B1716" t="s">
        <v>930</v>
      </c>
      <c r="C1716" t="s">
        <v>1096</v>
      </c>
      <c r="D1716" t="s">
        <v>9668</v>
      </c>
      <c r="E1716">
        <v>424020</v>
      </c>
      <c r="F1716" t="s">
        <v>1</v>
      </c>
      <c r="G1716" t="s">
        <v>2</v>
      </c>
      <c r="H1716" t="s">
        <v>9669</v>
      </c>
      <c r="I1716" t="s">
        <v>9670</v>
      </c>
      <c r="J1716" t="s">
        <v>9671</v>
      </c>
      <c r="P1716" t="s">
        <v>27</v>
      </c>
      <c r="Y1716" t="s">
        <v>9672</v>
      </c>
    </row>
    <row r="1717" spans="1:25" x14ac:dyDescent="0.25">
      <c r="A1717" t="str">
        <f>"1265642814"</f>
        <v>1265642814</v>
      </c>
      <c r="B1717" t="s">
        <v>930</v>
      </c>
      <c r="C1717" t="s">
        <v>9679</v>
      </c>
      <c r="D1717" t="s">
        <v>9673</v>
      </c>
      <c r="E1717">
        <v>424016</v>
      </c>
      <c r="F1717" t="s">
        <v>1</v>
      </c>
      <c r="G1717" t="s">
        <v>2</v>
      </c>
      <c r="H1717" t="s">
        <v>9674</v>
      </c>
      <c r="I1717" t="s">
        <v>9675</v>
      </c>
      <c r="J1717" t="s">
        <v>9676</v>
      </c>
      <c r="L1717" t="s">
        <v>9677</v>
      </c>
      <c r="M1717" t="s">
        <v>9678</v>
      </c>
      <c r="P1717" t="s">
        <v>20</v>
      </c>
      <c r="Q1717" t="s">
        <v>9680</v>
      </c>
      <c r="Y1717" t="s">
        <v>9681</v>
      </c>
    </row>
    <row r="1718" spans="1:25" x14ac:dyDescent="0.25">
      <c r="A1718" t="str">
        <f>"1265735844"</f>
        <v>1265735844</v>
      </c>
      <c r="B1718" t="s">
        <v>687</v>
      </c>
      <c r="C1718" t="s">
        <v>9684</v>
      </c>
      <c r="D1718" t="s">
        <v>9682</v>
      </c>
      <c r="E1718">
        <v>424006</v>
      </c>
      <c r="F1718" t="s">
        <v>1</v>
      </c>
      <c r="G1718" t="s">
        <v>2</v>
      </c>
      <c r="H1718" t="s">
        <v>445</v>
      </c>
      <c r="I1718" t="s">
        <v>9683</v>
      </c>
      <c r="P1718" t="s">
        <v>27</v>
      </c>
      <c r="Y1718" t="s">
        <v>449</v>
      </c>
    </row>
    <row r="1719" spans="1:25" x14ac:dyDescent="0.25">
      <c r="A1719" t="str">
        <f>"1266135946"</f>
        <v>1266135946</v>
      </c>
      <c r="B1719" t="s">
        <v>4084</v>
      </c>
      <c r="C1719" t="s">
        <v>9688</v>
      </c>
      <c r="D1719" t="s">
        <v>9685</v>
      </c>
      <c r="E1719">
        <v>424028</v>
      </c>
      <c r="F1719" t="s">
        <v>1</v>
      </c>
      <c r="G1719" t="s">
        <v>2</v>
      </c>
      <c r="H1719" t="s">
        <v>1447</v>
      </c>
      <c r="L1719" t="s">
        <v>9686</v>
      </c>
      <c r="M1719" t="s">
        <v>9687</v>
      </c>
      <c r="P1719" t="s">
        <v>1452</v>
      </c>
      <c r="Y1719" t="s">
        <v>9689</v>
      </c>
    </row>
    <row r="1720" spans="1:25" x14ac:dyDescent="0.25">
      <c r="A1720" t="str">
        <f>"1266644587"</f>
        <v>1266644587</v>
      </c>
      <c r="B1720" t="s">
        <v>96</v>
      </c>
      <c r="C1720" t="s">
        <v>5515</v>
      </c>
      <c r="D1720" t="s">
        <v>9690</v>
      </c>
      <c r="E1720">
        <v>424000</v>
      </c>
      <c r="F1720" t="s">
        <v>1</v>
      </c>
      <c r="G1720" t="s">
        <v>2</v>
      </c>
      <c r="H1720" t="s">
        <v>92</v>
      </c>
      <c r="I1720" t="s">
        <v>9691</v>
      </c>
      <c r="L1720" t="s">
        <v>9692</v>
      </c>
      <c r="M1720" t="s">
        <v>9693</v>
      </c>
      <c r="P1720" t="s">
        <v>98</v>
      </c>
      <c r="Q1720" t="s">
        <v>9694</v>
      </c>
      <c r="R1720" t="s">
        <v>9695</v>
      </c>
      <c r="T1720" t="s">
        <v>9696</v>
      </c>
      <c r="V1720" t="s">
        <v>9697</v>
      </c>
      <c r="Y1720" t="s">
        <v>9698</v>
      </c>
    </row>
    <row r="1721" spans="1:25" x14ac:dyDescent="0.25">
      <c r="A1721" t="str">
        <f>"1268565654"</f>
        <v>1268565654</v>
      </c>
      <c r="B1721" t="s">
        <v>18</v>
      </c>
      <c r="C1721" t="s">
        <v>9704</v>
      </c>
      <c r="D1721" t="s">
        <v>9699</v>
      </c>
      <c r="E1721">
        <v>424033</v>
      </c>
      <c r="F1721" t="s">
        <v>1</v>
      </c>
      <c r="G1721" t="s">
        <v>2</v>
      </c>
      <c r="H1721" t="s">
        <v>9700</v>
      </c>
      <c r="I1721" t="s">
        <v>9701</v>
      </c>
      <c r="L1721" t="s">
        <v>9702</v>
      </c>
      <c r="M1721" t="s">
        <v>9703</v>
      </c>
      <c r="P1721" t="s">
        <v>216</v>
      </c>
      <c r="Q1721" t="s">
        <v>9705</v>
      </c>
      <c r="R1721" t="s">
        <v>9706</v>
      </c>
      <c r="V1721" t="s">
        <v>9707</v>
      </c>
      <c r="Y1721" t="s">
        <v>9708</v>
      </c>
    </row>
    <row r="1722" spans="1:25" x14ac:dyDescent="0.25">
      <c r="A1722" t="str">
        <f>"1269015418"</f>
        <v>1269015418</v>
      </c>
      <c r="B1722" t="s">
        <v>67</v>
      </c>
      <c r="C1722" t="s">
        <v>269</v>
      </c>
      <c r="D1722" t="s">
        <v>2585</v>
      </c>
      <c r="E1722">
        <v>424000</v>
      </c>
      <c r="F1722" t="s">
        <v>1</v>
      </c>
      <c r="G1722" t="s">
        <v>2</v>
      </c>
      <c r="H1722" t="s">
        <v>265</v>
      </c>
      <c r="I1722" t="s">
        <v>5026</v>
      </c>
      <c r="L1722" t="s">
        <v>9709</v>
      </c>
      <c r="M1722" t="s">
        <v>5028</v>
      </c>
      <c r="P1722" t="s">
        <v>60</v>
      </c>
      <c r="Q1722" t="s">
        <v>5029</v>
      </c>
      <c r="T1722" t="s">
        <v>9710</v>
      </c>
      <c r="V1722" t="s">
        <v>9711</v>
      </c>
      <c r="Y1722" t="s">
        <v>9712</v>
      </c>
    </row>
    <row r="1723" spans="1:25" x14ac:dyDescent="0.25">
      <c r="A1723" t="str">
        <f>"1269620608"</f>
        <v>1269620608</v>
      </c>
      <c r="B1723" t="s">
        <v>687</v>
      </c>
      <c r="C1723" t="s">
        <v>9715</v>
      </c>
      <c r="D1723" t="s">
        <v>9713</v>
      </c>
      <c r="E1723">
        <v>424006</v>
      </c>
      <c r="F1723" t="s">
        <v>1</v>
      </c>
      <c r="G1723" t="s">
        <v>2</v>
      </c>
      <c r="H1723" t="s">
        <v>1923</v>
      </c>
      <c r="I1723" t="s">
        <v>9714</v>
      </c>
      <c r="P1723" t="s">
        <v>27</v>
      </c>
      <c r="Q1723" t="s">
        <v>9716</v>
      </c>
      <c r="Y1723" t="s">
        <v>1928</v>
      </c>
    </row>
    <row r="1724" spans="1:25" x14ac:dyDescent="0.25">
      <c r="A1724" t="str">
        <f>"1270126408"</f>
        <v>1270126408</v>
      </c>
      <c r="B1724" t="s">
        <v>591</v>
      </c>
      <c r="C1724" t="s">
        <v>9721</v>
      </c>
      <c r="D1724" t="s">
        <v>9717</v>
      </c>
      <c r="E1724">
        <v>424031</v>
      </c>
      <c r="F1724" t="s">
        <v>1</v>
      </c>
      <c r="G1724" t="s">
        <v>2</v>
      </c>
      <c r="H1724" t="s">
        <v>3962</v>
      </c>
      <c r="I1724" t="s">
        <v>9718</v>
      </c>
      <c r="L1724" t="s">
        <v>9719</v>
      </c>
      <c r="M1724" t="s">
        <v>9720</v>
      </c>
      <c r="P1724" t="s">
        <v>280</v>
      </c>
      <c r="Y1724" t="s">
        <v>9722</v>
      </c>
    </row>
    <row r="1725" spans="1:25" x14ac:dyDescent="0.25">
      <c r="A1725" t="str">
        <f>"1270209906"</f>
        <v>1270209906</v>
      </c>
      <c r="B1725" t="s">
        <v>1758</v>
      </c>
      <c r="C1725" t="s">
        <v>7867</v>
      </c>
      <c r="D1725" t="s">
        <v>9723</v>
      </c>
      <c r="E1725">
        <v>424006</v>
      </c>
      <c r="F1725" t="s">
        <v>1</v>
      </c>
      <c r="G1725" t="s">
        <v>2</v>
      </c>
      <c r="H1725" t="s">
        <v>1645</v>
      </c>
      <c r="I1725" t="s">
        <v>9724</v>
      </c>
      <c r="L1725" t="s">
        <v>9725</v>
      </c>
      <c r="M1725" t="s">
        <v>9726</v>
      </c>
      <c r="P1725" t="s">
        <v>152</v>
      </c>
      <c r="T1725" t="s">
        <v>9727</v>
      </c>
      <c r="Y1725" t="s">
        <v>4478</v>
      </c>
    </row>
    <row r="1726" spans="1:25" x14ac:dyDescent="0.25">
      <c r="A1726" t="str">
        <f>"1270317241"</f>
        <v>1270317241</v>
      </c>
      <c r="B1726" t="s">
        <v>67</v>
      </c>
      <c r="C1726" t="s">
        <v>496</v>
      </c>
      <c r="D1726" t="s">
        <v>9728</v>
      </c>
      <c r="E1726">
        <v>424000</v>
      </c>
      <c r="F1726" t="s">
        <v>1</v>
      </c>
      <c r="G1726" t="s">
        <v>2</v>
      </c>
      <c r="H1726" t="s">
        <v>1975</v>
      </c>
      <c r="I1726" t="s">
        <v>1976</v>
      </c>
      <c r="L1726" t="s">
        <v>1977</v>
      </c>
      <c r="M1726" t="s">
        <v>9729</v>
      </c>
      <c r="P1726" t="s">
        <v>2923</v>
      </c>
      <c r="Q1726" t="s">
        <v>9730</v>
      </c>
      <c r="R1726" t="s">
        <v>9731</v>
      </c>
      <c r="S1726" t="s">
        <v>9732</v>
      </c>
      <c r="T1726" t="s">
        <v>9733</v>
      </c>
      <c r="U1726" t="s">
        <v>1983</v>
      </c>
      <c r="V1726" t="s">
        <v>1984</v>
      </c>
      <c r="Y1726" t="s">
        <v>9734</v>
      </c>
    </row>
    <row r="1727" spans="1:25" x14ac:dyDescent="0.25">
      <c r="A1727" t="str">
        <f>"1270354859"</f>
        <v>1270354859</v>
      </c>
      <c r="B1727" t="s">
        <v>1222</v>
      </c>
      <c r="C1727" t="s">
        <v>1223</v>
      </c>
      <c r="D1727" t="s">
        <v>9735</v>
      </c>
      <c r="E1727">
        <v>424031</v>
      </c>
      <c r="F1727" t="s">
        <v>1</v>
      </c>
      <c r="G1727" t="s">
        <v>2</v>
      </c>
      <c r="H1727" t="s">
        <v>239</v>
      </c>
      <c r="J1727" t="s">
        <v>9736</v>
      </c>
      <c r="P1727" t="s">
        <v>6236</v>
      </c>
      <c r="Y1727" t="s">
        <v>246</v>
      </c>
    </row>
    <row r="1728" spans="1:25" x14ac:dyDescent="0.25">
      <c r="A1728" t="str">
        <f>"1270512321"</f>
        <v>1270512321</v>
      </c>
      <c r="B1728" t="s">
        <v>2178</v>
      </c>
      <c r="C1728" t="s">
        <v>2179</v>
      </c>
      <c r="D1728" t="s">
        <v>9737</v>
      </c>
      <c r="E1728">
        <v>424037</v>
      </c>
      <c r="F1728" t="s">
        <v>1</v>
      </c>
      <c r="G1728" t="s">
        <v>2</v>
      </c>
      <c r="H1728" t="s">
        <v>9738</v>
      </c>
      <c r="I1728" t="s">
        <v>9739</v>
      </c>
      <c r="L1728" t="s">
        <v>9740</v>
      </c>
      <c r="P1728" t="s">
        <v>9741</v>
      </c>
      <c r="Y1728" t="s">
        <v>9742</v>
      </c>
    </row>
    <row r="1729" spans="1:25" x14ac:dyDescent="0.25">
      <c r="A1729" t="str">
        <f>"1270609786"</f>
        <v>1270609786</v>
      </c>
      <c r="B1729" t="s">
        <v>18</v>
      </c>
      <c r="C1729" t="s">
        <v>959</v>
      </c>
      <c r="D1729" t="s">
        <v>9743</v>
      </c>
      <c r="E1729">
        <v>424002</v>
      </c>
      <c r="F1729" t="s">
        <v>1</v>
      </c>
      <c r="G1729" t="s">
        <v>2</v>
      </c>
      <c r="H1729" t="s">
        <v>9744</v>
      </c>
      <c r="I1729" t="s">
        <v>9745</v>
      </c>
      <c r="P1729" t="s">
        <v>1642</v>
      </c>
      <c r="Y1729" t="s">
        <v>9746</v>
      </c>
    </row>
    <row r="1730" spans="1:25" x14ac:dyDescent="0.25">
      <c r="A1730" t="str">
        <f>"1270670149"</f>
        <v>1270670149</v>
      </c>
      <c r="B1730" t="s">
        <v>233</v>
      </c>
      <c r="C1730" t="s">
        <v>9749</v>
      </c>
      <c r="D1730" t="s">
        <v>9747</v>
      </c>
      <c r="E1730">
        <v>424006</v>
      </c>
      <c r="F1730" t="s">
        <v>1</v>
      </c>
      <c r="G1730" t="s">
        <v>2</v>
      </c>
      <c r="H1730" t="s">
        <v>2775</v>
      </c>
      <c r="I1730" t="s">
        <v>9748</v>
      </c>
      <c r="P1730" t="s">
        <v>9750</v>
      </c>
      <c r="Y1730" t="s">
        <v>2779</v>
      </c>
    </row>
    <row r="1731" spans="1:25" x14ac:dyDescent="0.25">
      <c r="A1731" t="str">
        <f>"1270735461"</f>
        <v>1270735461</v>
      </c>
      <c r="B1731" t="s">
        <v>482</v>
      </c>
      <c r="C1731" t="s">
        <v>9754</v>
      </c>
      <c r="D1731" t="s">
        <v>9751</v>
      </c>
      <c r="E1731">
        <v>424000</v>
      </c>
      <c r="F1731" t="s">
        <v>1</v>
      </c>
      <c r="G1731" t="s">
        <v>2</v>
      </c>
      <c r="H1731" t="s">
        <v>5398</v>
      </c>
      <c r="I1731" t="s">
        <v>9752</v>
      </c>
      <c r="J1731" t="s">
        <v>9753</v>
      </c>
      <c r="P1731" t="s">
        <v>27</v>
      </c>
      <c r="Y1731" t="s">
        <v>9755</v>
      </c>
    </row>
    <row r="1732" spans="1:25" x14ac:dyDescent="0.25">
      <c r="A1732" t="str">
        <f>"1270842943"</f>
        <v>1270842943</v>
      </c>
      <c r="B1732" t="s">
        <v>624</v>
      </c>
      <c r="C1732" t="s">
        <v>1637</v>
      </c>
      <c r="D1732" t="s">
        <v>9756</v>
      </c>
      <c r="E1732">
        <v>424036</v>
      </c>
      <c r="F1732" t="s">
        <v>1</v>
      </c>
      <c r="G1732" t="s">
        <v>2</v>
      </c>
      <c r="H1732" t="s">
        <v>6403</v>
      </c>
      <c r="P1732" t="s">
        <v>280</v>
      </c>
      <c r="Y1732" t="s">
        <v>9757</v>
      </c>
    </row>
    <row r="1733" spans="1:25" x14ac:dyDescent="0.25">
      <c r="A1733" t="str">
        <f>"1270932812"</f>
        <v>1270932812</v>
      </c>
      <c r="B1733" t="s">
        <v>18</v>
      </c>
      <c r="C1733" t="s">
        <v>9762</v>
      </c>
      <c r="D1733" t="s">
        <v>9758</v>
      </c>
      <c r="E1733">
        <v>424007</v>
      </c>
      <c r="F1733" t="s">
        <v>1</v>
      </c>
      <c r="G1733" t="s">
        <v>2</v>
      </c>
      <c r="H1733" t="s">
        <v>434</v>
      </c>
      <c r="J1733" t="s">
        <v>9759</v>
      </c>
      <c r="L1733" t="s">
        <v>9760</v>
      </c>
      <c r="M1733" t="s">
        <v>9761</v>
      </c>
      <c r="P1733" t="s">
        <v>9763</v>
      </c>
      <c r="Y1733" t="s">
        <v>438</v>
      </c>
    </row>
    <row r="1734" spans="1:25" x14ac:dyDescent="0.25">
      <c r="A1734" t="str">
        <f>"1270987489"</f>
        <v>1270987489</v>
      </c>
      <c r="B1734" t="s">
        <v>3008</v>
      </c>
      <c r="C1734" t="s">
        <v>9767</v>
      </c>
      <c r="D1734" t="s">
        <v>9764</v>
      </c>
      <c r="E1734">
        <v>424000</v>
      </c>
      <c r="F1734" t="s">
        <v>1</v>
      </c>
      <c r="G1734" t="s">
        <v>2</v>
      </c>
      <c r="H1734" t="s">
        <v>1473</v>
      </c>
      <c r="I1734" t="s">
        <v>9765</v>
      </c>
      <c r="J1734" t="s">
        <v>9766</v>
      </c>
      <c r="P1734" t="s">
        <v>1404</v>
      </c>
      <c r="Q1734" t="s">
        <v>9768</v>
      </c>
      <c r="Y1734" t="s">
        <v>9769</v>
      </c>
    </row>
    <row r="1735" spans="1:25" x14ac:dyDescent="0.25">
      <c r="A1735" t="str">
        <f>"1271129245"</f>
        <v>1271129245</v>
      </c>
      <c r="B1735" t="s">
        <v>18</v>
      </c>
      <c r="C1735" t="s">
        <v>2593</v>
      </c>
      <c r="D1735" t="s">
        <v>9770</v>
      </c>
      <c r="E1735">
        <v>424032</v>
      </c>
      <c r="F1735" t="s">
        <v>1</v>
      </c>
      <c r="G1735" t="s">
        <v>2</v>
      </c>
      <c r="H1735" t="s">
        <v>5699</v>
      </c>
      <c r="J1735" t="s">
        <v>9771</v>
      </c>
      <c r="P1735" t="s">
        <v>340</v>
      </c>
      <c r="Y1735" t="s">
        <v>5709</v>
      </c>
    </row>
    <row r="1736" spans="1:25" x14ac:dyDescent="0.25">
      <c r="A1736" t="str">
        <f>"1271176730"</f>
        <v>1271176730</v>
      </c>
      <c r="B1736" t="s">
        <v>379</v>
      </c>
      <c r="C1736" t="s">
        <v>4852</v>
      </c>
      <c r="D1736" t="s">
        <v>9772</v>
      </c>
      <c r="E1736">
        <v>424005</v>
      </c>
      <c r="F1736" t="s">
        <v>1</v>
      </c>
      <c r="G1736" t="s">
        <v>2</v>
      </c>
      <c r="H1736" t="s">
        <v>3053</v>
      </c>
      <c r="I1736" t="s">
        <v>9773</v>
      </c>
      <c r="L1736" t="s">
        <v>9774</v>
      </c>
      <c r="M1736" t="s">
        <v>9775</v>
      </c>
      <c r="P1736" t="s">
        <v>9776</v>
      </c>
      <c r="Q1736" t="s">
        <v>9777</v>
      </c>
      <c r="R1736" t="s">
        <v>9778</v>
      </c>
      <c r="T1736" t="s">
        <v>9779</v>
      </c>
      <c r="V1736" t="s">
        <v>9780</v>
      </c>
      <c r="Y1736" t="s">
        <v>9781</v>
      </c>
    </row>
    <row r="1737" spans="1:25" x14ac:dyDescent="0.25">
      <c r="A1737" t="str">
        <f>"1271260945"</f>
        <v>1271260945</v>
      </c>
      <c r="B1737" t="s">
        <v>32</v>
      </c>
      <c r="C1737" t="s">
        <v>9784</v>
      </c>
      <c r="D1737" t="s">
        <v>9782</v>
      </c>
      <c r="E1737">
        <v>424019</v>
      </c>
      <c r="F1737" t="s">
        <v>1</v>
      </c>
      <c r="G1737" t="s">
        <v>2</v>
      </c>
      <c r="H1737" t="s">
        <v>9271</v>
      </c>
      <c r="I1737" t="s">
        <v>9783</v>
      </c>
      <c r="P1737" t="s">
        <v>9785</v>
      </c>
      <c r="Y1737" t="s">
        <v>9786</v>
      </c>
    </row>
    <row r="1738" spans="1:25" x14ac:dyDescent="0.25">
      <c r="A1738" t="str">
        <f>"1271290093"</f>
        <v>1271290093</v>
      </c>
      <c r="B1738" t="s">
        <v>1078</v>
      </c>
      <c r="C1738" t="s">
        <v>1079</v>
      </c>
      <c r="D1738" t="s">
        <v>8471</v>
      </c>
      <c r="E1738">
        <v>424002</v>
      </c>
      <c r="F1738" t="s">
        <v>1</v>
      </c>
      <c r="G1738" t="s">
        <v>2</v>
      </c>
      <c r="H1738" t="s">
        <v>3421</v>
      </c>
      <c r="I1738" t="s">
        <v>9787</v>
      </c>
      <c r="L1738" t="s">
        <v>4892</v>
      </c>
      <c r="M1738" t="s">
        <v>8474</v>
      </c>
      <c r="P1738" t="s">
        <v>112</v>
      </c>
      <c r="Q1738" t="s">
        <v>4894</v>
      </c>
      <c r="Y1738" t="s">
        <v>9788</v>
      </c>
    </row>
    <row r="1739" spans="1:25" x14ac:dyDescent="0.25">
      <c r="A1739" t="str">
        <f>"1271303438"</f>
        <v>1271303438</v>
      </c>
      <c r="B1739" t="s">
        <v>32</v>
      </c>
      <c r="C1739" t="s">
        <v>40</v>
      </c>
      <c r="D1739" t="s">
        <v>4549</v>
      </c>
      <c r="E1739">
        <v>424007</v>
      </c>
      <c r="F1739" t="s">
        <v>1</v>
      </c>
      <c r="G1739" t="s">
        <v>2</v>
      </c>
      <c r="H1739" t="s">
        <v>7196</v>
      </c>
      <c r="I1739" t="s">
        <v>9789</v>
      </c>
      <c r="P1739" t="s">
        <v>8655</v>
      </c>
      <c r="Y1739" t="s">
        <v>9790</v>
      </c>
    </row>
    <row r="1740" spans="1:25" x14ac:dyDescent="0.25">
      <c r="A1740" t="str">
        <f>"1271706883"</f>
        <v>1271706883</v>
      </c>
      <c r="B1740" t="s">
        <v>176</v>
      </c>
      <c r="C1740" t="s">
        <v>279</v>
      </c>
      <c r="D1740" t="s">
        <v>9791</v>
      </c>
      <c r="E1740">
        <v>424006</v>
      </c>
      <c r="F1740" t="s">
        <v>1</v>
      </c>
      <c r="G1740" t="s">
        <v>2</v>
      </c>
      <c r="H1740" t="s">
        <v>9792</v>
      </c>
      <c r="I1740" t="s">
        <v>9793</v>
      </c>
      <c r="L1740" t="s">
        <v>9794</v>
      </c>
      <c r="M1740" t="s">
        <v>9795</v>
      </c>
      <c r="P1740" t="s">
        <v>20</v>
      </c>
      <c r="Q1740" t="s">
        <v>9796</v>
      </c>
      <c r="Y1740" t="s">
        <v>9797</v>
      </c>
    </row>
    <row r="1741" spans="1:25" x14ac:dyDescent="0.25">
      <c r="A1741" t="str">
        <f>"1271912377"</f>
        <v>1271912377</v>
      </c>
      <c r="B1741" t="s">
        <v>574</v>
      </c>
      <c r="C1741" t="s">
        <v>9802</v>
      </c>
      <c r="D1741" t="s">
        <v>9798</v>
      </c>
      <c r="E1741">
        <v>424004</v>
      </c>
      <c r="F1741" t="s">
        <v>1</v>
      </c>
      <c r="G1741" t="s">
        <v>2</v>
      </c>
      <c r="H1741" t="s">
        <v>3817</v>
      </c>
      <c r="J1741" t="s">
        <v>9799</v>
      </c>
      <c r="L1741" t="s">
        <v>9800</v>
      </c>
      <c r="M1741" t="s">
        <v>9801</v>
      </c>
      <c r="P1741" t="s">
        <v>9803</v>
      </c>
      <c r="T1741" t="s">
        <v>9804</v>
      </c>
      <c r="V1741" t="s">
        <v>9805</v>
      </c>
      <c r="Y1741" t="s">
        <v>9806</v>
      </c>
    </row>
    <row r="1742" spans="1:25" x14ac:dyDescent="0.25">
      <c r="A1742" t="str">
        <f>"1272009112"</f>
        <v>1272009112</v>
      </c>
      <c r="B1742" t="s">
        <v>379</v>
      </c>
      <c r="C1742" t="s">
        <v>2661</v>
      </c>
      <c r="D1742" t="s">
        <v>9807</v>
      </c>
      <c r="E1742">
        <v>424000</v>
      </c>
      <c r="F1742" t="s">
        <v>1</v>
      </c>
      <c r="G1742" t="s">
        <v>2</v>
      </c>
      <c r="H1742" t="s">
        <v>4255</v>
      </c>
      <c r="I1742" t="s">
        <v>9808</v>
      </c>
      <c r="K1742" t="s">
        <v>9808</v>
      </c>
      <c r="P1742" t="s">
        <v>4459</v>
      </c>
      <c r="Y1742" t="s">
        <v>9809</v>
      </c>
    </row>
    <row r="1743" spans="1:25" x14ac:dyDescent="0.25">
      <c r="A1743" t="str">
        <f>"1272040076"</f>
        <v>1272040076</v>
      </c>
      <c r="B1743" t="s">
        <v>9815</v>
      </c>
      <c r="C1743" t="s">
        <v>9816</v>
      </c>
      <c r="D1743" t="s">
        <v>9810</v>
      </c>
      <c r="E1743">
        <v>424003</v>
      </c>
      <c r="F1743" t="s">
        <v>1</v>
      </c>
      <c r="G1743" t="s">
        <v>2</v>
      </c>
      <c r="H1743" t="s">
        <v>9811</v>
      </c>
      <c r="I1743" t="s">
        <v>9812</v>
      </c>
      <c r="L1743" t="s">
        <v>9813</v>
      </c>
      <c r="M1743" t="s">
        <v>9814</v>
      </c>
      <c r="P1743" t="s">
        <v>27</v>
      </c>
      <c r="Y1743" t="s">
        <v>9817</v>
      </c>
    </row>
    <row r="1744" spans="1:25" x14ac:dyDescent="0.25">
      <c r="A1744" t="str">
        <f>"1272046155"</f>
        <v>1272046155</v>
      </c>
      <c r="B1744" t="s">
        <v>1152</v>
      </c>
      <c r="C1744" t="s">
        <v>1152</v>
      </c>
      <c r="D1744" t="s">
        <v>9818</v>
      </c>
      <c r="E1744">
        <v>424031</v>
      </c>
      <c r="F1744" t="s">
        <v>1</v>
      </c>
      <c r="G1744" t="s">
        <v>2</v>
      </c>
      <c r="H1744" t="s">
        <v>239</v>
      </c>
      <c r="I1744" t="s">
        <v>9819</v>
      </c>
      <c r="P1744" t="s">
        <v>9820</v>
      </c>
      <c r="Y1744" t="s">
        <v>9821</v>
      </c>
    </row>
    <row r="1745" spans="1:25" x14ac:dyDescent="0.25">
      <c r="A1745" t="str">
        <f>"1272088944"</f>
        <v>1272088944</v>
      </c>
      <c r="B1745" t="s">
        <v>930</v>
      </c>
      <c r="C1745" t="s">
        <v>1096</v>
      </c>
      <c r="D1745" t="s">
        <v>9822</v>
      </c>
      <c r="E1745">
        <v>424006</v>
      </c>
      <c r="F1745" t="s">
        <v>1</v>
      </c>
      <c r="G1745" t="s">
        <v>2</v>
      </c>
      <c r="H1745" t="s">
        <v>9823</v>
      </c>
      <c r="I1745" t="s">
        <v>9824</v>
      </c>
      <c r="J1745" t="s">
        <v>9825</v>
      </c>
      <c r="P1745" t="s">
        <v>1160</v>
      </c>
      <c r="Y1745" t="s">
        <v>9826</v>
      </c>
    </row>
    <row r="1746" spans="1:25" x14ac:dyDescent="0.25">
      <c r="A1746" t="str">
        <f>"1272159930"</f>
        <v>1272159930</v>
      </c>
      <c r="B1746" t="s">
        <v>348</v>
      </c>
      <c r="C1746" t="s">
        <v>9831</v>
      </c>
      <c r="D1746" t="s">
        <v>9827</v>
      </c>
      <c r="E1746">
        <v>424004</v>
      </c>
      <c r="F1746" t="s">
        <v>1</v>
      </c>
      <c r="G1746" t="s">
        <v>2</v>
      </c>
      <c r="H1746" t="s">
        <v>2133</v>
      </c>
      <c r="I1746" t="s">
        <v>9828</v>
      </c>
      <c r="L1746" t="s">
        <v>9829</v>
      </c>
      <c r="M1746" t="s">
        <v>9830</v>
      </c>
      <c r="P1746" t="s">
        <v>1619</v>
      </c>
      <c r="Q1746" t="s">
        <v>9832</v>
      </c>
      <c r="T1746" t="s">
        <v>9833</v>
      </c>
      <c r="U1746" t="s">
        <v>9834</v>
      </c>
      <c r="V1746" t="s">
        <v>9835</v>
      </c>
      <c r="Y1746" t="s">
        <v>2137</v>
      </c>
    </row>
    <row r="1747" spans="1:25" x14ac:dyDescent="0.25">
      <c r="A1747" t="str">
        <f>"1272192722"</f>
        <v>1272192722</v>
      </c>
      <c r="B1747" t="s">
        <v>430</v>
      </c>
      <c r="C1747" t="s">
        <v>940</v>
      </c>
      <c r="D1747" t="s">
        <v>9836</v>
      </c>
      <c r="E1747">
        <v>424038</v>
      </c>
      <c r="F1747" t="s">
        <v>1</v>
      </c>
      <c r="G1747" t="s">
        <v>2</v>
      </c>
      <c r="H1747" t="s">
        <v>5779</v>
      </c>
      <c r="I1747" t="s">
        <v>9837</v>
      </c>
      <c r="J1747" t="s">
        <v>9838</v>
      </c>
      <c r="P1747" t="s">
        <v>330</v>
      </c>
      <c r="Y1747" t="s">
        <v>5780</v>
      </c>
    </row>
    <row r="1748" spans="1:25" x14ac:dyDescent="0.25">
      <c r="A1748" t="str">
        <f>"1272225391"</f>
        <v>1272225391</v>
      </c>
      <c r="B1748" t="s">
        <v>319</v>
      </c>
      <c r="C1748" t="s">
        <v>320</v>
      </c>
      <c r="D1748" t="s">
        <v>9839</v>
      </c>
      <c r="F1748" t="s">
        <v>1</v>
      </c>
      <c r="G1748" t="s">
        <v>2</v>
      </c>
      <c r="H1748" t="s">
        <v>5906</v>
      </c>
      <c r="P1748" t="s">
        <v>9840</v>
      </c>
      <c r="Y1748" t="s">
        <v>5907</v>
      </c>
    </row>
    <row r="1749" spans="1:25" x14ac:dyDescent="0.25">
      <c r="A1749" t="str">
        <f>"1272339204"</f>
        <v>1272339204</v>
      </c>
      <c r="B1749" t="s">
        <v>469</v>
      </c>
      <c r="C1749" t="s">
        <v>470</v>
      </c>
      <c r="D1749" t="s">
        <v>9841</v>
      </c>
      <c r="E1749">
        <v>424016</v>
      </c>
      <c r="F1749" t="s">
        <v>1</v>
      </c>
      <c r="G1749" t="s">
        <v>2</v>
      </c>
      <c r="H1749" t="s">
        <v>848</v>
      </c>
      <c r="I1749" t="s">
        <v>9842</v>
      </c>
      <c r="P1749" t="s">
        <v>9843</v>
      </c>
      <c r="Y1749" t="s">
        <v>9844</v>
      </c>
    </row>
    <row r="1750" spans="1:25" x14ac:dyDescent="0.25">
      <c r="A1750" t="str">
        <f>"1272417372"</f>
        <v>1272417372</v>
      </c>
      <c r="B1750" t="s">
        <v>352</v>
      </c>
      <c r="C1750" t="s">
        <v>353</v>
      </c>
      <c r="D1750" t="s">
        <v>9845</v>
      </c>
      <c r="E1750">
        <v>424037</v>
      </c>
      <c r="F1750" t="s">
        <v>1</v>
      </c>
      <c r="G1750" t="s">
        <v>2</v>
      </c>
      <c r="H1750" t="s">
        <v>9342</v>
      </c>
      <c r="I1750" t="s">
        <v>9846</v>
      </c>
      <c r="P1750" t="s">
        <v>4280</v>
      </c>
      <c r="Y1750" t="s">
        <v>9347</v>
      </c>
    </row>
    <row r="1751" spans="1:25" x14ac:dyDescent="0.25">
      <c r="A1751" t="str">
        <f>"1272446920"</f>
        <v>1272446920</v>
      </c>
      <c r="B1751" t="s">
        <v>7312</v>
      </c>
      <c r="C1751" t="s">
        <v>9849</v>
      </c>
      <c r="D1751" t="s">
        <v>9847</v>
      </c>
      <c r="E1751">
        <v>424032</v>
      </c>
      <c r="F1751" t="s">
        <v>1</v>
      </c>
      <c r="G1751" t="s">
        <v>2</v>
      </c>
      <c r="H1751" t="s">
        <v>2972</v>
      </c>
      <c r="I1751" t="s">
        <v>9848</v>
      </c>
      <c r="P1751" t="s">
        <v>5084</v>
      </c>
      <c r="Y1751" t="s">
        <v>2975</v>
      </c>
    </row>
    <row r="1752" spans="1:25" x14ac:dyDescent="0.25">
      <c r="A1752" t="str">
        <f>"1272500427"</f>
        <v>1272500427</v>
      </c>
      <c r="B1752" t="s">
        <v>6478</v>
      </c>
      <c r="C1752" t="s">
        <v>9854</v>
      </c>
      <c r="D1752" t="s">
        <v>9850</v>
      </c>
      <c r="E1752">
        <v>424006</v>
      </c>
      <c r="F1752" t="s">
        <v>1</v>
      </c>
      <c r="G1752" t="s">
        <v>2</v>
      </c>
      <c r="H1752" t="s">
        <v>9851</v>
      </c>
      <c r="I1752" t="s">
        <v>9852</v>
      </c>
      <c r="J1752" t="s">
        <v>9853</v>
      </c>
      <c r="P1752" t="s">
        <v>6400</v>
      </c>
      <c r="Y1752" t="s">
        <v>9855</v>
      </c>
    </row>
    <row r="1753" spans="1:25" x14ac:dyDescent="0.25">
      <c r="A1753" t="str">
        <f>"1272504955"</f>
        <v>1272504955</v>
      </c>
      <c r="B1753" t="s">
        <v>151</v>
      </c>
      <c r="C1753" t="s">
        <v>9277</v>
      </c>
      <c r="D1753" t="s">
        <v>9856</v>
      </c>
      <c r="E1753">
        <v>424002</v>
      </c>
      <c r="F1753" t="s">
        <v>1</v>
      </c>
      <c r="G1753" t="s">
        <v>2</v>
      </c>
      <c r="H1753" t="s">
        <v>9857</v>
      </c>
      <c r="I1753" t="s">
        <v>9858</v>
      </c>
      <c r="J1753" t="s">
        <v>9859</v>
      </c>
      <c r="P1753" t="s">
        <v>152</v>
      </c>
      <c r="Y1753" t="s">
        <v>9860</v>
      </c>
    </row>
    <row r="1754" spans="1:25" x14ac:dyDescent="0.25">
      <c r="A1754" t="str">
        <f>"1272530445"</f>
        <v>1272530445</v>
      </c>
      <c r="B1754" t="s">
        <v>4084</v>
      </c>
      <c r="C1754" t="s">
        <v>9862</v>
      </c>
      <c r="D1754" t="s">
        <v>9861</v>
      </c>
      <c r="F1754" t="s">
        <v>1</v>
      </c>
      <c r="G1754" t="s">
        <v>2</v>
      </c>
      <c r="H1754" t="s">
        <v>7547</v>
      </c>
      <c r="Y1754" t="s">
        <v>9863</v>
      </c>
    </row>
    <row r="1755" spans="1:25" x14ac:dyDescent="0.25">
      <c r="A1755" t="str">
        <f>"1272666076"</f>
        <v>1272666076</v>
      </c>
      <c r="B1755" t="s">
        <v>1046</v>
      </c>
      <c r="C1755" t="s">
        <v>4959</v>
      </c>
      <c r="D1755" t="s">
        <v>9864</v>
      </c>
      <c r="E1755">
        <v>424038</v>
      </c>
      <c r="F1755" t="s">
        <v>1</v>
      </c>
      <c r="G1755" t="s">
        <v>2</v>
      </c>
      <c r="H1755" t="s">
        <v>9865</v>
      </c>
      <c r="I1755" t="s">
        <v>9866</v>
      </c>
      <c r="P1755" t="s">
        <v>9867</v>
      </c>
      <c r="Q1755" t="s">
        <v>9868</v>
      </c>
      <c r="V1755" t="s">
        <v>9869</v>
      </c>
      <c r="Y1755" t="s">
        <v>9870</v>
      </c>
    </row>
    <row r="1756" spans="1:25" x14ac:dyDescent="0.25">
      <c r="A1756" t="str">
        <f>"1272715753"</f>
        <v>1272715753</v>
      </c>
      <c r="B1756" t="s">
        <v>25</v>
      </c>
      <c r="C1756" t="s">
        <v>9873</v>
      </c>
      <c r="D1756" t="s">
        <v>9871</v>
      </c>
      <c r="E1756">
        <v>424007</v>
      </c>
      <c r="F1756" t="s">
        <v>1</v>
      </c>
      <c r="G1756" t="s">
        <v>2</v>
      </c>
      <c r="H1756" t="s">
        <v>819</v>
      </c>
      <c r="I1756" t="s">
        <v>9872</v>
      </c>
      <c r="P1756" t="s">
        <v>20</v>
      </c>
      <c r="Y1756" t="s">
        <v>821</v>
      </c>
    </row>
    <row r="1757" spans="1:25" x14ac:dyDescent="0.25">
      <c r="A1757" t="str">
        <f>"1272832945"</f>
        <v>1272832945</v>
      </c>
      <c r="B1757" t="s">
        <v>160</v>
      </c>
      <c r="C1757" t="s">
        <v>2327</v>
      </c>
      <c r="D1757" t="s">
        <v>9874</v>
      </c>
      <c r="E1757">
        <v>424005</v>
      </c>
      <c r="F1757" t="s">
        <v>1</v>
      </c>
      <c r="G1757" t="s">
        <v>2</v>
      </c>
      <c r="H1757" t="s">
        <v>9875</v>
      </c>
      <c r="I1757" t="s">
        <v>9876</v>
      </c>
      <c r="P1757" t="s">
        <v>20</v>
      </c>
      <c r="Y1757" t="s">
        <v>9877</v>
      </c>
    </row>
    <row r="1758" spans="1:25" x14ac:dyDescent="0.25">
      <c r="A1758" t="str">
        <f>"1272892328"</f>
        <v>1272892328</v>
      </c>
      <c r="B1758" t="s">
        <v>328</v>
      </c>
      <c r="C1758" t="s">
        <v>1920</v>
      </c>
      <c r="D1758" t="s">
        <v>9878</v>
      </c>
      <c r="E1758">
        <v>424003</v>
      </c>
      <c r="F1758" t="s">
        <v>1</v>
      </c>
      <c r="G1758" t="s">
        <v>2</v>
      </c>
      <c r="H1758" t="s">
        <v>38</v>
      </c>
      <c r="I1758" t="s">
        <v>9879</v>
      </c>
      <c r="P1758" t="s">
        <v>280</v>
      </c>
      <c r="Y1758" t="s">
        <v>9880</v>
      </c>
    </row>
    <row r="1759" spans="1:25" x14ac:dyDescent="0.25">
      <c r="A1759" t="str">
        <f>"1272933809"</f>
        <v>1272933809</v>
      </c>
      <c r="B1759" t="s">
        <v>930</v>
      </c>
      <c r="C1759" t="s">
        <v>9884</v>
      </c>
      <c r="D1759" t="s">
        <v>9881</v>
      </c>
      <c r="E1759">
        <v>424004</v>
      </c>
      <c r="F1759" t="s">
        <v>1</v>
      </c>
      <c r="G1759" t="s">
        <v>2</v>
      </c>
      <c r="H1759" t="s">
        <v>9882</v>
      </c>
      <c r="I1759" t="s">
        <v>9883</v>
      </c>
      <c r="P1759" t="s">
        <v>1107</v>
      </c>
      <c r="Q1759" t="s">
        <v>9885</v>
      </c>
      <c r="Y1759" t="s">
        <v>9886</v>
      </c>
    </row>
    <row r="1760" spans="1:25" x14ac:dyDescent="0.25">
      <c r="A1760" t="str">
        <f>"1272993024"</f>
        <v>1272993024</v>
      </c>
      <c r="B1760" t="s">
        <v>96</v>
      </c>
      <c r="C1760" t="s">
        <v>695</v>
      </c>
      <c r="D1760" t="s">
        <v>9887</v>
      </c>
      <c r="E1760">
        <v>424000</v>
      </c>
      <c r="F1760" t="s">
        <v>1</v>
      </c>
      <c r="G1760" t="s">
        <v>2</v>
      </c>
      <c r="H1760" t="s">
        <v>1531</v>
      </c>
      <c r="P1760" t="s">
        <v>152</v>
      </c>
      <c r="Y1760" t="s">
        <v>1707</v>
      </c>
    </row>
    <row r="1761" spans="1:25" x14ac:dyDescent="0.25">
      <c r="A1761" t="str">
        <f>"1273022730"</f>
        <v>1273022730</v>
      </c>
      <c r="B1761" t="s">
        <v>7</v>
      </c>
      <c r="C1761" t="s">
        <v>9893</v>
      </c>
      <c r="D1761" t="s">
        <v>9888</v>
      </c>
      <c r="E1761">
        <v>424038</v>
      </c>
      <c r="F1761" t="s">
        <v>1</v>
      </c>
      <c r="G1761" t="s">
        <v>2</v>
      </c>
      <c r="H1761" t="s">
        <v>6550</v>
      </c>
      <c r="I1761" t="s">
        <v>9889</v>
      </c>
      <c r="J1761" t="s">
        <v>9890</v>
      </c>
      <c r="L1761" t="s">
        <v>9891</v>
      </c>
      <c r="M1761" t="s">
        <v>9892</v>
      </c>
      <c r="P1761" t="s">
        <v>133</v>
      </c>
      <c r="Q1761" t="s">
        <v>9894</v>
      </c>
      <c r="T1761" t="s">
        <v>9895</v>
      </c>
      <c r="Y1761" t="s">
        <v>6552</v>
      </c>
    </row>
    <row r="1762" spans="1:25" x14ac:dyDescent="0.25">
      <c r="A1762" t="str">
        <f>"1273052720"</f>
        <v>1273052720</v>
      </c>
      <c r="B1762" t="s">
        <v>738</v>
      </c>
      <c r="C1762" t="s">
        <v>9900</v>
      </c>
      <c r="D1762" t="s">
        <v>9896</v>
      </c>
      <c r="E1762">
        <v>424031</v>
      </c>
      <c r="F1762" t="s">
        <v>1</v>
      </c>
      <c r="G1762" t="s">
        <v>2</v>
      </c>
      <c r="H1762" t="s">
        <v>4622</v>
      </c>
      <c r="I1762" t="s">
        <v>9897</v>
      </c>
      <c r="J1762" t="s">
        <v>9898</v>
      </c>
      <c r="L1762" t="s">
        <v>9899</v>
      </c>
      <c r="P1762" t="s">
        <v>3814</v>
      </c>
      <c r="Q1762" t="s">
        <v>9901</v>
      </c>
      <c r="Y1762" t="s">
        <v>9902</v>
      </c>
    </row>
    <row r="1763" spans="1:25" x14ac:dyDescent="0.25">
      <c r="A1763" t="str">
        <f>"1273093662"</f>
        <v>1273093662</v>
      </c>
      <c r="B1763" t="s">
        <v>930</v>
      </c>
      <c r="C1763" t="s">
        <v>1096</v>
      </c>
      <c r="D1763" t="s">
        <v>9903</v>
      </c>
      <c r="F1763" t="s">
        <v>1</v>
      </c>
      <c r="G1763" t="s">
        <v>2</v>
      </c>
      <c r="H1763" t="s">
        <v>9904</v>
      </c>
      <c r="I1763" t="s">
        <v>9905</v>
      </c>
      <c r="J1763" t="s">
        <v>9906</v>
      </c>
      <c r="P1763" t="s">
        <v>27</v>
      </c>
      <c r="Y1763" t="s">
        <v>9907</v>
      </c>
    </row>
    <row r="1764" spans="1:25" x14ac:dyDescent="0.25">
      <c r="A1764" t="str">
        <f>"1273176130"</f>
        <v>1273176130</v>
      </c>
      <c r="B1764" t="s">
        <v>18</v>
      </c>
      <c r="C1764" t="s">
        <v>9912</v>
      </c>
      <c r="D1764" t="s">
        <v>9908</v>
      </c>
      <c r="E1764">
        <v>424004</v>
      </c>
      <c r="F1764" t="s">
        <v>1</v>
      </c>
      <c r="G1764" t="s">
        <v>2</v>
      </c>
      <c r="H1764" t="s">
        <v>7224</v>
      </c>
      <c r="I1764" t="s">
        <v>9909</v>
      </c>
      <c r="L1764" t="s">
        <v>9910</v>
      </c>
      <c r="M1764" t="s">
        <v>9911</v>
      </c>
      <c r="P1764" t="s">
        <v>3670</v>
      </c>
      <c r="Q1764" t="s">
        <v>363</v>
      </c>
      <c r="Y1764" t="s">
        <v>9913</v>
      </c>
    </row>
    <row r="1765" spans="1:25" x14ac:dyDescent="0.25">
      <c r="A1765" t="str">
        <f>"1273200458"</f>
        <v>1273200458</v>
      </c>
      <c r="B1765" t="s">
        <v>1611</v>
      </c>
      <c r="C1765" t="s">
        <v>4172</v>
      </c>
      <c r="D1765" t="s">
        <v>9914</v>
      </c>
      <c r="E1765">
        <v>424002</v>
      </c>
      <c r="F1765" t="s">
        <v>1</v>
      </c>
      <c r="G1765" t="s">
        <v>2</v>
      </c>
      <c r="H1765" t="s">
        <v>9915</v>
      </c>
      <c r="I1765" t="s">
        <v>9916</v>
      </c>
      <c r="L1765" t="s">
        <v>9917</v>
      </c>
      <c r="M1765" t="s">
        <v>9918</v>
      </c>
      <c r="P1765" t="s">
        <v>9919</v>
      </c>
      <c r="Q1765" t="s">
        <v>9920</v>
      </c>
      <c r="V1765" t="s">
        <v>9921</v>
      </c>
      <c r="Y1765" t="s">
        <v>9922</v>
      </c>
    </row>
    <row r="1766" spans="1:25" x14ac:dyDescent="0.25">
      <c r="A1766" t="str">
        <f>"1273222662"</f>
        <v>1273222662</v>
      </c>
      <c r="B1766" t="s">
        <v>430</v>
      </c>
      <c r="C1766" t="s">
        <v>612</v>
      </c>
      <c r="D1766" t="s">
        <v>9923</v>
      </c>
      <c r="E1766">
        <v>424002</v>
      </c>
      <c r="F1766" t="s">
        <v>1</v>
      </c>
      <c r="G1766" t="s">
        <v>2</v>
      </c>
      <c r="H1766" t="s">
        <v>4001</v>
      </c>
      <c r="I1766" t="s">
        <v>9924</v>
      </c>
      <c r="L1766" t="s">
        <v>610</v>
      </c>
      <c r="M1766" t="s">
        <v>611</v>
      </c>
      <c r="P1766" t="s">
        <v>2457</v>
      </c>
      <c r="Y1766" t="s">
        <v>9925</v>
      </c>
    </row>
    <row r="1767" spans="1:25" x14ac:dyDescent="0.25">
      <c r="A1767" t="str">
        <f>"1273330597"</f>
        <v>1273330597</v>
      </c>
      <c r="B1767" t="s">
        <v>96</v>
      </c>
      <c r="C1767" t="s">
        <v>893</v>
      </c>
      <c r="D1767" t="s">
        <v>9926</v>
      </c>
      <c r="E1767">
        <v>424000</v>
      </c>
      <c r="F1767" t="s">
        <v>1</v>
      </c>
      <c r="G1767" t="s">
        <v>2</v>
      </c>
      <c r="H1767" t="s">
        <v>9927</v>
      </c>
      <c r="Y1767" t="s">
        <v>9928</v>
      </c>
    </row>
    <row r="1768" spans="1:25" x14ac:dyDescent="0.25">
      <c r="A1768" t="str">
        <f>"1273417486"</f>
        <v>1273417486</v>
      </c>
      <c r="B1768" t="s">
        <v>290</v>
      </c>
      <c r="C1768" t="s">
        <v>9932</v>
      </c>
      <c r="D1768" t="s">
        <v>9929</v>
      </c>
      <c r="E1768">
        <v>424038</v>
      </c>
      <c r="F1768" t="s">
        <v>1</v>
      </c>
      <c r="G1768" t="s">
        <v>2</v>
      </c>
      <c r="H1768" t="s">
        <v>9930</v>
      </c>
      <c r="I1768" t="s">
        <v>9931</v>
      </c>
      <c r="P1768" t="s">
        <v>60</v>
      </c>
      <c r="Y1768" t="s">
        <v>9933</v>
      </c>
    </row>
    <row r="1769" spans="1:25" x14ac:dyDescent="0.25">
      <c r="A1769" t="str">
        <f>"1273600618"</f>
        <v>1273600618</v>
      </c>
      <c r="B1769" t="s">
        <v>1053</v>
      </c>
      <c r="C1769" t="s">
        <v>9938</v>
      </c>
      <c r="D1769" t="s">
        <v>9934</v>
      </c>
      <c r="E1769">
        <v>424000</v>
      </c>
      <c r="F1769" t="s">
        <v>1</v>
      </c>
      <c r="G1769" t="s">
        <v>2</v>
      </c>
      <c r="H1769" t="s">
        <v>6578</v>
      </c>
      <c r="I1769" t="s">
        <v>9935</v>
      </c>
      <c r="L1769" t="s">
        <v>9936</v>
      </c>
      <c r="M1769" t="s">
        <v>9937</v>
      </c>
      <c r="P1769" t="s">
        <v>9939</v>
      </c>
      <c r="Y1769" t="s">
        <v>9940</v>
      </c>
    </row>
    <row r="1770" spans="1:25" x14ac:dyDescent="0.25">
      <c r="A1770" t="str">
        <f>"1273639426"</f>
        <v>1273639426</v>
      </c>
      <c r="B1770" t="s">
        <v>553</v>
      </c>
      <c r="C1770" t="s">
        <v>554</v>
      </c>
      <c r="D1770" t="s">
        <v>9941</v>
      </c>
      <c r="E1770">
        <v>424038</v>
      </c>
      <c r="F1770" t="s">
        <v>1</v>
      </c>
      <c r="G1770" t="s">
        <v>2</v>
      </c>
      <c r="H1770" t="s">
        <v>2103</v>
      </c>
      <c r="I1770" t="s">
        <v>9942</v>
      </c>
      <c r="L1770" t="s">
        <v>9943</v>
      </c>
      <c r="M1770" t="s">
        <v>9944</v>
      </c>
      <c r="P1770" t="s">
        <v>1760</v>
      </c>
      <c r="Y1770" t="s">
        <v>2323</v>
      </c>
    </row>
    <row r="1771" spans="1:25" x14ac:dyDescent="0.25">
      <c r="A1771" t="str">
        <f>"1273659417"</f>
        <v>1273659417</v>
      </c>
      <c r="B1771" t="s">
        <v>9949</v>
      </c>
      <c r="C1771" t="s">
        <v>9950</v>
      </c>
      <c r="D1771" t="s">
        <v>9945</v>
      </c>
      <c r="E1771">
        <v>424002</v>
      </c>
      <c r="F1771" t="s">
        <v>1</v>
      </c>
      <c r="G1771" t="s">
        <v>2</v>
      </c>
      <c r="H1771" t="s">
        <v>4378</v>
      </c>
      <c r="I1771" t="s">
        <v>9946</v>
      </c>
      <c r="L1771" t="s">
        <v>9947</v>
      </c>
      <c r="M1771" t="s">
        <v>9948</v>
      </c>
      <c r="Q1771" t="s">
        <v>9951</v>
      </c>
      <c r="T1771" t="s">
        <v>9952</v>
      </c>
      <c r="V1771" t="s">
        <v>9953</v>
      </c>
      <c r="Y1771" t="s">
        <v>9954</v>
      </c>
    </row>
    <row r="1772" spans="1:25" x14ac:dyDescent="0.25">
      <c r="A1772" t="str">
        <f>"1273678556"</f>
        <v>1273678556</v>
      </c>
      <c r="B1772" t="s">
        <v>888</v>
      </c>
      <c r="C1772" t="s">
        <v>4712</v>
      </c>
      <c r="D1772" t="s">
        <v>9955</v>
      </c>
      <c r="E1772">
        <v>424000</v>
      </c>
      <c r="F1772" t="s">
        <v>1</v>
      </c>
      <c r="G1772" t="s">
        <v>2</v>
      </c>
      <c r="H1772" t="s">
        <v>6578</v>
      </c>
      <c r="I1772" t="s">
        <v>9956</v>
      </c>
      <c r="J1772" t="s">
        <v>9957</v>
      </c>
      <c r="P1772" t="s">
        <v>9958</v>
      </c>
      <c r="Y1772" t="s">
        <v>9940</v>
      </c>
    </row>
    <row r="1773" spans="1:25" x14ac:dyDescent="0.25">
      <c r="A1773" t="str">
        <f>"1273776468"</f>
        <v>1273776468</v>
      </c>
      <c r="B1773" t="s">
        <v>284</v>
      </c>
      <c r="C1773" t="s">
        <v>9962</v>
      </c>
      <c r="D1773" t="s">
        <v>9959</v>
      </c>
      <c r="E1773">
        <v>424028</v>
      </c>
      <c r="F1773" t="s">
        <v>1</v>
      </c>
      <c r="G1773" t="s">
        <v>2</v>
      </c>
      <c r="H1773" t="s">
        <v>2076</v>
      </c>
      <c r="I1773" t="s">
        <v>9960</v>
      </c>
      <c r="J1773" t="s">
        <v>9961</v>
      </c>
      <c r="P1773" t="s">
        <v>9963</v>
      </c>
      <c r="Y1773" t="s">
        <v>9964</v>
      </c>
    </row>
    <row r="1774" spans="1:25" x14ac:dyDescent="0.25">
      <c r="A1774" t="str">
        <f>"1273793767"</f>
        <v>1273793767</v>
      </c>
      <c r="B1774" t="s">
        <v>2361</v>
      </c>
      <c r="C1774" t="s">
        <v>9971</v>
      </c>
      <c r="D1774" t="s">
        <v>9965</v>
      </c>
      <c r="E1774">
        <v>424031</v>
      </c>
      <c r="F1774" t="s">
        <v>1</v>
      </c>
      <c r="G1774" t="s">
        <v>2</v>
      </c>
      <c r="H1774" t="s">
        <v>9966</v>
      </c>
      <c r="I1774" t="s">
        <v>9967</v>
      </c>
      <c r="J1774" t="s">
        <v>9968</v>
      </c>
      <c r="K1774" t="s">
        <v>9969</v>
      </c>
      <c r="L1774" t="s">
        <v>9970</v>
      </c>
      <c r="P1774" t="s">
        <v>1160</v>
      </c>
      <c r="Y1774" t="s">
        <v>9972</v>
      </c>
    </row>
    <row r="1775" spans="1:25" x14ac:dyDescent="0.25">
      <c r="A1775" t="str">
        <f>"1273847461"</f>
        <v>1273847461</v>
      </c>
      <c r="B1775" t="s">
        <v>654</v>
      </c>
      <c r="C1775" t="s">
        <v>2195</v>
      </c>
      <c r="D1775" t="s">
        <v>9973</v>
      </c>
      <c r="E1775">
        <v>424007</v>
      </c>
      <c r="F1775" t="s">
        <v>1</v>
      </c>
      <c r="G1775" t="s">
        <v>2</v>
      </c>
      <c r="H1775" t="s">
        <v>1085</v>
      </c>
      <c r="P1775" t="s">
        <v>27</v>
      </c>
      <c r="Y1775" t="s">
        <v>1412</v>
      </c>
    </row>
    <row r="1776" spans="1:25" x14ac:dyDescent="0.25">
      <c r="A1776" t="str">
        <f>"1274049424"</f>
        <v>1274049424</v>
      </c>
      <c r="B1776" t="s">
        <v>160</v>
      </c>
      <c r="C1776" t="s">
        <v>9976</v>
      </c>
      <c r="D1776" t="s">
        <v>9974</v>
      </c>
      <c r="E1776">
        <v>424033</v>
      </c>
      <c r="F1776" t="s">
        <v>1</v>
      </c>
      <c r="G1776" t="s">
        <v>2</v>
      </c>
      <c r="H1776" t="s">
        <v>4357</v>
      </c>
      <c r="I1776" t="s">
        <v>9975</v>
      </c>
      <c r="P1776" t="s">
        <v>280</v>
      </c>
      <c r="Y1776" t="s">
        <v>9977</v>
      </c>
    </row>
    <row r="1777" spans="1:25" x14ac:dyDescent="0.25">
      <c r="A1777" t="str">
        <f>"1274360954"</f>
        <v>1274360954</v>
      </c>
      <c r="B1777" t="s">
        <v>388</v>
      </c>
      <c r="C1777" t="s">
        <v>9982</v>
      </c>
      <c r="D1777" t="s">
        <v>9978</v>
      </c>
      <c r="E1777">
        <v>424016</v>
      </c>
      <c r="F1777" t="s">
        <v>1</v>
      </c>
      <c r="G1777" t="s">
        <v>2</v>
      </c>
      <c r="H1777" t="s">
        <v>3344</v>
      </c>
      <c r="I1777" t="s">
        <v>9979</v>
      </c>
      <c r="L1777" t="s">
        <v>9980</v>
      </c>
      <c r="M1777" t="s">
        <v>9981</v>
      </c>
      <c r="P1777" t="s">
        <v>20</v>
      </c>
      <c r="Y1777" t="s">
        <v>9983</v>
      </c>
    </row>
    <row r="1778" spans="1:25" x14ac:dyDescent="0.25">
      <c r="A1778" t="str">
        <f>"1274362041"</f>
        <v>1274362041</v>
      </c>
      <c r="B1778" t="s">
        <v>430</v>
      </c>
      <c r="C1778" t="s">
        <v>612</v>
      </c>
      <c r="D1778" t="s">
        <v>9923</v>
      </c>
      <c r="E1778">
        <v>424006</v>
      </c>
      <c r="F1778" t="s">
        <v>1</v>
      </c>
      <c r="G1778" t="s">
        <v>2</v>
      </c>
      <c r="H1778" t="s">
        <v>9984</v>
      </c>
      <c r="I1778" t="s">
        <v>9985</v>
      </c>
      <c r="J1778" t="s">
        <v>9986</v>
      </c>
      <c r="L1778" t="s">
        <v>9987</v>
      </c>
      <c r="M1778" t="s">
        <v>611</v>
      </c>
      <c r="P1778" t="s">
        <v>330</v>
      </c>
      <c r="Q1778" t="s">
        <v>9988</v>
      </c>
      <c r="Y1778" t="s">
        <v>9989</v>
      </c>
    </row>
    <row r="1779" spans="1:25" x14ac:dyDescent="0.25">
      <c r="A1779" t="str">
        <f>"1274366454"</f>
        <v>1274366454</v>
      </c>
      <c r="B1779" t="s">
        <v>18</v>
      </c>
      <c r="C1779" t="s">
        <v>2171</v>
      </c>
      <c r="D1779" t="s">
        <v>9990</v>
      </c>
      <c r="E1779">
        <v>424006</v>
      </c>
      <c r="F1779" t="s">
        <v>1</v>
      </c>
      <c r="G1779" t="s">
        <v>2</v>
      </c>
      <c r="H1779" t="s">
        <v>9991</v>
      </c>
      <c r="I1779" t="s">
        <v>9992</v>
      </c>
      <c r="P1779" t="s">
        <v>280</v>
      </c>
      <c r="Y1779" t="s">
        <v>9993</v>
      </c>
    </row>
    <row r="1780" spans="1:25" x14ac:dyDescent="0.25">
      <c r="A1780" t="str">
        <f>"1274406772"</f>
        <v>1274406772</v>
      </c>
      <c r="B1780" t="s">
        <v>978</v>
      </c>
      <c r="C1780" t="s">
        <v>9997</v>
      </c>
      <c r="D1780" t="s">
        <v>9994</v>
      </c>
      <c r="E1780">
        <v>424019</v>
      </c>
      <c r="F1780" t="s">
        <v>1</v>
      </c>
      <c r="G1780" t="s">
        <v>2</v>
      </c>
      <c r="H1780" t="s">
        <v>9271</v>
      </c>
      <c r="I1780" t="s">
        <v>9995</v>
      </c>
      <c r="M1780" t="s">
        <v>9996</v>
      </c>
      <c r="P1780" t="s">
        <v>27</v>
      </c>
      <c r="Y1780" t="s">
        <v>9998</v>
      </c>
    </row>
    <row r="1781" spans="1:25" x14ac:dyDescent="0.25">
      <c r="A1781" t="str">
        <f>"1274420944"</f>
        <v>1274420944</v>
      </c>
      <c r="B1781" t="s">
        <v>18</v>
      </c>
      <c r="C1781" t="s">
        <v>10002</v>
      </c>
      <c r="D1781" t="s">
        <v>9999</v>
      </c>
      <c r="E1781">
        <v>424037</v>
      </c>
      <c r="F1781" t="s">
        <v>1</v>
      </c>
      <c r="G1781" t="s">
        <v>2</v>
      </c>
      <c r="H1781" t="s">
        <v>10000</v>
      </c>
      <c r="I1781" t="s">
        <v>10001</v>
      </c>
      <c r="P1781" t="s">
        <v>2580</v>
      </c>
      <c r="Y1781" t="s">
        <v>10003</v>
      </c>
    </row>
    <row r="1782" spans="1:25" x14ac:dyDescent="0.25">
      <c r="A1782" t="str">
        <f>"1274480806"</f>
        <v>1274480806</v>
      </c>
      <c r="B1782" t="s">
        <v>519</v>
      </c>
      <c r="C1782" t="s">
        <v>10008</v>
      </c>
      <c r="D1782" t="s">
        <v>10004</v>
      </c>
      <c r="E1782">
        <v>424031</v>
      </c>
      <c r="F1782" t="s">
        <v>1</v>
      </c>
      <c r="G1782" t="s">
        <v>2</v>
      </c>
      <c r="H1782" t="s">
        <v>5151</v>
      </c>
      <c r="I1782" t="s">
        <v>10005</v>
      </c>
      <c r="L1782" t="s">
        <v>10006</v>
      </c>
      <c r="M1782" t="s">
        <v>10007</v>
      </c>
      <c r="P1782" t="s">
        <v>20</v>
      </c>
      <c r="Y1782" t="s">
        <v>10009</v>
      </c>
    </row>
    <row r="1783" spans="1:25" x14ac:dyDescent="0.25">
      <c r="A1783" t="str">
        <f>"1274526533"</f>
        <v>1274526533</v>
      </c>
      <c r="B1783" t="s">
        <v>703</v>
      </c>
      <c r="C1783" t="s">
        <v>2129</v>
      </c>
      <c r="D1783" t="s">
        <v>10010</v>
      </c>
      <c r="F1783" t="s">
        <v>1</v>
      </c>
      <c r="G1783" t="s">
        <v>2</v>
      </c>
      <c r="H1783" t="s">
        <v>10011</v>
      </c>
      <c r="I1783" t="s">
        <v>10012</v>
      </c>
      <c r="K1783" t="s">
        <v>10012</v>
      </c>
      <c r="P1783" t="s">
        <v>330</v>
      </c>
      <c r="Y1783" t="s">
        <v>10013</v>
      </c>
    </row>
    <row r="1784" spans="1:25" x14ac:dyDescent="0.25">
      <c r="A1784" t="str">
        <f>"1274761676"</f>
        <v>1274761676</v>
      </c>
      <c r="B1784" t="s">
        <v>574</v>
      </c>
      <c r="C1784" t="s">
        <v>10016</v>
      </c>
      <c r="D1784" t="s">
        <v>10014</v>
      </c>
      <c r="E1784">
        <v>424019</v>
      </c>
      <c r="F1784" t="s">
        <v>1</v>
      </c>
      <c r="G1784" t="s">
        <v>2</v>
      </c>
      <c r="H1784" t="s">
        <v>7785</v>
      </c>
      <c r="J1784" t="s">
        <v>10015</v>
      </c>
      <c r="P1784" t="s">
        <v>98</v>
      </c>
      <c r="Y1784" t="s">
        <v>10017</v>
      </c>
    </row>
    <row r="1785" spans="1:25" x14ac:dyDescent="0.25">
      <c r="A1785" t="str">
        <f>"1274775096"</f>
        <v>1274775096</v>
      </c>
      <c r="B1785" t="s">
        <v>574</v>
      </c>
      <c r="C1785" t="s">
        <v>646</v>
      </c>
      <c r="D1785" t="s">
        <v>10018</v>
      </c>
      <c r="E1785">
        <v>424006</v>
      </c>
      <c r="F1785" t="s">
        <v>1</v>
      </c>
      <c r="G1785" t="s">
        <v>2</v>
      </c>
      <c r="H1785" t="s">
        <v>10019</v>
      </c>
      <c r="I1785" t="s">
        <v>10020</v>
      </c>
      <c r="P1785" t="s">
        <v>10021</v>
      </c>
      <c r="Y1785" t="s">
        <v>10022</v>
      </c>
    </row>
    <row r="1786" spans="1:25" x14ac:dyDescent="0.25">
      <c r="A1786" t="str">
        <f>"1274838856"</f>
        <v>1274838856</v>
      </c>
      <c r="B1786" t="s">
        <v>2601</v>
      </c>
      <c r="C1786" t="s">
        <v>5375</v>
      </c>
      <c r="D1786" t="s">
        <v>10023</v>
      </c>
      <c r="E1786">
        <v>424000</v>
      </c>
      <c r="F1786" t="s">
        <v>1</v>
      </c>
      <c r="G1786" t="s">
        <v>2</v>
      </c>
      <c r="H1786" t="s">
        <v>1531</v>
      </c>
      <c r="P1786" t="s">
        <v>10024</v>
      </c>
      <c r="Y1786" t="s">
        <v>10025</v>
      </c>
    </row>
    <row r="1787" spans="1:25" x14ac:dyDescent="0.25">
      <c r="A1787" t="str">
        <f>"1274843431"</f>
        <v>1274843431</v>
      </c>
      <c r="B1787" t="s">
        <v>160</v>
      </c>
      <c r="C1787" t="s">
        <v>1666</v>
      </c>
      <c r="D1787" t="s">
        <v>10026</v>
      </c>
      <c r="E1787">
        <v>424002</v>
      </c>
      <c r="F1787" t="s">
        <v>1</v>
      </c>
      <c r="G1787" t="s">
        <v>2</v>
      </c>
      <c r="H1787" t="s">
        <v>10027</v>
      </c>
      <c r="J1787" t="s">
        <v>10028</v>
      </c>
      <c r="P1787" t="s">
        <v>390</v>
      </c>
      <c r="Y1787" t="s">
        <v>10029</v>
      </c>
    </row>
    <row r="1788" spans="1:25" x14ac:dyDescent="0.25">
      <c r="A1788" t="str">
        <f>"1274873415"</f>
        <v>1274873415</v>
      </c>
      <c r="B1788" t="s">
        <v>160</v>
      </c>
      <c r="C1788" t="s">
        <v>1666</v>
      </c>
      <c r="D1788" t="s">
        <v>10030</v>
      </c>
      <c r="E1788">
        <v>424006</v>
      </c>
      <c r="F1788" t="s">
        <v>1</v>
      </c>
      <c r="G1788" t="s">
        <v>2</v>
      </c>
      <c r="H1788" t="s">
        <v>3033</v>
      </c>
      <c r="I1788" t="s">
        <v>10031</v>
      </c>
      <c r="L1788" t="s">
        <v>10032</v>
      </c>
      <c r="M1788" t="s">
        <v>10033</v>
      </c>
      <c r="P1788" t="s">
        <v>330</v>
      </c>
      <c r="Q1788" t="s">
        <v>10034</v>
      </c>
      <c r="Y1788" t="s">
        <v>3035</v>
      </c>
    </row>
    <row r="1789" spans="1:25" x14ac:dyDescent="0.25">
      <c r="A1789" t="str">
        <f>"1274887960"</f>
        <v>1274887960</v>
      </c>
      <c r="B1789" t="s">
        <v>1046</v>
      </c>
      <c r="C1789" t="s">
        <v>3808</v>
      </c>
      <c r="D1789" t="s">
        <v>10035</v>
      </c>
      <c r="E1789">
        <v>424039</v>
      </c>
      <c r="F1789" t="s">
        <v>1</v>
      </c>
      <c r="G1789" t="s">
        <v>2</v>
      </c>
      <c r="H1789" t="s">
        <v>10036</v>
      </c>
      <c r="J1789" t="s">
        <v>10037</v>
      </c>
      <c r="M1789" t="s">
        <v>10038</v>
      </c>
      <c r="P1789" t="s">
        <v>10039</v>
      </c>
      <c r="Y1789" t="s">
        <v>10040</v>
      </c>
    </row>
    <row r="1790" spans="1:25" x14ac:dyDescent="0.25">
      <c r="A1790" t="str">
        <f>"1274897565"</f>
        <v>1274897565</v>
      </c>
      <c r="B1790" t="s">
        <v>456</v>
      </c>
      <c r="C1790" t="s">
        <v>10045</v>
      </c>
      <c r="D1790" t="s">
        <v>10041</v>
      </c>
      <c r="E1790">
        <v>424033</v>
      </c>
      <c r="F1790" t="s">
        <v>1</v>
      </c>
      <c r="G1790" t="s">
        <v>2</v>
      </c>
      <c r="H1790" t="s">
        <v>4300</v>
      </c>
      <c r="I1790" t="s">
        <v>10042</v>
      </c>
      <c r="L1790" t="s">
        <v>10043</v>
      </c>
      <c r="M1790" t="s">
        <v>10044</v>
      </c>
      <c r="P1790" t="s">
        <v>330</v>
      </c>
      <c r="Y1790" t="s">
        <v>10046</v>
      </c>
    </row>
    <row r="1791" spans="1:25" x14ac:dyDescent="0.25">
      <c r="A1791" t="str">
        <f>"1275001459"</f>
        <v>1275001459</v>
      </c>
      <c r="B1791" t="s">
        <v>379</v>
      </c>
      <c r="C1791" t="s">
        <v>380</v>
      </c>
      <c r="D1791" t="s">
        <v>10047</v>
      </c>
      <c r="E1791">
        <v>424004</v>
      </c>
      <c r="F1791" t="s">
        <v>1</v>
      </c>
      <c r="G1791" t="s">
        <v>2</v>
      </c>
      <c r="H1791" t="s">
        <v>186</v>
      </c>
      <c r="I1791" t="s">
        <v>10048</v>
      </c>
      <c r="Y1791" t="s">
        <v>190</v>
      </c>
    </row>
    <row r="1792" spans="1:25" x14ac:dyDescent="0.25">
      <c r="A1792" t="str">
        <f>"1275005689"</f>
        <v>1275005689</v>
      </c>
      <c r="B1792" t="s">
        <v>1268</v>
      </c>
      <c r="C1792" t="s">
        <v>1269</v>
      </c>
      <c r="D1792" t="s">
        <v>10049</v>
      </c>
      <c r="E1792">
        <v>424003</v>
      </c>
      <c r="F1792" t="s">
        <v>1</v>
      </c>
      <c r="G1792" t="s">
        <v>2</v>
      </c>
      <c r="H1792" t="s">
        <v>10050</v>
      </c>
      <c r="I1792" t="s">
        <v>10051</v>
      </c>
      <c r="P1792" t="s">
        <v>10052</v>
      </c>
      <c r="Y1792" t="s">
        <v>10053</v>
      </c>
    </row>
    <row r="1793" spans="1:25" x14ac:dyDescent="0.25">
      <c r="A1793" t="str">
        <f>"1275085095"</f>
        <v>1275085095</v>
      </c>
      <c r="B1793" t="s">
        <v>233</v>
      </c>
      <c r="C1793" t="s">
        <v>1897</v>
      </c>
      <c r="D1793" t="s">
        <v>10054</v>
      </c>
      <c r="E1793">
        <v>424006</v>
      </c>
      <c r="F1793" t="s">
        <v>1</v>
      </c>
      <c r="G1793" t="s">
        <v>2</v>
      </c>
      <c r="H1793" t="s">
        <v>3436</v>
      </c>
      <c r="I1793" t="s">
        <v>5550</v>
      </c>
      <c r="P1793" t="s">
        <v>5552</v>
      </c>
      <c r="Y1793" t="s">
        <v>10055</v>
      </c>
    </row>
    <row r="1794" spans="1:25" x14ac:dyDescent="0.25">
      <c r="A1794" t="str">
        <f>"1275094695"</f>
        <v>1275094695</v>
      </c>
      <c r="B1794" t="s">
        <v>352</v>
      </c>
      <c r="C1794" t="s">
        <v>10059</v>
      </c>
      <c r="D1794" t="s">
        <v>10056</v>
      </c>
      <c r="E1794">
        <v>424038</v>
      </c>
      <c r="F1794" t="s">
        <v>1</v>
      </c>
      <c r="G1794" t="s">
        <v>2</v>
      </c>
      <c r="H1794" t="s">
        <v>386</v>
      </c>
      <c r="I1794" t="s">
        <v>10057</v>
      </c>
      <c r="M1794" t="s">
        <v>10058</v>
      </c>
      <c r="P1794" t="s">
        <v>20</v>
      </c>
      <c r="Y1794" t="s">
        <v>1723</v>
      </c>
    </row>
    <row r="1795" spans="1:25" x14ac:dyDescent="0.25">
      <c r="A1795" t="str">
        <f>"1275125199"</f>
        <v>1275125199</v>
      </c>
      <c r="B1795" t="s">
        <v>160</v>
      </c>
      <c r="C1795" t="s">
        <v>9976</v>
      </c>
      <c r="D1795" t="s">
        <v>10060</v>
      </c>
      <c r="E1795">
        <v>424019</v>
      </c>
      <c r="F1795" t="s">
        <v>1</v>
      </c>
      <c r="G1795" t="s">
        <v>2</v>
      </c>
      <c r="H1795" t="s">
        <v>10061</v>
      </c>
      <c r="I1795" t="s">
        <v>10062</v>
      </c>
      <c r="P1795" t="s">
        <v>10063</v>
      </c>
      <c r="Y1795" t="s">
        <v>10064</v>
      </c>
    </row>
    <row r="1796" spans="1:25" x14ac:dyDescent="0.25">
      <c r="A1796" t="str">
        <f>"1275217688"</f>
        <v>1275217688</v>
      </c>
      <c r="B1796" t="s">
        <v>243</v>
      </c>
      <c r="C1796" t="s">
        <v>2538</v>
      </c>
      <c r="D1796" t="s">
        <v>10065</v>
      </c>
      <c r="E1796">
        <v>424000</v>
      </c>
      <c r="F1796" t="s">
        <v>1</v>
      </c>
      <c r="G1796" t="s">
        <v>2</v>
      </c>
      <c r="H1796" t="s">
        <v>2547</v>
      </c>
      <c r="I1796" t="s">
        <v>10066</v>
      </c>
      <c r="L1796" t="s">
        <v>10067</v>
      </c>
      <c r="M1796" t="s">
        <v>10068</v>
      </c>
      <c r="P1796" t="s">
        <v>27</v>
      </c>
      <c r="Q1796" t="s">
        <v>10069</v>
      </c>
      <c r="S1796" t="s">
        <v>10070</v>
      </c>
      <c r="T1796" t="s">
        <v>10071</v>
      </c>
      <c r="Y1796" t="s">
        <v>6500</v>
      </c>
    </row>
    <row r="1797" spans="1:25" x14ac:dyDescent="0.25">
      <c r="A1797" t="str">
        <f>"1275483140"</f>
        <v>1275483140</v>
      </c>
      <c r="B1797" t="s">
        <v>123</v>
      </c>
      <c r="C1797" t="s">
        <v>424</v>
      </c>
      <c r="D1797" t="s">
        <v>10072</v>
      </c>
      <c r="E1797">
        <v>424003</v>
      </c>
      <c r="F1797" t="s">
        <v>1</v>
      </c>
      <c r="G1797" t="s">
        <v>2</v>
      </c>
      <c r="H1797" t="s">
        <v>10073</v>
      </c>
      <c r="I1797" t="s">
        <v>10074</v>
      </c>
      <c r="L1797" t="s">
        <v>10075</v>
      </c>
      <c r="P1797" t="s">
        <v>6785</v>
      </c>
      <c r="Y1797" t="s">
        <v>10076</v>
      </c>
    </row>
    <row r="1798" spans="1:25" x14ac:dyDescent="0.25">
      <c r="A1798" t="str">
        <f>"1275490272"</f>
        <v>1275490272</v>
      </c>
      <c r="B1798" t="s">
        <v>18</v>
      </c>
      <c r="C1798" t="s">
        <v>143</v>
      </c>
      <c r="D1798" t="s">
        <v>10077</v>
      </c>
      <c r="F1798" t="s">
        <v>1</v>
      </c>
      <c r="G1798" t="s">
        <v>2</v>
      </c>
      <c r="H1798" t="s">
        <v>4897</v>
      </c>
      <c r="I1798" t="s">
        <v>10078</v>
      </c>
      <c r="P1798" t="s">
        <v>20</v>
      </c>
      <c r="Y1798" t="s">
        <v>4900</v>
      </c>
    </row>
    <row r="1799" spans="1:25" x14ac:dyDescent="0.25">
      <c r="A1799" t="str">
        <f>"1275642954"</f>
        <v>1275642954</v>
      </c>
      <c r="B1799" t="s">
        <v>703</v>
      </c>
      <c r="C1799" t="s">
        <v>2129</v>
      </c>
      <c r="D1799" t="s">
        <v>10079</v>
      </c>
      <c r="E1799">
        <v>424004</v>
      </c>
      <c r="F1799" t="s">
        <v>1</v>
      </c>
      <c r="G1799" t="s">
        <v>2</v>
      </c>
      <c r="H1799" t="s">
        <v>229</v>
      </c>
      <c r="I1799" t="s">
        <v>10080</v>
      </c>
      <c r="Y1799" t="s">
        <v>237</v>
      </c>
    </row>
    <row r="1800" spans="1:25" x14ac:dyDescent="0.25">
      <c r="A1800" t="str">
        <f>"1275838160"</f>
        <v>1275838160</v>
      </c>
      <c r="B1800" t="s">
        <v>430</v>
      </c>
      <c r="C1800" t="s">
        <v>940</v>
      </c>
      <c r="D1800" t="s">
        <v>10081</v>
      </c>
      <c r="E1800">
        <v>424003</v>
      </c>
      <c r="F1800" t="s">
        <v>1</v>
      </c>
      <c r="G1800" t="s">
        <v>2</v>
      </c>
      <c r="H1800" t="s">
        <v>10082</v>
      </c>
      <c r="P1800" t="s">
        <v>10083</v>
      </c>
      <c r="Y1800" t="s">
        <v>10084</v>
      </c>
    </row>
    <row r="1801" spans="1:25" x14ac:dyDescent="0.25">
      <c r="A1801" t="str">
        <f>"1275884689"</f>
        <v>1275884689</v>
      </c>
      <c r="B1801" t="s">
        <v>703</v>
      </c>
      <c r="C1801" t="s">
        <v>10089</v>
      </c>
      <c r="D1801" t="s">
        <v>10085</v>
      </c>
      <c r="E1801">
        <v>424031</v>
      </c>
      <c r="F1801" t="s">
        <v>1</v>
      </c>
      <c r="G1801" t="s">
        <v>2</v>
      </c>
      <c r="H1801" t="s">
        <v>1524</v>
      </c>
      <c r="I1801" t="s">
        <v>10086</v>
      </c>
      <c r="J1801" t="s">
        <v>10087</v>
      </c>
      <c r="L1801" t="s">
        <v>10088</v>
      </c>
      <c r="P1801" t="s">
        <v>27</v>
      </c>
      <c r="Y1801" t="s">
        <v>5358</v>
      </c>
    </row>
    <row r="1802" spans="1:25" x14ac:dyDescent="0.25">
      <c r="A1802" t="str">
        <f>"1275904363"</f>
        <v>1275904363</v>
      </c>
      <c r="B1802" t="s">
        <v>687</v>
      </c>
      <c r="C1802" t="s">
        <v>9205</v>
      </c>
      <c r="D1802" t="s">
        <v>10090</v>
      </c>
      <c r="E1802">
        <v>424007</v>
      </c>
      <c r="F1802" t="s">
        <v>1</v>
      </c>
      <c r="G1802" t="s">
        <v>2</v>
      </c>
      <c r="H1802" t="s">
        <v>10091</v>
      </c>
      <c r="I1802" t="s">
        <v>10092</v>
      </c>
      <c r="M1802" t="s">
        <v>10093</v>
      </c>
      <c r="P1802" t="s">
        <v>20</v>
      </c>
      <c r="Y1802" t="s">
        <v>10094</v>
      </c>
    </row>
    <row r="1803" spans="1:25" x14ac:dyDescent="0.25">
      <c r="A1803" t="str">
        <f>"1275926312"</f>
        <v>1275926312</v>
      </c>
      <c r="B1803" t="s">
        <v>25</v>
      </c>
      <c r="C1803" t="s">
        <v>59</v>
      </c>
      <c r="D1803" t="s">
        <v>10095</v>
      </c>
      <c r="E1803">
        <v>424031</v>
      </c>
      <c r="F1803" t="s">
        <v>1</v>
      </c>
      <c r="G1803" t="s">
        <v>2</v>
      </c>
      <c r="H1803" t="s">
        <v>3962</v>
      </c>
      <c r="I1803" t="s">
        <v>10096</v>
      </c>
      <c r="P1803" t="s">
        <v>390</v>
      </c>
      <c r="Y1803" t="s">
        <v>9722</v>
      </c>
    </row>
    <row r="1804" spans="1:25" x14ac:dyDescent="0.25">
      <c r="A1804" t="str">
        <f>"1276087437"</f>
        <v>1276087437</v>
      </c>
      <c r="B1804" t="s">
        <v>3094</v>
      </c>
      <c r="C1804" t="s">
        <v>3095</v>
      </c>
      <c r="D1804" t="s">
        <v>10097</v>
      </c>
      <c r="E1804">
        <v>424033</v>
      </c>
      <c r="F1804" t="s">
        <v>1</v>
      </c>
      <c r="G1804" t="s">
        <v>2</v>
      </c>
      <c r="H1804" t="s">
        <v>10098</v>
      </c>
      <c r="I1804" t="s">
        <v>10099</v>
      </c>
      <c r="L1804" t="s">
        <v>5963</v>
      </c>
      <c r="M1804" t="s">
        <v>10100</v>
      </c>
      <c r="P1804" t="s">
        <v>1638</v>
      </c>
      <c r="Y1804" t="s">
        <v>10101</v>
      </c>
    </row>
    <row r="1805" spans="1:25" x14ac:dyDescent="0.25">
      <c r="A1805" t="str">
        <f>"1276172679"</f>
        <v>1276172679</v>
      </c>
      <c r="B1805" t="s">
        <v>379</v>
      </c>
      <c r="C1805" t="s">
        <v>380</v>
      </c>
      <c r="D1805" t="s">
        <v>10102</v>
      </c>
      <c r="E1805">
        <v>424000</v>
      </c>
      <c r="F1805" t="s">
        <v>1</v>
      </c>
      <c r="G1805" t="s">
        <v>2</v>
      </c>
      <c r="H1805" t="s">
        <v>86</v>
      </c>
      <c r="I1805" t="s">
        <v>10103</v>
      </c>
      <c r="L1805" t="s">
        <v>10104</v>
      </c>
      <c r="M1805" t="s">
        <v>10105</v>
      </c>
      <c r="P1805" t="s">
        <v>2738</v>
      </c>
      <c r="S1805" t="s">
        <v>10106</v>
      </c>
      <c r="T1805" t="s">
        <v>10107</v>
      </c>
      <c r="U1805" t="s">
        <v>10108</v>
      </c>
      <c r="Y1805" t="s">
        <v>10109</v>
      </c>
    </row>
    <row r="1806" spans="1:25" x14ac:dyDescent="0.25">
      <c r="A1806" t="str">
        <f>"1276180504"</f>
        <v>1276180504</v>
      </c>
      <c r="B1806" t="s">
        <v>18</v>
      </c>
      <c r="C1806" t="s">
        <v>143</v>
      </c>
      <c r="D1806" t="s">
        <v>10110</v>
      </c>
      <c r="E1806">
        <v>424006</v>
      </c>
      <c r="F1806" t="s">
        <v>1</v>
      </c>
      <c r="G1806" t="s">
        <v>2</v>
      </c>
      <c r="H1806" t="s">
        <v>10111</v>
      </c>
      <c r="I1806" t="s">
        <v>10112</v>
      </c>
      <c r="P1806" t="s">
        <v>1035</v>
      </c>
      <c r="Y1806" t="s">
        <v>10113</v>
      </c>
    </row>
    <row r="1807" spans="1:25" x14ac:dyDescent="0.25">
      <c r="A1807" t="str">
        <f>"1276183244"</f>
        <v>1276183244</v>
      </c>
      <c r="B1807" t="s">
        <v>1053</v>
      </c>
      <c r="C1807" t="s">
        <v>10116</v>
      </c>
      <c r="D1807" t="s">
        <v>10114</v>
      </c>
      <c r="E1807">
        <v>424006</v>
      </c>
      <c r="F1807" t="s">
        <v>1</v>
      </c>
      <c r="G1807" t="s">
        <v>2</v>
      </c>
      <c r="H1807" t="s">
        <v>2966</v>
      </c>
      <c r="J1807" t="s">
        <v>10115</v>
      </c>
      <c r="P1807" t="s">
        <v>2438</v>
      </c>
      <c r="Y1807" t="s">
        <v>2970</v>
      </c>
    </row>
    <row r="1808" spans="1:25" x14ac:dyDescent="0.25">
      <c r="A1808" t="str">
        <f>"1276312350"</f>
        <v>1276312350</v>
      </c>
      <c r="B1808" t="s">
        <v>738</v>
      </c>
      <c r="C1808" t="s">
        <v>10123</v>
      </c>
      <c r="D1808" t="s">
        <v>10117</v>
      </c>
      <c r="E1808">
        <v>424008</v>
      </c>
      <c r="F1808" t="s">
        <v>1</v>
      </c>
      <c r="G1808" t="s">
        <v>2</v>
      </c>
      <c r="H1808" t="s">
        <v>10118</v>
      </c>
      <c r="I1808" t="s">
        <v>10119</v>
      </c>
      <c r="J1808" t="s">
        <v>10120</v>
      </c>
      <c r="L1808" t="s">
        <v>10121</v>
      </c>
      <c r="M1808" t="s">
        <v>10122</v>
      </c>
      <c r="P1808" t="s">
        <v>10124</v>
      </c>
      <c r="Q1808" t="s">
        <v>10125</v>
      </c>
      <c r="Y1808" t="s">
        <v>10126</v>
      </c>
    </row>
    <row r="1809" spans="1:25" x14ac:dyDescent="0.25">
      <c r="A1809" t="str">
        <f>"1276355012"</f>
        <v>1276355012</v>
      </c>
      <c r="B1809" t="s">
        <v>1552</v>
      </c>
      <c r="C1809" t="s">
        <v>1962</v>
      </c>
      <c r="D1809" t="s">
        <v>10127</v>
      </c>
      <c r="E1809">
        <v>424008</v>
      </c>
      <c r="F1809" t="s">
        <v>1</v>
      </c>
      <c r="G1809" t="s">
        <v>2</v>
      </c>
      <c r="H1809" t="s">
        <v>10128</v>
      </c>
      <c r="I1809" t="s">
        <v>10129</v>
      </c>
      <c r="J1809" t="s">
        <v>10130</v>
      </c>
      <c r="L1809" t="s">
        <v>10131</v>
      </c>
      <c r="M1809" t="s">
        <v>10132</v>
      </c>
      <c r="P1809" t="s">
        <v>10133</v>
      </c>
      <c r="Y1809" t="s">
        <v>10134</v>
      </c>
    </row>
    <row r="1810" spans="1:25" x14ac:dyDescent="0.25">
      <c r="A1810" t="str">
        <f>"1276359466"</f>
        <v>1276359466</v>
      </c>
      <c r="B1810" t="s">
        <v>430</v>
      </c>
      <c r="C1810" t="s">
        <v>10138</v>
      </c>
      <c r="D1810" t="s">
        <v>10135</v>
      </c>
      <c r="E1810">
        <v>424036</v>
      </c>
      <c r="F1810" t="s">
        <v>1</v>
      </c>
      <c r="G1810" t="s">
        <v>2</v>
      </c>
      <c r="H1810" t="s">
        <v>5294</v>
      </c>
      <c r="I1810" t="s">
        <v>10136</v>
      </c>
      <c r="J1810" t="s">
        <v>10137</v>
      </c>
      <c r="P1810" t="s">
        <v>60</v>
      </c>
      <c r="Y1810" t="s">
        <v>10139</v>
      </c>
    </row>
    <row r="1811" spans="1:25" x14ac:dyDescent="0.25">
      <c r="A1811" t="str">
        <f>"1276437124"</f>
        <v>1276437124</v>
      </c>
      <c r="B1811" t="s">
        <v>519</v>
      </c>
      <c r="C1811" t="s">
        <v>6385</v>
      </c>
      <c r="D1811" t="s">
        <v>10140</v>
      </c>
      <c r="E1811">
        <v>424031</v>
      </c>
      <c r="F1811" t="s">
        <v>1</v>
      </c>
      <c r="G1811" t="s">
        <v>2</v>
      </c>
      <c r="H1811" t="s">
        <v>10141</v>
      </c>
      <c r="I1811" t="s">
        <v>10142</v>
      </c>
      <c r="M1811" t="s">
        <v>10143</v>
      </c>
      <c r="P1811" t="s">
        <v>6400</v>
      </c>
      <c r="Y1811" t="s">
        <v>10144</v>
      </c>
    </row>
    <row r="1812" spans="1:25" x14ac:dyDescent="0.25">
      <c r="A1812" t="str">
        <f>"1276511277"</f>
        <v>1276511277</v>
      </c>
      <c r="B1812" t="s">
        <v>151</v>
      </c>
      <c r="C1812" t="s">
        <v>151</v>
      </c>
      <c r="D1812" t="s">
        <v>10145</v>
      </c>
      <c r="E1812">
        <v>424002</v>
      </c>
      <c r="F1812" t="s">
        <v>1</v>
      </c>
      <c r="G1812" t="s">
        <v>2</v>
      </c>
      <c r="H1812" t="s">
        <v>3611</v>
      </c>
      <c r="I1812" t="s">
        <v>10146</v>
      </c>
      <c r="P1812" t="s">
        <v>2951</v>
      </c>
      <c r="Y1812" t="s">
        <v>8388</v>
      </c>
    </row>
    <row r="1813" spans="1:25" x14ac:dyDescent="0.25">
      <c r="A1813" t="str">
        <f>"1276539793"</f>
        <v>1276539793</v>
      </c>
      <c r="B1813" t="s">
        <v>290</v>
      </c>
      <c r="C1813" t="s">
        <v>10149</v>
      </c>
      <c r="D1813" t="s">
        <v>10147</v>
      </c>
      <c r="E1813">
        <v>424031</v>
      </c>
      <c r="F1813" t="s">
        <v>1</v>
      </c>
      <c r="G1813" t="s">
        <v>2</v>
      </c>
      <c r="H1813" t="s">
        <v>5237</v>
      </c>
      <c r="I1813" t="s">
        <v>10148</v>
      </c>
      <c r="P1813" t="s">
        <v>10150</v>
      </c>
      <c r="Y1813" t="s">
        <v>10151</v>
      </c>
    </row>
    <row r="1814" spans="1:25" x14ac:dyDescent="0.25">
      <c r="A1814" t="str">
        <f>"1276598851"</f>
        <v>1276598851</v>
      </c>
      <c r="B1814" t="s">
        <v>96</v>
      </c>
      <c r="C1814" t="s">
        <v>507</v>
      </c>
      <c r="D1814" t="s">
        <v>10152</v>
      </c>
      <c r="E1814">
        <v>424039</v>
      </c>
      <c r="F1814" t="s">
        <v>1</v>
      </c>
      <c r="G1814" t="s">
        <v>2</v>
      </c>
      <c r="H1814" t="s">
        <v>6206</v>
      </c>
      <c r="I1814" t="s">
        <v>10153</v>
      </c>
      <c r="P1814" t="s">
        <v>7053</v>
      </c>
      <c r="Y1814" t="s">
        <v>10154</v>
      </c>
    </row>
    <row r="1815" spans="1:25" x14ac:dyDescent="0.25">
      <c r="A1815" t="str">
        <f>"1276636596"</f>
        <v>1276636596</v>
      </c>
      <c r="B1815" t="s">
        <v>160</v>
      </c>
      <c r="C1815" t="s">
        <v>9976</v>
      </c>
      <c r="D1815" t="s">
        <v>10155</v>
      </c>
      <c r="E1815">
        <v>424038</v>
      </c>
      <c r="F1815" t="s">
        <v>1</v>
      </c>
      <c r="G1815" t="s">
        <v>2</v>
      </c>
      <c r="H1815" t="s">
        <v>10156</v>
      </c>
      <c r="J1815" t="s">
        <v>10157</v>
      </c>
      <c r="P1815" t="s">
        <v>280</v>
      </c>
      <c r="Y1815" t="s">
        <v>10158</v>
      </c>
    </row>
    <row r="1816" spans="1:25" x14ac:dyDescent="0.25">
      <c r="A1816" t="str">
        <f>"1276677216"</f>
        <v>1276677216</v>
      </c>
      <c r="B1816" t="s">
        <v>2104</v>
      </c>
      <c r="C1816" t="s">
        <v>10160</v>
      </c>
      <c r="D1816" t="s">
        <v>3329</v>
      </c>
      <c r="E1816">
        <v>424036</v>
      </c>
      <c r="F1816" t="s">
        <v>1</v>
      </c>
      <c r="G1816" t="s">
        <v>2</v>
      </c>
      <c r="H1816" t="s">
        <v>7812</v>
      </c>
      <c r="I1816" t="s">
        <v>10159</v>
      </c>
      <c r="P1816" t="s">
        <v>2738</v>
      </c>
      <c r="Y1816" t="s">
        <v>10161</v>
      </c>
    </row>
    <row r="1817" spans="1:25" x14ac:dyDescent="0.25">
      <c r="A1817" t="str">
        <f>"1276700462"</f>
        <v>1276700462</v>
      </c>
      <c r="B1817" t="s">
        <v>80</v>
      </c>
      <c r="C1817" t="s">
        <v>8596</v>
      </c>
      <c r="D1817" t="s">
        <v>10162</v>
      </c>
      <c r="E1817">
        <v>424000</v>
      </c>
      <c r="F1817" t="s">
        <v>1</v>
      </c>
      <c r="G1817" t="s">
        <v>2</v>
      </c>
      <c r="H1817" t="s">
        <v>128</v>
      </c>
      <c r="J1817" t="s">
        <v>10163</v>
      </c>
      <c r="P1817" t="s">
        <v>2738</v>
      </c>
      <c r="Y1817" t="s">
        <v>10164</v>
      </c>
    </row>
    <row r="1818" spans="1:25" x14ac:dyDescent="0.25">
      <c r="A1818" t="str">
        <f>"1276898094"</f>
        <v>1276898094</v>
      </c>
      <c r="B1818" t="s">
        <v>2846</v>
      </c>
      <c r="C1818" t="s">
        <v>10170</v>
      </c>
      <c r="D1818" t="s">
        <v>10165</v>
      </c>
      <c r="E1818">
        <v>424031</v>
      </c>
      <c r="F1818" t="s">
        <v>1</v>
      </c>
      <c r="G1818" t="s">
        <v>2</v>
      </c>
      <c r="H1818" t="s">
        <v>10166</v>
      </c>
      <c r="I1818" t="s">
        <v>10167</v>
      </c>
      <c r="L1818" t="s">
        <v>10168</v>
      </c>
      <c r="M1818" t="s">
        <v>10169</v>
      </c>
      <c r="P1818" t="s">
        <v>5829</v>
      </c>
      <c r="Q1818" t="s">
        <v>10171</v>
      </c>
      <c r="R1818" t="s">
        <v>10172</v>
      </c>
      <c r="T1818" t="s">
        <v>10173</v>
      </c>
      <c r="V1818" t="s">
        <v>10174</v>
      </c>
      <c r="Y1818" t="s">
        <v>10175</v>
      </c>
    </row>
    <row r="1819" spans="1:25" x14ac:dyDescent="0.25">
      <c r="A1819" t="str">
        <f>"1276976026"</f>
        <v>1276976026</v>
      </c>
      <c r="B1819" t="s">
        <v>1262</v>
      </c>
      <c r="C1819" t="s">
        <v>1263</v>
      </c>
      <c r="D1819" t="s">
        <v>10176</v>
      </c>
      <c r="E1819">
        <v>424016</v>
      </c>
      <c r="F1819" t="s">
        <v>1</v>
      </c>
      <c r="G1819" t="s">
        <v>2</v>
      </c>
      <c r="H1819" t="s">
        <v>3981</v>
      </c>
      <c r="I1819" t="s">
        <v>10177</v>
      </c>
      <c r="J1819" t="s">
        <v>10178</v>
      </c>
      <c r="K1819" t="s">
        <v>10177</v>
      </c>
      <c r="P1819" t="s">
        <v>27</v>
      </c>
      <c r="Y1819" t="s">
        <v>3982</v>
      </c>
    </row>
    <row r="1820" spans="1:25" x14ac:dyDescent="0.25">
      <c r="A1820" t="str">
        <f>"1276983479"</f>
        <v>1276983479</v>
      </c>
      <c r="B1820" t="s">
        <v>96</v>
      </c>
      <c r="C1820" t="s">
        <v>7071</v>
      </c>
      <c r="D1820" t="s">
        <v>10179</v>
      </c>
      <c r="E1820">
        <v>424918</v>
      </c>
      <c r="F1820" t="s">
        <v>1</v>
      </c>
      <c r="G1820" t="s">
        <v>2</v>
      </c>
      <c r="H1820" t="s">
        <v>629</v>
      </c>
      <c r="P1820" t="s">
        <v>630</v>
      </c>
      <c r="Y1820" t="s">
        <v>1744</v>
      </c>
    </row>
    <row r="1821" spans="1:25" x14ac:dyDescent="0.25">
      <c r="A1821" t="str">
        <f>"1277029576"</f>
        <v>1277029576</v>
      </c>
      <c r="B1821" t="s">
        <v>1053</v>
      </c>
      <c r="C1821" t="s">
        <v>1927</v>
      </c>
      <c r="D1821" t="s">
        <v>5865</v>
      </c>
      <c r="E1821">
        <v>424007</v>
      </c>
      <c r="F1821" t="s">
        <v>1</v>
      </c>
      <c r="G1821" t="s">
        <v>2</v>
      </c>
      <c r="H1821" t="s">
        <v>220</v>
      </c>
      <c r="I1821" t="s">
        <v>10180</v>
      </c>
      <c r="P1821" t="s">
        <v>20</v>
      </c>
      <c r="Y1821" t="s">
        <v>227</v>
      </c>
    </row>
    <row r="1822" spans="1:25" x14ac:dyDescent="0.25">
      <c r="A1822" t="str">
        <f>"1277030714"</f>
        <v>1277030714</v>
      </c>
      <c r="B1822" t="s">
        <v>1352</v>
      </c>
      <c r="C1822" t="s">
        <v>10183</v>
      </c>
      <c r="D1822" t="s">
        <v>10181</v>
      </c>
      <c r="E1822">
        <v>424033</v>
      </c>
      <c r="F1822" t="s">
        <v>1</v>
      </c>
      <c r="G1822" t="s">
        <v>2</v>
      </c>
      <c r="H1822" t="s">
        <v>4300</v>
      </c>
      <c r="I1822" t="s">
        <v>10182</v>
      </c>
      <c r="K1822" t="s">
        <v>10182</v>
      </c>
      <c r="P1822" t="s">
        <v>10184</v>
      </c>
      <c r="Y1822" t="s">
        <v>10046</v>
      </c>
    </row>
    <row r="1823" spans="1:25" x14ac:dyDescent="0.25">
      <c r="A1823" t="str">
        <f>"1277189445"</f>
        <v>1277189445</v>
      </c>
      <c r="B1823" t="s">
        <v>18</v>
      </c>
      <c r="C1823" t="s">
        <v>10187</v>
      </c>
      <c r="D1823" t="s">
        <v>10185</v>
      </c>
      <c r="E1823">
        <v>424007</v>
      </c>
      <c r="F1823" t="s">
        <v>1</v>
      </c>
      <c r="G1823" t="s">
        <v>2</v>
      </c>
      <c r="H1823" t="s">
        <v>5647</v>
      </c>
      <c r="M1823" t="s">
        <v>10186</v>
      </c>
      <c r="P1823" t="s">
        <v>10188</v>
      </c>
      <c r="Y1823" t="s">
        <v>10189</v>
      </c>
    </row>
    <row r="1824" spans="1:25" x14ac:dyDescent="0.25">
      <c r="A1824" t="str">
        <f>"1277198835"</f>
        <v>1277198835</v>
      </c>
      <c r="B1824" t="s">
        <v>352</v>
      </c>
      <c r="C1824" t="s">
        <v>10193</v>
      </c>
      <c r="D1824" t="s">
        <v>10190</v>
      </c>
      <c r="E1824">
        <v>424028</v>
      </c>
      <c r="F1824" t="s">
        <v>1</v>
      </c>
      <c r="G1824" t="s">
        <v>2</v>
      </c>
      <c r="H1824" t="s">
        <v>10191</v>
      </c>
      <c r="J1824" t="s">
        <v>10192</v>
      </c>
      <c r="P1824" t="s">
        <v>6400</v>
      </c>
      <c r="Y1824" t="s">
        <v>10194</v>
      </c>
    </row>
    <row r="1825" spans="1:25" x14ac:dyDescent="0.25">
      <c r="A1825" t="str">
        <f>"1277330791"</f>
        <v>1277330791</v>
      </c>
      <c r="B1825" t="s">
        <v>624</v>
      </c>
      <c r="C1825" t="s">
        <v>1637</v>
      </c>
      <c r="D1825" t="s">
        <v>10195</v>
      </c>
      <c r="F1825" t="s">
        <v>1</v>
      </c>
      <c r="G1825" t="s">
        <v>2</v>
      </c>
      <c r="H1825" t="s">
        <v>1508</v>
      </c>
      <c r="P1825" t="s">
        <v>280</v>
      </c>
      <c r="Y1825" t="s">
        <v>10196</v>
      </c>
    </row>
    <row r="1826" spans="1:25" x14ac:dyDescent="0.25">
      <c r="A1826" t="str">
        <f>"1277333228"</f>
        <v>1277333228</v>
      </c>
      <c r="B1826" t="s">
        <v>1053</v>
      </c>
      <c r="C1826" t="s">
        <v>10200</v>
      </c>
      <c r="D1826" t="s">
        <v>10197</v>
      </c>
      <c r="E1826">
        <v>424007</v>
      </c>
      <c r="F1826" t="s">
        <v>1</v>
      </c>
      <c r="G1826" t="s">
        <v>2</v>
      </c>
      <c r="H1826" t="s">
        <v>10198</v>
      </c>
      <c r="I1826" t="s">
        <v>10199</v>
      </c>
      <c r="P1826" t="s">
        <v>10201</v>
      </c>
      <c r="Y1826" t="s">
        <v>10202</v>
      </c>
    </row>
    <row r="1827" spans="1:25" x14ac:dyDescent="0.25">
      <c r="A1827" t="str">
        <f>"1277375418"</f>
        <v>1277375418</v>
      </c>
      <c r="B1827" t="s">
        <v>319</v>
      </c>
      <c r="C1827" t="s">
        <v>320</v>
      </c>
      <c r="D1827" t="s">
        <v>10203</v>
      </c>
      <c r="E1827">
        <v>424030</v>
      </c>
      <c r="F1827" t="s">
        <v>1</v>
      </c>
      <c r="G1827" t="s">
        <v>2</v>
      </c>
      <c r="H1827" t="s">
        <v>10204</v>
      </c>
      <c r="I1827" t="s">
        <v>10205</v>
      </c>
      <c r="K1827" t="s">
        <v>10205</v>
      </c>
      <c r="P1827" t="s">
        <v>2561</v>
      </c>
      <c r="Y1827" t="s">
        <v>10206</v>
      </c>
    </row>
    <row r="1828" spans="1:25" x14ac:dyDescent="0.25">
      <c r="A1828" t="str">
        <f>"1277402871"</f>
        <v>1277402871</v>
      </c>
      <c r="B1828" t="s">
        <v>738</v>
      </c>
      <c r="C1828" t="s">
        <v>10211</v>
      </c>
      <c r="D1828" t="s">
        <v>10207</v>
      </c>
      <c r="E1828">
        <v>424032</v>
      </c>
      <c r="F1828" t="s">
        <v>1</v>
      </c>
      <c r="G1828" t="s">
        <v>2</v>
      </c>
      <c r="H1828" t="s">
        <v>4504</v>
      </c>
      <c r="I1828" t="s">
        <v>10208</v>
      </c>
      <c r="L1828" t="s">
        <v>10209</v>
      </c>
      <c r="M1828" t="s">
        <v>10210</v>
      </c>
      <c r="P1828" t="s">
        <v>10212</v>
      </c>
      <c r="Q1828" t="s">
        <v>10213</v>
      </c>
      <c r="Y1828" t="s">
        <v>10214</v>
      </c>
    </row>
    <row r="1829" spans="1:25" x14ac:dyDescent="0.25">
      <c r="A1829" t="str">
        <f>"1277405596"</f>
        <v>1277405596</v>
      </c>
      <c r="B1829" t="s">
        <v>18</v>
      </c>
      <c r="C1829" t="s">
        <v>959</v>
      </c>
      <c r="D1829" t="s">
        <v>10215</v>
      </c>
      <c r="E1829">
        <v>424006</v>
      </c>
      <c r="F1829" t="s">
        <v>1</v>
      </c>
      <c r="G1829" t="s">
        <v>2</v>
      </c>
      <c r="H1829" t="s">
        <v>10216</v>
      </c>
      <c r="I1829" t="s">
        <v>10217</v>
      </c>
      <c r="L1829" t="s">
        <v>10218</v>
      </c>
      <c r="M1829" t="s">
        <v>10219</v>
      </c>
      <c r="P1829" t="s">
        <v>390</v>
      </c>
      <c r="Y1829" t="s">
        <v>10220</v>
      </c>
    </row>
    <row r="1830" spans="1:25" x14ac:dyDescent="0.25">
      <c r="A1830" t="str">
        <f>"1277485022"</f>
        <v>1277485022</v>
      </c>
      <c r="B1830" t="s">
        <v>1758</v>
      </c>
      <c r="C1830" t="s">
        <v>10224</v>
      </c>
      <c r="D1830" t="s">
        <v>10221</v>
      </c>
      <c r="E1830">
        <v>424019</v>
      </c>
      <c r="F1830" t="s">
        <v>1</v>
      </c>
      <c r="G1830" t="s">
        <v>2</v>
      </c>
      <c r="H1830" t="s">
        <v>1460</v>
      </c>
      <c r="J1830" t="s">
        <v>10222</v>
      </c>
      <c r="M1830" t="s">
        <v>10223</v>
      </c>
      <c r="P1830" t="s">
        <v>10225</v>
      </c>
      <c r="Y1830" t="s">
        <v>10226</v>
      </c>
    </row>
    <row r="1831" spans="1:25" x14ac:dyDescent="0.25">
      <c r="A1831" t="str">
        <f>"1277493628"</f>
        <v>1277493628</v>
      </c>
      <c r="B1831" t="s">
        <v>352</v>
      </c>
      <c r="C1831" t="s">
        <v>353</v>
      </c>
      <c r="D1831" t="s">
        <v>5269</v>
      </c>
      <c r="E1831">
        <v>424004</v>
      </c>
      <c r="F1831" t="s">
        <v>1</v>
      </c>
      <c r="G1831" t="s">
        <v>2</v>
      </c>
      <c r="H1831" t="s">
        <v>186</v>
      </c>
      <c r="I1831" t="s">
        <v>10227</v>
      </c>
      <c r="P1831" t="s">
        <v>280</v>
      </c>
      <c r="Y1831" t="s">
        <v>190</v>
      </c>
    </row>
    <row r="1832" spans="1:25" x14ac:dyDescent="0.25">
      <c r="A1832" t="str">
        <f>"1277525756"</f>
        <v>1277525756</v>
      </c>
      <c r="B1832" t="s">
        <v>738</v>
      </c>
      <c r="C1832" t="s">
        <v>10230</v>
      </c>
      <c r="D1832" t="s">
        <v>10228</v>
      </c>
      <c r="E1832">
        <v>424007</v>
      </c>
      <c r="F1832" t="s">
        <v>1</v>
      </c>
      <c r="G1832" t="s">
        <v>2</v>
      </c>
      <c r="H1832" t="s">
        <v>2168</v>
      </c>
      <c r="J1832" t="s">
        <v>10229</v>
      </c>
      <c r="P1832" t="s">
        <v>2580</v>
      </c>
      <c r="Y1832" t="s">
        <v>2172</v>
      </c>
    </row>
    <row r="1833" spans="1:25" x14ac:dyDescent="0.25">
      <c r="A1833" t="str">
        <f>"1277554201"</f>
        <v>1277554201</v>
      </c>
      <c r="B1833" t="s">
        <v>123</v>
      </c>
      <c r="C1833" t="s">
        <v>10232</v>
      </c>
      <c r="D1833" t="s">
        <v>10231</v>
      </c>
      <c r="E1833">
        <v>424003</v>
      </c>
      <c r="F1833" t="s">
        <v>1</v>
      </c>
      <c r="G1833" t="s">
        <v>2</v>
      </c>
      <c r="H1833" t="s">
        <v>6194</v>
      </c>
      <c r="P1833" t="s">
        <v>1027</v>
      </c>
      <c r="Y1833" t="s">
        <v>10233</v>
      </c>
    </row>
    <row r="1834" spans="1:25" x14ac:dyDescent="0.25">
      <c r="A1834" t="str">
        <f>"1277607710"</f>
        <v>1277607710</v>
      </c>
      <c r="B1834" t="s">
        <v>18</v>
      </c>
      <c r="C1834" t="s">
        <v>5273</v>
      </c>
      <c r="D1834" t="s">
        <v>10234</v>
      </c>
      <c r="E1834">
        <v>424016</v>
      </c>
      <c r="F1834" t="s">
        <v>1</v>
      </c>
      <c r="G1834" t="s">
        <v>2</v>
      </c>
      <c r="H1834" t="s">
        <v>10235</v>
      </c>
      <c r="I1834" t="s">
        <v>10236</v>
      </c>
      <c r="K1834" t="s">
        <v>10237</v>
      </c>
      <c r="L1834" t="s">
        <v>597</v>
      </c>
      <c r="M1834" t="s">
        <v>10238</v>
      </c>
      <c r="P1834" t="s">
        <v>10239</v>
      </c>
      <c r="Y1834" t="s">
        <v>10240</v>
      </c>
    </row>
    <row r="1835" spans="1:25" x14ac:dyDescent="0.25">
      <c r="A1835" t="str">
        <f>"1277679556"</f>
        <v>1277679556</v>
      </c>
      <c r="B1835" t="s">
        <v>18</v>
      </c>
      <c r="C1835" t="s">
        <v>10244</v>
      </c>
      <c r="D1835" t="s">
        <v>811</v>
      </c>
      <c r="E1835">
        <v>424004</v>
      </c>
      <c r="F1835" t="s">
        <v>1</v>
      </c>
      <c r="G1835" t="s">
        <v>2</v>
      </c>
      <c r="H1835" t="s">
        <v>10241</v>
      </c>
      <c r="I1835" t="s">
        <v>10242</v>
      </c>
      <c r="J1835" t="s">
        <v>10243</v>
      </c>
      <c r="P1835" t="s">
        <v>5483</v>
      </c>
      <c r="Y1835" t="s">
        <v>10245</v>
      </c>
    </row>
    <row r="1836" spans="1:25" x14ac:dyDescent="0.25">
      <c r="A1836" t="str">
        <f>"1277682592"</f>
        <v>1277682592</v>
      </c>
      <c r="B1836" t="s">
        <v>123</v>
      </c>
      <c r="C1836" t="s">
        <v>10249</v>
      </c>
      <c r="D1836" t="s">
        <v>10246</v>
      </c>
      <c r="E1836">
        <v>424006</v>
      </c>
      <c r="F1836" t="s">
        <v>1</v>
      </c>
      <c r="G1836" t="s">
        <v>2</v>
      </c>
      <c r="H1836" t="s">
        <v>10247</v>
      </c>
      <c r="J1836" t="s">
        <v>10248</v>
      </c>
      <c r="P1836" t="s">
        <v>425</v>
      </c>
      <c r="Y1836" t="s">
        <v>10250</v>
      </c>
    </row>
    <row r="1837" spans="1:25" x14ac:dyDescent="0.25">
      <c r="A1837" t="str">
        <f>"1277870578"</f>
        <v>1277870578</v>
      </c>
      <c r="B1837" t="s">
        <v>18</v>
      </c>
      <c r="C1837" t="s">
        <v>10256</v>
      </c>
      <c r="D1837" t="s">
        <v>10251</v>
      </c>
      <c r="E1837">
        <v>424007</v>
      </c>
      <c r="F1837" t="s">
        <v>1</v>
      </c>
      <c r="G1837" t="s">
        <v>2</v>
      </c>
      <c r="H1837" t="s">
        <v>10252</v>
      </c>
      <c r="I1837" t="s">
        <v>10253</v>
      </c>
      <c r="L1837" t="s">
        <v>10254</v>
      </c>
      <c r="M1837" t="s">
        <v>10255</v>
      </c>
      <c r="P1837" t="s">
        <v>20</v>
      </c>
      <c r="Q1837" t="s">
        <v>10257</v>
      </c>
      <c r="Y1837" t="s">
        <v>10258</v>
      </c>
    </row>
    <row r="1838" spans="1:25" x14ac:dyDescent="0.25">
      <c r="A1838" t="str">
        <f>"1277958631"</f>
        <v>1277958631</v>
      </c>
      <c r="B1838" t="s">
        <v>80</v>
      </c>
      <c r="C1838" t="s">
        <v>3295</v>
      </c>
      <c r="D1838" t="s">
        <v>2762</v>
      </c>
      <c r="E1838">
        <v>424006</v>
      </c>
      <c r="F1838" t="s">
        <v>1</v>
      </c>
      <c r="G1838" t="s">
        <v>2</v>
      </c>
      <c r="H1838" t="s">
        <v>2966</v>
      </c>
      <c r="J1838" t="s">
        <v>10259</v>
      </c>
      <c r="P1838" t="s">
        <v>152</v>
      </c>
      <c r="Y1838" t="s">
        <v>2970</v>
      </c>
    </row>
    <row r="1839" spans="1:25" x14ac:dyDescent="0.25">
      <c r="A1839" t="str">
        <f>"1277978905"</f>
        <v>1277978905</v>
      </c>
      <c r="B1839" t="s">
        <v>930</v>
      </c>
      <c r="C1839" t="s">
        <v>10263</v>
      </c>
      <c r="D1839" t="s">
        <v>10260</v>
      </c>
      <c r="E1839">
        <v>424030</v>
      </c>
      <c r="F1839" t="s">
        <v>1</v>
      </c>
      <c r="G1839" t="s">
        <v>2</v>
      </c>
      <c r="H1839" t="s">
        <v>10261</v>
      </c>
      <c r="I1839" t="s">
        <v>10262</v>
      </c>
      <c r="P1839" t="s">
        <v>2457</v>
      </c>
      <c r="Q1839" t="s">
        <v>10264</v>
      </c>
      <c r="Y1839" t="s">
        <v>10265</v>
      </c>
    </row>
    <row r="1840" spans="1:25" x14ac:dyDescent="0.25">
      <c r="A1840" t="str">
        <f>"1278006288"</f>
        <v>1278006288</v>
      </c>
      <c r="B1840" t="s">
        <v>18</v>
      </c>
      <c r="C1840" t="s">
        <v>10271</v>
      </c>
      <c r="D1840" t="s">
        <v>10266</v>
      </c>
      <c r="E1840">
        <v>424008</v>
      </c>
      <c r="F1840" t="s">
        <v>1</v>
      </c>
      <c r="G1840" t="s">
        <v>2</v>
      </c>
      <c r="H1840" t="s">
        <v>4799</v>
      </c>
      <c r="I1840" t="s">
        <v>10267</v>
      </c>
      <c r="J1840" t="s">
        <v>10268</v>
      </c>
      <c r="L1840" t="s">
        <v>10269</v>
      </c>
      <c r="M1840" t="s">
        <v>10270</v>
      </c>
      <c r="P1840" t="s">
        <v>1528</v>
      </c>
      <c r="Y1840" t="s">
        <v>10272</v>
      </c>
    </row>
    <row r="1841" spans="1:25" x14ac:dyDescent="0.25">
      <c r="A1841" t="str">
        <f>"1278174299"</f>
        <v>1278174299</v>
      </c>
      <c r="B1841" t="s">
        <v>18</v>
      </c>
      <c r="C1841" t="s">
        <v>5677</v>
      </c>
      <c r="D1841" t="s">
        <v>10273</v>
      </c>
      <c r="E1841">
        <v>424007</v>
      </c>
      <c r="F1841" t="s">
        <v>1</v>
      </c>
      <c r="G1841" t="s">
        <v>2</v>
      </c>
      <c r="H1841" t="s">
        <v>9500</v>
      </c>
      <c r="I1841" t="s">
        <v>10274</v>
      </c>
      <c r="J1841" t="s">
        <v>10275</v>
      </c>
      <c r="P1841" t="s">
        <v>152</v>
      </c>
      <c r="Y1841" t="s">
        <v>9503</v>
      </c>
    </row>
    <row r="1842" spans="1:25" x14ac:dyDescent="0.25">
      <c r="A1842" t="str">
        <f>"1278194708"</f>
        <v>1278194708</v>
      </c>
      <c r="B1842" t="s">
        <v>319</v>
      </c>
      <c r="C1842" t="s">
        <v>320</v>
      </c>
      <c r="D1842" t="s">
        <v>10276</v>
      </c>
      <c r="E1842">
        <v>424039</v>
      </c>
      <c r="F1842" t="s">
        <v>1</v>
      </c>
      <c r="G1842" t="s">
        <v>2</v>
      </c>
      <c r="H1842" t="s">
        <v>10277</v>
      </c>
      <c r="I1842" t="s">
        <v>10278</v>
      </c>
      <c r="P1842" t="s">
        <v>5396</v>
      </c>
      <c r="Y1842" t="s">
        <v>10279</v>
      </c>
    </row>
    <row r="1843" spans="1:25" x14ac:dyDescent="0.25">
      <c r="A1843" t="str">
        <f>"1278199042"</f>
        <v>1278199042</v>
      </c>
      <c r="B1843" t="s">
        <v>1152</v>
      </c>
      <c r="C1843" t="s">
        <v>1153</v>
      </c>
      <c r="D1843" t="s">
        <v>10280</v>
      </c>
      <c r="E1843">
        <v>424002</v>
      </c>
      <c r="F1843" t="s">
        <v>1</v>
      </c>
      <c r="G1843" t="s">
        <v>2</v>
      </c>
      <c r="H1843" t="s">
        <v>10281</v>
      </c>
      <c r="I1843" t="s">
        <v>10282</v>
      </c>
      <c r="L1843" t="s">
        <v>10283</v>
      </c>
      <c r="M1843" t="s">
        <v>10284</v>
      </c>
      <c r="P1843" t="s">
        <v>10285</v>
      </c>
      <c r="Q1843" t="s">
        <v>10286</v>
      </c>
      <c r="R1843" t="s">
        <v>10287</v>
      </c>
      <c r="S1843" t="s">
        <v>10288</v>
      </c>
      <c r="T1843" t="s">
        <v>10289</v>
      </c>
      <c r="U1843" t="s">
        <v>10290</v>
      </c>
      <c r="V1843" t="s">
        <v>10291</v>
      </c>
      <c r="Y1843" t="s">
        <v>10292</v>
      </c>
    </row>
    <row r="1844" spans="1:25" x14ac:dyDescent="0.25">
      <c r="A1844" t="str">
        <f>"1278256221"</f>
        <v>1278256221</v>
      </c>
      <c r="B1844" t="s">
        <v>96</v>
      </c>
      <c r="C1844" t="s">
        <v>10295</v>
      </c>
      <c r="D1844" t="s">
        <v>10293</v>
      </c>
      <c r="E1844">
        <v>424002</v>
      </c>
      <c r="F1844" t="s">
        <v>1</v>
      </c>
      <c r="G1844" t="s">
        <v>2</v>
      </c>
      <c r="H1844" t="s">
        <v>744</v>
      </c>
      <c r="I1844" t="s">
        <v>10294</v>
      </c>
      <c r="P1844" t="s">
        <v>10296</v>
      </c>
      <c r="Y1844" t="s">
        <v>749</v>
      </c>
    </row>
    <row r="1845" spans="1:25" x14ac:dyDescent="0.25">
      <c r="A1845" t="str">
        <f>"1278400222"</f>
        <v>1278400222</v>
      </c>
      <c r="B1845" t="s">
        <v>669</v>
      </c>
      <c r="C1845" t="s">
        <v>2689</v>
      </c>
      <c r="D1845" t="s">
        <v>10297</v>
      </c>
      <c r="E1845">
        <v>424005</v>
      </c>
      <c r="F1845" t="s">
        <v>1</v>
      </c>
      <c r="G1845" t="s">
        <v>2</v>
      </c>
      <c r="H1845" t="s">
        <v>1310</v>
      </c>
      <c r="I1845" t="s">
        <v>10298</v>
      </c>
      <c r="J1845" t="s">
        <v>10299</v>
      </c>
      <c r="K1845" t="s">
        <v>10300</v>
      </c>
      <c r="L1845" t="s">
        <v>10301</v>
      </c>
      <c r="M1845" t="s">
        <v>10302</v>
      </c>
      <c r="P1845" t="s">
        <v>280</v>
      </c>
      <c r="Y1845" t="s">
        <v>10303</v>
      </c>
    </row>
    <row r="1846" spans="1:25" x14ac:dyDescent="0.25">
      <c r="A1846" t="str">
        <f>"1278422045"</f>
        <v>1278422045</v>
      </c>
      <c r="B1846" t="s">
        <v>151</v>
      </c>
      <c r="C1846" t="s">
        <v>1034</v>
      </c>
      <c r="D1846" t="s">
        <v>10304</v>
      </c>
      <c r="E1846">
        <v>424000</v>
      </c>
      <c r="F1846" t="s">
        <v>1</v>
      </c>
      <c r="G1846" t="s">
        <v>2</v>
      </c>
      <c r="H1846" t="s">
        <v>10305</v>
      </c>
      <c r="I1846" t="s">
        <v>10306</v>
      </c>
      <c r="P1846" t="s">
        <v>20</v>
      </c>
      <c r="Y1846" t="s">
        <v>10307</v>
      </c>
    </row>
    <row r="1847" spans="1:25" x14ac:dyDescent="0.25">
      <c r="A1847" t="str">
        <f>"1278445285"</f>
        <v>1278445285</v>
      </c>
      <c r="B1847" t="s">
        <v>18</v>
      </c>
      <c r="C1847" t="s">
        <v>2171</v>
      </c>
      <c r="D1847" t="s">
        <v>10308</v>
      </c>
      <c r="E1847">
        <v>424039</v>
      </c>
      <c r="F1847" t="s">
        <v>1</v>
      </c>
      <c r="G1847" t="s">
        <v>2</v>
      </c>
      <c r="H1847" t="s">
        <v>5827</v>
      </c>
      <c r="I1847" t="s">
        <v>10309</v>
      </c>
      <c r="P1847" t="s">
        <v>133</v>
      </c>
      <c r="Y1847" t="s">
        <v>10310</v>
      </c>
    </row>
    <row r="1848" spans="1:25" x14ac:dyDescent="0.25">
      <c r="A1848" t="str">
        <f>"1278527893"</f>
        <v>1278527893</v>
      </c>
      <c r="B1848" t="s">
        <v>96</v>
      </c>
      <c r="C1848" t="s">
        <v>10313</v>
      </c>
      <c r="D1848" t="s">
        <v>10311</v>
      </c>
      <c r="E1848">
        <v>424000</v>
      </c>
      <c r="F1848" t="s">
        <v>1</v>
      </c>
      <c r="G1848" t="s">
        <v>2</v>
      </c>
      <c r="H1848" t="s">
        <v>1531</v>
      </c>
      <c r="I1848" t="s">
        <v>10312</v>
      </c>
      <c r="P1848" t="s">
        <v>941</v>
      </c>
      <c r="Y1848" t="s">
        <v>10314</v>
      </c>
    </row>
    <row r="1849" spans="1:25" x14ac:dyDescent="0.25">
      <c r="A1849" t="str">
        <f>"1278704639"</f>
        <v>1278704639</v>
      </c>
      <c r="B1849" t="s">
        <v>1611</v>
      </c>
      <c r="C1849" t="s">
        <v>10319</v>
      </c>
      <c r="D1849" t="s">
        <v>10315</v>
      </c>
      <c r="E1849">
        <v>424037</v>
      </c>
      <c r="F1849" t="s">
        <v>1</v>
      </c>
      <c r="G1849" t="s">
        <v>2</v>
      </c>
      <c r="H1849" t="s">
        <v>3216</v>
      </c>
      <c r="I1849" t="s">
        <v>10316</v>
      </c>
      <c r="K1849" t="s">
        <v>10317</v>
      </c>
      <c r="L1849" t="s">
        <v>10318</v>
      </c>
      <c r="P1849" t="s">
        <v>10320</v>
      </c>
      <c r="Y1849" t="s">
        <v>10321</v>
      </c>
    </row>
    <row r="1850" spans="1:25" x14ac:dyDescent="0.25">
      <c r="A1850" t="str">
        <f>"1278734966"</f>
        <v>1278734966</v>
      </c>
      <c r="B1850" t="s">
        <v>25</v>
      </c>
      <c r="C1850" t="s">
        <v>59</v>
      </c>
      <c r="D1850" t="s">
        <v>10322</v>
      </c>
      <c r="E1850">
        <v>424004</v>
      </c>
      <c r="F1850" t="s">
        <v>1</v>
      </c>
      <c r="G1850" t="s">
        <v>2</v>
      </c>
      <c r="H1850" t="s">
        <v>229</v>
      </c>
      <c r="I1850" t="s">
        <v>10323</v>
      </c>
      <c r="J1850" t="s">
        <v>10324</v>
      </c>
      <c r="P1850" t="s">
        <v>152</v>
      </c>
      <c r="Y1850" t="s">
        <v>237</v>
      </c>
    </row>
    <row r="1851" spans="1:25" x14ac:dyDescent="0.25">
      <c r="A1851" t="str">
        <f>"1278801714"</f>
        <v>1278801714</v>
      </c>
      <c r="B1851" t="s">
        <v>2178</v>
      </c>
      <c r="C1851" t="s">
        <v>2179</v>
      </c>
      <c r="D1851" t="s">
        <v>10325</v>
      </c>
      <c r="E1851">
        <v>424030</v>
      </c>
      <c r="F1851" t="s">
        <v>1</v>
      </c>
      <c r="G1851" t="s">
        <v>2</v>
      </c>
      <c r="H1851" t="s">
        <v>440</v>
      </c>
      <c r="I1851" t="s">
        <v>10326</v>
      </c>
      <c r="L1851" t="s">
        <v>10327</v>
      </c>
      <c r="M1851" t="s">
        <v>10328</v>
      </c>
      <c r="P1851" t="s">
        <v>9741</v>
      </c>
      <c r="Y1851" t="s">
        <v>4115</v>
      </c>
    </row>
    <row r="1852" spans="1:25" x14ac:dyDescent="0.25">
      <c r="A1852" t="str">
        <f>"1278890363"</f>
        <v>1278890363</v>
      </c>
      <c r="B1852" t="s">
        <v>978</v>
      </c>
      <c r="C1852" t="s">
        <v>1659</v>
      </c>
      <c r="D1852" t="s">
        <v>8542</v>
      </c>
      <c r="E1852">
        <v>424002</v>
      </c>
      <c r="F1852" t="s">
        <v>1</v>
      </c>
      <c r="G1852" t="s">
        <v>2</v>
      </c>
      <c r="H1852" t="s">
        <v>6597</v>
      </c>
      <c r="I1852" t="s">
        <v>10329</v>
      </c>
      <c r="M1852" t="s">
        <v>10330</v>
      </c>
      <c r="P1852" t="s">
        <v>10331</v>
      </c>
      <c r="Q1852" t="s">
        <v>10332</v>
      </c>
      <c r="Y1852" t="s">
        <v>10333</v>
      </c>
    </row>
    <row r="1853" spans="1:25" x14ac:dyDescent="0.25">
      <c r="A1853" t="str">
        <f>"1279029811"</f>
        <v>1279029811</v>
      </c>
      <c r="B1853" t="s">
        <v>18</v>
      </c>
      <c r="C1853" t="s">
        <v>143</v>
      </c>
      <c r="D1853" t="s">
        <v>10334</v>
      </c>
      <c r="E1853">
        <v>424007</v>
      </c>
      <c r="F1853" t="s">
        <v>1</v>
      </c>
      <c r="G1853" t="s">
        <v>2</v>
      </c>
      <c r="H1853" t="s">
        <v>7511</v>
      </c>
      <c r="J1853" t="s">
        <v>10335</v>
      </c>
      <c r="P1853" t="s">
        <v>2050</v>
      </c>
      <c r="Y1853" t="s">
        <v>7512</v>
      </c>
    </row>
    <row r="1854" spans="1:25" x14ac:dyDescent="0.25">
      <c r="A1854" t="str">
        <f>"1279034525"</f>
        <v>1279034525</v>
      </c>
      <c r="B1854" t="s">
        <v>18</v>
      </c>
      <c r="C1854" t="s">
        <v>10339</v>
      </c>
      <c r="D1854" t="s">
        <v>10336</v>
      </c>
      <c r="E1854">
        <v>424007</v>
      </c>
      <c r="F1854" t="s">
        <v>1</v>
      </c>
      <c r="G1854" t="s">
        <v>2</v>
      </c>
      <c r="H1854" t="s">
        <v>1566</v>
      </c>
      <c r="I1854" t="s">
        <v>10337</v>
      </c>
      <c r="L1854" t="s">
        <v>10338</v>
      </c>
      <c r="P1854" t="s">
        <v>799</v>
      </c>
      <c r="Y1854" t="s">
        <v>2882</v>
      </c>
    </row>
    <row r="1855" spans="1:25" x14ac:dyDescent="0.25">
      <c r="A1855" t="str">
        <f>"1279055320"</f>
        <v>1279055320</v>
      </c>
      <c r="B1855" t="s">
        <v>430</v>
      </c>
      <c r="C1855" t="s">
        <v>612</v>
      </c>
      <c r="D1855" t="s">
        <v>607</v>
      </c>
      <c r="E1855">
        <v>424000</v>
      </c>
      <c r="F1855" t="s">
        <v>1</v>
      </c>
      <c r="G1855" t="s">
        <v>2</v>
      </c>
      <c r="H1855" t="s">
        <v>10340</v>
      </c>
      <c r="I1855" t="s">
        <v>10341</v>
      </c>
      <c r="L1855" t="s">
        <v>610</v>
      </c>
      <c r="M1855" t="s">
        <v>611</v>
      </c>
      <c r="P1855" t="s">
        <v>2457</v>
      </c>
      <c r="Y1855" t="s">
        <v>10342</v>
      </c>
    </row>
    <row r="1856" spans="1:25" x14ac:dyDescent="0.25">
      <c r="A1856" t="str">
        <f>"1279071270"</f>
        <v>1279071270</v>
      </c>
      <c r="B1856" t="s">
        <v>319</v>
      </c>
      <c r="C1856" t="s">
        <v>320</v>
      </c>
      <c r="D1856" t="s">
        <v>10343</v>
      </c>
      <c r="E1856">
        <v>424004</v>
      </c>
      <c r="F1856" t="s">
        <v>1</v>
      </c>
      <c r="G1856" t="s">
        <v>2</v>
      </c>
      <c r="H1856" t="s">
        <v>3285</v>
      </c>
      <c r="I1856" t="s">
        <v>10344</v>
      </c>
      <c r="P1856" t="s">
        <v>10345</v>
      </c>
      <c r="Y1856" t="s">
        <v>10346</v>
      </c>
    </row>
    <row r="1857" spans="1:25" x14ac:dyDescent="0.25">
      <c r="A1857" t="str">
        <f>"1279301515"</f>
        <v>1279301515</v>
      </c>
      <c r="B1857" t="s">
        <v>7849</v>
      </c>
      <c r="C1857" t="s">
        <v>10351</v>
      </c>
      <c r="D1857" t="s">
        <v>10347</v>
      </c>
      <c r="E1857">
        <v>424007</v>
      </c>
      <c r="F1857" t="s">
        <v>1</v>
      </c>
      <c r="G1857" t="s">
        <v>2</v>
      </c>
      <c r="H1857" t="s">
        <v>1992</v>
      </c>
      <c r="I1857" t="s">
        <v>10348</v>
      </c>
      <c r="L1857" t="s">
        <v>10349</v>
      </c>
      <c r="M1857" t="s">
        <v>10350</v>
      </c>
      <c r="P1857" t="s">
        <v>330</v>
      </c>
      <c r="Q1857" t="s">
        <v>10352</v>
      </c>
      <c r="T1857" t="s">
        <v>10353</v>
      </c>
      <c r="V1857" t="s">
        <v>10354</v>
      </c>
      <c r="Y1857" t="s">
        <v>10355</v>
      </c>
    </row>
    <row r="1858" spans="1:25" x14ac:dyDescent="0.25">
      <c r="A1858" t="str">
        <f>"1279305460"</f>
        <v>1279305460</v>
      </c>
      <c r="B1858" t="s">
        <v>1078</v>
      </c>
      <c r="C1858" t="s">
        <v>10359</v>
      </c>
      <c r="D1858" t="s">
        <v>10356</v>
      </c>
      <c r="E1858">
        <v>424000</v>
      </c>
      <c r="F1858" t="s">
        <v>1</v>
      </c>
      <c r="G1858" t="s">
        <v>2</v>
      </c>
      <c r="H1858" t="s">
        <v>10357</v>
      </c>
      <c r="I1858" t="s">
        <v>10358</v>
      </c>
      <c r="P1858" t="s">
        <v>112</v>
      </c>
      <c r="Y1858" t="s">
        <v>10360</v>
      </c>
    </row>
    <row r="1859" spans="1:25" x14ac:dyDescent="0.25">
      <c r="A1859" t="str">
        <f>"1279358843"</f>
        <v>1279358843</v>
      </c>
      <c r="B1859" t="s">
        <v>519</v>
      </c>
      <c r="C1859" t="s">
        <v>10364</v>
      </c>
      <c r="D1859" t="s">
        <v>10361</v>
      </c>
      <c r="F1859" t="s">
        <v>1</v>
      </c>
      <c r="G1859" t="s">
        <v>2</v>
      </c>
      <c r="H1859" t="s">
        <v>5721</v>
      </c>
      <c r="I1859" t="s">
        <v>10362</v>
      </c>
      <c r="J1859" t="s">
        <v>10363</v>
      </c>
      <c r="P1859" t="s">
        <v>10365</v>
      </c>
      <c r="Y1859" t="s">
        <v>5724</v>
      </c>
    </row>
    <row r="1860" spans="1:25" x14ac:dyDescent="0.25">
      <c r="A1860" t="str">
        <f>"1279373771"</f>
        <v>1279373771</v>
      </c>
      <c r="B1860" t="s">
        <v>88</v>
      </c>
      <c r="C1860" t="s">
        <v>10367</v>
      </c>
      <c r="D1860" t="s">
        <v>5805</v>
      </c>
      <c r="E1860">
        <v>424031</v>
      </c>
      <c r="F1860" t="s">
        <v>1</v>
      </c>
      <c r="G1860" t="s">
        <v>2</v>
      </c>
      <c r="H1860" t="s">
        <v>4622</v>
      </c>
      <c r="I1860" t="s">
        <v>10366</v>
      </c>
      <c r="P1860" t="s">
        <v>1855</v>
      </c>
      <c r="Q1860" t="s">
        <v>10368</v>
      </c>
      <c r="Y1860" t="s">
        <v>10369</v>
      </c>
    </row>
    <row r="1861" spans="1:25" x14ac:dyDescent="0.25">
      <c r="A1861" t="str">
        <f>"1279435606"</f>
        <v>1279435606</v>
      </c>
      <c r="B1861" t="s">
        <v>1078</v>
      </c>
      <c r="C1861" t="s">
        <v>1079</v>
      </c>
      <c r="D1861" t="s">
        <v>8471</v>
      </c>
      <c r="E1861">
        <v>424038</v>
      </c>
      <c r="F1861" t="s">
        <v>1</v>
      </c>
      <c r="G1861" t="s">
        <v>2</v>
      </c>
      <c r="H1861" t="s">
        <v>2741</v>
      </c>
      <c r="I1861" t="s">
        <v>10370</v>
      </c>
      <c r="L1861" t="s">
        <v>4892</v>
      </c>
      <c r="M1861" t="s">
        <v>8474</v>
      </c>
      <c r="P1861" t="s">
        <v>112</v>
      </c>
      <c r="Q1861" t="s">
        <v>4894</v>
      </c>
      <c r="Y1861" t="s">
        <v>10371</v>
      </c>
    </row>
    <row r="1862" spans="1:25" x14ac:dyDescent="0.25">
      <c r="A1862" t="str">
        <f>"1279566146"</f>
        <v>1279566146</v>
      </c>
      <c r="B1862" t="s">
        <v>96</v>
      </c>
      <c r="C1862" t="s">
        <v>695</v>
      </c>
      <c r="D1862" t="s">
        <v>10372</v>
      </c>
      <c r="F1862" t="s">
        <v>1</v>
      </c>
      <c r="G1862" t="s">
        <v>2</v>
      </c>
      <c r="H1862" t="s">
        <v>5906</v>
      </c>
      <c r="I1862" t="s">
        <v>10373</v>
      </c>
      <c r="P1862" t="s">
        <v>27</v>
      </c>
      <c r="Y1862" t="s">
        <v>5907</v>
      </c>
    </row>
    <row r="1863" spans="1:25" x14ac:dyDescent="0.25">
      <c r="A1863" t="str">
        <f>"1279578657"</f>
        <v>1279578657</v>
      </c>
      <c r="B1863" t="s">
        <v>18</v>
      </c>
      <c r="C1863" t="s">
        <v>10377</v>
      </c>
      <c r="D1863" t="s">
        <v>10374</v>
      </c>
      <c r="E1863">
        <v>424038</v>
      </c>
      <c r="F1863" t="s">
        <v>1</v>
      </c>
      <c r="G1863" t="s">
        <v>2</v>
      </c>
      <c r="H1863" t="s">
        <v>546</v>
      </c>
      <c r="I1863" t="s">
        <v>10375</v>
      </c>
      <c r="L1863" t="s">
        <v>597</v>
      </c>
      <c r="M1863" t="s">
        <v>10376</v>
      </c>
      <c r="P1863" t="s">
        <v>1071</v>
      </c>
      <c r="Y1863" t="s">
        <v>10378</v>
      </c>
    </row>
    <row r="1864" spans="1:25" x14ac:dyDescent="0.25">
      <c r="A1864" t="str">
        <f>"1279662751"</f>
        <v>1279662751</v>
      </c>
      <c r="B1864" t="s">
        <v>10383</v>
      </c>
      <c r="C1864" t="s">
        <v>10384</v>
      </c>
      <c r="D1864" t="s">
        <v>10379</v>
      </c>
      <c r="E1864">
        <v>424006</v>
      </c>
      <c r="F1864" t="s">
        <v>1</v>
      </c>
      <c r="G1864" t="s">
        <v>2</v>
      </c>
      <c r="H1864" t="s">
        <v>6474</v>
      </c>
      <c r="I1864" t="s">
        <v>10380</v>
      </c>
      <c r="L1864" t="s">
        <v>10381</v>
      </c>
      <c r="M1864" t="s">
        <v>10382</v>
      </c>
      <c r="P1864" t="s">
        <v>10385</v>
      </c>
      <c r="Q1864" t="s">
        <v>10386</v>
      </c>
      <c r="Y1864" t="s">
        <v>10387</v>
      </c>
    </row>
    <row r="1865" spans="1:25" x14ac:dyDescent="0.25">
      <c r="A1865" t="str">
        <f>"1279753521"</f>
        <v>1279753521</v>
      </c>
      <c r="B1865" t="s">
        <v>32</v>
      </c>
      <c r="C1865" t="s">
        <v>777</v>
      </c>
      <c r="D1865" t="s">
        <v>10388</v>
      </c>
      <c r="E1865">
        <v>424002</v>
      </c>
      <c r="F1865" t="s">
        <v>1</v>
      </c>
      <c r="G1865" t="s">
        <v>2</v>
      </c>
      <c r="H1865" t="s">
        <v>3068</v>
      </c>
      <c r="I1865" t="s">
        <v>10389</v>
      </c>
      <c r="P1865" t="s">
        <v>2079</v>
      </c>
      <c r="Y1865" t="s">
        <v>10390</v>
      </c>
    </row>
    <row r="1866" spans="1:25" x14ac:dyDescent="0.25">
      <c r="A1866" t="str">
        <f>"1279889330"</f>
        <v>1279889330</v>
      </c>
      <c r="B1866" t="s">
        <v>18</v>
      </c>
      <c r="C1866" t="s">
        <v>1419</v>
      </c>
      <c r="D1866" t="s">
        <v>10391</v>
      </c>
      <c r="E1866">
        <v>424002</v>
      </c>
      <c r="F1866" t="s">
        <v>1</v>
      </c>
      <c r="G1866" t="s">
        <v>2</v>
      </c>
      <c r="H1866" t="s">
        <v>3604</v>
      </c>
      <c r="I1866" t="s">
        <v>10392</v>
      </c>
      <c r="P1866" t="s">
        <v>1420</v>
      </c>
      <c r="Y1866" t="s">
        <v>10393</v>
      </c>
    </row>
    <row r="1867" spans="1:25" x14ac:dyDescent="0.25">
      <c r="A1867" t="str">
        <f>"1279889556"</f>
        <v>1279889556</v>
      </c>
      <c r="B1867" t="s">
        <v>1391</v>
      </c>
      <c r="C1867" t="s">
        <v>1392</v>
      </c>
      <c r="D1867" t="s">
        <v>3610</v>
      </c>
      <c r="E1867">
        <v>424016</v>
      </c>
      <c r="F1867" t="s">
        <v>1</v>
      </c>
      <c r="G1867" t="s">
        <v>2</v>
      </c>
      <c r="H1867" t="s">
        <v>10394</v>
      </c>
      <c r="I1867" t="s">
        <v>10395</v>
      </c>
      <c r="P1867" t="s">
        <v>144</v>
      </c>
      <c r="Y1867" t="s">
        <v>10396</v>
      </c>
    </row>
    <row r="1868" spans="1:25" x14ac:dyDescent="0.25">
      <c r="A1868" t="str">
        <f>"1279890102"</f>
        <v>1279890102</v>
      </c>
      <c r="B1868" t="s">
        <v>224</v>
      </c>
      <c r="C1868" t="s">
        <v>225</v>
      </c>
      <c r="D1868" t="s">
        <v>10397</v>
      </c>
      <c r="E1868">
        <v>424016</v>
      </c>
      <c r="F1868" t="s">
        <v>1</v>
      </c>
      <c r="G1868" t="s">
        <v>2</v>
      </c>
      <c r="H1868" t="s">
        <v>10398</v>
      </c>
      <c r="I1868" t="s">
        <v>10399</v>
      </c>
      <c r="P1868" t="s">
        <v>10400</v>
      </c>
      <c r="Y1868" t="s">
        <v>10401</v>
      </c>
    </row>
    <row r="1869" spans="1:25" x14ac:dyDescent="0.25">
      <c r="A1869" t="str">
        <f>"1279911645"</f>
        <v>1279911645</v>
      </c>
      <c r="B1869" t="s">
        <v>553</v>
      </c>
      <c r="C1869" t="s">
        <v>10404</v>
      </c>
      <c r="D1869" t="s">
        <v>10402</v>
      </c>
      <c r="E1869">
        <v>424004</v>
      </c>
      <c r="F1869" t="s">
        <v>1</v>
      </c>
      <c r="G1869" t="s">
        <v>2</v>
      </c>
      <c r="H1869" t="s">
        <v>2133</v>
      </c>
      <c r="I1869" t="s">
        <v>10403</v>
      </c>
      <c r="P1869" t="s">
        <v>216</v>
      </c>
      <c r="Y1869" t="s">
        <v>2137</v>
      </c>
    </row>
    <row r="1870" spans="1:25" x14ac:dyDescent="0.25">
      <c r="A1870" t="str">
        <f>"1279911989"</f>
        <v>1279911989</v>
      </c>
      <c r="B1870" t="s">
        <v>703</v>
      </c>
      <c r="C1870" t="s">
        <v>2129</v>
      </c>
      <c r="D1870" t="s">
        <v>10405</v>
      </c>
      <c r="E1870">
        <v>424002</v>
      </c>
      <c r="F1870" t="s">
        <v>1</v>
      </c>
      <c r="G1870" t="s">
        <v>2</v>
      </c>
      <c r="H1870" t="s">
        <v>823</v>
      </c>
      <c r="I1870" t="s">
        <v>826</v>
      </c>
      <c r="J1870" t="s">
        <v>10406</v>
      </c>
      <c r="P1870" t="s">
        <v>27</v>
      </c>
      <c r="Y1870" t="s">
        <v>828</v>
      </c>
    </row>
    <row r="1871" spans="1:25" x14ac:dyDescent="0.25">
      <c r="A1871" t="str">
        <f>"1279964676"</f>
        <v>1279964676</v>
      </c>
      <c r="B1871" t="s">
        <v>379</v>
      </c>
      <c r="C1871" t="s">
        <v>380</v>
      </c>
      <c r="D1871" t="s">
        <v>10407</v>
      </c>
      <c r="E1871">
        <v>424038</v>
      </c>
      <c r="F1871" t="s">
        <v>1</v>
      </c>
      <c r="G1871" t="s">
        <v>2</v>
      </c>
      <c r="H1871" t="s">
        <v>546</v>
      </c>
      <c r="I1871" t="s">
        <v>10408</v>
      </c>
      <c r="J1871" t="s">
        <v>10409</v>
      </c>
      <c r="P1871" t="s">
        <v>10410</v>
      </c>
      <c r="Y1871" t="s">
        <v>549</v>
      </c>
    </row>
    <row r="1872" spans="1:25" x14ac:dyDescent="0.25">
      <c r="A1872" t="str">
        <f>"1279994921"</f>
        <v>1279994921</v>
      </c>
      <c r="B1872" t="s">
        <v>1053</v>
      </c>
      <c r="C1872" t="s">
        <v>1927</v>
      </c>
      <c r="D1872" t="s">
        <v>4545</v>
      </c>
      <c r="E1872">
        <v>424007</v>
      </c>
      <c r="F1872" t="s">
        <v>1</v>
      </c>
      <c r="G1872" t="s">
        <v>2</v>
      </c>
      <c r="H1872" t="s">
        <v>10411</v>
      </c>
      <c r="I1872" t="s">
        <v>10412</v>
      </c>
      <c r="P1872" t="s">
        <v>20</v>
      </c>
      <c r="Y1872" t="s">
        <v>10413</v>
      </c>
    </row>
    <row r="1873" spans="1:25" x14ac:dyDescent="0.25">
      <c r="A1873" t="str">
        <f>"1280063806"</f>
        <v>1280063806</v>
      </c>
      <c r="B1873" t="s">
        <v>96</v>
      </c>
      <c r="C1873" t="s">
        <v>659</v>
      </c>
      <c r="D1873" t="s">
        <v>10414</v>
      </c>
      <c r="E1873">
        <v>424004</v>
      </c>
      <c r="F1873" t="s">
        <v>1</v>
      </c>
      <c r="G1873" t="s">
        <v>2</v>
      </c>
      <c r="H1873" t="s">
        <v>186</v>
      </c>
      <c r="J1873" t="s">
        <v>10415</v>
      </c>
      <c r="P1873" t="s">
        <v>10416</v>
      </c>
      <c r="Y1873" t="s">
        <v>190</v>
      </c>
    </row>
    <row r="1874" spans="1:25" x14ac:dyDescent="0.25">
      <c r="A1874" t="str">
        <f>"1280176598"</f>
        <v>1280176598</v>
      </c>
      <c r="B1874" t="s">
        <v>290</v>
      </c>
      <c r="C1874" t="s">
        <v>2737</v>
      </c>
      <c r="D1874" t="s">
        <v>10417</v>
      </c>
      <c r="E1874">
        <v>424007</v>
      </c>
      <c r="F1874" t="s">
        <v>1</v>
      </c>
      <c r="G1874" t="s">
        <v>2</v>
      </c>
      <c r="H1874" t="s">
        <v>3336</v>
      </c>
      <c r="I1874" t="s">
        <v>10418</v>
      </c>
      <c r="P1874" t="s">
        <v>1679</v>
      </c>
      <c r="Y1874" t="s">
        <v>10419</v>
      </c>
    </row>
    <row r="1875" spans="1:25" x14ac:dyDescent="0.25">
      <c r="A1875" t="str">
        <f>"1280227974"</f>
        <v>1280227974</v>
      </c>
      <c r="B1875" t="s">
        <v>3908</v>
      </c>
      <c r="C1875" t="s">
        <v>10425</v>
      </c>
      <c r="D1875" t="s">
        <v>10420</v>
      </c>
      <c r="E1875">
        <v>424004</v>
      </c>
      <c r="F1875" t="s">
        <v>1</v>
      </c>
      <c r="G1875" t="s">
        <v>2</v>
      </c>
      <c r="H1875" t="s">
        <v>10421</v>
      </c>
      <c r="I1875" t="s">
        <v>10422</v>
      </c>
      <c r="L1875" t="s">
        <v>10423</v>
      </c>
      <c r="M1875" t="s">
        <v>10424</v>
      </c>
      <c r="P1875" t="s">
        <v>10426</v>
      </c>
      <c r="Q1875" t="s">
        <v>10427</v>
      </c>
      <c r="Y1875" t="s">
        <v>10428</v>
      </c>
    </row>
    <row r="1876" spans="1:25" x14ac:dyDescent="0.25">
      <c r="A1876" t="str">
        <f>"1280242981"</f>
        <v>1280242981</v>
      </c>
      <c r="B1876" t="s">
        <v>7</v>
      </c>
      <c r="C1876" t="s">
        <v>10431</v>
      </c>
      <c r="D1876" t="s">
        <v>10429</v>
      </c>
      <c r="E1876">
        <v>424007</v>
      </c>
      <c r="F1876" t="s">
        <v>1</v>
      </c>
      <c r="G1876" t="s">
        <v>2</v>
      </c>
      <c r="H1876" t="s">
        <v>499</v>
      </c>
      <c r="I1876" t="s">
        <v>10430</v>
      </c>
      <c r="P1876" t="s">
        <v>27</v>
      </c>
      <c r="Y1876" t="s">
        <v>10432</v>
      </c>
    </row>
    <row r="1877" spans="1:25" x14ac:dyDescent="0.25">
      <c r="A1877" t="str">
        <f>"1280389649"</f>
        <v>1280389649</v>
      </c>
      <c r="B1877" t="s">
        <v>624</v>
      </c>
      <c r="C1877" t="s">
        <v>2640</v>
      </c>
      <c r="D1877" t="s">
        <v>10433</v>
      </c>
      <c r="E1877">
        <v>424038</v>
      </c>
      <c r="F1877" t="s">
        <v>1</v>
      </c>
      <c r="G1877" t="s">
        <v>2</v>
      </c>
      <c r="H1877" t="s">
        <v>4995</v>
      </c>
      <c r="I1877" t="s">
        <v>10434</v>
      </c>
      <c r="P1877" t="s">
        <v>152</v>
      </c>
      <c r="Y1877" t="s">
        <v>10435</v>
      </c>
    </row>
    <row r="1878" spans="1:25" x14ac:dyDescent="0.25">
      <c r="A1878" t="str">
        <f>"1280395544"</f>
        <v>1280395544</v>
      </c>
      <c r="B1878" t="s">
        <v>319</v>
      </c>
      <c r="C1878" t="s">
        <v>320</v>
      </c>
      <c r="D1878" t="s">
        <v>9839</v>
      </c>
      <c r="E1878">
        <v>424033</v>
      </c>
      <c r="F1878" t="s">
        <v>1</v>
      </c>
      <c r="G1878" t="s">
        <v>2</v>
      </c>
      <c r="H1878" t="s">
        <v>5916</v>
      </c>
      <c r="P1878" t="s">
        <v>216</v>
      </c>
      <c r="Y1878" t="s">
        <v>5918</v>
      </c>
    </row>
    <row r="1879" spans="1:25" x14ac:dyDescent="0.25">
      <c r="A1879" t="str">
        <f>"1280460818"</f>
        <v>1280460818</v>
      </c>
      <c r="B1879" t="s">
        <v>2601</v>
      </c>
      <c r="C1879" t="s">
        <v>10440</v>
      </c>
      <c r="D1879" t="s">
        <v>10436</v>
      </c>
      <c r="F1879" t="s">
        <v>1</v>
      </c>
      <c r="G1879" t="s">
        <v>2</v>
      </c>
      <c r="H1879" t="s">
        <v>1508</v>
      </c>
      <c r="I1879" t="s">
        <v>10437</v>
      </c>
      <c r="J1879" t="s">
        <v>10438</v>
      </c>
      <c r="L1879" t="s">
        <v>10439</v>
      </c>
      <c r="P1879" t="s">
        <v>1160</v>
      </c>
      <c r="Q1879" t="s">
        <v>10441</v>
      </c>
      <c r="Y1879" t="s">
        <v>10442</v>
      </c>
    </row>
    <row r="1880" spans="1:25" x14ac:dyDescent="0.25">
      <c r="A1880" t="str">
        <f>"1280502724"</f>
        <v>1280502724</v>
      </c>
      <c r="B1880" t="s">
        <v>176</v>
      </c>
      <c r="C1880" t="s">
        <v>250</v>
      </c>
      <c r="D1880" t="s">
        <v>10443</v>
      </c>
      <c r="E1880">
        <v>424039</v>
      </c>
      <c r="F1880" t="s">
        <v>1</v>
      </c>
      <c r="G1880" t="s">
        <v>2</v>
      </c>
      <c r="H1880" t="s">
        <v>5195</v>
      </c>
      <c r="I1880" t="s">
        <v>10444</v>
      </c>
      <c r="P1880" t="s">
        <v>27</v>
      </c>
      <c r="Y1880" t="s">
        <v>5196</v>
      </c>
    </row>
    <row r="1881" spans="1:25" x14ac:dyDescent="0.25">
      <c r="A1881" t="str">
        <f>"1280503725"</f>
        <v>1280503725</v>
      </c>
      <c r="B1881" t="s">
        <v>456</v>
      </c>
      <c r="C1881" t="s">
        <v>1522</v>
      </c>
      <c r="D1881" t="s">
        <v>10445</v>
      </c>
      <c r="E1881">
        <v>424006</v>
      </c>
      <c r="F1881" t="s">
        <v>1</v>
      </c>
      <c r="G1881" t="s">
        <v>2</v>
      </c>
      <c r="H1881" t="s">
        <v>9823</v>
      </c>
      <c r="J1881" t="s">
        <v>10446</v>
      </c>
      <c r="L1881" t="s">
        <v>10447</v>
      </c>
      <c r="M1881" t="s">
        <v>10448</v>
      </c>
      <c r="P1881" t="s">
        <v>2951</v>
      </c>
      <c r="Y1881" t="s">
        <v>10449</v>
      </c>
    </row>
    <row r="1882" spans="1:25" x14ac:dyDescent="0.25">
      <c r="A1882" t="str">
        <f>"1280533830"</f>
        <v>1280533830</v>
      </c>
      <c r="B1882" t="s">
        <v>1152</v>
      </c>
      <c r="C1882" t="s">
        <v>10452</v>
      </c>
      <c r="D1882" t="s">
        <v>10450</v>
      </c>
      <c r="E1882">
        <v>424002</v>
      </c>
      <c r="F1882" t="s">
        <v>1</v>
      </c>
      <c r="G1882" t="s">
        <v>2</v>
      </c>
      <c r="H1882" t="s">
        <v>1950</v>
      </c>
      <c r="J1882" t="s">
        <v>10451</v>
      </c>
      <c r="P1882" t="s">
        <v>1039</v>
      </c>
      <c r="Y1882" t="s">
        <v>10453</v>
      </c>
    </row>
    <row r="1883" spans="1:25" x14ac:dyDescent="0.25">
      <c r="A1883" t="str">
        <f>"1280572303"</f>
        <v>1280572303</v>
      </c>
      <c r="B1883" t="s">
        <v>430</v>
      </c>
      <c r="C1883" t="s">
        <v>612</v>
      </c>
      <c r="D1883" t="s">
        <v>10454</v>
      </c>
      <c r="E1883">
        <v>424037</v>
      </c>
      <c r="F1883" t="s">
        <v>1</v>
      </c>
      <c r="G1883" t="s">
        <v>2</v>
      </c>
      <c r="H1883" t="s">
        <v>1116</v>
      </c>
      <c r="I1883" t="s">
        <v>10455</v>
      </c>
      <c r="J1883" t="s">
        <v>10456</v>
      </c>
      <c r="L1883" t="s">
        <v>10457</v>
      </c>
      <c r="M1883" t="s">
        <v>10458</v>
      </c>
      <c r="P1883" t="s">
        <v>9820</v>
      </c>
      <c r="Q1883" t="s">
        <v>10459</v>
      </c>
      <c r="V1883" t="s">
        <v>10460</v>
      </c>
      <c r="Y1883" t="s">
        <v>10461</v>
      </c>
    </row>
    <row r="1884" spans="1:25" x14ac:dyDescent="0.25">
      <c r="A1884" t="str">
        <f>"1280647350"</f>
        <v>1280647350</v>
      </c>
      <c r="B1884" t="s">
        <v>1343</v>
      </c>
      <c r="C1884" t="s">
        <v>10464</v>
      </c>
      <c r="D1884" t="s">
        <v>6318</v>
      </c>
      <c r="E1884">
        <v>424002</v>
      </c>
      <c r="F1884" t="s">
        <v>1</v>
      </c>
      <c r="G1884" t="s">
        <v>2</v>
      </c>
      <c r="H1884" t="s">
        <v>744</v>
      </c>
      <c r="I1884" t="s">
        <v>10462</v>
      </c>
      <c r="J1884" t="s">
        <v>10463</v>
      </c>
      <c r="P1884" t="s">
        <v>748</v>
      </c>
      <c r="Y1884" t="s">
        <v>749</v>
      </c>
    </row>
    <row r="1885" spans="1:25" x14ac:dyDescent="0.25">
      <c r="A1885" t="str">
        <f>"1280705572"</f>
        <v>1280705572</v>
      </c>
      <c r="B1885" t="s">
        <v>96</v>
      </c>
      <c r="C1885" t="s">
        <v>8808</v>
      </c>
      <c r="D1885" t="s">
        <v>10465</v>
      </c>
      <c r="E1885">
        <v>424019</v>
      </c>
      <c r="F1885" t="s">
        <v>1</v>
      </c>
      <c r="G1885" t="s">
        <v>2</v>
      </c>
      <c r="H1885" t="s">
        <v>7785</v>
      </c>
      <c r="J1885" t="s">
        <v>10466</v>
      </c>
      <c r="P1885" t="s">
        <v>98</v>
      </c>
      <c r="Y1885" t="s">
        <v>10467</v>
      </c>
    </row>
    <row r="1886" spans="1:25" x14ac:dyDescent="0.25">
      <c r="A1886" t="str">
        <f>"1280755803"</f>
        <v>1280755803</v>
      </c>
      <c r="B1886" t="s">
        <v>3573</v>
      </c>
      <c r="C1886" t="s">
        <v>3644</v>
      </c>
      <c r="D1886" t="s">
        <v>10468</v>
      </c>
      <c r="F1886" t="s">
        <v>1</v>
      </c>
      <c r="G1886" t="s">
        <v>2</v>
      </c>
      <c r="H1886" t="s">
        <v>3984</v>
      </c>
      <c r="I1886" t="s">
        <v>10469</v>
      </c>
      <c r="J1886" t="s">
        <v>10470</v>
      </c>
      <c r="P1886" t="s">
        <v>280</v>
      </c>
      <c r="Y1886" t="s">
        <v>4409</v>
      </c>
    </row>
    <row r="1887" spans="1:25" x14ac:dyDescent="0.25">
      <c r="A1887" t="str">
        <f>"1280776402"</f>
        <v>1280776402</v>
      </c>
      <c r="B1887" t="s">
        <v>1544</v>
      </c>
      <c r="C1887" t="s">
        <v>3596</v>
      </c>
      <c r="D1887" t="s">
        <v>10471</v>
      </c>
      <c r="E1887">
        <v>424020</v>
      </c>
      <c r="F1887" t="s">
        <v>1</v>
      </c>
      <c r="G1887" t="s">
        <v>2</v>
      </c>
      <c r="H1887" t="s">
        <v>4933</v>
      </c>
      <c r="I1887" t="s">
        <v>10472</v>
      </c>
      <c r="J1887" t="s">
        <v>10473</v>
      </c>
      <c r="P1887" t="s">
        <v>4459</v>
      </c>
      <c r="Y1887" t="s">
        <v>10474</v>
      </c>
    </row>
    <row r="1888" spans="1:25" x14ac:dyDescent="0.25">
      <c r="A1888" t="str">
        <f>"1280779525"</f>
        <v>1280779525</v>
      </c>
      <c r="B1888" t="s">
        <v>290</v>
      </c>
      <c r="C1888" t="s">
        <v>290</v>
      </c>
      <c r="D1888" t="s">
        <v>10475</v>
      </c>
      <c r="F1888" t="s">
        <v>1</v>
      </c>
      <c r="G1888" t="s">
        <v>2</v>
      </c>
      <c r="H1888" t="s">
        <v>10476</v>
      </c>
      <c r="I1888" t="s">
        <v>10477</v>
      </c>
      <c r="J1888" t="s">
        <v>10478</v>
      </c>
      <c r="P1888" t="s">
        <v>10479</v>
      </c>
      <c r="Y1888" t="s">
        <v>10480</v>
      </c>
    </row>
    <row r="1889" spans="1:25" x14ac:dyDescent="0.25">
      <c r="A1889" t="str">
        <f>"1280890659"</f>
        <v>1280890659</v>
      </c>
      <c r="B1889" t="s">
        <v>25</v>
      </c>
      <c r="C1889" t="s">
        <v>10485</v>
      </c>
      <c r="D1889" t="s">
        <v>10481</v>
      </c>
      <c r="E1889">
        <v>424004</v>
      </c>
      <c r="F1889" t="s">
        <v>1</v>
      </c>
      <c r="G1889" t="s">
        <v>2</v>
      </c>
      <c r="H1889" t="s">
        <v>351</v>
      </c>
      <c r="I1889" t="s">
        <v>10482</v>
      </c>
      <c r="J1889" t="s">
        <v>10483</v>
      </c>
      <c r="K1889" t="s">
        <v>10484</v>
      </c>
      <c r="P1889" t="s">
        <v>10486</v>
      </c>
      <c r="Y1889" t="s">
        <v>354</v>
      </c>
    </row>
    <row r="1890" spans="1:25" x14ac:dyDescent="0.25">
      <c r="A1890" t="str">
        <f>"1280969522"</f>
        <v>1280969522</v>
      </c>
      <c r="B1890" t="s">
        <v>96</v>
      </c>
      <c r="C1890" t="s">
        <v>10490</v>
      </c>
      <c r="D1890" t="s">
        <v>10487</v>
      </c>
      <c r="E1890">
        <v>424033</v>
      </c>
      <c r="F1890" t="s">
        <v>1</v>
      </c>
      <c r="G1890" t="s">
        <v>2</v>
      </c>
      <c r="H1890" t="s">
        <v>76</v>
      </c>
      <c r="J1890" t="s">
        <v>10488</v>
      </c>
      <c r="M1890" t="s">
        <v>10489</v>
      </c>
      <c r="P1890" t="s">
        <v>630</v>
      </c>
      <c r="Y1890" t="s">
        <v>10491</v>
      </c>
    </row>
    <row r="1891" spans="1:25" x14ac:dyDescent="0.25">
      <c r="A1891" t="str">
        <f>"1280990034"</f>
        <v>1280990034</v>
      </c>
      <c r="B1891" t="s">
        <v>379</v>
      </c>
      <c r="C1891" t="s">
        <v>864</v>
      </c>
      <c r="D1891" t="s">
        <v>10492</v>
      </c>
      <c r="E1891">
        <v>424007</v>
      </c>
      <c r="F1891" t="s">
        <v>1</v>
      </c>
      <c r="G1891" t="s">
        <v>2</v>
      </c>
      <c r="H1891" t="s">
        <v>4869</v>
      </c>
      <c r="J1891" t="s">
        <v>10493</v>
      </c>
      <c r="P1891" t="s">
        <v>10494</v>
      </c>
      <c r="Y1891" t="s">
        <v>10495</v>
      </c>
    </row>
    <row r="1892" spans="1:25" x14ac:dyDescent="0.25">
      <c r="A1892" t="str">
        <f>"1281061813"</f>
        <v>1281061813</v>
      </c>
      <c r="B1892" t="s">
        <v>624</v>
      </c>
      <c r="C1892" t="s">
        <v>10500</v>
      </c>
      <c r="D1892" t="s">
        <v>10496</v>
      </c>
      <c r="E1892">
        <v>424004</v>
      </c>
      <c r="F1892" t="s">
        <v>1</v>
      </c>
      <c r="G1892" t="s">
        <v>2</v>
      </c>
      <c r="H1892" t="s">
        <v>10497</v>
      </c>
      <c r="I1892" t="s">
        <v>10498</v>
      </c>
      <c r="L1892" t="s">
        <v>10499</v>
      </c>
      <c r="P1892" t="s">
        <v>152</v>
      </c>
      <c r="Y1892" t="s">
        <v>10501</v>
      </c>
    </row>
    <row r="1893" spans="1:25" x14ac:dyDescent="0.25">
      <c r="A1893" t="str">
        <f>"1281090453"</f>
        <v>1281090453</v>
      </c>
      <c r="B1893" t="s">
        <v>930</v>
      </c>
      <c r="C1893" t="s">
        <v>927</v>
      </c>
      <c r="D1893" t="s">
        <v>10502</v>
      </c>
      <c r="E1893">
        <v>424032</v>
      </c>
      <c r="F1893" t="s">
        <v>1</v>
      </c>
      <c r="G1893" t="s">
        <v>2</v>
      </c>
      <c r="H1893" t="s">
        <v>10503</v>
      </c>
      <c r="J1893" t="s">
        <v>10504</v>
      </c>
      <c r="P1893" t="s">
        <v>216</v>
      </c>
      <c r="Y1893" t="s">
        <v>10505</v>
      </c>
    </row>
    <row r="1894" spans="1:25" x14ac:dyDescent="0.25">
      <c r="A1894" t="str">
        <f>"1281133610"</f>
        <v>1281133610</v>
      </c>
      <c r="B1894" t="s">
        <v>1152</v>
      </c>
      <c r="C1894" t="s">
        <v>10507</v>
      </c>
      <c r="D1894" t="s">
        <v>8449</v>
      </c>
      <c r="E1894">
        <v>424038</v>
      </c>
      <c r="F1894" t="s">
        <v>1</v>
      </c>
      <c r="G1894" t="s">
        <v>2</v>
      </c>
      <c r="H1894" t="s">
        <v>5779</v>
      </c>
      <c r="I1894" t="s">
        <v>10506</v>
      </c>
      <c r="P1894" t="s">
        <v>216</v>
      </c>
      <c r="Y1894" t="s">
        <v>5780</v>
      </c>
    </row>
    <row r="1895" spans="1:25" x14ac:dyDescent="0.25">
      <c r="A1895" t="str">
        <f>"1281192617"</f>
        <v>1281192617</v>
      </c>
      <c r="B1895" t="s">
        <v>1053</v>
      </c>
      <c r="C1895" t="s">
        <v>10510</v>
      </c>
      <c r="D1895" t="s">
        <v>10508</v>
      </c>
      <c r="E1895">
        <v>424007</v>
      </c>
      <c r="F1895" t="s">
        <v>1</v>
      </c>
      <c r="G1895" t="s">
        <v>2</v>
      </c>
      <c r="H1895" t="s">
        <v>6164</v>
      </c>
      <c r="I1895" t="s">
        <v>10509</v>
      </c>
      <c r="P1895" t="s">
        <v>9</v>
      </c>
      <c r="Y1895" t="s">
        <v>10511</v>
      </c>
    </row>
    <row r="1896" spans="1:25" x14ac:dyDescent="0.25">
      <c r="A1896" t="str">
        <f>"1281225334"</f>
        <v>1281225334</v>
      </c>
      <c r="B1896" t="s">
        <v>80</v>
      </c>
      <c r="C1896" t="s">
        <v>10516</v>
      </c>
      <c r="D1896" t="s">
        <v>10512</v>
      </c>
      <c r="F1896" t="s">
        <v>1</v>
      </c>
      <c r="G1896" t="s">
        <v>2</v>
      </c>
      <c r="H1896" t="s">
        <v>343</v>
      </c>
      <c r="I1896" t="s">
        <v>10513</v>
      </c>
      <c r="J1896" t="s">
        <v>10514</v>
      </c>
      <c r="L1896" t="s">
        <v>10515</v>
      </c>
      <c r="P1896" t="s">
        <v>7436</v>
      </c>
      <c r="Y1896" t="s">
        <v>10517</v>
      </c>
    </row>
    <row r="1897" spans="1:25" x14ac:dyDescent="0.25">
      <c r="A1897" t="str">
        <f>"1281289043"</f>
        <v>1281289043</v>
      </c>
      <c r="B1897" t="s">
        <v>379</v>
      </c>
      <c r="C1897" t="s">
        <v>766</v>
      </c>
      <c r="D1897" t="s">
        <v>10518</v>
      </c>
      <c r="E1897">
        <v>424003</v>
      </c>
      <c r="F1897" t="s">
        <v>1</v>
      </c>
      <c r="G1897" t="s">
        <v>2</v>
      </c>
      <c r="H1897" t="s">
        <v>5311</v>
      </c>
      <c r="I1897" t="s">
        <v>10519</v>
      </c>
      <c r="M1897" t="s">
        <v>10520</v>
      </c>
      <c r="P1897" t="s">
        <v>260</v>
      </c>
      <c r="Y1897" t="s">
        <v>10521</v>
      </c>
    </row>
    <row r="1898" spans="1:25" x14ac:dyDescent="0.25">
      <c r="A1898" t="str">
        <f>"1281457479"</f>
        <v>1281457479</v>
      </c>
      <c r="B1898" t="s">
        <v>4084</v>
      </c>
      <c r="C1898" t="s">
        <v>10526</v>
      </c>
      <c r="D1898" t="s">
        <v>10522</v>
      </c>
      <c r="E1898">
        <v>424032</v>
      </c>
      <c r="F1898" t="s">
        <v>1</v>
      </c>
      <c r="G1898" t="s">
        <v>2</v>
      </c>
      <c r="H1898" t="s">
        <v>10523</v>
      </c>
      <c r="I1898" t="s">
        <v>10524</v>
      </c>
      <c r="L1898" t="s">
        <v>10525</v>
      </c>
      <c r="P1898" t="s">
        <v>10527</v>
      </c>
      <c r="Q1898" t="s">
        <v>10528</v>
      </c>
      <c r="U1898" t="s">
        <v>10529</v>
      </c>
      <c r="V1898" t="s">
        <v>10530</v>
      </c>
      <c r="Y1898" t="s">
        <v>10531</v>
      </c>
    </row>
    <row r="1899" spans="1:25" x14ac:dyDescent="0.25">
      <c r="A1899" t="str">
        <f>"1281595432"</f>
        <v>1281595432</v>
      </c>
      <c r="B1899" t="s">
        <v>160</v>
      </c>
      <c r="C1899" t="s">
        <v>9976</v>
      </c>
      <c r="D1899" t="s">
        <v>10532</v>
      </c>
      <c r="E1899">
        <v>424007</v>
      </c>
      <c r="F1899" t="s">
        <v>1</v>
      </c>
      <c r="G1899" t="s">
        <v>2</v>
      </c>
      <c r="H1899" t="s">
        <v>10533</v>
      </c>
      <c r="J1899" t="s">
        <v>10534</v>
      </c>
      <c r="P1899" t="s">
        <v>10535</v>
      </c>
      <c r="Y1899" t="s">
        <v>10536</v>
      </c>
    </row>
    <row r="1900" spans="1:25" x14ac:dyDescent="0.25">
      <c r="A1900" t="str">
        <f>"1281624988"</f>
        <v>1281624988</v>
      </c>
      <c r="B1900" t="s">
        <v>160</v>
      </c>
      <c r="C1900" t="s">
        <v>1666</v>
      </c>
      <c r="D1900" t="s">
        <v>10537</v>
      </c>
      <c r="E1900">
        <v>424007</v>
      </c>
      <c r="F1900" t="s">
        <v>1</v>
      </c>
      <c r="G1900" t="s">
        <v>2</v>
      </c>
      <c r="H1900" t="s">
        <v>819</v>
      </c>
      <c r="I1900" t="s">
        <v>10538</v>
      </c>
      <c r="P1900" t="s">
        <v>27</v>
      </c>
      <c r="Y1900" t="s">
        <v>821</v>
      </c>
    </row>
    <row r="1901" spans="1:25" x14ac:dyDescent="0.25">
      <c r="A1901" t="str">
        <f>"1281651351"</f>
        <v>1281651351</v>
      </c>
      <c r="B1901" t="s">
        <v>3094</v>
      </c>
      <c r="C1901" t="s">
        <v>10543</v>
      </c>
      <c r="D1901" t="s">
        <v>10539</v>
      </c>
      <c r="E1901">
        <v>424008</v>
      </c>
      <c r="F1901" t="s">
        <v>1</v>
      </c>
      <c r="G1901" t="s">
        <v>2</v>
      </c>
      <c r="H1901" t="s">
        <v>10540</v>
      </c>
      <c r="I1901" t="s">
        <v>10541</v>
      </c>
      <c r="L1901" t="s">
        <v>10542</v>
      </c>
      <c r="P1901" t="s">
        <v>1721</v>
      </c>
      <c r="Y1901" t="s">
        <v>10544</v>
      </c>
    </row>
    <row r="1902" spans="1:25" x14ac:dyDescent="0.25">
      <c r="A1902" t="str">
        <f>"1281652499"</f>
        <v>1281652499</v>
      </c>
      <c r="B1902" t="s">
        <v>123</v>
      </c>
      <c r="C1902" t="s">
        <v>10249</v>
      </c>
      <c r="D1902" t="s">
        <v>10545</v>
      </c>
      <c r="E1902">
        <v>424002</v>
      </c>
      <c r="F1902" t="s">
        <v>1</v>
      </c>
      <c r="G1902" t="s">
        <v>2</v>
      </c>
      <c r="H1902" t="s">
        <v>10546</v>
      </c>
      <c r="J1902" t="s">
        <v>10547</v>
      </c>
      <c r="P1902" t="s">
        <v>1270</v>
      </c>
      <c r="Y1902" t="s">
        <v>10548</v>
      </c>
    </row>
    <row r="1903" spans="1:25" x14ac:dyDescent="0.25">
      <c r="A1903" t="str">
        <f>"1281673551"</f>
        <v>1281673551</v>
      </c>
      <c r="B1903" t="s">
        <v>123</v>
      </c>
      <c r="C1903" t="s">
        <v>196</v>
      </c>
      <c r="D1903" t="s">
        <v>10549</v>
      </c>
      <c r="E1903">
        <v>424003</v>
      </c>
      <c r="F1903" t="s">
        <v>1</v>
      </c>
      <c r="G1903" t="s">
        <v>2</v>
      </c>
      <c r="H1903" t="s">
        <v>2465</v>
      </c>
      <c r="J1903" t="s">
        <v>10550</v>
      </c>
      <c r="P1903" t="s">
        <v>10551</v>
      </c>
      <c r="Y1903" t="s">
        <v>2469</v>
      </c>
    </row>
    <row r="1904" spans="1:25" x14ac:dyDescent="0.25">
      <c r="A1904" t="str">
        <f>"1281735261"</f>
        <v>1281735261</v>
      </c>
      <c r="B1904" t="s">
        <v>1315</v>
      </c>
      <c r="C1904" t="s">
        <v>4274</v>
      </c>
      <c r="D1904" t="s">
        <v>10552</v>
      </c>
      <c r="E1904">
        <v>424004</v>
      </c>
      <c r="F1904" t="s">
        <v>1</v>
      </c>
      <c r="G1904" t="s">
        <v>2</v>
      </c>
      <c r="H1904" t="s">
        <v>8326</v>
      </c>
      <c r="I1904" t="s">
        <v>10553</v>
      </c>
      <c r="K1904" t="s">
        <v>10553</v>
      </c>
      <c r="P1904" t="s">
        <v>20</v>
      </c>
      <c r="Y1904" t="s">
        <v>8331</v>
      </c>
    </row>
    <row r="1905" spans="1:25" x14ac:dyDescent="0.25">
      <c r="A1905" t="str">
        <f>"1281752806"</f>
        <v>1281752806</v>
      </c>
      <c r="B1905" t="s">
        <v>654</v>
      </c>
      <c r="C1905" t="s">
        <v>1283</v>
      </c>
      <c r="D1905" t="s">
        <v>10554</v>
      </c>
      <c r="F1905" t="s">
        <v>1</v>
      </c>
      <c r="G1905" t="s">
        <v>2</v>
      </c>
      <c r="H1905" t="s">
        <v>8822</v>
      </c>
      <c r="I1905" t="s">
        <v>10555</v>
      </c>
      <c r="J1905" t="s">
        <v>10556</v>
      </c>
      <c r="P1905" t="s">
        <v>280</v>
      </c>
      <c r="Y1905" t="s">
        <v>10557</v>
      </c>
    </row>
    <row r="1906" spans="1:25" x14ac:dyDescent="0.25">
      <c r="A1906" t="str">
        <f>"1281864551"</f>
        <v>1281864551</v>
      </c>
      <c r="B1906" t="s">
        <v>96</v>
      </c>
      <c r="C1906" t="s">
        <v>7071</v>
      </c>
      <c r="D1906" t="s">
        <v>10558</v>
      </c>
      <c r="E1906">
        <v>424031</v>
      </c>
      <c r="F1906" t="s">
        <v>1</v>
      </c>
      <c r="G1906" t="s">
        <v>2</v>
      </c>
      <c r="H1906" t="s">
        <v>10559</v>
      </c>
      <c r="I1906" t="s">
        <v>10560</v>
      </c>
      <c r="P1906" t="s">
        <v>10561</v>
      </c>
      <c r="Y1906" t="s">
        <v>10562</v>
      </c>
    </row>
    <row r="1907" spans="1:25" x14ac:dyDescent="0.25">
      <c r="A1907" t="str">
        <f>"1281875154"</f>
        <v>1281875154</v>
      </c>
      <c r="B1907" t="s">
        <v>18</v>
      </c>
      <c r="C1907" t="s">
        <v>959</v>
      </c>
      <c r="D1907" t="s">
        <v>10563</v>
      </c>
      <c r="F1907" t="s">
        <v>1</v>
      </c>
      <c r="G1907" t="s">
        <v>2</v>
      </c>
      <c r="H1907" t="s">
        <v>10564</v>
      </c>
      <c r="I1907" t="s">
        <v>10565</v>
      </c>
      <c r="P1907" t="s">
        <v>27</v>
      </c>
      <c r="Y1907" t="s">
        <v>10566</v>
      </c>
    </row>
    <row r="1908" spans="1:25" x14ac:dyDescent="0.25">
      <c r="A1908" t="str">
        <f>"1281884994"</f>
        <v>1281884994</v>
      </c>
      <c r="B1908" t="s">
        <v>123</v>
      </c>
      <c r="C1908" t="s">
        <v>196</v>
      </c>
      <c r="D1908" t="s">
        <v>10567</v>
      </c>
      <c r="E1908">
        <v>424004</v>
      </c>
      <c r="F1908" t="s">
        <v>1</v>
      </c>
      <c r="G1908" t="s">
        <v>2</v>
      </c>
      <c r="H1908" t="s">
        <v>10568</v>
      </c>
      <c r="I1908" t="s">
        <v>10569</v>
      </c>
      <c r="J1908" t="s">
        <v>10570</v>
      </c>
      <c r="P1908" t="s">
        <v>10571</v>
      </c>
      <c r="Y1908" t="s">
        <v>10572</v>
      </c>
    </row>
    <row r="1909" spans="1:25" x14ac:dyDescent="0.25">
      <c r="A1909" t="str">
        <f>"1281916542"</f>
        <v>1281916542</v>
      </c>
      <c r="B1909" t="s">
        <v>530</v>
      </c>
      <c r="C1909" t="s">
        <v>10576</v>
      </c>
      <c r="D1909" t="s">
        <v>10573</v>
      </c>
      <c r="E1909">
        <v>424004</v>
      </c>
      <c r="F1909" t="s">
        <v>1</v>
      </c>
      <c r="G1909" t="s">
        <v>2</v>
      </c>
      <c r="H1909" t="s">
        <v>186</v>
      </c>
      <c r="I1909" t="s">
        <v>10574</v>
      </c>
      <c r="J1909" t="s">
        <v>10575</v>
      </c>
      <c r="P1909" t="s">
        <v>280</v>
      </c>
      <c r="Y1909" t="s">
        <v>190</v>
      </c>
    </row>
    <row r="1910" spans="1:25" x14ac:dyDescent="0.25">
      <c r="A1910" t="str">
        <f>"1281950252"</f>
        <v>1281950252</v>
      </c>
      <c r="B1910" t="s">
        <v>18</v>
      </c>
      <c r="C1910" t="s">
        <v>10579</v>
      </c>
      <c r="D1910" t="s">
        <v>10577</v>
      </c>
      <c r="E1910">
        <v>424007</v>
      </c>
      <c r="F1910" t="s">
        <v>1</v>
      </c>
      <c r="G1910" t="s">
        <v>2</v>
      </c>
      <c r="H1910" t="s">
        <v>220</v>
      </c>
      <c r="I1910" t="s">
        <v>10578</v>
      </c>
      <c r="P1910" t="s">
        <v>280</v>
      </c>
      <c r="Y1910" t="s">
        <v>227</v>
      </c>
    </row>
    <row r="1911" spans="1:25" x14ac:dyDescent="0.25">
      <c r="A1911" t="str">
        <f>"1281960838"</f>
        <v>1281960838</v>
      </c>
      <c r="B1911" t="s">
        <v>18</v>
      </c>
      <c r="C1911" t="s">
        <v>2171</v>
      </c>
      <c r="D1911" t="s">
        <v>10580</v>
      </c>
      <c r="E1911">
        <v>424002</v>
      </c>
      <c r="F1911" t="s">
        <v>1</v>
      </c>
      <c r="G1911" t="s">
        <v>2</v>
      </c>
      <c r="H1911" t="s">
        <v>10581</v>
      </c>
      <c r="I1911" t="s">
        <v>10582</v>
      </c>
      <c r="P1911" t="s">
        <v>133</v>
      </c>
      <c r="Y1911" t="s">
        <v>10583</v>
      </c>
    </row>
    <row r="1912" spans="1:25" x14ac:dyDescent="0.25">
      <c r="A1912" t="str">
        <f>"1281961531"</f>
        <v>1281961531</v>
      </c>
      <c r="B1912" t="s">
        <v>300</v>
      </c>
      <c r="C1912" t="s">
        <v>10588</v>
      </c>
      <c r="D1912" t="s">
        <v>10584</v>
      </c>
      <c r="E1912">
        <v>424040</v>
      </c>
      <c r="F1912" t="s">
        <v>1</v>
      </c>
      <c r="G1912" t="s">
        <v>2</v>
      </c>
      <c r="H1912" t="s">
        <v>7989</v>
      </c>
      <c r="I1912" t="s">
        <v>10585</v>
      </c>
      <c r="L1912" t="s">
        <v>10586</v>
      </c>
      <c r="M1912" t="s">
        <v>10587</v>
      </c>
      <c r="P1912" t="s">
        <v>7390</v>
      </c>
      <c r="Q1912" t="s">
        <v>10589</v>
      </c>
      <c r="T1912" t="s">
        <v>10590</v>
      </c>
      <c r="V1912" t="s">
        <v>10591</v>
      </c>
      <c r="Y1912" t="s">
        <v>10592</v>
      </c>
    </row>
    <row r="1913" spans="1:25" x14ac:dyDescent="0.25">
      <c r="A1913" t="str">
        <f>"1281976715"</f>
        <v>1281976715</v>
      </c>
      <c r="B1913" t="s">
        <v>553</v>
      </c>
      <c r="C1913" t="s">
        <v>10597</v>
      </c>
      <c r="D1913" t="s">
        <v>10593</v>
      </c>
      <c r="E1913">
        <v>424008</v>
      </c>
      <c r="F1913" t="s">
        <v>1</v>
      </c>
      <c r="G1913" t="s">
        <v>2</v>
      </c>
      <c r="H1913" t="s">
        <v>4250</v>
      </c>
      <c r="I1913" t="s">
        <v>10594</v>
      </c>
      <c r="K1913" t="s">
        <v>10595</v>
      </c>
      <c r="L1913" t="s">
        <v>597</v>
      </c>
      <c r="M1913" t="s">
        <v>10596</v>
      </c>
      <c r="P1913" t="s">
        <v>27</v>
      </c>
      <c r="Y1913" t="s">
        <v>10598</v>
      </c>
    </row>
    <row r="1914" spans="1:25" x14ac:dyDescent="0.25">
      <c r="A1914" t="str">
        <f>"1281977753"</f>
        <v>1281977753</v>
      </c>
      <c r="B1914" t="s">
        <v>319</v>
      </c>
      <c r="C1914" t="s">
        <v>320</v>
      </c>
      <c r="D1914" t="s">
        <v>2556</v>
      </c>
      <c r="E1914">
        <v>424020</v>
      </c>
      <c r="F1914" t="s">
        <v>1</v>
      </c>
      <c r="G1914" t="s">
        <v>2</v>
      </c>
      <c r="H1914" t="s">
        <v>7738</v>
      </c>
      <c r="I1914" t="s">
        <v>10599</v>
      </c>
      <c r="L1914" t="s">
        <v>2559</v>
      </c>
      <c r="M1914" t="s">
        <v>10600</v>
      </c>
      <c r="P1914" t="s">
        <v>2561</v>
      </c>
      <c r="Y1914" t="s">
        <v>10601</v>
      </c>
    </row>
    <row r="1915" spans="1:25" x14ac:dyDescent="0.25">
      <c r="A1915" t="str">
        <f>"1282034877"</f>
        <v>1282034877</v>
      </c>
      <c r="B1915" t="s">
        <v>176</v>
      </c>
      <c r="C1915" t="s">
        <v>279</v>
      </c>
      <c r="D1915" t="s">
        <v>10602</v>
      </c>
      <c r="E1915">
        <v>424003</v>
      </c>
      <c r="F1915" t="s">
        <v>1</v>
      </c>
      <c r="G1915" t="s">
        <v>2</v>
      </c>
      <c r="H1915" t="s">
        <v>10603</v>
      </c>
      <c r="I1915" t="s">
        <v>10604</v>
      </c>
      <c r="P1915" t="s">
        <v>20</v>
      </c>
      <c r="Y1915" t="s">
        <v>10605</v>
      </c>
    </row>
    <row r="1916" spans="1:25" x14ac:dyDescent="0.25">
      <c r="A1916" t="str">
        <f>"1282080427"</f>
        <v>1282080427</v>
      </c>
      <c r="B1916" t="s">
        <v>32</v>
      </c>
      <c r="C1916" t="s">
        <v>2996</v>
      </c>
      <c r="D1916" t="s">
        <v>10606</v>
      </c>
      <c r="E1916">
        <v>424007</v>
      </c>
      <c r="F1916" t="s">
        <v>1</v>
      </c>
      <c r="G1916" t="s">
        <v>2</v>
      </c>
      <c r="H1916" t="s">
        <v>10607</v>
      </c>
      <c r="I1916" t="s">
        <v>10608</v>
      </c>
      <c r="J1916" t="s">
        <v>10609</v>
      </c>
      <c r="P1916" t="s">
        <v>2738</v>
      </c>
      <c r="Y1916" t="s">
        <v>10610</v>
      </c>
    </row>
    <row r="1917" spans="1:25" x14ac:dyDescent="0.25">
      <c r="A1917" t="str">
        <f>"1282118570"</f>
        <v>1282118570</v>
      </c>
      <c r="B1917" t="s">
        <v>417</v>
      </c>
      <c r="C1917" t="s">
        <v>418</v>
      </c>
      <c r="D1917" t="s">
        <v>10611</v>
      </c>
      <c r="E1917">
        <v>424038</v>
      </c>
      <c r="F1917" t="s">
        <v>1</v>
      </c>
      <c r="G1917" t="s">
        <v>2</v>
      </c>
      <c r="H1917" t="s">
        <v>1366</v>
      </c>
      <c r="I1917" t="s">
        <v>10612</v>
      </c>
      <c r="L1917" t="s">
        <v>10613</v>
      </c>
      <c r="P1917" t="s">
        <v>10614</v>
      </c>
      <c r="Y1917" t="s">
        <v>8091</v>
      </c>
    </row>
    <row r="1918" spans="1:25" x14ac:dyDescent="0.25">
      <c r="A1918" t="str">
        <f>"1282169014"</f>
        <v>1282169014</v>
      </c>
      <c r="B1918" t="s">
        <v>32</v>
      </c>
      <c r="C1918" t="s">
        <v>182</v>
      </c>
      <c r="D1918" t="s">
        <v>10615</v>
      </c>
      <c r="E1918">
        <v>424006</v>
      </c>
      <c r="F1918" t="s">
        <v>1</v>
      </c>
      <c r="G1918" t="s">
        <v>2</v>
      </c>
      <c r="H1918" t="s">
        <v>6622</v>
      </c>
      <c r="P1918" t="s">
        <v>1027</v>
      </c>
      <c r="Y1918" t="s">
        <v>10616</v>
      </c>
    </row>
    <row r="1919" spans="1:25" x14ac:dyDescent="0.25">
      <c r="A1919" t="str">
        <f>"1282265625"</f>
        <v>1282265625</v>
      </c>
      <c r="B1919" t="s">
        <v>703</v>
      </c>
      <c r="C1919" t="s">
        <v>704</v>
      </c>
      <c r="D1919" t="s">
        <v>10617</v>
      </c>
      <c r="E1919">
        <v>424006</v>
      </c>
      <c r="F1919" t="s">
        <v>1</v>
      </c>
      <c r="G1919" t="s">
        <v>2</v>
      </c>
      <c r="H1919" t="s">
        <v>8622</v>
      </c>
      <c r="I1919" t="s">
        <v>10618</v>
      </c>
      <c r="L1919" t="s">
        <v>10619</v>
      </c>
      <c r="M1919" t="s">
        <v>10620</v>
      </c>
      <c r="V1919" t="s">
        <v>10621</v>
      </c>
      <c r="Y1919" t="s">
        <v>10622</v>
      </c>
    </row>
    <row r="1920" spans="1:25" x14ac:dyDescent="0.25">
      <c r="A1920" t="str">
        <f>"1282320183"</f>
        <v>1282320183</v>
      </c>
      <c r="B1920" t="s">
        <v>462</v>
      </c>
      <c r="C1920" t="s">
        <v>1140</v>
      </c>
      <c r="D1920" t="s">
        <v>10623</v>
      </c>
      <c r="E1920">
        <v>424038</v>
      </c>
      <c r="F1920" t="s">
        <v>1</v>
      </c>
      <c r="G1920" t="s">
        <v>2</v>
      </c>
      <c r="H1920" t="s">
        <v>2145</v>
      </c>
      <c r="I1920" t="s">
        <v>10624</v>
      </c>
      <c r="M1920" t="s">
        <v>10625</v>
      </c>
      <c r="P1920" t="s">
        <v>9</v>
      </c>
      <c r="Y1920" t="s">
        <v>10626</v>
      </c>
    </row>
    <row r="1921" spans="1:25" x14ac:dyDescent="0.25">
      <c r="A1921" t="str">
        <f>"1282382951"</f>
        <v>1282382951</v>
      </c>
      <c r="B1921" t="s">
        <v>930</v>
      </c>
      <c r="C1921" t="s">
        <v>999</v>
      </c>
      <c r="D1921" t="s">
        <v>10627</v>
      </c>
      <c r="E1921">
        <v>424038</v>
      </c>
      <c r="F1921" t="s">
        <v>1</v>
      </c>
      <c r="G1921" t="s">
        <v>2</v>
      </c>
      <c r="H1921" t="s">
        <v>10628</v>
      </c>
      <c r="I1921" t="s">
        <v>10629</v>
      </c>
      <c r="L1921" t="s">
        <v>10630</v>
      </c>
      <c r="M1921" t="s">
        <v>10631</v>
      </c>
      <c r="P1921" t="s">
        <v>10632</v>
      </c>
      <c r="Q1921" t="s">
        <v>10633</v>
      </c>
      <c r="R1921" t="s">
        <v>10634</v>
      </c>
      <c r="S1921" t="s">
        <v>10635</v>
      </c>
      <c r="T1921" t="s">
        <v>10636</v>
      </c>
      <c r="U1921" t="s">
        <v>10637</v>
      </c>
      <c r="V1921" t="s">
        <v>10638</v>
      </c>
      <c r="Y1921" t="s">
        <v>10639</v>
      </c>
    </row>
    <row r="1922" spans="1:25" x14ac:dyDescent="0.25">
      <c r="A1922" t="str">
        <f>"1282498337"</f>
        <v>1282498337</v>
      </c>
      <c r="B1922" t="s">
        <v>290</v>
      </c>
      <c r="C1922" t="s">
        <v>290</v>
      </c>
      <c r="D1922" t="s">
        <v>10640</v>
      </c>
      <c r="E1922">
        <v>424000</v>
      </c>
      <c r="F1922" t="s">
        <v>1</v>
      </c>
      <c r="G1922" t="s">
        <v>2</v>
      </c>
      <c r="H1922" t="s">
        <v>3471</v>
      </c>
      <c r="J1922" t="s">
        <v>10641</v>
      </c>
      <c r="P1922" t="s">
        <v>1306</v>
      </c>
      <c r="Y1922" t="s">
        <v>10642</v>
      </c>
    </row>
    <row r="1923" spans="1:25" x14ac:dyDescent="0.25">
      <c r="A1923" t="str">
        <f>"1282599026"</f>
        <v>1282599026</v>
      </c>
      <c r="B1923" t="s">
        <v>574</v>
      </c>
      <c r="C1923" t="s">
        <v>10644</v>
      </c>
      <c r="D1923" t="s">
        <v>3388</v>
      </c>
      <c r="F1923" t="s">
        <v>1</v>
      </c>
      <c r="G1923" t="s">
        <v>2</v>
      </c>
      <c r="H1923" t="s">
        <v>10643</v>
      </c>
      <c r="P1923" t="s">
        <v>9840</v>
      </c>
      <c r="Y1923" t="s">
        <v>10645</v>
      </c>
    </row>
    <row r="1924" spans="1:25" x14ac:dyDescent="0.25">
      <c r="A1924" t="str">
        <f>"1282600465"</f>
        <v>1282600465</v>
      </c>
      <c r="B1924" t="s">
        <v>32</v>
      </c>
      <c r="C1924" t="s">
        <v>182</v>
      </c>
      <c r="D1924" s="1">
        <v>1</v>
      </c>
      <c r="E1924">
        <v>424004</v>
      </c>
      <c r="F1924" t="s">
        <v>1</v>
      </c>
      <c r="G1924" t="s">
        <v>2</v>
      </c>
      <c r="H1924" t="s">
        <v>186</v>
      </c>
      <c r="P1924" t="s">
        <v>2280</v>
      </c>
      <c r="Y1924" t="s">
        <v>10646</v>
      </c>
    </row>
    <row r="1925" spans="1:25" x14ac:dyDescent="0.25">
      <c r="A1925" t="str">
        <f>"1282610981"</f>
        <v>1282610981</v>
      </c>
      <c r="B1925" t="s">
        <v>1222</v>
      </c>
      <c r="C1925" t="s">
        <v>10651</v>
      </c>
      <c r="D1925" t="s">
        <v>10647</v>
      </c>
      <c r="E1925">
        <v>424032</v>
      </c>
      <c r="F1925" t="s">
        <v>1</v>
      </c>
      <c r="G1925" t="s">
        <v>2</v>
      </c>
      <c r="H1925" t="s">
        <v>10648</v>
      </c>
      <c r="I1925" t="s">
        <v>10649</v>
      </c>
      <c r="L1925" t="s">
        <v>10650</v>
      </c>
      <c r="P1925" t="s">
        <v>2457</v>
      </c>
      <c r="Q1925" t="s">
        <v>10652</v>
      </c>
      <c r="Y1925" t="s">
        <v>10653</v>
      </c>
    </row>
    <row r="1926" spans="1:25" x14ac:dyDescent="0.25">
      <c r="A1926" t="str">
        <f>"1282631776"</f>
        <v>1282631776</v>
      </c>
      <c r="B1926" t="s">
        <v>348</v>
      </c>
      <c r="C1926" t="s">
        <v>6978</v>
      </c>
      <c r="D1926" t="s">
        <v>10654</v>
      </c>
      <c r="E1926">
        <v>424038</v>
      </c>
      <c r="F1926" t="s">
        <v>1</v>
      </c>
      <c r="G1926" t="s">
        <v>2</v>
      </c>
      <c r="H1926" t="s">
        <v>2614</v>
      </c>
      <c r="I1926" t="s">
        <v>10655</v>
      </c>
      <c r="J1926" t="s">
        <v>10656</v>
      </c>
      <c r="L1926" t="s">
        <v>10657</v>
      </c>
      <c r="M1926" t="s">
        <v>10658</v>
      </c>
      <c r="P1926" t="s">
        <v>941</v>
      </c>
      <c r="Q1926" t="s">
        <v>10659</v>
      </c>
      <c r="Y1926" t="s">
        <v>2617</v>
      </c>
    </row>
    <row r="1927" spans="1:25" x14ac:dyDescent="0.25">
      <c r="A1927" t="str">
        <f>"1282706169"</f>
        <v>1282706169</v>
      </c>
      <c r="B1927" t="s">
        <v>654</v>
      </c>
      <c r="C1927" t="s">
        <v>2974</v>
      </c>
      <c r="D1927" t="s">
        <v>10660</v>
      </c>
      <c r="E1927">
        <v>424031</v>
      </c>
      <c r="F1927" t="s">
        <v>1</v>
      </c>
      <c r="G1927" t="s">
        <v>2</v>
      </c>
      <c r="H1927" t="s">
        <v>8799</v>
      </c>
      <c r="I1927" t="s">
        <v>10661</v>
      </c>
      <c r="J1927" t="s">
        <v>10662</v>
      </c>
      <c r="K1927" t="s">
        <v>10663</v>
      </c>
      <c r="P1927" t="s">
        <v>2979</v>
      </c>
      <c r="Y1927" t="s">
        <v>8803</v>
      </c>
    </row>
    <row r="1928" spans="1:25" x14ac:dyDescent="0.25">
      <c r="A1928" t="str">
        <f>"1282746393"</f>
        <v>1282746393</v>
      </c>
      <c r="B1928" t="s">
        <v>1152</v>
      </c>
      <c r="C1928" t="s">
        <v>8523</v>
      </c>
      <c r="D1928" t="s">
        <v>10664</v>
      </c>
      <c r="E1928">
        <v>424019</v>
      </c>
      <c r="F1928" t="s">
        <v>1</v>
      </c>
      <c r="G1928" t="s">
        <v>2</v>
      </c>
      <c r="H1928" t="s">
        <v>10665</v>
      </c>
      <c r="I1928" t="s">
        <v>10666</v>
      </c>
      <c r="J1928" t="s">
        <v>10667</v>
      </c>
      <c r="P1928" t="s">
        <v>390</v>
      </c>
      <c r="Q1928" t="s">
        <v>10668</v>
      </c>
      <c r="Y1928" t="s">
        <v>10669</v>
      </c>
    </row>
    <row r="1929" spans="1:25" x14ac:dyDescent="0.25">
      <c r="A1929" t="str">
        <f>"1282755221"</f>
        <v>1282755221</v>
      </c>
      <c r="B1929" t="s">
        <v>703</v>
      </c>
      <c r="C1929" t="s">
        <v>2129</v>
      </c>
      <c r="D1929" t="s">
        <v>10670</v>
      </c>
      <c r="E1929">
        <v>424031</v>
      </c>
      <c r="F1929" t="s">
        <v>1</v>
      </c>
      <c r="G1929" t="s">
        <v>2</v>
      </c>
      <c r="H1929" t="s">
        <v>10671</v>
      </c>
      <c r="I1929" t="s">
        <v>10672</v>
      </c>
      <c r="J1929" t="s">
        <v>10673</v>
      </c>
      <c r="P1929" t="s">
        <v>216</v>
      </c>
      <c r="Y1929" t="s">
        <v>10674</v>
      </c>
    </row>
    <row r="1930" spans="1:25" x14ac:dyDescent="0.25">
      <c r="A1930" t="str">
        <f>"1282805378"</f>
        <v>1282805378</v>
      </c>
      <c r="B1930" t="s">
        <v>176</v>
      </c>
      <c r="C1930" t="s">
        <v>2838</v>
      </c>
      <c r="D1930" t="s">
        <v>10675</v>
      </c>
      <c r="E1930">
        <v>424002</v>
      </c>
      <c r="F1930" t="s">
        <v>1</v>
      </c>
      <c r="G1930" t="s">
        <v>2</v>
      </c>
      <c r="H1930" t="s">
        <v>744</v>
      </c>
      <c r="J1930" t="s">
        <v>10676</v>
      </c>
      <c r="P1930" t="s">
        <v>748</v>
      </c>
      <c r="Y1930" t="s">
        <v>749</v>
      </c>
    </row>
    <row r="1931" spans="1:25" x14ac:dyDescent="0.25">
      <c r="A1931" t="str">
        <f>"1282817399"</f>
        <v>1282817399</v>
      </c>
      <c r="B1931" t="s">
        <v>1475</v>
      </c>
      <c r="C1931" t="s">
        <v>1476</v>
      </c>
      <c r="D1931" t="s">
        <v>10677</v>
      </c>
      <c r="E1931">
        <v>424000</v>
      </c>
      <c r="F1931" t="s">
        <v>1</v>
      </c>
      <c r="G1931" t="s">
        <v>2</v>
      </c>
      <c r="H1931" t="s">
        <v>92</v>
      </c>
      <c r="I1931" t="s">
        <v>10678</v>
      </c>
      <c r="P1931" t="s">
        <v>2738</v>
      </c>
      <c r="Y1931" t="s">
        <v>10679</v>
      </c>
    </row>
    <row r="1932" spans="1:25" x14ac:dyDescent="0.25">
      <c r="A1932" t="str">
        <f>"1282906799"</f>
        <v>1282906799</v>
      </c>
      <c r="B1932" t="s">
        <v>2372</v>
      </c>
      <c r="C1932" t="s">
        <v>10683</v>
      </c>
      <c r="D1932" t="s">
        <v>10680</v>
      </c>
      <c r="E1932">
        <v>424038</v>
      </c>
      <c r="F1932" t="s">
        <v>1</v>
      </c>
      <c r="G1932" t="s">
        <v>2</v>
      </c>
      <c r="H1932" t="s">
        <v>10681</v>
      </c>
      <c r="J1932" t="s">
        <v>10682</v>
      </c>
      <c r="P1932" t="s">
        <v>10416</v>
      </c>
      <c r="Y1932" t="s">
        <v>10684</v>
      </c>
    </row>
    <row r="1933" spans="1:25" x14ac:dyDescent="0.25">
      <c r="A1933" t="str">
        <f>"1282949885"</f>
        <v>1282949885</v>
      </c>
      <c r="B1933" t="s">
        <v>1053</v>
      </c>
      <c r="C1933" t="s">
        <v>5092</v>
      </c>
      <c r="D1933" t="s">
        <v>10685</v>
      </c>
      <c r="E1933">
        <v>424006</v>
      </c>
      <c r="F1933" t="s">
        <v>1</v>
      </c>
      <c r="G1933" t="s">
        <v>2</v>
      </c>
      <c r="H1933" t="s">
        <v>10686</v>
      </c>
      <c r="I1933" t="s">
        <v>10687</v>
      </c>
      <c r="J1933" t="s">
        <v>10688</v>
      </c>
      <c r="P1933" t="s">
        <v>10689</v>
      </c>
      <c r="Y1933" t="s">
        <v>10690</v>
      </c>
    </row>
    <row r="1934" spans="1:25" x14ac:dyDescent="0.25">
      <c r="A1934" t="str">
        <f>"1283061897"</f>
        <v>1283061897</v>
      </c>
      <c r="B1934" t="s">
        <v>1611</v>
      </c>
      <c r="C1934" t="s">
        <v>2214</v>
      </c>
      <c r="D1934" t="s">
        <v>10691</v>
      </c>
      <c r="E1934">
        <v>424037</v>
      </c>
      <c r="F1934" t="s">
        <v>1</v>
      </c>
      <c r="G1934" t="s">
        <v>2</v>
      </c>
      <c r="H1934" t="s">
        <v>10692</v>
      </c>
      <c r="I1934" t="s">
        <v>10693</v>
      </c>
      <c r="L1934" t="s">
        <v>3217</v>
      </c>
      <c r="P1934" t="s">
        <v>425</v>
      </c>
      <c r="Y1934" t="s">
        <v>10694</v>
      </c>
    </row>
    <row r="1935" spans="1:25" x14ac:dyDescent="0.25">
      <c r="A1935" t="str">
        <f>"1283184770"</f>
        <v>1283184770</v>
      </c>
      <c r="B1935" t="s">
        <v>3700</v>
      </c>
      <c r="C1935" t="s">
        <v>4023</v>
      </c>
      <c r="D1935" t="s">
        <v>10695</v>
      </c>
      <c r="E1935">
        <v>424005</v>
      </c>
      <c r="F1935" t="s">
        <v>1</v>
      </c>
      <c r="G1935" t="s">
        <v>2</v>
      </c>
      <c r="H1935" t="s">
        <v>6843</v>
      </c>
      <c r="I1935" t="s">
        <v>10696</v>
      </c>
      <c r="J1935" t="s">
        <v>10697</v>
      </c>
      <c r="P1935" t="s">
        <v>10698</v>
      </c>
      <c r="Y1935" t="s">
        <v>10699</v>
      </c>
    </row>
    <row r="1936" spans="1:25" x14ac:dyDescent="0.25">
      <c r="A1936" t="str">
        <f>"1283192730"</f>
        <v>1283192730</v>
      </c>
      <c r="B1936" t="s">
        <v>2818</v>
      </c>
      <c r="C1936" t="s">
        <v>6466</v>
      </c>
      <c r="D1936" t="s">
        <v>10700</v>
      </c>
      <c r="E1936">
        <v>424028</v>
      </c>
      <c r="F1936" t="s">
        <v>1</v>
      </c>
      <c r="G1936" t="s">
        <v>2</v>
      </c>
      <c r="H1936" t="s">
        <v>10701</v>
      </c>
      <c r="J1936" t="s">
        <v>10702</v>
      </c>
      <c r="P1936" t="s">
        <v>10703</v>
      </c>
      <c r="Y1936" t="s">
        <v>10704</v>
      </c>
    </row>
    <row r="1937" spans="1:25" x14ac:dyDescent="0.25">
      <c r="A1937" t="str">
        <f>"1283235229"</f>
        <v>1283235229</v>
      </c>
      <c r="B1937" t="s">
        <v>160</v>
      </c>
      <c r="C1937" t="s">
        <v>1666</v>
      </c>
      <c r="D1937" t="s">
        <v>10705</v>
      </c>
      <c r="E1937">
        <v>424019</v>
      </c>
      <c r="F1937" t="s">
        <v>1</v>
      </c>
      <c r="G1937" t="s">
        <v>2</v>
      </c>
      <c r="H1937" t="s">
        <v>10706</v>
      </c>
      <c r="J1937" t="s">
        <v>10707</v>
      </c>
      <c r="Y1937" t="s">
        <v>10708</v>
      </c>
    </row>
    <row r="1938" spans="1:25" x14ac:dyDescent="0.25">
      <c r="A1938" t="str">
        <f>"1283305403"</f>
        <v>1283305403</v>
      </c>
      <c r="B1938" t="s">
        <v>123</v>
      </c>
      <c r="C1938" t="s">
        <v>3262</v>
      </c>
      <c r="D1938" t="s">
        <v>10709</v>
      </c>
      <c r="E1938">
        <v>424006</v>
      </c>
      <c r="F1938" t="s">
        <v>1</v>
      </c>
      <c r="G1938" t="s">
        <v>2</v>
      </c>
      <c r="H1938" t="s">
        <v>4821</v>
      </c>
      <c r="I1938" t="s">
        <v>10710</v>
      </c>
      <c r="L1938" t="s">
        <v>10711</v>
      </c>
      <c r="M1938" t="s">
        <v>10712</v>
      </c>
      <c r="P1938" t="s">
        <v>10713</v>
      </c>
      <c r="Q1938" t="s">
        <v>10714</v>
      </c>
      <c r="U1938" t="s">
        <v>10715</v>
      </c>
      <c r="V1938" t="s">
        <v>10716</v>
      </c>
      <c r="Y1938" t="s">
        <v>10717</v>
      </c>
    </row>
    <row r="1939" spans="1:25" x14ac:dyDescent="0.25">
      <c r="A1939" t="str">
        <f>"1283355925"</f>
        <v>1283355925</v>
      </c>
      <c r="B1939" t="s">
        <v>96</v>
      </c>
      <c r="C1939" t="s">
        <v>2285</v>
      </c>
      <c r="D1939" t="s">
        <v>10718</v>
      </c>
      <c r="E1939">
        <v>424000</v>
      </c>
      <c r="F1939" t="s">
        <v>1</v>
      </c>
      <c r="G1939" t="s">
        <v>2</v>
      </c>
      <c r="H1939" t="s">
        <v>4255</v>
      </c>
      <c r="P1939" t="s">
        <v>133</v>
      </c>
      <c r="Y1939" t="s">
        <v>4256</v>
      </c>
    </row>
    <row r="1940" spans="1:25" x14ac:dyDescent="0.25">
      <c r="A1940" t="str">
        <f>"1283386662"</f>
        <v>1283386662</v>
      </c>
      <c r="B1940" t="s">
        <v>430</v>
      </c>
      <c r="C1940" t="s">
        <v>2571</v>
      </c>
      <c r="D1940" t="s">
        <v>10719</v>
      </c>
      <c r="E1940">
        <v>424033</v>
      </c>
      <c r="F1940" t="s">
        <v>1</v>
      </c>
      <c r="G1940" t="s">
        <v>2</v>
      </c>
      <c r="H1940" t="s">
        <v>10720</v>
      </c>
      <c r="I1940" t="s">
        <v>10721</v>
      </c>
      <c r="J1940" t="s">
        <v>10722</v>
      </c>
      <c r="P1940" t="s">
        <v>1027</v>
      </c>
      <c r="Y1940" t="s">
        <v>10723</v>
      </c>
    </row>
    <row r="1941" spans="1:25" x14ac:dyDescent="0.25">
      <c r="A1941" t="str">
        <f>"1283407621"</f>
        <v>1283407621</v>
      </c>
      <c r="B1941" t="s">
        <v>687</v>
      </c>
      <c r="C1941" t="s">
        <v>5413</v>
      </c>
      <c r="D1941" t="s">
        <v>10724</v>
      </c>
      <c r="E1941">
        <v>424007</v>
      </c>
      <c r="F1941" t="s">
        <v>1</v>
      </c>
      <c r="G1941" t="s">
        <v>2</v>
      </c>
      <c r="H1941" t="s">
        <v>220</v>
      </c>
      <c r="I1941" t="s">
        <v>10725</v>
      </c>
      <c r="P1941" t="s">
        <v>60</v>
      </c>
      <c r="Y1941" t="s">
        <v>227</v>
      </c>
    </row>
    <row r="1942" spans="1:25" x14ac:dyDescent="0.25">
      <c r="A1942" t="str">
        <f>"1283457682"</f>
        <v>1283457682</v>
      </c>
      <c r="B1942" t="s">
        <v>930</v>
      </c>
      <c r="C1942" t="s">
        <v>1940</v>
      </c>
      <c r="D1942" t="s">
        <v>10726</v>
      </c>
      <c r="F1942" t="s">
        <v>1</v>
      </c>
      <c r="G1942" t="s">
        <v>2</v>
      </c>
      <c r="H1942" t="s">
        <v>10727</v>
      </c>
      <c r="I1942" t="s">
        <v>10728</v>
      </c>
      <c r="M1942" t="s">
        <v>10729</v>
      </c>
      <c r="P1942" t="s">
        <v>216</v>
      </c>
      <c r="Q1942" t="s">
        <v>10730</v>
      </c>
      <c r="T1942" t="s">
        <v>10731</v>
      </c>
      <c r="V1942" t="s">
        <v>10732</v>
      </c>
      <c r="Y1942" t="s">
        <v>10733</v>
      </c>
    </row>
    <row r="1943" spans="1:25" x14ac:dyDescent="0.25">
      <c r="A1943" t="str">
        <f>"1283476532"</f>
        <v>1283476532</v>
      </c>
      <c r="B1943" t="s">
        <v>348</v>
      </c>
      <c r="C1943" t="s">
        <v>10738</v>
      </c>
      <c r="D1943" t="s">
        <v>10734</v>
      </c>
      <c r="E1943">
        <v>424006</v>
      </c>
      <c r="F1943" t="s">
        <v>1</v>
      </c>
      <c r="G1943" t="s">
        <v>2</v>
      </c>
      <c r="H1943" t="s">
        <v>2825</v>
      </c>
      <c r="I1943" t="s">
        <v>10735</v>
      </c>
      <c r="L1943" t="s">
        <v>10736</v>
      </c>
      <c r="M1943" t="s">
        <v>10737</v>
      </c>
      <c r="P1943" t="s">
        <v>10739</v>
      </c>
      <c r="Y1943" t="s">
        <v>2832</v>
      </c>
    </row>
    <row r="1944" spans="1:25" x14ac:dyDescent="0.25">
      <c r="A1944" t="str">
        <f>"1283524703"</f>
        <v>1283524703</v>
      </c>
      <c r="B1944" t="s">
        <v>397</v>
      </c>
      <c r="C1944" t="s">
        <v>10745</v>
      </c>
      <c r="D1944" t="s">
        <v>10740</v>
      </c>
      <c r="E1944">
        <v>424028</v>
      </c>
      <c r="F1944" t="s">
        <v>1</v>
      </c>
      <c r="G1944" t="s">
        <v>2</v>
      </c>
      <c r="H1944" t="s">
        <v>10741</v>
      </c>
      <c r="I1944" t="s">
        <v>10742</v>
      </c>
      <c r="L1944" t="s">
        <v>10743</v>
      </c>
      <c r="M1944" t="s">
        <v>10744</v>
      </c>
      <c r="Y1944" t="s">
        <v>10746</v>
      </c>
    </row>
    <row r="1945" spans="1:25" x14ac:dyDescent="0.25">
      <c r="A1945" t="str">
        <f>"1283553537"</f>
        <v>1283553537</v>
      </c>
      <c r="B1945" t="s">
        <v>703</v>
      </c>
      <c r="C1945" t="s">
        <v>2129</v>
      </c>
      <c r="D1945" t="s">
        <v>2129</v>
      </c>
      <c r="F1945" t="s">
        <v>1</v>
      </c>
      <c r="G1945" t="s">
        <v>2</v>
      </c>
      <c r="H1945" t="s">
        <v>2018</v>
      </c>
      <c r="I1945" t="s">
        <v>10747</v>
      </c>
      <c r="J1945" t="s">
        <v>10748</v>
      </c>
      <c r="K1945" t="s">
        <v>10747</v>
      </c>
      <c r="P1945" t="s">
        <v>280</v>
      </c>
      <c r="Y1945" t="s">
        <v>2131</v>
      </c>
    </row>
    <row r="1946" spans="1:25" x14ac:dyDescent="0.25">
      <c r="A1946" t="str">
        <f>"1283644259"</f>
        <v>1283644259</v>
      </c>
      <c r="B1946" t="s">
        <v>703</v>
      </c>
      <c r="C1946" t="s">
        <v>7344</v>
      </c>
      <c r="D1946" t="s">
        <v>10749</v>
      </c>
      <c r="E1946">
        <v>424036</v>
      </c>
      <c r="F1946" t="s">
        <v>1</v>
      </c>
      <c r="G1946" t="s">
        <v>2</v>
      </c>
      <c r="H1946" t="s">
        <v>10750</v>
      </c>
      <c r="I1946" t="s">
        <v>10751</v>
      </c>
      <c r="J1946" t="s">
        <v>10752</v>
      </c>
      <c r="P1946" t="s">
        <v>280</v>
      </c>
      <c r="Y1946" t="s">
        <v>10753</v>
      </c>
    </row>
    <row r="1947" spans="1:25" x14ac:dyDescent="0.25">
      <c r="A1947" t="str">
        <f>"1283758302"</f>
        <v>1283758302</v>
      </c>
      <c r="B1947" t="s">
        <v>96</v>
      </c>
      <c r="C1947" t="s">
        <v>10758</v>
      </c>
      <c r="D1947" t="s">
        <v>10754</v>
      </c>
      <c r="E1947">
        <v>424038</v>
      </c>
      <c r="F1947" t="s">
        <v>1</v>
      </c>
      <c r="G1947" t="s">
        <v>2</v>
      </c>
      <c r="H1947" t="s">
        <v>7597</v>
      </c>
      <c r="I1947" t="s">
        <v>10755</v>
      </c>
      <c r="L1947" t="s">
        <v>10756</v>
      </c>
      <c r="M1947" t="s">
        <v>10757</v>
      </c>
      <c r="P1947" t="s">
        <v>1642</v>
      </c>
      <c r="Q1947" t="s">
        <v>10759</v>
      </c>
      <c r="R1947" t="s">
        <v>10760</v>
      </c>
      <c r="T1947" t="s">
        <v>10761</v>
      </c>
      <c r="Y1947" t="s">
        <v>10762</v>
      </c>
    </row>
    <row r="1948" spans="1:25" x14ac:dyDescent="0.25">
      <c r="A1948" t="str">
        <f>"1283774889"</f>
        <v>1283774889</v>
      </c>
      <c r="B1948" t="s">
        <v>25</v>
      </c>
      <c r="C1948" t="s">
        <v>1596</v>
      </c>
      <c r="D1948" t="s">
        <v>3493</v>
      </c>
      <c r="E1948">
        <v>424000</v>
      </c>
      <c r="F1948" t="s">
        <v>1</v>
      </c>
      <c r="G1948" t="s">
        <v>2</v>
      </c>
      <c r="H1948" t="s">
        <v>2193</v>
      </c>
      <c r="P1948" t="s">
        <v>152</v>
      </c>
      <c r="Y1948" t="s">
        <v>2196</v>
      </c>
    </row>
    <row r="1949" spans="1:25" x14ac:dyDescent="0.25">
      <c r="A1949" t="str">
        <f>"1283793780"</f>
        <v>1283793780</v>
      </c>
      <c r="B1949" t="s">
        <v>574</v>
      </c>
      <c r="C1949" t="s">
        <v>3332</v>
      </c>
      <c r="D1949" t="s">
        <v>3329</v>
      </c>
      <c r="E1949">
        <v>424038</v>
      </c>
      <c r="F1949" t="s">
        <v>1</v>
      </c>
      <c r="G1949" t="s">
        <v>2</v>
      </c>
      <c r="H1949" t="s">
        <v>6059</v>
      </c>
      <c r="I1949" t="s">
        <v>10763</v>
      </c>
      <c r="P1949" t="s">
        <v>8133</v>
      </c>
      <c r="Y1949" t="s">
        <v>10764</v>
      </c>
    </row>
    <row r="1950" spans="1:25" x14ac:dyDescent="0.25">
      <c r="A1950" t="str">
        <f>"1283796206"</f>
        <v>1283796206</v>
      </c>
      <c r="B1950" t="s">
        <v>123</v>
      </c>
      <c r="C1950" t="s">
        <v>10769</v>
      </c>
      <c r="D1950" t="s">
        <v>10765</v>
      </c>
      <c r="E1950">
        <v>424038</v>
      </c>
      <c r="F1950" t="s">
        <v>1</v>
      </c>
      <c r="G1950" t="s">
        <v>2</v>
      </c>
      <c r="H1950" t="s">
        <v>10766</v>
      </c>
      <c r="I1950" t="s">
        <v>10767</v>
      </c>
      <c r="J1950" t="s">
        <v>10768</v>
      </c>
      <c r="P1950" t="s">
        <v>34</v>
      </c>
      <c r="Y1950" t="s">
        <v>10770</v>
      </c>
    </row>
    <row r="1951" spans="1:25" x14ac:dyDescent="0.25">
      <c r="A1951" t="str">
        <f>"1283807410"</f>
        <v>1283807410</v>
      </c>
      <c r="B1951" t="s">
        <v>352</v>
      </c>
      <c r="C1951" t="s">
        <v>353</v>
      </c>
      <c r="D1951" t="s">
        <v>10771</v>
      </c>
      <c r="E1951">
        <v>424038</v>
      </c>
      <c r="F1951" t="s">
        <v>1</v>
      </c>
      <c r="G1951" t="s">
        <v>2</v>
      </c>
      <c r="H1951" t="s">
        <v>10772</v>
      </c>
      <c r="I1951" t="s">
        <v>10773</v>
      </c>
      <c r="J1951" t="s">
        <v>10774</v>
      </c>
      <c r="L1951" t="s">
        <v>10775</v>
      </c>
      <c r="P1951" t="s">
        <v>27</v>
      </c>
      <c r="Y1951" t="s">
        <v>10776</v>
      </c>
    </row>
    <row r="1952" spans="1:25" x14ac:dyDescent="0.25">
      <c r="A1952" t="str">
        <f>"1283887255"</f>
        <v>1283887255</v>
      </c>
      <c r="B1952" t="s">
        <v>1053</v>
      </c>
      <c r="C1952" t="s">
        <v>1927</v>
      </c>
      <c r="D1952" t="s">
        <v>10777</v>
      </c>
      <c r="E1952">
        <v>424002</v>
      </c>
      <c r="F1952" t="s">
        <v>1</v>
      </c>
      <c r="G1952" t="s">
        <v>2</v>
      </c>
      <c r="H1952" t="s">
        <v>3604</v>
      </c>
      <c r="I1952" t="s">
        <v>10778</v>
      </c>
      <c r="P1952" t="s">
        <v>1160</v>
      </c>
      <c r="Y1952" t="s">
        <v>10779</v>
      </c>
    </row>
    <row r="1953" spans="1:25" x14ac:dyDescent="0.25">
      <c r="A1953" t="str">
        <f>"1283899278"</f>
        <v>1283899278</v>
      </c>
      <c r="B1953" t="s">
        <v>1078</v>
      </c>
      <c r="C1953" t="s">
        <v>10783</v>
      </c>
      <c r="D1953" t="s">
        <v>4257</v>
      </c>
      <c r="E1953">
        <v>424006</v>
      </c>
      <c r="F1953" t="s">
        <v>1</v>
      </c>
      <c r="G1953" t="s">
        <v>2</v>
      </c>
      <c r="H1953" t="s">
        <v>4541</v>
      </c>
      <c r="I1953" t="s">
        <v>10780</v>
      </c>
      <c r="K1953" t="s">
        <v>10780</v>
      </c>
      <c r="L1953" t="s">
        <v>10781</v>
      </c>
      <c r="M1953" t="s">
        <v>10782</v>
      </c>
      <c r="P1953" t="s">
        <v>27</v>
      </c>
      <c r="Y1953" t="s">
        <v>10784</v>
      </c>
    </row>
    <row r="1954" spans="1:25" x14ac:dyDescent="0.25">
      <c r="A1954" t="str">
        <f>"1283961312"</f>
        <v>1283961312</v>
      </c>
      <c r="B1954" t="s">
        <v>456</v>
      </c>
      <c r="C1954" t="s">
        <v>10789</v>
      </c>
      <c r="D1954" t="s">
        <v>10785</v>
      </c>
      <c r="E1954">
        <v>424000</v>
      </c>
      <c r="F1954" t="s">
        <v>1</v>
      </c>
      <c r="G1954" t="s">
        <v>2</v>
      </c>
      <c r="H1954" t="s">
        <v>1531</v>
      </c>
      <c r="I1954" t="s">
        <v>10786</v>
      </c>
      <c r="L1954" t="s">
        <v>10787</v>
      </c>
      <c r="M1954" t="s">
        <v>10788</v>
      </c>
      <c r="P1954" t="s">
        <v>10024</v>
      </c>
      <c r="Q1954" t="s">
        <v>10790</v>
      </c>
      <c r="R1954" t="s">
        <v>10791</v>
      </c>
      <c r="S1954" t="s">
        <v>10792</v>
      </c>
      <c r="T1954" t="s">
        <v>10793</v>
      </c>
      <c r="Y1954" t="s">
        <v>10794</v>
      </c>
    </row>
    <row r="1955" spans="1:25" x14ac:dyDescent="0.25">
      <c r="A1955" t="str">
        <f>"1284123094"</f>
        <v>1284123094</v>
      </c>
      <c r="B1955" t="s">
        <v>151</v>
      </c>
      <c r="C1955" t="s">
        <v>151</v>
      </c>
      <c r="D1955" t="s">
        <v>10795</v>
      </c>
      <c r="E1955">
        <v>424020</v>
      </c>
      <c r="F1955" t="s">
        <v>1</v>
      </c>
      <c r="G1955" t="s">
        <v>2</v>
      </c>
      <c r="H1955" t="s">
        <v>23</v>
      </c>
      <c r="I1955" t="s">
        <v>10796</v>
      </c>
      <c r="P1955" t="s">
        <v>27</v>
      </c>
      <c r="Y1955" t="s">
        <v>6162</v>
      </c>
    </row>
    <row r="1956" spans="1:25" x14ac:dyDescent="0.25">
      <c r="A1956" t="str">
        <f>"1284138082"</f>
        <v>1284138082</v>
      </c>
      <c r="B1956" t="s">
        <v>388</v>
      </c>
      <c r="C1956" t="s">
        <v>2653</v>
      </c>
      <c r="D1956" t="s">
        <v>10797</v>
      </c>
      <c r="E1956">
        <v>424008</v>
      </c>
      <c r="F1956" t="s">
        <v>1</v>
      </c>
      <c r="G1956" t="s">
        <v>2</v>
      </c>
      <c r="H1956" t="s">
        <v>10798</v>
      </c>
      <c r="I1956" t="s">
        <v>10799</v>
      </c>
      <c r="J1956" t="s">
        <v>10800</v>
      </c>
      <c r="P1956" t="s">
        <v>27</v>
      </c>
      <c r="Y1956" t="s">
        <v>10801</v>
      </c>
    </row>
    <row r="1957" spans="1:25" x14ac:dyDescent="0.25">
      <c r="A1957" t="str">
        <f>"1284207869"</f>
        <v>1284207869</v>
      </c>
      <c r="B1957" t="s">
        <v>32</v>
      </c>
      <c r="C1957" t="s">
        <v>5623</v>
      </c>
      <c r="D1957" t="s">
        <v>10802</v>
      </c>
      <c r="E1957">
        <v>424000</v>
      </c>
      <c r="F1957" t="s">
        <v>1</v>
      </c>
      <c r="G1957" t="s">
        <v>2</v>
      </c>
      <c r="H1957" t="s">
        <v>10803</v>
      </c>
      <c r="I1957" t="s">
        <v>10804</v>
      </c>
      <c r="J1957" t="s">
        <v>10222</v>
      </c>
      <c r="P1957" t="s">
        <v>3456</v>
      </c>
      <c r="Y1957" t="s">
        <v>10805</v>
      </c>
    </row>
    <row r="1958" spans="1:25" x14ac:dyDescent="0.25">
      <c r="A1958" t="str">
        <f>"1284271576"</f>
        <v>1284271576</v>
      </c>
      <c r="B1958" t="s">
        <v>2178</v>
      </c>
      <c r="C1958" t="s">
        <v>2179</v>
      </c>
      <c r="D1958" t="s">
        <v>2179</v>
      </c>
      <c r="E1958">
        <v>424038</v>
      </c>
      <c r="F1958" t="s">
        <v>1</v>
      </c>
      <c r="G1958" t="s">
        <v>2</v>
      </c>
      <c r="H1958" t="s">
        <v>2087</v>
      </c>
      <c r="I1958" t="s">
        <v>10806</v>
      </c>
      <c r="L1958" t="s">
        <v>10327</v>
      </c>
      <c r="M1958" t="s">
        <v>10328</v>
      </c>
      <c r="P1958" t="s">
        <v>10807</v>
      </c>
      <c r="Y1958" t="s">
        <v>10808</v>
      </c>
    </row>
    <row r="1959" spans="1:25" x14ac:dyDescent="0.25">
      <c r="A1959" t="str">
        <f>"1284446343"</f>
        <v>1284446343</v>
      </c>
      <c r="B1959" t="s">
        <v>687</v>
      </c>
      <c r="C1959" t="s">
        <v>10811</v>
      </c>
      <c r="D1959" t="s">
        <v>10809</v>
      </c>
      <c r="E1959">
        <v>424007</v>
      </c>
      <c r="F1959" t="s">
        <v>1</v>
      </c>
      <c r="G1959" t="s">
        <v>2</v>
      </c>
      <c r="H1959" t="s">
        <v>6164</v>
      </c>
      <c r="I1959" t="s">
        <v>10810</v>
      </c>
      <c r="P1959" t="s">
        <v>10812</v>
      </c>
      <c r="Y1959" t="s">
        <v>10813</v>
      </c>
    </row>
    <row r="1960" spans="1:25" x14ac:dyDescent="0.25">
      <c r="A1960" t="str">
        <f>"1284452708"</f>
        <v>1284452708</v>
      </c>
      <c r="B1960" t="s">
        <v>18</v>
      </c>
      <c r="C1960" t="s">
        <v>5677</v>
      </c>
      <c r="D1960" t="s">
        <v>10814</v>
      </c>
      <c r="E1960">
        <v>424016</v>
      </c>
      <c r="F1960" t="s">
        <v>1</v>
      </c>
      <c r="G1960" t="s">
        <v>2</v>
      </c>
      <c r="H1960" t="s">
        <v>3703</v>
      </c>
      <c r="I1960" t="s">
        <v>10815</v>
      </c>
      <c r="J1960" t="s">
        <v>10816</v>
      </c>
      <c r="P1960" t="s">
        <v>20</v>
      </c>
      <c r="Y1960" t="s">
        <v>5274</v>
      </c>
    </row>
    <row r="1961" spans="1:25" x14ac:dyDescent="0.25">
      <c r="A1961" t="str">
        <f>"1284598665"</f>
        <v>1284598665</v>
      </c>
      <c r="B1961" t="s">
        <v>2055</v>
      </c>
      <c r="C1961" t="s">
        <v>10822</v>
      </c>
      <c r="D1961" t="s">
        <v>10817</v>
      </c>
      <c r="E1961">
        <v>424006</v>
      </c>
      <c r="F1961" t="s">
        <v>1</v>
      </c>
      <c r="G1961" t="s">
        <v>2</v>
      </c>
      <c r="H1961" t="s">
        <v>10818</v>
      </c>
      <c r="J1961" t="s">
        <v>10819</v>
      </c>
      <c r="L1961" t="s">
        <v>10820</v>
      </c>
      <c r="M1961" t="s">
        <v>10821</v>
      </c>
      <c r="P1961" t="s">
        <v>27</v>
      </c>
      <c r="Y1961" t="s">
        <v>10823</v>
      </c>
    </row>
    <row r="1962" spans="1:25" x14ac:dyDescent="0.25">
      <c r="A1962" t="str">
        <f>"1284628779"</f>
        <v>1284628779</v>
      </c>
      <c r="B1962" t="s">
        <v>1053</v>
      </c>
      <c r="C1962" t="s">
        <v>4372</v>
      </c>
      <c r="D1962" t="s">
        <v>10824</v>
      </c>
      <c r="E1962">
        <v>424020</v>
      </c>
      <c r="F1962" t="s">
        <v>1</v>
      </c>
      <c r="G1962" t="s">
        <v>2</v>
      </c>
      <c r="H1962" t="s">
        <v>10825</v>
      </c>
      <c r="J1962" t="s">
        <v>10826</v>
      </c>
      <c r="P1962" t="s">
        <v>2020</v>
      </c>
      <c r="Y1962" t="s">
        <v>10827</v>
      </c>
    </row>
    <row r="1963" spans="1:25" x14ac:dyDescent="0.25">
      <c r="A1963" t="str">
        <f>"1284630761"</f>
        <v>1284630761</v>
      </c>
      <c r="B1963" t="s">
        <v>930</v>
      </c>
      <c r="C1963" t="s">
        <v>10832</v>
      </c>
      <c r="D1963" t="s">
        <v>10828</v>
      </c>
      <c r="E1963">
        <v>424003</v>
      </c>
      <c r="F1963" t="s">
        <v>1</v>
      </c>
      <c r="G1963" t="s">
        <v>2</v>
      </c>
      <c r="H1963" t="s">
        <v>10829</v>
      </c>
      <c r="I1963" t="s">
        <v>10830</v>
      </c>
      <c r="J1963" t="s">
        <v>10831</v>
      </c>
      <c r="P1963" t="s">
        <v>340</v>
      </c>
      <c r="S1963" t="s">
        <v>10833</v>
      </c>
      <c r="T1963" t="s">
        <v>10834</v>
      </c>
      <c r="U1963" t="s">
        <v>10835</v>
      </c>
      <c r="Y1963" t="s">
        <v>10836</v>
      </c>
    </row>
    <row r="1964" spans="1:25" x14ac:dyDescent="0.25">
      <c r="A1964" t="str">
        <f>"1284690230"</f>
        <v>1284690230</v>
      </c>
      <c r="B1964" t="s">
        <v>96</v>
      </c>
      <c r="C1964" t="s">
        <v>7071</v>
      </c>
      <c r="D1964" t="s">
        <v>10837</v>
      </c>
      <c r="E1964">
        <v>424000</v>
      </c>
      <c r="F1964" t="s">
        <v>1</v>
      </c>
      <c r="G1964" t="s">
        <v>2</v>
      </c>
      <c r="H1964" t="s">
        <v>1531</v>
      </c>
      <c r="I1964" t="s">
        <v>10838</v>
      </c>
      <c r="P1964" t="s">
        <v>2923</v>
      </c>
      <c r="Y1964" t="s">
        <v>10839</v>
      </c>
    </row>
    <row r="1965" spans="1:25" x14ac:dyDescent="0.25">
      <c r="A1965" t="str">
        <f>"1284908828"</f>
        <v>1284908828</v>
      </c>
      <c r="B1965" t="s">
        <v>160</v>
      </c>
      <c r="C1965" t="s">
        <v>9976</v>
      </c>
      <c r="D1965" t="s">
        <v>10417</v>
      </c>
      <c r="E1965">
        <v>424007</v>
      </c>
      <c r="F1965" t="s">
        <v>1</v>
      </c>
      <c r="G1965" t="s">
        <v>2</v>
      </c>
      <c r="H1965" t="s">
        <v>10840</v>
      </c>
      <c r="I1965" t="s">
        <v>10841</v>
      </c>
      <c r="P1965" t="s">
        <v>10842</v>
      </c>
      <c r="Y1965" t="s">
        <v>10843</v>
      </c>
    </row>
    <row r="1966" spans="1:25" x14ac:dyDescent="0.25">
      <c r="A1966" t="str">
        <f>"1284915424"</f>
        <v>1284915424</v>
      </c>
      <c r="B1966" t="s">
        <v>290</v>
      </c>
      <c r="C1966" t="s">
        <v>10848</v>
      </c>
      <c r="D1966" t="s">
        <v>10844</v>
      </c>
      <c r="E1966">
        <v>424002</v>
      </c>
      <c r="F1966" t="s">
        <v>1</v>
      </c>
      <c r="G1966" t="s">
        <v>2</v>
      </c>
      <c r="H1966" t="s">
        <v>3068</v>
      </c>
      <c r="I1966" t="s">
        <v>10845</v>
      </c>
      <c r="L1966" t="s">
        <v>10846</v>
      </c>
      <c r="M1966" t="s">
        <v>10847</v>
      </c>
      <c r="P1966" t="s">
        <v>2513</v>
      </c>
      <c r="Q1966" t="s">
        <v>10849</v>
      </c>
      <c r="V1966" t="s">
        <v>10850</v>
      </c>
      <c r="Y1966" t="s">
        <v>10851</v>
      </c>
    </row>
    <row r="1967" spans="1:25" x14ac:dyDescent="0.25">
      <c r="A1967" t="str">
        <f>"1284920395"</f>
        <v>1284920395</v>
      </c>
      <c r="B1967" t="s">
        <v>151</v>
      </c>
      <c r="C1967" t="s">
        <v>151</v>
      </c>
      <c r="D1967" t="s">
        <v>10852</v>
      </c>
      <c r="E1967">
        <v>424031</v>
      </c>
      <c r="F1967" t="s">
        <v>1</v>
      </c>
      <c r="G1967" t="s">
        <v>2</v>
      </c>
      <c r="H1967" t="s">
        <v>239</v>
      </c>
      <c r="I1967" t="s">
        <v>10853</v>
      </c>
      <c r="P1967" t="s">
        <v>330</v>
      </c>
      <c r="Y1967" t="s">
        <v>246</v>
      </c>
    </row>
    <row r="1968" spans="1:25" x14ac:dyDescent="0.25">
      <c r="A1968" t="str">
        <f>"1285054388"</f>
        <v>1285054388</v>
      </c>
      <c r="B1968" t="s">
        <v>574</v>
      </c>
      <c r="C1968" t="s">
        <v>646</v>
      </c>
      <c r="D1968" t="s">
        <v>10854</v>
      </c>
      <c r="E1968">
        <v>424006</v>
      </c>
      <c r="F1968" t="s">
        <v>1</v>
      </c>
      <c r="G1968" t="s">
        <v>2</v>
      </c>
      <c r="H1968" t="s">
        <v>5886</v>
      </c>
      <c r="I1968" t="s">
        <v>10855</v>
      </c>
      <c r="P1968" t="s">
        <v>2457</v>
      </c>
      <c r="Y1968" t="s">
        <v>10856</v>
      </c>
    </row>
    <row r="1969" spans="1:25" x14ac:dyDescent="0.25">
      <c r="A1969" t="str">
        <f>"1285097494"</f>
        <v>1285097494</v>
      </c>
      <c r="B1969" t="s">
        <v>379</v>
      </c>
      <c r="C1969" t="s">
        <v>4852</v>
      </c>
      <c r="D1969" t="s">
        <v>10857</v>
      </c>
      <c r="E1969">
        <v>424003</v>
      </c>
      <c r="F1969" t="s">
        <v>1</v>
      </c>
      <c r="G1969" t="s">
        <v>2</v>
      </c>
      <c r="H1969" t="s">
        <v>775</v>
      </c>
      <c r="J1969" t="s">
        <v>10858</v>
      </c>
      <c r="P1969" t="s">
        <v>4831</v>
      </c>
      <c r="Y1969" t="s">
        <v>10859</v>
      </c>
    </row>
    <row r="1970" spans="1:25" x14ac:dyDescent="0.25">
      <c r="A1970" t="str">
        <f>"1285131571"</f>
        <v>1285131571</v>
      </c>
      <c r="B1970" t="s">
        <v>67</v>
      </c>
      <c r="C1970" t="s">
        <v>10862</v>
      </c>
      <c r="D1970" t="s">
        <v>10860</v>
      </c>
      <c r="E1970">
        <v>424038</v>
      </c>
      <c r="F1970" t="s">
        <v>1</v>
      </c>
      <c r="G1970" t="s">
        <v>2</v>
      </c>
      <c r="H1970" t="s">
        <v>6059</v>
      </c>
      <c r="J1970" t="s">
        <v>10861</v>
      </c>
      <c r="P1970" t="s">
        <v>9785</v>
      </c>
      <c r="Y1970" t="s">
        <v>10863</v>
      </c>
    </row>
    <row r="1971" spans="1:25" x14ac:dyDescent="0.25">
      <c r="A1971" t="str">
        <f>"1285154764"</f>
        <v>1285154764</v>
      </c>
      <c r="B1971" t="s">
        <v>3094</v>
      </c>
      <c r="C1971" t="s">
        <v>3095</v>
      </c>
      <c r="D1971" t="s">
        <v>10864</v>
      </c>
      <c r="E1971">
        <v>424038</v>
      </c>
      <c r="F1971" t="s">
        <v>1</v>
      </c>
      <c r="G1971" t="s">
        <v>2</v>
      </c>
      <c r="H1971" t="s">
        <v>2946</v>
      </c>
      <c r="I1971" t="s">
        <v>10865</v>
      </c>
      <c r="L1971" t="s">
        <v>946</v>
      </c>
      <c r="M1971" t="s">
        <v>10866</v>
      </c>
      <c r="P1971" t="s">
        <v>10867</v>
      </c>
      <c r="Q1971" t="s">
        <v>10868</v>
      </c>
      <c r="Y1971" t="s">
        <v>10869</v>
      </c>
    </row>
    <row r="1972" spans="1:25" x14ac:dyDescent="0.25">
      <c r="A1972" t="str">
        <f>"1285173306"</f>
        <v>1285173306</v>
      </c>
      <c r="B1972" t="s">
        <v>334</v>
      </c>
      <c r="C1972" t="s">
        <v>2551</v>
      </c>
      <c r="D1972" t="s">
        <v>10870</v>
      </c>
      <c r="E1972">
        <v>424001</v>
      </c>
      <c r="F1972" t="s">
        <v>1</v>
      </c>
      <c r="G1972" t="s">
        <v>2</v>
      </c>
      <c r="H1972" t="s">
        <v>919</v>
      </c>
      <c r="J1972" t="s">
        <v>10871</v>
      </c>
      <c r="P1972" t="s">
        <v>2280</v>
      </c>
      <c r="Y1972" t="s">
        <v>1750</v>
      </c>
    </row>
    <row r="1973" spans="1:25" x14ac:dyDescent="0.25">
      <c r="A1973" t="str">
        <f>"1285291773"</f>
        <v>1285291773</v>
      </c>
      <c r="B1973" t="s">
        <v>18</v>
      </c>
      <c r="C1973" t="s">
        <v>143</v>
      </c>
      <c r="D1973" t="s">
        <v>10872</v>
      </c>
      <c r="E1973">
        <v>424039</v>
      </c>
      <c r="F1973" t="s">
        <v>1</v>
      </c>
      <c r="G1973" t="s">
        <v>2</v>
      </c>
      <c r="H1973" t="s">
        <v>1768</v>
      </c>
      <c r="I1973" t="s">
        <v>10873</v>
      </c>
      <c r="J1973" t="s">
        <v>10874</v>
      </c>
      <c r="P1973" t="s">
        <v>330</v>
      </c>
      <c r="Y1973" t="s">
        <v>1771</v>
      </c>
    </row>
    <row r="1974" spans="1:25" x14ac:dyDescent="0.25">
      <c r="A1974" t="str">
        <f>"1285296248"</f>
        <v>1285296248</v>
      </c>
      <c r="B1974" t="s">
        <v>1391</v>
      </c>
      <c r="C1974" t="s">
        <v>1392</v>
      </c>
      <c r="D1974" t="s">
        <v>10875</v>
      </c>
      <c r="E1974">
        <v>424031</v>
      </c>
      <c r="F1974" t="s">
        <v>1</v>
      </c>
      <c r="G1974" t="s">
        <v>2</v>
      </c>
      <c r="H1974" t="s">
        <v>1524</v>
      </c>
      <c r="I1974" t="s">
        <v>10876</v>
      </c>
      <c r="L1974" t="s">
        <v>10877</v>
      </c>
      <c r="M1974" t="s">
        <v>10878</v>
      </c>
      <c r="P1974" t="s">
        <v>260</v>
      </c>
      <c r="Q1974" t="s">
        <v>10879</v>
      </c>
      <c r="Y1974" t="s">
        <v>5358</v>
      </c>
    </row>
    <row r="1975" spans="1:25" x14ac:dyDescent="0.25">
      <c r="A1975" t="str">
        <f>"1285305793"</f>
        <v>1285305793</v>
      </c>
      <c r="B1975" t="s">
        <v>88</v>
      </c>
      <c r="C1975" t="s">
        <v>6066</v>
      </c>
      <c r="D1975" t="s">
        <v>10880</v>
      </c>
      <c r="E1975">
        <v>424000</v>
      </c>
      <c r="F1975" t="s">
        <v>1</v>
      </c>
      <c r="G1975" t="s">
        <v>2</v>
      </c>
      <c r="H1975" t="s">
        <v>1531</v>
      </c>
      <c r="I1975" t="s">
        <v>10881</v>
      </c>
      <c r="J1975" t="s">
        <v>10882</v>
      </c>
      <c r="L1975" t="s">
        <v>10883</v>
      </c>
      <c r="M1975" t="s">
        <v>10884</v>
      </c>
      <c r="P1975" t="s">
        <v>10885</v>
      </c>
      <c r="Q1975" t="s">
        <v>10886</v>
      </c>
      <c r="Y1975" t="s">
        <v>1707</v>
      </c>
    </row>
    <row r="1976" spans="1:25" x14ac:dyDescent="0.25">
      <c r="A1976" t="str">
        <f>"1285370702"</f>
        <v>1285370702</v>
      </c>
      <c r="B1976" t="s">
        <v>32</v>
      </c>
      <c r="C1976" t="s">
        <v>777</v>
      </c>
      <c r="D1976" t="s">
        <v>10887</v>
      </c>
      <c r="E1976">
        <v>424002</v>
      </c>
      <c r="F1976" t="s">
        <v>1</v>
      </c>
      <c r="G1976" t="s">
        <v>2</v>
      </c>
      <c r="H1976" t="s">
        <v>5692</v>
      </c>
      <c r="J1976" t="s">
        <v>10888</v>
      </c>
      <c r="P1976" t="s">
        <v>1404</v>
      </c>
      <c r="Y1976" t="s">
        <v>10889</v>
      </c>
    </row>
    <row r="1977" spans="1:25" x14ac:dyDescent="0.25">
      <c r="A1977" t="str">
        <f>"1285538957"</f>
        <v>1285538957</v>
      </c>
      <c r="B1977" t="s">
        <v>1053</v>
      </c>
      <c r="C1977" t="s">
        <v>10510</v>
      </c>
      <c r="D1977" t="s">
        <v>10890</v>
      </c>
      <c r="E1977">
        <v>424031</v>
      </c>
      <c r="F1977" t="s">
        <v>1</v>
      </c>
      <c r="G1977" t="s">
        <v>2</v>
      </c>
      <c r="H1977" t="s">
        <v>8799</v>
      </c>
      <c r="I1977" t="s">
        <v>10891</v>
      </c>
      <c r="K1977" t="s">
        <v>5825</v>
      </c>
      <c r="P1977" t="s">
        <v>152</v>
      </c>
      <c r="Y1977" t="s">
        <v>8803</v>
      </c>
    </row>
    <row r="1978" spans="1:25" x14ac:dyDescent="0.25">
      <c r="A1978" t="str">
        <f>"1285576221"</f>
        <v>1285576221</v>
      </c>
      <c r="B1978" t="s">
        <v>123</v>
      </c>
      <c r="C1978" t="s">
        <v>424</v>
      </c>
      <c r="D1978" t="s">
        <v>7296</v>
      </c>
      <c r="E1978">
        <v>424019</v>
      </c>
      <c r="F1978" t="s">
        <v>1</v>
      </c>
      <c r="G1978" t="s">
        <v>2</v>
      </c>
      <c r="H1978" t="s">
        <v>7863</v>
      </c>
      <c r="I1978" t="s">
        <v>10892</v>
      </c>
      <c r="J1978" t="s">
        <v>10893</v>
      </c>
      <c r="P1978" t="s">
        <v>4998</v>
      </c>
      <c r="Y1978" t="s">
        <v>10894</v>
      </c>
    </row>
    <row r="1979" spans="1:25" x14ac:dyDescent="0.25">
      <c r="A1979" t="str">
        <f>"1285820989"</f>
        <v>1285820989</v>
      </c>
      <c r="B1979" t="s">
        <v>348</v>
      </c>
      <c r="C1979" t="s">
        <v>4366</v>
      </c>
      <c r="D1979" t="s">
        <v>10895</v>
      </c>
      <c r="E1979">
        <v>424006</v>
      </c>
      <c r="F1979" t="s">
        <v>1</v>
      </c>
      <c r="G1979" t="s">
        <v>2</v>
      </c>
      <c r="H1979" t="s">
        <v>2012</v>
      </c>
      <c r="I1979" t="s">
        <v>10896</v>
      </c>
      <c r="P1979" t="s">
        <v>280</v>
      </c>
      <c r="Y1979" t="s">
        <v>2016</v>
      </c>
    </row>
    <row r="1980" spans="1:25" x14ac:dyDescent="0.25">
      <c r="A1980" t="str">
        <f>"1285830661"</f>
        <v>1285830661</v>
      </c>
      <c r="B1980" t="s">
        <v>1152</v>
      </c>
      <c r="C1980" t="s">
        <v>10900</v>
      </c>
      <c r="D1980" t="s">
        <v>10897</v>
      </c>
      <c r="E1980">
        <v>424037</v>
      </c>
      <c r="F1980" t="s">
        <v>1</v>
      </c>
      <c r="G1980" t="s">
        <v>2</v>
      </c>
      <c r="H1980" t="s">
        <v>615</v>
      </c>
      <c r="J1980" t="s">
        <v>10898</v>
      </c>
      <c r="L1980" t="s">
        <v>10899</v>
      </c>
      <c r="P1980" t="s">
        <v>410</v>
      </c>
      <c r="Q1980" t="s">
        <v>10901</v>
      </c>
      <c r="Y1980" t="s">
        <v>10902</v>
      </c>
    </row>
    <row r="1981" spans="1:25" x14ac:dyDescent="0.25">
      <c r="A1981" t="str">
        <f>"1285860451"</f>
        <v>1285860451</v>
      </c>
      <c r="B1981" t="s">
        <v>379</v>
      </c>
      <c r="C1981" t="s">
        <v>766</v>
      </c>
      <c r="D1981" t="s">
        <v>10903</v>
      </c>
      <c r="E1981">
        <v>424031</v>
      </c>
      <c r="F1981" t="s">
        <v>1</v>
      </c>
      <c r="G1981" t="s">
        <v>2</v>
      </c>
      <c r="H1981" t="s">
        <v>239</v>
      </c>
      <c r="I1981" t="s">
        <v>10904</v>
      </c>
      <c r="Y1981" t="s">
        <v>246</v>
      </c>
    </row>
    <row r="1982" spans="1:25" x14ac:dyDescent="0.25">
      <c r="A1982" t="str">
        <f>"1285868583"</f>
        <v>1285868583</v>
      </c>
      <c r="B1982" t="s">
        <v>6609</v>
      </c>
      <c r="C1982" t="s">
        <v>7177</v>
      </c>
      <c r="D1982" t="s">
        <v>10905</v>
      </c>
      <c r="E1982">
        <v>424007</v>
      </c>
      <c r="F1982" t="s">
        <v>1</v>
      </c>
      <c r="G1982" t="s">
        <v>2</v>
      </c>
      <c r="H1982" t="s">
        <v>10906</v>
      </c>
      <c r="I1982" t="s">
        <v>10907</v>
      </c>
      <c r="J1982" t="s">
        <v>10908</v>
      </c>
      <c r="L1982" t="s">
        <v>10909</v>
      </c>
      <c r="M1982" t="s">
        <v>10910</v>
      </c>
      <c r="P1982" t="s">
        <v>5396</v>
      </c>
      <c r="Y1982" t="s">
        <v>10911</v>
      </c>
    </row>
    <row r="1983" spans="1:25" x14ac:dyDescent="0.25">
      <c r="A1983" t="str">
        <f>"1285897905"</f>
        <v>1285897905</v>
      </c>
      <c r="B1983" t="s">
        <v>18</v>
      </c>
      <c r="C1983" t="s">
        <v>10918</v>
      </c>
      <c r="D1983" t="s">
        <v>10912</v>
      </c>
      <c r="E1983">
        <v>424016</v>
      </c>
      <c r="F1983" t="s">
        <v>1</v>
      </c>
      <c r="G1983" t="s">
        <v>2</v>
      </c>
      <c r="H1983" t="s">
        <v>3396</v>
      </c>
      <c r="I1983" t="s">
        <v>10913</v>
      </c>
      <c r="J1983" t="s">
        <v>10914</v>
      </c>
      <c r="K1983" t="s">
        <v>10915</v>
      </c>
      <c r="L1983" t="s">
        <v>10916</v>
      </c>
      <c r="M1983" t="s">
        <v>10917</v>
      </c>
      <c r="P1983" t="s">
        <v>2362</v>
      </c>
      <c r="Y1983" t="s">
        <v>6510</v>
      </c>
    </row>
    <row r="1984" spans="1:25" x14ac:dyDescent="0.25">
      <c r="A1984" t="str">
        <f>"1286037367"</f>
        <v>1286037367</v>
      </c>
      <c r="B1984" t="s">
        <v>151</v>
      </c>
      <c r="C1984" t="s">
        <v>10922</v>
      </c>
      <c r="D1984" t="s">
        <v>10919</v>
      </c>
      <c r="E1984">
        <v>424031</v>
      </c>
      <c r="F1984" t="s">
        <v>1</v>
      </c>
      <c r="G1984" t="s">
        <v>2</v>
      </c>
      <c r="H1984" t="s">
        <v>10920</v>
      </c>
      <c r="I1984" t="s">
        <v>10921</v>
      </c>
      <c r="P1984" t="s">
        <v>10923</v>
      </c>
      <c r="Q1984" t="s">
        <v>10924</v>
      </c>
      <c r="Y1984" t="s">
        <v>10925</v>
      </c>
    </row>
    <row r="1985" spans="1:25" x14ac:dyDescent="0.25">
      <c r="A1985" t="str">
        <f>"1286052330"</f>
        <v>1286052330</v>
      </c>
      <c r="B1985" t="s">
        <v>18</v>
      </c>
      <c r="C1985" t="s">
        <v>10928</v>
      </c>
      <c r="D1985" t="s">
        <v>10926</v>
      </c>
      <c r="E1985">
        <v>424006</v>
      </c>
      <c r="F1985" t="s">
        <v>1</v>
      </c>
      <c r="G1985" t="s">
        <v>2</v>
      </c>
      <c r="H1985" t="s">
        <v>2012</v>
      </c>
      <c r="I1985" t="s">
        <v>10927</v>
      </c>
      <c r="P1985" t="s">
        <v>390</v>
      </c>
      <c r="Y1985" t="s">
        <v>2016</v>
      </c>
    </row>
    <row r="1986" spans="1:25" x14ac:dyDescent="0.25">
      <c r="A1986" t="str">
        <f>"1286053269"</f>
        <v>1286053269</v>
      </c>
      <c r="B1986" t="s">
        <v>1053</v>
      </c>
      <c r="C1986" t="s">
        <v>1927</v>
      </c>
      <c r="D1986" t="s">
        <v>10929</v>
      </c>
      <c r="E1986">
        <v>424004</v>
      </c>
      <c r="F1986" t="s">
        <v>1</v>
      </c>
      <c r="G1986" t="s">
        <v>2</v>
      </c>
      <c r="H1986" t="s">
        <v>1590</v>
      </c>
      <c r="I1986" t="s">
        <v>10930</v>
      </c>
      <c r="P1986" t="s">
        <v>152</v>
      </c>
      <c r="Y1986" t="s">
        <v>1593</v>
      </c>
    </row>
    <row r="1987" spans="1:25" x14ac:dyDescent="0.25">
      <c r="A1987" t="str">
        <f>"1286073588"</f>
        <v>1286073588</v>
      </c>
      <c r="B1987" t="s">
        <v>1352</v>
      </c>
      <c r="C1987" t="s">
        <v>1353</v>
      </c>
      <c r="D1987" t="s">
        <v>10931</v>
      </c>
      <c r="F1987" t="s">
        <v>1</v>
      </c>
      <c r="G1987" t="s">
        <v>2</v>
      </c>
      <c r="H1987" t="s">
        <v>10932</v>
      </c>
      <c r="I1987" t="s">
        <v>10933</v>
      </c>
      <c r="P1987" t="s">
        <v>330</v>
      </c>
      <c r="Y1987" t="s">
        <v>10934</v>
      </c>
    </row>
    <row r="1988" spans="1:25" x14ac:dyDescent="0.25">
      <c r="A1988" t="str">
        <f>"1286106556"</f>
        <v>1286106556</v>
      </c>
      <c r="B1988" t="s">
        <v>388</v>
      </c>
      <c r="C1988" t="s">
        <v>4509</v>
      </c>
      <c r="D1988" t="s">
        <v>10935</v>
      </c>
      <c r="E1988">
        <v>424037</v>
      </c>
      <c r="F1988" t="s">
        <v>1</v>
      </c>
      <c r="G1988" t="s">
        <v>2</v>
      </c>
      <c r="H1988" t="s">
        <v>10936</v>
      </c>
      <c r="I1988" t="s">
        <v>10937</v>
      </c>
      <c r="K1988" t="s">
        <v>10938</v>
      </c>
      <c r="L1988" t="s">
        <v>10939</v>
      </c>
      <c r="M1988" t="s">
        <v>10940</v>
      </c>
      <c r="P1988" t="s">
        <v>9</v>
      </c>
      <c r="Y1988" t="s">
        <v>10941</v>
      </c>
    </row>
    <row r="1989" spans="1:25" x14ac:dyDescent="0.25">
      <c r="A1989" t="str">
        <f>"1286135199"</f>
        <v>1286135199</v>
      </c>
      <c r="B1989" t="s">
        <v>574</v>
      </c>
      <c r="C1989" t="s">
        <v>646</v>
      </c>
      <c r="D1989" t="s">
        <v>646</v>
      </c>
      <c r="E1989">
        <v>424028</v>
      </c>
      <c r="F1989" t="s">
        <v>1</v>
      </c>
      <c r="G1989" t="s">
        <v>2</v>
      </c>
      <c r="H1989" t="s">
        <v>1969</v>
      </c>
      <c r="I1989" t="s">
        <v>10942</v>
      </c>
      <c r="P1989" t="s">
        <v>216</v>
      </c>
      <c r="Y1989" t="s">
        <v>10943</v>
      </c>
    </row>
    <row r="1990" spans="1:25" x14ac:dyDescent="0.25">
      <c r="A1990" t="str">
        <f>"1286156158"</f>
        <v>1286156158</v>
      </c>
      <c r="B1990" t="s">
        <v>430</v>
      </c>
      <c r="C1990" t="s">
        <v>940</v>
      </c>
      <c r="D1990" t="s">
        <v>10944</v>
      </c>
      <c r="E1990">
        <v>424000</v>
      </c>
      <c r="F1990" t="s">
        <v>1</v>
      </c>
      <c r="G1990" t="s">
        <v>2</v>
      </c>
      <c r="H1990" t="s">
        <v>2671</v>
      </c>
      <c r="I1990" t="s">
        <v>10945</v>
      </c>
      <c r="P1990" t="s">
        <v>10946</v>
      </c>
      <c r="Y1990" t="s">
        <v>10947</v>
      </c>
    </row>
    <row r="1991" spans="1:25" x14ac:dyDescent="0.25">
      <c r="A1991" t="str">
        <f>"1286157248"</f>
        <v>1286157248</v>
      </c>
      <c r="B1991" t="s">
        <v>716</v>
      </c>
      <c r="C1991" t="s">
        <v>717</v>
      </c>
      <c r="D1991" t="s">
        <v>10948</v>
      </c>
      <c r="E1991">
        <v>424004</v>
      </c>
      <c r="F1991" t="s">
        <v>1</v>
      </c>
      <c r="G1991" t="s">
        <v>2</v>
      </c>
      <c r="H1991" t="s">
        <v>1169</v>
      </c>
      <c r="I1991" t="s">
        <v>10949</v>
      </c>
      <c r="Y1991" t="s">
        <v>1178</v>
      </c>
    </row>
    <row r="1992" spans="1:25" x14ac:dyDescent="0.25">
      <c r="A1992" t="str">
        <f>"1286188445"</f>
        <v>1286188445</v>
      </c>
      <c r="B1992" t="s">
        <v>8011</v>
      </c>
      <c r="C1992" t="s">
        <v>10953</v>
      </c>
      <c r="D1992" t="s">
        <v>10950</v>
      </c>
      <c r="E1992">
        <v>424031</v>
      </c>
      <c r="F1992" t="s">
        <v>1</v>
      </c>
      <c r="G1992" t="s">
        <v>2</v>
      </c>
      <c r="H1992" t="s">
        <v>8799</v>
      </c>
      <c r="I1992" t="s">
        <v>10951</v>
      </c>
      <c r="J1992" t="s">
        <v>10952</v>
      </c>
      <c r="P1992" t="s">
        <v>20</v>
      </c>
      <c r="Y1992" t="s">
        <v>8803</v>
      </c>
    </row>
    <row r="1993" spans="1:25" x14ac:dyDescent="0.25">
      <c r="A1993" t="str">
        <f>"1286277300"</f>
        <v>1286277300</v>
      </c>
      <c r="B1993" t="s">
        <v>1053</v>
      </c>
      <c r="C1993" t="s">
        <v>1927</v>
      </c>
      <c r="D1993" t="s">
        <v>1142</v>
      </c>
      <c r="F1993" t="s">
        <v>1</v>
      </c>
      <c r="G1993" t="s">
        <v>2</v>
      </c>
      <c r="H1993" t="s">
        <v>1600</v>
      </c>
      <c r="I1993" t="s">
        <v>10954</v>
      </c>
      <c r="J1993" t="s">
        <v>1145</v>
      </c>
      <c r="P1993" t="s">
        <v>10955</v>
      </c>
      <c r="Y1993" t="s">
        <v>2417</v>
      </c>
    </row>
    <row r="1994" spans="1:25" x14ac:dyDescent="0.25">
      <c r="A1994" t="str">
        <f>"1286369794"</f>
        <v>1286369794</v>
      </c>
      <c r="B1994" t="s">
        <v>1573</v>
      </c>
      <c r="C1994" t="s">
        <v>10961</v>
      </c>
      <c r="D1994" t="s">
        <v>10956</v>
      </c>
      <c r="E1994">
        <v>424005</v>
      </c>
      <c r="F1994" t="s">
        <v>1</v>
      </c>
      <c r="G1994" t="s">
        <v>2</v>
      </c>
      <c r="H1994" t="s">
        <v>10957</v>
      </c>
      <c r="J1994" t="s">
        <v>10958</v>
      </c>
      <c r="L1994" t="s">
        <v>10959</v>
      </c>
      <c r="M1994" t="s">
        <v>10960</v>
      </c>
      <c r="P1994" t="s">
        <v>6400</v>
      </c>
      <c r="Y1994" t="s">
        <v>10962</v>
      </c>
    </row>
    <row r="1995" spans="1:25" x14ac:dyDescent="0.25">
      <c r="A1995" t="str">
        <f>"1286638024"</f>
        <v>1286638024</v>
      </c>
      <c r="B1995" t="s">
        <v>703</v>
      </c>
      <c r="C1995" t="s">
        <v>10967</v>
      </c>
      <c r="D1995" t="s">
        <v>10963</v>
      </c>
      <c r="E1995">
        <v>424001</v>
      </c>
      <c r="F1995" t="s">
        <v>1</v>
      </c>
      <c r="G1995" t="s">
        <v>2</v>
      </c>
      <c r="H1995" t="s">
        <v>919</v>
      </c>
      <c r="I1995" t="s">
        <v>10964</v>
      </c>
      <c r="J1995" t="s">
        <v>10965</v>
      </c>
      <c r="K1995" t="s">
        <v>10966</v>
      </c>
      <c r="P1995" t="s">
        <v>9</v>
      </c>
      <c r="Y1995" t="s">
        <v>1750</v>
      </c>
    </row>
    <row r="1996" spans="1:25" x14ac:dyDescent="0.25">
      <c r="A1996" t="str">
        <f>"1286667454"</f>
        <v>1286667454</v>
      </c>
      <c r="B1996" t="s">
        <v>96</v>
      </c>
      <c r="C1996" t="s">
        <v>659</v>
      </c>
      <c r="D1996" t="s">
        <v>10558</v>
      </c>
      <c r="E1996">
        <v>424002</v>
      </c>
      <c r="F1996" t="s">
        <v>1</v>
      </c>
      <c r="G1996" t="s">
        <v>2</v>
      </c>
      <c r="H1996" t="s">
        <v>2260</v>
      </c>
      <c r="J1996" t="s">
        <v>10968</v>
      </c>
      <c r="P1996" t="s">
        <v>941</v>
      </c>
      <c r="Y1996" t="s">
        <v>10969</v>
      </c>
    </row>
    <row r="1997" spans="1:25" x14ac:dyDescent="0.25">
      <c r="A1997" t="str">
        <f>"1286748274"</f>
        <v>1286748274</v>
      </c>
      <c r="B1997" t="s">
        <v>7</v>
      </c>
      <c r="C1997" t="s">
        <v>10974</v>
      </c>
      <c r="D1997" t="s">
        <v>10970</v>
      </c>
      <c r="E1997">
        <v>424006</v>
      </c>
      <c r="F1997" t="s">
        <v>1</v>
      </c>
      <c r="G1997" t="s">
        <v>2</v>
      </c>
      <c r="H1997" t="s">
        <v>7254</v>
      </c>
      <c r="I1997" t="s">
        <v>10971</v>
      </c>
      <c r="J1997" t="s">
        <v>10972</v>
      </c>
      <c r="L1997" t="s">
        <v>10973</v>
      </c>
      <c r="P1997" t="s">
        <v>280</v>
      </c>
      <c r="Y1997" t="s">
        <v>10975</v>
      </c>
    </row>
    <row r="1998" spans="1:25" x14ac:dyDescent="0.25">
      <c r="A1998" t="str">
        <f>"1286755706"</f>
        <v>1286755706</v>
      </c>
      <c r="B1998" t="s">
        <v>348</v>
      </c>
      <c r="C1998" t="s">
        <v>4252</v>
      </c>
      <c r="D1998" t="s">
        <v>10976</v>
      </c>
      <c r="E1998">
        <v>424006</v>
      </c>
      <c r="F1998" t="s">
        <v>1</v>
      </c>
      <c r="G1998" t="s">
        <v>2</v>
      </c>
      <c r="H1998" t="s">
        <v>2012</v>
      </c>
      <c r="I1998" t="s">
        <v>10977</v>
      </c>
      <c r="P1998" t="s">
        <v>152</v>
      </c>
      <c r="Y1998" t="s">
        <v>2016</v>
      </c>
    </row>
    <row r="1999" spans="1:25" x14ac:dyDescent="0.25">
      <c r="A1999" t="str">
        <f>"1286769226"</f>
        <v>1286769226</v>
      </c>
      <c r="B1999" t="s">
        <v>716</v>
      </c>
      <c r="C1999" t="s">
        <v>717</v>
      </c>
      <c r="D1999" t="s">
        <v>10978</v>
      </c>
      <c r="E1999">
        <v>424004</v>
      </c>
      <c r="F1999" t="s">
        <v>1</v>
      </c>
      <c r="G1999" t="s">
        <v>2</v>
      </c>
      <c r="H1999" t="s">
        <v>3840</v>
      </c>
      <c r="Y1999" t="s">
        <v>3841</v>
      </c>
    </row>
    <row r="2000" spans="1:25" x14ac:dyDescent="0.25">
      <c r="A2000" t="str">
        <f>"1286805128"</f>
        <v>1286805128</v>
      </c>
      <c r="B2000" t="s">
        <v>352</v>
      </c>
      <c r="C2000" t="s">
        <v>10982</v>
      </c>
      <c r="D2000" t="s">
        <v>10979</v>
      </c>
      <c r="E2000">
        <v>424007</v>
      </c>
      <c r="F2000" t="s">
        <v>1</v>
      </c>
      <c r="G2000" t="s">
        <v>2</v>
      </c>
      <c r="H2000" t="s">
        <v>4751</v>
      </c>
      <c r="I2000" t="s">
        <v>10980</v>
      </c>
      <c r="J2000" t="s">
        <v>10981</v>
      </c>
      <c r="P2000" t="s">
        <v>216</v>
      </c>
      <c r="Y2000" t="s">
        <v>4753</v>
      </c>
    </row>
    <row r="2001" spans="1:25" x14ac:dyDescent="0.25">
      <c r="A2001" t="str">
        <f>"1287000182"</f>
        <v>1287000182</v>
      </c>
      <c r="B2001" t="s">
        <v>10986</v>
      </c>
      <c r="C2001" t="s">
        <v>10987</v>
      </c>
      <c r="D2001" t="s">
        <v>10983</v>
      </c>
      <c r="F2001" t="s">
        <v>1</v>
      </c>
      <c r="G2001" t="s">
        <v>2</v>
      </c>
      <c r="H2001" t="s">
        <v>10984</v>
      </c>
      <c r="J2001" t="s">
        <v>10985</v>
      </c>
      <c r="P2001" t="s">
        <v>280</v>
      </c>
      <c r="Y2001" t="s">
        <v>10988</v>
      </c>
    </row>
    <row r="2002" spans="1:25" x14ac:dyDescent="0.25">
      <c r="A2002" t="str">
        <f>"1287021018"</f>
        <v>1287021018</v>
      </c>
      <c r="B2002" t="s">
        <v>188</v>
      </c>
      <c r="C2002" t="s">
        <v>189</v>
      </c>
      <c r="D2002" t="s">
        <v>10989</v>
      </c>
      <c r="E2002">
        <v>424004</v>
      </c>
      <c r="F2002" t="s">
        <v>1</v>
      </c>
      <c r="G2002" t="s">
        <v>2</v>
      </c>
      <c r="H2002" t="s">
        <v>351</v>
      </c>
      <c r="J2002" t="s">
        <v>10990</v>
      </c>
      <c r="P2002" t="s">
        <v>20</v>
      </c>
      <c r="Y2002" t="s">
        <v>354</v>
      </c>
    </row>
    <row r="2003" spans="1:25" x14ac:dyDescent="0.25">
      <c r="A2003" t="str">
        <f>"1287346388"</f>
        <v>1287346388</v>
      </c>
      <c r="B2003" t="s">
        <v>160</v>
      </c>
      <c r="C2003" t="s">
        <v>10994</v>
      </c>
      <c r="D2003" t="s">
        <v>10991</v>
      </c>
      <c r="E2003">
        <v>424000</v>
      </c>
      <c r="F2003" t="s">
        <v>1</v>
      </c>
      <c r="G2003" t="s">
        <v>2</v>
      </c>
      <c r="H2003" t="s">
        <v>2193</v>
      </c>
      <c r="I2003" t="s">
        <v>10992</v>
      </c>
      <c r="L2003" t="s">
        <v>10993</v>
      </c>
      <c r="P2003" t="s">
        <v>20</v>
      </c>
      <c r="Y2003" t="s">
        <v>10995</v>
      </c>
    </row>
    <row r="2004" spans="1:25" x14ac:dyDescent="0.25">
      <c r="A2004" t="str">
        <f>"1287533999"</f>
        <v>1287533999</v>
      </c>
      <c r="B2004" t="s">
        <v>2790</v>
      </c>
      <c r="C2004" t="s">
        <v>3528</v>
      </c>
      <c r="D2004" t="s">
        <v>10996</v>
      </c>
      <c r="E2004">
        <v>424031</v>
      </c>
      <c r="F2004" t="s">
        <v>1</v>
      </c>
      <c r="G2004" t="s">
        <v>2</v>
      </c>
      <c r="H2004" t="s">
        <v>4141</v>
      </c>
      <c r="I2004" t="s">
        <v>10997</v>
      </c>
      <c r="K2004" t="s">
        <v>10998</v>
      </c>
      <c r="L2004" t="s">
        <v>10999</v>
      </c>
      <c r="M2004" t="s">
        <v>11000</v>
      </c>
      <c r="P2004" t="s">
        <v>10551</v>
      </c>
      <c r="Q2004" t="s">
        <v>11001</v>
      </c>
      <c r="Y2004" t="s">
        <v>11002</v>
      </c>
    </row>
    <row r="2005" spans="1:25" x14ac:dyDescent="0.25">
      <c r="A2005" t="str">
        <f>"1287544994"</f>
        <v>1287544994</v>
      </c>
      <c r="B2005" t="s">
        <v>1758</v>
      </c>
      <c r="C2005" t="s">
        <v>7867</v>
      </c>
      <c r="D2005" t="s">
        <v>11003</v>
      </c>
      <c r="E2005">
        <v>424000</v>
      </c>
      <c r="F2005" t="s">
        <v>1</v>
      </c>
      <c r="G2005" t="s">
        <v>2</v>
      </c>
      <c r="H2005" t="s">
        <v>2671</v>
      </c>
      <c r="I2005" t="s">
        <v>11004</v>
      </c>
      <c r="P2005" t="s">
        <v>11005</v>
      </c>
      <c r="Y2005" t="s">
        <v>11006</v>
      </c>
    </row>
    <row r="2006" spans="1:25" x14ac:dyDescent="0.25">
      <c r="A2006" t="str">
        <f>"1287715778"</f>
        <v>1287715778</v>
      </c>
      <c r="B2006" t="s">
        <v>553</v>
      </c>
      <c r="C2006" t="s">
        <v>554</v>
      </c>
      <c r="D2006" t="s">
        <v>11007</v>
      </c>
      <c r="E2006">
        <v>424004</v>
      </c>
      <c r="F2006" t="s">
        <v>1</v>
      </c>
      <c r="G2006" t="s">
        <v>2</v>
      </c>
      <c r="H2006" t="s">
        <v>11008</v>
      </c>
      <c r="J2006" t="s">
        <v>11009</v>
      </c>
      <c r="P2006" t="s">
        <v>2580</v>
      </c>
      <c r="Y2006" t="s">
        <v>11010</v>
      </c>
    </row>
    <row r="2007" spans="1:25" x14ac:dyDescent="0.25">
      <c r="A2007" t="str">
        <f>"1287738753"</f>
        <v>1287738753</v>
      </c>
      <c r="B2007" t="s">
        <v>348</v>
      </c>
      <c r="C2007" t="s">
        <v>11015</v>
      </c>
      <c r="D2007" t="s">
        <v>11011</v>
      </c>
      <c r="E2007">
        <v>424019</v>
      </c>
      <c r="F2007" t="s">
        <v>1</v>
      </c>
      <c r="G2007" t="s">
        <v>2</v>
      </c>
      <c r="H2007" t="s">
        <v>11012</v>
      </c>
      <c r="I2007" t="s">
        <v>11013</v>
      </c>
      <c r="J2007" t="s">
        <v>11014</v>
      </c>
      <c r="P2007" t="s">
        <v>2438</v>
      </c>
      <c r="Y2007" t="s">
        <v>11016</v>
      </c>
    </row>
    <row r="2008" spans="1:25" x14ac:dyDescent="0.25">
      <c r="A2008" t="str">
        <f>"1287869009"</f>
        <v>1287869009</v>
      </c>
      <c r="B2008" t="s">
        <v>1573</v>
      </c>
      <c r="C2008" t="s">
        <v>11019</v>
      </c>
      <c r="D2008" t="s">
        <v>11017</v>
      </c>
      <c r="E2008">
        <v>424005</v>
      </c>
      <c r="F2008" t="s">
        <v>1</v>
      </c>
      <c r="G2008" t="s">
        <v>2</v>
      </c>
      <c r="H2008" t="s">
        <v>1310</v>
      </c>
      <c r="J2008" t="s">
        <v>11018</v>
      </c>
      <c r="P2008" t="s">
        <v>27</v>
      </c>
      <c r="Y2008" t="s">
        <v>3926</v>
      </c>
    </row>
    <row r="2009" spans="1:25" x14ac:dyDescent="0.25">
      <c r="A2009" t="str">
        <f>"1287957989"</f>
        <v>1287957989</v>
      </c>
      <c r="B2009" t="s">
        <v>456</v>
      </c>
      <c r="C2009" t="s">
        <v>11024</v>
      </c>
      <c r="D2009" t="s">
        <v>11020</v>
      </c>
      <c r="E2009">
        <v>424000</v>
      </c>
      <c r="F2009" t="s">
        <v>1</v>
      </c>
      <c r="G2009" t="s">
        <v>2</v>
      </c>
      <c r="H2009" t="s">
        <v>4427</v>
      </c>
      <c r="I2009" t="s">
        <v>11021</v>
      </c>
      <c r="L2009" t="s">
        <v>11022</v>
      </c>
      <c r="M2009" t="s">
        <v>11023</v>
      </c>
      <c r="P2009" t="s">
        <v>1027</v>
      </c>
      <c r="Q2009" t="s">
        <v>11025</v>
      </c>
      <c r="V2009" t="s">
        <v>11026</v>
      </c>
      <c r="Y2009" t="s">
        <v>11027</v>
      </c>
    </row>
    <row r="2010" spans="1:25" x14ac:dyDescent="0.25">
      <c r="A2010" t="str">
        <f>"1288047197"</f>
        <v>1288047197</v>
      </c>
      <c r="B2010" t="s">
        <v>2846</v>
      </c>
      <c r="C2010" t="s">
        <v>11032</v>
      </c>
      <c r="D2010" t="s">
        <v>11028</v>
      </c>
      <c r="E2010">
        <v>424002</v>
      </c>
      <c r="F2010" t="s">
        <v>1</v>
      </c>
      <c r="G2010" t="s">
        <v>2</v>
      </c>
      <c r="H2010" t="s">
        <v>3421</v>
      </c>
      <c r="J2010" t="s">
        <v>11029</v>
      </c>
      <c r="L2010" t="s">
        <v>11030</v>
      </c>
      <c r="M2010" t="s">
        <v>11031</v>
      </c>
      <c r="P2010" t="s">
        <v>10416</v>
      </c>
      <c r="Y2010" t="s">
        <v>11033</v>
      </c>
    </row>
    <row r="2011" spans="1:25" x14ac:dyDescent="0.25">
      <c r="A2011" t="str">
        <f>"1288163809"</f>
        <v>1288163809</v>
      </c>
      <c r="B2011" t="s">
        <v>160</v>
      </c>
      <c r="C2011" t="s">
        <v>1666</v>
      </c>
      <c r="D2011" t="s">
        <v>11034</v>
      </c>
      <c r="E2011">
        <v>424038</v>
      </c>
      <c r="F2011" t="s">
        <v>1</v>
      </c>
      <c r="G2011" t="s">
        <v>2</v>
      </c>
      <c r="H2011" t="s">
        <v>2253</v>
      </c>
      <c r="I2011" t="s">
        <v>11035</v>
      </c>
      <c r="J2011" t="s">
        <v>11036</v>
      </c>
      <c r="P2011" t="s">
        <v>280</v>
      </c>
      <c r="Y2011" t="s">
        <v>2254</v>
      </c>
    </row>
    <row r="2012" spans="1:25" x14ac:dyDescent="0.25">
      <c r="A2012" t="str">
        <f>"1288183420"</f>
        <v>1288183420</v>
      </c>
      <c r="B2012" t="s">
        <v>176</v>
      </c>
      <c r="C2012" t="s">
        <v>279</v>
      </c>
      <c r="D2012" t="s">
        <v>11037</v>
      </c>
      <c r="E2012">
        <v>424002</v>
      </c>
      <c r="F2012" t="s">
        <v>1</v>
      </c>
      <c r="G2012" t="s">
        <v>2</v>
      </c>
      <c r="H2012" t="s">
        <v>11038</v>
      </c>
      <c r="I2012" t="s">
        <v>11039</v>
      </c>
      <c r="P2012" t="s">
        <v>20</v>
      </c>
      <c r="Y2012" t="s">
        <v>11040</v>
      </c>
    </row>
    <row r="2013" spans="1:25" x14ac:dyDescent="0.25">
      <c r="A2013" t="str">
        <f>"1288288538"</f>
        <v>1288288538</v>
      </c>
      <c r="B2013" t="s">
        <v>930</v>
      </c>
      <c r="C2013" t="s">
        <v>11044</v>
      </c>
      <c r="D2013" t="s">
        <v>11041</v>
      </c>
      <c r="E2013">
        <v>424004</v>
      </c>
      <c r="F2013" t="s">
        <v>1</v>
      </c>
      <c r="G2013" t="s">
        <v>2</v>
      </c>
      <c r="H2013" t="s">
        <v>4036</v>
      </c>
      <c r="I2013" t="s">
        <v>11042</v>
      </c>
      <c r="M2013" t="s">
        <v>11043</v>
      </c>
      <c r="P2013" t="s">
        <v>2457</v>
      </c>
      <c r="T2013" t="s">
        <v>11045</v>
      </c>
      <c r="V2013" t="s">
        <v>11046</v>
      </c>
      <c r="Y2013" t="s">
        <v>11047</v>
      </c>
    </row>
    <row r="2014" spans="1:25" x14ac:dyDescent="0.25">
      <c r="A2014" t="str">
        <f>"1288303334"</f>
        <v>1288303334</v>
      </c>
      <c r="B2014" t="s">
        <v>1046</v>
      </c>
      <c r="C2014" t="s">
        <v>2695</v>
      </c>
      <c r="D2014" t="s">
        <v>11048</v>
      </c>
      <c r="E2014">
        <v>424004</v>
      </c>
      <c r="F2014" t="s">
        <v>1</v>
      </c>
      <c r="G2014" t="s">
        <v>2</v>
      </c>
      <c r="H2014" t="s">
        <v>11049</v>
      </c>
      <c r="I2014" t="s">
        <v>11050</v>
      </c>
      <c r="P2014" t="s">
        <v>330</v>
      </c>
      <c r="Y2014" t="s">
        <v>11051</v>
      </c>
    </row>
    <row r="2015" spans="1:25" x14ac:dyDescent="0.25">
      <c r="A2015" t="str">
        <f>"1288368046"</f>
        <v>1288368046</v>
      </c>
      <c r="B2015" t="s">
        <v>334</v>
      </c>
      <c r="C2015" t="s">
        <v>2551</v>
      </c>
      <c r="D2015" t="s">
        <v>11052</v>
      </c>
      <c r="E2015">
        <v>424002</v>
      </c>
      <c r="F2015" t="s">
        <v>1</v>
      </c>
      <c r="G2015" t="s">
        <v>2</v>
      </c>
      <c r="H2015" t="s">
        <v>1190</v>
      </c>
      <c r="I2015" t="s">
        <v>11053</v>
      </c>
      <c r="J2015" t="s">
        <v>11054</v>
      </c>
      <c r="P2015" t="s">
        <v>27</v>
      </c>
      <c r="Y2015" t="s">
        <v>11055</v>
      </c>
    </row>
    <row r="2016" spans="1:25" x14ac:dyDescent="0.25">
      <c r="A2016" t="str">
        <f>"1288439043"</f>
        <v>1288439043</v>
      </c>
      <c r="B2016" t="s">
        <v>1053</v>
      </c>
      <c r="C2016" t="s">
        <v>11058</v>
      </c>
      <c r="D2016" t="s">
        <v>11056</v>
      </c>
      <c r="E2016">
        <v>424037</v>
      </c>
      <c r="F2016" t="s">
        <v>1</v>
      </c>
      <c r="G2016" t="s">
        <v>2</v>
      </c>
      <c r="H2016" t="s">
        <v>1116</v>
      </c>
      <c r="I2016" t="s">
        <v>11057</v>
      </c>
      <c r="P2016" t="s">
        <v>27</v>
      </c>
      <c r="Y2016" t="s">
        <v>11059</v>
      </c>
    </row>
    <row r="2017" spans="1:25" x14ac:dyDescent="0.25">
      <c r="A2017" t="str">
        <f>"1288526302"</f>
        <v>1288526302</v>
      </c>
      <c r="B2017" t="s">
        <v>1046</v>
      </c>
      <c r="C2017" t="s">
        <v>3497</v>
      </c>
      <c r="D2017" t="s">
        <v>2695</v>
      </c>
      <c r="E2017">
        <v>424008</v>
      </c>
      <c r="F2017" t="s">
        <v>1</v>
      </c>
      <c r="G2017" t="s">
        <v>2</v>
      </c>
      <c r="H2017" t="s">
        <v>11060</v>
      </c>
      <c r="I2017" t="s">
        <v>11061</v>
      </c>
      <c r="P2017" t="s">
        <v>330</v>
      </c>
      <c r="Y2017" t="s">
        <v>11062</v>
      </c>
    </row>
    <row r="2018" spans="1:25" x14ac:dyDescent="0.25">
      <c r="A2018" t="str">
        <f>"1288572026"</f>
        <v>1288572026</v>
      </c>
      <c r="B2018" t="s">
        <v>1611</v>
      </c>
      <c r="C2018" t="s">
        <v>4172</v>
      </c>
      <c r="D2018" t="s">
        <v>11063</v>
      </c>
      <c r="F2018" t="s">
        <v>1</v>
      </c>
      <c r="G2018" t="s">
        <v>2</v>
      </c>
      <c r="H2018" t="s">
        <v>11064</v>
      </c>
      <c r="I2018" t="s">
        <v>11065</v>
      </c>
      <c r="K2018" t="s">
        <v>11066</v>
      </c>
      <c r="L2018" t="s">
        <v>11067</v>
      </c>
      <c r="M2018" t="s">
        <v>11068</v>
      </c>
      <c r="P2018" t="s">
        <v>11069</v>
      </c>
      <c r="Y2018" t="s">
        <v>11070</v>
      </c>
    </row>
    <row r="2019" spans="1:25" x14ac:dyDescent="0.25">
      <c r="A2019" t="str">
        <f>"1288667399"</f>
        <v>1288667399</v>
      </c>
      <c r="B2019" t="s">
        <v>32</v>
      </c>
      <c r="C2019" t="s">
        <v>777</v>
      </c>
      <c r="D2019" t="s">
        <v>11071</v>
      </c>
      <c r="E2019">
        <v>424030</v>
      </c>
      <c r="F2019" t="s">
        <v>1</v>
      </c>
      <c r="G2019" t="s">
        <v>2</v>
      </c>
      <c r="H2019" t="s">
        <v>11072</v>
      </c>
      <c r="I2019" t="s">
        <v>11073</v>
      </c>
      <c r="P2019" t="s">
        <v>11074</v>
      </c>
      <c r="Y2019" t="s">
        <v>11075</v>
      </c>
    </row>
    <row r="2020" spans="1:25" x14ac:dyDescent="0.25">
      <c r="A2020" t="str">
        <f>"1288734687"</f>
        <v>1288734687</v>
      </c>
      <c r="B2020" t="s">
        <v>18</v>
      </c>
      <c r="C2020" t="s">
        <v>11079</v>
      </c>
      <c r="D2020" t="s">
        <v>11076</v>
      </c>
      <c r="E2020">
        <v>424032</v>
      </c>
      <c r="F2020" t="s">
        <v>1</v>
      </c>
      <c r="G2020" t="s">
        <v>2</v>
      </c>
      <c r="H2020" t="s">
        <v>2972</v>
      </c>
      <c r="I2020" t="s">
        <v>11077</v>
      </c>
      <c r="J2020" t="s">
        <v>11078</v>
      </c>
      <c r="P2020" t="s">
        <v>1232</v>
      </c>
      <c r="Y2020" t="s">
        <v>2975</v>
      </c>
    </row>
    <row r="2021" spans="1:25" x14ac:dyDescent="0.25">
      <c r="A2021" t="str">
        <f>"1288738242"</f>
        <v>1288738242</v>
      </c>
      <c r="B2021" t="s">
        <v>160</v>
      </c>
      <c r="C2021" t="s">
        <v>1666</v>
      </c>
      <c r="D2021" t="s">
        <v>11080</v>
      </c>
      <c r="E2021">
        <v>424032</v>
      </c>
      <c r="F2021" t="s">
        <v>1</v>
      </c>
      <c r="G2021" t="s">
        <v>2</v>
      </c>
      <c r="H2021" t="s">
        <v>11081</v>
      </c>
      <c r="I2021" t="s">
        <v>11082</v>
      </c>
      <c r="P2021" t="s">
        <v>11083</v>
      </c>
      <c r="Y2021" t="s">
        <v>11084</v>
      </c>
    </row>
    <row r="2022" spans="1:25" x14ac:dyDescent="0.25">
      <c r="A2022" t="str">
        <f>"1288810658"</f>
        <v>1288810658</v>
      </c>
      <c r="B2022" t="s">
        <v>67</v>
      </c>
      <c r="C2022" t="s">
        <v>832</v>
      </c>
      <c r="D2022" t="s">
        <v>11085</v>
      </c>
      <c r="E2022">
        <v>424000</v>
      </c>
      <c r="F2022" t="s">
        <v>1</v>
      </c>
      <c r="G2022" t="s">
        <v>2</v>
      </c>
      <c r="H2022" t="s">
        <v>11086</v>
      </c>
      <c r="I2022" t="s">
        <v>11087</v>
      </c>
      <c r="L2022" t="s">
        <v>11088</v>
      </c>
      <c r="M2022" t="s">
        <v>11089</v>
      </c>
      <c r="P2022" t="s">
        <v>11090</v>
      </c>
      <c r="Q2022" t="s">
        <v>11091</v>
      </c>
      <c r="T2022" t="s">
        <v>11092</v>
      </c>
      <c r="V2022" t="s">
        <v>11093</v>
      </c>
      <c r="Y2022" t="s">
        <v>11094</v>
      </c>
    </row>
    <row r="2023" spans="1:25" x14ac:dyDescent="0.25">
      <c r="A2023" t="str">
        <f>"1288934071"</f>
        <v>1288934071</v>
      </c>
      <c r="B2023" t="s">
        <v>123</v>
      </c>
      <c r="C2023" t="s">
        <v>196</v>
      </c>
      <c r="D2023" t="s">
        <v>11095</v>
      </c>
      <c r="E2023">
        <v>424038</v>
      </c>
      <c r="F2023" t="s">
        <v>1</v>
      </c>
      <c r="G2023" t="s">
        <v>2</v>
      </c>
      <c r="H2023" t="s">
        <v>2946</v>
      </c>
      <c r="I2023" t="s">
        <v>11096</v>
      </c>
      <c r="K2023" t="s">
        <v>11097</v>
      </c>
      <c r="L2023" t="s">
        <v>3906</v>
      </c>
      <c r="M2023" t="s">
        <v>3907</v>
      </c>
      <c r="P2023" t="s">
        <v>280</v>
      </c>
      <c r="Y2023" t="s">
        <v>11098</v>
      </c>
    </row>
    <row r="2024" spans="1:25" x14ac:dyDescent="0.25">
      <c r="A2024" t="str">
        <f>"1288981572"</f>
        <v>1288981572</v>
      </c>
      <c r="B2024" t="s">
        <v>2062</v>
      </c>
      <c r="C2024" t="s">
        <v>3293</v>
      </c>
      <c r="D2024" t="s">
        <v>11099</v>
      </c>
      <c r="E2024">
        <v>424001</v>
      </c>
      <c r="F2024" t="s">
        <v>1</v>
      </c>
      <c r="G2024" t="s">
        <v>2</v>
      </c>
      <c r="H2024" t="s">
        <v>919</v>
      </c>
      <c r="I2024" t="s">
        <v>11100</v>
      </c>
      <c r="L2024" t="s">
        <v>11101</v>
      </c>
      <c r="M2024" t="s">
        <v>11102</v>
      </c>
      <c r="P2024" t="s">
        <v>9</v>
      </c>
      <c r="Q2024" t="s">
        <v>11103</v>
      </c>
      <c r="T2024" t="s">
        <v>11104</v>
      </c>
      <c r="V2024" t="s">
        <v>11105</v>
      </c>
      <c r="Y2024" t="s">
        <v>11106</v>
      </c>
    </row>
    <row r="2025" spans="1:25" x14ac:dyDescent="0.25">
      <c r="A2025" t="str">
        <f>"1289071936"</f>
        <v>1289071936</v>
      </c>
      <c r="B2025" t="s">
        <v>553</v>
      </c>
      <c r="C2025" t="s">
        <v>11112</v>
      </c>
      <c r="D2025" t="s">
        <v>11107</v>
      </c>
      <c r="E2025">
        <v>424003</v>
      </c>
      <c r="F2025" t="s">
        <v>1</v>
      </c>
      <c r="G2025" t="s">
        <v>2</v>
      </c>
      <c r="H2025" t="s">
        <v>5773</v>
      </c>
      <c r="I2025" t="s">
        <v>11108</v>
      </c>
      <c r="J2025" t="s">
        <v>11109</v>
      </c>
      <c r="K2025" t="s">
        <v>11108</v>
      </c>
      <c r="L2025" t="s">
        <v>11110</v>
      </c>
      <c r="M2025" t="s">
        <v>11111</v>
      </c>
      <c r="P2025" t="s">
        <v>27</v>
      </c>
      <c r="Y2025" t="s">
        <v>5775</v>
      </c>
    </row>
    <row r="2026" spans="1:25" x14ac:dyDescent="0.25">
      <c r="A2026" t="str">
        <f>"1289090654"</f>
        <v>1289090654</v>
      </c>
      <c r="B2026" t="s">
        <v>290</v>
      </c>
      <c r="C2026" t="s">
        <v>11114</v>
      </c>
      <c r="D2026" t="s">
        <v>11113</v>
      </c>
      <c r="F2026" t="s">
        <v>1</v>
      </c>
      <c r="G2026" t="s">
        <v>2</v>
      </c>
      <c r="H2026" t="s">
        <v>8464</v>
      </c>
      <c r="P2026" t="s">
        <v>2513</v>
      </c>
      <c r="Y2026" t="s">
        <v>11115</v>
      </c>
    </row>
    <row r="2027" spans="1:25" x14ac:dyDescent="0.25">
      <c r="A2027" t="str">
        <f>"1289115444"</f>
        <v>1289115444</v>
      </c>
      <c r="B2027" t="s">
        <v>110</v>
      </c>
      <c r="C2027" t="s">
        <v>5755</v>
      </c>
      <c r="D2027" t="s">
        <v>11116</v>
      </c>
      <c r="E2027">
        <v>424004</v>
      </c>
      <c r="F2027" t="s">
        <v>1</v>
      </c>
      <c r="G2027" t="s">
        <v>2</v>
      </c>
      <c r="H2027" t="s">
        <v>2133</v>
      </c>
      <c r="I2027" t="s">
        <v>11117</v>
      </c>
      <c r="J2027" t="s">
        <v>11118</v>
      </c>
      <c r="P2027" t="s">
        <v>5575</v>
      </c>
      <c r="Y2027" t="s">
        <v>2137</v>
      </c>
    </row>
    <row r="2028" spans="1:25" x14ac:dyDescent="0.25">
      <c r="A2028" t="str">
        <f>"1289418005"</f>
        <v>1289418005</v>
      </c>
      <c r="B2028" t="s">
        <v>519</v>
      </c>
      <c r="C2028" t="s">
        <v>11122</v>
      </c>
      <c r="D2028" t="s">
        <v>6392</v>
      </c>
      <c r="E2028">
        <v>424037</v>
      </c>
      <c r="F2028" t="s">
        <v>1</v>
      </c>
      <c r="G2028" t="s">
        <v>2</v>
      </c>
      <c r="H2028" t="s">
        <v>1116</v>
      </c>
      <c r="I2028" t="s">
        <v>11119</v>
      </c>
      <c r="L2028" t="s">
        <v>11120</v>
      </c>
      <c r="M2028" t="s">
        <v>11121</v>
      </c>
      <c r="P2028" t="s">
        <v>11123</v>
      </c>
      <c r="Q2028" t="s">
        <v>11124</v>
      </c>
      <c r="S2028" t="s">
        <v>11125</v>
      </c>
      <c r="T2028" t="s">
        <v>11126</v>
      </c>
      <c r="V2028" t="s">
        <v>11127</v>
      </c>
      <c r="Y2028" t="s">
        <v>11128</v>
      </c>
    </row>
    <row r="2029" spans="1:25" x14ac:dyDescent="0.25">
      <c r="A2029" t="str">
        <f>"1289520611"</f>
        <v>1289520611</v>
      </c>
      <c r="B2029" t="s">
        <v>290</v>
      </c>
      <c r="C2029" t="s">
        <v>9932</v>
      </c>
      <c r="D2029" t="s">
        <v>11129</v>
      </c>
      <c r="E2029">
        <v>424038</v>
      </c>
      <c r="F2029" t="s">
        <v>1</v>
      </c>
      <c r="G2029" t="s">
        <v>2</v>
      </c>
      <c r="H2029" t="s">
        <v>11130</v>
      </c>
      <c r="I2029" t="s">
        <v>11131</v>
      </c>
      <c r="J2029" t="s">
        <v>11132</v>
      </c>
      <c r="P2029" t="s">
        <v>7650</v>
      </c>
      <c r="Q2029" t="s">
        <v>11133</v>
      </c>
      <c r="Y2029" t="s">
        <v>11134</v>
      </c>
    </row>
    <row r="2030" spans="1:25" x14ac:dyDescent="0.25">
      <c r="A2030" t="str">
        <f>"1289520647"</f>
        <v>1289520647</v>
      </c>
      <c r="B2030" t="s">
        <v>352</v>
      </c>
      <c r="C2030" t="s">
        <v>11138</v>
      </c>
      <c r="D2030" t="s">
        <v>11135</v>
      </c>
      <c r="E2030">
        <v>424007</v>
      </c>
      <c r="F2030" t="s">
        <v>1</v>
      </c>
      <c r="G2030" t="s">
        <v>2</v>
      </c>
      <c r="H2030" t="s">
        <v>220</v>
      </c>
      <c r="I2030" t="s">
        <v>11136</v>
      </c>
      <c r="L2030" t="s">
        <v>11137</v>
      </c>
      <c r="P2030" t="s">
        <v>152</v>
      </c>
      <c r="Y2030" t="s">
        <v>11139</v>
      </c>
    </row>
    <row r="2031" spans="1:25" x14ac:dyDescent="0.25">
      <c r="A2031" t="str">
        <f>"1289525347"</f>
        <v>1289525347</v>
      </c>
      <c r="B2031" t="s">
        <v>352</v>
      </c>
      <c r="C2031" t="s">
        <v>353</v>
      </c>
      <c r="D2031" t="s">
        <v>11140</v>
      </c>
      <c r="E2031">
        <v>424031</v>
      </c>
      <c r="F2031" t="s">
        <v>1</v>
      </c>
      <c r="G2031" t="s">
        <v>2</v>
      </c>
      <c r="H2031" t="s">
        <v>1524</v>
      </c>
      <c r="I2031" t="s">
        <v>11141</v>
      </c>
      <c r="P2031" t="s">
        <v>340</v>
      </c>
      <c r="Y2031" t="s">
        <v>5358</v>
      </c>
    </row>
    <row r="2032" spans="1:25" x14ac:dyDescent="0.25">
      <c r="A2032" t="str">
        <f>"1289594988"</f>
        <v>1289594988</v>
      </c>
      <c r="B2032" t="s">
        <v>160</v>
      </c>
      <c r="C2032" t="s">
        <v>9976</v>
      </c>
      <c r="D2032" t="s">
        <v>11142</v>
      </c>
      <c r="E2032">
        <v>424000</v>
      </c>
      <c r="F2032" t="s">
        <v>1</v>
      </c>
      <c r="G2032" t="s">
        <v>2</v>
      </c>
      <c r="H2032" t="s">
        <v>11143</v>
      </c>
      <c r="J2032" t="s">
        <v>11144</v>
      </c>
      <c r="P2032" t="s">
        <v>330</v>
      </c>
      <c r="Y2032" t="s">
        <v>11145</v>
      </c>
    </row>
    <row r="2033" spans="1:25" x14ac:dyDescent="0.25">
      <c r="A2033" t="str">
        <f>"1289685234"</f>
        <v>1289685234</v>
      </c>
      <c r="B2033" t="s">
        <v>160</v>
      </c>
      <c r="C2033" t="s">
        <v>9976</v>
      </c>
      <c r="D2033" t="s">
        <v>11146</v>
      </c>
      <c r="E2033">
        <v>424020</v>
      </c>
      <c r="F2033" t="s">
        <v>1</v>
      </c>
      <c r="G2033" t="s">
        <v>2</v>
      </c>
      <c r="H2033" t="s">
        <v>6262</v>
      </c>
      <c r="J2033" t="s">
        <v>11147</v>
      </c>
      <c r="P2033" t="s">
        <v>10063</v>
      </c>
      <c r="Y2033" t="s">
        <v>6264</v>
      </c>
    </row>
    <row r="2034" spans="1:25" x14ac:dyDescent="0.25">
      <c r="A2034" t="str">
        <f>"1289776173"</f>
        <v>1289776173</v>
      </c>
      <c r="B2034" t="s">
        <v>703</v>
      </c>
      <c r="C2034" t="s">
        <v>2129</v>
      </c>
      <c r="D2034" t="s">
        <v>11148</v>
      </c>
      <c r="E2034">
        <v>424040</v>
      </c>
      <c r="F2034" t="s">
        <v>1</v>
      </c>
      <c r="G2034" t="s">
        <v>2</v>
      </c>
      <c r="H2034" t="s">
        <v>11149</v>
      </c>
      <c r="I2034" t="s">
        <v>11150</v>
      </c>
      <c r="P2034" t="s">
        <v>280</v>
      </c>
      <c r="Y2034" t="s">
        <v>11151</v>
      </c>
    </row>
    <row r="2035" spans="1:25" x14ac:dyDescent="0.25">
      <c r="A2035" t="str">
        <f>"1289786251"</f>
        <v>1289786251</v>
      </c>
      <c r="B2035" t="s">
        <v>482</v>
      </c>
      <c r="C2035" t="s">
        <v>11154</v>
      </c>
      <c r="D2035" t="s">
        <v>11152</v>
      </c>
      <c r="E2035">
        <v>424031</v>
      </c>
      <c r="F2035" t="s">
        <v>1</v>
      </c>
      <c r="G2035" t="s">
        <v>2</v>
      </c>
      <c r="H2035" t="s">
        <v>4622</v>
      </c>
      <c r="I2035" t="s">
        <v>11153</v>
      </c>
      <c r="L2035" t="s">
        <v>8818</v>
      </c>
      <c r="M2035" t="s">
        <v>1192</v>
      </c>
      <c r="P2035" t="s">
        <v>27</v>
      </c>
      <c r="Y2035" t="s">
        <v>11155</v>
      </c>
    </row>
    <row r="2036" spans="1:25" x14ac:dyDescent="0.25">
      <c r="A2036" t="str">
        <f>"1289818011"</f>
        <v>1289818011</v>
      </c>
      <c r="B2036" t="s">
        <v>110</v>
      </c>
      <c r="C2036" t="s">
        <v>111</v>
      </c>
      <c r="D2036" t="s">
        <v>1399</v>
      </c>
      <c r="E2036">
        <v>424000</v>
      </c>
      <c r="F2036" t="s">
        <v>1</v>
      </c>
      <c r="G2036" t="s">
        <v>2</v>
      </c>
      <c r="H2036" t="s">
        <v>4098</v>
      </c>
      <c r="I2036" t="s">
        <v>11156</v>
      </c>
      <c r="L2036" t="s">
        <v>11157</v>
      </c>
      <c r="M2036" t="s">
        <v>11158</v>
      </c>
      <c r="P2036" t="s">
        <v>1404</v>
      </c>
      <c r="Q2036" t="s">
        <v>11159</v>
      </c>
      <c r="Y2036" t="s">
        <v>11160</v>
      </c>
    </row>
    <row r="2037" spans="1:25" x14ac:dyDescent="0.25">
      <c r="A2037" t="str">
        <f>"1289823079"</f>
        <v>1289823079</v>
      </c>
      <c r="B2037" t="s">
        <v>224</v>
      </c>
      <c r="C2037" t="s">
        <v>4931</v>
      </c>
      <c r="D2037" t="s">
        <v>11161</v>
      </c>
      <c r="F2037" t="s">
        <v>1</v>
      </c>
      <c r="G2037" t="s">
        <v>2</v>
      </c>
      <c r="H2037" t="s">
        <v>11162</v>
      </c>
      <c r="I2037" t="s">
        <v>11163</v>
      </c>
      <c r="K2037" t="s">
        <v>11164</v>
      </c>
      <c r="P2037" t="s">
        <v>11165</v>
      </c>
      <c r="Y2037" t="s">
        <v>11166</v>
      </c>
    </row>
    <row r="2038" spans="1:25" x14ac:dyDescent="0.25">
      <c r="A2038" t="str">
        <f>"1289827437"</f>
        <v>1289827437</v>
      </c>
      <c r="B2038" t="s">
        <v>930</v>
      </c>
      <c r="C2038" t="s">
        <v>11171</v>
      </c>
      <c r="D2038" t="s">
        <v>11167</v>
      </c>
      <c r="E2038">
        <v>424006</v>
      </c>
      <c r="F2038" t="s">
        <v>1</v>
      </c>
      <c r="G2038" t="s">
        <v>2</v>
      </c>
      <c r="H2038" t="s">
        <v>11168</v>
      </c>
      <c r="I2038" t="s">
        <v>11169</v>
      </c>
      <c r="J2038" t="s">
        <v>11170</v>
      </c>
      <c r="P2038" t="s">
        <v>280</v>
      </c>
      <c r="Y2038" t="s">
        <v>11172</v>
      </c>
    </row>
    <row r="2039" spans="1:25" x14ac:dyDescent="0.25">
      <c r="A2039" t="str">
        <f>"1289827902"</f>
        <v>1289827902</v>
      </c>
      <c r="B2039" t="s">
        <v>176</v>
      </c>
      <c r="C2039" t="s">
        <v>4741</v>
      </c>
      <c r="D2039" t="s">
        <v>11173</v>
      </c>
      <c r="E2039">
        <v>424004</v>
      </c>
      <c r="F2039" t="s">
        <v>1</v>
      </c>
      <c r="G2039" t="s">
        <v>2</v>
      </c>
      <c r="H2039" t="s">
        <v>186</v>
      </c>
      <c r="J2039" t="s">
        <v>11174</v>
      </c>
      <c r="P2039" t="s">
        <v>11175</v>
      </c>
      <c r="Y2039" t="s">
        <v>190</v>
      </c>
    </row>
    <row r="2040" spans="1:25" x14ac:dyDescent="0.25">
      <c r="A2040" t="str">
        <f>"1289831624"</f>
        <v>1289831624</v>
      </c>
      <c r="B2040" t="s">
        <v>123</v>
      </c>
      <c r="C2040" t="s">
        <v>424</v>
      </c>
      <c r="D2040" t="s">
        <v>11176</v>
      </c>
      <c r="E2040">
        <v>424033</v>
      </c>
      <c r="F2040" t="s">
        <v>1</v>
      </c>
      <c r="G2040" t="s">
        <v>2</v>
      </c>
      <c r="H2040" t="s">
        <v>11177</v>
      </c>
      <c r="I2040" t="s">
        <v>11178</v>
      </c>
      <c r="J2040" t="s">
        <v>11179</v>
      </c>
      <c r="P2040" t="s">
        <v>425</v>
      </c>
      <c r="Y2040" t="s">
        <v>11180</v>
      </c>
    </row>
    <row r="2041" spans="1:25" x14ac:dyDescent="0.25">
      <c r="A2041" t="str">
        <f>"1289917648"</f>
        <v>1289917648</v>
      </c>
      <c r="B2041" t="s">
        <v>348</v>
      </c>
      <c r="C2041" t="s">
        <v>4366</v>
      </c>
      <c r="D2041" t="s">
        <v>11181</v>
      </c>
      <c r="E2041">
        <v>424031</v>
      </c>
      <c r="F2041" t="s">
        <v>1</v>
      </c>
      <c r="G2041" t="s">
        <v>2</v>
      </c>
      <c r="H2041" t="s">
        <v>239</v>
      </c>
      <c r="I2041" t="s">
        <v>11182</v>
      </c>
      <c r="J2041" t="s">
        <v>11183</v>
      </c>
      <c r="L2041" t="s">
        <v>11184</v>
      </c>
      <c r="P2041" t="s">
        <v>4126</v>
      </c>
      <c r="Y2041" t="s">
        <v>11185</v>
      </c>
    </row>
    <row r="2042" spans="1:25" x14ac:dyDescent="0.25">
      <c r="A2042" t="str">
        <f>"1289939164"</f>
        <v>1289939164</v>
      </c>
      <c r="B2042" t="s">
        <v>482</v>
      </c>
      <c r="C2042" t="s">
        <v>483</v>
      </c>
      <c r="D2042" t="s">
        <v>11186</v>
      </c>
      <c r="E2042">
        <v>424007</v>
      </c>
      <c r="F2042" t="s">
        <v>1</v>
      </c>
      <c r="G2042" t="s">
        <v>2</v>
      </c>
      <c r="H2042" t="s">
        <v>2168</v>
      </c>
      <c r="I2042" t="s">
        <v>11187</v>
      </c>
      <c r="J2042" t="s">
        <v>11188</v>
      </c>
      <c r="P2042" t="s">
        <v>1232</v>
      </c>
      <c r="Y2042" t="s">
        <v>2172</v>
      </c>
    </row>
    <row r="2043" spans="1:25" x14ac:dyDescent="0.25">
      <c r="A2043" t="str">
        <f>"1289948020"</f>
        <v>1289948020</v>
      </c>
      <c r="B2043" t="s">
        <v>4084</v>
      </c>
      <c r="C2043" t="s">
        <v>7951</v>
      </c>
      <c r="D2043" t="s">
        <v>11189</v>
      </c>
      <c r="E2043">
        <v>424031</v>
      </c>
      <c r="F2043" t="s">
        <v>1</v>
      </c>
      <c r="G2043" t="s">
        <v>2</v>
      </c>
      <c r="H2043" t="s">
        <v>11190</v>
      </c>
      <c r="Y2043" t="s">
        <v>11191</v>
      </c>
    </row>
    <row r="2044" spans="1:25" x14ac:dyDescent="0.25">
      <c r="A2044" t="str">
        <f>"1290077180"</f>
        <v>1290077180</v>
      </c>
      <c r="B2044" t="s">
        <v>2818</v>
      </c>
      <c r="C2044" t="s">
        <v>6466</v>
      </c>
      <c r="D2044" t="s">
        <v>11192</v>
      </c>
      <c r="E2044">
        <v>424028</v>
      </c>
      <c r="F2044" t="s">
        <v>1</v>
      </c>
      <c r="G2044" t="s">
        <v>2</v>
      </c>
      <c r="H2044" t="s">
        <v>11193</v>
      </c>
      <c r="I2044" t="s">
        <v>11194</v>
      </c>
      <c r="J2044" t="s">
        <v>11195</v>
      </c>
      <c r="P2044" t="s">
        <v>6400</v>
      </c>
      <c r="Y2044" t="s">
        <v>7562</v>
      </c>
    </row>
    <row r="2045" spans="1:25" x14ac:dyDescent="0.25">
      <c r="A2045" t="str">
        <f>"1290114895"</f>
        <v>1290114895</v>
      </c>
      <c r="B2045" t="s">
        <v>18</v>
      </c>
      <c r="C2045" t="s">
        <v>959</v>
      </c>
      <c r="D2045" t="s">
        <v>11196</v>
      </c>
      <c r="E2045">
        <v>424000</v>
      </c>
      <c r="F2045" t="s">
        <v>1</v>
      </c>
      <c r="G2045" t="s">
        <v>2</v>
      </c>
      <c r="H2045" t="s">
        <v>2202</v>
      </c>
      <c r="I2045" t="s">
        <v>11197</v>
      </c>
      <c r="K2045" t="s">
        <v>11198</v>
      </c>
      <c r="M2045" t="s">
        <v>11199</v>
      </c>
      <c r="P2045" t="s">
        <v>9</v>
      </c>
      <c r="Q2045" t="s">
        <v>11200</v>
      </c>
      <c r="Y2045" t="s">
        <v>2204</v>
      </c>
    </row>
    <row r="2046" spans="1:25" x14ac:dyDescent="0.25">
      <c r="A2046" t="str">
        <f>"1290173533"</f>
        <v>1290173533</v>
      </c>
      <c r="B2046" t="s">
        <v>32</v>
      </c>
      <c r="C2046" t="s">
        <v>182</v>
      </c>
      <c r="D2046" t="s">
        <v>3550</v>
      </c>
      <c r="E2046">
        <v>424031</v>
      </c>
      <c r="F2046" t="s">
        <v>1</v>
      </c>
      <c r="G2046" t="s">
        <v>2</v>
      </c>
      <c r="H2046" t="s">
        <v>5353</v>
      </c>
      <c r="I2046" t="s">
        <v>11201</v>
      </c>
      <c r="P2046" t="s">
        <v>10812</v>
      </c>
      <c r="Y2046" t="s">
        <v>11202</v>
      </c>
    </row>
    <row r="2047" spans="1:25" x14ac:dyDescent="0.25">
      <c r="A2047" t="str">
        <f>"1290189644"</f>
        <v>1290189644</v>
      </c>
      <c r="B2047" t="s">
        <v>430</v>
      </c>
      <c r="C2047" t="s">
        <v>612</v>
      </c>
      <c r="D2047" t="s">
        <v>10135</v>
      </c>
      <c r="E2047">
        <v>424000</v>
      </c>
      <c r="F2047" t="s">
        <v>1</v>
      </c>
      <c r="G2047" t="s">
        <v>2</v>
      </c>
      <c r="H2047" t="s">
        <v>265</v>
      </c>
      <c r="J2047" t="s">
        <v>11203</v>
      </c>
      <c r="P2047" t="s">
        <v>11204</v>
      </c>
      <c r="Y2047" t="s">
        <v>11205</v>
      </c>
    </row>
    <row r="2048" spans="1:25" x14ac:dyDescent="0.25">
      <c r="A2048" t="str">
        <f>"1290205841"</f>
        <v>1290205841</v>
      </c>
      <c r="B2048" t="s">
        <v>574</v>
      </c>
      <c r="C2048" t="s">
        <v>646</v>
      </c>
      <c r="D2048" t="s">
        <v>11206</v>
      </c>
      <c r="E2048">
        <v>424008</v>
      </c>
      <c r="F2048" t="s">
        <v>1</v>
      </c>
      <c r="G2048" t="s">
        <v>2</v>
      </c>
      <c r="H2048" t="s">
        <v>11207</v>
      </c>
      <c r="I2048" t="s">
        <v>11208</v>
      </c>
      <c r="P2048" t="s">
        <v>330</v>
      </c>
      <c r="Y2048" t="s">
        <v>11209</v>
      </c>
    </row>
    <row r="2049" spans="1:25" x14ac:dyDescent="0.25">
      <c r="A2049" t="str">
        <f>"1290253420"</f>
        <v>1290253420</v>
      </c>
      <c r="B2049" t="s">
        <v>25</v>
      </c>
      <c r="C2049" t="s">
        <v>59</v>
      </c>
      <c r="D2049" t="s">
        <v>11210</v>
      </c>
      <c r="E2049">
        <v>424002</v>
      </c>
      <c r="F2049" t="s">
        <v>1</v>
      </c>
      <c r="G2049" t="s">
        <v>2</v>
      </c>
      <c r="H2049" t="s">
        <v>5416</v>
      </c>
      <c r="I2049" t="s">
        <v>11211</v>
      </c>
      <c r="J2049" t="s">
        <v>9620</v>
      </c>
      <c r="L2049" t="s">
        <v>9621</v>
      </c>
      <c r="P2049" t="s">
        <v>330</v>
      </c>
      <c r="Q2049" t="s">
        <v>11212</v>
      </c>
      <c r="R2049" t="s">
        <v>9624</v>
      </c>
      <c r="S2049" t="s">
        <v>11213</v>
      </c>
      <c r="T2049" t="s">
        <v>11214</v>
      </c>
      <c r="Y2049" t="s">
        <v>11215</v>
      </c>
    </row>
    <row r="2050" spans="1:25" x14ac:dyDescent="0.25">
      <c r="A2050" t="str">
        <f>"1290347935"</f>
        <v>1290347935</v>
      </c>
      <c r="B2050" t="s">
        <v>1152</v>
      </c>
      <c r="C2050" t="s">
        <v>4926</v>
      </c>
      <c r="D2050" t="s">
        <v>11216</v>
      </c>
      <c r="E2050">
        <v>424000</v>
      </c>
      <c r="F2050" t="s">
        <v>1</v>
      </c>
      <c r="G2050" t="s">
        <v>2</v>
      </c>
      <c r="H2050" t="s">
        <v>1531</v>
      </c>
      <c r="I2050" t="s">
        <v>11217</v>
      </c>
      <c r="P2050" t="s">
        <v>11218</v>
      </c>
      <c r="Y2050" t="s">
        <v>11219</v>
      </c>
    </row>
    <row r="2051" spans="1:25" x14ac:dyDescent="0.25">
      <c r="A2051" t="str">
        <f>"1290562260"</f>
        <v>1290562260</v>
      </c>
      <c r="B2051" t="s">
        <v>703</v>
      </c>
      <c r="C2051" t="s">
        <v>11222</v>
      </c>
      <c r="D2051" t="s">
        <v>11220</v>
      </c>
      <c r="E2051">
        <v>424007</v>
      </c>
      <c r="F2051" t="s">
        <v>1</v>
      </c>
      <c r="G2051" t="s">
        <v>2</v>
      </c>
      <c r="H2051" t="s">
        <v>4869</v>
      </c>
      <c r="J2051" t="s">
        <v>11221</v>
      </c>
      <c r="P2051" t="s">
        <v>280</v>
      </c>
      <c r="Y2051" t="s">
        <v>11223</v>
      </c>
    </row>
    <row r="2052" spans="1:25" x14ac:dyDescent="0.25">
      <c r="A2052" t="str">
        <f>"1290595529"</f>
        <v>1290595529</v>
      </c>
      <c r="B2052" t="s">
        <v>1152</v>
      </c>
      <c r="C2052" t="s">
        <v>11226</v>
      </c>
      <c r="D2052" t="s">
        <v>11224</v>
      </c>
      <c r="E2052">
        <v>424000</v>
      </c>
      <c r="F2052" t="s">
        <v>1</v>
      </c>
      <c r="G2052" t="s">
        <v>2</v>
      </c>
      <c r="H2052" t="s">
        <v>3454</v>
      </c>
      <c r="I2052" t="s">
        <v>11225</v>
      </c>
      <c r="P2052" t="s">
        <v>3456</v>
      </c>
      <c r="Y2052" t="s">
        <v>1634</v>
      </c>
    </row>
    <row r="2053" spans="1:25" x14ac:dyDescent="0.25">
      <c r="A2053" t="str">
        <f>"1290731360"</f>
        <v>1290731360</v>
      </c>
      <c r="B2053" t="s">
        <v>462</v>
      </c>
      <c r="C2053" t="s">
        <v>11230</v>
      </c>
      <c r="D2053" t="s">
        <v>11227</v>
      </c>
      <c r="E2053">
        <v>424002</v>
      </c>
      <c r="F2053" t="s">
        <v>1</v>
      </c>
      <c r="G2053" t="s">
        <v>2</v>
      </c>
      <c r="H2053" t="s">
        <v>662</v>
      </c>
      <c r="I2053" t="s">
        <v>11228</v>
      </c>
      <c r="J2053" t="s">
        <v>11229</v>
      </c>
      <c r="P2053" t="s">
        <v>410</v>
      </c>
      <c r="Y2053" t="s">
        <v>11231</v>
      </c>
    </row>
    <row r="2054" spans="1:25" x14ac:dyDescent="0.25">
      <c r="A2054" t="str">
        <f>"1290903846"</f>
        <v>1290903846</v>
      </c>
      <c r="B2054" t="s">
        <v>18</v>
      </c>
      <c r="C2054" t="s">
        <v>6433</v>
      </c>
      <c r="D2054" t="s">
        <v>11232</v>
      </c>
      <c r="E2054">
        <v>424006</v>
      </c>
      <c r="F2054" t="s">
        <v>1</v>
      </c>
      <c r="G2054" t="s">
        <v>2</v>
      </c>
      <c r="H2054" t="s">
        <v>445</v>
      </c>
      <c r="I2054" t="s">
        <v>11233</v>
      </c>
      <c r="J2054" t="s">
        <v>11234</v>
      </c>
      <c r="L2054" t="s">
        <v>11235</v>
      </c>
      <c r="M2054" t="s">
        <v>11236</v>
      </c>
      <c r="P2054" t="s">
        <v>20</v>
      </c>
      <c r="Y2054" t="s">
        <v>449</v>
      </c>
    </row>
    <row r="2055" spans="1:25" x14ac:dyDescent="0.25">
      <c r="A2055" t="str">
        <f>"1290905921"</f>
        <v>1290905921</v>
      </c>
      <c r="B2055" t="s">
        <v>88</v>
      </c>
      <c r="C2055" t="s">
        <v>11240</v>
      </c>
      <c r="D2055" t="s">
        <v>11237</v>
      </c>
      <c r="E2055">
        <v>424002</v>
      </c>
      <c r="F2055" t="s">
        <v>1</v>
      </c>
      <c r="G2055" t="s">
        <v>2</v>
      </c>
      <c r="H2055" t="s">
        <v>5692</v>
      </c>
      <c r="I2055" t="s">
        <v>11238</v>
      </c>
      <c r="J2055" t="s">
        <v>11239</v>
      </c>
      <c r="P2055" t="s">
        <v>11241</v>
      </c>
      <c r="Q2055" t="s">
        <v>11242</v>
      </c>
      <c r="Y2055" t="s">
        <v>11243</v>
      </c>
    </row>
    <row r="2056" spans="1:25" x14ac:dyDescent="0.25">
      <c r="A2056" t="str">
        <f>"1290913070"</f>
        <v>1290913070</v>
      </c>
      <c r="B2056" t="s">
        <v>553</v>
      </c>
      <c r="C2056" t="s">
        <v>11246</v>
      </c>
      <c r="D2056" t="s">
        <v>11244</v>
      </c>
      <c r="E2056">
        <v>424007</v>
      </c>
      <c r="F2056" t="s">
        <v>1</v>
      </c>
      <c r="G2056" t="s">
        <v>2</v>
      </c>
      <c r="H2056" t="s">
        <v>3243</v>
      </c>
      <c r="I2056" t="s">
        <v>11245</v>
      </c>
      <c r="P2056" t="s">
        <v>1071</v>
      </c>
      <c r="Y2056" t="s">
        <v>3249</v>
      </c>
    </row>
    <row r="2057" spans="1:25" x14ac:dyDescent="0.25">
      <c r="A2057" t="str">
        <f>"1291064819"</f>
        <v>1291064819</v>
      </c>
      <c r="B2057" t="s">
        <v>930</v>
      </c>
      <c r="C2057" t="s">
        <v>11250</v>
      </c>
      <c r="D2057" t="s">
        <v>11247</v>
      </c>
      <c r="F2057" t="s">
        <v>1</v>
      </c>
      <c r="G2057" t="s">
        <v>2</v>
      </c>
      <c r="H2057" t="s">
        <v>11248</v>
      </c>
      <c r="I2057" t="s">
        <v>11249</v>
      </c>
      <c r="P2057" t="s">
        <v>1441</v>
      </c>
      <c r="Y2057" t="s">
        <v>11251</v>
      </c>
    </row>
    <row r="2058" spans="1:25" x14ac:dyDescent="0.25">
      <c r="A2058" t="str">
        <f>"1291077341"</f>
        <v>1291077341</v>
      </c>
      <c r="B2058" t="s">
        <v>388</v>
      </c>
      <c r="C2058" t="s">
        <v>9224</v>
      </c>
      <c r="D2058" t="s">
        <v>11252</v>
      </c>
      <c r="E2058">
        <v>424000</v>
      </c>
      <c r="F2058" t="s">
        <v>1</v>
      </c>
      <c r="G2058" t="s">
        <v>2</v>
      </c>
      <c r="H2058" t="s">
        <v>4427</v>
      </c>
      <c r="I2058" t="s">
        <v>11253</v>
      </c>
      <c r="P2058" t="s">
        <v>152</v>
      </c>
      <c r="Y2058" t="s">
        <v>11254</v>
      </c>
    </row>
    <row r="2059" spans="1:25" x14ac:dyDescent="0.25">
      <c r="A2059" t="str">
        <f>"1291107646"</f>
        <v>1291107646</v>
      </c>
      <c r="B2059" t="s">
        <v>640</v>
      </c>
      <c r="C2059" t="s">
        <v>2857</v>
      </c>
      <c r="D2059" t="s">
        <v>11255</v>
      </c>
      <c r="E2059">
        <v>424030</v>
      </c>
      <c r="F2059" t="s">
        <v>1</v>
      </c>
      <c r="G2059" t="s">
        <v>2</v>
      </c>
      <c r="H2059" t="s">
        <v>440</v>
      </c>
      <c r="J2059" t="s">
        <v>11256</v>
      </c>
      <c r="P2059" t="s">
        <v>8133</v>
      </c>
      <c r="Y2059" t="s">
        <v>4115</v>
      </c>
    </row>
    <row r="2060" spans="1:25" x14ac:dyDescent="0.25">
      <c r="A2060" t="str">
        <f>"1291142042"</f>
        <v>1291142042</v>
      </c>
      <c r="B2060" t="s">
        <v>574</v>
      </c>
      <c r="C2060" t="s">
        <v>3332</v>
      </c>
      <c r="D2060" t="s">
        <v>11257</v>
      </c>
      <c r="E2060">
        <v>424003</v>
      </c>
      <c r="F2060" t="s">
        <v>1</v>
      </c>
      <c r="G2060" t="s">
        <v>2</v>
      </c>
      <c r="H2060" t="s">
        <v>11258</v>
      </c>
      <c r="I2060" t="s">
        <v>11259</v>
      </c>
      <c r="P2060" t="s">
        <v>8133</v>
      </c>
      <c r="Y2060" t="s">
        <v>11260</v>
      </c>
    </row>
    <row r="2061" spans="1:25" x14ac:dyDescent="0.25">
      <c r="A2061" t="str">
        <f>"1291175800"</f>
        <v>1291175800</v>
      </c>
      <c r="B2061" t="s">
        <v>80</v>
      </c>
      <c r="C2061" t="s">
        <v>11264</v>
      </c>
      <c r="D2061" t="s">
        <v>11261</v>
      </c>
      <c r="E2061">
        <v>424003</v>
      </c>
      <c r="F2061" t="s">
        <v>1</v>
      </c>
      <c r="G2061" t="s">
        <v>2</v>
      </c>
      <c r="H2061" t="s">
        <v>11262</v>
      </c>
      <c r="I2061" t="s">
        <v>11263</v>
      </c>
      <c r="P2061" t="s">
        <v>7436</v>
      </c>
      <c r="Y2061" t="s">
        <v>11265</v>
      </c>
    </row>
    <row r="2062" spans="1:25" x14ac:dyDescent="0.25">
      <c r="A2062" t="str">
        <f>"1291233709"</f>
        <v>1291233709</v>
      </c>
      <c r="B2062" t="s">
        <v>797</v>
      </c>
      <c r="C2062" t="s">
        <v>11271</v>
      </c>
      <c r="D2062" t="s">
        <v>11266</v>
      </c>
      <c r="E2062">
        <v>424016</v>
      </c>
      <c r="F2062" t="s">
        <v>1</v>
      </c>
      <c r="G2062" t="s">
        <v>2</v>
      </c>
      <c r="H2062" t="s">
        <v>11267</v>
      </c>
      <c r="I2062" t="s">
        <v>11268</v>
      </c>
      <c r="L2062" t="s">
        <v>11269</v>
      </c>
      <c r="M2062" t="s">
        <v>11270</v>
      </c>
      <c r="P2062" t="s">
        <v>27</v>
      </c>
      <c r="Y2062" t="s">
        <v>11272</v>
      </c>
    </row>
    <row r="2063" spans="1:25" x14ac:dyDescent="0.25">
      <c r="A2063" t="str">
        <f>"1291425028"</f>
        <v>1291425028</v>
      </c>
      <c r="B2063" t="s">
        <v>417</v>
      </c>
      <c r="C2063" t="s">
        <v>418</v>
      </c>
      <c r="D2063" t="s">
        <v>11273</v>
      </c>
      <c r="E2063">
        <v>424000</v>
      </c>
      <c r="F2063" t="s">
        <v>1</v>
      </c>
      <c r="G2063" t="s">
        <v>2</v>
      </c>
      <c r="H2063" t="s">
        <v>1556</v>
      </c>
      <c r="I2063" t="s">
        <v>11274</v>
      </c>
      <c r="J2063" t="s">
        <v>11275</v>
      </c>
      <c r="L2063" t="s">
        <v>11276</v>
      </c>
      <c r="M2063" t="s">
        <v>11277</v>
      </c>
      <c r="P2063" t="s">
        <v>5892</v>
      </c>
      <c r="Y2063" t="s">
        <v>11278</v>
      </c>
    </row>
    <row r="2064" spans="1:25" x14ac:dyDescent="0.25">
      <c r="A2064" t="str">
        <f>"1291433973"</f>
        <v>1291433973</v>
      </c>
      <c r="B2064" t="s">
        <v>352</v>
      </c>
      <c r="C2064" t="s">
        <v>11282</v>
      </c>
      <c r="D2064" t="s">
        <v>11279</v>
      </c>
      <c r="E2064">
        <v>424031</v>
      </c>
      <c r="F2064" t="s">
        <v>1</v>
      </c>
      <c r="G2064" t="s">
        <v>2</v>
      </c>
      <c r="H2064" t="s">
        <v>3637</v>
      </c>
      <c r="I2064" t="s">
        <v>11280</v>
      </c>
      <c r="L2064" t="s">
        <v>8198</v>
      </c>
      <c r="M2064" t="s">
        <v>11281</v>
      </c>
      <c r="P2064" t="s">
        <v>799</v>
      </c>
      <c r="Y2064" t="s">
        <v>246</v>
      </c>
    </row>
    <row r="2065" spans="1:25" x14ac:dyDescent="0.25">
      <c r="A2065" t="str">
        <f>"1291520827"</f>
        <v>1291520827</v>
      </c>
      <c r="B2065" t="s">
        <v>1552</v>
      </c>
      <c r="C2065" t="s">
        <v>1552</v>
      </c>
      <c r="D2065" t="s">
        <v>11283</v>
      </c>
      <c r="E2065">
        <v>424002</v>
      </c>
      <c r="F2065" t="s">
        <v>1</v>
      </c>
      <c r="G2065" t="s">
        <v>2</v>
      </c>
      <c r="H2065" t="s">
        <v>11284</v>
      </c>
      <c r="I2065" t="s">
        <v>11285</v>
      </c>
      <c r="J2065" t="s">
        <v>11286</v>
      </c>
      <c r="L2065" t="s">
        <v>11287</v>
      </c>
      <c r="P2065" t="s">
        <v>280</v>
      </c>
      <c r="Y2065" t="s">
        <v>11288</v>
      </c>
    </row>
    <row r="2066" spans="1:25" x14ac:dyDescent="0.25">
      <c r="A2066" t="str">
        <f>"1291689942"</f>
        <v>1291689942</v>
      </c>
      <c r="B2066" t="s">
        <v>233</v>
      </c>
      <c r="C2066" t="s">
        <v>11293</v>
      </c>
      <c r="D2066" t="s">
        <v>11289</v>
      </c>
      <c r="E2066">
        <v>424016</v>
      </c>
      <c r="F2066" t="s">
        <v>1</v>
      </c>
      <c r="G2066" t="s">
        <v>2</v>
      </c>
      <c r="H2066" t="s">
        <v>11290</v>
      </c>
      <c r="I2066" t="s">
        <v>11291</v>
      </c>
      <c r="M2066" t="s">
        <v>11292</v>
      </c>
      <c r="Y2066" t="s">
        <v>11294</v>
      </c>
    </row>
    <row r="2067" spans="1:25" x14ac:dyDescent="0.25">
      <c r="A2067" t="str">
        <f>"1291751825"</f>
        <v>1291751825</v>
      </c>
      <c r="B2067" t="s">
        <v>9815</v>
      </c>
      <c r="C2067" t="s">
        <v>11298</v>
      </c>
      <c r="D2067" t="s">
        <v>11295</v>
      </c>
      <c r="E2067">
        <v>424032</v>
      </c>
      <c r="F2067" t="s">
        <v>1</v>
      </c>
      <c r="G2067" t="s">
        <v>2</v>
      </c>
      <c r="H2067" t="s">
        <v>11296</v>
      </c>
      <c r="J2067" t="s">
        <v>11297</v>
      </c>
      <c r="P2067" t="s">
        <v>799</v>
      </c>
      <c r="Y2067" t="s">
        <v>11299</v>
      </c>
    </row>
    <row r="2068" spans="1:25" x14ac:dyDescent="0.25">
      <c r="A2068" t="str">
        <f>"1291753785"</f>
        <v>1291753785</v>
      </c>
      <c r="B2068" t="s">
        <v>3544</v>
      </c>
      <c r="C2068" t="s">
        <v>11303</v>
      </c>
      <c r="D2068" t="s">
        <v>7821</v>
      </c>
      <c r="E2068">
        <v>424031</v>
      </c>
      <c r="F2068" t="s">
        <v>1</v>
      </c>
      <c r="G2068" t="s">
        <v>2</v>
      </c>
      <c r="H2068" t="s">
        <v>7118</v>
      </c>
      <c r="I2068" t="s">
        <v>11300</v>
      </c>
      <c r="L2068" t="s">
        <v>11301</v>
      </c>
      <c r="M2068" t="s">
        <v>11302</v>
      </c>
      <c r="P2068" t="s">
        <v>280</v>
      </c>
      <c r="Y2068" t="s">
        <v>7120</v>
      </c>
    </row>
    <row r="2069" spans="1:25" x14ac:dyDescent="0.25">
      <c r="A2069" t="str">
        <f>"1291832514"</f>
        <v>1291832514</v>
      </c>
      <c r="B2069" t="s">
        <v>1053</v>
      </c>
      <c r="C2069" t="s">
        <v>11306</v>
      </c>
      <c r="D2069" t="s">
        <v>11304</v>
      </c>
      <c r="E2069">
        <v>424007</v>
      </c>
      <c r="F2069" t="s">
        <v>1</v>
      </c>
      <c r="G2069" t="s">
        <v>2</v>
      </c>
      <c r="H2069" t="s">
        <v>2168</v>
      </c>
      <c r="J2069" t="s">
        <v>11305</v>
      </c>
      <c r="P2069" t="s">
        <v>280</v>
      </c>
      <c r="Y2069" t="s">
        <v>2172</v>
      </c>
    </row>
    <row r="2070" spans="1:25" x14ac:dyDescent="0.25">
      <c r="A2070" t="str">
        <f>"1291923068"</f>
        <v>1291923068</v>
      </c>
      <c r="B2070" t="s">
        <v>1053</v>
      </c>
      <c r="C2070" t="s">
        <v>11306</v>
      </c>
      <c r="D2070" t="s">
        <v>1615</v>
      </c>
      <c r="E2070">
        <v>424028</v>
      </c>
      <c r="F2070" t="s">
        <v>1</v>
      </c>
      <c r="G2070" t="s">
        <v>2</v>
      </c>
      <c r="H2070" t="s">
        <v>11307</v>
      </c>
      <c r="I2070" t="s">
        <v>11308</v>
      </c>
      <c r="P2070" t="s">
        <v>20</v>
      </c>
      <c r="Y2070" t="s">
        <v>11309</v>
      </c>
    </row>
    <row r="2071" spans="1:25" x14ac:dyDescent="0.25">
      <c r="A2071" t="str">
        <f>"1291927715"</f>
        <v>1291927715</v>
      </c>
      <c r="B2071" t="s">
        <v>1053</v>
      </c>
      <c r="C2071" t="s">
        <v>11312</v>
      </c>
      <c r="D2071" t="s">
        <v>11310</v>
      </c>
      <c r="E2071">
        <v>424006</v>
      </c>
      <c r="F2071" t="s">
        <v>1</v>
      </c>
      <c r="G2071" t="s">
        <v>2</v>
      </c>
      <c r="H2071" t="s">
        <v>445</v>
      </c>
      <c r="I2071" t="s">
        <v>11311</v>
      </c>
      <c r="P2071" t="s">
        <v>2296</v>
      </c>
      <c r="Y2071" t="s">
        <v>449</v>
      </c>
    </row>
    <row r="2072" spans="1:25" x14ac:dyDescent="0.25">
      <c r="A2072" t="str">
        <f>"1291941979"</f>
        <v>1291941979</v>
      </c>
      <c r="B2072" t="s">
        <v>716</v>
      </c>
      <c r="C2072" t="s">
        <v>717</v>
      </c>
      <c r="D2072" t="s">
        <v>11313</v>
      </c>
      <c r="E2072">
        <v>424007</v>
      </c>
      <c r="F2072" t="s">
        <v>1</v>
      </c>
      <c r="G2072" t="s">
        <v>2</v>
      </c>
      <c r="H2072" t="s">
        <v>11314</v>
      </c>
      <c r="J2072" t="s">
        <v>11315</v>
      </c>
      <c r="P2072" t="s">
        <v>2738</v>
      </c>
      <c r="Y2072" t="s">
        <v>11316</v>
      </c>
    </row>
    <row r="2073" spans="1:25" x14ac:dyDescent="0.25">
      <c r="A2073" t="str">
        <f>"1291984700"</f>
        <v>1291984700</v>
      </c>
      <c r="B2073" t="s">
        <v>319</v>
      </c>
      <c r="C2073" t="s">
        <v>320</v>
      </c>
      <c r="D2073" t="s">
        <v>11317</v>
      </c>
      <c r="E2073">
        <v>424037</v>
      </c>
      <c r="F2073" t="s">
        <v>1</v>
      </c>
      <c r="G2073" t="s">
        <v>2</v>
      </c>
      <c r="H2073" t="s">
        <v>3216</v>
      </c>
      <c r="P2073" t="s">
        <v>5396</v>
      </c>
      <c r="Y2073" t="s">
        <v>11318</v>
      </c>
    </row>
    <row r="2074" spans="1:25" x14ac:dyDescent="0.25">
      <c r="A2074" t="str">
        <f>"1292031178"</f>
        <v>1292031178</v>
      </c>
      <c r="B2074" t="s">
        <v>243</v>
      </c>
      <c r="C2074" t="s">
        <v>2538</v>
      </c>
      <c r="D2074" t="s">
        <v>11319</v>
      </c>
      <c r="E2074">
        <v>424003</v>
      </c>
      <c r="F2074" t="s">
        <v>1</v>
      </c>
      <c r="G2074" t="s">
        <v>2</v>
      </c>
      <c r="H2074" t="s">
        <v>1042</v>
      </c>
      <c r="J2074" t="s">
        <v>11320</v>
      </c>
      <c r="P2074" t="s">
        <v>2923</v>
      </c>
      <c r="Y2074" t="s">
        <v>11321</v>
      </c>
    </row>
    <row r="2075" spans="1:25" x14ac:dyDescent="0.25">
      <c r="A2075" t="str">
        <f>"1292043883"</f>
        <v>1292043883</v>
      </c>
      <c r="B2075" t="s">
        <v>151</v>
      </c>
      <c r="C2075" t="s">
        <v>1034</v>
      </c>
      <c r="D2075" t="s">
        <v>11322</v>
      </c>
      <c r="E2075">
        <v>424002</v>
      </c>
      <c r="F2075" t="s">
        <v>1</v>
      </c>
      <c r="G2075" t="s">
        <v>2</v>
      </c>
      <c r="H2075" t="s">
        <v>9857</v>
      </c>
      <c r="J2075" t="s">
        <v>11323</v>
      </c>
      <c r="P2075" t="s">
        <v>27</v>
      </c>
      <c r="Y2075" t="s">
        <v>9860</v>
      </c>
    </row>
    <row r="2076" spans="1:25" x14ac:dyDescent="0.25">
      <c r="A2076" t="str">
        <f>"1292164464"</f>
        <v>1292164464</v>
      </c>
      <c r="B2076" t="s">
        <v>1475</v>
      </c>
      <c r="C2076" t="s">
        <v>1476</v>
      </c>
      <c r="D2076" t="s">
        <v>11324</v>
      </c>
      <c r="E2076">
        <v>424006</v>
      </c>
      <c r="F2076" t="s">
        <v>1</v>
      </c>
      <c r="G2076" t="s">
        <v>2</v>
      </c>
      <c r="H2076" t="s">
        <v>6133</v>
      </c>
      <c r="P2076" t="s">
        <v>1027</v>
      </c>
      <c r="Y2076" t="s">
        <v>11325</v>
      </c>
    </row>
    <row r="2077" spans="1:25" x14ac:dyDescent="0.25">
      <c r="A2077" t="str">
        <f>"1292178333"</f>
        <v>1292178333</v>
      </c>
      <c r="B2077" t="s">
        <v>352</v>
      </c>
      <c r="C2077" t="s">
        <v>11330</v>
      </c>
      <c r="D2077" t="s">
        <v>11326</v>
      </c>
      <c r="E2077">
        <v>424004</v>
      </c>
      <c r="F2077" t="s">
        <v>1</v>
      </c>
      <c r="G2077" t="s">
        <v>2</v>
      </c>
      <c r="H2077" t="s">
        <v>3489</v>
      </c>
      <c r="I2077" t="s">
        <v>11327</v>
      </c>
      <c r="L2077" t="s">
        <v>11328</v>
      </c>
      <c r="M2077" t="s">
        <v>11329</v>
      </c>
      <c r="P2077" t="s">
        <v>390</v>
      </c>
      <c r="Q2077" t="s">
        <v>11331</v>
      </c>
      <c r="Y2077" t="s">
        <v>11332</v>
      </c>
    </row>
    <row r="2078" spans="1:25" x14ac:dyDescent="0.25">
      <c r="A2078" t="str">
        <f>"1292182422"</f>
        <v>1292182422</v>
      </c>
      <c r="B2078" t="s">
        <v>32</v>
      </c>
      <c r="C2078" t="s">
        <v>40</v>
      </c>
      <c r="D2078" t="s">
        <v>11333</v>
      </c>
      <c r="E2078">
        <v>424031</v>
      </c>
      <c r="F2078" t="s">
        <v>1</v>
      </c>
      <c r="G2078" t="s">
        <v>2</v>
      </c>
      <c r="H2078" t="s">
        <v>11334</v>
      </c>
      <c r="I2078" t="s">
        <v>11335</v>
      </c>
      <c r="P2078" t="s">
        <v>41</v>
      </c>
      <c r="Y2078" t="s">
        <v>11336</v>
      </c>
    </row>
    <row r="2079" spans="1:25" x14ac:dyDescent="0.25">
      <c r="A2079" t="str">
        <f>"1292307621"</f>
        <v>1292307621</v>
      </c>
      <c r="B2079" t="s">
        <v>334</v>
      </c>
      <c r="C2079" t="s">
        <v>11339</v>
      </c>
      <c r="D2079" t="s">
        <v>11337</v>
      </c>
      <c r="E2079">
        <v>424001</v>
      </c>
      <c r="F2079" t="s">
        <v>1</v>
      </c>
      <c r="G2079" t="s">
        <v>2</v>
      </c>
      <c r="H2079" t="s">
        <v>919</v>
      </c>
      <c r="I2079" t="s">
        <v>11338</v>
      </c>
      <c r="P2079" t="s">
        <v>20</v>
      </c>
      <c r="Y2079" t="s">
        <v>923</v>
      </c>
    </row>
    <row r="2080" spans="1:25" x14ac:dyDescent="0.25">
      <c r="A2080" t="str">
        <f>"1292385744"</f>
        <v>1292385744</v>
      </c>
      <c r="B2080" t="s">
        <v>797</v>
      </c>
      <c r="C2080" t="s">
        <v>11343</v>
      </c>
      <c r="D2080" t="s">
        <v>11340</v>
      </c>
      <c r="E2080">
        <v>424002</v>
      </c>
      <c r="F2080" t="s">
        <v>1</v>
      </c>
      <c r="G2080" t="s">
        <v>2</v>
      </c>
      <c r="H2080" t="s">
        <v>11341</v>
      </c>
      <c r="I2080" t="s">
        <v>11342</v>
      </c>
      <c r="J2080" t="s">
        <v>796</v>
      </c>
      <c r="P2080" t="s">
        <v>112</v>
      </c>
      <c r="Y2080" t="s">
        <v>11344</v>
      </c>
    </row>
    <row r="2081" spans="1:25" x14ac:dyDescent="0.25">
      <c r="A2081" t="str">
        <f>"1292489012"</f>
        <v>1292489012</v>
      </c>
      <c r="B2081" t="s">
        <v>640</v>
      </c>
      <c r="C2081" t="s">
        <v>663</v>
      </c>
      <c r="D2081" t="s">
        <v>11345</v>
      </c>
      <c r="E2081">
        <v>424003</v>
      </c>
      <c r="F2081" t="s">
        <v>1</v>
      </c>
      <c r="G2081" t="s">
        <v>2</v>
      </c>
      <c r="H2081" t="s">
        <v>1725</v>
      </c>
      <c r="I2081" t="s">
        <v>7514</v>
      </c>
      <c r="P2081" t="s">
        <v>11346</v>
      </c>
      <c r="Y2081" t="s">
        <v>5455</v>
      </c>
    </row>
    <row r="2082" spans="1:25" x14ac:dyDescent="0.25">
      <c r="A2082" t="str">
        <f>"1292547682"</f>
        <v>1292547682</v>
      </c>
      <c r="B2082" t="s">
        <v>888</v>
      </c>
      <c r="C2082" t="s">
        <v>888</v>
      </c>
      <c r="D2082" t="s">
        <v>11347</v>
      </c>
      <c r="E2082">
        <v>424039</v>
      </c>
      <c r="F2082" t="s">
        <v>1</v>
      </c>
      <c r="G2082" t="s">
        <v>2</v>
      </c>
      <c r="H2082" t="s">
        <v>5827</v>
      </c>
      <c r="I2082" t="s">
        <v>11348</v>
      </c>
      <c r="P2082" t="s">
        <v>1855</v>
      </c>
      <c r="Y2082" t="s">
        <v>11349</v>
      </c>
    </row>
    <row r="2083" spans="1:25" x14ac:dyDescent="0.25">
      <c r="A2083" t="str">
        <f>"1292615876"</f>
        <v>1292615876</v>
      </c>
      <c r="B2083" t="s">
        <v>32</v>
      </c>
      <c r="C2083" t="s">
        <v>40</v>
      </c>
      <c r="D2083" t="s">
        <v>11350</v>
      </c>
      <c r="E2083">
        <v>424000</v>
      </c>
      <c r="F2083" t="s">
        <v>1</v>
      </c>
      <c r="G2083" t="s">
        <v>2</v>
      </c>
      <c r="H2083" t="s">
        <v>11351</v>
      </c>
      <c r="J2083" t="s">
        <v>11352</v>
      </c>
      <c r="P2083" t="s">
        <v>11353</v>
      </c>
      <c r="Y2083" t="s">
        <v>11354</v>
      </c>
    </row>
    <row r="2084" spans="1:25" x14ac:dyDescent="0.25">
      <c r="A2084" t="str">
        <f>"1292623801"</f>
        <v>1292623801</v>
      </c>
      <c r="B2084" t="s">
        <v>687</v>
      </c>
      <c r="C2084" t="s">
        <v>5413</v>
      </c>
      <c r="D2084" t="s">
        <v>11355</v>
      </c>
      <c r="F2084" t="s">
        <v>1</v>
      </c>
      <c r="G2084" t="s">
        <v>2</v>
      </c>
      <c r="H2084" t="s">
        <v>2745</v>
      </c>
      <c r="I2084" t="s">
        <v>11356</v>
      </c>
      <c r="P2084" t="s">
        <v>27</v>
      </c>
      <c r="Y2084" t="s">
        <v>2751</v>
      </c>
    </row>
    <row r="2085" spans="1:25" x14ac:dyDescent="0.25">
      <c r="A2085" t="str">
        <f>"1292638494"</f>
        <v>1292638494</v>
      </c>
      <c r="B2085" t="s">
        <v>379</v>
      </c>
      <c r="C2085" t="s">
        <v>864</v>
      </c>
      <c r="D2085" t="s">
        <v>11357</v>
      </c>
      <c r="F2085" t="s">
        <v>1</v>
      </c>
      <c r="G2085" t="s">
        <v>2</v>
      </c>
      <c r="H2085" t="s">
        <v>757</v>
      </c>
      <c r="I2085" t="s">
        <v>11358</v>
      </c>
      <c r="P2085" t="s">
        <v>133</v>
      </c>
      <c r="Y2085" t="s">
        <v>760</v>
      </c>
    </row>
    <row r="2086" spans="1:25" x14ac:dyDescent="0.25">
      <c r="A2086" t="str">
        <f>"1292647123"</f>
        <v>1292647123</v>
      </c>
      <c r="B2086" t="s">
        <v>1573</v>
      </c>
      <c r="C2086" t="s">
        <v>11363</v>
      </c>
      <c r="D2086" t="s">
        <v>11359</v>
      </c>
      <c r="E2086">
        <v>424032</v>
      </c>
      <c r="F2086" t="s">
        <v>1</v>
      </c>
      <c r="G2086" t="s">
        <v>2</v>
      </c>
      <c r="H2086" t="s">
        <v>4808</v>
      </c>
      <c r="I2086" t="s">
        <v>11360</v>
      </c>
      <c r="J2086" t="s">
        <v>11361</v>
      </c>
      <c r="M2086" t="s">
        <v>11362</v>
      </c>
      <c r="P2086" t="s">
        <v>280</v>
      </c>
      <c r="Y2086" t="s">
        <v>4812</v>
      </c>
    </row>
    <row r="2087" spans="1:25" x14ac:dyDescent="0.25">
      <c r="A2087" t="str">
        <f>"1292655480"</f>
        <v>1292655480</v>
      </c>
      <c r="B2087" t="s">
        <v>352</v>
      </c>
      <c r="C2087" t="s">
        <v>11366</v>
      </c>
      <c r="D2087" t="s">
        <v>11364</v>
      </c>
      <c r="E2087">
        <v>424002</v>
      </c>
      <c r="F2087" t="s">
        <v>1</v>
      </c>
      <c r="G2087" t="s">
        <v>2</v>
      </c>
      <c r="H2087" t="s">
        <v>3098</v>
      </c>
      <c r="I2087" t="s">
        <v>11365</v>
      </c>
      <c r="P2087" t="s">
        <v>689</v>
      </c>
      <c r="Y2087" t="s">
        <v>3102</v>
      </c>
    </row>
    <row r="2088" spans="1:25" x14ac:dyDescent="0.25">
      <c r="A2088" t="str">
        <f>"1292682270"</f>
        <v>1292682270</v>
      </c>
      <c r="B2088" t="s">
        <v>538</v>
      </c>
      <c r="C2088" t="s">
        <v>3633</v>
      </c>
      <c r="D2088" t="s">
        <v>11367</v>
      </c>
      <c r="E2088">
        <v>424005</v>
      </c>
      <c r="F2088" t="s">
        <v>1</v>
      </c>
      <c r="G2088" t="s">
        <v>2</v>
      </c>
      <c r="H2088" t="s">
        <v>11368</v>
      </c>
      <c r="I2088" t="s">
        <v>11369</v>
      </c>
      <c r="M2088" t="s">
        <v>3002</v>
      </c>
      <c r="P2088" t="s">
        <v>280</v>
      </c>
      <c r="Y2088" t="s">
        <v>11370</v>
      </c>
    </row>
    <row r="2089" spans="1:25" x14ac:dyDescent="0.25">
      <c r="A2089" t="str">
        <f>"1292703611"</f>
        <v>1292703611</v>
      </c>
      <c r="B2089" t="s">
        <v>388</v>
      </c>
      <c r="C2089" t="s">
        <v>5565</v>
      </c>
      <c r="D2089" t="s">
        <v>11371</v>
      </c>
      <c r="E2089">
        <v>424033</v>
      </c>
      <c r="F2089" t="s">
        <v>1</v>
      </c>
      <c r="G2089" t="s">
        <v>2</v>
      </c>
      <c r="H2089" t="s">
        <v>4244</v>
      </c>
      <c r="I2089" t="s">
        <v>11372</v>
      </c>
      <c r="K2089" t="s">
        <v>11373</v>
      </c>
      <c r="P2089" t="s">
        <v>2258</v>
      </c>
      <c r="Y2089" t="s">
        <v>11374</v>
      </c>
    </row>
    <row r="2090" spans="1:25" x14ac:dyDescent="0.25">
      <c r="A2090" t="str">
        <f>"1292844853"</f>
        <v>1292844853</v>
      </c>
      <c r="B2090" t="s">
        <v>397</v>
      </c>
      <c r="C2090" t="s">
        <v>11379</v>
      </c>
      <c r="D2090" t="s">
        <v>11375</v>
      </c>
      <c r="E2090">
        <v>424006</v>
      </c>
      <c r="F2090" t="s">
        <v>1</v>
      </c>
      <c r="G2090" t="s">
        <v>2</v>
      </c>
      <c r="H2090" t="s">
        <v>11376</v>
      </c>
      <c r="I2090" t="s">
        <v>11377</v>
      </c>
      <c r="J2090" t="s">
        <v>11378</v>
      </c>
      <c r="P2090" t="s">
        <v>11380</v>
      </c>
      <c r="Q2090" t="s">
        <v>11381</v>
      </c>
      <c r="Y2090" t="s">
        <v>11382</v>
      </c>
    </row>
    <row r="2091" spans="1:25" x14ac:dyDescent="0.25">
      <c r="A2091" t="str">
        <f>"1292898539"</f>
        <v>1292898539</v>
      </c>
      <c r="B2091" t="s">
        <v>176</v>
      </c>
      <c r="C2091" t="s">
        <v>279</v>
      </c>
      <c r="D2091" t="s">
        <v>11383</v>
      </c>
      <c r="E2091">
        <v>424031</v>
      </c>
      <c r="F2091" t="s">
        <v>1</v>
      </c>
      <c r="G2091" t="s">
        <v>2</v>
      </c>
      <c r="H2091" t="s">
        <v>11384</v>
      </c>
      <c r="I2091" t="s">
        <v>11385</v>
      </c>
      <c r="L2091" t="s">
        <v>11386</v>
      </c>
      <c r="M2091" t="s">
        <v>11387</v>
      </c>
      <c r="P2091" t="s">
        <v>20</v>
      </c>
      <c r="Y2091" t="s">
        <v>11388</v>
      </c>
    </row>
    <row r="2092" spans="1:25" x14ac:dyDescent="0.25">
      <c r="A2092" t="str">
        <f>"1292901144"</f>
        <v>1292901144</v>
      </c>
      <c r="B2092" t="s">
        <v>1544</v>
      </c>
      <c r="C2092" t="s">
        <v>11393</v>
      </c>
      <c r="D2092" t="s">
        <v>11389</v>
      </c>
      <c r="E2092">
        <v>424007</v>
      </c>
      <c r="F2092" t="s">
        <v>1</v>
      </c>
      <c r="G2092" t="s">
        <v>2</v>
      </c>
      <c r="H2092" t="s">
        <v>11390</v>
      </c>
      <c r="I2092" t="s">
        <v>11391</v>
      </c>
      <c r="J2092" t="s">
        <v>11392</v>
      </c>
      <c r="P2092" t="s">
        <v>27</v>
      </c>
      <c r="Y2092" t="s">
        <v>11394</v>
      </c>
    </row>
    <row r="2093" spans="1:25" x14ac:dyDescent="0.25">
      <c r="A2093" t="str">
        <f>"1292937483"</f>
        <v>1292937483</v>
      </c>
      <c r="B2093" t="s">
        <v>67</v>
      </c>
      <c r="C2093" t="s">
        <v>269</v>
      </c>
      <c r="D2093" t="s">
        <v>11395</v>
      </c>
      <c r="E2093">
        <v>424038</v>
      </c>
      <c r="F2093" t="s">
        <v>1</v>
      </c>
      <c r="G2093" t="s">
        <v>2</v>
      </c>
      <c r="H2093" t="s">
        <v>6550</v>
      </c>
      <c r="I2093" t="s">
        <v>11396</v>
      </c>
      <c r="L2093" t="s">
        <v>11397</v>
      </c>
      <c r="M2093" t="s">
        <v>11398</v>
      </c>
      <c r="P2093" t="s">
        <v>330</v>
      </c>
      <c r="Q2093" t="s">
        <v>9160</v>
      </c>
      <c r="T2093" t="s">
        <v>11399</v>
      </c>
      <c r="V2093" t="s">
        <v>11400</v>
      </c>
      <c r="Y2093" t="s">
        <v>11401</v>
      </c>
    </row>
    <row r="2094" spans="1:25" x14ac:dyDescent="0.25">
      <c r="A2094" t="str">
        <f>"1293005767"</f>
        <v>1293005767</v>
      </c>
      <c r="B2094" t="s">
        <v>417</v>
      </c>
      <c r="C2094" t="s">
        <v>418</v>
      </c>
      <c r="D2094" t="s">
        <v>11402</v>
      </c>
      <c r="E2094">
        <v>424006</v>
      </c>
      <c r="F2094" t="s">
        <v>1</v>
      </c>
      <c r="G2094" t="s">
        <v>2</v>
      </c>
      <c r="H2094" t="s">
        <v>2042</v>
      </c>
      <c r="I2094" t="s">
        <v>11403</v>
      </c>
      <c r="L2094" t="s">
        <v>11404</v>
      </c>
      <c r="M2094" t="s">
        <v>11405</v>
      </c>
      <c r="P2094" t="s">
        <v>11406</v>
      </c>
      <c r="V2094" t="s">
        <v>11407</v>
      </c>
      <c r="Y2094" t="s">
        <v>11408</v>
      </c>
    </row>
    <row r="2095" spans="1:25" x14ac:dyDescent="0.25">
      <c r="A2095" t="str">
        <f>"1293053733"</f>
        <v>1293053733</v>
      </c>
      <c r="B2095" t="s">
        <v>80</v>
      </c>
      <c r="C2095" t="s">
        <v>11414</v>
      </c>
      <c r="D2095" t="s">
        <v>11409</v>
      </c>
      <c r="E2095">
        <v>424001</v>
      </c>
      <c r="F2095" t="s">
        <v>1</v>
      </c>
      <c r="G2095" t="s">
        <v>2</v>
      </c>
      <c r="H2095" t="s">
        <v>11410</v>
      </c>
      <c r="I2095" t="s">
        <v>11411</v>
      </c>
      <c r="J2095" t="s">
        <v>11412</v>
      </c>
      <c r="L2095" t="s">
        <v>11413</v>
      </c>
      <c r="P2095" t="s">
        <v>11415</v>
      </c>
      <c r="Y2095" t="s">
        <v>11416</v>
      </c>
    </row>
    <row r="2096" spans="1:25" x14ac:dyDescent="0.25">
      <c r="A2096" t="str">
        <f>"1293124906"</f>
        <v>1293124906</v>
      </c>
      <c r="B2096" t="s">
        <v>18</v>
      </c>
      <c r="C2096" t="s">
        <v>11422</v>
      </c>
      <c r="D2096" t="s">
        <v>11417</v>
      </c>
      <c r="E2096">
        <v>424004</v>
      </c>
      <c r="F2096" t="s">
        <v>1</v>
      </c>
      <c r="G2096" t="s">
        <v>2</v>
      </c>
      <c r="H2096" t="s">
        <v>4324</v>
      </c>
      <c r="I2096" t="s">
        <v>11418</v>
      </c>
      <c r="J2096" t="s">
        <v>11419</v>
      </c>
      <c r="L2096" t="s">
        <v>11420</v>
      </c>
      <c r="M2096" t="s">
        <v>11421</v>
      </c>
      <c r="P2096" t="s">
        <v>280</v>
      </c>
      <c r="Q2096" t="s">
        <v>11423</v>
      </c>
      <c r="Y2096" t="s">
        <v>11424</v>
      </c>
    </row>
    <row r="2097" spans="1:25" x14ac:dyDescent="0.25">
      <c r="A2097" t="str">
        <f>"1293239351"</f>
        <v>1293239351</v>
      </c>
      <c r="B2097" t="s">
        <v>352</v>
      </c>
      <c r="C2097" t="s">
        <v>353</v>
      </c>
      <c r="D2097" t="s">
        <v>11425</v>
      </c>
      <c r="E2097">
        <v>424032</v>
      </c>
      <c r="F2097" t="s">
        <v>1</v>
      </c>
      <c r="G2097" t="s">
        <v>2</v>
      </c>
      <c r="H2097" t="s">
        <v>325</v>
      </c>
      <c r="I2097" t="s">
        <v>11426</v>
      </c>
      <c r="P2097" t="s">
        <v>5575</v>
      </c>
      <c r="Y2097" t="s">
        <v>331</v>
      </c>
    </row>
    <row r="2098" spans="1:25" x14ac:dyDescent="0.25">
      <c r="A2098" t="str">
        <f>"1293249670"</f>
        <v>1293249670</v>
      </c>
      <c r="B2098" t="s">
        <v>110</v>
      </c>
      <c r="C2098" t="s">
        <v>11430</v>
      </c>
      <c r="D2098" t="s">
        <v>11427</v>
      </c>
      <c r="E2098">
        <v>424020</v>
      </c>
      <c r="F2098" t="s">
        <v>1</v>
      </c>
      <c r="G2098" t="s">
        <v>2</v>
      </c>
      <c r="H2098" t="s">
        <v>3</v>
      </c>
      <c r="I2098" t="s">
        <v>11428</v>
      </c>
      <c r="M2098" t="s">
        <v>11429</v>
      </c>
      <c r="P2098" t="s">
        <v>11431</v>
      </c>
      <c r="Y2098" t="s">
        <v>11432</v>
      </c>
    </row>
    <row r="2099" spans="1:25" x14ac:dyDescent="0.25">
      <c r="A2099" t="str">
        <f>"1293316530"</f>
        <v>1293316530</v>
      </c>
      <c r="B2099" t="s">
        <v>18</v>
      </c>
      <c r="C2099" t="s">
        <v>2593</v>
      </c>
      <c r="D2099" t="s">
        <v>11433</v>
      </c>
      <c r="E2099">
        <v>424037</v>
      </c>
      <c r="F2099" t="s">
        <v>1</v>
      </c>
      <c r="G2099" t="s">
        <v>2</v>
      </c>
      <c r="H2099" t="s">
        <v>11434</v>
      </c>
      <c r="I2099" t="s">
        <v>11435</v>
      </c>
      <c r="P2099" t="s">
        <v>390</v>
      </c>
      <c r="Y2099" t="s">
        <v>11436</v>
      </c>
    </row>
    <row r="2100" spans="1:25" x14ac:dyDescent="0.25">
      <c r="A2100" t="str">
        <f>"1293318719"</f>
        <v>1293318719</v>
      </c>
      <c r="B2100" t="s">
        <v>553</v>
      </c>
      <c r="C2100" t="s">
        <v>11441</v>
      </c>
      <c r="D2100" t="s">
        <v>11437</v>
      </c>
      <c r="E2100">
        <v>424033</v>
      </c>
      <c r="F2100" t="s">
        <v>1</v>
      </c>
      <c r="G2100" t="s">
        <v>2</v>
      </c>
      <c r="H2100" t="s">
        <v>11438</v>
      </c>
      <c r="J2100" t="s">
        <v>11439</v>
      </c>
      <c r="L2100" t="s">
        <v>11440</v>
      </c>
      <c r="P2100" t="s">
        <v>260</v>
      </c>
      <c r="Q2100" t="s">
        <v>11442</v>
      </c>
      <c r="Y2100" t="s">
        <v>11443</v>
      </c>
    </row>
    <row r="2101" spans="1:25" x14ac:dyDescent="0.25">
      <c r="A2101" t="str">
        <f>"1293322470"</f>
        <v>1293322470</v>
      </c>
      <c r="B2101" t="s">
        <v>96</v>
      </c>
      <c r="C2101" t="s">
        <v>8479</v>
      </c>
      <c r="D2101" t="s">
        <v>11444</v>
      </c>
      <c r="E2101">
        <v>424000</v>
      </c>
      <c r="F2101" t="s">
        <v>1</v>
      </c>
      <c r="G2101" t="s">
        <v>2</v>
      </c>
      <c r="H2101" t="s">
        <v>2671</v>
      </c>
      <c r="J2101" t="s">
        <v>11445</v>
      </c>
      <c r="P2101" t="s">
        <v>11446</v>
      </c>
      <c r="Y2101" t="s">
        <v>11447</v>
      </c>
    </row>
    <row r="2102" spans="1:25" x14ac:dyDescent="0.25">
      <c r="A2102" t="str">
        <f>"1293387494"</f>
        <v>1293387494</v>
      </c>
      <c r="B2102" t="s">
        <v>110</v>
      </c>
      <c r="C2102" t="s">
        <v>3931</v>
      </c>
      <c r="D2102" t="s">
        <v>11448</v>
      </c>
      <c r="E2102">
        <v>424006</v>
      </c>
      <c r="F2102" t="s">
        <v>1</v>
      </c>
      <c r="G2102" t="s">
        <v>2</v>
      </c>
      <c r="H2102" t="s">
        <v>2007</v>
      </c>
      <c r="I2102" t="s">
        <v>11449</v>
      </c>
      <c r="L2102" t="s">
        <v>3930</v>
      </c>
      <c r="M2102" t="s">
        <v>11450</v>
      </c>
      <c r="P2102" t="s">
        <v>280</v>
      </c>
      <c r="Y2102" t="s">
        <v>2010</v>
      </c>
    </row>
    <row r="2103" spans="1:25" x14ac:dyDescent="0.25">
      <c r="A2103" t="str">
        <f>"1293417536"</f>
        <v>1293417536</v>
      </c>
      <c r="B2103" t="s">
        <v>456</v>
      </c>
      <c r="C2103" t="s">
        <v>4178</v>
      </c>
      <c r="D2103" t="s">
        <v>11451</v>
      </c>
      <c r="E2103">
        <v>424031</v>
      </c>
      <c r="F2103" t="s">
        <v>1</v>
      </c>
      <c r="G2103" t="s">
        <v>2</v>
      </c>
      <c r="H2103" t="s">
        <v>1900</v>
      </c>
      <c r="I2103" t="s">
        <v>11452</v>
      </c>
      <c r="K2103" t="s">
        <v>11453</v>
      </c>
      <c r="L2103" t="s">
        <v>1902</v>
      </c>
      <c r="M2103" t="s">
        <v>11454</v>
      </c>
      <c r="P2103" t="s">
        <v>260</v>
      </c>
      <c r="Y2103" t="s">
        <v>1905</v>
      </c>
    </row>
    <row r="2104" spans="1:25" x14ac:dyDescent="0.25">
      <c r="A2104" t="str">
        <f>"1293423196"</f>
        <v>1293423196</v>
      </c>
      <c r="B2104" t="s">
        <v>80</v>
      </c>
      <c r="C2104" t="s">
        <v>3108</v>
      </c>
      <c r="D2104" t="s">
        <v>11455</v>
      </c>
      <c r="E2104">
        <v>424038</v>
      </c>
      <c r="F2104" t="s">
        <v>1</v>
      </c>
      <c r="G2104" t="s">
        <v>2</v>
      </c>
      <c r="H2104" t="s">
        <v>9865</v>
      </c>
      <c r="I2104" t="s">
        <v>11456</v>
      </c>
      <c r="L2104" t="s">
        <v>11457</v>
      </c>
      <c r="M2104" t="s">
        <v>11458</v>
      </c>
      <c r="P2104" t="s">
        <v>11459</v>
      </c>
      <c r="Q2104" t="s">
        <v>11460</v>
      </c>
      <c r="U2104" t="s">
        <v>11461</v>
      </c>
      <c r="V2104" t="s">
        <v>11462</v>
      </c>
      <c r="Y2104" t="s">
        <v>11463</v>
      </c>
    </row>
    <row r="2105" spans="1:25" x14ac:dyDescent="0.25">
      <c r="A2105" t="str">
        <f>"1293467029"</f>
        <v>1293467029</v>
      </c>
      <c r="B2105" t="s">
        <v>32</v>
      </c>
      <c r="C2105" t="s">
        <v>11468</v>
      </c>
      <c r="D2105" t="s">
        <v>11464</v>
      </c>
      <c r="E2105">
        <v>424036</v>
      </c>
      <c r="F2105" t="s">
        <v>1</v>
      </c>
      <c r="G2105" t="s">
        <v>2</v>
      </c>
      <c r="H2105" t="s">
        <v>180</v>
      </c>
      <c r="J2105" t="s">
        <v>11465</v>
      </c>
      <c r="L2105" t="s">
        <v>11466</v>
      </c>
      <c r="M2105" t="s">
        <v>11467</v>
      </c>
      <c r="P2105" t="s">
        <v>1027</v>
      </c>
      <c r="Y2105" t="s">
        <v>11469</v>
      </c>
    </row>
    <row r="2106" spans="1:25" x14ac:dyDescent="0.25">
      <c r="A2106" t="str">
        <f>"1293496135"</f>
        <v>1293496135</v>
      </c>
      <c r="B2106" t="s">
        <v>703</v>
      </c>
      <c r="C2106" t="s">
        <v>2129</v>
      </c>
      <c r="D2106" t="s">
        <v>11470</v>
      </c>
      <c r="E2106">
        <v>424006</v>
      </c>
      <c r="F2106" t="s">
        <v>1</v>
      </c>
      <c r="G2106" t="s">
        <v>2</v>
      </c>
      <c r="H2106" t="s">
        <v>3104</v>
      </c>
      <c r="I2106" t="s">
        <v>11471</v>
      </c>
      <c r="P2106" t="s">
        <v>280</v>
      </c>
      <c r="Y2106" t="s">
        <v>11472</v>
      </c>
    </row>
    <row r="2107" spans="1:25" x14ac:dyDescent="0.25">
      <c r="A2107" t="str">
        <f>"1293672518"</f>
        <v>1293672518</v>
      </c>
      <c r="B2107" t="s">
        <v>18</v>
      </c>
      <c r="C2107" t="s">
        <v>2593</v>
      </c>
      <c r="D2107" t="s">
        <v>11473</v>
      </c>
      <c r="E2107">
        <v>424007</v>
      </c>
      <c r="F2107" t="s">
        <v>1</v>
      </c>
      <c r="G2107" t="s">
        <v>2</v>
      </c>
      <c r="H2107" t="s">
        <v>1566</v>
      </c>
      <c r="I2107" t="s">
        <v>11474</v>
      </c>
      <c r="P2107" t="s">
        <v>20</v>
      </c>
      <c r="Y2107" t="s">
        <v>2882</v>
      </c>
    </row>
    <row r="2108" spans="1:25" x14ac:dyDescent="0.25">
      <c r="A2108" t="str">
        <f>"1293715496"</f>
        <v>1293715496</v>
      </c>
      <c r="B2108" t="s">
        <v>151</v>
      </c>
      <c r="C2108" t="s">
        <v>151</v>
      </c>
      <c r="D2108" t="s">
        <v>11475</v>
      </c>
      <c r="E2108">
        <v>424002</v>
      </c>
      <c r="F2108" t="s">
        <v>1</v>
      </c>
      <c r="G2108" t="s">
        <v>2</v>
      </c>
      <c r="H2108" t="s">
        <v>57</v>
      </c>
      <c r="I2108" t="s">
        <v>11476</v>
      </c>
      <c r="P2108" t="s">
        <v>9</v>
      </c>
      <c r="Y2108" t="s">
        <v>11477</v>
      </c>
    </row>
    <row r="2109" spans="1:25" x14ac:dyDescent="0.25">
      <c r="A2109" t="str">
        <f>"1293744534"</f>
        <v>1293744534</v>
      </c>
      <c r="B2109" t="s">
        <v>654</v>
      </c>
      <c r="C2109" t="s">
        <v>1283</v>
      </c>
      <c r="D2109" t="s">
        <v>11478</v>
      </c>
      <c r="E2109">
        <v>424000</v>
      </c>
      <c r="F2109" t="s">
        <v>1</v>
      </c>
      <c r="G2109" t="s">
        <v>2</v>
      </c>
      <c r="H2109" t="s">
        <v>11479</v>
      </c>
      <c r="I2109" t="s">
        <v>11480</v>
      </c>
      <c r="J2109" t="s">
        <v>11481</v>
      </c>
      <c r="L2109" t="s">
        <v>11482</v>
      </c>
      <c r="M2109" t="s">
        <v>11483</v>
      </c>
      <c r="P2109" t="s">
        <v>5084</v>
      </c>
      <c r="Y2109" t="s">
        <v>11484</v>
      </c>
    </row>
    <row r="2110" spans="1:25" x14ac:dyDescent="0.25">
      <c r="A2110" t="str">
        <f>"1293744555"</f>
        <v>1293744555</v>
      </c>
      <c r="B2110" t="s">
        <v>224</v>
      </c>
      <c r="C2110" t="s">
        <v>11487</v>
      </c>
      <c r="D2110" t="s">
        <v>4397</v>
      </c>
      <c r="E2110">
        <v>424007</v>
      </c>
      <c r="F2110" t="s">
        <v>1</v>
      </c>
      <c r="G2110" t="s">
        <v>2</v>
      </c>
      <c r="H2110" t="s">
        <v>5450</v>
      </c>
      <c r="I2110" t="s">
        <v>11485</v>
      </c>
      <c r="J2110" t="s">
        <v>11486</v>
      </c>
      <c r="P2110" t="s">
        <v>330</v>
      </c>
      <c r="Y2110" t="s">
        <v>5452</v>
      </c>
    </row>
    <row r="2111" spans="1:25" x14ac:dyDescent="0.25">
      <c r="A2111" t="str">
        <f>"1293867584"</f>
        <v>1293867584</v>
      </c>
      <c r="B2111" t="s">
        <v>284</v>
      </c>
      <c r="C2111" t="s">
        <v>11492</v>
      </c>
      <c r="D2111" t="s">
        <v>11488</v>
      </c>
      <c r="E2111">
        <v>424005</v>
      </c>
      <c r="F2111" t="s">
        <v>1</v>
      </c>
      <c r="G2111" t="s">
        <v>2</v>
      </c>
      <c r="H2111" t="s">
        <v>1310</v>
      </c>
      <c r="I2111" t="s">
        <v>11489</v>
      </c>
      <c r="L2111" t="s">
        <v>11490</v>
      </c>
      <c r="M2111" t="s">
        <v>11491</v>
      </c>
      <c r="P2111" t="s">
        <v>280</v>
      </c>
      <c r="T2111" t="s">
        <v>11493</v>
      </c>
      <c r="Y2111" t="s">
        <v>10303</v>
      </c>
    </row>
    <row r="2112" spans="1:25" x14ac:dyDescent="0.25">
      <c r="A2112" t="str">
        <f>"1293875128"</f>
        <v>1293875128</v>
      </c>
      <c r="B2112" t="s">
        <v>25</v>
      </c>
      <c r="C2112" t="s">
        <v>59</v>
      </c>
      <c r="D2112" t="s">
        <v>11494</v>
      </c>
      <c r="E2112">
        <v>424004</v>
      </c>
      <c r="F2112" t="s">
        <v>1</v>
      </c>
      <c r="G2112" t="s">
        <v>2</v>
      </c>
      <c r="H2112" t="s">
        <v>186</v>
      </c>
      <c r="I2112" t="s">
        <v>11495</v>
      </c>
      <c r="P2112" t="s">
        <v>27</v>
      </c>
      <c r="Y2112" t="s">
        <v>190</v>
      </c>
    </row>
    <row r="2113" spans="1:25" x14ac:dyDescent="0.25">
      <c r="A2113" t="str">
        <f>"1293891420"</f>
        <v>1293891420</v>
      </c>
      <c r="B2113" t="s">
        <v>1299</v>
      </c>
      <c r="C2113" t="s">
        <v>11500</v>
      </c>
      <c r="D2113" t="s">
        <v>11496</v>
      </c>
      <c r="E2113">
        <v>424008</v>
      </c>
      <c r="F2113" t="s">
        <v>1</v>
      </c>
      <c r="G2113" t="s">
        <v>2</v>
      </c>
      <c r="H2113" t="s">
        <v>1012</v>
      </c>
      <c r="I2113" t="s">
        <v>11497</v>
      </c>
      <c r="J2113" t="s">
        <v>11498</v>
      </c>
      <c r="L2113" t="s">
        <v>11499</v>
      </c>
      <c r="P2113" t="s">
        <v>1027</v>
      </c>
      <c r="Q2113" t="s">
        <v>11501</v>
      </c>
      <c r="Y2113" t="s">
        <v>1016</v>
      </c>
    </row>
    <row r="2114" spans="1:25" x14ac:dyDescent="0.25">
      <c r="A2114" t="str">
        <f>"1293951120"</f>
        <v>1293951120</v>
      </c>
      <c r="B2114" t="s">
        <v>397</v>
      </c>
      <c r="C2114" t="s">
        <v>11502</v>
      </c>
      <c r="D2114" t="s">
        <v>8615</v>
      </c>
      <c r="E2114">
        <v>424004</v>
      </c>
      <c r="F2114" t="s">
        <v>1</v>
      </c>
      <c r="G2114" t="s">
        <v>2</v>
      </c>
      <c r="H2114" t="s">
        <v>1169</v>
      </c>
      <c r="P2114" t="s">
        <v>11503</v>
      </c>
      <c r="Y2114" t="s">
        <v>1178</v>
      </c>
    </row>
    <row r="2115" spans="1:25" x14ac:dyDescent="0.25">
      <c r="A2115" t="str">
        <f>"1294050680"</f>
        <v>1294050680</v>
      </c>
      <c r="B2115" t="s">
        <v>290</v>
      </c>
      <c r="C2115" t="s">
        <v>290</v>
      </c>
      <c r="D2115" t="s">
        <v>11504</v>
      </c>
      <c r="E2115">
        <v>424037</v>
      </c>
      <c r="F2115" t="s">
        <v>1</v>
      </c>
      <c r="G2115" t="s">
        <v>2</v>
      </c>
      <c r="H2115" t="s">
        <v>1116</v>
      </c>
      <c r="P2115" t="s">
        <v>280</v>
      </c>
      <c r="Y2115" t="s">
        <v>11505</v>
      </c>
    </row>
    <row r="2116" spans="1:25" x14ac:dyDescent="0.25">
      <c r="A2116" t="str">
        <f>"1294078778"</f>
        <v>1294078778</v>
      </c>
      <c r="B2116" t="s">
        <v>18</v>
      </c>
      <c r="C2116" t="s">
        <v>11510</v>
      </c>
      <c r="D2116" t="s">
        <v>11506</v>
      </c>
      <c r="E2116">
        <v>424036</v>
      </c>
      <c r="F2116" t="s">
        <v>1</v>
      </c>
      <c r="G2116" t="s">
        <v>2</v>
      </c>
      <c r="H2116" t="s">
        <v>2291</v>
      </c>
      <c r="I2116" t="s">
        <v>11507</v>
      </c>
      <c r="L2116" t="s">
        <v>11508</v>
      </c>
      <c r="M2116" t="s">
        <v>11509</v>
      </c>
      <c r="P2116" t="s">
        <v>1464</v>
      </c>
      <c r="Q2116" t="s">
        <v>11511</v>
      </c>
      <c r="Y2116" t="s">
        <v>11512</v>
      </c>
    </row>
    <row r="2117" spans="1:25" x14ac:dyDescent="0.25">
      <c r="A2117" t="str">
        <f>"1294099058"</f>
        <v>1294099058</v>
      </c>
      <c r="B2117" t="s">
        <v>160</v>
      </c>
      <c r="C2117" t="s">
        <v>9976</v>
      </c>
      <c r="D2117" t="s">
        <v>11513</v>
      </c>
      <c r="E2117">
        <v>424039</v>
      </c>
      <c r="F2117" t="s">
        <v>1</v>
      </c>
      <c r="G2117" t="s">
        <v>2</v>
      </c>
      <c r="H2117" t="s">
        <v>557</v>
      </c>
      <c r="I2117" t="s">
        <v>11514</v>
      </c>
      <c r="P2117" t="s">
        <v>330</v>
      </c>
      <c r="Y2117" t="s">
        <v>560</v>
      </c>
    </row>
    <row r="2118" spans="1:25" x14ac:dyDescent="0.25">
      <c r="A2118" t="str">
        <f>"1294139251"</f>
        <v>1294139251</v>
      </c>
      <c r="B2118" t="s">
        <v>1053</v>
      </c>
      <c r="C2118" t="s">
        <v>1927</v>
      </c>
      <c r="D2118" t="s">
        <v>11515</v>
      </c>
      <c r="E2118">
        <v>424039</v>
      </c>
      <c r="F2118" t="s">
        <v>1</v>
      </c>
      <c r="G2118" t="s">
        <v>2</v>
      </c>
      <c r="H2118" t="s">
        <v>11516</v>
      </c>
      <c r="I2118" t="s">
        <v>11517</v>
      </c>
      <c r="K2118" t="s">
        <v>11517</v>
      </c>
      <c r="L2118" t="s">
        <v>11518</v>
      </c>
      <c r="M2118" t="s">
        <v>11519</v>
      </c>
      <c r="P2118" t="s">
        <v>20</v>
      </c>
      <c r="Y2118" t="s">
        <v>11520</v>
      </c>
    </row>
    <row r="2119" spans="1:25" x14ac:dyDescent="0.25">
      <c r="A2119" t="str">
        <f>"1294213600"</f>
        <v>1294213600</v>
      </c>
      <c r="B2119" t="s">
        <v>3094</v>
      </c>
      <c r="C2119" t="s">
        <v>6522</v>
      </c>
      <c r="D2119" t="s">
        <v>11521</v>
      </c>
      <c r="E2119">
        <v>424006</v>
      </c>
      <c r="F2119" t="s">
        <v>1</v>
      </c>
      <c r="G2119" t="s">
        <v>2</v>
      </c>
      <c r="H2119" t="s">
        <v>11522</v>
      </c>
      <c r="I2119" t="s">
        <v>11523</v>
      </c>
      <c r="L2119" t="s">
        <v>11524</v>
      </c>
      <c r="M2119" t="s">
        <v>11525</v>
      </c>
      <c r="P2119" t="s">
        <v>10212</v>
      </c>
      <c r="Q2119" t="s">
        <v>11526</v>
      </c>
      <c r="Y2119" t="s">
        <v>11527</v>
      </c>
    </row>
    <row r="2120" spans="1:25" x14ac:dyDescent="0.25">
      <c r="A2120" t="str">
        <f>"1294259745"</f>
        <v>1294259745</v>
      </c>
      <c r="B2120" t="s">
        <v>1391</v>
      </c>
      <c r="C2120" t="s">
        <v>1392</v>
      </c>
      <c r="D2120" t="s">
        <v>11528</v>
      </c>
      <c r="E2120">
        <v>424006</v>
      </c>
      <c r="F2120" t="s">
        <v>1</v>
      </c>
      <c r="G2120" t="s">
        <v>2</v>
      </c>
      <c r="H2120" t="s">
        <v>5290</v>
      </c>
      <c r="I2120" t="s">
        <v>11529</v>
      </c>
      <c r="P2120" t="s">
        <v>133</v>
      </c>
      <c r="Y2120" t="s">
        <v>5293</v>
      </c>
    </row>
    <row r="2121" spans="1:25" x14ac:dyDescent="0.25">
      <c r="A2121" t="str">
        <f>"1294349616"</f>
        <v>1294349616</v>
      </c>
      <c r="B2121" t="s">
        <v>2818</v>
      </c>
      <c r="C2121" t="s">
        <v>6466</v>
      </c>
      <c r="D2121" t="s">
        <v>11530</v>
      </c>
      <c r="E2121">
        <v>424003</v>
      </c>
      <c r="F2121" t="s">
        <v>1</v>
      </c>
      <c r="G2121" t="s">
        <v>2</v>
      </c>
      <c r="H2121" t="s">
        <v>2465</v>
      </c>
      <c r="I2121" t="s">
        <v>11531</v>
      </c>
      <c r="L2121" t="s">
        <v>11532</v>
      </c>
      <c r="M2121" t="s">
        <v>11533</v>
      </c>
      <c r="P2121" t="s">
        <v>4280</v>
      </c>
      <c r="Q2121" t="s">
        <v>11534</v>
      </c>
      <c r="Y2121" t="s">
        <v>11535</v>
      </c>
    </row>
    <row r="2122" spans="1:25" x14ac:dyDescent="0.25">
      <c r="A2122" t="str">
        <f>"1294359851"</f>
        <v>1294359851</v>
      </c>
      <c r="B2122" t="s">
        <v>328</v>
      </c>
      <c r="C2122" t="s">
        <v>1920</v>
      </c>
      <c r="D2122" t="s">
        <v>11536</v>
      </c>
      <c r="E2122">
        <v>424000</v>
      </c>
      <c r="F2122" t="s">
        <v>1</v>
      </c>
      <c r="G2122" t="s">
        <v>2</v>
      </c>
      <c r="H2122" t="s">
        <v>2671</v>
      </c>
      <c r="J2122" t="s">
        <v>11537</v>
      </c>
      <c r="P2122" t="s">
        <v>2738</v>
      </c>
      <c r="Y2122" t="s">
        <v>2674</v>
      </c>
    </row>
    <row r="2123" spans="1:25" x14ac:dyDescent="0.25">
      <c r="A2123" t="str">
        <f>"1294442615"</f>
        <v>1294442615</v>
      </c>
      <c r="B2123" t="s">
        <v>18</v>
      </c>
      <c r="C2123" t="s">
        <v>11540</v>
      </c>
      <c r="D2123" t="s">
        <v>11538</v>
      </c>
      <c r="E2123">
        <v>424007</v>
      </c>
      <c r="F2123" t="s">
        <v>1</v>
      </c>
      <c r="G2123" t="s">
        <v>2</v>
      </c>
      <c r="H2123" t="s">
        <v>11390</v>
      </c>
      <c r="I2123" t="s">
        <v>11539</v>
      </c>
      <c r="P2123" t="s">
        <v>11541</v>
      </c>
      <c r="Y2123" t="s">
        <v>11542</v>
      </c>
    </row>
    <row r="2124" spans="1:25" x14ac:dyDescent="0.25">
      <c r="A2124" t="str">
        <f>"1294534067"</f>
        <v>1294534067</v>
      </c>
      <c r="B2124" t="s">
        <v>3008</v>
      </c>
      <c r="C2124" t="s">
        <v>11548</v>
      </c>
      <c r="D2124" t="s">
        <v>11543</v>
      </c>
      <c r="E2124">
        <v>424033</v>
      </c>
      <c r="F2124" t="s">
        <v>1</v>
      </c>
      <c r="G2124" t="s">
        <v>2</v>
      </c>
      <c r="H2124" t="s">
        <v>4225</v>
      </c>
      <c r="I2124" t="s">
        <v>11544</v>
      </c>
      <c r="J2124" t="s">
        <v>11545</v>
      </c>
      <c r="L2124" t="s">
        <v>11546</v>
      </c>
      <c r="M2124" t="s">
        <v>11547</v>
      </c>
      <c r="P2124" t="s">
        <v>740</v>
      </c>
      <c r="Q2124" t="s">
        <v>11549</v>
      </c>
      <c r="S2124" t="s">
        <v>11550</v>
      </c>
      <c r="T2124" t="s">
        <v>11551</v>
      </c>
      <c r="V2124" t="s">
        <v>11552</v>
      </c>
      <c r="Y2124" t="s">
        <v>11553</v>
      </c>
    </row>
    <row r="2125" spans="1:25" x14ac:dyDescent="0.25">
      <c r="A2125" t="str">
        <f>"1294561349"</f>
        <v>1294561349</v>
      </c>
      <c r="B2125" t="s">
        <v>348</v>
      </c>
      <c r="C2125" t="s">
        <v>5728</v>
      </c>
      <c r="D2125" t="s">
        <v>11554</v>
      </c>
      <c r="E2125">
        <v>424038</v>
      </c>
      <c r="F2125" t="s">
        <v>1</v>
      </c>
      <c r="G2125" t="s">
        <v>2</v>
      </c>
      <c r="H2125" t="s">
        <v>546</v>
      </c>
      <c r="J2125" t="s">
        <v>11555</v>
      </c>
      <c r="P2125" t="s">
        <v>27</v>
      </c>
      <c r="Q2125" t="s">
        <v>11556</v>
      </c>
      <c r="Y2125" t="s">
        <v>549</v>
      </c>
    </row>
    <row r="2126" spans="1:25" x14ac:dyDescent="0.25">
      <c r="A2126" t="str">
        <f>"1294579986"</f>
        <v>1294579986</v>
      </c>
      <c r="B2126" t="s">
        <v>738</v>
      </c>
      <c r="C2126" t="s">
        <v>11562</v>
      </c>
      <c r="D2126" t="s">
        <v>11557</v>
      </c>
      <c r="E2126">
        <v>424033</v>
      </c>
      <c r="F2126" t="s">
        <v>1</v>
      </c>
      <c r="G2126" t="s">
        <v>2</v>
      </c>
      <c r="H2126" t="s">
        <v>11558</v>
      </c>
      <c r="I2126" t="s">
        <v>11559</v>
      </c>
      <c r="L2126" t="s">
        <v>11560</v>
      </c>
      <c r="M2126" t="s">
        <v>11561</v>
      </c>
      <c r="P2126" t="s">
        <v>11563</v>
      </c>
      <c r="Q2126" t="s">
        <v>11564</v>
      </c>
      <c r="Y2126" t="s">
        <v>11565</v>
      </c>
    </row>
    <row r="2127" spans="1:25" x14ac:dyDescent="0.25">
      <c r="A2127" t="str">
        <f>"1294581787"</f>
        <v>1294581787</v>
      </c>
      <c r="B2127" t="s">
        <v>1573</v>
      </c>
      <c r="C2127" t="s">
        <v>11568</v>
      </c>
      <c r="D2127" t="s">
        <v>11566</v>
      </c>
      <c r="E2127">
        <v>424006</v>
      </c>
      <c r="F2127" t="s">
        <v>1</v>
      </c>
      <c r="G2127" t="s">
        <v>2</v>
      </c>
      <c r="H2127" t="s">
        <v>5726</v>
      </c>
      <c r="I2127" t="s">
        <v>11567</v>
      </c>
      <c r="P2127" t="s">
        <v>152</v>
      </c>
      <c r="Y2127" t="s">
        <v>656</v>
      </c>
    </row>
    <row r="2128" spans="1:25" x14ac:dyDescent="0.25">
      <c r="A2128" t="str">
        <f>"1294634199"</f>
        <v>1294634199</v>
      </c>
      <c r="B2128" t="s">
        <v>1391</v>
      </c>
      <c r="C2128" t="s">
        <v>11572</v>
      </c>
      <c r="D2128" t="s">
        <v>11569</v>
      </c>
      <c r="F2128" t="s">
        <v>1</v>
      </c>
      <c r="G2128" t="s">
        <v>2</v>
      </c>
      <c r="H2128" t="s">
        <v>11570</v>
      </c>
      <c r="I2128" t="s">
        <v>11571</v>
      </c>
      <c r="P2128" t="s">
        <v>20</v>
      </c>
      <c r="Y2128" t="s">
        <v>11573</v>
      </c>
    </row>
    <row r="2129" spans="1:25" x14ac:dyDescent="0.25">
      <c r="A2129" t="str">
        <f>"1294639909"</f>
        <v>1294639909</v>
      </c>
      <c r="B2129" t="s">
        <v>624</v>
      </c>
      <c r="C2129" t="s">
        <v>1637</v>
      </c>
      <c r="D2129" t="s">
        <v>11574</v>
      </c>
      <c r="E2129">
        <v>424006</v>
      </c>
      <c r="F2129" t="s">
        <v>1</v>
      </c>
      <c r="G2129" t="s">
        <v>2</v>
      </c>
      <c r="H2129" t="s">
        <v>9823</v>
      </c>
      <c r="I2129" t="s">
        <v>11575</v>
      </c>
      <c r="P2129" t="s">
        <v>27</v>
      </c>
      <c r="Y2129" t="s">
        <v>10449</v>
      </c>
    </row>
    <row r="2130" spans="1:25" x14ac:dyDescent="0.25">
      <c r="A2130" t="str">
        <f>"1294725572"</f>
        <v>1294725572</v>
      </c>
      <c r="B2130" t="s">
        <v>188</v>
      </c>
      <c r="C2130" t="s">
        <v>189</v>
      </c>
      <c r="D2130" t="s">
        <v>11576</v>
      </c>
      <c r="F2130" t="s">
        <v>1</v>
      </c>
      <c r="G2130" t="s">
        <v>2</v>
      </c>
      <c r="H2130" t="s">
        <v>11577</v>
      </c>
      <c r="I2130" t="s">
        <v>11578</v>
      </c>
      <c r="P2130" t="s">
        <v>152</v>
      </c>
      <c r="Y2130" t="s">
        <v>11579</v>
      </c>
    </row>
    <row r="2131" spans="1:25" x14ac:dyDescent="0.25">
      <c r="A2131" t="str">
        <f>"1294744951"</f>
        <v>1294744951</v>
      </c>
      <c r="B2131" t="s">
        <v>1544</v>
      </c>
      <c r="C2131" t="s">
        <v>1545</v>
      </c>
      <c r="D2131" t="s">
        <v>11580</v>
      </c>
      <c r="E2131">
        <v>424002</v>
      </c>
      <c r="F2131" t="s">
        <v>1</v>
      </c>
      <c r="G2131" t="s">
        <v>2</v>
      </c>
      <c r="H2131" t="s">
        <v>11581</v>
      </c>
      <c r="I2131" t="s">
        <v>11582</v>
      </c>
      <c r="P2131" t="s">
        <v>410</v>
      </c>
      <c r="Y2131" t="s">
        <v>11583</v>
      </c>
    </row>
    <row r="2132" spans="1:25" x14ac:dyDescent="0.25">
      <c r="A2132" t="str">
        <f>"1294782720"</f>
        <v>1294782720</v>
      </c>
      <c r="B2132" t="s">
        <v>18</v>
      </c>
      <c r="C2132" t="s">
        <v>11586</v>
      </c>
      <c r="D2132" t="s">
        <v>11584</v>
      </c>
      <c r="E2132">
        <v>424028</v>
      </c>
      <c r="F2132" t="s">
        <v>1</v>
      </c>
      <c r="G2132" t="s">
        <v>2</v>
      </c>
      <c r="H2132" t="s">
        <v>2076</v>
      </c>
      <c r="I2132" t="s">
        <v>11585</v>
      </c>
      <c r="K2132" t="s">
        <v>814</v>
      </c>
      <c r="P2132" t="s">
        <v>11587</v>
      </c>
      <c r="Y2132" t="s">
        <v>9964</v>
      </c>
    </row>
    <row r="2133" spans="1:25" x14ac:dyDescent="0.25">
      <c r="A2133" t="str">
        <f>"1294812324"</f>
        <v>1294812324</v>
      </c>
      <c r="B2133" t="s">
        <v>2178</v>
      </c>
      <c r="C2133" t="s">
        <v>2179</v>
      </c>
      <c r="D2133" t="s">
        <v>11588</v>
      </c>
      <c r="E2133">
        <v>424007</v>
      </c>
      <c r="F2133" t="s">
        <v>1</v>
      </c>
      <c r="G2133" t="s">
        <v>2</v>
      </c>
      <c r="H2133" t="s">
        <v>11589</v>
      </c>
      <c r="I2133" t="s">
        <v>11590</v>
      </c>
      <c r="L2133" t="s">
        <v>11591</v>
      </c>
      <c r="M2133" t="s">
        <v>10328</v>
      </c>
      <c r="P2133" t="s">
        <v>2180</v>
      </c>
      <c r="Q2133" t="s">
        <v>11592</v>
      </c>
      <c r="Y2133" t="s">
        <v>11593</v>
      </c>
    </row>
    <row r="2134" spans="1:25" x14ac:dyDescent="0.25">
      <c r="A2134" t="str">
        <f>"1294822117"</f>
        <v>1294822117</v>
      </c>
      <c r="B2134" t="s">
        <v>703</v>
      </c>
      <c r="C2134" t="s">
        <v>2129</v>
      </c>
      <c r="D2134" t="s">
        <v>11594</v>
      </c>
      <c r="F2134" t="s">
        <v>1</v>
      </c>
      <c r="G2134" t="s">
        <v>2</v>
      </c>
      <c r="H2134" t="s">
        <v>1600</v>
      </c>
      <c r="J2134" t="s">
        <v>11595</v>
      </c>
      <c r="P2134" t="s">
        <v>7390</v>
      </c>
      <c r="Y2134" t="s">
        <v>2417</v>
      </c>
    </row>
    <row r="2135" spans="1:25" x14ac:dyDescent="0.25">
      <c r="A2135" t="str">
        <f>"1294957567"</f>
        <v>1294957567</v>
      </c>
      <c r="B2135" t="s">
        <v>160</v>
      </c>
      <c r="C2135" t="s">
        <v>9976</v>
      </c>
      <c r="D2135" t="s">
        <v>11596</v>
      </c>
      <c r="E2135">
        <v>424002</v>
      </c>
      <c r="F2135" t="s">
        <v>1</v>
      </c>
      <c r="G2135" t="s">
        <v>2</v>
      </c>
      <c r="H2135" t="s">
        <v>11597</v>
      </c>
      <c r="J2135" t="s">
        <v>11598</v>
      </c>
      <c r="P2135" t="s">
        <v>11599</v>
      </c>
      <c r="Y2135" t="s">
        <v>11600</v>
      </c>
    </row>
    <row r="2136" spans="1:25" x14ac:dyDescent="0.25">
      <c r="A2136" t="str">
        <f>"1295025079"</f>
        <v>1295025079</v>
      </c>
      <c r="B2136" t="s">
        <v>290</v>
      </c>
      <c r="C2136" t="s">
        <v>11603</v>
      </c>
      <c r="D2136" t="s">
        <v>11601</v>
      </c>
      <c r="E2136">
        <v>424007</v>
      </c>
      <c r="F2136" t="s">
        <v>1</v>
      </c>
      <c r="G2136" t="s">
        <v>2</v>
      </c>
      <c r="H2136" t="s">
        <v>1389</v>
      </c>
      <c r="I2136" t="s">
        <v>11602</v>
      </c>
      <c r="P2136" t="s">
        <v>11604</v>
      </c>
      <c r="Y2136" t="s">
        <v>11605</v>
      </c>
    </row>
    <row r="2137" spans="1:25" x14ac:dyDescent="0.25">
      <c r="A2137" t="str">
        <f>"1295048619"</f>
        <v>1295048619</v>
      </c>
      <c r="B2137" t="s">
        <v>176</v>
      </c>
      <c r="C2137" t="s">
        <v>9622</v>
      </c>
      <c r="D2137" t="s">
        <v>11606</v>
      </c>
      <c r="E2137">
        <v>424007</v>
      </c>
      <c r="F2137" t="s">
        <v>1</v>
      </c>
      <c r="G2137" t="s">
        <v>2</v>
      </c>
      <c r="H2137" t="s">
        <v>11607</v>
      </c>
      <c r="J2137" t="s">
        <v>11608</v>
      </c>
      <c r="P2137" t="s">
        <v>11609</v>
      </c>
      <c r="Y2137" t="s">
        <v>11610</v>
      </c>
    </row>
    <row r="2138" spans="1:25" x14ac:dyDescent="0.25">
      <c r="A2138" t="str">
        <f>"1295091344"</f>
        <v>1295091344</v>
      </c>
      <c r="B2138" t="s">
        <v>334</v>
      </c>
      <c r="C2138" t="s">
        <v>334</v>
      </c>
      <c r="D2138" t="s">
        <v>11611</v>
      </c>
      <c r="E2138">
        <v>424006</v>
      </c>
      <c r="F2138" t="s">
        <v>1</v>
      </c>
      <c r="G2138" t="s">
        <v>2</v>
      </c>
      <c r="H2138" t="s">
        <v>11612</v>
      </c>
      <c r="I2138" t="s">
        <v>11613</v>
      </c>
      <c r="P2138" t="s">
        <v>27</v>
      </c>
      <c r="Y2138" t="s">
        <v>11614</v>
      </c>
    </row>
    <row r="2139" spans="1:25" x14ac:dyDescent="0.25">
      <c r="A2139" t="str">
        <f>"1295266571"</f>
        <v>1295266571</v>
      </c>
      <c r="B2139" t="s">
        <v>1053</v>
      </c>
      <c r="C2139" t="s">
        <v>1927</v>
      </c>
      <c r="D2139" t="s">
        <v>11615</v>
      </c>
      <c r="E2139">
        <v>424004</v>
      </c>
      <c r="F2139" t="s">
        <v>1</v>
      </c>
      <c r="G2139" t="s">
        <v>2</v>
      </c>
      <c r="H2139" t="s">
        <v>186</v>
      </c>
      <c r="I2139" t="s">
        <v>11616</v>
      </c>
      <c r="P2139" t="s">
        <v>2951</v>
      </c>
      <c r="Y2139" t="s">
        <v>190</v>
      </c>
    </row>
    <row r="2140" spans="1:25" x14ac:dyDescent="0.25">
      <c r="A2140" t="str">
        <f>"1295278405"</f>
        <v>1295278405</v>
      </c>
      <c r="B2140" t="s">
        <v>5745</v>
      </c>
      <c r="C2140" t="s">
        <v>11619</v>
      </c>
      <c r="D2140" t="s">
        <v>11617</v>
      </c>
      <c r="E2140">
        <v>424006</v>
      </c>
      <c r="F2140" t="s">
        <v>1</v>
      </c>
      <c r="G2140" t="s">
        <v>2</v>
      </c>
      <c r="H2140" t="s">
        <v>9984</v>
      </c>
      <c r="J2140" t="s">
        <v>11618</v>
      </c>
      <c r="P2140" t="s">
        <v>390</v>
      </c>
      <c r="Y2140" t="s">
        <v>1699</v>
      </c>
    </row>
    <row r="2141" spans="1:25" x14ac:dyDescent="0.25">
      <c r="A2141" t="str">
        <f>"1295369259"</f>
        <v>1295369259</v>
      </c>
      <c r="B2141" t="s">
        <v>1352</v>
      </c>
      <c r="C2141" t="s">
        <v>11624</v>
      </c>
      <c r="D2141" t="s">
        <v>11620</v>
      </c>
      <c r="E2141">
        <v>424008</v>
      </c>
      <c r="F2141" t="s">
        <v>1</v>
      </c>
      <c r="G2141" t="s">
        <v>2</v>
      </c>
      <c r="H2141" t="s">
        <v>11621</v>
      </c>
      <c r="I2141" t="s">
        <v>11622</v>
      </c>
      <c r="L2141" t="s">
        <v>11623</v>
      </c>
      <c r="P2141" t="s">
        <v>340</v>
      </c>
      <c r="Q2141" t="s">
        <v>11625</v>
      </c>
      <c r="Y2141" t="s">
        <v>11626</v>
      </c>
    </row>
    <row r="2142" spans="1:25" x14ac:dyDescent="0.25">
      <c r="A2142" t="str">
        <f>"1295403990"</f>
        <v>1295403990</v>
      </c>
      <c r="B2142" t="s">
        <v>11631</v>
      </c>
      <c r="C2142" t="s">
        <v>11632</v>
      </c>
      <c r="D2142" t="s">
        <v>11627</v>
      </c>
      <c r="E2142">
        <v>424033</v>
      </c>
      <c r="F2142" t="s">
        <v>1</v>
      </c>
      <c r="G2142" t="s">
        <v>2</v>
      </c>
      <c r="H2142" t="s">
        <v>11628</v>
      </c>
      <c r="I2142" t="s">
        <v>11629</v>
      </c>
      <c r="J2142" t="s">
        <v>11630</v>
      </c>
      <c r="P2142" t="s">
        <v>330</v>
      </c>
      <c r="Y2142" t="s">
        <v>11633</v>
      </c>
    </row>
    <row r="2143" spans="1:25" x14ac:dyDescent="0.25">
      <c r="A2143" t="str">
        <f>"1295484442"</f>
        <v>1295484442</v>
      </c>
      <c r="B2143" t="s">
        <v>18</v>
      </c>
      <c r="C2143" t="s">
        <v>11638</v>
      </c>
      <c r="D2143" t="s">
        <v>11634</v>
      </c>
      <c r="E2143">
        <v>424006</v>
      </c>
      <c r="F2143" t="s">
        <v>1</v>
      </c>
      <c r="G2143" t="s">
        <v>2</v>
      </c>
      <c r="H2143" t="s">
        <v>2825</v>
      </c>
      <c r="I2143" t="s">
        <v>11635</v>
      </c>
      <c r="L2143" t="s">
        <v>11636</v>
      </c>
      <c r="M2143" t="s">
        <v>11637</v>
      </c>
      <c r="P2143" t="s">
        <v>1027</v>
      </c>
      <c r="Q2143" t="s">
        <v>11639</v>
      </c>
      <c r="Y2143" t="s">
        <v>11640</v>
      </c>
    </row>
    <row r="2144" spans="1:25" x14ac:dyDescent="0.25">
      <c r="A2144" t="str">
        <f>"1295608785"</f>
        <v>1295608785</v>
      </c>
      <c r="B2144" t="s">
        <v>624</v>
      </c>
      <c r="C2144" t="s">
        <v>1637</v>
      </c>
      <c r="D2144" t="s">
        <v>11641</v>
      </c>
      <c r="E2144">
        <v>424032</v>
      </c>
      <c r="F2144" t="s">
        <v>1</v>
      </c>
      <c r="G2144" t="s">
        <v>2</v>
      </c>
      <c r="H2144" t="s">
        <v>5699</v>
      </c>
      <c r="L2144" t="s">
        <v>11642</v>
      </c>
      <c r="M2144" t="s">
        <v>11643</v>
      </c>
      <c r="P2144" t="s">
        <v>5703</v>
      </c>
      <c r="Y2144" t="s">
        <v>5709</v>
      </c>
    </row>
    <row r="2145" spans="1:25" x14ac:dyDescent="0.25">
      <c r="A2145" t="str">
        <f>"1295625830"</f>
        <v>1295625830</v>
      </c>
      <c r="B2145" t="s">
        <v>8117</v>
      </c>
      <c r="C2145" t="s">
        <v>8118</v>
      </c>
      <c r="D2145" t="s">
        <v>11644</v>
      </c>
      <c r="E2145">
        <v>424038</v>
      </c>
      <c r="F2145" t="s">
        <v>1</v>
      </c>
      <c r="G2145" t="s">
        <v>2</v>
      </c>
      <c r="H2145" t="s">
        <v>6247</v>
      </c>
      <c r="J2145" t="s">
        <v>11645</v>
      </c>
      <c r="P2145" t="s">
        <v>11646</v>
      </c>
      <c r="Y2145" t="s">
        <v>11647</v>
      </c>
    </row>
    <row r="2146" spans="1:25" x14ac:dyDescent="0.25">
      <c r="A2146" t="str">
        <f>"1295630247"</f>
        <v>1295630247</v>
      </c>
      <c r="B2146" t="s">
        <v>482</v>
      </c>
      <c r="C2146" t="s">
        <v>483</v>
      </c>
      <c r="D2146" t="s">
        <v>11648</v>
      </c>
      <c r="E2146">
        <v>424002</v>
      </c>
      <c r="F2146" t="s">
        <v>1</v>
      </c>
      <c r="G2146" t="s">
        <v>2</v>
      </c>
      <c r="H2146" t="s">
        <v>6656</v>
      </c>
      <c r="I2146" t="s">
        <v>11649</v>
      </c>
      <c r="K2146" t="s">
        <v>11650</v>
      </c>
      <c r="P2146" t="s">
        <v>11651</v>
      </c>
      <c r="Y2146" t="s">
        <v>11652</v>
      </c>
    </row>
    <row r="2147" spans="1:25" x14ac:dyDescent="0.25">
      <c r="A2147" t="str">
        <f>"1295657511"</f>
        <v>1295657511</v>
      </c>
      <c r="B2147" t="s">
        <v>123</v>
      </c>
      <c r="C2147" t="s">
        <v>424</v>
      </c>
      <c r="D2147" t="s">
        <v>11653</v>
      </c>
      <c r="E2147">
        <v>424028</v>
      </c>
      <c r="F2147" t="s">
        <v>1</v>
      </c>
      <c r="G2147" t="s">
        <v>2</v>
      </c>
      <c r="H2147" t="s">
        <v>11654</v>
      </c>
      <c r="I2147" t="s">
        <v>11655</v>
      </c>
      <c r="L2147" t="s">
        <v>11656</v>
      </c>
      <c r="M2147" t="s">
        <v>11657</v>
      </c>
      <c r="P2147" t="s">
        <v>425</v>
      </c>
      <c r="Y2147" t="s">
        <v>11658</v>
      </c>
    </row>
    <row r="2148" spans="1:25" x14ac:dyDescent="0.25">
      <c r="A2148" t="str">
        <f>"1295852742"</f>
        <v>1295852742</v>
      </c>
      <c r="B2148" t="s">
        <v>96</v>
      </c>
      <c r="C2148" t="s">
        <v>893</v>
      </c>
      <c r="D2148" t="s">
        <v>10487</v>
      </c>
      <c r="E2148">
        <v>424918</v>
      </c>
      <c r="F2148" t="s">
        <v>1</v>
      </c>
      <c r="G2148" t="s">
        <v>2</v>
      </c>
      <c r="H2148" t="s">
        <v>629</v>
      </c>
      <c r="I2148" t="s">
        <v>11659</v>
      </c>
      <c r="J2148" t="s">
        <v>11660</v>
      </c>
      <c r="L2148" t="s">
        <v>7859</v>
      </c>
      <c r="M2148" t="s">
        <v>10489</v>
      </c>
      <c r="P2148" t="s">
        <v>630</v>
      </c>
      <c r="Y2148" t="s">
        <v>11661</v>
      </c>
    </row>
    <row r="2149" spans="1:25" x14ac:dyDescent="0.25">
      <c r="A2149" t="str">
        <f>"1295989985"</f>
        <v>1295989985</v>
      </c>
      <c r="B2149" t="s">
        <v>160</v>
      </c>
      <c r="C2149" t="s">
        <v>1666</v>
      </c>
      <c r="D2149" t="s">
        <v>11662</v>
      </c>
      <c r="E2149">
        <v>424007</v>
      </c>
      <c r="F2149" t="s">
        <v>1</v>
      </c>
      <c r="G2149" t="s">
        <v>2</v>
      </c>
      <c r="H2149" t="s">
        <v>11663</v>
      </c>
      <c r="I2149" t="s">
        <v>11664</v>
      </c>
      <c r="P2149" t="s">
        <v>280</v>
      </c>
      <c r="Y2149" t="s">
        <v>11665</v>
      </c>
    </row>
    <row r="2150" spans="1:25" x14ac:dyDescent="0.25">
      <c r="A2150" t="str">
        <f>"1296012412"</f>
        <v>1296012412</v>
      </c>
      <c r="B2150" t="s">
        <v>1053</v>
      </c>
      <c r="C2150" t="s">
        <v>6947</v>
      </c>
      <c r="D2150" t="s">
        <v>11666</v>
      </c>
      <c r="E2150">
        <v>424002</v>
      </c>
      <c r="F2150" t="s">
        <v>1</v>
      </c>
      <c r="G2150" t="s">
        <v>2</v>
      </c>
      <c r="H2150" t="s">
        <v>6656</v>
      </c>
      <c r="I2150" t="s">
        <v>11667</v>
      </c>
      <c r="L2150" t="s">
        <v>46</v>
      </c>
      <c r="M2150" t="s">
        <v>11668</v>
      </c>
      <c r="P2150" t="s">
        <v>27</v>
      </c>
      <c r="Y2150" t="s">
        <v>11652</v>
      </c>
    </row>
    <row r="2151" spans="1:25" x14ac:dyDescent="0.25">
      <c r="A2151" t="str">
        <f>"1296021576"</f>
        <v>1296021576</v>
      </c>
      <c r="B2151" t="s">
        <v>930</v>
      </c>
      <c r="C2151" t="s">
        <v>11672</v>
      </c>
      <c r="D2151" t="s">
        <v>11669</v>
      </c>
      <c r="E2151">
        <v>424000</v>
      </c>
      <c r="F2151" t="s">
        <v>1</v>
      </c>
      <c r="G2151" t="s">
        <v>2</v>
      </c>
      <c r="H2151" t="s">
        <v>5398</v>
      </c>
      <c r="I2151" t="s">
        <v>11670</v>
      </c>
      <c r="M2151" t="s">
        <v>11671</v>
      </c>
      <c r="P2151" t="s">
        <v>2050</v>
      </c>
      <c r="Q2151" t="s">
        <v>11673</v>
      </c>
      <c r="Y2151" t="s">
        <v>11674</v>
      </c>
    </row>
    <row r="2152" spans="1:25" x14ac:dyDescent="0.25">
      <c r="A2152" t="str">
        <f>"1296169174"</f>
        <v>1296169174</v>
      </c>
      <c r="B2152" t="s">
        <v>790</v>
      </c>
      <c r="C2152" t="s">
        <v>5283</v>
      </c>
      <c r="D2152" t="s">
        <v>11675</v>
      </c>
      <c r="E2152">
        <v>424007</v>
      </c>
      <c r="F2152" t="s">
        <v>1</v>
      </c>
      <c r="G2152" t="s">
        <v>2</v>
      </c>
      <c r="H2152" t="s">
        <v>1085</v>
      </c>
      <c r="I2152" t="s">
        <v>11676</v>
      </c>
      <c r="P2152" t="s">
        <v>152</v>
      </c>
      <c r="Y2152" t="s">
        <v>1412</v>
      </c>
    </row>
    <row r="2153" spans="1:25" x14ac:dyDescent="0.25">
      <c r="A2153" t="str">
        <f>"1296187956"</f>
        <v>1296187956</v>
      </c>
      <c r="B2153" t="s">
        <v>469</v>
      </c>
      <c r="C2153" t="s">
        <v>470</v>
      </c>
      <c r="D2153" t="s">
        <v>11677</v>
      </c>
      <c r="E2153">
        <v>424000</v>
      </c>
      <c r="F2153" t="s">
        <v>1</v>
      </c>
      <c r="G2153" t="s">
        <v>2</v>
      </c>
      <c r="H2153" t="s">
        <v>2753</v>
      </c>
      <c r="I2153" t="s">
        <v>466</v>
      </c>
      <c r="P2153" t="s">
        <v>2079</v>
      </c>
      <c r="Y2153" t="s">
        <v>11678</v>
      </c>
    </row>
    <row r="2154" spans="1:25" x14ac:dyDescent="0.25">
      <c r="A2154" t="str">
        <f>"1296398804"</f>
        <v>1296398804</v>
      </c>
      <c r="B2154" t="s">
        <v>1053</v>
      </c>
      <c r="C2154" t="s">
        <v>11681</v>
      </c>
      <c r="D2154" t="s">
        <v>11679</v>
      </c>
      <c r="E2154">
        <v>424007</v>
      </c>
      <c r="F2154" t="s">
        <v>1</v>
      </c>
      <c r="G2154" t="s">
        <v>2</v>
      </c>
      <c r="H2154" t="s">
        <v>1566</v>
      </c>
      <c r="I2154" t="s">
        <v>11680</v>
      </c>
      <c r="P2154" t="s">
        <v>20</v>
      </c>
      <c r="Y2154" t="s">
        <v>2882</v>
      </c>
    </row>
    <row r="2155" spans="1:25" x14ac:dyDescent="0.25">
      <c r="A2155" t="str">
        <f>"1296420788"</f>
        <v>1296420788</v>
      </c>
      <c r="B2155" t="s">
        <v>1611</v>
      </c>
      <c r="C2155" t="s">
        <v>11688</v>
      </c>
      <c r="D2155" t="s">
        <v>11682</v>
      </c>
      <c r="E2155">
        <v>424005</v>
      </c>
      <c r="F2155" t="s">
        <v>1</v>
      </c>
      <c r="G2155" t="s">
        <v>2</v>
      </c>
      <c r="H2155" t="s">
        <v>11683</v>
      </c>
      <c r="I2155" t="s">
        <v>11684</v>
      </c>
      <c r="K2155" t="s">
        <v>11685</v>
      </c>
      <c r="L2155" t="s">
        <v>11686</v>
      </c>
      <c r="M2155" t="s">
        <v>11687</v>
      </c>
      <c r="Q2155" t="s">
        <v>11689</v>
      </c>
      <c r="Y2155" t="s">
        <v>11690</v>
      </c>
    </row>
    <row r="2156" spans="1:25" x14ac:dyDescent="0.25">
      <c r="A2156" t="str">
        <f>"1296426635"</f>
        <v>1296426635</v>
      </c>
      <c r="B2156" t="s">
        <v>379</v>
      </c>
      <c r="C2156" t="s">
        <v>11692</v>
      </c>
      <c r="D2156" t="s">
        <v>4850</v>
      </c>
      <c r="E2156">
        <v>424039</v>
      </c>
      <c r="F2156" t="s">
        <v>1</v>
      </c>
      <c r="G2156" t="s">
        <v>2</v>
      </c>
      <c r="H2156" t="s">
        <v>6206</v>
      </c>
      <c r="I2156" t="s">
        <v>11691</v>
      </c>
      <c r="P2156" t="s">
        <v>1027</v>
      </c>
      <c r="Y2156" t="s">
        <v>11693</v>
      </c>
    </row>
    <row r="2157" spans="1:25" x14ac:dyDescent="0.25">
      <c r="A2157" t="str">
        <f>"1296499488"</f>
        <v>1296499488</v>
      </c>
      <c r="B2157" t="s">
        <v>117</v>
      </c>
      <c r="C2157" t="s">
        <v>6850</v>
      </c>
      <c r="D2157" t="s">
        <v>11694</v>
      </c>
      <c r="E2157">
        <v>424007</v>
      </c>
      <c r="F2157" t="s">
        <v>1</v>
      </c>
      <c r="G2157" t="s">
        <v>2</v>
      </c>
      <c r="H2157" t="s">
        <v>11695</v>
      </c>
      <c r="J2157" t="s">
        <v>11696</v>
      </c>
      <c r="L2157" t="s">
        <v>11697</v>
      </c>
      <c r="P2157" t="s">
        <v>330</v>
      </c>
      <c r="Q2157" t="s">
        <v>11698</v>
      </c>
      <c r="Y2157" t="s">
        <v>11699</v>
      </c>
    </row>
    <row r="2158" spans="1:25" x14ac:dyDescent="0.25">
      <c r="A2158" t="str">
        <f>"1296562690"</f>
        <v>1296562690</v>
      </c>
      <c r="B2158" t="s">
        <v>930</v>
      </c>
      <c r="C2158" t="s">
        <v>6070</v>
      </c>
      <c r="D2158" t="s">
        <v>11700</v>
      </c>
      <c r="E2158">
        <v>424031</v>
      </c>
      <c r="F2158" t="s">
        <v>1</v>
      </c>
      <c r="G2158" t="s">
        <v>2</v>
      </c>
      <c r="H2158" t="s">
        <v>10559</v>
      </c>
      <c r="I2158" t="s">
        <v>11701</v>
      </c>
      <c r="P2158" t="s">
        <v>330</v>
      </c>
      <c r="Y2158" t="s">
        <v>11702</v>
      </c>
    </row>
    <row r="2159" spans="1:25" x14ac:dyDescent="0.25">
      <c r="A2159" t="str">
        <f>"1296627783"</f>
        <v>1296627783</v>
      </c>
      <c r="B2159" t="s">
        <v>110</v>
      </c>
      <c r="C2159" t="s">
        <v>7148</v>
      </c>
      <c r="D2159" t="s">
        <v>11703</v>
      </c>
      <c r="E2159">
        <v>424036</v>
      </c>
      <c r="F2159" t="s">
        <v>1</v>
      </c>
      <c r="G2159" t="s">
        <v>2</v>
      </c>
      <c r="H2159" t="s">
        <v>11704</v>
      </c>
      <c r="I2159" t="s">
        <v>11705</v>
      </c>
      <c r="J2159" t="s">
        <v>11706</v>
      </c>
      <c r="L2159" t="s">
        <v>11707</v>
      </c>
      <c r="M2159" t="s">
        <v>11708</v>
      </c>
      <c r="P2159" t="s">
        <v>11709</v>
      </c>
      <c r="Y2159" t="s">
        <v>11710</v>
      </c>
    </row>
    <row r="2160" spans="1:25" x14ac:dyDescent="0.25">
      <c r="A2160" t="str">
        <f>"1296694152"</f>
        <v>1296694152</v>
      </c>
      <c r="B2160" t="s">
        <v>110</v>
      </c>
      <c r="C2160" t="s">
        <v>5755</v>
      </c>
      <c r="D2160" t="s">
        <v>3695</v>
      </c>
      <c r="F2160" t="s">
        <v>1</v>
      </c>
      <c r="G2160" t="s">
        <v>2</v>
      </c>
      <c r="H2160" t="s">
        <v>3696</v>
      </c>
      <c r="I2160" t="s">
        <v>11711</v>
      </c>
      <c r="J2160" t="s">
        <v>11712</v>
      </c>
      <c r="L2160" t="s">
        <v>3698</v>
      </c>
      <c r="M2160" t="s">
        <v>11713</v>
      </c>
      <c r="P2160" t="s">
        <v>9</v>
      </c>
      <c r="Y2160" t="s">
        <v>11714</v>
      </c>
    </row>
    <row r="2161" spans="1:25" x14ac:dyDescent="0.25">
      <c r="A2161" t="str">
        <f>"1296963381"</f>
        <v>1296963381</v>
      </c>
      <c r="B2161" t="s">
        <v>160</v>
      </c>
      <c r="C2161" t="s">
        <v>9976</v>
      </c>
      <c r="D2161" t="s">
        <v>11715</v>
      </c>
      <c r="E2161">
        <v>424032</v>
      </c>
      <c r="F2161" t="s">
        <v>1</v>
      </c>
      <c r="G2161" t="s">
        <v>2</v>
      </c>
      <c r="H2161" t="s">
        <v>11716</v>
      </c>
      <c r="P2161" t="s">
        <v>11717</v>
      </c>
      <c r="Y2161" t="s">
        <v>11718</v>
      </c>
    </row>
    <row r="2162" spans="1:25" x14ac:dyDescent="0.25">
      <c r="A2162" t="str">
        <f>"1296985441"</f>
        <v>1296985441</v>
      </c>
      <c r="B2162" t="s">
        <v>18</v>
      </c>
      <c r="C2162" t="s">
        <v>11722</v>
      </c>
      <c r="D2162" t="s">
        <v>11719</v>
      </c>
      <c r="E2162">
        <v>424039</v>
      </c>
      <c r="F2162" t="s">
        <v>1</v>
      </c>
      <c r="G2162" t="s">
        <v>2</v>
      </c>
      <c r="H2162" t="s">
        <v>962</v>
      </c>
      <c r="I2162" t="s">
        <v>11720</v>
      </c>
      <c r="L2162" t="s">
        <v>597</v>
      </c>
      <c r="M2162" t="s">
        <v>11721</v>
      </c>
      <c r="P2162" t="s">
        <v>27</v>
      </c>
      <c r="Y2162" t="s">
        <v>11723</v>
      </c>
    </row>
    <row r="2163" spans="1:25" x14ac:dyDescent="0.25">
      <c r="A2163" t="str">
        <f>"1297031439"</f>
        <v>1297031439</v>
      </c>
      <c r="B2163" t="s">
        <v>1053</v>
      </c>
      <c r="C2163" t="s">
        <v>11726</v>
      </c>
      <c r="D2163" t="s">
        <v>11724</v>
      </c>
      <c r="E2163">
        <v>424000</v>
      </c>
      <c r="F2163" t="s">
        <v>1</v>
      </c>
      <c r="G2163" t="s">
        <v>2</v>
      </c>
      <c r="H2163" t="s">
        <v>333</v>
      </c>
      <c r="I2163" t="s">
        <v>11725</v>
      </c>
      <c r="P2163" t="s">
        <v>11727</v>
      </c>
      <c r="Y2163" t="s">
        <v>335</v>
      </c>
    </row>
    <row r="2164" spans="1:25" x14ac:dyDescent="0.25">
      <c r="A2164" t="str">
        <f>"1297182337"</f>
        <v>1297182337</v>
      </c>
      <c r="B2164" t="s">
        <v>553</v>
      </c>
      <c r="C2164" t="s">
        <v>3753</v>
      </c>
      <c r="D2164" t="s">
        <v>11728</v>
      </c>
      <c r="E2164">
        <v>424016</v>
      </c>
      <c r="F2164" t="s">
        <v>1</v>
      </c>
      <c r="G2164" t="s">
        <v>2</v>
      </c>
      <c r="H2164" t="s">
        <v>3344</v>
      </c>
      <c r="I2164" t="s">
        <v>11729</v>
      </c>
      <c r="P2164" t="s">
        <v>20</v>
      </c>
      <c r="Y2164" t="s">
        <v>9983</v>
      </c>
    </row>
    <row r="2165" spans="1:25" x14ac:dyDescent="0.25">
      <c r="A2165" t="str">
        <f>"1297189746"</f>
        <v>1297189746</v>
      </c>
      <c r="B2165" t="s">
        <v>7312</v>
      </c>
      <c r="C2165" t="s">
        <v>9849</v>
      </c>
      <c r="D2165" t="s">
        <v>11730</v>
      </c>
      <c r="E2165">
        <v>424038</v>
      </c>
      <c r="F2165" t="s">
        <v>1</v>
      </c>
      <c r="G2165" t="s">
        <v>2</v>
      </c>
      <c r="H2165" t="s">
        <v>6059</v>
      </c>
      <c r="I2165" t="s">
        <v>11731</v>
      </c>
      <c r="L2165" t="s">
        <v>11732</v>
      </c>
      <c r="M2165" t="s">
        <v>11733</v>
      </c>
      <c r="P2165" t="s">
        <v>1760</v>
      </c>
      <c r="Q2165" t="s">
        <v>11734</v>
      </c>
      <c r="S2165" t="s">
        <v>11735</v>
      </c>
      <c r="V2165" t="s">
        <v>11736</v>
      </c>
      <c r="Y2165" t="s">
        <v>11737</v>
      </c>
    </row>
    <row r="2166" spans="1:25" x14ac:dyDescent="0.25">
      <c r="A2166" t="str">
        <f>"1297199147"</f>
        <v>1297199147</v>
      </c>
      <c r="B2166" t="s">
        <v>2104</v>
      </c>
      <c r="C2166" t="s">
        <v>11739</v>
      </c>
      <c r="D2166" t="s">
        <v>11738</v>
      </c>
      <c r="E2166">
        <v>424918</v>
      </c>
      <c r="F2166" t="s">
        <v>1</v>
      </c>
      <c r="G2166" t="s">
        <v>2</v>
      </c>
      <c r="H2166" t="s">
        <v>629</v>
      </c>
      <c r="P2166" t="s">
        <v>8133</v>
      </c>
      <c r="Y2166" t="s">
        <v>11740</v>
      </c>
    </row>
    <row r="2167" spans="1:25" x14ac:dyDescent="0.25">
      <c r="A2167" t="str">
        <f>"1297405590"</f>
        <v>1297405590</v>
      </c>
      <c r="B2167" t="s">
        <v>6478</v>
      </c>
      <c r="C2167" t="s">
        <v>6479</v>
      </c>
      <c r="D2167" t="s">
        <v>11741</v>
      </c>
      <c r="E2167">
        <v>424019</v>
      </c>
      <c r="F2167" t="s">
        <v>1</v>
      </c>
      <c r="G2167" t="s">
        <v>2</v>
      </c>
      <c r="H2167" t="s">
        <v>1801</v>
      </c>
      <c r="I2167" t="s">
        <v>11742</v>
      </c>
      <c r="P2167" t="s">
        <v>27</v>
      </c>
      <c r="Y2167" t="s">
        <v>1804</v>
      </c>
    </row>
    <row r="2168" spans="1:25" x14ac:dyDescent="0.25">
      <c r="A2168" t="str">
        <f>"1297499438"</f>
        <v>1297499438</v>
      </c>
      <c r="B2168" t="s">
        <v>18</v>
      </c>
      <c r="C2168" t="s">
        <v>7860</v>
      </c>
      <c r="D2168" t="s">
        <v>11743</v>
      </c>
      <c r="E2168">
        <v>424002</v>
      </c>
      <c r="F2168" t="s">
        <v>1</v>
      </c>
      <c r="G2168" t="s">
        <v>2</v>
      </c>
      <c r="H2168" t="s">
        <v>3604</v>
      </c>
      <c r="I2168" t="s">
        <v>11744</v>
      </c>
      <c r="L2168" t="s">
        <v>11745</v>
      </c>
      <c r="M2168" t="s">
        <v>11746</v>
      </c>
      <c r="P2168" t="s">
        <v>1420</v>
      </c>
      <c r="Q2168" t="s">
        <v>11747</v>
      </c>
      <c r="Y2168" t="s">
        <v>11748</v>
      </c>
    </row>
    <row r="2169" spans="1:25" x14ac:dyDescent="0.25">
      <c r="A2169" t="str">
        <f>"1297675626"</f>
        <v>1297675626</v>
      </c>
      <c r="B2169" t="s">
        <v>1053</v>
      </c>
      <c r="C2169" t="s">
        <v>11751</v>
      </c>
      <c r="D2169" t="s">
        <v>11749</v>
      </c>
      <c r="F2169" t="s">
        <v>1</v>
      </c>
      <c r="G2169" t="s">
        <v>2</v>
      </c>
      <c r="H2169" t="s">
        <v>1508</v>
      </c>
      <c r="I2169" t="s">
        <v>11750</v>
      </c>
      <c r="P2169" t="s">
        <v>20</v>
      </c>
      <c r="Y2169" t="s">
        <v>10196</v>
      </c>
    </row>
    <row r="2170" spans="1:25" x14ac:dyDescent="0.25">
      <c r="A2170" t="str">
        <f>"1297692172"</f>
        <v>1297692172</v>
      </c>
      <c r="B2170" t="s">
        <v>4495</v>
      </c>
      <c r="C2170" t="s">
        <v>11755</v>
      </c>
      <c r="D2170" t="s">
        <v>11752</v>
      </c>
      <c r="F2170" t="s">
        <v>1</v>
      </c>
      <c r="G2170" t="s">
        <v>2</v>
      </c>
      <c r="H2170" t="s">
        <v>11753</v>
      </c>
      <c r="J2170" t="s">
        <v>11754</v>
      </c>
      <c r="P2170" t="s">
        <v>216</v>
      </c>
      <c r="Y2170" t="s">
        <v>3029</v>
      </c>
    </row>
    <row r="2171" spans="1:25" x14ac:dyDescent="0.25">
      <c r="A2171" t="str">
        <f>"1297798697"</f>
        <v>1297798697</v>
      </c>
      <c r="B2171" t="s">
        <v>151</v>
      </c>
      <c r="C2171" t="s">
        <v>2522</v>
      </c>
      <c r="D2171" t="s">
        <v>11756</v>
      </c>
      <c r="E2171">
        <v>424004</v>
      </c>
      <c r="F2171" t="s">
        <v>1</v>
      </c>
      <c r="G2171" t="s">
        <v>2</v>
      </c>
      <c r="H2171" t="s">
        <v>186</v>
      </c>
      <c r="I2171" t="s">
        <v>11757</v>
      </c>
      <c r="P2171" t="s">
        <v>11758</v>
      </c>
      <c r="Y2171" t="s">
        <v>11759</v>
      </c>
    </row>
    <row r="2172" spans="1:25" x14ac:dyDescent="0.25">
      <c r="A2172" t="str">
        <f>"1297841810"</f>
        <v>1297841810</v>
      </c>
      <c r="B2172" t="s">
        <v>25</v>
      </c>
      <c r="C2172" t="s">
        <v>1005</v>
      </c>
      <c r="D2172" t="s">
        <v>11760</v>
      </c>
      <c r="F2172" t="s">
        <v>1</v>
      </c>
      <c r="G2172" t="s">
        <v>2</v>
      </c>
      <c r="H2172" t="s">
        <v>11761</v>
      </c>
      <c r="I2172" t="s">
        <v>11762</v>
      </c>
      <c r="P2172" t="s">
        <v>11763</v>
      </c>
      <c r="Y2172" t="s">
        <v>11764</v>
      </c>
    </row>
    <row r="2173" spans="1:25" x14ac:dyDescent="0.25">
      <c r="A2173" t="str">
        <f>"1297879482"</f>
        <v>1297879482</v>
      </c>
      <c r="B2173" t="s">
        <v>18</v>
      </c>
      <c r="C2173" t="s">
        <v>11768</v>
      </c>
      <c r="D2173" t="s">
        <v>11765</v>
      </c>
      <c r="E2173">
        <v>424037</v>
      </c>
      <c r="F2173" t="s">
        <v>1</v>
      </c>
      <c r="G2173" t="s">
        <v>2</v>
      </c>
      <c r="H2173" t="s">
        <v>1116</v>
      </c>
      <c r="I2173" t="s">
        <v>11766</v>
      </c>
      <c r="J2173" t="s">
        <v>11767</v>
      </c>
      <c r="P2173" t="s">
        <v>27</v>
      </c>
      <c r="Y2173" t="s">
        <v>11769</v>
      </c>
    </row>
    <row r="2174" spans="1:25" x14ac:dyDescent="0.25">
      <c r="A2174" t="str">
        <f>"1297918789"</f>
        <v>1297918789</v>
      </c>
      <c r="B2174" t="s">
        <v>224</v>
      </c>
      <c r="C2174" t="s">
        <v>3240</v>
      </c>
      <c r="D2174" t="s">
        <v>3240</v>
      </c>
      <c r="E2174">
        <v>424006</v>
      </c>
      <c r="F2174" t="s">
        <v>1</v>
      </c>
      <c r="G2174" t="s">
        <v>2</v>
      </c>
      <c r="H2174" t="s">
        <v>11770</v>
      </c>
      <c r="I2174" t="s">
        <v>6317</v>
      </c>
      <c r="P2174" t="s">
        <v>869</v>
      </c>
      <c r="Y2174" t="s">
        <v>11771</v>
      </c>
    </row>
    <row r="2175" spans="1:25" x14ac:dyDescent="0.25">
      <c r="A2175" t="str">
        <f>"1297963524"</f>
        <v>1297963524</v>
      </c>
      <c r="B2175" t="s">
        <v>703</v>
      </c>
      <c r="C2175" t="s">
        <v>2129</v>
      </c>
      <c r="D2175" t="s">
        <v>11772</v>
      </c>
      <c r="F2175" t="s">
        <v>1</v>
      </c>
      <c r="G2175" t="s">
        <v>2</v>
      </c>
      <c r="H2175" t="s">
        <v>1600</v>
      </c>
      <c r="J2175" t="s">
        <v>11773</v>
      </c>
      <c r="P2175" t="s">
        <v>152</v>
      </c>
      <c r="Y2175" t="s">
        <v>11774</v>
      </c>
    </row>
    <row r="2176" spans="1:25" x14ac:dyDescent="0.25">
      <c r="A2176" t="str">
        <f>"1298029016"</f>
        <v>1298029016</v>
      </c>
      <c r="B2176" t="s">
        <v>319</v>
      </c>
      <c r="C2176" t="s">
        <v>320</v>
      </c>
      <c r="D2176" t="s">
        <v>11775</v>
      </c>
      <c r="E2176">
        <v>424007</v>
      </c>
      <c r="F2176" t="s">
        <v>1</v>
      </c>
      <c r="G2176" t="s">
        <v>2</v>
      </c>
      <c r="H2176" t="s">
        <v>11776</v>
      </c>
      <c r="P2176" t="s">
        <v>216</v>
      </c>
      <c r="Y2176" t="s">
        <v>11777</v>
      </c>
    </row>
    <row r="2177" spans="1:25" x14ac:dyDescent="0.25">
      <c r="A2177" t="str">
        <f>"1298143589"</f>
        <v>1298143589</v>
      </c>
      <c r="B2177" t="s">
        <v>1262</v>
      </c>
      <c r="C2177" t="s">
        <v>1263</v>
      </c>
      <c r="D2177" t="s">
        <v>11778</v>
      </c>
      <c r="E2177">
        <v>424028</v>
      </c>
      <c r="F2177" t="s">
        <v>1</v>
      </c>
      <c r="G2177" t="s">
        <v>2</v>
      </c>
      <c r="H2177" t="s">
        <v>3354</v>
      </c>
      <c r="I2177" t="s">
        <v>11779</v>
      </c>
      <c r="L2177" t="s">
        <v>6990</v>
      </c>
      <c r="P2177" t="s">
        <v>280</v>
      </c>
      <c r="Y2177" t="s">
        <v>11780</v>
      </c>
    </row>
    <row r="2178" spans="1:25" x14ac:dyDescent="0.25">
      <c r="A2178" t="str">
        <f>"1298170049"</f>
        <v>1298170049</v>
      </c>
      <c r="B2178" t="s">
        <v>1053</v>
      </c>
      <c r="C2178" t="s">
        <v>1927</v>
      </c>
      <c r="D2178" t="s">
        <v>11781</v>
      </c>
      <c r="E2178">
        <v>424033</v>
      </c>
      <c r="F2178" t="s">
        <v>1</v>
      </c>
      <c r="G2178" t="s">
        <v>2</v>
      </c>
      <c r="H2178" t="s">
        <v>4300</v>
      </c>
      <c r="I2178" t="s">
        <v>11782</v>
      </c>
      <c r="M2178" t="s">
        <v>11783</v>
      </c>
      <c r="P2178" t="s">
        <v>27</v>
      </c>
      <c r="Y2178" t="s">
        <v>10046</v>
      </c>
    </row>
    <row r="2179" spans="1:25" x14ac:dyDescent="0.25">
      <c r="A2179" t="str">
        <f>"1298287704"</f>
        <v>1298287704</v>
      </c>
      <c r="B2179" t="s">
        <v>2790</v>
      </c>
      <c r="C2179" t="s">
        <v>3528</v>
      </c>
      <c r="D2179" t="s">
        <v>11784</v>
      </c>
      <c r="E2179">
        <v>424000</v>
      </c>
      <c r="F2179" t="s">
        <v>1</v>
      </c>
      <c r="G2179" t="s">
        <v>2</v>
      </c>
      <c r="H2179" t="s">
        <v>11785</v>
      </c>
      <c r="I2179" t="s">
        <v>11786</v>
      </c>
      <c r="J2179" t="s">
        <v>11787</v>
      </c>
      <c r="L2179" t="s">
        <v>11788</v>
      </c>
      <c r="M2179" t="s">
        <v>3743</v>
      </c>
      <c r="P2179" t="s">
        <v>7802</v>
      </c>
      <c r="Q2179" t="s">
        <v>11789</v>
      </c>
      <c r="Y2179" t="s">
        <v>11790</v>
      </c>
    </row>
    <row r="2180" spans="1:25" x14ac:dyDescent="0.25">
      <c r="A2180" t="str">
        <f>"1298327550"</f>
        <v>1298327550</v>
      </c>
      <c r="B2180" t="s">
        <v>538</v>
      </c>
      <c r="C2180" t="s">
        <v>539</v>
      </c>
      <c r="D2180" t="s">
        <v>11791</v>
      </c>
      <c r="E2180">
        <v>424037</v>
      </c>
      <c r="F2180" t="s">
        <v>1</v>
      </c>
      <c r="G2180" t="s">
        <v>2</v>
      </c>
      <c r="H2180" t="s">
        <v>11792</v>
      </c>
      <c r="I2180" t="s">
        <v>11793</v>
      </c>
      <c r="L2180" t="s">
        <v>3631</v>
      </c>
      <c r="M2180" t="s">
        <v>11794</v>
      </c>
      <c r="P2180" t="s">
        <v>280</v>
      </c>
      <c r="Q2180" t="s">
        <v>11795</v>
      </c>
      <c r="Y2180" t="s">
        <v>11796</v>
      </c>
    </row>
    <row r="2181" spans="1:25" x14ac:dyDescent="0.25">
      <c r="A2181" t="str">
        <f>"1298387464"</f>
        <v>1298387464</v>
      </c>
      <c r="B2181" t="s">
        <v>224</v>
      </c>
      <c r="C2181" t="s">
        <v>11800</v>
      </c>
      <c r="D2181" t="s">
        <v>11797</v>
      </c>
      <c r="E2181">
        <v>424007</v>
      </c>
      <c r="F2181" t="s">
        <v>1</v>
      </c>
      <c r="G2181" t="s">
        <v>2</v>
      </c>
      <c r="H2181" t="s">
        <v>2609</v>
      </c>
      <c r="I2181" t="s">
        <v>11798</v>
      </c>
      <c r="K2181" t="s">
        <v>11799</v>
      </c>
      <c r="P2181" t="s">
        <v>11801</v>
      </c>
      <c r="Y2181" t="s">
        <v>5834</v>
      </c>
    </row>
    <row r="2182" spans="1:25" x14ac:dyDescent="0.25">
      <c r="A2182" t="str">
        <f>"1298471449"</f>
        <v>1298471449</v>
      </c>
      <c r="B2182" t="s">
        <v>553</v>
      </c>
      <c r="C2182" t="s">
        <v>11806</v>
      </c>
      <c r="D2182" t="s">
        <v>11802</v>
      </c>
      <c r="F2182" t="s">
        <v>1</v>
      </c>
      <c r="G2182" t="s">
        <v>2</v>
      </c>
      <c r="H2182" t="s">
        <v>1600</v>
      </c>
      <c r="J2182" t="s">
        <v>11803</v>
      </c>
      <c r="L2182" t="s">
        <v>11804</v>
      </c>
      <c r="M2182" t="s">
        <v>11805</v>
      </c>
      <c r="P2182" t="s">
        <v>2951</v>
      </c>
      <c r="Q2182" t="s">
        <v>11807</v>
      </c>
      <c r="Y2182" t="s">
        <v>2417</v>
      </c>
    </row>
    <row r="2183" spans="1:25" x14ac:dyDescent="0.25">
      <c r="A2183" t="str">
        <f>"1298565496"</f>
        <v>1298565496</v>
      </c>
      <c r="B2183" t="s">
        <v>3573</v>
      </c>
      <c r="C2183" t="s">
        <v>5251</v>
      </c>
      <c r="D2183" t="s">
        <v>11808</v>
      </c>
      <c r="E2183">
        <v>424004</v>
      </c>
      <c r="F2183" t="s">
        <v>1</v>
      </c>
      <c r="G2183" t="s">
        <v>2</v>
      </c>
      <c r="H2183" t="s">
        <v>351</v>
      </c>
      <c r="I2183" t="s">
        <v>11809</v>
      </c>
      <c r="P2183" t="s">
        <v>152</v>
      </c>
      <c r="Y2183" t="s">
        <v>354</v>
      </c>
    </row>
    <row r="2184" spans="1:25" x14ac:dyDescent="0.25">
      <c r="A2184" t="str">
        <f>"1298591184"</f>
        <v>1298591184</v>
      </c>
      <c r="B2184" t="s">
        <v>348</v>
      </c>
      <c r="C2184" t="s">
        <v>11814</v>
      </c>
      <c r="D2184" t="s">
        <v>11810</v>
      </c>
      <c r="E2184">
        <v>424006</v>
      </c>
      <c r="F2184" t="s">
        <v>1</v>
      </c>
      <c r="G2184" t="s">
        <v>2</v>
      </c>
      <c r="H2184" t="s">
        <v>4078</v>
      </c>
      <c r="I2184" t="s">
        <v>11811</v>
      </c>
      <c r="L2184" t="s">
        <v>11812</v>
      </c>
      <c r="M2184" t="s">
        <v>11813</v>
      </c>
      <c r="P2184" t="s">
        <v>20</v>
      </c>
      <c r="Q2184" t="s">
        <v>11815</v>
      </c>
      <c r="Y2184" t="s">
        <v>4080</v>
      </c>
    </row>
    <row r="2185" spans="1:25" x14ac:dyDescent="0.25">
      <c r="A2185" t="str">
        <f>"1298665766"</f>
        <v>1298665766</v>
      </c>
      <c r="B2185" t="s">
        <v>397</v>
      </c>
      <c r="C2185" t="s">
        <v>5148</v>
      </c>
      <c r="D2185" t="s">
        <v>11816</v>
      </c>
      <c r="F2185" t="s">
        <v>1</v>
      </c>
      <c r="G2185" t="s">
        <v>2</v>
      </c>
      <c r="H2185" t="s">
        <v>2687</v>
      </c>
      <c r="I2185" t="s">
        <v>11817</v>
      </c>
      <c r="J2185" t="s">
        <v>11818</v>
      </c>
      <c r="P2185" t="s">
        <v>4831</v>
      </c>
      <c r="Y2185" t="s">
        <v>11819</v>
      </c>
    </row>
    <row r="2186" spans="1:25" x14ac:dyDescent="0.25">
      <c r="A2186" t="str">
        <f>"1298741549"</f>
        <v>1298741549</v>
      </c>
      <c r="B2186" t="s">
        <v>3094</v>
      </c>
      <c r="C2186" t="s">
        <v>7029</v>
      </c>
      <c r="D2186" t="s">
        <v>11820</v>
      </c>
      <c r="E2186">
        <v>424038</v>
      </c>
      <c r="F2186" t="s">
        <v>1</v>
      </c>
      <c r="G2186" t="s">
        <v>2</v>
      </c>
      <c r="H2186" t="s">
        <v>11821</v>
      </c>
      <c r="I2186" t="s">
        <v>11822</v>
      </c>
      <c r="M2186" t="s">
        <v>11823</v>
      </c>
      <c r="P2186" t="s">
        <v>10212</v>
      </c>
      <c r="Q2186" t="s">
        <v>11824</v>
      </c>
      <c r="Y2186" t="s">
        <v>11825</v>
      </c>
    </row>
    <row r="2187" spans="1:25" x14ac:dyDescent="0.25">
      <c r="A2187" t="str">
        <f>"1298810323"</f>
        <v>1298810323</v>
      </c>
      <c r="B2187" t="s">
        <v>328</v>
      </c>
      <c r="C2187" t="s">
        <v>11830</v>
      </c>
      <c r="D2187" t="s">
        <v>11826</v>
      </c>
      <c r="E2187">
        <v>424020</v>
      </c>
      <c r="F2187" t="s">
        <v>1</v>
      </c>
      <c r="G2187" t="s">
        <v>2</v>
      </c>
      <c r="H2187" t="s">
        <v>1837</v>
      </c>
      <c r="I2187" t="s">
        <v>11827</v>
      </c>
      <c r="L2187" t="s">
        <v>11828</v>
      </c>
      <c r="M2187" t="s">
        <v>11829</v>
      </c>
      <c r="P2187" t="s">
        <v>11831</v>
      </c>
      <c r="Y2187" t="s">
        <v>1842</v>
      </c>
    </row>
    <row r="2188" spans="1:25" x14ac:dyDescent="0.25">
      <c r="A2188" t="str">
        <f>"1298894102"</f>
        <v>1298894102</v>
      </c>
      <c r="B2188" t="s">
        <v>624</v>
      </c>
      <c r="C2188" t="s">
        <v>1637</v>
      </c>
      <c r="D2188" t="s">
        <v>11832</v>
      </c>
      <c r="E2188">
        <v>424008</v>
      </c>
      <c r="F2188" t="s">
        <v>1</v>
      </c>
      <c r="G2188" t="s">
        <v>2</v>
      </c>
      <c r="H2188" t="s">
        <v>11833</v>
      </c>
      <c r="I2188" t="s">
        <v>11834</v>
      </c>
      <c r="K2188" t="s">
        <v>11835</v>
      </c>
      <c r="L2188" t="s">
        <v>11836</v>
      </c>
      <c r="M2188" t="s">
        <v>11837</v>
      </c>
      <c r="P2188" t="s">
        <v>11165</v>
      </c>
      <c r="Y2188" t="s">
        <v>11838</v>
      </c>
    </row>
    <row r="2189" spans="1:25" x14ac:dyDescent="0.25">
      <c r="A2189" t="str">
        <f>"1299041976"</f>
        <v>1299041976</v>
      </c>
      <c r="B2189" t="s">
        <v>18</v>
      </c>
      <c r="C2189" t="s">
        <v>11841</v>
      </c>
      <c r="D2189" t="s">
        <v>11839</v>
      </c>
      <c r="E2189">
        <v>424020</v>
      </c>
      <c r="F2189" t="s">
        <v>1</v>
      </c>
      <c r="G2189" t="s">
        <v>2</v>
      </c>
      <c r="H2189" t="s">
        <v>1837</v>
      </c>
      <c r="I2189" t="s">
        <v>11840</v>
      </c>
      <c r="P2189" t="s">
        <v>11842</v>
      </c>
      <c r="Y2189" t="s">
        <v>11843</v>
      </c>
    </row>
    <row r="2190" spans="1:25" x14ac:dyDescent="0.25">
      <c r="A2190" t="str">
        <f>"1299074784"</f>
        <v>1299074784</v>
      </c>
      <c r="B2190" t="s">
        <v>430</v>
      </c>
      <c r="C2190" t="s">
        <v>11849</v>
      </c>
      <c r="D2190" t="s">
        <v>11844</v>
      </c>
      <c r="E2190">
        <v>424000</v>
      </c>
      <c r="F2190" t="s">
        <v>1</v>
      </c>
      <c r="G2190" t="s">
        <v>2</v>
      </c>
      <c r="H2190" t="s">
        <v>7628</v>
      </c>
      <c r="I2190" t="s">
        <v>11845</v>
      </c>
      <c r="J2190" t="s">
        <v>11846</v>
      </c>
      <c r="L2190" t="s">
        <v>11847</v>
      </c>
      <c r="M2190" t="s">
        <v>11848</v>
      </c>
      <c r="P2190" t="s">
        <v>11850</v>
      </c>
      <c r="Q2190" t="s">
        <v>11851</v>
      </c>
      <c r="V2190" t="s">
        <v>11852</v>
      </c>
      <c r="Y2190" t="s">
        <v>11853</v>
      </c>
    </row>
    <row r="2191" spans="1:25" x14ac:dyDescent="0.25">
      <c r="A2191" t="str">
        <f>"1299203773"</f>
        <v>1299203773</v>
      </c>
      <c r="B2191" t="s">
        <v>574</v>
      </c>
      <c r="C2191" t="s">
        <v>646</v>
      </c>
      <c r="D2191" t="s">
        <v>11854</v>
      </c>
      <c r="F2191" t="s">
        <v>1</v>
      </c>
      <c r="G2191" t="s">
        <v>2</v>
      </c>
      <c r="H2191" t="s">
        <v>757</v>
      </c>
      <c r="P2191" t="s">
        <v>7436</v>
      </c>
      <c r="Y2191" t="s">
        <v>11855</v>
      </c>
    </row>
    <row r="2192" spans="1:25" x14ac:dyDescent="0.25">
      <c r="A2192" t="str">
        <f>"1299395453"</f>
        <v>1299395453</v>
      </c>
      <c r="B2192" t="s">
        <v>447</v>
      </c>
      <c r="C2192" t="s">
        <v>448</v>
      </c>
      <c r="D2192" t="s">
        <v>11856</v>
      </c>
      <c r="E2192">
        <v>424016</v>
      </c>
      <c r="F2192" t="s">
        <v>1</v>
      </c>
      <c r="G2192" t="s">
        <v>2</v>
      </c>
      <c r="H2192" t="s">
        <v>11857</v>
      </c>
      <c r="I2192" t="s">
        <v>11858</v>
      </c>
      <c r="P2192" t="s">
        <v>280</v>
      </c>
      <c r="Y2192" t="s">
        <v>11859</v>
      </c>
    </row>
    <row r="2193" spans="1:25" x14ac:dyDescent="0.25">
      <c r="A2193" t="str">
        <f>"1299406706"</f>
        <v>1299406706</v>
      </c>
      <c r="B2193" t="s">
        <v>48</v>
      </c>
      <c r="C2193" t="s">
        <v>11862</v>
      </c>
      <c r="D2193" t="s">
        <v>11860</v>
      </c>
      <c r="E2193">
        <v>424004</v>
      </c>
      <c r="F2193" t="s">
        <v>1</v>
      </c>
      <c r="G2193" t="s">
        <v>2</v>
      </c>
      <c r="H2193" t="s">
        <v>8326</v>
      </c>
      <c r="I2193" t="s">
        <v>11861</v>
      </c>
      <c r="P2193" t="s">
        <v>11863</v>
      </c>
      <c r="Q2193" t="s">
        <v>11864</v>
      </c>
      <c r="V2193" t="s">
        <v>11865</v>
      </c>
      <c r="Y2193" t="s">
        <v>11866</v>
      </c>
    </row>
    <row r="2194" spans="1:25" x14ac:dyDescent="0.25">
      <c r="A2194" t="str">
        <f>"1299604645"</f>
        <v>1299604645</v>
      </c>
      <c r="B2194" t="s">
        <v>88</v>
      </c>
      <c r="C2194" t="s">
        <v>6066</v>
      </c>
      <c r="D2194" t="s">
        <v>11867</v>
      </c>
      <c r="E2194">
        <v>424000</v>
      </c>
      <c r="F2194" t="s">
        <v>1</v>
      </c>
      <c r="G2194" t="s">
        <v>2</v>
      </c>
      <c r="H2194" t="s">
        <v>6578</v>
      </c>
      <c r="P2194" t="s">
        <v>1760</v>
      </c>
      <c r="Y2194" t="s">
        <v>9940</v>
      </c>
    </row>
    <row r="2195" spans="1:25" x14ac:dyDescent="0.25">
      <c r="A2195" t="str">
        <f>"1299611250"</f>
        <v>1299611250</v>
      </c>
      <c r="B2195" t="s">
        <v>96</v>
      </c>
      <c r="C2195" t="s">
        <v>7071</v>
      </c>
      <c r="D2195" t="s">
        <v>11868</v>
      </c>
      <c r="E2195">
        <v>424032</v>
      </c>
      <c r="F2195" t="s">
        <v>1</v>
      </c>
      <c r="G2195" t="s">
        <v>2</v>
      </c>
      <c r="H2195" t="s">
        <v>11081</v>
      </c>
      <c r="J2195" t="s">
        <v>11869</v>
      </c>
      <c r="P2195" t="s">
        <v>2050</v>
      </c>
      <c r="Y2195" t="s">
        <v>11870</v>
      </c>
    </row>
    <row r="2196" spans="1:25" x14ac:dyDescent="0.25">
      <c r="A2196" t="str">
        <f>"1299759865"</f>
        <v>1299759865</v>
      </c>
      <c r="B2196" t="s">
        <v>18</v>
      </c>
      <c r="C2196" t="s">
        <v>6433</v>
      </c>
      <c r="D2196" t="s">
        <v>11871</v>
      </c>
      <c r="E2196">
        <v>424007</v>
      </c>
      <c r="F2196" t="s">
        <v>1</v>
      </c>
      <c r="G2196" t="s">
        <v>2</v>
      </c>
      <c r="H2196" t="s">
        <v>220</v>
      </c>
      <c r="I2196" t="s">
        <v>11872</v>
      </c>
      <c r="J2196" t="s">
        <v>11873</v>
      </c>
      <c r="L2196" t="s">
        <v>11874</v>
      </c>
      <c r="M2196" t="s">
        <v>11875</v>
      </c>
      <c r="P2196" t="s">
        <v>1257</v>
      </c>
      <c r="Y2196" t="s">
        <v>227</v>
      </c>
    </row>
    <row r="2197" spans="1:25" x14ac:dyDescent="0.25">
      <c r="A2197" t="str">
        <f>"1299797963"</f>
        <v>1299797963</v>
      </c>
      <c r="B2197" t="s">
        <v>25</v>
      </c>
      <c r="C2197" t="s">
        <v>59</v>
      </c>
      <c r="D2197" t="s">
        <v>11876</v>
      </c>
      <c r="E2197">
        <v>424001</v>
      </c>
      <c r="F2197" t="s">
        <v>1</v>
      </c>
      <c r="G2197" t="s">
        <v>2</v>
      </c>
      <c r="H2197" t="s">
        <v>919</v>
      </c>
      <c r="I2197" t="s">
        <v>11877</v>
      </c>
      <c r="J2197" t="s">
        <v>11878</v>
      </c>
      <c r="P2197" t="s">
        <v>390</v>
      </c>
      <c r="Y2197" t="s">
        <v>1750</v>
      </c>
    </row>
    <row r="2198" spans="1:25" x14ac:dyDescent="0.25">
      <c r="A2198" t="str">
        <f>"1299820295"</f>
        <v>1299820295</v>
      </c>
      <c r="B2198" t="s">
        <v>930</v>
      </c>
      <c r="C2198" t="s">
        <v>11882</v>
      </c>
      <c r="D2198" t="s">
        <v>1094</v>
      </c>
      <c r="E2198">
        <v>424006</v>
      </c>
      <c r="F2198" t="s">
        <v>1</v>
      </c>
      <c r="G2198" t="s">
        <v>2</v>
      </c>
      <c r="H2198" t="s">
        <v>11376</v>
      </c>
      <c r="I2198" t="s">
        <v>11879</v>
      </c>
      <c r="L2198" t="s">
        <v>11880</v>
      </c>
      <c r="M2198" t="s">
        <v>11881</v>
      </c>
      <c r="P2198" t="s">
        <v>2580</v>
      </c>
      <c r="Y2198" t="s">
        <v>11883</v>
      </c>
    </row>
    <row r="2199" spans="1:25" x14ac:dyDescent="0.25">
      <c r="A2199" t="str">
        <f>"1299829611"</f>
        <v>1299829611</v>
      </c>
      <c r="B2199" t="s">
        <v>553</v>
      </c>
      <c r="C2199" t="s">
        <v>11886</v>
      </c>
      <c r="D2199" t="s">
        <v>11884</v>
      </c>
      <c r="E2199">
        <v>424019</v>
      </c>
      <c r="F2199" t="s">
        <v>1</v>
      </c>
      <c r="G2199" t="s">
        <v>2</v>
      </c>
      <c r="H2199" t="s">
        <v>1801</v>
      </c>
      <c r="I2199" t="s">
        <v>11885</v>
      </c>
      <c r="P2199" t="s">
        <v>112</v>
      </c>
      <c r="Y2199" t="s">
        <v>11887</v>
      </c>
    </row>
    <row r="2200" spans="1:25" x14ac:dyDescent="0.25">
      <c r="A2200" t="str">
        <f>"1299907404"</f>
        <v>1299907404</v>
      </c>
      <c r="B2200" t="s">
        <v>96</v>
      </c>
      <c r="C2200" t="s">
        <v>11891</v>
      </c>
      <c r="D2200" t="s">
        <v>11888</v>
      </c>
      <c r="E2200">
        <v>424002</v>
      </c>
      <c r="F2200" t="s">
        <v>1</v>
      </c>
      <c r="G2200" t="s">
        <v>2</v>
      </c>
      <c r="H2200" t="s">
        <v>11889</v>
      </c>
      <c r="I2200" t="s">
        <v>11890</v>
      </c>
      <c r="P2200" t="s">
        <v>1213</v>
      </c>
      <c r="Y2200" t="s">
        <v>11892</v>
      </c>
    </row>
    <row r="2201" spans="1:25" x14ac:dyDescent="0.25">
      <c r="A2201" t="str">
        <f>"1299923052"</f>
        <v>1299923052</v>
      </c>
      <c r="B2201" t="s">
        <v>803</v>
      </c>
      <c r="C2201" t="s">
        <v>11896</v>
      </c>
      <c r="D2201" t="s">
        <v>11893</v>
      </c>
      <c r="E2201">
        <v>424005</v>
      </c>
      <c r="F2201" t="s">
        <v>1</v>
      </c>
      <c r="G2201" t="s">
        <v>2</v>
      </c>
      <c r="H2201" t="s">
        <v>1310</v>
      </c>
      <c r="I2201" t="s">
        <v>11894</v>
      </c>
      <c r="J2201" t="s">
        <v>11895</v>
      </c>
      <c r="P2201" t="s">
        <v>6315</v>
      </c>
      <c r="Y2201" t="s">
        <v>10303</v>
      </c>
    </row>
    <row r="2202" spans="1:25" x14ac:dyDescent="0.25">
      <c r="A2202" t="str">
        <f>"1299945049"</f>
        <v>1299945049</v>
      </c>
      <c r="B2202" t="s">
        <v>18</v>
      </c>
      <c r="C2202" t="s">
        <v>4522</v>
      </c>
      <c r="D2202" t="s">
        <v>11897</v>
      </c>
      <c r="E2202">
        <v>424016</v>
      </c>
      <c r="F2202" t="s">
        <v>1</v>
      </c>
      <c r="G2202" t="s">
        <v>2</v>
      </c>
      <c r="H2202" t="s">
        <v>4568</v>
      </c>
      <c r="P2202" t="s">
        <v>280</v>
      </c>
      <c r="Y2202" t="s">
        <v>11898</v>
      </c>
    </row>
    <row r="2203" spans="1:25" x14ac:dyDescent="0.25">
      <c r="A2203" t="str">
        <f>"1299978619"</f>
        <v>1299978619</v>
      </c>
      <c r="B2203" t="s">
        <v>18</v>
      </c>
      <c r="C2203" t="s">
        <v>4188</v>
      </c>
      <c r="D2203" t="s">
        <v>11899</v>
      </c>
      <c r="E2203">
        <v>424007</v>
      </c>
      <c r="F2203" t="s">
        <v>1</v>
      </c>
      <c r="G2203" t="s">
        <v>2</v>
      </c>
      <c r="H2203" t="s">
        <v>11900</v>
      </c>
      <c r="I2203" t="s">
        <v>11901</v>
      </c>
      <c r="P2203" t="s">
        <v>20</v>
      </c>
      <c r="Y2203" t="s">
        <v>11902</v>
      </c>
    </row>
    <row r="2204" spans="1:25" x14ac:dyDescent="0.25">
      <c r="A2204" t="str">
        <f>"1299984512"</f>
        <v>1299984512</v>
      </c>
      <c r="B2204" t="s">
        <v>96</v>
      </c>
      <c r="C2204" t="s">
        <v>695</v>
      </c>
      <c r="D2204" t="s">
        <v>11903</v>
      </c>
      <c r="E2204">
        <v>424040</v>
      </c>
      <c r="F2204" t="s">
        <v>1</v>
      </c>
      <c r="G2204" t="s">
        <v>2</v>
      </c>
      <c r="H2204" t="s">
        <v>7989</v>
      </c>
      <c r="I2204" t="s">
        <v>11904</v>
      </c>
      <c r="J2204" t="s">
        <v>11905</v>
      </c>
      <c r="P2204" t="s">
        <v>27</v>
      </c>
      <c r="Y2204" t="s">
        <v>11906</v>
      </c>
    </row>
    <row r="2205" spans="1:25" x14ac:dyDescent="0.25">
      <c r="A2205" t="str">
        <f>"1300031988"</f>
        <v>1300031988</v>
      </c>
      <c r="B2205" t="s">
        <v>348</v>
      </c>
      <c r="C2205" t="s">
        <v>4366</v>
      </c>
      <c r="D2205" t="s">
        <v>11907</v>
      </c>
      <c r="E2205">
        <v>424002</v>
      </c>
      <c r="F2205" t="s">
        <v>1</v>
      </c>
      <c r="G2205" t="s">
        <v>2</v>
      </c>
      <c r="H2205" t="s">
        <v>662</v>
      </c>
      <c r="I2205" t="s">
        <v>11908</v>
      </c>
      <c r="P2205" t="s">
        <v>11909</v>
      </c>
      <c r="Y2205" t="s">
        <v>3342</v>
      </c>
    </row>
    <row r="2206" spans="1:25" x14ac:dyDescent="0.25">
      <c r="A2206" t="str">
        <f>"1300043191"</f>
        <v>1300043191</v>
      </c>
      <c r="B2206" t="s">
        <v>1573</v>
      </c>
      <c r="C2206" t="s">
        <v>11913</v>
      </c>
      <c r="D2206" t="s">
        <v>11910</v>
      </c>
      <c r="E2206">
        <v>424016</v>
      </c>
      <c r="F2206" t="s">
        <v>1</v>
      </c>
      <c r="G2206" t="s">
        <v>2</v>
      </c>
      <c r="H2206" t="s">
        <v>673</v>
      </c>
      <c r="I2206" t="s">
        <v>11911</v>
      </c>
      <c r="L2206" t="s">
        <v>597</v>
      </c>
      <c r="M2206" t="s">
        <v>11912</v>
      </c>
      <c r="P2206" t="s">
        <v>11914</v>
      </c>
      <c r="Y2206" t="s">
        <v>11915</v>
      </c>
    </row>
    <row r="2207" spans="1:25" x14ac:dyDescent="0.25">
      <c r="A2207" t="str">
        <f>"1300297168"</f>
        <v>1300297168</v>
      </c>
      <c r="B2207" t="s">
        <v>25</v>
      </c>
      <c r="C2207" t="s">
        <v>11919</v>
      </c>
      <c r="D2207" t="s">
        <v>11916</v>
      </c>
      <c r="E2207">
        <v>424003</v>
      </c>
      <c r="F2207" t="s">
        <v>1</v>
      </c>
      <c r="G2207" t="s">
        <v>2</v>
      </c>
      <c r="H2207" t="s">
        <v>5311</v>
      </c>
      <c r="I2207" t="s">
        <v>11917</v>
      </c>
      <c r="J2207" t="s">
        <v>11918</v>
      </c>
      <c r="P2207" t="s">
        <v>330</v>
      </c>
      <c r="Y2207" t="s">
        <v>10521</v>
      </c>
    </row>
    <row r="2208" spans="1:25" x14ac:dyDescent="0.25">
      <c r="A2208" t="str">
        <f>"1300505533"</f>
        <v>1300505533</v>
      </c>
      <c r="B2208" t="s">
        <v>1268</v>
      </c>
      <c r="C2208" t="s">
        <v>11923</v>
      </c>
      <c r="D2208" t="s">
        <v>11920</v>
      </c>
      <c r="E2208">
        <v>424006</v>
      </c>
      <c r="F2208" t="s">
        <v>1</v>
      </c>
      <c r="G2208" t="s">
        <v>2</v>
      </c>
      <c r="H2208" t="s">
        <v>11921</v>
      </c>
      <c r="I2208" t="s">
        <v>11922</v>
      </c>
      <c r="P2208" t="s">
        <v>6907</v>
      </c>
      <c r="Q2208" t="s">
        <v>11924</v>
      </c>
      <c r="Y2208" t="s">
        <v>11925</v>
      </c>
    </row>
    <row r="2209" spans="1:25" x14ac:dyDescent="0.25">
      <c r="A2209" t="str">
        <f>"1300556065"</f>
        <v>1300556065</v>
      </c>
      <c r="B2209" t="s">
        <v>687</v>
      </c>
      <c r="C2209" t="s">
        <v>11931</v>
      </c>
      <c r="D2209" t="s">
        <v>11926</v>
      </c>
      <c r="E2209">
        <v>424006</v>
      </c>
      <c r="F2209" t="s">
        <v>1</v>
      </c>
      <c r="G2209" t="s">
        <v>2</v>
      </c>
      <c r="H2209" t="s">
        <v>11927</v>
      </c>
      <c r="I2209" t="s">
        <v>11928</v>
      </c>
      <c r="K2209" t="s">
        <v>11929</v>
      </c>
      <c r="L2209" t="s">
        <v>597</v>
      </c>
      <c r="M2209" t="s">
        <v>11930</v>
      </c>
      <c r="P2209" t="s">
        <v>280</v>
      </c>
      <c r="Y2209" t="s">
        <v>11932</v>
      </c>
    </row>
    <row r="2210" spans="1:25" x14ac:dyDescent="0.25">
      <c r="A2210" t="str">
        <f>"1300572152"</f>
        <v>1300572152</v>
      </c>
      <c r="B2210" t="s">
        <v>1493</v>
      </c>
      <c r="C2210" t="s">
        <v>1494</v>
      </c>
      <c r="D2210" t="s">
        <v>11933</v>
      </c>
      <c r="E2210">
        <v>424007</v>
      </c>
      <c r="F2210" t="s">
        <v>1</v>
      </c>
      <c r="G2210" t="s">
        <v>2</v>
      </c>
      <c r="H2210" t="s">
        <v>11934</v>
      </c>
      <c r="I2210" t="s">
        <v>11935</v>
      </c>
      <c r="J2210" t="s">
        <v>11936</v>
      </c>
      <c r="P2210" t="s">
        <v>7288</v>
      </c>
      <c r="Y2210" t="s">
        <v>11937</v>
      </c>
    </row>
    <row r="2211" spans="1:25" x14ac:dyDescent="0.25">
      <c r="A2211" t="str">
        <f>"1300721580"</f>
        <v>1300721580</v>
      </c>
      <c r="B2211" t="s">
        <v>110</v>
      </c>
      <c r="C2211" t="s">
        <v>11942</v>
      </c>
      <c r="D2211" t="s">
        <v>11938</v>
      </c>
      <c r="E2211">
        <v>424006</v>
      </c>
      <c r="F2211" t="s">
        <v>1</v>
      </c>
      <c r="G2211" t="s">
        <v>2</v>
      </c>
      <c r="H2211" t="s">
        <v>11612</v>
      </c>
      <c r="I2211" t="s">
        <v>11939</v>
      </c>
      <c r="L2211" t="s">
        <v>11940</v>
      </c>
      <c r="M2211" t="s">
        <v>11941</v>
      </c>
      <c r="P2211" t="s">
        <v>11943</v>
      </c>
      <c r="Q2211" t="s">
        <v>11944</v>
      </c>
      <c r="T2211" t="s">
        <v>11945</v>
      </c>
      <c r="U2211" t="s">
        <v>11946</v>
      </c>
      <c r="V2211" t="s">
        <v>11947</v>
      </c>
      <c r="Y2211" t="s">
        <v>11614</v>
      </c>
    </row>
    <row r="2212" spans="1:25" x14ac:dyDescent="0.25">
      <c r="A2212" t="str">
        <f>"1300771336"</f>
        <v>1300771336</v>
      </c>
      <c r="B2212" t="s">
        <v>703</v>
      </c>
      <c r="C2212" t="s">
        <v>2129</v>
      </c>
      <c r="D2212" t="s">
        <v>11948</v>
      </c>
      <c r="E2212">
        <v>424004</v>
      </c>
      <c r="F2212" t="s">
        <v>1</v>
      </c>
      <c r="G2212" t="s">
        <v>2</v>
      </c>
      <c r="H2212" t="s">
        <v>351</v>
      </c>
      <c r="J2212" t="s">
        <v>11949</v>
      </c>
      <c r="P2212" t="s">
        <v>27</v>
      </c>
      <c r="Y2212" t="s">
        <v>354</v>
      </c>
    </row>
    <row r="2213" spans="1:25" x14ac:dyDescent="0.25">
      <c r="A2213" t="str">
        <f>"1300797857"</f>
        <v>1300797857</v>
      </c>
      <c r="B2213" t="s">
        <v>3094</v>
      </c>
      <c r="C2213" t="s">
        <v>3095</v>
      </c>
      <c r="D2213" t="s">
        <v>11950</v>
      </c>
      <c r="E2213">
        <v>424028</v>
      </c>
      <c r="F2213" t="s">
        <v>1</v>
      </c>
      <c r="G2213" t="s">
        <v>2</v>
      </c>
      <c r="H2213" t="s">
        <v>11193</v>
      </c>
      <c r="I2213" t="s">
        <v>11951</v>
      </c>
      <c r="L2213" t="s">
        <v>11952</v>
      </c>
      <c r="M2213" t="s">
        <v>11953</v>
      </c>
      <c r="P2213" t="s">
        <v>152</v>
      </c>
      <c r="Q2213" t="s">
        <v>11954</v>
      </c>
      <c r="Y2213" t="s">
        <v>11955</v>
      </c>
    </row>
    <row r="2214" spans="1:25" x14ac:dyDescent="0.25">
      <c r="A2214" t="str">
        <f>"1300805341"</f>
        <v>1300805341</v>
      </c>
      <c r="B2214" t="s">
        <v>703</v>
      </c>
      <c r="C2214" t="s">
        <v>2129</v>
      </c>
      <c r="D2214" t="s">
        <v>2129</v>
      </c>
      <c r="E2214">
        <v>424008</v>
      </c>
      <c r="F2214" t="s">
        <v>1</v>
      </c>
      <c r="G2214" t="s">
        <v>2</v>
      </c>
      <c r="H2214" t="s">
        <v>1012</v>
      </c>
      <c r="J2214" t="s">
        <v>11956</v>
      </c>
      <c r="P2214" t="s">
        <v>11957</v>
      </c>
      <c r="Y2214" t="s">
        <v>1016</v>
      </c>
    </row>
    <row r="2215" spans="1:25" x14ac:dyDescent="0.25">
      <c r="A2215" t="str">
        <f>"1300842042"</f>
        <v>1300842042</v>
      </c>
      <c r="B2215" t="s">
        <v>654</v>
      </c>
      <c r="C2215" t="s">
        <v>11963</v>
      </c>
      <c r="D2215" t="s">
        <v>11958</v>
      </c>
      <c r="E2215">
        <v>424008</v>
      </c>
      <c r="F2215" t="s">
        <v>1</v>
      </c>
      <c r="G2215" t="s">
        <v>2</v>
      </c>
      <c r="H2215" t="s">
        <v>11060</v>
      </c>
      <c r="I2215" t="s">
        <v>11959</v>
      </c>
      <c r="J2215" t="s">
        <v>11960</v>
      </c>
      <c r="L2215" t="s">
        <v>11961</v>
      </c>
      <c r="M2215" t="s">
        <v>11962</v>
      </c>
      <c r="P2215" t="s">
        <v>27</v>
      </c>
      <c r="Y2215" t="s">
        <v>11964</v>
      </c>
    </row>
    <row r="2216" spans="1:25" x14ac:dyDescent="0.25">
      <c r="A2216" t="str">
        <f>"1300863138"</f>
        <v>1300863138</v>
      </c>
      <c r="B2216" t="s">
        <v>574</v>
      </c>
      <c r="C2216" t="s">
        <v>646</v>
      </c>
      <c r="D2216" t="s">
        <v>5390</v>
      </c>
      <c r="E2216">
        <v>424038</v>
      </c>
      <c r="F2216" t="s">
        <v>1</v>
      </c>
      <c r="G2216" t="s">
        <v>2</v>
      </c>
      <c r="H2216" t="s">
        <v>386</v>
      </c>
      <c r="I2216" t="s">
        <v>11965</v>
      </c>
      <c r="P2216" t="s">
        <v>330</v>
      </c>
      <c r="Y2216" t="s">
        <v>11966</v>
      </c>
    </row>
    <row r="2217" spans="1:25" x14ac:dyDescent="0.25">
      <c r="A2217" t="str">
        <f>"1300877197"</f>
        <v>1300877197</v>
      </c>
      <c r="B2217" t="s">
        <v>930</v>
      </c>
      <c r="C2217" t="s">
        <v>11969</v>
      </c>
      <c r="D2217" t="s">
        <v>2433</v>
      </c>
      <c r="E2217">
        <v>424037</v>
      </c>
      <c r="F2217" t="s">
        <v>1</v>
      </c>
      <c r="G2217" t="s">
        <v>2</v>
      </c>
      <c r="H2217" t="s">
        <v>11967</v>
      </c>
      <c r="I2217" t="s">
        <v>11968</v>
      </c>
      <c r="P2217" t="s">
        <v>799</v>
      </c>
      <c r="Y2217" t="s">
        <v>11970</v>
      </c>
    </row>
    <row r="2218" spans="1:25" x14ac:dyDescent="0.25">
      <c r="A2218" t="str">
        <f>"1300908162"</f>
        <v>1300908162</v>
      </c>
      <c r="B2218" t="s">
        <v>18</v>
      </c>
      <c r="C2218" t="s">
        <v>5160</v>
      </c>
      <c r="D2218" t="s">
        <v>11971</v>
      </c>
      <c r="E2218">
        <v>424026</v>
      </c>
      <c r="F2218" t="s">
        <v>1</v>
      </c>
      <c r="G2218" t="s">
        <v>2</v>
      </c>
      <c r="H2218" t="s">
        <v>7964</v>
      </c>
      <c r="I2218" t="s">
        <v>11972</v>
      </c>
      <c r="M2218" t="s">
        <v>11973</v>
      </c>
      <c r="P2218" t="s">
        <v>20</v>
      </c>
      <c r="V2218" t="s">
        <v>11974</v>
      </c>
      <c r="Y2218" t="s">
        <v>6422</v>
      </c>
    </row>
    <row r="2219" spans="1:25" x14ac:dyDescent="0.25">
      <c r="A2219" t="str">
        <f>"1301001019"</f>
        <v>1301001019</v>
      </c>
      <c r="B2219" t="s">
        <v>574</v>
      </c>
      <c r="C2219" t="s">
        <v>11976</v>
      </c>
      <c r="D2219" t="s">
        <v>11860</v>
      </c>
      <c r="E2219">
        <v>424006</v>
      </c>
      <c r="F2219" t="s">
        <v>1</v>
      </c>
      <c r="G2219" t="s">
        <v>2</v>
      </c>
      <c r="H2219" t="s">
        <v>2775</v>
      </c>
      <c r="I2219" t="s">
        <v>11975</v>
      </c>
      <c r="P2219" t="s">
        <v>1071</v>
      </c>
      <c r="Y2219" t="s">
        <v>2779</v>
      </c>
    </row>
    <row r="2220" spans="1:25" x14ac:dyDescent="0.25">
      <c r="A2220" t="str">
        <f>"1301018882"</f>
        <v>1301018882</v>
      </c>
      <c r="B2220" t="s">
        <v>930</v>
      </c>
      <c r="C2220" t="s">
        <v>11979</v>
      </c>
      <c r="D2220" t="s">
        <v>11977</v>
      </c>
      <c r="E2220">
        <v>424008</v>
      </c>
      <c r="F2220" t="s">
        <v>1</v>
      </c>
      <c r="G2220" t="s">
        <v>2</v>
      </c>
      <c r="H2220" t="s">
        <v>3812</v>
      </c>
      <c r="I2220" t="s">
        <v>11978</v>
      </c>
      <c r="P2220" t="s">
        <v>2580</v>
      </c>
      <c r="Y2220" t="s">
        <v>11980</v>
      </c>
    </row>
    <row r="2221" spans="1:25" x14ac:dyDescent="0.25">
      <c r="A2221" t="str">
        <f>"1301028013"</f>
        <v>1301028013</v>
      </c>
      <c r="B2221" t="s">
        <v>1053</v>
      </c>
      <c r="C2221" t="s">
        <v>1927</v>
      </c>
      <c r="D2221" t="s">
        <v>11981</v>
      </c>
      <c r="E2221">
        <v>424016</v>
      </c>
      <c r="F2221" t="s">
        <v>1</v>
      </c>
      <c r="G2221" t="s">
        <v>2</v>
      </c>
      <c r="H2221" t="s">
        <v>848</v>
      </c>
      <c r="I2221" t="s">
        <v>11982</v>
      </c>
      <c r="P2221" t="s">
        <v>20</v>
      </c>
      <c r="Y2221" t="s">
        <v>855</v>
      </c>
    </row>
    <row r="2222" spans="1:25" x14ac:dyDescent="0.25">
      <c r="A2222" t="str">
        <f>"1301041898"</f>
        <v>1301041898</v>
      </c>
      <c r="B2222" t="s">
        <v>841</v>
      </c>
      <c r="C2222" t="s">
        <v>11986</v>
      </c>
      <c r="D2222" t="s">
        <v>11983</v>
      </c>
      <c r="E2222">
        <v>424918</v>
      </c>
      <c r="F2222" t="s">
        <v>1</v>
      </c>
      <c r="G2222" t="s">
        <v>2</v>
      </c>
      <c r="H2222" t="s">
        <v>629</v>
      </c>
      <c r="I2222" t="s">
        <v>11984</v>
      </c>
      <c r="J2222" t="s">
        <v>11985</v>
      </c>
      <c r="P2222" t="s">
        <v>630</v>
      </c>
      <c r="Y2222" t="s">
        <v>11987</v>
      </c>
    </row>
    <row r="2223" spans="1:25" x14ac:dyDescent="0.25">
      <c r="A2223" t="str">
        <f>"1301159435"</f>
        <v>1301159435</v>
      </c>
      <c r="B2223" t="s">
        <v>284</v>
      </c>
      <c r="C2223" t="s">
        <v>11991</v>
      </c>
      <c r="D2223" t="s">
        <v>11988</v>
      </c>
      <c r="E2223">
        <v>424004</v>
      </c>
      <c r="F2223" t="s">
        <v>1</v>
      </c>
      <c r="G2223" t="s">
        <v>2</v>
      </c>
      <c r="H2223" t="s">
        <v>7224</v>
      </c>
      <c r="I2223" t="s">
        <v>11989</v>
      </c>
      <c r="J2223" t="s">
        <v>11990</v>
      </c>
      <c r="P2223" t="s">
        <v>2362</v>
      </c>
      <c r="Y2223" t="s">
        <v>11992</v>
      </c>
    </row>
    <row r="2224" spans="1:25" x14ac:dyDescent="0.25">
      <c r="A2224" t="str">
        <f>"1301177276"</f>
        <v>1301177276</v>
      </c>
      <c r="B2224" t="s">
        <v>176</v>
      </c>
      <c r="C2224" t="s">
        <v>279</v>
      </c>
      <c r="D2224" t="s">
        <v>11993</v>
      </c>
      <c r="E2224">
        <v>424002</v>
      </c>
      <c r="F2224" t="s">
        <v>1</v>
      </c>
      <c r="G2224" t="s">
        <v>2</v>
      </c>
      <c r="H2224" t="s">
        <v>2164</v>
      </c>
      <c r="I2224" t="s">
        <v>11994</v>
      </c>
      <c r="P2224" t="s">
        <v>330</v>
      </c>
      <c r="Y2224" t="s">
        <v>11995</v>
      </c>
    </row>
    <row r="2225" spans="1:25" x14ac:dyDescent="0.25">
      <c r="A2225" t="str">
        <f>"1301217430"</f>
        <v>1301217430</v>
      </c>
      <c r="B2225" t="s">
        <v>553</v>
      </c>
      <c r="C2225" t="s">
        <v>12001</v>
      </c>
      <c r="D2225" t="s">
        <v>11996</v>
      </c>
      <c r="E2225">
        <v>424031</v>
      </c>
      <c r="F2225" t="s">
        <v>1</v>
      </c>
      <c r="G2225" t="s">
        <v>2</v>
      </c>
      <c r="H2225" t="s">
        <v>1524</v>
      </c>
      <c r="I2225" t="s">
        <v>11997</v>
      </c>
      <c r="J2225" t="s">
        <v>11998</v>
      </c>
      <c r="L2225" t="s">
        <v>11999</v>
      </c>
      <c r="M2225" t="s">
        <v>12000</v>
      </c>
      <c r="P2225" t="s">
        <v>27</v>
      </c>
      <c r="Q2225" t="s">
        <v>12002</v>
      </c>
      <c r="T2225" t="s">
        <v>12003</v>
      </c>
      <c r="Y2225" t="s">
        <v>12004</v>
      </c>
    </row>
    <row r="2226" spans="1:25" x14ac:dyDescent="0.25">
      <c r="A2226" t="str">
        <f>"1301265412"</f>
        <v>1301265412</v>
      </c>
      <c r="B2226" t="s">
        <v>888</v>
      </c>
      <c r="C2226" t="s">
        <v>4712</v>
      </c>
      <c r="D2226" t="s">
        <v>12005</v>
      </c>
      <c r="E2226">
        <v>424000</v>
      </c>
      <c r="F2226" t="s">
        <v>1</v>
      </c>
      <c r="G2226" t="s">
        <v>2</v>
      </c>
      <c r="H2226" t="s">
        <v>2202</v>
      </c>
      <c r="I2226" t="s">
        <v>12006</v>
      </c>
      <c r="J2226" t="s">
        <v>12007</v>
      </c>
      <c r="P2226" t="s">
        <v>1404</v>
      </c>
      <c r="Y2226" t="s">
        <v>12008</v>
      </c>
    </row>
    <row r="2227" spans="1:25" x14ac:dyDescent="0.25">
      <c r="A2227" t="str">
        <f>"1301280268"</f>
        <v>1301280268</v>
      </c>
      <c r="B2227" t="s">
        <v>123</v>
      </c>
      <c r="C2227" t="s">
        <v>10249</v>
      </c>
      <c r="D2227" t="s">
        <v>12009</v>
      </c>
      <c r="E2227">
        <v>424003</v>
      </c>
      <c r="F2227" t="s">
        <v>1</v>
      </c>
      <c r="G2227" t="s">
        <v>2</v>
      </c>
      <c r="H2227" t="s">
        <v>12010</v>
      </c>
      <c r="P2227" t="s">
        <v>390</v>
      </c>
      <c r="T2227" t="s">
        <v>12011</v>
      </c>
      <c r="Y2227" t="s">
        <v>12012</v>
      </c>
    </row>
    <row r="2228" spans="1:25" x14ac:dyDescent="0.25">
      <c r="A2228" t="str">
        <f>"1301318120"</f>
        <v>1301318120</v>
      </c>
      <c r="B2228" t="s">
        <v>1262</v>
      </c>
      <c r="C2228" t="s">
        <v>12019</v>
      </c>
      <c r="D2228" t="s">
        <v>12013</v>
      </c>
      <c r="E2228">
        <v>424016</v>
      </c>
      <c r="F2228" t="s">
        <v>1</v>
      </c>
      <c r="G2228" t="s">
        <v>2</v>
      </c>
      <c r="H2228" t="s">
        <v>12014</v>
      </c>
      <c r="I2228" t="s">
        <v>12015</v>
      </c>
      <c r="J2228" t="s">
        <v>12016</v>
      </c>
      <c r="L2228" t="s">
        <v>12017</v>
      </c>
      <c r="M2228" t="s">
        <v>12018</v>
      </c>
      <c r="P2228" t="s">
        <v>20</v>
      </c>
      <c r="Y2228" t="s">
        <v>12020</v>
      </c>
    </row>
    <row r="2229" spans="1:25" x14ac:dyDescent="0.25">
      <c r="A2229" t="str">
        <f>"1301366937"</f>
        <v>1301366937</v>
      </c>
      <c r="B2229" t="s">
        <v>417</v>
      </c>
      <c r="C2229" t="s">
        <v>418</v>
      </c>
      <c r="D2229" t="s">
        <v>12021</v>
      </c>
      <c r="E2229">
        <v>424004</v>
      </c>
      <c r="F2229" t="s">
        <v>1</v>
      </c>
      <c r="G2229" t="s">
        <v>2</v>
      </c>
      <c r="H2229" t="s">
        <v>2589</v>
      </c>
      <c r="I2229" t="s">
        <v>12022</v>
      </c>
      <c r="P2229" t="s">
        <v>20</v>
      </c>
      <c r="Y2229" t="s">
        <v>12023</v>
      </c>
    </row>
    <row r="2230" spans="1:25" x14ac:dyDescent="0.25">
      <c r="A2230" t="str">
        <f>"1301469596"</f>
        <v>1301469596</v>
      </c>
      <c r="B2230" t="s">
        <v>243</v>
      </c>
      <c r="C2230" t="s">
        <v>2538</v>
      </c>
      <c r="D2230" t="s">
        <v>12024</v>
      </c>
      <c r="F2230" t="s">
        <v>1</v>
      </c>
      <c r="G2230" t="s">
        <v>2</v>
      </c>
      <c r="H2230" t="s">
        <v>4030</v>
      </c>
      <c r="I2230" t="s">
        <v>4031</v>
      </c>
      <c r="K2230" t="s">
        <v>4032</v>
      </c>
      <c r="P2230" t="s">
        <v>27</v>
      </c>
      <c r="Y2230" t="s">
        <v>4034</v>
      </c>
    </row>
    <row r="2231" spans="1:25" x14ac:dyDescent="0.25">
      <c r="A2231" t="str">
        <f>"1301488382"</f>
        <v>1301488382</v>
      </c>
      <c r="B2231" t="s">
        <v>32</v>
      </c>
      <c r="C2231" t="s">
        <v>777</v>
      </c>
      <c r="D2231" t="s">
        <v>12025</v>
      </c>
      <c r="E2231">
        <v>424037</v>
      </c>
      <c r="F2231" t="s">
        <v>1</v>
      </c>
      <c r="G2231" t="s">
        <v>2</v>
      </c>
      <c r="H2231" t="s">
        <v>3278</v>
      </c>
      <c r="I2231" t="s">
        <v>12026</v>
      </c>
      <c r="P2231" t="s">
        <v>216</v>
      </c>
      <c r="Y2231" t="s">
        <v>12027</v>
      </c>
    </row>
    <row r="2232" spans="1:25" x14ac:dyDescent="0.25">
      <c r="A2232" t="str">
        <f>"1301718148"</f>
        <v>1301718148</v>
      </c>
      <c r="B2232" t="s">
        <v>447</v>
      </c>
      <c r="C2232" t="s">
        <v>448</v>
      </c>
      <c r="D2232" t="s">
        <v>12028</v>
      </c>
      <c r="E2232">
        <v>424002</v>
      </c>
      <c r="F2232" t="s">
        <v>1</v>
      </c>
      <c r="G2232" t="s">
        <v>2</v>
      </c>
      <c r="H2232" t="s">
        <v>2338</v>
      </c>
      <c r="I2232" t="s">
        <v>12029</v>
      </c>
      <c r="J2232" t="s">
        <v>12030</v>
      </c>
      <c r="P2232" t="s">
        <v>20</v>
      </c>
      <c r="Y2232" t="s">
        <v>2954</v>
      </c>
    </row>
    <row r="2233" spans="1:25" x14ac:dyDescent="0.25">
      <c r="A2233" t="str">
        <f>"1301750089"</f>
        <v>1301750089</v>
      </c>
      <c r="B2233" t="s">
        <v>1053</v>
      </c>
      <c r="C2233" t="s">
        <v>1927</v>
      </c>
      <c r="D2233" t="s">
        <v>12031</v>
      </c>
      <c r="E2233">
        <v>424004</v>
      </c>
      <c r="F2233" t="s">
        <v>1</v>
      </c>
      <c r="G2233" t="s">
        <v>2</v>
      </c>
      <c r="H2233" t="s">
        <v>12032</v>
      </c>
      <c r="J2233" t="s">
        <v>12033</v>
      </c>
      <c r="P2233" t="s">
        <v>1027</v>
      </c>
      <c r="Y2233" t="s">
        <v>12034</v>
      </c>
    </row>
    <row r="2234" spans="1:25" x14ac:dyDescent="0.25">
      <c r="A2234" t="str">
        <f>"1301769342"</f>
        <v>1301769342</v>
      </c>
      <c r="B2234" t="s">
        <v>160</v>
      </c>
      <c r="C2234" t="s">
        <v>1666</v>
      </c>
      <c r="D2234" t="s">
        <v>12035</v>
      </c>
      <c r="E2234">
        <v>424004</v>
      </c>
      <c r="F2234" t="s">
        <v>1</v>
      </c>
      <c r="G2234" t="s">
        <v>2</v>
      </c>
      <c r="H2234" t="s">
        <v>1169</v>
      </c>
      <c r="I2234" t="s">
        <v>12036</v>
      </c>
      <c r="L2234" t="s">
        <v>12037</v>
      </c>
      <c r="M2234" t="s">
        <v>12038</v>
      </c>
      <c r="P2234" t="s">
        <v>2951</v>
      </c>
      <c r="Q2234" t="s">
        <v>12039</v>
      </c>
      <c r="Y2234" t="s">
        <v>1178</v>
      </c>
    </row>
    <row r="2235" spans="1:25" x14ac:dyDescent="0.25">
      <c r="A2235" t="str">
        <f>"1301824307"</f>
        <v>1301824307</v>
      </c>
      <c r="B2235" t="s">
        <v>18</v>
      </c>
      <c r="C2235" t="s">
        <v>12044</v>
      </c>
      <c r="D2235" t="s">
        <v>12040</v>
      </c>
      <c r="F2235" t="s">
        <v>1</v>
      </c>
      <c r="G2235" t="s">
        <v>2</v>
      </c>
      <c r="H2235" t="s">
        <v>12041</v>
      </c>
      <c r="I2235" t="s">
        <v>12042</v>
      </c>
      <c r="L2235" t="s">
        <v>8045</v>
      </c>
      <c r="M2235" t="s">
        <v>12043</v>
      </c>
      <c r="P2235" t="s">
        <v>3938</v>
      </c>
      <c r="Y2235" t="s">
        <v>12045</v>
      </c>
    </row>
    <row r="2236" spans="1:25" x14ac:dyDescent="0.25">
      <c r="A2236" t="str">
        <f>"1301855248"</f>
        <v>1301855248</v>
      </c>
      <c r="B2236" t="s">
        <v>379</v>
      </c>
      <c r="C2236" t="s">
        <v>4852</v>
      </c>
      <c r="D2236" t="s">
        <v>12046</v>
      </c>
      <c r="E2236">
        <v>424000</v>
      </c>
      <c r="F2236" t="s">
        <v>1</v>
      </c>
      <c r="G2236" t="s">
        <v>2</v>
      </c>
      <c r="H2236" t="s">
        <v>2311</v>
      </c>
      <c r="I2236" t="s">
        <v>12047</v>
      </c>
      <c r="L2236" t="s">
        <v>5218</v>
      </c>
      <c r="M2236" t="s">
        <v>12048</v>
      </c>
      <c r="P2236" t="s">
        <v>144</v>
      </c>
      <c r="Y2236" t="s">
        <v>12049</v>
      </c>
    </row>
    <row r="2237" spans="1:25" x14ac:dyDescent="0.25">
      <c r="A2237" t="str">
        <f>"1301864829"</f>
        <v>1301864829</v>
      </c>
      <c r="B2237" t="s">
        <v>160</v>
      </c>
      <c r="C2237" t="s">
        <v>12055</v>
      </c>
      <c r="D2237" t="s">
        <v>12050</v>
      </c>
      <c r="E2237">
        <v>424006</v>
      </c>
      <c r="F2237" t="s">
        <v>1</v>
      </c>
      <c r="G2237" t="s">
        <v>2</v>
      </c>
      <c r="H2237" t="s">
        <v>12051</v>
      </c>
      <c r="I2237" t="s">
        <v>12052</v>
      </c>
      <c r="L2237" t="s">
        <v>12053</v>
      </c>
      <c r="M2237" t="s">
        <v>12054</v>
      </c>
      <c r="P2237" t="s">
        <v>20</v>
      </c>
      <c r="Y2237" t="s">
        <v>12056</v>
      </c>
    </row>
    <row r="2238" spans="1:25" x14ac:dyDescent="0.25">
      <c r="A2238" t="str">
        <f>"1301917829"</f>
        <v>1301917829</v>
      </c>
      <c r="B2238" t="s">
        <v>88</v>
      </c>
      <c r="C2238" t="s">
        <v>12061</v>
      </c>
      <c r="D2238" t="s">
        <v>12057</v>
      </c>
      <c r="E2238">
        <v>424004</v>
      </c>
      <c r="F2238" t="s">
        <v>1</v>
      </c>
      <c r="G2238" t="s">
        <v>2</v>
      </c>
      <c r="H2238" t="s">
        <v>186</v>
      </c>
      <c r="I2238" t="s">
        <v>12058</v>
      </c>
      <c r="L2238" t="s">
        <v>12059</v>
      </c>
      <c r="M2238" t="s">
        <v>12060</v>
      </c>
      <c r="P2238" t="s">
        <v>280</v>
      </c>
      <c r="Y2238" t="s">
        <v>12062</v>
      </c>
    </row>
    <row r="2239" spans="1:25" x14ac:dyDescent="0.25">
      <c r="A2239" t="str">
        <f>"1301942080"</f>
        <v>1301942080</v>
      </c>
      <c r="B2239" t="s">
        <v>2178</v>
      </c>
      <c r="C2239" t="s">
        <v>2179</v>
      </c>
      <c r="D2239" t="s">
        <v>12063</v>
      </c>
      <c r="E2239">
        <v>424019</v>
      </c>
      <c r="F2239" t="s">
        <v>1</v>
      </c>
      <c r="G2239" t="s">
        <v>2</v>
      </c>
      <c r="H2239" t="s">
        <v>12064</v>
      </c>
      <c r="I2239" t="s">
        <v>12065</v>
      </c>
      <c r="L2239" t="s">
        <v>10327</v>
      </c>
      <c r="M2239" t="s">
        <v>10328</v>
      </c>
      <c r="P2239" t="s">
        <v>12066</v>
      </c>
      <c r="Y2239" t="s">
        <v>12067</v>
      </c>
    </row>
    <row r="2240" spans="1:25" x14ac:dyDescent="0.25">
      <c r="A2240" t="str">
        <f>"1301963215"</f>
        <v>1301963215</v>
      </c>
      <c r="B2240" t="s">
        <v>930</v>
      </c>
      <c r="C2240" t="s">
        <v>12071</v>
      </c>
      <c r="D2240" t="s">
        <v>12068</v>
      </c>
      <c r="F2240" t="s">
        <v>1</v>
      </c>
      <c r="G2240" t="s">
        <v>2</v>
      </c>
      <c r="H2240" t="s">
        <v>12069</v>
      </c>
      <c r="I2240" t="s">
        <v>12070</v>
      </c>
      <c r="P2240" t="s">
        <v>330</v>
      </c>
      <c r="Y2240" t="s">
        <v>12072</v>
      </c>
    </row>
    <row r="2241" spans="1:25" x14ac:dyDescent="0.25">
      <c r="A2241" t="str">
        <f>"1302176842"</f>
        <v>1302176842</v>
      </c>
      <c r="B2241" t="s">
        <v>123</v>
      </c>
      <c r="C2241" t="s">
        <v>424</v>
      </c>
      <c r="D2241" t="s">
        <v>12073</v>
      </c>
      <c r="E2241">
        <v>424028</v>
      </c>
      <c r="F2241" t="s">
        <v>1</v>
      </c>
      <c r="G2241" t="s">
        <v>2</v>
      </c>
      <c r="H2241" t="s">
        <v>12074</v>
      </c>
      <c r="I2241" t="s">
        <v>12075</v>
      </c>
      <c r="P2241" t="s">
        <v>425</v>
      </c>
      <c r="Y2241" t="s">
        <v>12076</v>
      </c>
    </row>
    <row r="2242" spans="1:25" x14ac:dyDescent="0.25">
      <c r="A2242" t="str">
        <f>"1302186323"</f>
        <v>1302186323</v>
      </c>
      <c r="B2242" t="s">
        <v>18</v>
      </c>
      <c r="C2242" t="s">
        <v>12082</v>
      </c>
      <c r="D2242" t="s">
        <v>12077</v>
      </c>
      <c r="F2242" t="s">
        <v>1</v>
      </c>
      <c r="G2242" t="s">
        <v>2</v>
      </c>
      <c r="H2242" t="s">
        <v>12078</v>
      </c>
      <c r="I2242" t="s">
        <v>12079</v>
      </c>
      <c r="K2242" t="s">
        <v>12080</v>
      </c>
      <c r="M2242" t="s">
        <v>12081</v>
      </c>
      <c r="P2242" t="s">
        <v>20</v>
      </c>
      <c r="Y2242" t="s">
        <v>1006</v>
      </c>
    </row>
    <row r="2243" spans="1:25" x14ac:dyDescent="0.25">
      <c r="A2243" t="str">
        <f>"1302204997"</f>
        <v>1302204997</v>
      </c>
      <c r="B2243" t="s">
        <v>96</v>
      </c>
      <c r="C2243" t="s">
        <v>12085</v>
      </c>
      <c r="D2243" t="s">
        <v>12083</v>
      </c>
      <c r="E2243">
        <v>424000</v>
      </c>
      <c r="F2243" t="s">
        <v>1</v>
      </c>
      <c r="G2243" t="s">
        <v>2</v>
      </c>
      <c r="H2243" t="s">
        <v>1531</v>
      </c>
      <c r="I2243" t="s">
        <v>12084</v>
      </c>
      <c r="P2243" t="s">
        <v>27</v>
      </c>
      <c r="Y2243" t="s">
        <v>1707</v>
      </c>
    </row>
    <row r="2244" spans="1:25" x14ac:dyDescent="0.25">
      <c r="A2244" t="str">
        <f>"1302287430"</f>
        <v>1302287430</v>
      </c>
      <c r="B2244" t="s">
        <v>624</v>
      </c>
      <c r="C2244" t="s">
        <v>12088</v>
      </c>
      <c r="D2244" t="s">
        <v>12086</v>
      </c>
      <c r="E2244">
        <v>424006</v>
      </c>
      <c r="F2244" t="s">
        <v>1</v>
      </c>
      <c r="G2244" t="s">
        <v>2</v>
      </c>
      <c r="H2244" t="s">
        <v>2775</v>
      </c>
      <c r="I2244" t="s">
        <v>12087</v>
      </c>
      <c r="P2244" t="s">
        <v>280</v>
      </c>
      <c r="Y2244" t="s">
        <v>2779</v>
      </c>
    </row>
    <row r="2245" spans="1:25" x14ac:dyDescent="0.25">
      <c r="A2245" t="str">
        <f>"1302372319"</f>
        <v>1302372319</v>
      </c>
      <c r="B2245" t="s">
        <v>1078</v>
      </c>
      <c r="C2245" t="s">
        <v>12091</v>
      </c>
      <c r="D2245" t="s">
        <v>1621</v>
      </c>
      <c r="E2245">
        <v>424002</v>
      </c>
      <c r="F2245" t="s">
        <v>1</v>
      </c>
      <c r="G2245" t="s">
        <v>2</v>
      </c>
      <c r="H2245" t="s">
        <v>12089</v>
      </c>
      <c r="I2245" t="s">
        <v>12090</v>
      </c>
      <c r="L2245" t="s">
        <v>1624</v>
      </c>
      <c r="M2245" t="s">
        <v>7564</v>
      </c>
      <c r="P2245" t="s">
        <v>12092</v>
      </c>
      <c r="Y2245" t="s">
        <v>12093</v>
      </c>
    </row>
    <row r="2246" spans="1:25" x14ac:dyDescent="0.25">
      <c r="A2246" t="str">
        <f>"1302375538"</f>
        <v>1302375538</v>
      </c>
      <c r="B2246" t="s">
        <v>447</v>
      </c>
      <c r="C2246" t="s">
        <v>448</v>
      </c>
      <c r="D2246" t="s">
        <v>12094</v>
      </c>
      <c r="E2246">
        <v>424006</v>
      </c>
      <c r="F2246" t="s">
        <v>1</v>
      </c>
      <c r="G2246" t="s">
        <v>2</v>
      </c>
      <c r="H2246" t="s">
        <v>12095</v>
      </c>
      <c r="I2246" t="s">
        <v>12096</v>
      </c>
      <c r="P2246" t="s">
        <v>280</v>
      </c>
      <c r="Y2246" t="s">
        <v>449</v>
      </c>
    </row>
    <row r="2247" spans="1:25" x14ac:dyDescent="0.25">
      <c r="A2247" t="str">
        <f>"1302380844"</f>
        <v>1302380844</v>
      </c>
      <c r="B2247" t="s">
        <v>841</v>
      </c>
      <c r="C2247" t="s">
        <v>12102</v>
      </c>
      <c r="D2247" t="s">
        <v>12097</v>
      </c>
      <c r="F2247" t="s">
        <v>1</v>
      </c>
      <c r="G2247" t="s">
        <v>2</v>
      </c>
      <c r="H2247" t="s">
        <v>12078</v>
      </c>
      <c r="I2247" t="s">
        <v>12098</v>
      </c>
      <c r="K2247" t="s">
        <v>12099</v>
      </c>
      <c r="L2247" t="s">
        <v>12100</v>
      </c>
      <c r="M2247" t="s">
        <v>12101</v>
      </c>
      <c r="P2247" t="s">
        <v>280</v>
      </c>
      <c r="Y2247" t="s">
        <v>12103</v>
      </c>
    </row>
    <row r="2248" spans="1:25" x14ac:dyDescent="0.25">
      <c r="A2248" t="str">
        <f>"1302595415"</f>
        <v>1302595415</v>
      </c>
      <c r="B2248" t="s">
        <v>348</v>
      </c>
      <c r="C2248" t="s">
        <v>12108</v>
      </c>
      <c r="D2248" t="s">
        <v>12104</v>
      </c>
      <c r="E2248">
        <v>424019</v>
      </c>
      <c r="F2248" t="s">
        <v>1</v>
      </c>
      <c r="G2248" t="s">
        <v>2</v>
      </c>
      <c r="H2248" t="s">
        <v>12105</v>
      </c>
      <c r="I2248" t="s">
        <v>12106</v>
      </c>
      <c r="J2248" t="s">
        <v>12107</v>
      </c>
      <c r="P2248" t="s">
        <v>12109</v>
      </c>
      <c r="Y2248" t="s">
        <v>12110</v>
      </c>
    </row>
    <row r="2249" spans="1:25" x14ac:dyDescent="0.25">
      <c r="A2249" t="str">
        <f>"1302626583"</f>
        <v>1302626583</v>
      </c>
      <c r="B2249" t="s">
        <v>18</v>
      </c>
      <c r="C2249" t="s">
        <v>3349</v>
      </c>
      <c r="D2249" t="s">
        <v>12111</v>
      </c>
      <c r="E2249">
        <v>424006</v>
      </c>
      <c r="F2249" t="s">
        <v>1</v>
      </c>
      <c r="G2249" t="s">
        <v>2</v>
      </c>
      <c r="H2249" t="s">
        <v>2012</v>
      </c>
      <c r="J2249" t="s">
        <v>12112</v>
      </c>
      <c r="L2249" t="s">
        <v>12113</v>
      </c>
      <c r="M2249" t="s">
        <v>12114</v>
      </c>
      <c r="P2249" t="s">
        <v>27</v>
      </c>
      <c r="Y2249" t="s">
        <v>2016</v>
      </c>
    </row>
    <row r="2250" spans="1:25" x14ac:dyDescent="0.25">
      <c r="A2250" t="str">
        <f>"1302675308"</f>
        <v>1302675308</v>
      </c>
      <c r="B2250" t="s">
        <v>96</v>
      </c>
      <c r="C2250" t="s">
        <v>695</v>
      </c>
      <c r="D2250" t="s">
        <v>12115</v>
      </c>
      <c r="E2250">
        <v>424036</v>
      </c>
      <c r="F2250" t="s">
        <v>1</v>
      </c>
      <c r="G2250" t="s">
        <v>2</v>
      </c>
      <c r="H2250" t="s">
        <v>12116</v>
      </c>
      <c r="J2250" t="s">
        <v>12117</v>
      </c>
      <c r="P2250" t="s">
        <v>4671</v>
      </c>
      <c r="Y2250" t="s">
        <v>12118</v>
      </c>
    </row>
    <row r="2251" spans="1:25" x14ac:dyDescent="0.25">
      <c r="A2251" t="str">
        <f>"1302680408"</f>
        <v>1302680408</v>
      </c>
      <c r="B2251" t="s">
        <v>930</v>
      </c>
      <c r="C2251" t="s">
        <v>12125</v>
      </c>
      <c r="D2251" t="s">
        <v>12119</v>
      </c>
      <c r="F2251" t="s">
        <v>1</v>
      </c>
      <c r="G2251" t="s">
        <v>2</v>
      </c>
      <c r="H2251" t="s">
        <v>12120</v>
      </c>
      <c r="I2251" t="s">
        <v>12121</v>
      </c>
      <c r="J2251" t="s">
        <v>12122</v>
      </c>
      <c r="L2251" t="s">
        <v>12123</v>
      </c>
      <c r="M2251" t="s">
        <v>12124</v>
      </c>
      <c r="P2251" t="s">
        <v>12126</v>
      </c>
      <c r="Q2251" t="s">
        <v>12127</v>
      </c>
      <c r="Y2251" t="s">
        <v>12128</v>
      </c>
    </row>
    <row r="2252" spans="1:25" x14ac:dyDescent="0.25">
      <c r="A2252" t="str">
        <f>"1303001828"</f>
        <v>1303001828</v>
      </c>
      <c r="B2252" t="s">
        <v>624</v>
      </c>
      <c r="C2252" t="s">
        <v>12132</v>
      </c>
      <c r="D2252" t="s">
        <v>12129</v>
      </c>
      <c r="E2252">
        <v>424016</v>
      </c>
      <c r="F2252" t="s">
        <v>1</v>
      </c>
      <c r="G2252" t="s">
        <v>2</v>
      </c>
      <c r="H2252" t="s">
        <v>12130</v>
      </c>
      <c r="I2252" t="s">
        <v>12131</v>
      </c>
      <c r="P2252" t="s">
        <v>6236</v>
      </c>
      <c r="Y2252" t="s">
        <v>12133</v>
      </c>
    </row>
    <row r="2253" spans="1:25" x14ac:dyDescent="0.25">
      <c r="A2253" t="str">
        <f>"1303071918"</f>
        <v>1303071918</v>
      </c>
      <c r="B2253" t="s">
        <v>32</v>
      </c>
      <c r="C2253" t="s">
        <v>182</v>
      </c>
      <c r="D2253" t="s">
        <v>12134</v>
      </c>
      <c r="E2253">
        <v>424019</v>
      </c>
      <c r="F2253" t="s">
        <v>1</v>
      </c>
      <c r="G2253" t="s">
        <v>2</v>
      </c>
      <c r="H2253" t="s">
        <v>12135</v>
      </c>
      <c r="I2253" t="s">
        <v>12136</v>
      </c>
      <c r="J2253" t="s">
        <v>12137</v>
      </c>
      <c r="L2253" t="s">
        <v>12138</v>
      </c>
      <c r="P2253" t="s">
        <v>12139</v>
      </c>
      <c r="Q2253" t="s">
        <v>12140</v>
      </c>
      <c r="Y2253" t="s">
        <v>12141</v>
      </c>
    </row>
    <row r="2254" spans="1:25" x14ac:dyDescent="0.25">
      <c r="A2254" t="str">
        <f>"1303123721"</f>
        <v>1303123721</v>
      </c>
      <c r="B2254" t="s">
        <v>553</v>
      </c>
      <c r="C2254" t="s">
        <v>12001</v>
      </c>
      <c r="D2254" t="s">
        <v>12142</v>
      </c>
      <c r="E2254">
        <v>424038</v>
      </c>
      <c r="F2254" t="s">
        <v>1</v>
      </c>
      <c r="G2254" t="s">
        <v>2</v>
      </c>
      <c r="H2254" t="s">
        <v>12143</v>
      </c>
      <c r="J2254" t="s">
        <v>12144</v>
      </c>
      <c r="P2254" t="s">
        <v>152</v>
      </c>
      <c r="Y2254" t="s">
        <v>12145</v>
      </c>
    </row>
    <row r="2255" spans="1:25" x14ac:dyDescent="0.25">
      <c r="A2255" t="str">
        <f>"1303213449"</f>
        <v>1303213449</v>
      </c>
      <c r="B2255" t="s">
        <v>18</v>
      </c>
      <c r="C2255" t="s">
        <v>12151</v>
      </c>
      <c r="D2255" t="s">
        <v>12146</v>
      </c>
      <c r="E2255">
        <v>424028</v>
      </c>
      <c r="F2255" t="s">
        <v>1</v>
      </c>
      <c r="G2255" t="s">
        <v>2</v>
      </c>
      <c r="H2255" t="s">
        <v>12147</v>
      </c>
      <c r="I2255" t="s">
        <v>12148</v>
      </c>
      <c r="L2255" t="s">
        <v>12149</v>
      </c>
      <c r="M2255" t="s">
        <v>12150</v>
      </c>
      <c r="P2255" t="s">
        <v>280</v>
      </c>
      <c r="Q2255" t="s">
        <v>12152</v>
      </c>
      <c r="Y2255" t="s">
        <v>12153</v>
      </c>
    </row>
    <row r="2256" spans="1:25" x14ac:dyDescent="0.25">
      <c r="A2256" t="str">
        <f>"1303262911"</f>
        <v>1303262911</v>
      </c>
      <c r="B2256" t="s">
        <v>462</v>
      </c>
      <c r="C2256" t="s">
        <v>1140</v>
      </c>
      <c r="D2256" t="s">
        <v>12154</v>
      </c>
      <c r="E2256">
        <v>424031</v>
      </c>
      <c r="F2256" t="s">
        <v>1</v>
      </c>
      <c r="G2256" t="s">
        <v>2</v>
      </c>
      <c r="H2256" t="s">
        <v>8799</v>
      </c>
      <c r="I2256" t="s">
        <v>12155</v>
      </c>
      <c r="K2256" t="s">
        <v>12156</v>
      </c>
      <c r="L2256" t="s">
        <v>12157</v>
      </c>
      <c r="M2256" t="s">
        <v>12158</v>
      </c>
      <c r="P2256" t="s">
        <v>20</v>
      </c>
      <c r="Y2256" t="s">
        <v>12159</v>
      </c>
    </row>
    <row r="2257" spans="1:25" x14ac:dyDescent="0.25">
      <c r="A2257" t="str">
        <f>"1303525636"</f>
        <v>1303525636</v>
      </c>
      <c r="B2257" t="s">
        <v>151</v>
      </c>
      <c r="C2257" t="s">
        <v>151</v>
      </c>
      <c r="D2257" t="s">
        <v>12160</v>
      </c>
      <c r="E2257">
        <v>424019</v>
      </c>
      <c r="F2257" t="s">
        <v>1</v>
      </c>
      <c r="G2257" t="s">
        <v>2</v>
      </c>
      <c r="H2257" t="s">
        <v>174</v>
      </c>
      <c r="Y2257" t="s">
        <v>12161</v>
      </c>
    </row>
    <row r="2258" spans="1:25" x14ac:dyDescent="0.25">
      <c r="A2258" t="str">
        <f>"1303560944"</f>
        <v>1303560944</v>
      </c>
      <c r="B2258" t="s">
        <v>640</v>
      </c>
      <c r="C2258" t="s">
        <v>663</v>
      </c>
      <c r="D2258" t="s">
        <v>12162</v>
      </c>
      <c r="E2258">
        <v>424008</v>
      </c>
      <c r="F2258" t="s">
        <v>1</v>
      </c>
      <c r="G2258" t="s">
        <v>2</v>
      </c>
      <c r="H2258" t="s">
        <v>12163</v>
      </c>
      <c r="I2258" t="s">
        <v>12164</v>
      </c>
      <c r="J2258" t="s">
        <v>12165</v>
      </c>
      <c r="L2258" t="s">
        <v>12166</v>
      </c>
      <c r="P2258" t="s">
        <v>12167</v>
      </c>
      <c r="Y2258" t="s">
        <v>12168</v>
      </c>
    </row>
    <row r="2259" spans="1:25" x14ac:dyDescent="0.25">
      <c r="A2259" t="str">
        <f>"1303656672"</f>
        <v>1303656672</v>
      </c>
      <c r="B2259" t="s">
        <v>519</v>
      </c>
      <c r="C2259" t="s">
        <v>12173</v>
      </c>
      <c r="D2259" t="s">
        <v>12169</v>
      </c>
      <c r="E2259">
        <v>424033</v>
      </c>
      <c r="F2259" t="s">
        <v>1</v>
      </c>
      <c r="G2259" t="s">
        <v>2</v>
      </c>
      <c r="H2259" t="s">
        <v>5738</v>
      </c>
      <c r="I2259" t="s">
        <v>12170</v>
      </c>
      <c r="L2259" t="s">
        <v>12171</v>
      </c>
      <c r="M2259" t="s">
        <v>12172</v>
      </c>
      <c r="P2259" t="s">
        <v>20</v>
      </c>
      <c r="Q2259" t="s">
        <v>12174</v>
      </c>
      <c r="Y2259" t="s">
        <v>8649</v>
      </c>
    </row>
    <row r="2260" spans="1:25" x14ac:dyDescent="0.25">
      <c r="A2260" t="str">
        <f>"1303661183"</f>
        <v>1303661183</v>
      </c>
      <c r="B2260" t="s">
        <v>3094</v>
      </c>
      <c r="C2260" t="s">
        <v>12179</v>
      </c>
      <c r="D2260" t="s">
        <v>12175</v>
      </c>
      <c r="F2260" t="s">
        <v>1</v>
      </c>
      <c r="G2260" t="s">
        <v>2</v>
      </c>
      <c r="H2260" t="s">
        <v>2304</v>
      </c>
      <c r="I2260" t="s">
        <v>12176</v>
      </c>
      <c r="L2260" t="s">
        <v>12177</v>
      </c>
      <c r="M2260" t="s">
        <v>12178</v>
      </c>
      <c r="P2260" t="s">
        <v>12180</v>
      </c>
      <c r="Q2260" t="s">
        <v>12181</v>
      </c>
      <c r="Y2260" t="s">
        <v>12182</v>
      </c>
    </row>
    <row r="2261" spans="1:25" x14ac:dyDescent="0.25">
      <c r="A2261" t="str">
        <f>"1303667853"</f>
        <v>1303667853</v>
      </c>
      <c r="B2261" t="s">
        <v>348</v>
      </c>
      <c r="C2261" t="s">
        <v>12184</v>
      </c>
      <c r="D2261" t="s">
        <v>1767</v>
      </c>
      <c r="E2261">
        <v>424006</v>
      </c>
      <c r="F2261" t="s">
        <v>1</v>
      </c>
      <c r="G2261" t="s">
        <v>2</v>
      </c>
      <c r="H2261" t="s">
        <v>5290</v>
      </c>
      <c r="I2261" t="s">
        <v>1769</v>
      </c>
      <c r="J2261" t="s">
        <v>12183</v>
      </c>
      <c r="P2261" t="s">
        <v>27</v>
      </c>
      <c r="Y2261" t="s">
        <v>5293</v>
      </c>
    </row>
    <row r="2262" spans="1:25" x14ac:dyDescent="0.25">
      <c r="A2262" t="str">
        <f>"1303713923"</f>
        <v>1303713923</v>
      </c>
      <c r="B2262" t="s">
        <v>123</v>
      </c>
      <c r="C2262" t="s">
        <v>731</v>
      </c>
      <c r="D2262" t="s">
        <v>12185</v>
      </c>
      <c r="E2262">
        <v>424005</v>
      </c>
      <c r="F2262" t="s">
        <v>1</v>
      </c>
      <c r="G2262" t="s">
        <v>2</v>
      </c>
      <c r="H2262" t="s">
        <v>12186</v>
      </c>
      <c r="I2262" t="s">
        <v>12187</v>
      </c>
      <c r="L2262" t="s">
        <v>12188</v>
      </c>
      <c r="M2262" t="s">
        <v>12189</v>
      </c>
      <c r="P2262" t="s">
        <v>425</v>
      </c>
      <c r="Y2262" t="s">
        <v>12190</v>
      </c>
    </row>
    <row r="2263" spans="1:25" x14ac:dyDescent="0.25">
      <c r="A2263" t="str">
        <f>"1303987574"</f>
        <v>1303987574</v>
      </c>
      <c r="B2263" t="s">
        <v>348</v>
      </c>
      <c r="C2263" t="s">
        <v>349</v>
      </c>
      <c r="D2263" t="s">
        <v>12191</v>
      </c>
      <c r="E2263">
        <v>424028</v>
      </c>
      <c r="F2263" t="s">
        <v>1</v>
      </c>
      <c r="G2263" t="s">
        <v>2</v>
      </c>
      <c r="H2263" t="s">
        <v>3628</v>
      </c>
      <c r="I2263" t="s">
        <v>12192</v>
      </c>
      <c r="P2263" t="s">
        <v>280</v>
      </c>
      <c r="Y2263" t="s">
        <v>6934</v>
      </c>
    </row>
    <row r="2264" spans="1:25" x14ac:dyDescent="0.25">
      <c r="A2264" t="str">
        <f>"1304036180"</f>
        <v>1304036180</v>
      </c>
      <c r="B2264" t="s">
        <v>7</v>
      </c>
      <c r="C2264" t="s">
        <v>12197</v>
      </c>
      <c r="D2264" t="s">
        <v>12193</v>
      </c>
      <c r="E2264">
        <v>424000</v>
      </c>
      <c r="F2264" t="s">
        <v>1</v>
      </c>
      <c r="G2264" t="s">
        <v>2</v>
      </c>
      <c r="H2264" t="s">
        <v>6303</v>
      </c>
      <c r="I2264" t="s">
        <v>12194</v>
      </c>
      <c r="L2264" t="s">
        <v>12195</v>
      </c>
      <c r="M2264" t="s">
        <v>12196</v>
      </c>
      <c r="P2264" t="s">
        <v>5575</v>
      </c>
      <c r="Y2264" t="s">
        <v>12198</v>
      </c>
    </row>
    <row r="2265" spans="1:25" x14ac:dyDescent="0.25">
      <c r="A2265" t="str">
        <f>"1304148268"</f>
        <v>1304148268</v>
      </c>
      <c r="B2265" t="s">
        <v>1078</v>
      </c>
      <c r="C2265" t="s">
        <v>2306</v>
      </c>
      <c r="D2265" t="s">
        <v>12199</v>
      </c>
      <c r="E2265">
        <v>424000</v>
      </c>
      <c r="F2265" t="s">
        <v>1</v>
      </c>
      <c r="G2265" t="s">
        <v>2</v>
      </c>
      <c r="H2265" t="s">
        <v>4255</v>
      </c>
      <c r="J2265" t="s">
        <v>12200</v>
      </c>
      <c r="P2265" t="s">
        <v>12201</v>
      </c>
      <c r="Y2265" t="s">
        <v>12202</v>
      </c>
    </row>
    <row r="2266" spans="1:25" x14ac:dyDescent="0.25">
      <c r="A2266" t="str">
        <f>"1304236738"</f>
        <v>1304236738</v>
      </c>
      <c r="B2266" t="s">
        <v>530</v>
      </c>
      <c r="C2266" t="s">
        <v>10576</v>
      </c>
      <c r="D2266" t="s">
        <v>12203</v>
      </c>
      <c r="F2266" t="s">
        <v>1</v>
      </c>
      <c r="G2266" t="s">
        <v>2</v>
      </c>
      <c r="H2266" t="s">
        <v>12204</v>
      </c>
      <c r="I2266" t="s">
        <v>12205</v>
      </c>
      <c r="P2266" t="s">
        <v>20</v>
      </c>
      <c r="Y2266" t="s">
        <v>12206</v>
      </c>
    </row>
    <row r="2267" spans="1:25" x14ac:dyDescent="0.25">
      <c r="A2267" t="str">
        <f>"1304266747"</f>
        <v>1304266747</v>
      </c>
      <c r="B2267" t="s">
        <v>738</v>
      </c>
      <c r="C2267" t="s">
        <v>3363</v>
      </c>
      <c r="D2267" t="s">
        <v>12207</v>
      </c>
      <c r="E2267">
        <v>424006</v>
      </c>
      <c r="F2267" t="s">
        <v>1</v>
      </c>
      <c r="G2267" t="s">
        <v>2</v>
      </c>
      <c r="H2267" t="s">
        <v>12208</v>
      </c>
      <c r="I2267" t="s">
        <v>12209</v>
      </c>
      <c r="P2267" t="s">
        <v>3192</v>
      </c>
      <c r="Y2267" t="s">
        <v>12210</v>
      </c>
    </row>
    <row r="2268" spans="1:25" x14ac:dyDescent="0.25">
      <c r="A2268" t="str">
        <f>"1304340344"</f>
        <v>1304340344</v>
      </c>
      <c r="B2268" t="s">
        <v>284</v>
      </c>
      <c r="C2268" t="s">
        <v>2462</v>
      </c>
      <c r="D2268" t="s">
        <v>12211</v>
      </c>
      <c r="E2268">
        <v>424039</v>
      </c>
      <c r="F2268" t="s">
        <v>1</v>
      </c>
      <c r="G2268" t="s">
        <v>2</v>
      </c>
      <c r="H2268" t="s">
        <v>12212</v>
      </c>
      <c r="J2268" t="s">
        <v>12213</v>
      </c>
      <c r="P2268" t="s">
        <v>330</v>
      </c>
      <c r="Y2268" t="s">
        <v>12214</v>
      </c>
    </row>
    <row r="2269" spans="1:25" x14ac:dyDescent="0.25">
      <c r="A2269" t="str">
        <f>"1304355489"</f>
        <v>1304355489</v>
      </c>
      <c r="B2269" t="s">
        <v>319</v>
      </c>
      <c r="C2269" t="s">
        <v>320</v>
      </c>
      <c r="D2269" t="s">
        <v>12215</v>
      </c>
      <c r="E2269">
        <v>424032</v>
      </c>
      <c r="F2269" t="s">
        <v>1</v>
      </c>
      <c r="G2269" t="s">
        <v>2</v>
      </c>
      <c r="H2269" t="s">
        <v>12216</v>
      </c>
      <c r="I2269" t="s">
        <v>12217</v>
      </c>
      <c r="P2269" t="s">
        <v>280</v>
      </c>
      <c r="Y2269" t="s">
        <v>12218</v>
      </c>
    </row>
    <row r="2270" spans="1:25" x14ac:dyDescent="0.25">
      <c r="A2270" t="str">
        <f>"1304399642"</f>
        <v>1304399642</v>
      </c>
      <c r="B2270" t="s">
        <v>1053</v>
      </c>
      <c r="C2270" t="s">
        <v>1927</v>
      </c>
      <c r="D2270" t="s">
        <v>12219</v>
      </c>
      <c r="E2270">
        <v>424016</v>
      </c>
      <c r="F2270" t="s">
        <v>1</v>
      </c>
      <c r="G2270" t="s">
        <v>2</v>
      </c>
      <c r="H2270" t="s">
        <v>848</v>
      </c>
      <c r="I2270" t="s">
        <v>12220</v>
      </c>
      <c r="P2270" t="s">
        <v>20</v>
      </c>
      <c r="Y2270" t="s">
        <v>855</v>
      </c>
    </row>
    <row r="2271" spans="1:25" x14ac:dyDescent="0.25">
      <c r="A2271" t="str">
        <f>"1304742943"</f>
        <v>1304742943</v>
      </c>
      <c r="B2271" t="s">
        <v>32</v>
      </c>
      <c r="C2271" t="s">
        <v>40</v>
      </c>
      <c r="D2271" t="s">
        <v>12221</v>
      </c>
      <c r="E2271">
        <v>424002</v>
      </c>
      <c r="F2271" t="s">
        <v>1</v>
      </c>
      <c r="G2271" t="s">
        <v>2</v>
      </c>
      <c r="H2271" t="s">
        <v>296</v>
      </c>
      <c r="I2271" t="s">
        <v>12222</v>
      </c>
      <c r="P2271" t="s">
        <v>6491</v>
      </c>
      <c r="Y2271" t="s">
        <v>12223</v>
      </c>
    </row>
    <row r="2272" spans="1:25" x14ac:dyDescent="0.25">
      <c r="A2272" t="str">
        <f>"1304743788"</f>
        <v>1304743788</v>
      </c>
      <c r="B2272" t="s">
        <v>160</v>
      </c>
      <c r="C2272" t="s">
        <v>9976</v>
      </c>
      <c r="D2272" t="s">
        <v>12224</v>
      </c>
      <c r="E2272">
        <v>424039</v>
      </c>
      <c r="F2272" t="s">
        <v>1</v>
      </c>
      <c r="G2272" t="s">
        <v>2</v>
      </c>
      <c r="H2272" t="s">
        <v>8694</v>
      </c>
      <c r="I2272" t="s">
        <v>12225</v>
      </c>
      <c r="P2272" t="s">
        <v>280</v>
      </c>
      <c r="Y2272" t="s">
        <v>12226</v>
      </c>
    </row>
    <row r="2273" spans="1:25" x14ac:dyDescent="0.25">
      <c r="A2273" t="str">
        <f>"1304791645"</f>
        <v>1304791645</v>
      </c>
      <c r="B2273" t="s">
        <v>430</v>
      </c>
      <c r="C2273" t="s">
        <v>12230</v>
      </c>
      <c r="D2273" t="s">
        <v>12227</v>
      </c>
      <c r="E2273">
        <v>424033</v>
      </c>
      <c r="F2273" t="s">
        <v>1</v>
      </c>
      <c r="G2273" t="s">
        <v>2</v>
      </c>
      <c r="H2273" t="s">
        <v>4357</v>
      </c>
      <c r="I2273" t="s">
        <v>12228</v>
      </c>
      <c r="J2273" t="s">
        <v>12229</v>
      </c>
      <c r="P2273" t="s">
        <v>330</v>
      </c>
      <c r="Y2273" t="s">
        <v>12231</v>
      </c>
    </row>
    <row r="2274" spans="1:25" x14ac:dyDescent="0.25">
      <c r="A2274" t="str">
        <f>"1304846314"</f>
        <v>1304846314</v>
      </c>
      <c r="B2274" t="s">
        <v>790</v>
      </c>
      <c r="C2274" t="s">
        <v>12236</v>
      </c>
      <c r="D2274" t="s">
        <v>12232</v>
      </c>
      <c r="E2274">
        <v>424036</v>
      </c>
      <c r="F2274" t="s">
        <v>1</v>
      </c>
      <c r="G2274" t="s">
        <v>2</v>
      </c>
      <c r="H2274" t="s">
        <v>8222</v>
      </c>
      <c r="I2274" t="s">
        <v>12233</v>
      </c>
      <c r="L2274" t="s">
        <v>12234</v>
      </c>
      <c r="M2274" t="s">
        <v>12235</v>
      </c>
      <c r="P2274" t="s">
        <v>27</v>
      </c>
      <c r="Y2274" t="s">
        <v>12237</v>
      </c>
    </row>
    <row r="2275" spans="1:25" x14ac:dyDescent="0.25">
      <c r="A2275" t="str">
        <f>"1305037847"</f>
        <v>1305037847</v>
      </c>
      <c r="B2275" t="s">
        <v>67</v>
      </c>
      <c r="C2275" t="s">
        <v>269</v>
      </c>
      <c r="D2275" t="s">
        <v>491</v>
      </c>
      <c r="E2275">
        <v>424033</v>
      </c>
      <c r="F2275" t="s">
        <v>1</v>
      </c>
      <c r="G2275" t="s">
        <v>2</v>
      </c>
      <c r="H2275" t="s">
        <v>2597</v>
      </c>
      <c r="P2275" t="s">
        <v>144</v>
      </c>
      <c r="Y2275" t="s">
        <v>12238</v>
      </c>
    </row>
    <row r="2276" spans="1:25" x14ac:dyDescent="0.25">
      <c r="A2276" t="str">
        <f>"1305077909"</f>
        <v>1305077909</v>
      </c>
      <c r="B2276" t="s">
        <v>2055</v>
      </c>
      <c r="C2276" t="s">
        <v>12243</v>
      </c>
      <c r="D2276" t="s">
        <v>12239</v>
      </c>
      <c r="E2276">
        <v>424006</v>
      </c>
      <c r="F2276" t="s">
        <v>1</v>
      </c>
      <c r="G2276" t="s">
        <v>2</v>
      </c>
      <c r="H2276" t="s">
        <v>2012</v>
      </c>
      <c r="I2276" t="s">
        <v>12240</v>
      </c>
      <c r="L2276" t="s">
        <v>12241</v>
      </c>
      <c r="M2276" t="s">
        <v>12242</v>
      </c>
      <c r="P2276" t="s">
        <v>152</v>
      </c>
      <c r="Y2276" t="s">
        <v>12244</v>
      </c>
    </row>
    <row r="2277" spans="1:25" x14ac:dyDescent="0.25">
      <c r="A2277" t="str">
        <f>"1305116770"</f>
        <v>1305116770</v>
      </c>
      <c r="B2277" t="s">
        <v>1222</v>
      </c>
      <c r="C2277" t="s">
        <v>12247</v>
      </c>
      <c r="D2277" t="s">
        <v>12245</v>
      </c>
      <c r="E2277">
        <v>424006</v>
      </c>
      <c r="F2277" t="s">
        <v>1</v>
      </c>
      <c r="G2277" t="s">
        <v>2</v>
      </c>
      <c r="H2277" t="s">
        <v>3913</v>
      </c>
      <c r="I2277" t="s">
        <v>3914</v>
      </c>
      <c r="J2277" t="s">
        <v>3915</v>
      </c>
      <c r="L2277" t="s">
        <v>12246</v>
      </c>
      <c r="P2277" t="s">
        <v>3919</v>
      </c>
      <c r="Q2277" t="s">
        <v>12248</v>
      </c>
      <c r="Y2277" t="s">
        <v>3921</v>
      </c>
    </row>
    <row r="2278" spans="1:25" x14ac:dyDescent="0.25">
      <c r="A2278" t="str">
        <f>"1305216261"</f>
        <v>1305216261</v>
      </c>
      <c r="B2278" t="s">
        <v>2601</v>
      </c>
      <c r="C2278" t="s">
        <v>12251</v>
      </c>
      <c r="D2278" t="s">
        <v>12249</v>
      </c>
      <c r="E2278">
        <v>424038</v>
      </c>
      <c r="F2278" t="s">
        <v>1</v>
      </c>
      <c r="G2278" t="s">
        <v>2</v>
      </c>
      <c r="H2278" t="s">
        <v>2614</v>
      </c>
      <c r="I2278" t="s">
        <v>12250</v>
      </c>
      <c r="P2278" t="s">
        <v>12252</v>
      </c>
      <c r="Y2278" t="s">
        <v>12253</v>
      </c>
    </row>
    <row r="2279" spans="1:25" x14ac:dyDescent="0.25">
      <c r="A2279" t="str">
        <f>"1305378181"</f>
        <v>1305378181</v>
      </c>
      <c r="B2279" t="s">
        <v>18</v>
      </c>
      <c r="C2279" t="s">
        <v>959</v>
      </c>
      <c r="D2279" t="s">
        <v>12254</v>
      </c>
      <c r="E2279">
        <v>424020</v>
      </c>
      <c r="F2279" t="s">
        <v>1</v>
      </c>
      <c r="G2279" t="s">
        <v>2</v>
      </c>
      <c r="H2279" t="s">
        <v>1837</v>
      </c>
      <c r="I2279" t="s">
        <v>12255</v>
      </c>
      <c r="P2279" t="s">
        <v>27</v>
      </c>
      <c r="Y2279" t="s">
        <v>1842</v>
      </c>
    </row>
    <row r="2280" spans="1:25" x14ac:dyDescent="0.25">
      <c r="A2280" t="str">
        <f>"1305586619"</f>
        <v>1305586619</v>
      </c>
      <c r="B2280" t="s">
        <v>176</v>
      </c>
      <c r="C2280" t="s">
        <v>250</v>
      </c>
      <c r="D2280" t="s">
        <v>12256</v>
      </c>
      <c r="E2280">
        <v>424003</v>
      </c>
      <c r="F2280" t="s">
        <v>1</v>
      </c>
      <c r="G2280" t="s">
        <v>2</v>
      </c>
      <c r="H2280" t="s">
        <v>6194</v>
      </c>
      <c r="J2280" t="s">
        <v>12257</v>
      </c>
      <c r="P2280" t="s">
        <v>2280</v>
      </c>
      <c r="Y2280" t="s">
        <v>10233</v>
      </c>
    </row>
    <row r="2281" spans="1:25" x14ac:dyDescent="0.25">
      <c r="A2281" t="str">
        <f>"1305754163"</f>
        <v>1305754163</v>
      </c>
      <c r="B2281" t="s">
        <v>1078</v>
      </c>
      <c r="C2281" t="s">
        <v>12262</v>
      </c>
      <c r="D2281" t="s">
        <v>12258</v>
      </c>
      <c r="F2281" t="s">
        <v>1</v>
      </c>
      <c r="G2281" t="s">
        <v>2</v>
      </c>
      <c r="H2281" t="s">
        <v>1600</v>
      </c>
      <c r="I2281" t="s">
        <v>12259</v>
      </c>
      <c r="L2281" t="s">
        <v>12260</v>
      </c>
      <c r="M2281" t="s">
        <v>12261</v>
      </c>
      <c r="P2281" t="s">
        <v>458</v>
      </c>
      <c r="Q2281" t="s">
        <v>12263</v>
      </c>
      <c r="Y2281" t="s">
        <v>12264</v>
      </c>
    </row>
    <row r="2282" spans="1:25" x14ac:dyDescent="0.25">
      <c r="A2282" t="str">
        <f>"1305851505"</f>
        <v>1305851505</v>
      </c>
      <c r="B2282" t="s">
        <v>1152</v>
      </c>
      <c r="C2282" t="s">
        <v>1385</v>
      </c>
      <c r="D2282" t="s">
        <v>1385</v>
      </c>
      <c r="E2282">
        <v>424038</v>
      </c>
      <c r="F2282" t="s">
        <v>1</v>
      </c>
      <c r="G2282" t="s">
        <v>2</v>
      </c>
      <c r="H2282" t="s">
        <v>386</v>
      </c>
      <c r="J2282" t="s">
        <v>1384</v>
      </c>
      <c r="P2282" t="s">
        <v>12265</v>
      </c>
      <c r="Y2282" t="s">
        <v>12266</v>
      </c>
    </row>
    <row r="2283" spans="1:25" x14ac:dyDescent="0.25">
      <c r="A2283" t="str">
        <f>"1305877507"</f>
        <v>1305877507</v>
      </c>
      <c r="B2283" t="s">
        <v>18</v>
      </c>
      <c r="C2283" t="s">
        <v>12269</v>
      </c>
      <c r="D2283" t="s">
        <v>12267</v>
      </c>
      <c r="E2283">
        <v>424004</v>
      </c>
      <c r="F2283" t="s">
        <v>1</v>
      </c>
      <c r="G2283" t="s">
        <v>2</v>
      </c>
      <c r="H2283" t="s">
        <v>1169</v>
      </c>
      <c r="I2283" t="s">
        <v>12268</v>
      </c>
      <c r="P2283" t="s">
        <v>2951</v>
      </c>
      <c r="Y2283" t="s">
        <v>1178</v>
      </c>
    </row>
    <row r="2284" spans="1:25" x14ac:dyDescent="0.25">
      <c r="A2284" t="str">
        <f>"1305956887"</f>
        <v>1305956887</v>
      </c>
      <c r="B2284" t="s">
        <v>430</v>
      </c>
      <c r="C2284" t="s">
        <v>12274</v>
      </c>
      <c r="D2284" t="s">
        <v>12270</v>
      </c>
      <c r="E2284">
        <v>424033</v>
      </c>
      <c r="F2284" t="s">
        <v>1</v>
      </c>
      <c r="G2284" t="s">
        <v>2</v>
      </c>
      <c r="H2284" t="s">
        <v>4357</v>
      </c>
      <c r="I2284" t="s">
        <v>12271</v>
      </c>
      <c r="L2284" t="s">
        <v>12272</v>
      </c>
      <c r="M2284" t="s">
        <v>12273</v>
      </c>
      <c r="P2284" t="s">
        <v>7125</v>
      </c>
      <c r="Q2284" t="s">
        <v>12275</v>
      </c>
      <c r="Y2284" t="s">
        <v>12276</v>
      </c>
    </row>
    <row r="2285" spans="1:25" x14ac:dyDescent="0.25">
      <c r="A2285" t="str">
        <f>"1306023268"</f>
        <v>1306023268</v>
      </c>
      <c r="B2285" t="s">
        <v>482</v>
      </c>
      <c r="C2285" t="s">
        <v>12279</v>
      </c>
      <c r="D2285" t="s">
        <v>12277</v>
      </c>
      <c r="E2285">
        <v>424031</v>
      </c>
      <c r="F2285" t="s">
        <v>1</v>
      </c>
      <c r="G2285" t="s">
        <v>2</v>
      </c>
      <c r="H2285" t="s">
        <v>413</v>
      </c>
      <c r="I2285" t="s">
        <v>12278</v>
      </c>
      <c r="P2285" t="s">
        <v>12280</v>
      </c>
      <c r="Y2285" t="s">
        <v>1421</v>
      </c>
    </row>
    <row r="2286" spans="1:25" x14ac:dyDescent="0.25">
      <c r="A2286" t="str">
        <f>"1306092945"</f>
        <v>1306092945</v>
      </c>
      <c r="B2286" t="s">
        <v>18</v>
      </c>
      <c r="C2286" t="s">
        <v>12283</v>
      </c>
      <c r="D2286" t="s">
        <v>12281</v>
      </c>
      <c r="E2286">
        <v>424003</v>
      </c>
      <c r="F2286" t="s">
        <v>1</v>
      </c>
      <c r="G2286" t="s">
        <v>2</v>
      </c>
      <c r="H2286" t="s">
        <v>4546</v>
      </c>
      <c r="I2286" t="s">
        <v>12282</v>
      </c>
      <c r="P2286" t="s">
        <v>696</v>
      </c>
      <c r="Y2286" t="s">
        <v>12284</v>
      </c>
    </row>
    <row r="2287" spans="1:25" x14ac:dyDescent="0.25">
      <c r="A2287" t="str">
        <f>"1306104321"</f>
        <v>1306104321</v>
      </c>
      <c r="B2287" t="s">
        <v>18</v>
      </c>
      <c r="C2287" t="s">
        <v>12289</v>
      </c>
      <c r="D2287" t="s">
        <v>12285</v>
      </c>
      <c r="E2287">
        <v>424016</v>
      </c>
      <c r="F2287" t="s">
        <v>1</v>
      </c>
      <c r="G2287" t="s">
        <v>2</v>
      </c>
      <c r="H2287" t="s">
        <v>12286</v>
      </c>
      <c r="I2287" t="s">
        <v>12287</v>
      </c>
      <c r="L2287" t="s">
        <v>2127</v>
      </c>
      <c r="M2287" t="s">
        <v>12288</v>
      </c>
      <c r="P2287" t="s">
        <v>133</v>
      </c>
      <c r="Y2287" t="s">
        <v>10401</v>
      </c>
    </row>
    <row r="2288" spans="1:25" x14ac:dyDescent="0.25">
      <c r="A2288" t="str">
        <f>"1306155588"</f>
        <v>1306155588</v>
      </c>
      <c r="B2288" t="s">
        <v>1391</v>
      </c>
      <c r="C2288" t="s">
        <v>1392</v>
      </c>
      <c r="D2288" t="s">
        <v>12290</v>
      </c>
      <c r="E2288">
        <v>424028</v>
      </c>
      <c r="F2288" t="s">
        <v>1</v>
      </c>
      <c r="G2288" t="s">
        <v>2</v>
      </c>
      <c r="H2288" t="s">
        <v>12291</v>
      </c>
      <c r="J2288" t="s">
        <v>12292</v>
      </c>
      <c r="P2288" t="s">
        <v>27</v>
      </c>
      <c r="Y2288" t="s">
        <v>12293</v>
      </c>
    </row>
    <row r="2289" spans="1:25" x14ac:dyDescent="0.25">
      <c r="A2289" t="str">
        <f>"1306179449"</f>
        <v>1306179449</v>
      </c>
      <c r="B2289" t="s">
        <v>4084</v>
      </c>
      <c r="C2289" t="s">
        <v>12296</v>
      </c>
      <c r="D2289" t="s">
        <v>1272</v>
      </c>
      <c r="E2289">
        <v>424031</v>
      </c>
      <c r="F2289" t="s">
        <v>1</v>
      </c>
      <c r="G2289" t="s">
        <v>2</v>
      </c>
      <c r="H2289" t="s">
        <v>12294</v>
      </c>
      <c r="I2289" t="s">
        <v>1274</v>
      </c>
      <c r="J2289" t="s">
        <v>12295</v>
      </c>
      <c r="P2289" t="s">
        <v>330</v>
      </c>
      <c r="Y2289" t="s">
        <v>12297</v>
      </c>
    </row>
    <row r="2290" spans="1:25" x14ac:dyDescent="0.25">
      <c r="A2290" t="str">
        <f>"1306202124"</f>
        <v>1306202124</v>
      </c>
      <c r="B2290" t="s">
        <v>96</v>
      </c>
      <c r="C2290" t="s">
        <v>12300</v>
      </c>
      <c r="D2290" t="s">
        <v>12298</v>
      </c>
      <c r="E2290">
        <v>424038</v>
      </c>
      <c r="F2290" t="s">
        <v>1</v>
      </c>
      <c r="G2290" t="s">
        <v>2</v>
      </c>
      <c r="H2290" t="s">
        <v>1366</v>
      </c>
      <c r="J2290" t="s">
        <v>12299</v>
      </c>
      <c r="P2290" t="s">
        <v>112</v>
      </c>
      <c r="Y2290" t="s">
        <v>12301</v>
      </c>
    </row>
    <row r="2291" spans="1:25" x14ac:dyDescent="0.25">
      <c r="A2291" t="str">
        <f>"1306212706"</f>
        <v>1306212706</v>
      </c>
      <c r="B2291" t="s">
        <v>469</v>
      </c>
      <c r="C2291" t="s">
        <v>12307</v>
      </c>
      <c r="D2291" t="s">
        <v>12302</v>
      </c>
      <c r="E2291">
        <v>424000</v>
      </c>
      <c r="F2291" t="s">
        <v>1</v>
      </c>
      <c r="G2291" t="s">
        <v>2</v>
      </c>
      <c r="H2291" t="s">
        <v>12303</v>
      </c>
      <c r="I2291" t="s">
        <v>12304</v>
      </c>
      <c r="L2291" t="s">
        <v>12305</v>
      </c>
      <c r="M2291" t="s">
        <v>12306</v>
      </c>
      <c r="P2291" t="s">
        <v>12308</v>
      </c>
      <c r="Q2291" t="s">
        <v>12309</v>
      </c>
      <c r="V2291" t="s">
        <v>12310</v>
      </c>
      <c r="Y2291" t="s">
        <v>12311</v>
      </c>
    </row>
    <row r="2292" spans="1:25" x14ac:dyDescent="0.25">
      <c r="A2292" t="str">
        <f>"1306247276"</f>
        <v>1306247276</v>
      </c>
      <c r="B2292" t="s">
        <v>1475</v>
      </c>
      <c r="C2292" t="s">
        <v>1476</v>
      </c>
      <c r="D2292" t="s">
        <v>12312</v>
      </c>
      <c r="E2292">
        <v>424038</v>
      </c>
      <c r="F2292" t="s">
        <v>1</v>
      </c>
      <c r="G2292" t="s">
        <v>2</v>
      </c>
      <c r="H2292" t="s">
        <v>2614</v>
      </c>
      <c r="P2292" t="s">
        <v>10150</v>
      </c>
      <c r="Y2292" t="s">
        <v>12313</v>
      </c>
    </row>
    <row r="2293" spans="1:25" x14ac:dyDescent="0.25">
      <c r="A2293" t="str">
        <f>"1306291697"</f>
        <v>1306291697</v>
      </c>
      <c r="B2293" t="s">
        <v>1573</v>
      </c>
      <c r="C2293" t="s">
        <v>12316</v>
      </c>
      <c r="D2293" t="s">
        <v>12314</v>
      </c>
      <c r="E2293">
        <v>424003</v>
      </c>
      <c r="F2293" t="s">
        <v>1</v>
      </c>
      <c r="G2293" t="s">
        <v>2</v>
      </c>
      <c r="H2293" t="s">
        <v>4546</v>
      </c>
      <c r="I2293" t="s">
        <v>12315</v>
      </c>
      <c r="P2293" t="s">
        <v>12317</v>
      </c>
      <c r="Q2293" t="s">
        <v>12318</v>
      </c>
      <c r="V2293" t="s">
        <v>12319</v>
      </c>
      <c r="Y2293" t="s">
        <v>12320</v>
      </c>
    </row>
    <row r="2294" spans="1:25" x14ac:dyDescent="0.25">
      <c r="A2294" t="str">
        <f>"1306373974"</f>
        <v>1306373974</v>
      </c>
      <c r="B2294" t="s">
        <v>348</v>
      </c>
      <c r="C2294" t="s">
        <v>12325</v>
      </c>
      <c r="D2294" t="s">
        <v>12321</v>
      </c>
      <c r="E2294">
        <v>424031</v>
      </c>
      <c r="F2294" t="s">
        <v>1</v>
      </c>
      <c r="G2294" t="s">
        <v>2</v>
      </c>
      <c r="H2294" t="s">
        <v>413</v>
      </c>
      <c r="I2294" t="s">
        <v>12322</v>
      </c>
      <c r="L2294" t="s">
        <v>12323</v>
      </c>
      <c r="M2294" t="s">
        <v>12324</v>
      </c>
      <c r="P2294" t="s">
        <v>3379</v>
      </c>
      <c r="Y2294" t="s">
        <v>12326</v>
      </c>
    </row>
    <row r="2295" spans="1:25" x14ac:dyDescent="0.25">
      <c r="A2295" t="str">
        <f>"1306461336"</f>
        <v>1306461336</v>
      </c>
      <c r="B2295" t="s">
        <v>687</v>
      </c>
      <c r="C2295" t="s">
        <v>12332</v>
      </c>
      <c r="D2295" t="s">
        <v>12327</v>
      </c>
      <c r="E2295">
        <v>424007</v>
      </c>
      <c r="F2295" t="s">
        <v>1</v>
      </c>
      <c r="G2295" t="s">
        <v>2</v>
      </c>
      <c r="H2295" t="s">
        <v>12328</v>
      </c>
      <c r="I2295" t="s">
        <v>12329</v>
      </c>
      <c r="L2295" t="s">
        <v>12330</v>
      </c>
      <c r="M2295" t="s">
        <v>12331</v>
      </c>
      <c r="P2295" t="s">
        <v>2406</v>
      </c>
      <c r="Q2295" t="s">
        <v>12333</v>
      </c>
      <c r="Y2295" t="s">
        <v>12334</v>
      </c>
    </row>
    <row r="2296" spans="1:25" x14ac:dyDescent="0.25">
      <c r="A2296" t="str">
        <f>"1306536535"</f>
        <v>1306536535</v>
      </c>
      <c r="B2296" t="s">
        <v>417</v>
      </c>
      <c r="C2296" t="s">
        <v>418</v>
      </c>
      <c r="D2296" t="s">
        <v>5328</v>
      </c>
      <c r="E2296">
        <v>424031</v>
      </c>
      <c r="F2296" t="s">
        <v>1</v>
      </c>
      <c r="G2296" t="s">
        <v>2</v>
      </c>
      <c r="H2296" t="s">
        <v>1524</v>
      </c>
      <c r="I2296" t="s">
        <v>12335</v>
      </c>
      <c r="P2296" t="s">
        <v>152</v>
      </c>
      <c r="Y2296" t="s">
        <v>5358</v>
      </c>
    </row>
    <row r="2297" spans="1:25" x14ac:dyDescent="0.25">
      <c r="A2297" t="str">
        <f>"1306573835"</f>
        <v>1306573835</v>
      </c>
      <c r="B2297" t="s">
        <v>96</v>
      </c>
      <c r="C2297" t="s">
        <v>12339</v>
      </c>
      <c r="D2297" t="s">
        <v>12336</v>
      </c>
      <c r="E2297">
        <v>424002</v>
      </c>
      <c r="F2297" t="s">
        <v>1</v>
      </c>
      <c r="G2297" t="s">
        <v>2</v>
      </c>
      <c r="H2297" t="s">
        <v>12337</v>
      </c>
      <c r="J2297" t="s">
        <v>12338</v>
      </c>
      <c r="P2297" t="s">
        <v>941</v>
      </c>
      <c r="Q2297" t="s">
        <v>12340</v>
      </c>
      <c r="V2297" t="s">
        <v>12341</v>
      </c>
      <c r="Y2297" t="s">
        <v>12342</v>
      </c>
    </row>
    <row r="2298" spans="1:25" x14ac:dyDescent="0.25">
      <c r="A2298" t="str">
        <f>"1306597555"</f>
        <v>1306597555</v>
      </c>
      <c r="B2298" t="s">
        <v>2178</v>
      </c>
      <c r="C2298" t="s">
        <v>2179</v>
      </c>
      <c r="D2298" t="s">
        <v>12343</v>
      </c>
      <c r="E2298">
        <v>424008</v>
      </c>
      <c r="F2298" t="s">
        <v>1</v>
      </c>
      <c r="G2298" t="s">
        <v>2</v>
      </c>
      <c r="H2298" t="s">
        <v>12344</v>
      </c>
      <c r="I2298" t="s">
        <v>12345</v>
      </c>
      <c r="L2298" t="s">
        <v>10327</v>
      </c>
      <c r="M2298" t="s">
        <v>10328</v>
      </c>
      <c r="P2298" t="s">
        <v>12346</v>
      </c>
      <c r="Y2298" t="s">
        <v>12347</v>
      </c>
    </row>
    <row r="2299" spans="1:25" x14ac:dyDescent="0.25">
      <c r="A2299" t="str">
        <f>"1306624976"</f>
        <v>1306624976</v>
      </c>
      <c r="B2299" t="s">
        <v>290</v>
      </c>
      <c r="C2299" t="s">
        <v>9932</v>
      </c>
      <c r="D2299" t="s">
        <v>12348</v>
      </c>
      <c r="E2299">
        <v>424007</v>
      </c>
      <c r="F2299" t="s">
        <v>1</v>
      </c>
      <c r="G2299" t="s">
        <v>2</v>
      </c>
      <c r="H2299" t="s">
        <v>11695</v>
      </c>
      <c r="J2299" t="s">
        <v>12349</v>
      </c>
      <c r="P2299" t="s">
        <v>330</v>
      </c>
      <c r="V2299" t="s">
        <v>12350</v>
      </c>
      <c r="Y2299" t="s">
        <v>12351</v>
      </c>
    </row>
    <row r="2300" spans="1:25" x14ac:dyDescent="0.25">
      <c r="A2300" t="str">
        <f>"1306643072"</f>
        <v>1306643072</v>
      </c>
      <c r="B2300" t="s">
        <v>1391</v>
      </c>
      <c r="C2300" t="s">
        <v>12356</v>
      </c>
      <c r="D2300" t="s">
        <v>12352</v>
      </c>
      <c r="E2300">
        <v>424037</v>
      </c>
      <c r="F2300" t="s">
        <v>1</v>
      </c>
      <c r="G2300" t="s">
        <v>2</v>
      </c>
      <c r="H2300" t="s">
        <v>3115</v>
      </c>
      <c r="I2300" t="s">
        <v>12353</v>
      </c>
      <c r="L2300" t="s">
        <v>12354</v>
      </c>
      <c r="M2300" t="s">
        <v>12355</v>
      </c>
      <c r="P2300" t="s">
        <v>27</v>
      </c>
      <c r="Q2300" t="s">
        <v>12357</v>
      </c>
      <c r="Y2300" t="s">
        <v>12358</v>
      </c>
    </row>
    <row r="2301" spans="1:25" x14ac:dyDescent="0.25">
      <c r="A2301" t="str">
        <f>"1306681521"</f>
        <v>1306681521</v>
      </c>
      <c r="B2301" t="s">
        <v>456</v>
      </c>
      <c r="C2301" t="s">
        <v>12362</v>
      </c>
      <c r="D2301" t="s">
        <v>12359</v>
      </c>
      <c r="E2301">
        <v>424002</v>
      </c>
      <c r="F2301" t="s">
        <v>1</v>
      </c>
      <c r="G2301" t="s">
        <v>2</v>
      </c>
      <c r="H2301" t="s">
        <v>3421</v>
      </c>
      <c r="J2301" t="s">
        <v>12360</v>
      </c>
      <c r="M2301" t="s">
        <v>12361</v>
      </c>
      <c r="P2301" t="s">
        <v>12363</v>
      </c>
      <c r="Q2301" t="s">
        <v>12364</v>
      </c>
      <c r="U2301" t="s">
        <v>12365</v>
      </c>
      <c r="Y2301" t="s">
        <v>12366</v>
      </c>
    </row>
    <row r="2302" spans="1:25" x14ac:dyDescent="0.25">
      <c r="A2302" t="str">
        <f>"1306682952"</f>
        <v>1306682952</v>
      </c>
      <c r="B2302" t="s">
        <v>224</v>
      </c>
      <c r="C2302" t="s">
        <v>3240</v>
      </c>
      <c r="D2302" t="s">
        <v>12367</v>
      </c>
      <c r="E2302">
        <v>424007</v>
      </c>
      <c r="F2302" t="s">
        <v>1</v>
      </c>
      <c r="G2302" t="s">
        <v>2</v>
      </c>
      <c r="H2302" t="s">
        <v>1654</v>
      </c>
      <c r="I2302" t="s">
        <v>12368</v>
      </c>
      <c r="K2302" t="s">
        <v>12368</v>
      </c>
      <c r="P2302" t="s">
        <v>280</v>
      </c>
      <c r="Y2302" t="s">
        <v>1661</v>
      </c>
    </row>
    <row r="2303" spans="1:25" x14ac:dyDescent="0.25">
      <c r="A2303" t="str">
        <f>"1306683337"</f>
        <v>1306683337</v>
      </c>
      <c r="B2303" t="s">
        <v>18</v>
      </c>
      <c r="C2303" t="s">
        <v>4522</v>
      </c>
      <c r="D2303" t="s">
        <v>12369</v>
      </c>
      <c r="E2303">
        <v>424019</v>
      </c>
      <c r="F2303" t="s">
        <v>1</v>
      </c>
      <c r="G2303" t="s">
        <v>2</v>
      </c>
      <c r="H2303" t="s">
        <v>12370</v>
      </c>
      <c r="J2303" t="s">
        <v>12371</v>
      </c>
      <c r="P2303" t="s">
        <v>12372</v>
      </c>
      <c r="Y2303" t="s">
        <v>12373</v>
      </c>
    </row>
    <row r="2304" spans="1:25" x14ac:dyDescent="0.25">
      <c r="A2304" t="str">
        <f>"1306780889"</f>
        <v>1306780889</v>
      </c>
      <c r="B2304" t="s">
        <v>352</v>
      </c>
      <c r="C2304" t="s">
        <v>12378</v>
      </c>
      <c r="D2304" t="s">
        <v>12374</v>
      </c>
      <c r="E2304">
        <v>424000</v>
      </c>
      <c r="F2304" t="s">
        <v>1</v>
      </c>
      <c r="G2304" t="s">
        <v>2</v>
      </c>
      <c r="H2304" t="s">
        <v>1531</v>
      </c>
      <c r="I2304" t="s">
        <v>12375</v>
      </c>
      <c r="J2304" t="s">
        <v>12376</v>
      </c>
      <c r="L2304" t="s">
        <v>12377</v>
      </c>
      <c r="P2304" t="s">
        <v>12379</v>
      </c>
      <c r="Q2304" t="s">
        <v>12380</v>
      </c>
      <c r="V2304" t="s">
        <v>12381</v>
      </c>
      <c r="Y2304" t="s">
        <v>4373</v>
      </c>
    </row>
    <row r="2305" spans="1:25" x14ac:dyDescent="0.25">
      <c r="A2305" t="str">
        <f>"1306866911"</f>
        <v>1306866911</v>
      </c>
      <c r="B2305" t="s">
        <v>703</v>
      </c>
      <c r="C2305" t="s">
        <v>2129</v>
      </c>
      <c r="D2305" t="s">
        <v>12382</v>
      </c>
      <c r="E2305">
        <v>424006</v>
      </c>
      <c r="F2305" t="s">
        <v>1</v>
      </c>
      <c r="G2305" t="s">
        <v>2</v>
      </c>
      <c r="H2305" t="s">
        <v>445</v>
      </c>
      <c r="I2305" t="s">
        <v>12383</v>
      </c>
      <c r="Y2305" t="s">
        <v>449</v>
      </c>
    </row>
    <row r="2306" spans="1:25" x14ac:dyDescent="0.25">
      <c r="A2306" t="str">
        <f>"1306945018"</f>
        <v>1306945018</v>
      </c>
      <c r="B2306" t="s">
        <v>1758</v>
      </c>
      <c r="C2306" t="s">
        <v>8089</v>
      </c>
      <c r="D2306" t="s">
        <v>12384</v>
      </c>
      <c r="E2306">
        <v>424038</v>
      </c>
      <c r="F2306" t="s">
        <v>1</v>
      </c>
      <c r="G2306" t="s">
        <v>2</v>
      </c>
      <c r="H2306" t="s">
        <v>2614</v>
      </c>
      <c r="I2306" t="s">
        <v>12385</v>
      </c>
      <c r="P2306" t="s">
        <v>1345</v>
      </c>
      <c r="Y2306" t="s">
        <v>12386</v>
      </c>
    </row>
    <row r="2307" spans="1:25" x14ac:dyDescent="0.25">
      <c r="A2307" t="str">
        <f>"1307094993"</f>
        <v>1307094993</v>
      </c>
      <c r="B2307" t="s">
        <v>176</v>
      </c>
      <c r="C2307" t="s">
        <v>279</v>
      </c>
      <c r="D2307" t="s">
        <v>12387</v>
      </c>
      <c r="E2307">
        <v>424000</v>
      </c>
      <c r="F2307" t="s">
        <v>1</v>
      </c>
      <c r="G2307" t="s">
        <v>2</v>
      </c>
      <c r="H2307" t="s">
        <v>12388</v>
      </c>
      <c r="I2307" t="s">
        <v>12389</v>
      </c>
      <c r="P2307" t="s">
        <v>12390</v>
      </c>
      <c r="Y2307" t="s">
        <v>12391</v>
      </c>
    </row>
    <row r="2308" spans="1:25" x14ac:dyDescent="0.25">
      <c r="A2308" t="str">
        <f>"1307228553"</f>
        <v>1307228553</v>
      </c>
      <c r="B2308" t="s">
        <v>430</v>
      </c>
      <c r="C2308" t="s">
        <v>940</v>
      </c>
      <c r="D2308" t="s">
        <v>12392</v>
      </c>
      <c r="E2308">
        <v>424006</v>
      </c>
      <c r="F2308" t="s">
        <v>1</v>
      </c>
      <c r="G2308" t="s">
        <v>2</v>
      </c>
      <c r="H2308" t="s">
        <v>12393</v>
      </c>
      <c r="J2308" t="s">
        <v>12394</v>
      </c>
      <c r="P2308" t="s">
        <v>2280</v>
      </c>
      <c r="Y2308" t="s">
        <v>12395</v>
      </c>
    </row>
    <row r="2309" spans="1:25" x14ac:dyDescent="0.25">
      <c r="A2309" t="str">
        <f>"1307356566"</f>
        <v>1307356566</v>
      </c>
      <c r="B2309" t="s">
        <v>624</v>
      </c>
      <c r="C2309" t="s">
        <v>1637</v>
      </c>
      <c r="D2309" t="s">
        <v>12396</v>
      </c>
      <c r="E2309">
        <v>424007</v>
      </c>
      <c r="F2309" t="s">
        <v>1</v>
      </c>
      <c r="G2309" t="s">
        <v>2</v>
      </c>
      <c r="H2309" t="s">
        <v>11607</v>
      </c>
      <c r="J2309" t="s">
        <v>12397</v>
      </c>
      <c r="P2309" t="s">
        <v>27</v>
      </c>
      <c r="Y2309" t="s">
        <v>12398</v>
      </c>
    </row>
    <row r="2310" spans="1:25" x14ac:dyDescent="0.25">
      <c r="A2310" t="str">
        <f>"1307393764"</f>
        <v>1307393764</v>
      </c>
      <c r="B2310" t="s">
        <v>151</v>
      </c>
      <c r="C2310" t="s">
        <v>151</v>
      </c>
      <c r="D2310" t="s">
        <v>12399</v>
      </c>
      <c r="E2310">
        <v>424006</v>
      </c>
      <c r="F2310" t="s">
        <v>1</v>
      </c>
      <c r="G2310" t="s">
        <v>2</v>
      </c>
      <c r="H2310" t="s">
        <v>1645</v>
      </c>
      <c r="P2310" t="s">
        <v>152</v>
      </c>
      <c r="Y2310" t="s">
        <v>4478</v>
      </c>
    </row>
    <row r="2311" spans="1:25" x14ac:dyDescent="0.25">
      <c r="A2311" t="str">
        <f>"1307464684"</f>
        <v>1307464684</v>
      </c>
      <c r="B2311" t="s">
        <v>7</v>
      </c>
      <c r="C2311" t="s">
        <v>925</v>
      </c>
      <c r="D2311" t="s">
        <v>12400</v>
      </c>
      <c r="E2311">
        <v>424002</v>
      </c>
      <c r="F2311" t="s">
        <v>1</v>
      </c>
      <c r="G2311" t="s">
        <v>2</v>
      </c>
      <c r="H2311" t="s">
        <v>662</v>
      </c>
      <c r="I2311" t="s">
        <v>12401</v>
      </c>
      <c r="K2311" t="s">
        <v>12402</v>
      </c>
      <c r="L2311" t="s">
        <v>12403</v>
      </c>
      <c r="M2311" t="s">
        <v>12404</v>
      </c>
      <c r="P2311" t="s">
        <v>1232</v>
      </c>
      <c r="Y2311" t="s">
        <v>664</v>
      </c>
    </row>
    <row r="2312" spans="1:25" x14ac:dyDescent="0.25">
      <c r="A2312" t="str">
        <f>"1307520744"</f>
        <v>1307520744</v>
      </c>
      <c r="B2312" t="s">
        <v>12407</v>
      </c>
      <c r="C2312" t="s">
        <v>12408</v>
      </c>
      <c r="D2312" t="s">
        <v>12405</v>
      </c>
      <c r="E2312">
        <v>424006</v>
      </c>
      <c r="F2312" t="s">
        <v>1</v>
      </c>
      <c r="G2312" t="s">
        <v>2</v>
      </c>
      <c r="H2312" t="s">
        <v>830</v>
      </c>
      <c r="I2312" t="s">
        <v>12406</v>
      </c>
      <c r="P2312" t="s">
        <v>1232</v>
      </c>
      <c r="Y2312" t="s">
        <v>3830</v>
      </c>
    </row>
    <row r="2313" spans="1:25" x14ac:dyDescent="0.25">
      <c r="A2313" t="str">
        <f>"1307541526"</f>
        <v>1307541526</v>
      </c>
      <c r="B2313" t="s">
        <v>519</v>
      </c>
      <c r="C2313" t="s">
        <v>12412</v>
      </c>
      <c r="D2313" t="s">
        <v>12409</v>
      </c>
      <c r="F2313" t="s">
        <v>1</v>
      </c>
      <c r="G2313" t="s">
        <v>2</v>
      </c>
      <c r="H2313" t="s">
        <v>12410</v>
      </c>
      <c r="I2313" t="s">
        <v>12411</v>
      </c>
      <c r="L2313" t="s">
        <v>3217</v>
      </c>
      <c r="M2313" t="s">
        <v>1961</v>
      </c>
      <c r="P2313" t="s">
        <v>2280</v>
      </c>
      <c r="Y2313" t="s">
        <v>12413</v>
      </c>
    </row>
    <row r="2314" spans="1:25" x14ac:dyDescent="0.25">
      <c r="A2314" t="str">
        <f>"1307612702"</f>
        <v>1307612702</v>
      </c>
      <c r="B2314" t="s">
        <v>1222</v>
      </c>
      <c r="C2314" t="s">
        <v>12417</v>
      </c>
      <c r="D2314" t="s">
        <v>12414</v>
      </c>
      <c r="E2314">
        <v>424003</v>
      </c>
      <c r="F2314" t="s">
        <v>1</v>
      </c>
      <c r="G2314" t="s">
        <v>2</v>
      </c>
      <c r="H2314" t="s">
        <v>7888</v>
      </c>
      <c r="J2314" t="s">
        <v>12415</v>
      </c>
      <c r="M2314" t="s">
        <v>12416</v>
      </c>
      <c r="P2314" t="s">
        <v>1404</v>
      </c>
      <c r="Y2314" t="s">
        <v>12418</v>
      </c>
    </row>
    <row r="2315" spans="1:25" x14ac:dyDescent="0.25">
      <c r="A2315" t="str">
        <f>"1307614396"</f>
        <v>1307614396</v>
      </c>
      <c r="B2315" t="s">
        <v>3700</v>
      </c>
      <c r="C2315" t="s">
        <v>12422</v>
      </c>
      <c r="D2315" t="s">
        <v>12419</v>
      </c>
      <c r="E2315">
        <v>424019</v>
      </c>
      <c r="F2315" t="s">
        <v>1</v>
      </c>
      <c r="G2315" t="s">
        <v>2</v>
      </c>
      <c r="H2315" t="s">
        <v>12420</v>
      </c>
      <c r="I2315" t="s">
        <v>12421</v>
      </c>
      <c r="P2315" t="s">
        <v>3379</v>
      </c>
      <c r="Y2315" t="s">
        <v>12423</v>
      </c>
    </row>
    <row r="2316" spans="1:25" x14ac:dyDescent="0.25">
      <c r="A2316" t="str">
        <f>"1307649657"</f>
        <v>1307649657</v>
      </c>
      <c r="B2316" t="s">
        <v>25</v>
      </c>
      <c r="C2316" t="s">
        <v>59</v>
      </c>
      <c r="D2316" t="s">
        <v>12424</v>
      </c>
      <c r="F2316" t="s">
        <v>1</v>
      </c>
      <c r="G2316" t="s">
        <v>2</v>
      </c>
      <c r="H2316" t="s">
        <v>4915</v>
      </c>
      <c r="J2316" t="s">
        <v>12425</v>
      </c>
      <c r="Y2316" t="s">
        <v>4917</v>
      </c>
    </row>
    <row r="2317" spans="1:25" x14ac:dyDescent="0.25">
      <c r="A2317" t="str">
        <f>"1307675619"</f>
        <v>1307675619</v>
      </c>
      <c r="B2317" t="s">
        <v>519</v>
      </c>
      <c r="C2317" t="s">
        <v>12430</v>
      </c>
      <c r="D2317" t="s">
        <v>12426</v>
      </c>
      <c r="E2317">
        <v>424002</v>
      </c>
      <c r="F2317" t="s">
        <v>1</v>
      </c>
      <c r="G2317" t="s">
        <v>2</v>
      </c>
      <c r="H2317" t="s">
        <v>1683</v>
      </c>
      <c r="I2317" t="s">
        <v>12427</v>
      </c>
      <c r="L2317" t="s">
        <v>12428</v>
      </c>
      <c r="M2317" t="s">
        <v>12429</v>
      </c>
      <c r="P2317" t="s">
        <v>10124</v>
      </c>
      <c r="Q2317" t="s">
        <v>12431</v>
      </c>
      <c r="R2317" t="s">
        <v>12432</v>
      </c>
      <c r="S2317" t="s">
        <v>12433</v>
      </c>
      <c r="T2317" t="s">
        <v>12434</v>
      </c>
      <c r="U2317" t="s">
        <v>12435</v>
      </c>
      <c r="V2317" t="s">
        <v>12436</v>
      </c>
      <c r="Y2317" t="s">
        <v>12437</v>
      </c>
    </row>
    <row r="2318" spans="1:25" x14ac:dyDescent="0.25">
      <c r="A2318" t="str">
        <f>"1307693116"</f>
        <v>1307693116</v>
      </c>
      <c r="B2318" t="s">
        <v>716</v>
      </c>
      <c r="C2318" t="s">
        <v>717</v>
      </c>
      <c r="D2318" t="s">
        <v>11313</v>
      </c>
      <c r="E2318">
        <v>424031</v>
      </c>
      <c r="F2318" t="s">
        <v>1</v>
      </c>
      <c r="G2318" t="s">
        <v>2</v>
      </c>
      <c r="H2318" t="s">
        <v>12438</v>
      </c>
      <c r="I2318" t="s">
        <v>12439</v>
      </c>
      <c r="P2318" t="s">
        <v>3690</v>
      </c>
      <c r="Y2318" t="s">
        <v>12440</v>
      </c>
    </row>
    <row r="2319" spans="1:25" x14ac:dyDescent="0.25">
      <c r="A2319" t="str">
        <f>"1307793030"</f>
        <v>1307793030</v>
      </c>
      <c r="B2319" t="s">
        <v>96</v>
      </c>
      <c r="C2319" t="s">
        <v>893</v>
      </c>
      <c r="D2319" t="s">
        <v>12441</v>
      </c>
      <c r="E2319">
        <v>424000</v>
      </c>
      <c r="F2319" t="s">
        <v>1</v>
      </c>
      <c r="G2319" t="s">
        <v>2</v>
      </c>
      <c r="H2319" t="s">
        <v>937</v>
      </c>
      <c r="I2319" t="s">
        <v>12442</v>
      </c>
      <c r="P2319" t="s">
        <v>112</v>
      </c>
      <c r="Y2319" t="s">
        <v>942</v>
      </c>
    </row>
    <row r="2320" spans="1:25" x14ac:dyDescent="0.25">
      <c r="A2320" t="str">
        <f>"1307838841"</f>
        <v>1307838841</v>
      </c>
      <c r="B2320" t="s">
        <v>160</v>
      </c>
      <c r="C2320" t="s">
        <v>1666</v>
      </c>
      <c r="D2320" t="s">
        <v>12443</v>
      </c>
      <c r="E2320">
        <v>424036</v>
      </c>
      <c r="F2320" t="s">
        <v>1</v>
      </c>
      <c r="G2320" t="s">
        <v>2</v>
      </c>
      <c r="H2320" t="s">
        <v>12444</v>
      </c>
      <c r="I2320" t="s">
        <v>12445</v>
      </c>
      <c r="L2320" t="s">
        <v>8198</v>
      </c>
      <c r="M2320" t="s">
        <v>12446</v>
      </c>
      <c r="P2320" t="s">
        <v>20</v>
      </c>
      <c r="Y2320" t="s">
        <v>12447</v>
      </c>
    </row>
    <row r="2321" spans="1:25" x14ac:dyDescent="0.25">
      <c r="A2321" t="str">
        <f>"1308172835"</f>
        <v>1308172835</v>
      </c>
      <c r="B2321" t="s">
        <v>96</v>
      </c>
      <c r="C2321" t="s">
        <v>893</v>
      </c>
      <c r="D2321" t="s">
        <v>12448</v>
      </c>
      <c r="E2321">
        <v>424000</v>
      </c>
      <c r="F2321" t="s">
        <v>1</v>
      </c>
      <c r="G2321" t="s">
        <v>2</v>
      </c>
      <c r="H2321" t="s">
        <v>1473</v>
      </c>
      <c r="J2321" t="s">
        <v>12449</v>
      </c>
      <c r="P2321" t="s">
        <v>2315</v>
      </c>
      <c r="Y2321" t="s">
        <v>4067</v>
      </c>
    </row>
    <row r="2322" spans="1:25" x14ac:dyDescent="0.25">
      <c r="A2322" t="str">
        <f>"1308200849"</f>
        <v>1308200849</v>
      </c>
      <c r="B2322" t="s">
        <v>1352</v>
      </c>
      <c r="C2322" t="s">
        <v>1353</v>
      </c>
      <c r="D2322" t="s">
        <v>4725</v>
      </c>
      <c r="E2322">
        <v>424028</v>
      </c>
      <c r="F2322" t="s">
        <v>1</v>
      </c>
      <c r="G2322" t="s">
        <v>2</v>
      </c>
      <c r="H2322" t="s">
        <v>5034</v>
      </c>
      <c r="P2322" t="s">
        <v>941</v>
      </c>
      <c r="Y2322" t="s">
        <v>5036</v>
      </c>
    </row>
    <row r="2323" spans="1:25" x14ac:dyDescent="0.25">
      <c r="A2323" t="str">
        <f>"1308224233"</f>
        <v>1308224233</v>
      </c>
      <c r="B2323" t="s">
        <v>2846</v>
      </c>
      <c r="C2323" t="s">
        <v>12454</v>
      </c>
      <c r="D2323" t="s">
        <v>5304</v>
      </c>
      <c r="F2323" t="s">
        <v>1</v>
      </c>
      <c r="G2323" t="s">
        <v>2</v>
      </c>
      <c r="H2323" t="s">
        <v>12450</v>
      </c>
      <c r="I2323" t="s">
        <v>12451</v>
      </c>
      <c r="L2323" t="s">
        <v>12452</v>
      </c>
      <c r="M2323" t="s">
        <v>12453</v>
      </c>
      <c r="P2323" t="s">
        <v>2050</v>
      </c>
      <c r="Q2323" t="s">
        <v>12455</v>
      </c>
      <c r="R2323" t="s">
        <v>12456</v>
      </c>
      <c r="T2323" t="s">
        <v>12457</v>
      </c>
      <c r="U2323" t="s">
        <v>12458</v>
      </c>
      <c r="V2323" t="s">
        <v>12459</v>
      </c>
      <c r="Y2323" t="s">
        <v>12460</v>
      </c>
    </row>
    <row r="2324" spans="1:25" x14ac:dyDescent="0.25">
      <c r="A2324" t="str">
        <f>"1308256745"</f>
        <v>1308256745</v>
      </c>
      <c r="B2324" t="s">
        <v>430</v>
      </c>
      <c r="C2324" t="s">
        <v>12464</v>
      </c>
      <c r="D2324" t="s">
        <v>12461</v>
      </c>
      <c r="E2324">
        <v>424002</v>
      </c>
      <c r="F2324" t="s">
        <v>1</v>
      </c>
      <c r="G2324" t="s">
        <v>2</v>
      </c>
      <c r="H2324" t="s">
        <v>2193</v>
      </c>
      <c r="I2324" t="s">
        <v>12462</v>
      </c>
      <c r="L2324" t="s">
        <v>12463</v>
      </c>
      <c r="P2324" t="s">
        <v>12465</v>
      </c>
      <c r="Q2324" t="s">
        <v>12466</v>
      </c>
      <c r="Y2324" t="s">
        <v>12467</v>
      </c>
    </row>
    <row r="2325" spans="1:25" x14ac:dyDescent="0.25">
      <c r="A2325" t="str">
        <f>"1308261252"</f>
        <v>1308261252</v>
      </c>
      <c r="B2325" t="s">
        <v>18</v>
      </c>
      <c r="C2325" t="s">
        <v>4522</v>
      </c>
      <c r="D2325" t="s">
        <v>12468</v>
      </c>
      <c r="F2325" t="s">
        <v>1</v>
      </c>
      <c r="G2325" t="s">
        <v>2</v>
      </c>
      <c r="H2325" t="s">
        <v>12469</v>
      </c>
      <c r="I2325" t="s">
        <v>12470</v>
      </c>
      <c r="J2325" t="s">
        <v>12471</v>
      </c>
      <c r="P2325" t="s">
        <v>1035</v>
      </c>
      <c r="Y2325" t="s">
        <v>12472</v>
      </c>
    </row>
    <row r="2326" spans="1:25" x14ac:dyDescent="0.25">
      <c r="A2326" t="str">
        <f>"1308295295"</f>
        <v>1308295295</v>
      </c>
      <c r="B2326" t="s">
        <v>3573</v>
      </c>
      <c r="C2326" t="s">
        <v>5816</v>
      </c>
      <c r="D2326" t="s">
        <v>12473</v>
      </c>
      <c r="E2326">
        <v>424038</v>
      </c>
      <c r="F2326" t="s">
        <v>1</v>
      </c>
      <c r="G2326" t="s">
        <v>2</v>
      </c>
      <c r="H2326" t="s">
        <v>10772</v>
      </c>
      <c r="P2326" t="s">
        <v>27</v>
      </c>
      <c r="Y2326" t="s">
        <v>10776</v>
      </c>
    </row>
    <row r="2327" spans="1:25" x14ac:dyDescent="0.25">
      <c r="A2327" t="str">
        <f>"1308333626"</f>
        <v>1308333626</v>
      </c>
      <c r="B2327" t="s">
        <v>18</v>
      </c>
      <c r="C2327" t="s">
        <v>5273</v>
      </c>
      <c r="D2327" t="s">
        <v>12474</v>
      </c>
      <c r="E2327">
        <v>424007</v>
      </c>
      <c r="F2327" t="s">
        <v>1</v>
      </c>
      <c r="G2327" t="s">
        <v>2</v>
      </c>
      <c r="H2327" t="s">
        <v>220</v>
      </c>
      <c r="L2327" t="s">
        <v>12475</v>
      </c>
      <c r="P2327" t="s">
        <v>5575</v>
      </c>
      <c r="Q2327" t="s">
        <v>12476</v>
      </c>
      <c r="Y2327" t="s">
        <v>227</v>
      </c>
    </row>
    <row r="2328" spans="1:25" x14ac:dyDescent="0.25">
      <c r="A2328" t="str">
        <f>"1308357009"</f>
        <v>1308357009</v>
      </c>
      <c r="B2328" t="s">
        <v>469</v>
      </c>
      <c r="C2328" t="s">
        <v>12479</v>
      </c>
      <c r="D2328" t="s">
        <v>12477</v>
      </c>
      <c r="E2328">
        <v>424031</v>
      </c>
      <c r="F2328" t="s">
        <v>1</v>
      </c>
      <c r="G2328" t="s">
        <v>2</v>
      </c>
      <c r="H2328" t="s">
        <v>8059</v>
      </c>
      <c r="I2328" t="s">
        <v>12478</v>
      </c>
      <c r="Y2328" t="s">
        <v>8061</v>
      </c>
    </row>
    <row r="2329" spans="1:25" x14ac:dyDescent="0.25">
      <c r="A2329" t="str">
        <f>"1308384114"</f>
        <v>1308384114</v>
      </c>
      <c r="B2329" t="s">
        <v>930</v>
      </c>
      <c r="C2329" t="s">
        <v>12482</v>
      </c>
      <c r="D2329" t="s">
        <v>12480</v>
      </c>
      <c r="E2329">
        <v>424020</v>
      </c>
      <c r="F2329" t="s">
        <v>1</v>
      </c>
      <c r="G2329" t="s">
        <v>2</v>
      </c>
      <c r="H2329" t="s">
        <v>1837</v>
      </c>
      <c r="J2329" t="s">
        <v>12481</v>
      </c>
      <c r="P2329" t="s">
        <v>12483</v>
      </c>
      <c r="Q2329" t="s">
        <v>12484</v>
      </c>
      <c r="V2329" t="s">
        <v>12485</v>
      </c>
      <c r="Y2329" t="s">
        <v>1842</v>
      </c>
    </row>
    <row r="2330" spans="1:25" x14ac:dyDescent="0.25">
      <c r="A2330" t="str">
        <f>"1308388579"</f>
        <v>1308388579</v>
      </c>
      <c r="B2330" t="s">
        <v>591</v>
      </c>
      <c r="C2330" t="s">
        <v>7217</v>
      </c>
      <c r="D2330" t="s">
        <v>3710</v>
      </c>
      <c r="E2330">
        <v>424006</v>
      </c>
      <c r="F2330" t="s">
        <v>1</v>
      </c>
      <c r="G2330" t="s">
        <v>2</v>
      </c>
      <c r="H2330" t="s">
        <v>2012</v>
      </c>
      <c r="I2330" t="s">
        <v>12486</v>
      </c>
      <c r="J2330" t="s">
        <v>12487</v>
      </c>
      <c r="L2330" t="s">
        <v>12488</v>
      </c>
      <c r="M2330" t="s">
        <v>12489</v>
      </c>
      <c r="P2330" t="s">
        <v>869</v>
      </c>
      <c r="Y2330" t="s">
        <v>2016</v>
      </c>
    </row>
    <row r="2331" spans="1:25" x14ac:dyDescent="0.25">
      <c r="A2331" t="str">
        <f>"1308497786"</f>
        <v>1308497786</v>
      </c>
      <c r="B2331" t="s">
        <v>176</v>
      </c>
      <c r="C2331" t="s">
        <v>250</v>
      </c>
      <c r="D2331" t="s">
        <v>12490</v>
      </c>
      <c r="E2331">
        <v>424004</v>
      </c>
      <c r="F2331" t="s">
        <v>1</v>
      </c>
      <c r="G2331" t="s">
        <v>2</v>
      </c>
      <c r="H2331" t="s">
        <v>9044</v>
      </c>
      <c r="I2331" t="s">
        <v>12491</v>
      </c>
      <c r="P2331" t="s">
        <v>2923</v>
      </c>
      <c r="Y2331" t="s">
        <v>12492</v>
      </c>
    </row>
    <row r="2332" spans="1:25" x14ac:dyDescent="0.25">
      <c r="A2332" t="str">
        <f>"1308562698"</f>
        <v>1308562698</v>
      </c>
      <c r="B2332" t="s">
        <v>1053</v>
      </c>
      <c r="C2332" t="s">
        <v>12495</v>
      </c>
      <c r="D2332" t="s">
        <v>12493</v>
      </c>
      <c r="F2332" t="s">
        <v>1</v>
      </c>
      <c r="G2332" t="s">
        <v>2</v>
      </c>
      <c r="H2332" t="s">
        <v>1600</v>
      </c>
      <c r="I2332" t="s">
        <v>12494</v>
      </c>
      <c r="P2332" t="s">
        <v>20</v>
      </c>
      <c r="Y2332" t="s">
        <v>12496</v>
      </c>
    </row>
    <row r="2333" spans="1:25" x14ac:dyDescent="0.25">
      <c r="A2333" t="str">
        <f>"1308633732"</f>
        <v>1308633732</v>
      </c>
      <c r="B2333" t="s">
        <v>703</v>
      </c>
      <c r="C2333" t="s">
        <v>2129</v>
      </c>
      <c r="D2333" t="s">
        <v>5865</v>
      </c>
      <c r="E2333">
        <v>424007</v>
      </c>
      <c r="F2333" t="s">
        <v>1</v>
      </c>
      <c r="G2333" t="s">
        <v>2</v>
      </c>
      <c r="H2333" t="s">
        <v>5647</v>
      </c>
      <c r="I2333" t="s">
        <v>12497</v>
      </c>
      <c r="J2333" t="s">
        <v>12498</v>
      </c>
      <c r="K2333" t="s">
        <v>12499</v>
      </c>
      <c r="P2333" t="s">
        <v>280</v>
      </c>
      <c r="Y2333" t="s">
        <v>12500</v>
      </c>
    </row>
    <row r="2334" spans="1:25" x14ac:dyDescent="0.25">
      <c r="A2334" t="str">
        <f>"1308651988"</f>
        <v>1308651988</v>
      </c>
      <c r="B2334" t="s">
        <v>1053</v>
      </c>
      <c r="C2334" t="s">
        <v>1927</v>
      </c>
      <c r="D2334" t="s">
        <v>12501</v>
      </c>
      <c r="E2334">
        <v>424036</v>
      </c>
      <c r="F2334" t="s">
        <v>1</v>
      </c>
      <c r="G2334" t="s">
        <v>2</v>
      </c>
      <c r="H2334" t="s">
        <v>8222</v>
      </c>
      <c r="I2334" t="s">
        <v>12502</v>
      </c>
      <c r="K2334" t="s">
        <v>12503</v>
      </c>
      <c r="P2334" t="s">
        <v>12504</v>
      </c>
      <c r="Y2334" t="s">
        <v>12505</v>
      </c>
    </row>
    <row r="2335" spans="1:25" x14ac:dyDescent="0.25">
      <c r="A2335" t="str">
        <f>"1308741753"</f>
        <v>1308741753</v>
      </c>
      <c r="B2335" t="s">
        <v>553</v>
      </c>
      <c r="C2335" t="s">
        <v>12509</v>
      </c>
      <c r="D2335" t="s">
        <v>12506</v>
      </c>
      <c r="E2335">
        <v>424000</v>
      </c>
      <c r="F2335" t="s">
        <v>1</v>
      </c>
      <c r="G2335" t="s">
        <v>2</v>
      </c>
      <c r="H2335" t="s">
        <v>12507</v>
      </c>
      <c r="J2335" t="s">
        <v>12508</v>
      </c>
      <c r="P2335" t="s">
        <v>12510</v>
      </c>
      <c r="Y2335" t="s">
        <v>12511</v>
      </c>
    </row>
    <row r="2336" spans="1:25" x14ac:dyDescent="0.25">
      <c r="A2336" t="str">
        <f>"1308812592"</f>
        <v>1308812592</v>
      </c>
      <c r="B2336" t="s">
        <v>1053</v>
      </c>
      <c r="C2336" t="s">
        <v>12514</v>
      </c>
      <c r="D2336" t="s">
        <v>12512</v>
      </c>
      <c r="E2336">
        <v>424002</v>
      </c>
      <c r="F2336" t="s">
        <v>1</v>
      </c>
      <c r="G2336" t="s">
        <v>2</v>
      </c>
      <c r="H2336" t="s">
        <v>662</v>
      </c>
      <c r="I2336" t="s">
        <v>12513</v>
      </c>
      <c r="P2336" t="s">
        <v>27</v>
      </c>
      <c r="Y2336" t="s">
        <v>11231</v>
      </c>
    </row>
    <row r="2337" spans="1:25" x14ac:dyDescent="0.25">
      <c r="A2337" t="str">
        <f>"1308828414"</f>
        <v>1308828414</v>
      </c>
      <c r="B2337" t="s">
        <v>482</v>
      </c>
      <c r="C2337" t="s">
        <v>6009</v>
      </c>
      <c r="D2337" t="s">
        <v>12515</v>
      </c>
      <c r="E2337">
        <v>424033</v>
      </c>
      <c r="F2337" t="s">
        <v>1</v>
      </c>
      <c r="G2337" t="s">
        <v>2</v>
      </c>
      <c r="H2337" t="s">
        <v>6126</v>
      </c>
      <c r="I2337" t="s">
        <v>12516</v>
      </c>
      <c r="L2337" t="s">
        <v>12517</v>
      </c>
      <c r="M2337" t="s">
        <v>12518</v>
      </c>
      <c r="P2337" t="s">
        <v>9</v>
      </c>
      <c r="Q2337" t="s">
        <v>12519</v>
      </c>
      <c r="Y2337" t="s">
        <v>12520</v>
      </c>
    </row>
    <row r="2338" spans="1:25" x14ac:dyDescent="0.25">
      <c r="A2338" t="str">
        <f>"1308876940"</f>
        <v>1308876940</v>
      </c>
      <c r="B2338" t="s">
        <v>530</v>
      </c>
      <c r="C2338" t="s">
        <v>12525</v>
      </c>
      <c r="D2338" t="s">
        <v>12521</v>
      </c>
      <c r="E2338">
        <v>424016</v>
      </c>
      <c r="F2338" t="s">
        <v>1</v>
      </c>
      <c r="G2338" t="s">
        <v>2</v>
      </c>
      <c r="H2338" t="s">
        <v>5202</v>
      </c>
      <c r="I2338" t="s">
        <v>12522</v>
      </c>
      <c r="J2338" t="s">
        <v>12523</v>
      </c>
      <c r="L2338" t="s">
        <v>12524</v>
      </c>
      <c r="P2338" t="s">
        <v>390</v>
      </c>
      <c r="Y2338" t="s">
        <v>5210</v>
      </c>
    </row>
    <row r="2339" spans="1:25" x14ac:dyDescent="0.25">
      <c r="A2339" t="str">
        <f>"1308887517"</f>
        <v>1308887517</v>
      </c>
      <c r="B2339" t="s">
        <v>25</v>
      </c>
      <c r="C2339" t="s">
        <v>11919</v>
      </c>
      <c r="D2339" t="s">
        <v>12526</v>
      </c>
      <c r="E2339">
        <v>424004</v>
      </c>
      <c r="F2339" t="s">
        <v>1</v>
      </c>
      <c r="G2339" t="s">
        <v>2</v>
      </c>
      <c r="H2339" t="s">
        <v>3489</v>
      </c>
      <c r="I2339" t="s">
        <v>12527</v>
      </c>
      <c r="P2339" t="s">
        <v>27</v>
      </c>
      <c r="Y2339" t="s">
        <v>8402</v>
      </c>
    </row>
    <row r="2340" spans="1:25" x14ac:dyDescent="0.25">
      <c r="A2340" t="str">
        <f>"1309005952"</f>
        <v>1309005952</v>
      </c>
      <c r="B2340" t="s">
        <v>80</v>
      </c>
      <c r="C2340" t="s">
        <v>12533</v>
      </c>
      <c r="D2340" t="s">
        <v>12528</v>
      </c>
      <c r="E2340">
        <v>424008</v>
      </c>
      <c r="F2340" t="s">
        <v>1</v>
      </c>
      <c r="G2340" t="s">
        <v>2</v>
      </c>
      <c r="H2340" t="s">
        <v>12529</v>
      </c>
      <c r="J2340" t="s">
        <v>12530</v>
      </c>
      <c r="L2340" t="s">
        <v>12531</v>
      </c>
      <c r="M2340" t="s">
        <v>12532</v>
      </c>
      <c r="P2340" t="s">
        <v>280</v>
      </c>
      <c r="Q2340" t="s">
        <v>12534</v>
      </c>
      <c r="Y2340" t="s">
        <v>12535</v>
      </c>
    </row>
    <row r="2341" spans="1:25" x14ac:dyDescent="0.25">
      <c r="A2341" t="str">
        <f>"1309286117"</f>
        <v>1309286117</v>
      </c>
      <c r="B2341" t="s">
        <v>8011</v>
      </c>
      <c r="C2341" t="s">
        <v>12538</v>
      </c>
      <c r="D2341" t="s">
        <v>12536</v>
      </c>
      <c r="E2341">
        <v>424020</v>
      </c>
      <c r="F2341" t="s">
        <v>1</v>
      </c>
      <c r="G2341" t="s">
        <v>2</v>
      </c>
      <c r="H2341" t="s">
        <v>23</v>
      </c>
      <c r="J2341" t="s">
        <v>12537</v>
      </c>
      <c r="P2341" t="s">
        <v>2050</v>
      </c>
      <c r="Y2341" t="s">
        <v>6162</v>
      </c>
    </row>
    <row r="2342" spans="1:25" x14ac:dyDescent="0.25">
      <c r="A2342" t="str">
        <f>"1309565136"</f>
        <v>1309565136</v>
      </c>
      <c r="B2342" t="s">
        <v>462</v>
      </c>
      <c r="C2342" t="s">
        <v>12544</v>
      </c>
      <c r="D2342" t="s">
        <v>12539</v>
      </c>
      <c r="E2342">
        <v>424002</v>
      </c>
      <c r="F2342" t="s">
        <v>1</v>
      </c>
      <c r="G2342" t="s">
        <v>2</v>
      </c>
      <c r="H2342" t="s">
        <v>12540</v>
      </c>
      <c r="I2342" t="s">
        <v>12541</v>
      </c>
      <c r="L2342" t="s">
        <v>12542</v>
      </c>
      <c r="M2342" t="s">
        <v>12543</v>
      </c>
      <c r="P2342" t="s">
        <v>20</v>
      </c>
      <c r="Y2342" t="s">
        <v>12545</v>
      </c>
    </row>
    <row r="2343" spans="1:25" x14ac:dyDescent="0.25">
      <c r="A2343" t="str">
        <f>"1309580044"</f>
        <v>1309580044</v>
      </c>
      <c r="B2343" t="s">
        <v>1053</v>
      </c>
      <c r="C2343" t="s">
        <v>1927</v>
      </c>
      <c r="D2343" t="s">
        <v>5865</v>
      </c>
      <c r="E2343">
        <v>424003</v>
      </c>
      <c r="F2343" t="s">
        <v>1</v>
      </c>
      <c r="G2343" t="s">
        <v>2</v>
      </c>
      <c r="H2343" t="s">
        <v>2931</v>
      </c>
      <c r="I2343" t="s">
        <v>12546</v>
      </c>
      <c r="P2343" t="s">
        <v>20</v>
      </c>
      <c r="Y2343" t="s">
        <v>4271</v>
      </c>
    </row>
    <row r="2344" spans="1:25" x14ac:dyDescent="0.25">
      <c r="A2344" t="str">
        <f>"1309587943"</f>
        <v>1309587943</v>
      </c>
      <c r="B2344" t="s">
        <v>18</v>
      </c>
      <c r="C2344" t="s">
        <v>4522</v>
      </c>
      <c r="D2344" t="s">
        <v>12547</v>
      </c>
      <c r="F2344" t="s">
        <v>1</v>
      </c>
      <c r="G2344" t="s">
        <v>2</v>
      </c>
      <c r="H2344" t="s">
        <v>2628</v>
      </c>
      <c r="I2344" t="s">
        <v>12548</v>
      </c>
      <c r="J2344" t="s">
        <v>12549</v>
      </c>
      <c r="L2344" t="s">
        <v>12550</v>
      </c>
      <c r="M2344" t="s">
        <v>12551</v>
      </c>
      <c r="P2344" t="s">
        <v>27</v>
      </c>
      <c r="Y2344" t="s">
        <v>12552</v>
      </c>
    </row>
    <row r="2345" spans="1:25" x14ac:dyDescent="0.25">
      <c r="A2345" t="str">
        <f>"1309633569"</f>
        <v>1309633569</v>
      </c>
      <c r="B2345" t="s">
        <v>1475</v>
      </c>
      <c r="C2345" t="s">
        <v>4005</v>
      </c>
      <c r="D2345" t="s">
        <v>12553</v>
      </c>
      <c r="E2345">
        <v>424036</v>
      </c>
      <c r="F2345" t="s">
        <v>1</v>
      </c>
      <c r="G2345" t="s">
        <v>2</v>
      </c>
      <c r="H2345" t="s">
        <v>12554</v>
      </c>
      <c r="I2345" t="s">
        <v>12555</v>
      </c>
      <c r="L2345" t="s">
        <v>12556</v>
      </c>
      <c r="M2345" t="s">
        <v>12557</v>
      </c>
      <c r="P2345" t="s">
        <v>60</v>
      </c>
      <c r="Q2345" t="s">
        <v>12558</v>
      </c>
      <c r="T2345" t="s">
        <v>12559</v>
      </c>
      <c r="Y2345" t="s">
        <v>12560</v>
      </c>
    </row>
    <row r="2346" spans="1:25" x14ac:dyDescent="0.25">
      <c r="A2346" t="str">
        <f>"1309693571"</f>
        <v>1309693571</v>
      </c>
      <c r="B2346" t="s">
        <v>32</v>
      </c>
      <c r="C2346" t="s">
        <v>182</v>
      </c>
      <c r="D2346" t="s">
        <v>12561</v>
      </c>
      <c r="E2346">
        <v>424030</v>
      </c>
      <c r="F2346" t="s">
        <v>1</v>
      </c>
      <c r="G2346" t="s">
        <v>2</v>
      </c>
      <c r="H2346" t="s">
        <v>12562</v>
      </c>
      <c r="I2346" t="s">
        <v>12563</v>
      </c>
      <c r="J2346" t="s">
        <v>12564</v>
      </c>
      <c r="P2346" t="s">
        <v>1404</v>
      </c>
      <c r="Y2346" t="s">
        <v>12565</v>
      </c>
    </row>
    <row r="2347" spans="1:25" x14ac:dyDescent="0.25">
      <c r="A2347" t="str">
        <f>"1309719565"</f>
        <v>1309719565</v>
      </c>
      <c r="B2347" t="s">
        <v>32</v>
      </c>
      <c r="C2347" t="s">
        <v>5809</v>
      </c>
      <c r="D2347" t="s">
        <v>12566</v>
      </c>
      <c r="E2347">
        <v>424002</v>
      </c>
      <c r="F2347" t="s">
        <v>1</v>
      </c>
      <c r="G2347" t="s">
        <v>2</v>
      </c>
      <c r="H2347" t="s">
        <v>12567</v>
      </c>
      <c r="J2347" t="s">
        <v>12568</v>
      </c>
      <c r="M2347" t="s">
        <v>12569</v>
      </c>
      <c r="P2347" t="s">
        <v>12570</v>
      </c>
      <c r="Q2347" t="s">
        <v>12571</v>
      </c>
      <c r="V2347" t="s">
        <v>12572</v>
      </c>
      <c r="Y2347" t="s">
        <v>12573</v>
      </c>
    </row>
    <row r="2348" spans="1:25" x14ac:dyDescent="0.25">
      <c r="A2348" t="str">
        <f>"1309729506"</f>
        <v>1309729506</v>
      </c>
      <c r="B2348" t="s">
        <v>160</v>
      </c>
      <c r="C2348" t="s">
        <v>9976</v>
      </c>
      <c r="D2348" t="s">
        <v>12574</v>
      </c>
      <c r="E2348">
        <v>424036</v>
      </c>
      <c r="F2348" t="s">
        <v>1</v>
      </c>
      <c r="G2348" t="s">
        <v>2</v>
      </c>
      <c r="H2348" t="s">
        <v>12575</v>
      </c>
      <c r="I2348" t="s">
        <v>12576</v>
      </c>
      <c r="J2348" t="s">
        <v>12577</v>
      </c>
      <c r="P2348" t="s">
        <v>20</v>
      </c>
      <c r="Y2348" t="s">
        <v>12578</v>
      </c>
    </row>
    <row r="2349" spans="1:25" x14ac:dyDescent="0.25">
      <c r="A2349" t="str">
        <f>"1309746763"</f>
        <v>1309746763</v>
      </c>
      <c r="B2349" t="s">
        <v>334</v>
      </c>
      <c r="C2349" t="s">
        <v>2551</v>
      </c>
      <c r="D2349" t="s">
        <v>12579</v>
      </c>
      <c r="E2349">
        <v>424038</v>
      </c>
      <c r="F2349" t="s">
        <v>1</v>
      </c>
      <c r="G2349" t="s">
        <v>2</v>
      </c>
      <c r="H2349" t="s">
        <v>12580</v>
      </c>
      <c r="I2349" t="s">
        <v>12581</v>
      </c>
      <c r="L2349" t="s">
        <v>12582</v>
      </c>
      <c r="M2349" t="s">
        <v>12583</v>
      </c>
      <c r="P2349" t="s">
        <v>27</v>
      </c>
      <c r="Q2349" t="s">
        <v>12584</v>
      </c>
      <c r="T2349" t="s">
        <v>12585</v>
      </c>
      <c r="Y2349" t="s">
        <v>12586</v>
      </c>
    </row>
    <row r="2350" spans="1:25" x14ac:dyDescent="0.25">
      <c r="A2350" t="str">
        <f>"1309766548"</f>
        <v>1309766548</v>
      </c>
      <c r="B2350" t="s">
        <v>1152</v>
      </c>
      <c r="C2350" t="s">
        <v>8523</v>
      </c>
      <c r="D2350" t="s">
        <v>12587</v>
      </c>
      <c r="E2350">
        <v>424038</v>
      </c>
      <c r="F2350" t="s">
        <v>1</v>
      </c>
      <c r="G2350" t="s">
        <v>2</v>
      </c>
      <c r="H2350" t="s">
        <v>10156</v>
      </c>
      <c r="I2350" t="s">
        <v>12588</v>
      </c>
      <c r="J2350" t="s">
        <v>12589</v>
      </c>
      <c r="P2350" t="s">
        <v>419</v>
      </c>
      <c r="Y2350" t="s">
        <v>10158</v>
      </c>
    </row>
    <row r="2351" spans="1:25" x14ac:dyDescent="0.25">
      <c r="A2351" t="str">
        <f>"1309808680"</f>
        <v>1309808680</v>
      </c>
      <c r="B2351" t="s">
        <v>624</v>
      </c>
      <c r="C2351" t="s">
        <v>1637</v>
      </c>
      <c r="D2351" t="s">
        <v>12590</v>
      </c>
      <c r="E2351">
        <v>424016</v>
      </c>
      <c r="F2351" t="s">
        <v>1</v>
      </c>
      <c r="G2351" t="s">
        <v>2</v>
      </c>
      <c r="H2351" t="s">
        <v>673</v>
      </c>
      <c r="I2351" t="s">
        <v>12591</v>
      </c>
      <c r="P2351" t="s">
        <v>12592</v>
      </c>
      <c r="Y2351" t="s">
        <v>12593</v>
      </c>
    </row>
    <row r="2352" spans="1:25" x14ac:dyDescent="0.25">
      <c r="A2352" t="str">
        <f>"1309821665"</f>
        <v>1309821665</v>
      </c>
      <c r="B2352" t="s">
        <v>352</v>
      </c>
      <c r="C2352" t="s">
        <v>12596</v>
      </c>
      <c r="D2352" t="s">
        <v>12594</v>
      </c>
      <c r="E2352">
        <v>424031</v>
      </c>
      <c r="F2352" t="s">
        <v>1</v>
      </c>
      <c r="G2352" t="s">
        <v>2</v>
      </c>
      <c r="H2352" t="s">
        <v>239</v>
      </c>
      <c r="I2352" t="s">
        <v>12595</v>
      </c>
      <c r="P2352" t="s">
        <v>27</v>
      </c>
      <c r="Y2352" t="s">
        <v>246</v>
      </c>
    </row>
    <row r="2353" spans="1:25" x14ac:dyDescent="0.25">
      <c r="A2353" t="str">
        <f>"1309880996"</f>
        <v>1309880996</v>
      </c>
      <c r="B2353" t="s">
        <v>1053</v>
      </c>
      <c r="C2353" t="s">
        <v>11751</v>
      </c>
      <c r="D2353" t="s">
        <v>5075</v>
      </c>
      <c r="E2353">
        <v>424007</v>
      </c>
      <c r="F2353" t="s">
        <v>1</v>
      </c>
      <c r="G2353" t="s">
        <v>2</v>
      </c>
      <c r="H2353" t="s">
        <v>819</v>
      </c>
      <c r="I2353" t="s">
        <v>12597</v>
      </c>
      <c r="K2353" t="s">
        <v>12598</v>
      </c>
      <c r="P2353" t="s">
        <v>20</v>
      </c>
      <c r="Y2353" t="s">
        <v>12599</v>
      </c>
    </row>
    <row r="2354" spans="1:25" x14ac:dyDescent="0.25">
      <c r="A2354" t="str">
        <f>"1309992499"</f>
        <v>1309992499</v>
      </c>
      <c r="B2354" t="s">
        <v>553</v>
      </c>
      <c r="C2354" t="s">
        <v>12604</v>
      </c>
      <c r="D2354" t="s">
        <v>12600</v>
      </c>
      <c r="E2354">
        <v>424003</v>
      </c>
      <c r="F2354" t="s">
        <v>1</v>
      </c>
      <c r="G2354" t="s">
        <v>2</v>
      </c>
      <c r="H2354" t="s">
        <v>248</v>
      </c>
      <c r="J2354" t="s">
        <v>12601</v>
      </c>
      <c r="L2354" t="s">
        <v>12602</v>
      </c>
      <c r="M2354" t="s">
        <v>12603</v>
      </c>
      <c r="P2354" t="s">
        <v>7221</v>
      </c>
      <c r="Q2354" t="s">
        <v>12605</v>
      </c>
      <c r="Y2354" t="s">
        <v>12606</v>
      </c>
    </row>
    <row r="2355" spans="1:25" x14ac:dyDescent="0.25">
      <c r="A2355" t="str">
        <f>"1310010934"</f>
        <v>1310010934</v>
      </c>
      <c r="B2355" t="s">
        <v>319</v>
      </c>
      <c r="C2355" t="s">
        <v>320</v>
      </c>
      <c r="D2355" t="s">
        <v>12607</v>
      </c>
      <c r="E2355">
        <v>424028</v>
      </c>
      <c r="F2355" t="s">
        <v>1</v>
      </c>
      <c r="G2355" t="s">
        <v>2</v>
      </c>
      <c r="H2355" t="s">
        <v>5034</v>
      </c>
      <c r="P2355" t="s">
        <v>2561</v>
      </c>
      <c r="Y2355" t="s">
        <v>12608</v>
      </c>
    </row>
    <row r="2356" spans="1:25" x14ac:dyDescent="0.25">
      <c r="A2356" t="str">
        <f>"1310090567"</f>
        <v>1310090567</v>
      </c>
      <c r="B2356" t="s">
        <v>930</v>
      </c>
      <c r="C2356" t="s">
        <v>12613</v>
      </c>
      <c r="D2356" t="s">
        <v>12609</v>
      </c>
      <c r="F2356" t="s">
        <v>1</v>
      </c>
      <c r="G2356" t="s">
        <v>2</v>
      </c>
      <c r="H2356" t="s">
        <v>12610</v>
      </c>
      <c r="I2356" t="s">
        <v>12611</v>
      </c>
      <c r="L2356" t="s">
        <v>12612</v>
      </c>
      <c r="P2356" t="s">
        <v>12614</v>
      </c>
      <c r="Q2356" t="s">
        <v>12615</v>
      </c>
      <c r="Y2356" t="s">
        <v>12616</v>
      </c>
    </row>
    <row r="2357" spans="1:25" x14ac:dyDescent="0.25">
      <c r="A2357" t="str">
        <f>"1310208626"</f>
        <v>1310208626</v>
      </c>
      <c r="B2357" t="s">
        <v>160</v>
      </c>
      <c r="C2357" t="s">
        <v>9976</v>
      </c>
      <c r="D2357" t="s">
        <v>12617</v>
      </c>
      <c r="E2357">
        <v>424037</v>
      </c>
      <c r="F2357" t="s">
        <v>1</v>
      </c>
      <c r="G2357" t="s">
        <v>2</v>
      </c>
      <c r="H2357" t="s">
        <v>1849</v>
      </c>
      <c r="J2357" t="s">
        <v>12618</v>
      </c>
      <c r="P2357" t="s">
        <v>12619</v>
      </c>
      <c r="Y2357" t="s">
        <v>12620</v>
      </c>
    </row>
    <row r="2358" spans="1:25" x14ac:dyDescent="0.25">
      <c r="A2358" t="str">
        <f>"1310223880"</f>
        <v>1310223880</v>
      </c>
      <c r="B2358" t="s">
        <v>703</v>
      </c>
      <c r="C2358" t="s">
        <v>2129</v>
      </c>
      <c r="D2358" t="s">
        <v>12621</v>
      </c>
      <c r="E2358">
        <v>424004</v>
      </c>
      <c r="F2358" t="s">
        <v>1</v>
      </c>
      <c r="G2358" t="s">
        <v>2</v>
      </c>
      <c r="H2358" t="s">
        <v>12622</v>
      </c>
      <c r="J2358" t="s">
        <v>12623</v>
      </c>
      <c r="P2358" t="s">
        <v>330</v>
      </c>
      <c r="Y2358" t="s">
        <v>12624</v>
      </c>
    </row>
    <row r="2359" spans="1:25" x14ac:dyDescent="0.25">
      <c r="A2359" t="str">
        <f>"1310253662"</f>
        <v>1310253662</v>
      </c>
      <c r="B2359" t="s">
        <v>160</v>
      </c>
      <c r="C2359" t="s">
        <v>9976</v>
      </c>
      <c r="D2359" t="s">
        <v>12625</v>
      </c>
      <c r="E2359">
        <v>424002</v>
      </c>
      <c r="F2359" t="s">
        <v>1</v>
      </c>
      <c r="G2359" t="s">
        <v>2</v>
      </c>
      <c r="H2359" t="s">
        <v>12626</v>
      </c>
      <c r="P2359" t="s">
        <v>280</v>
      </c>
      <c r="Y2359" t="s">
        <v>12627</v>
      </c>
    </row>
    <row r="2360" spans="1:25" x14ac:dyDescent="0.25">
      <c r="A2360" t="str">
        <f>"1310275782"</f>
        <v>1310275782</v>
      </c>
      <c r="B2360" t="s">
        <v>3094</v>
      </c>
      <c r="C2360" t="s">
        <v>3095</v>
      </c>
      <c r="D2360" t="s">
        <v>12628</v>
      </c>
      <c r="E2360">
        <v>424004</v>
      </c>
      <c r="F2360" t="s">
        <v>1</v>
      </c>
      <c r="G2360" t="s">
        <v>2</v>
      </c>
      <c r="H2360" t="s">
        <v>12629</v>
      </c>
      <c r="I2360" t="s">
        <v>12630</v>
      </c>
      <c r="L2360" t="s">
        <v>12631</v>
      </c>
      <c r="P2360" t="s">
        <v>12632</v>
      </c>
      <c r="Y2360" t="s">
        <v>12633</v>
      </c>
    </row>
    <row r="2361" spans="1:25" x14ac:dyDescent="0.25">
      <c r="A2361" t="str">
        <f>"1310287217"</f>
        <v>1310287217</v>
      </c>
      <c r="B2361" t="s">
        <v>1053</v>
      </c>
      <c r="C2361" t="s">
        <v>1927</v>
      </c>
      <c r="D2361" t="s">
        <v>6102</v>
      </c>
      <c r="E2361">
        <v>424004</v>
      </c>
      <c r="F2361" t="s">
        <v>1</v>
      </c>
      <c r="G2361" t="s">
        <v>2</v>
      </c>
      <c r="H2361" t="s">
        <v>186</v>
      </c>
      <c r="I2361" t="s">
        <v>12634</v>
      </c>
      <c r="J2361" t="s">
        <v>12635</v>
      </c>
      <c r="L2361" t="s">
        <v>12636</v>
      </c>
      <c r="M2361" t="s">
        <v>12637</v>
      </c>
      <c r="P2361" t="s">
        <v>27</v>
      </c>
      <c r="Y2361" t="s">
        <v>190</v>
      </c>
    </row>
    <row r="2362" spans="1:25" x14ac:dyDescent="0.25">
      <c r="A2362" t="str">
        <f>"1310292246"</f>
        <v>1310292246</v>
      </c>
      <c r="B2362" t="s">
        <v>624</v>
      </c>
      <c r="C2362" t="s">
        <v>12643</v>
      </c>
      <c r="D2362" t="s">
        <v>12638</v>
      </c>
      <c r="E2362">
        <v>424028</v>
      </c>
      <c r="F2362" t="s">
        <v>1</v>
      </c>
      <c r="G2362" t="s">
        <v>2</v>
      </c>
      <c r="H2362" t="s">
        <v>12639</v>
      </c>
      <c r="I2362" t="s">
        <v>12640</v>
      </c>
      <c r="L2362" t="s">
        <v>12641</v>
      </c>
      <c r="M2362" t="s">
        <v>12642</v>
      </c>
      <c r="P2362" t="s">
        <v>12644</v>
      </c>
      <c r="Y2362" t="s">
        <v>1264</v>
      </c>
    </row>
    <row r="2363" spans="1:25" x14ac:dyDescent="0.25">
      <c r="A2363" t="str">
        <f>"1310321491"</f>
        <v>1310321491</v>
      </c>
      <c r="B2363" t="s">
        <v>930</v>
      </c>
      <c r="C2363" t="s">
        <v>12649</v>
      </c>
      <c r="D2363" t="s">
        <v>12645</v>
      </c>
      <c r="E2363">
        <v>424037</v>
      </c>
      <c r="F2363" t="s">
        <v>1</v>
      </c>
      <c r="G2363" t="s">
        <v>2</v>
      </c>
      <c r="H2363" t="s">
        <v>12646</v>
      </c>
      <c r="I2363" t="s">
        <v>12647</v>
      </c>
      <c r="J2363" t="s">
        <v>12648</v>
      </c>
      <c r="P2363" t="s">
        <v>5689</v>
      </c>
      <c r="Y2363" t="s">
        <v>12650</v>
      </c>
    </row>
    <row r="2364" spans="1:25" x14ac:dyDescent="0.25">
      <c r="A2364" t="str">
        <f>"1310322317"</f>
        <v>1310322317</v>
      </c>
      <c r="B2364" t="s">
        <v>1552</v>
      </c>
      <c r="C2364" t="s">
        <v>12654</v>
      </c>
      <c r="D2364" t="s">
        <v>12651</v>
      </c>
      <c r="F2364" t="s">
        <v>1</v>
      </c>
      <c r="G2364" t="s">
        <v>2</v>
      </c>
      <c r="H2364" t="s">
        <v>12652</v>
      </c>
      <c r="I2364" t="s">
        <v>12653</v>
      </c>
      <c r="J2364" t="s">
        <v>11286</v>
      </c>
      <c r="L2364" t="s">
        <v>11287</v>
      </c>
      <c r="P2364" t="s">
        <v>330</v>
      </c>
      <c r="Y2364" t="s">
        <v>12655</v>
      </c>
    </row>
    <row r="2365" spans="1:25" x14ac:dyDescent="0.25">
      <c r="A2365" t="str">
        <f>"1310358964"</f>
        <v>1310358964</v>
      </c>
      <c r="B2365" t="s">
        <v>32</v>
      </c>
      <c r="C2365" t="s">
        <v>12657</v>
      </c>
      <c r="D2365" t="s">
        <v>11478</v>
      </c>
      <c r="E2365">
        <v>424002</v>
      </c>
      <c r="F2365" t="s">
        <v>1</v>
      </c>
      <c r="G2365" t="s">
        <v>2</v>
      </c>
      <c r="H2365" t="s">
        <v>5381</v>
      </c>
      <c r="I2365" t="s">
        <v>12656</v>
      </c>
      <c r="P2365" t="s">
        <v>12658</v>
      </c>
      <c r="Y2365" t="s">
        <v>12659</v>
      </c>
    </row>
    <row r="2366" spans="1:25" x14ac:dyDescent="0.25">
      <c r="A2366" t="str">
        <f>"1310452921"</f>
        <v>1310452921</v>
      </c>
      <c r="B2366" t="s">
        <v>388</v>
      </c>
      <c r="C2366" t="s">
        <v>6019</v>
      </c>
      <c r="D2366" t="s">
        <v>12660</v>
      </c>
      <c r="E2366">
        <v>424019</v>
      </c>
      <c r="F2366" t="s">
        <v>1</v>
      </c>
      <c r="G2366" t="s">
        <v>2</v>
      </c>
      <c r="H2366" t="s">
        <v>8998</v>
      </c>
      <c r="I2366" t="s">
        <v>12661</v>
      </c>
      <c r="P2366" t="s">
        <v>20</v>
      </c>
      <c r="Y2366" t="s">
        <v>12662</v>
      </c>
    </row>
    <row r="2367" spans="1:25" x14ac:dyDescent="0.25">
      <c r="A2367" t="str">
        <f>"1310493676"</f>
        <v>1310493676</v>
      </c>
      <c r="B2367" t="s">
        <v>290</v>
      </c>
      <c r="C2367" t="s">
        <v>290</v>
      </c>
      <c r="D2367" t="s">
        <v>12663</v>
      </c>
      <c r="E2367">
        <v>424000</v>
      </c>
      <c r="F2367" t="s">
        <v>1</v>
      </c>
      <c r="G2367" t="s">
        <v>2</v>
      </c>
      <c r="H2367" t="s">
        <v>4255</v>
      </c>
      <c r="P2367" t="s">
        <v>2738</v>
      </c>
      <c r="Y2367" t="s">
        <v>4256</v>
      </c>
    </row>
    <row r="2368" spans="1:25" x14ac:dyDescent="0.25">
      <c r="A2368" t="str">
        <f>"1310622586"</f>
        <v>1310622586</v>
      </c>
      <c r="B2368" t="s">
        <v>1152</v>
      </c>
      <c r="C2368" t="s">
        <v>1152</v>
      </c>
      <c r="D2368" t="s">
        <v>12664</v>
      </c>
      <c r="E2368">
        <v>424007</v>
      </c>
      <c r="F2368" t="s">
        <v>1</v>
      </c>
      <c r="G2368" t="s">
        <v>2</v>
      </c>
      <c r="H2368" t="s">
        <v>12665</v>
      </c>
      <c r="J2368" t="s">
        <v>12666</v>
      </c>
      <c r="P2368" t="s">
        <v>12667</v>
      </c>
      <c r="Y2368" t="s">
        <v>12668</v>
      </c>
    </row>
    <row r="2369" spans="1:25" x14ac:dyDescent="0.25">
      <c r="A2369" t="str">
        <f>"1310833706"</f>
        <v>1310833706</v>
      </c>
      <c r="B2369" t="s">
        <v>18</v>
      </c>
      <c r="C2369" t="s">
        <v>12671</v>
      </c>
      <c r="D2369" t="s">
        <v>12669</v>
      </c>
      <c r="E2369">
        <v>424037</v>
      </c>
      <c r="F2369" t="s">
        <v>1</v>
      </c>
      <c r="G2369" t="s">
        <v>2</v>
      </c>
      <c r="H2369" t="s">
        <v>2781</v>
      </c>
      <c r="I2369" t="s">
        <v>12670</v>
      </c>
      <c r="P2369" t="s">
        <v>1107</v>
      </c>
      <c r="Y2369" t="s">
        <v>12672</v>
      </c>
    </row>
    <row r="2370" spans="1:25" x14ac:dyDescent="0.25">
      <c r="A2370" t="str">
        <f>"1310911040"</f>
        <v>1310911040</v>
      </c>
      <c r="B2370" t="s">
        <v>110</v>
      </c>
      <c r="C2370" t="s">
        <v>12676</v>
      </c>
      <c r="D2370" t="s">
        <v>12673</v>
      </c>
      <c r="E2370">
        <v>424003</v>
      </c>
      <c r="F2370" t="s">
        <v>1</v>
      </c>
      <c r="G2370" t="s">
        <v>2</v>
      </c>
      <c r="H2370" t="s">
        <v>12674</v>
      </c>
      <c r="I2370" t="s">
        <v>12675</v>
      </c>
      <c r="P2370" t="s">
        <v>12677</v>
      </c>
      <c r="Y2370" t="s">
        <v>12678</v>
      </c>
    </row>
    <row r="2371" spans="1:25" x14ac:dyDescent="0.25">
      <c r="A2371" t="str">
        <f>"1311010952"</f>
        <v>1311010952</v>
      </c>
      <c r="B2371" t="s">
        <v>624</v>
      </c>
      <c r="C2371" t="s">
        <v>1637</v>
      </c>
      <c r="D2371" t="s">
        <v>9540</v>
      </c>
      <c r="E2371">
        <v>424005</v>
      </c>
      <c r="F2371" t="s">
        <v>1</v>
      </c>
      <c r="G2371" t="s">
        <v>2</v>
      </c>
      <c r="H2371" t="s">
        <v>1310</v>
      </c>
      <c r="I2371" t="s">
        <v>12679</v>
      </c>
      <c r="P2371" t="s">
        <v>20</v>
      </c>
      <c r="Y2371" t="s">
        <v>3926</v>
      </c>
    </row>
    <row r="2372" spans="1:25" x14ac:dyDescent="0.25">
      <c r="A2372" t="str">
        <f>"1311276295"</f>
        <v>1311276295</v>
      </c>
      <c r="B2372" t="s">
        <v>1475</v>
      </c>
      <c r="C2372" t="s">
        <v>1476</v>
      </c>
      <c r="D2372" t="s">
        <v>12680</v>
      </c>
      <c r="E2372">
        <v>424000</v>
      </c>
      <c r="F2372" t="s">
        <v>1</v>
      </c>
      <c r="G2372" t="s">
        <v>2</v>
      </c>
      <c r="H2372" t="s">
        <v>9927</v>
      </c>
      <c r="I2372" t="s">
        <v>12681</v>
      </c>
      <c r="P2372" t="s">
        <v>133</v>
      </c>
      <c r="Y2372" t="s">
        <v>12682</v>
      </c>
    </row>
    <row r="2373" spans="1:25" x14ac:dyDescent="0.25">
      <c r="A2373" t="str">
        <f>"1311359964"</f>
        <v>1311359964</v>
      </c>
      <c r="B2373" t="s">
        <v>417</v>
      </c>
      <c r="C2373" t="s">
        <v>6532</v>
      </c>
      <c r="D2373" t="s">
        <v>12683</v>
      </c>
      <c r="F2373" t="s">
        <v>1</v>
      </c>
      <c r="G2373" t="s">
        <v>2</v>
      </c>
      <c r="H2373" t="s">
        <v>5721</v>
      </c>
      <c r="I2373" t="s">
        <v>12684</v>
      </c>
      <c r="L2373" t="s">
        <v>12685</v>
      </c>
      <c r="M2373" t="s">
        <v>12686</v>
      </c>
      <c r="P2373" t="s">
        <v>12687</v>
      </c>
      <c r="Y2373" t="s">
        <v>12688</v>
      </c>
    </row>
    <row r="2374" spans="1:25" x14ac:dyDescent="0.25">
      <c r="A2374" t="str">
        <f>"1311374417"</f>
        <v>1311374417</v>
      </c>
      <c r="B2374" t="s">
        <v>1152</v>
      </c>
      <c r="C2374" t="s">
        <v>12693</v>
      </c>
      <c r="D2374" t="s">
        <v>12689</v>
      </c>
      <c r="E2374">
        <v>424037</v>
      </c>
      <c r="F2374" t="s">
        <v>1</v>
      </c>
      <c r="G2374" t="s">
        <v>2</v>
      </c>
      <c r="H2374" t="s">
        <v>12690</v>
      </c>
      <c r="J2374" t="s">
        <v>12691</v>
      </c>
      <c r="M2374" t="s">
        <v>12692</v>
      </c>
      <c r="P2374" t="s">
        <v>60</v>
      </c>
      <c r="Q2374" t="s">
        <v>12694</v>
      </c>
      <c r="Y2374" t="s">
        <v>12695</v>
      </c>
    </row>
    <row r="2375" spans="1:25" x14ac:dyDescent="0.25">
      <c r="A2375" t="str">
        <f>"1311408282"</f>
        <v>1311408282</v>
      </c>
      <c r="B2375" t="s">
        <v>12698</v>
      </c>
      <c r="C2375" t="s">
        <v>12699</v>
      </c>
      <c r="D2375" t="s">
        <v>12696</v>
      </c>
      <c r="E2375">
        <v>424002</v>
      </c>
      <c r="F2375" t="s">
        <v>1</v>
      </c>
      <c r="G2375" t="s">
        <v>2</v>
      </c>
      <c r="H2375" t="s">
        <v>296</v>
      </c>
      <c r="I2375" t="s">
        <v>12697</v>
      </c>
      <c r="P2375" t="s">
        <v>20</v>
      </c>
      <c r="Y2375" t="s">
        <v>12700</v>
      </c>
    </row>
    <row r="2376" spans="1:25" x14ac:dyDescent="0.25">
      <c r="A2376" t="str">
        <f>"1311463947"</f>
        <v>1311463947</v>
      </c>
      <c r="B2376" t="s">
        <v>348</v>
      </c>
      <c r="C2376" t="s">
        <v>4366</v>
      </c>
      <c r="D2376" t="s">
        <v>4419</v>
      </c>
      <c r="E2376">
        <v>424030</v>
      </c>
      <c r="F2376" t="s">
        <v>1</v>
      </c>
      <c r="G2376" t="s">
        <v>2</v>
      </c>
      <c r="H2376" t="s">
        <v>2834</v>
      </c>
      <c r="I2376" t="s">
        <v>12701</v>
      </c>
      <c r="L2376" t="s">
        <v>4422</v>
      </c>
      <c r="M2376" t="s">
        <v>12702</v>
      </c>
      <c r="P2376" t="s">
        <v>12703</v>
      </c>
      <c r="Y2376" t="s">
        <v>12704</v>
      </c>
    </row>
    <row r="2377" spans="1:25" x14ac:dyDescent="0.25">
      <c r="A2377" t="str">
        <f>"1311521826"</f>
        <v>1311521826</v>
      </c>
      <c r="B2377" t="s">
        <v>160</v>
      </c>
      <c r="C2377" t="s">
        <v>12708</v>
      </c>
      <c r="D2377" t="s">
        <v>12705</v>
      </c>
      <c r="E2377">
        <v>424038</v>
      </c>
      <c r="F2377" t="s">
        <v>1</v>
      </c>
      <c r="G2377" t="s">
        <v>2</v>
      </c>
      <c r="H2377" t="s">
        <v>546</v>
      </c>
      <c r="I2377" t="s">
        <v>12706</v>
      </c>
      <c r="K2377" t="s">
        <v>12707</v>
      </c>
      <c r="P2377" t="s">
        <v>20</v>
      </c>
      <c r="Y2377" t="s">
        <v>549</v>
      </c>
    </row>
    <row r="2378" spans="1:25" x14ac:dyDescent="0.25">
      <c r="A2378" t="str">
        <f>"1311550789"</f>
        <v>1311550789</v>
      </c>
      <c r="B2378" t="s">
        <v>18</v>
      </c>
      <c r="C2378" t="s">
        <v>12714</v>
      </c>
      <c r="D2378" t="s">
        <v>2648</v>
      </c>
      <c r="F2378" t="s">
        <v>1</v>
      </c>
      <c r="G2378" t="s">
        <v>2</v>
      </c>
      <c r="H2378" t="s">
        <v>12709</v>
      </c>
      <c r="I2378" t="s">
        <v>12710</v>
      </c>
      <c r="J2378" t="s">
        <v>12711</v>
      </c>
      <c r="L2378" t="s">
        <v>12712</v>
      </c>
      <c r="M2378" t="s">
        <v>12713</v>
      </c>
      <c r="P2378" t="s">
        <v>689</v>
      </c>
      <c r="Q2378" t="s">
        <v>12715</v>
      </c>
      <c r="S2378" t="s">
        <v>12716</v>
      </c>
      <c r="T2378" t="s">
        <v>12717</v>
      </c>
      <c r="U2378" t="s">
        <v>12718</v>
      </c>
      <c r="V2378" t="s">
        <v>12719</v>
      </c>
      <c r="Y2378" t="s">
        <v>12720</v>
      </c>
    </row>
    <row r="2379" spans="1:25" x14ac:dyDescent="0.25">
      <c r="A2379" t="str">
        <f>"1311703868"</f>
        <v>1311703868</v>
      </c>
      <c r="B2379" t="s">
        <v>18</v>
      </c>
      <c r="C2379" t="s">
        <v>12724</v>
      </c>
      <c r="D2379" t="s">
        <v>12721</v>
      </c>
      <c r="E2379">
        <v>424032</v>
      </c>
      <c r="F2379" t="s">
        <v>1</v>
      </c>
      <c r="G2379" t="s">
        <v>2</v>
      </c>
      <c r="H2379" t="s">
        <v>2938</v>
      </c>
      <c r="I2379" t="s">
        <v>12722</v>
      </c>
      <c r="J2379" t="s">
        <v>12723</v>
      </c>
      <c r="P2379" t="s">
        <v>20</v>
      </c>
      <c r="Y2379" t="s">
        <v>12725</v>
      </c>
    </row>
    <row r="2380" spans="1:25" x14ac:dyDescent="0.25">
      <c r="A2380" t="str">
        <f>"1311743569"</f>
        <v>1311743569</v>
      </c>
      <c r="B2380" t="s">
        <v>519</v>
      </c>
      <c r="C2380" t="s">
        <v>3954</v>
      </c>
      <c r="D2380" t="s">
        <v>12726</v>
      </c>
      <c r="E2380">
        <v>424002</v>
      </c>
      <c r="F2380" t="s">
        <v>1</v>
      </c>
      <c r="G2380" t="s">
        <v>2</v>
      </c>
      <c r="H2380" t="s">
        <v>1190</v>
      </c>
      <c r="I2380" t="s">
        <v>12727</v>
      </c>
      <c r="M2380" t="s">
        <v>12728</v>
      </c>
      <c r="Y2380" t="s">
        <v>1193</v>
      </c>
    </row>
    <row r="2381" spans="1:25" x14ac:dyDescent="0.25">
      <c r="A2381" t="str">
        <f>"1312028065"</f>
        <v>1312028065</v>
      </c>
      <c r="B2381" t="s">
        <v>67</v>
      </c>
      <c r="C2381" t="s">
        <v>832</v>
      </c>
      <c r="D2381" t="s">
        <v>12729</v>
      </c>
      <c r="E2381">
        <v>424000</v>
      </c>
      <c r="F2381" t="s">
        <v>1</v>
      </c>
      <c r="G2381" t="s">
        <v>2</v>
      </c>
      <c r="H2381" t="s">
        <v>937</v>
      </c>
      <c r="I2381" t="s">
        <v>12730</v>
      </c>
      <c r="L2381" t="s">
        <v>12731</v>
      </c>
      <c r="M2381" t="s">
        <v>12732</v>
      </c>
      <c r="P2381" t="s">
        <v>27</v>
      </c>
      <c r="Y2381" t="s">
        <v>942</v>
      </c>
    </row>
    <row r="2382" spans="1:25" x14ac:dyDescent="0.25">
      <c r="A2382" t="str">
        <f>"1312083241"</f>
        <v>1312083241</v>
      </c>
      <c r="B2382" t="s">
        <v>123</v>
      </c>
      <c r="C2382" t="s">
        <v>731</v>
      </c>
      <c r="D2382" t="s">
        <v>12733</v>
      </c>
      <c r="E2382">
        <v>424019</v>
      </c>
      <c r="F2382" t="s">
        <v>1</v>
      </c>
      <c r="G2382" t="s">
        <v>2</v>
      </c>
      <c r="H2382" t="s">
        <v>12734</v>
      </c>
      <c r="I2382" t="s">
        <v>12735</v>
      </c>
      <c r="L2382" t="s">
        <v>12736</v>
      </c>
      <c r="M2382" t="s">
        <v>12737</v>
      </c>
      <c r="P2382" t="s">
        <v>425</v>
      </c>
      <c r="Y2382" t="s">
        <v>12738</v>
      </c>
    </row>
    <row r="2383" spans="1:25" x14ac:dyDescent="0.25">
      <c r="A2383" t="str">
        <f>"1312095829"</f>
        <v>1312095829</v>
      </c>
      <c r="B2383" t="s">
        <v>888</v>
      </c>
      <c r="C2383" t="s">
        <v>7389</v>
      </c>
      <c r="D2383" t="s">
        <v>12739</v>
      </c>
      <c r="E2383">
        <v>424002</v>
      </c>
      <c r="F2383" t="s">
        <v>1</v>
      </c>
      <c r="G2383" t="s">
        <v>2</v>
      </c>
      <c r="H2383" t="s">
        <v>12740</v>
      </c>
      <c r="I2383" t="s">
        <v>12741</v>
      </c>
      <c r="J2383" t="s">
        <v>12742</v>
      </c>
      <c r="P2383" t="s">
        <v>12743</v>
      </c>
      <c r="Y2383" t="s">
        <v>12744</v>
      </c>
    </row>
    <row r="2384" spans="1:25" x14ac:dyDescent="0.25">
      <c r="A2384" t="str">
        <f>"1312106091"</f>
        <v>1312106091</v>
      </c>
      <c r="B2384" t="s">
        <v>348</v>
      </c>
      <c r="C2384" t="s">
        <v>4366</v>
      </c>
      <c r="D2384" t="s">
        <v>12745</v>
      </c>
      <c r="E2384">
        <v>424039</v>
      </c>
      <c r="F2384" t="s">
        <v>1</v>
      </c>
      <c r="G2384" t="s">
        <v>2</v>
      </c>
      <c r="H2384" t="s">
        <v>8694</v>
      </c>
      <c r="J2384" t="s">
        <v>12746</v>
      </c>
      <c r="P2384" t="s">
        <v>941</v>
      </c>
      <c r="Y2384" t="s">
        <v>12747</v>
      </c>
    </row>
    <row r="2385" spans="1:25" x14ac:dyDescent="0.25">
      <c r="A2385" t="str">
        <f>"1312200588"</f>
        <v>1312200588</v>
      </c>
      <c r="B2385" t="s">
        <v>1053</v>
      </c>
      <c r="C2385" t="s">
        <v>1927</v>
      </c>
      <c r="D2385" t="s">
        <v>12748</v>
      </c>
      <c r="F2385" t="s">
        <v>1</v>
      </c>
      <c r="G2385" t="s">
        <v>2</v>
      </c>
      <c r="H2385" t="s">
        <v>1600</v>
      </c>
      <c r="I2385" t="s">
        <v>12749</v>
      </c>
      <c r="J2385" t="s">
        <v>12750</v>
      </c>
      <c r="P2385" t="s">
        <v>1232</v>
      </c>
      <c r="Y2385" t="s">
        <v>12751</v>
      </c>
    </row>
    <row r="2386" spans="1:25" x14ac:dyDescent="0.25">
      <c r="A2386" t="str">
        <f>"1312288655"</f>
        <v>1312288655</v>
      </c>
      <c r="B2386" t="s">
        <v>930</v>
      </c>
      <c r="C2386" t="s">
        <v>12754</v>
      </c>
      <c r="D2386" t="s">
        <v>12752</v>
      </c>
      <c r="E2386">
        <v>424006</v>
      </c>
      <c r="F2386" t="s">
        <v>1</v>
      </c>
      <c r="G2386" t="s">
        <v>2</v>
      </c>
      <c r="H2386" t="s">
        <v>3104</v>
      </c>
      <c r="I2386" t="s">
        <v>12753</v>
      </c>
      <c r="P2386" t="s">
        <v>330</v>
      </c>
      <c r="Y2386" t="s">
        <v>12755</v>
      </c>
    </row>
    <row r="2387" spans="1:25" x14ac:dyDescent="0.25">
      <c r="A2387" t="str">
        <f>"1312357881"</f>
        <v>1312357881</v>
      </c>
      <c r="B2387" t="s">
        <v>243</v>
      </c>
      <c r="C2387" t="s">
        <v>2538</v>
      </c>
      <c r="D2387" t="s">
        <v>12756</v>
      </c>
      <c r="E2387">
        <v>424000</v>
      </c>
      <c r="F2387" t="s">
        <v>1</v>
      </c>
      <c r="G2387" t="s">
        <v>2</v>
      </c>
      <c r="H2387" t="s">
        <v>265</v>
      </c>
      <c r="I2387" t="s">
        <v>12757</v>
      </c>
      <c r="L2387" t="s">
        <v>12758</v>
      </c>
      <c r="P2387" t="s">
        <v>312</v>
      </c>
      <c r="Q2387" t="s">
        <v>12759</v>
      </c>
      <c r="Y2387" t="s">
        <v>11205</v>
      </c>
    </row>
    <row r="2388" spans="1:25" x14ac:dyDescent="0.25">
      <c r="A2388" t="str">
        <f>"1312362052"</f>
        <v>1312362052</v>
      </c>
      <c r="B2388" t="s">
        <v>290</v>
      </c>
      <c r="C2388" t="s">
        <v>2737</v>
      </c>
      <c r="D2388" t="s">
        <v>12760</v>
      </c>
      <c r="F2388" t="s">
        <v>1</v>
      </c>
      <c r="G2388" t="s">
        <v>2</v>
      </c>
      <c r="H2388" t="s">
        <v>2770</v>
      </c>
      <c r="I2388" t="s">
        <v>12761</v>
      </c>
      <c r="P2388" t="s">
        <v>12762</v>
      </c>
      <c r="Y2388" t="s">
        <v>119</v>
      </c>
    </row>
    <row r="2389" spans="1:25" x14ac:dyDescent="0.25">
      <c r="A2389" t="str">
        <f>"1312374525"</f>
        <v>1312374525</v>
      </c>
      <c r="B2389" t="s">
        <v>18</v>
      </c>
      <c r="C2389" t="s">
        <v>12765</v>
      </c>
      <c r="D2389" t="s">
        <v>12763</v>
      </c>
      <c r="E2389">
        <v>424019</v>
      </c>
      <c r="F2389" t="s">
        <v>1</v>
      </c>
      <c r="G2389" t="s">
        <v>2</v>
      </c>
      <c r="H2389" t="s">
        <v>1467</v>
      </c>
      <c r="I2389" t="s">
        <v>12764</v>
      </c>
      <c r="P2389" t="s">
        <v>630</v>
      </c>
      <c r="Y2389" t="s">
        <v>12766</v>
      </c>
    </row>
    <row r="2390" spans="1:25" x14ac:dyDescent="0.25">
      <c r="A2390" t="str">
        <f>"1312393931"</f>
        <v>1312393931</v>
      </c>
      <c r="B2390" t="s">
        <v>25</v>
      </c>
      <c r="C2390" t="s">
        <v>59</v>
      </c>
      <c r="D2390" t="s">
        <v>12767</v>
      </c>
      <c r="E2390">
        <v>424039</v>
      </c>
      <c r="F2390" t="s">
        <v>1</v>
      </c>
      <c r="G2390" t="s">
        <v>2</v>
      </c>
      <c r="H2390" t="s">
        <v>5827</v>
      </c>
      <c r="J2390" t="s">
        <v>12768</v>
      </c>
      <c r="P2390" t="s">
        <v>5922</v>
      </c>
      <c r="Y2390" t="s">
        <v>12769</v>
      </c>
    </row>
    <row r="2391" spans="1:25" x14ac:dyDescent="0.25">
      <c r="A2391" t="str">
        <f>"1312400783"</f>
        <v>1312400783</v>
      </c>
      <c r="B2391" t="s">
        <v>397</v>
      </c>
      <c r="C2391" t="s">
        <v>12775</v>
      </c>
      <c r="D2391" t="s">
        <v>12770</v>
      </c>
      <c r="E2391">
        <v>424007</v>
      </c>
      <c r="F2391" t="s">
        <v>1</v>
      </c>
      <c r="G2391" t="s">
        <v>2</v>
      </c>
      <c r="H2391" t="s">
        <v>12771</v>
      </c>
      <c r="I2391" t="s">
        <v>12772</v>
      </c>
      <c r="J2391" t="s">
        <v>12773</v>
      </c>
      <c r="M2391" t="s">
        <v>12774</v>
      </c>
      <c r="P2391" t="s">
        <v>20</v>
      </c>
      <c r="T2391" t="s">
        <v>12776</v>
      </c>
      <c r="Y2391" t="s">
        <v>12777</v>
      </c>
    </row>
    <row r="2392" spans="1:25" x14ac:dyDescent="0.25">
      <c r="A2392" t="str">
        <f>"1312424048"</f>
        <v>1312424048</v>
      </c>
      <c r="B2392" t="s">
        <v>243</v>
      </c>
      <c r="C2392" t="s">
        <v>2538</v>
      </c>
      <c r="D2392" t="s">
        <v>12778</v>
      </c>
      <c r="F2392" t="s">
        <v>1</v>
      </c>
      <c r="G2392" t="s">
        <v>2</v>
      </c>
      <c r="H2392" t="s">
        <v>1508</v>
      </c>
      <c r="J2392" t="s">
        <v>12779</v>
      </c>
      <c r="P2392" t="s">
        <v>1160</v>
      </c>
      <c r="Y2392" t="s">
        <v>10196</v>
      </c>
    </row>
    <row r="2393" spans="1:25" x14ac:dyDescent="0.25">
      <c r="A2393" t="str">
        <f>"1312452527"</f>
        <v>1312452527</v>
      </c>
      <c r="B2393" t="s">
        <v>930</v>
      </c>
      <c r="C2393" t="s">
        <v>12783</v>
      </c>
      <c r="D2393" t="s">
        <v>12780</v>
      </c>
      <c r="E2393">
        <v>424004</v>
      </c>
      <c r="F2393" t="s">
        <v>1</v>
      </c>
      <c r="G2393" t="s">
        <v>2</v>
      </c>
      <c r="H2393" t="s">
        <v>12781</v>
      </c>
      <c r="J2393" t="s">
        <v>12782</v>
      </c>
      <c r="P2393" t="s">
        <v>330</v>
      </c>
      <c r="Y2393" t="s">
        <v>12784</v>
      </c>
    </row>
    <row r="2394" spans="1:25" x14ac:dyDescent="0.25">
      <c r="A2394" t="str">
        <f>"1312508656"</f>
        <v>1312508656</v>
      </c>
      <c r="B2394" t="s">
        <v>160</v>
      </c>
      <c r="C2394" t="s">
        <v>9976</v>
      </c>
      <c r="D2394" t="s">
        <v>12785</v>
      </c>
      <c r="E2394">
        <v>424039</v>
      </c>
      <c r="F2394" t="s">
        <v>1</v>
      </c>
      <c r="G2394" t="s">
        <v>2</v>
      </c>
      <c r="H2394" t="s">
        <v>12786</v>
      </c>
      <c r="J2394" t="s">
        <v>12787</v>
      </c>
      <c r="P2394" t="s">
        <v>12788</v>
      </c>
      <c r="Y2394" t="s">
        <v>12789</v>
      </c>
    </row>
    <row r="2395" spans="1:25" x14ac:dyDescent="0.25">
      <c r="A2395" t="str">
        <f>"1312514097"</f>
        <v>1312514097</v>
      </c>
      <c r="B2395" t="s">
        <v>430</v>
      </c>
      <c r="C2395" t="s">
        <v>12792</v>
      </c>
      <c r="D2395" t="s">
        <v>12790</v>
      </c>
      <c r="E2395">
        <v>424032</v>
      </c>
      <c r="F2395" t="s">
        <v>1</v>
      </c>
      <c r="G2395" t="s">
        <v>2</v>
      </c>
      <c r="H2395" t="s">
        <v>7845</v>
      </c>
      <c r="I2395" t="s">
        <v>12791</v>
      </c>
      <c r="P2395" t="s">
        <v>410</v>
      </c>
      <c r="Y2395" t="s">
        <v>7856</v>
      </c>
    </row>
    <row r="2396" spans="1:25" x14ac:dyDescent="0.25">
      <c r="A2396" t="str">
        <f>"1312589797"</f>
        <v>1312589797</v>
      </c>
      <c r="B2396" t="s">
        <v>1493</v>
      </c>
      <c r="C2396" t="s">
        <v>2355</v>
      </c>
      <c r="D2396" t="s">
        <v>12793</v>
      </c>
      <c r="E2396">
        <v>424038</v>
      </c>
      <c r="F2396" t="s">
        <v>1</v>
      </c>
      <c r="G2396" t="s">
        <v>2</v>
      </c>
      <c r="H2396" t="s">
        <v>10156</v>
      </c>
      <c r="J2396" t="s">
        <v>12794</v>
      </c>
      <c r="P2396" t="s">
        <v>27</v>
      </c>
      <c r="Y2396" t="s">
        <v>10158</v>
      </c>
    </row>
    <row r="2397" spans="1:25" x14ac:dyDescent="0.25">
      <c r="A2397" t="str">
        <f>"1312635402"</f>
        <v>1312635402</v>
      </c>
      <c r="B2397" t="s">
        <v>7</v>
      </c>
      <c r="C2397" t="s">
        <v>9893</v>
      </c>
      <c r="D2397" t="s">
        <v>12795</v>
      </c>
      <c r="E2397">
        <v>424918</v>
      </c>
      <c r="F2397" t="s">
        <v>1</v>
      </c>
      <c r="G2397" t="s">
        <v>2</v>
      </c>
      <c r="H2397" t="s">
        <v>629</v>
      </c>
      <c r="I2397" t="s">
        <v>12796</v>
      </c>
      <c r="L2397" t="s">
        <v>12797</v>
      </c>
      <c r="M2397" t="s">
        <v>12798</v>
      </c>
      <c r="P2397" t="s">
        <v>12799</v>
      </c>
      <c r="Y2397" t="s">
        <v>1744</v>
      </c>
    </row>
    <row r="2398" spans="1:25" x14ac:dyDescent="0.25">
      <c r="A2398" t="str">
        <f>"1312648866"</f>
        <v>1312648866</v>
      </c>
      <c r="B2398" t="s">
        <v>151</v>
      </c>
      <c r="C2398" t="s">
        <v>1034</v>
      </c>
      <c r="D2398" t="s">
        <v>12800</v>
      </c>
      <c r="E2398">
        <v>424020</v>
      </c>
      <c r="F2398" t="s">
        <v>1</v>
      </c>
      <c r="G2398" t="s">
        <v>2</v>
      </c>
      <c r="H2398" t="s">
        <v>12801</v>
      </c>
      <c r="I2398" t="s">
        <v>12802</v>
      </c>
      <c r="J2398" t="s">
        <v>12803</v>
      </c>
      <c r="L2398" t="s">
        <v>46</v>
      </c>
      <c r="M2398" t="s">
        <v>12804</v>
      </c>
      <c r="P2398" t="s">
        <v>152</v>
      </c>
      <c r="Y2398" t="s">
        <v>12805</v>
      </c>
    </row>
    <row r="2399" spans="1:25" x14ac:dyDescent="0.25">
      <c r="A2399" t="str">
        <f>"1312797890"</f>
        <v>1312797890</v>
      </c>
      <c r="B2399" t="s">
        <v>160</v>
      </c>
      <c r="C2399" t="s">
        <v>1666</v>
      </c>
      <c r="D2399" t="s">
        <v>12806</v>
      </c>
      <c r="E2399">
        <v>424005</v>
      </c>
      <c r="F2399" t="s">
        <v>1</v>
      </c>
      <c r="G2399" t="s">
        <v>2</v>
      </c>
      <c r="H2399" t="s">
        <v>6843</v>
      </c>
      <c r="J2399" t="s">
        <v>12807</v>
      </c>
      <c r="P2399" t="s">
        <v>5396</v>
      </c>
      <c r="Y2399" t="s">
        <v>6846</v>
      </c>
    </row>
    <row r="2400" spans="1:25" x14ac:dyDescent="0.25">
      <c r="A2400" t="str">
        <f>"1312810976"</f>
        <v>1312810976</v>
      </c>
      <c r="B2400" t="s">
        <v>7</v>
      </c>
      <c r="C2400" t="s">
        <v>12811</v>
      </c>
      <c r="D2400" t="s">
        <v>12808</v>
      </c>
      <c r="F2400" t="s">
        <v>1</v>
      </c>
      <c r="G2400" t="s">
        <v>2</v>
      </c>
      <c r="H2400" t="s">
        <v>3984</v>
      </c>
      <c r="J2400" t="s">
        <v>12809</v>
      </c>
      <c r="L2400" t="s">
        <v>12810</v>
      </c>
      <c r="P2400" t="s">
        <v>5084</v>
      </c>
      <c r="Q2400" t="s">
        <v>12812</v>
      </c>
      <c r="Y2400" t="s">
        <v>4409</v>
      </c>
    </row>
    <row r="2401" spans="1:25" x14ac:dyDescent="0.25">
      <c r="A2401" t="str">
        <f>"1312863812"</f>
        <v>1312863812</v>
      </c>
      <c r="B2401" t="s">
        <v>790</v>
      </c>
      <c r="C2401" t="s">
        <v>2049</v>
      </c>
      <c r="D2401" t="s">
        <v>12813</v>
      </c>
      <c r="E2401">
        <v>424002</v>
      </c>
      <c r="F2401" t="s">
        <v>1</v>
      </c>
      <c r="G2401" t="s">
        <v>2</v>
      </c>
      <c r="H2401" t="s">
        <v>3421</v>
      </c>
      <c r="I2401" t="s">
        <v>12814</v>
      </c>
      <c r="M2401" t="s">
        <v>12815</v>
      </c>
      <c r="P2401" t="s">
        <v>27</v>
      </c>
      <c r="Y2401" t="s">
        <v>12816</v>
      </c>
    </row>
    <row r="2402" spans="1:25" x14ac:dyDescent="0.25">
      <c r="A2402" t="str">
        <f>"1312866766"</f>
        <v>1312866766</v>
      </c>
      <c r="B2402" t="s">
        <v>32</v>
      </c>
      <c r="C2402" t="s">
        <v>777</v>
      </c>
      <c r="D2402" t="s">
        <v>12817</v>
      </c>
      <c r="E2402">
        <v>424020</v>
      </c>
      <c r="F2402" t="s">
        <v>1</v>
      </c>
      <c r="G2402" t="s">
        <v>2</v>
      </c>
      <c r="H2402" t="s">
        <v>4181</v>
      </c>
      <c r="I2402" t="s">
        <v>12818</v>
      </c>
      <c r="P2402" t="s">
        <v>216</v>
      </c>
      <c r="Y2402" t="s">
        <v>12819</v>
      </c>
    </row>
    <row r="2403" spans="1:25" x14ac:dyDescent="0.25">
      <c r="A2403" t="str">
        <f>"1312874104"</f>
        <v>1312874104</v>
      </c>
      <c r="B2403" t="s">
        <v>176</v>
      </c>
      <c r="C2403" t="s">
        <v>12823</v>
      </c>
      <c r="D2403" t="s">
        <v>12820</v>
      </c>
      <c r="E2403">
        <v>424038</v>
      </c>
      <c r="F2403" t="s">
        <v>1</v>
      </c>
      <c r="G2403" t="s">
        <v>2</v>
      </c>
      <c r="H2403" t="s">
        <v>546</v>
      </c>
      <c r="I2403" t="s">
        <v>12821</v>
      </c>
      <c r="J2403" t="s">
        <v>12822</v>
      </c>
      <c r="P2403" t="s">
        <v>12824</v>
      </c>
      <c r="Y2403" t="s">
        <v>549</v>
      </c>
    </row>
    <row r="2404" spans="1:25" x14ac:dyDescent="0.25">
      <c r="A2404" t="str">
        <f>"1312989900"</f>
        <v>1312989900</v>
      </c>
      <c r="B2404" t="s">
        <v>538</v>
      </c>
      <c r="C2404" t="s">
        <v>539</v>
      </c>
      <c r="D2404" t="s">
        <v>12825</v>
      </c>
      <c r="E2404">
        <v>424007</v>
      </c>
      <c r="F2404" t="s">
        <v>1</v>
      </c>
      <c r="G2404" t="s">
        <v>2</v>
      </c>
      <c r="H2404" t="s">
        <v>1319</v>
      </c>
      <c r="I2404" t="s">
        <v>1320</v>
      </c>
      <c r="L2404" t="s">
        <v>12826</v>
      </c>
      <c r="M2404" t="s">
        <v>12827</v>
      </c>
      <c r="P2404" t="s">
        <v>280</v>
      </c>
      <c r="Y2404" t="s">
        <v>12828</v>
      </c>
    </row>
    <row r="2405" spans="1:25" x14ac:dyDescent="0.25">
      <c r="A2405" t="str">
        <f>"1312999854"</f>
        <v>1312999854</v>
      </c>
      <c r="B2405" t="s">
        <v>176</v>
      </c>
      <c r="C2405" t="s">
        <v>2838</v>
      </c>
      <c r="D2405" t="s">
        <v>12829</v>
      </c>
      <c r="E2405">
        <v>424004</v>
      </c>
      <c r="F2405" t="s">
        <v>1</v>
      </c>
      <c r="G2405" t="s">
        <v>2</v>
      </c>
      <c r="H2405" t="s">
        <v>12830</v>
      </c>
      <c r="I2405" t="s">
        <v>12831</v>
      </c>
      <c r="J2405" t="s">
        <v>12832</v>
      </c>
      <c r="Y2405" t="s">
        <v>12833</v>
      </c>
    </row>
    <row r="2406" spans="1:25" x14ac:dyDescent="0.25">
      <c r="A2406" t="str">
        <f>"1313019265"</f>
        <v>1313019265</v>
      </c>
      <c r="B2406" t="s">
        <v>88</v>
      </c>
      <c r="C2406" t="s">
        <v>12837</v>
      </c>
      <c r="D2406" t="s">
        <v>12834</v>
      </c>
      <c r="E2406">
        <v>424002</v>
      </c>
      <c r="F2406" t="s">
        <v>1</v>
      </c>
      <c r="G2406" t="s">
        <v>2</v>
      </c>
      <c r="H2406" t="s">
        <v>5162</v>
      </c>
      <c r="J2406" t="s">
        <v>12835</v>
      </c>
      <c r="L2406" t="s">
        <v>12836</v>
      </c>
      <c r="P2406" t="s">
        <v>941</v>
      </c>
      <c r="Q2406" t="s">
        <v>12838</v>
      </c>
      <c r="Y2406" t="s">
        <v>5931</v>
      </c>
    </row>
    <row r="2407" spans="1:25" x14ac:dyDescent="0.25">
      <c r="A2407" t="str">
        <f>"1313050703"</f>
        <v>1313050703</v>
      </c>
      <c r="B2407" t="s">
        <v>1611</v>
      </c>
      <c r="C2407" t="s">
        <v>2214</v>
      </c>
      <c r="D2407" t="s">
        <v>12839</v>
      </c>
      <c r="E2407">
        <v>424032</v>
      </c>
      <c r="F2407" t="s">
        <v>1</v>
      </c>
      <c r="G2407" t="s">
        <v>2</v>
      </c>
      <c r="H2407" t="s">
        <v>12216</v>
      </c>
      <c r="I2407" t="s">
        <v>12840</v>
      </c>
      <c r="M2407" t="s">
        <v>12841</v>
      </c>
      <c r="P2407" t="s">
        <v>5723</v>
      </c>
      <c r="Y2407" t="s">
        <v>12842</v>
      </c>
    </row>
    <row r="2408" spans="1:25" x14ac:dyDescent="0.25">
      <c r="A2408" t="str">
        <f>"1313099160"</f>
        <v>1313099160</v>
      </c>
      <c r="B2408" t="s">
        <v>290</v>
      </c>
      <c r="C2408" t="s">
        <v>290</v>
      </c>
      <c r="D2408" t="s">
        <v>12843</v>
      </c>
      <c r="E2408">
        <v>424004</v>
      </c>
      <c r="F2408" t="s">
        <v>1</v>
      </c>
      <c r="G2408" t="s">
        <v>2</v>
      </c>
      <c r="H2408" t="s">
        <v>12844</v>
      </c>
      <c r="P2408" t="s">
        <v>12845</v>
      </c>
      <c r="Y2408" t="s">
        <v>12846</v>
      </c>
    </row>
    <row r="2409" spans="1:25" x14ac:dyDescent="0.25">
      <c r="A2409" t="str">
        <f>"1313148484"</f>
        <v>1313148484</v>
      </c>
      <c r="B2409" t="s">
        <v>654</v>
      </c>
      <c r="C2409" t="s">
        <v>12850</v>
      </c>
      <c r="D2409" t="s">
        <v>12847</v>
      </c>
      <c r="F2409" t="s">
        <v>1</v>
      </c>
      <c r="G2409" t="s">
        <v>2</v>
      </c>
      <c r="H2409" t="s">
        <v>1003</v>
      </c>
      <c r="I2409" t="s">
        <v>12848</v>
      </c>
      <c r="M2409" t="s">
        <v>12849</v>
      </c>
      <c r="P2409" t="s">
        <v>5575</v>
      </c>
      <c r="Y2409" t="s">
        <v>12851</v>
      </c>
    </row>
    <row r="2410" spans="1:25" x14ac:dyDescent="0.25">
      <c r="A2410" t="str">
        <f>"1313230630"</f>
        <v>1313230630</v>
      </c>
      <c r="B2410" t="s">
        <v>2178</v>
      </c>
      <c r="C2410" t="s">
        <v>3223</v>
      </c>
      <c r="D2410" t="s">
        <v>12852</v>
      </c>
      <c r="E2410">
        <v>424007</v>
      </c>
      <c r="F2410" t="s">
        <v>1</v>
      </c>
      <c r="G2410" t="s">
        <v>2</v>
      </c>
      <c r="H2410" t="s">
        <v>499</v>
      </c>
      <c r="I2410" t="s">
        <v>12853</v>
      </c>
      <c r="P2410" t="s">
        <v>280</v>
      </c>
      <c r="Y2410" t="s">
        <v>1598</v>
      </c>
    </row>
    <row r="2411" spans="1:25" x14ac:dyDescent="0.25">
      <c r="A2411" t="str">
        <f>"1313386000"</f>
        <v>1313386000</v>
      </c>
      <c r="B2411" t="s">
        <v>284</v>
      </c>
      <c r="C2411" t="s">
        <v>2462</v>
      </c>
      <c r="D2411" t="s">
        <v>12854</v>
      </c>
      <c r="F2411" t="s">
        <v>1</v>
      </c>
      <c r="G2411" t="s">
        <v>2</v>
      </c>
      <c r="H2411" t="s">
        <v>3696</v>
      </c>
      <c r="I2411" t="s">
        <v>12855</v>
      </c>
      <c r="K2411" t="s">
        <v>12856</v>
      </c>
      <c r="L2411" t="s">
        <v>2127</v>
      </c>
      <c r="M2411" t="s">
        <v>12857</v>
      </c>
      <c r="P2411" t="s">
        <v>12858</v>
      </c>
      <c r="Y2411" t="s">
        <v>3701</v>
      </c>
    </row>
    <row r="2412" spans="1:25" x14ac:dyDescent="0.25">
      <c r="A2412" t="str">
        <f>"1313590782"</f>
        <v>1313590782</v>
      </c>
      <c r="B2412" t="s">
        <v>930</v>
      </c>
      <c r="C2412" t="s">
        <v>12862</v>
      </c>
      <c r="D2412" t="s">
        <v>12859</v>
      </c>
      <c r="E2412">
        <v>424037</v>
      </c>
      <c r="F2412" t="s">
        <v>1</v>
      </c>
      <c r="G2412" t="s">
        <v>2</v>
      </c>
      <c r="H2412" t="s">
        <v>12860</v>
      </c>
      <c r="I2412" t="s">
        <v>12861</v>
      </c>
      <c r="P2412" t="s">
        <v>330</v>
      </c>
      <c r="Q2412" t="s">
        <v>12863</v>
      </c>
      <c r="Y2412" t="s">
        <v>12864</v>
      </c>
    </row>
    <row r="2413" spans="1:25" x14ac:dyDescent="0.25">
      <c r="A2413" t="str">
        <f>"1313600687"</f>
        <v>1313600687</v>
      </c>
      <c r="B2413" t="s">
        <v>352</v>
      </c>
      <c r="C2413" t="s">
        <v>353</v>
      </c>
      <c r="D2413" t="s">
        <v>12865</v>
      </c>
      <c r="E2413">
        <v>424003</v>
      </c>
      <c r="F2413" t="s">
        <v>1</v>
      </c>
      <c r="G2413" t="s">
        <v>2</v>
      </c>
      <c r="H2413" t="s">
        <v>1303</v>
      </c>
      <c r="I2413" t="s">
        <v>12866</v>
      </c>
      <c r="P2413" t="s">
        <v>27</v>
      </c>
      <c r="Y2413" t="s">
        <v>12867</v>
      </c>
    </row>
    <row r="2414" spans="1:25" x14ac:dyDescent="0.25">
      <c r="A2414" t="str">
        <f>"1313722326"</f>
        <v>1313722326</v>
      </c>
      <c r="B2414" t="s">
        <v>430</v>
      </c>
      <c r="C2414" t="s">
        <v>612</v>
      </c>
      <c r="D2414" t="s">
        <v>12868</v>
      </c>
      <c r="E2414">
        <v>424038</v>
      </c>
      <c r="F2414" t="s">
        <v>1</v>
      </c>
      <c r="G2414" t="s">
        <v>2</v>
      </c>
      <c r="H2414" t="s">
        <v>465</v>
      </c>
      <c r="J2414" t="s">
        <v>12869</v>
      </c>
      <c r="P2414" t="s">
        <v>2457</v>
      </c>
      <c r="Y2414" t="s">
        <v>476</v>
      </c>
    </row>
    <row r="2415" spans="1:25" x14ac:dyDescent="0.25">
      <c r="A2415" t="str">
        <f>"1313779109"</f>
        <v>1313779109</v>
      </c>
      <c r="B2415" t="s">
        <v>284</v>
      </c>
      <c r="C2415" t="s">
        <v>2462</v>
      </c>
      <c r="D2415" t="s">
        <v>12870</v>
      </c>
      <c r="E2415">
        <v>424003</v>
      </c>
      <c r="F2415" t="s">
        <v>1</v>
      </c>
      <c r="G2415" t="s">
        <v>2</v>
      </c>
      <c r="H2415" t="s">
        <v>734</v>
      </c>
      <c r="I2415" t="s">
        <v>7438</v>
      </c>
      <c r="J2415" t="s">
        <v>12871</v>
      </c>
      <c r="P2415" t="s">
        <v>605</v>
      </c>
      <c r="Y2415" t="s">
        <v>12872</v>
      </c>
    </row>
    <row r="2416" spans="1:25" x14ac:dyDescent="0.25">
      <c r="A2416" t="str">
        <f>"1313862248"</f>
        <v>1313862248</v>
      </c>
      <c r="B2416" t="s">
        <v>18</v>
      </c>
      <c r="C2416" t="s">
        <v>12877</v>
      </c>
      <c r="D2416" t="s">
        <v>12873</v>
      </c>
      <c r="E2416">
        <v>424006</v>
      </c>
      <c r="F2416" t="s">
        <v>1</v>
      </c>
      <c r="G2416" t="s">
        <v>2</v>
      </c>
      <c r="H2416" t="s">
        <v>1483</v>
      </c>
      <c r="I2416" t="s">
        <v>12874</v>
      </c>
      <c r="L2416" t="s">
        <v>12875</v>
      </c>
      <c r="M2416" t="s">
        <v>12876</v>
      </c>
      <c r="P2416" t="s">
        <v>4043</v>
      </c>
      <c r="T2416" t="s">
        <v>12878</v>
      </c>
      <c r="U2416" t="s">
        <v>12879</v>
      </c>
      <c r="V2416" t="s">
        <v>12880</v>
      </c>
      <c r="Y2416" t="s">
        <v>12881</v>
      </c>
    </row>
    <row r="2417" spans="1:25" x14ac:dyDescent="0.25">
      <c r="A2417" t="str">
        <f>"1313969650"</f>
        <v>1313969650</v>
      </c>
      <c r="B2417" t="s">
        <v>151</v>
      </c>
      <c r="C2417" t="s">
        <v>151</v>
      </c>
      <c r="D2417" t="s">
        <v>12882</v>
      </c>
      <c r="E2417">
        <v>424002</v>
      </c>
      <c r="F2417" t="s">
        <v>1</v>
      </c>
      <c r="G2417" t="s">
        <v>2</v>
      </c>
      <c r="H2417" t="s">
        <v>57</v>
      </c>
      <c r="I2417" t="s">
        <v>12883</v>
      </c>
      <c r="P2417" t="s">
        <v>27</v>
      </c>
      <c r="Y2417" t="s">
        <v>3783</v>
      </c>
    </row>
    <row r="2418" spans="1:25" x14ac:dyDescent="0.25">
      <c r="A2418" t="str">
        <f>"1314007619"</f>
        <v>1314007619</v>
      </c>
      <c r="B2418" t="s">
        <v>1362</v>
      </c>
      <c r="C2418" t="s">
        <v>8728</v>
      </c>
      <c r="D2418" t="s">
        <v>12884</v>
      </c>
      <c r="E2418">
        <v>424000</v>
      </c>
      <c r="F2418" t="s">
        <v>1</v>
      </c>
      <c r="G2418" t="s">
        <v>2</v>
      </c>
      <c r="H2418" t="s">
        <v>404</v>
      </c>
      <c r="I2418" t="s">
        <v>12885</v>
      </c>
      <c r="J2418" t="s">
        <v>12886</v>
      </c>
      <c r="K2418" t="s">
        <v>12887</v>
      </c>
      <c r="P2418" t="s">
        <v>410</v>
      </c>
      <c r="Y2418" t="s">
        <v>5477</v>
      </c>
    </row>
    <row r="2419" spans="1:25" x14ac:dyDescent="0.25">
      <c r="A2419" t="str">
        <f>"1314068791"</f>
        <v>1314068791</v>
      </c>
      <c r="B2419" t="s">
        <v>1053</v>
      </c>
      <c r="C2419" t="s">
        <v>12893</v>
      </c>
      <c r="D2419" t="s">
        <v>12888</v>
      </c>
      <c r="E2419">
        <v>424006</v>
      </c>
      <c r="F2419" t="s">
        <v>1</v>
      </c>
      <c r="G2419" t="s">
        <v>2</v>
      </c>
      <c r="H2419" t="s">
        <v>2012</v>
      </c>
      <c r="I2419" t="s">
        <v>12889</v>
      </c>
      <c r="J2419" t="s">
        <v>12890</v>
      </c>
      <c r="L2419" t="s">
        <v>12891</v>
      </c>
      <c r="M2419" t="s">
        <v>12892</v>
      </c>
      <c r="P2419" t="s">
        <v>280</v>
      </c>
      <c r="Y2419" t="s">
        <v>2016</v>
      </c>
    </row>
    <row r="2420" spans="1:25" x14ac:dyDescent="0.25">
      <c r="A2420" t="str">
        <f>"1314071717"</f>
        <v>1314071717</v>
      </c>
      <c r="B2420" t="s">
        <v>1352</v>
      </c>
      <c r="C2420" t="s">
        <v>2093</v>
      </c>
      <c r="D2420" t="s">
        <v>12894</v>
      </c>
      <c r="E2420">
        <v>424033</v>
      </c>
      <c r="F2420" t="s">
        <v>1</v>
      </c>
      <c r="G2420" t="s">
        <v>2</v>
      </c>
      <c r="H2420" t="s">
        <v>12895</v>
      </c>
      <c r="I2420" t="s">
        <v>12896</v>
      </c>
      <c r="P2420" t="s">
        <v>4103</v>
      </c>
      <c r="Y2420" t="s">
        <v>12897</v>
      </c>
    </row>
    <row r="2421" spans="1:25" x14ac:dyDescent="0.25">
      <c r="A2421" t="str">
        <f>"1314112064"</f>
        <v>1314112064</v>
      </c>
      <c r="B2421" t="s">
        <v>18</v>
      </c>
      <c r="C2421" t="s">
        <v>12903</v>
      </c>
      <c r="D2421" t="s">
        <v>12898</v>
      </c>
      <c r="E2421">
        <v>424026</v>
      </c>
      <c r="F2421" t="s">
        <v>1</v>
      </c>
      <c r="G2421" t="s">
        <v>2</v>
      </c>
      <c r="H2421" t="s">
        <v>12899</v>
      </c>
      <c r="I2421" t="s">
        <v>12900</v>
      </c>
      <c r="L2421" t="s">
        <v>12901</v>
      </c>
      <c r="M2421" t="s">
        <v>12902</v>
      </c>
      <c r="P2421" t="s">
        <v>280</v>
      </c>
      <c r="Y2421" t="s">
        <v>12904</v>
      </c>
    </row>
    <row r="2422" spans="1:25" x14ac:dyDescent="0.25">
      <c r="A2422" t="str">
        <f>"1314118167"</f>
        <v>1314118167</v>
      </c>
      <c r="B2422" t="s">
        <v>1152</v>
      </c>
      <c r="C2422" t="s">
        <v>2222</v>
      </c>
      <c r="D2422" t="s">
        <v>12905</v>
      </c>
      <c r="E2422">
        <v>424000</v>
      </c>
      <c r="F2422" t="s">
        <v>1</v>
      </c>
      <c r="G2422" t="s">
        <v>2</v>
      </c>
      <c r="H2422" t="s">
        <v>937</v>
      </c>
      <c r="I2422" t="s">
        <v>12906</v>
      </c>
      <c r="P2422" t="s">
        <v>941</v>
      </c>
      <c r="Y2422" t="s">
        <v>12907</v>
      </c>
    </row>
    <row r="2423" spans="1:25" x14ac:dyDescent="0.25">
      <c r="A2423" t="str">
        <f>"1314139364"</f>
        <v>1314139364</v>
      </c>
      <c r="B2423" t="s">
        <v>319</v>
      </c>
      <c r="C2423" t="s">
        <v>320</v>
      </c>
      <c r="D2423" t="s">
        <v>2556</v>
      </c>
      <c r="E2423">
        <v>424036</v>
      </c>
      <c r="F2423" t="s">
        <v>1</v>
      </c>
      <c r="G2423" t="s">
        <v>2</v>
      </c>
      <c r="H2423" t="s">
        <v>7822</v>
      </c>
      <c r="I2423" t="s">
        <v>12908</v>
      </c>
      <c r="L2423" t="s">
        <v>12909</v>
      </c>
      <c r="M2423" t="s">
        <v>12910</v>
      </c>
      <c r="P2423" t="s">
        <v>2561</v>
      </c>
      <c r="Y2423" t="s">
        <v>12911</v>
      </c>
    </row>
    <row r="2424" spans="1:25" x14ac:dyDescent="0.25">
      <c r="A2424" t="str">
        <f>"1314184619"</f>
        <v>1314184619</v>
      </c>
      <c r="B2424" t="s">
        <v>640</v>
      </c>
      <c r="C2424" t="s">
        <v>12914</v>
      </c>
      <c r="D2424" t="s">
        <v>12912</v>
      </c>
      <c r="E2424">
        <v>424003</v>
      </c>
      <c r="F2424" t="s">
        <v>1</v>
      </c>
      <c r="G2424" t="s">
        <v>2</v>
      </c>
      <c r="H2424" t="s">
        <v>1042</v>
      </c>
      <c r="J2424" t="s">
        <v>12913</v>
      </c>
      <c r="P2424" t="s">
        <v>12915</v>
      </c>
      <c r="Y2424" t="s">
        <v>11321</v>
      </c>
    </row>
    <row r="2425" spans="1:25" x14ac:dyDescent="0.25">
      <c r="A2425" t="str">
        <f>"1314344545"</f>
        <v>1314344545</v>
      </c>
      <c r="B2425" t="s">
        <v>96</v>
      </c>
      <c r="C2425" t="s">
        <v>311</v>
      </c>
      <c r="D2425" t="s">
        <v>12916</v>
      </c>
      <c r="E2425">
        <v>424002</v>
      </c>
      <c r="F2425" t="s">
        <v>1</v>
      </c>
      <c r="G2425" t="s">
        <v>2</v>
      </c>
      <c r="H2425" t="s">
        <v>12917</v>
      </c>
      <c r="I2425" t="s">
        <v>12918</v>
      </c>
      <c r="P2425" t="s">
        <v>941</v>
      </c>
      <c r="Y2425" t="s">
        <v>12919</v>
      </c>
    </row>
    <row r="2426" spans="1:25" x14ac:dyDescent="0.25">
      <c r="A2426" t="str">
        <f>"1314680477"</f>
        <v>1314680477</v>
      </c>
      <c r="B2426" t="s">
        <v>160</v>
      </c>
      <c r="C2426" t="s">
        <v>2327</v>
      </c>
      <c r="D2426" t="s">
        <v>12920</v>
      </c>
      <c r="E2426">
        <v>424039</v>
      </c>
      <c r="F2426" t="s">
        <v>1</v>
      </c>
      <c r="G2426" t="s">
        <v>2</v>
      </c>
      <c r="H2426" t="s">
        <v>12921</v>
      </c>
      <c r="I2426" t="s">
        <v>12922</v>
      </c>
      <c r="J2426" t="s">
        <v>12923</v>
      </c>
      <c r="P2426" t="s">
        <v>280</v>
      </c>
      <c r="Y2426" t="s">
        <v>12924</v>
      </c>
    </row>
    <row r="2427" spans="1:25" x14ac:dyDescent="0.25">
      <c r="A2427" t="str">
        <f>"1314716438"</f>
        <v>1314716438</v>
      </c>
      <c r="B2427" t="s">
        <v>574</v>
      </c>
      <c r="C2427" t="s">
        <v>12928</v>
      </c>
      <c r="D2427" t="s">
        <v>12925</v>
      </c>
      <c r="E2427">
        <v>424016</v>
      </c>
      <c r="F2427" t="s">
        <v>1</v>
      </c>
      <c r="G2427" t="s">
        <v>2</v>
      </c>
      <c r="H2427" t="s">
        <v>12926</v>
      </c>
      <c r="I2427" t="s">
        <v>12927</v>
      </c>
      <c r="P2427" t="s">
        <v>152</v>
      </c>
      <c r="Y2427" t="s">
        <v>12929</v>
      </c>
    </row>
    <row r="2428" spans="1:25" x14ac:dyDescent="0.25">
      <c r="A2428" t="str">
        <f>"1314736216"</f>
        <v>1314736216</v>
      </c>
      <c r="B2428" t="s">
        <v>3094</v>
      </c>
      <c r="C2428" t="s">
        <v>7029</v>
      </c>
      <c r="D2428" t="s">
        <v>12930</v>
      </c>
      <c r="E2428">
        <v>424004</v>
      </c>
      <c r="F2428" t="s">
        <v>1</v>
      </c>
      <c r="G2428" t="s">
        <v>2</v>
      </c>
      <c r="H2428" t="s">
        <v>229</v>
      </c>
      <c r="I2428" t="s">
        <v>12931</v>
      </c>
      <c r="L2428" t="s">
        <v>12932</v>
      </c>
      <c r="M2428" t="s">
        <v>12933</v>
      </c>
      <c r="Y2428" t="s">
        <v>12934</v>
      </c>
    </row>
    <row r="2429" spans="1:25" x14ac:dyDescent="0.25">
      <c r="A2429" t="str">
        <f>"1314796153"</f>
        <v>1314796153</v>
      </c>
      <c r="B2429" t="s">
        <v>790</v>
      </c>
      <c r="C2429" t="s">
        <v>2049</v>
      </c>
      <c r="D2429" t="s">
        <v>12935</v>
      </c>
      <c r="E2429">
        <v>424020</v>
      </c>
      <c r="F2429" t="s">
        <v>1</v>
      </c>
      <c r="G2429" t="s">
        <v>2</v>
      </c>
      <c r="H2429" t="s">
        <v>4528</v>
      </c>
      <c r="I2429" t="s">
        <v>12936</v>
      </c>
      <c r="P2429" t="s">
        <v>9</v>
      </c>
      <c r="Y2429" t="s">
        <v>12937</v>
      </c>
    </row>
    <row r="2430" spans="1:25" x14ac:dyDescent="0.25">
      <c r="A2430" t="str">
        <f>"1314817670"</f>
        <v>1314817670</v>
      </c>
      <c r="B2430" t="s">
        <v>284</v>
      </c>
      <c r="C2430" t="s">
        <v>3248</v>
      </c>
      <c r="D2430" t="s">
        <v>12938</v>
      </c>
      <c r="E2430">
        <v>424037</v>
      </c>
      <c r="F2430" t="s">
        <v>1</v>
      </c>
      <c r="G2430" t="s">
        <v>2</v>
      </c>
      <c r="H2430" t="s">
        <v>12939</v>
      </c>
      <c r="I2430" t="s">
        <v>12940</v>
      </c>
      <c r="J2430" t="s">
        <v>12941</v>
      </c>
      <c r="L2430" t="s">
        <v>12942</v>
      </c>
      <c r="M2430" t="s">
        <v>12943</v>
      </c>
      <c r="P2430" t="s">
        <v>27</v>
      </c>
      <c r="Y2430" t="s">
        <v>12944</v>
      </c>
    </row>
    <row r="2431" spans="1:25" x14ac:dyDescent="0.25">
      <c r="A2431" t="str">
        <f>"1314891868"</f>
        <v>1314891868</v>
      </c>
      <c r="B2431" t="s">
        <v>32</v>
      </c>
      <c r="C2431" t="s">
        <v>40</v>
      </c>
      <c r="D2431" t="s">
        <v>12945</v>
      </c>
      <c r="E2431">
        <v>424007</v>
      </c>
      <c r="F2431" t="s">
        <v>1</v>
      </c>
      <c r="G2431" t="s">
        <v>2</v>
      </c>
      <c r="H2431" t="s">
        <v>11314</v>
      </c>
      <c r="I2431" t="s">
        <v>12946</v>
      </c>
      <c r="P2431" t="s">
        <v>12947</v>
      </c>
      <c r="Q2431" t="s">
        <v>12948</v>
      </c>
      <c r="Y2431" t="s">
        <v>12949</v>
      </c>
    </row>
    <row r="2432" spans="1:25" x14ac:dyDescent="0.25">
      <c r="A2432" t="str">
        <f>"1314925993"</f>
        <v>1314925993</v>
      </c>
      <c r="B2432" t="s">
        <v>96</v>
      </c>
      <c r="C2432" t="s">
        <v>12952</v>
      </c>
      <c r="D2432" t="s">
        <v>12950</v>
      </c>
      <c r="E2432">
        <v>424918</v>
      </c>
      <c r="F2432" t="s">
        <v>1</v>
      </c>
      <c r="G2432" t="s">
        <v>2</v>
      </c>
      <c r="H2432" t="s">
        <v>629</v>
      </c>
      <c r="J2432" t="s">
        <v>12951</v>
      </c>
      <c r="P2432" t="s">
        <v>630</v>
      </c>
      <c r="Y2432" t="s">
        <v>5594</v>
      </c>
    </row>
    <row r="2433" spans="1:25" x14ac:dyDescent="0.25">
      <c r="A2433" t="str">
        <f>"1314950401"</f>
        <v>1314950401</v>
      </c>
      <c r="B2433" t="s">
        <v>397</v>
      </c>
      <c r="C2433" t="s">
        <v>12955</v>
      </c>
      <c r="D2433" t="s">
        <v>12953</v>
      </c>
      <c r="E2433">
        <v>424026</v>
      </c>
      <c r="F2433" t="s">
        <v>1</v>
      </c>
      <c r="G2433" t="s">
        <v>2</v>
      </c>
      <c r="H2433" t="s">
        <v>4779</v>
      </c>
      <c r="J2433" t="s">
        <v>5147</v>
      </c>
      <c r="L2433" t="s">
        <v>12954</v>
      </c>
      <c r="P2433" t="s">
        <v>2296</v>
      </c>
      <c r="Y2433" t="s">
        <v>12956</v>
      </c>
    </row>
    <row r="2434" spans="1:25" x14ac:dyDescent="0.25">
      <c r="A2434" t="str">
        <f>"1314957479"</f>
        <v>1314957479</v>
      </c>
      <c r="B2434" t="s">
        <v>18</v>
      </c>
      <c r="C2434" t="s">
        <v>12962</v>
      </c>
      <c r="D2434" t="s">
        <v>12957</v>
      </c>
      <c r="E2434">
        <v>424036</v>
      </c>
      <c r="F2434" t="s">
        <v>1</v>
      </c>
      <c r="G2434" t="s">
        <v>2</v>
      </c>
      <c r="H2434" t="s">
        <v>8222</v>
      </c>
      <c r="I2434" t="s">
        <v>12958</v>
      </c>
      <c r="K2434" t="s">
        <v>12959</v>
      </c>
      <c r="L2434" t="s">
        <v>12960</v>
      </c>
      <c r="M2434" t="s">
        <v>12961</v>
      </c>
      <c r="P2434" t="s">
        <v>9523</v>
      </c>
      <c r="Y2434" t="s">
        <v>12963</v>
      </c>
    </row>
    <row r="2435" spans="1:25" x14ac:dyDescent="0.25">
      <c r="A2435" t="str">
        <f>"1315039278"</f>
        <v>1315039278</v>
      </c>
      <c r="B2435" t="s">
        <v>1053</v>
      </c>
      <c r="C2435" t="s">
        <v>11751</v>
      </c>
      <c r="D2435" t="s">
        <v>12964</v>
      </c>
      <c r="E2435">
        <v>424038</v>
      </c>
      <c r="F2435" t="s">
        <v>1</v>
      </c>
      <c r="G2435" t="s">
        <v>2</v>
      </c>
      <c r="H2435" t="s">
        <v>2434</v>
      </c>
      <c r="I2435" t="s">
        <v>12965</v>
      </c>
      <c r="P2435" t="s">
        <v>260</v>
      </c>
      <c r="Y2435" t="s">
        <v>12966</v>
      </c>
    </row>
    <row r="2436" spans="1:25" x14ac:dyDescent="0.25">
      <c r="A2436" t="str">
        <f>"1315083780"</f>
        <v>1315083780</v>
      </c>
      <c r="B2436" t="s">
        <v>1053</v>
      </c>
      <c r="C2436" t="s">
        <v>12971</v>
      </c>
      <c r="D2436" t="s">
        <v>12967</v>
      </c>
      <c r="E2436">
        <v>424006</v>
      </c>
      <c r="F2436" t="s">
        <v>1</v>
      </c>
      <c r="G2436" t="s">
        <v>2</v>
      </c>
      <c r="H2436" t="s">
        <v>1923</v>
      </c>
      <c r="I2436" t="s">
        <v>12968</v>
      </c>
      <c r="L2436" t="s">
        <v>12969</v>
      </c>
      <c r="M2436" t="s">
        <v>12970</v>
      </c>
      <c r="P2436" t="s">
        <v>2580</v>
      </c>
      <c r="Y2436" t="s">
        <v>1928</v>
      </c>
    </row>
    <row r="2437" spans="1:25" x14ac:dyDescent="0.25">
      <c r="A2437" t="str">
        <f>"1315230568"</f>
        <v>1315230568</v>
      </c>
      <c r="B2437" t="s">
        <v>482</v>
      </c>
      <c r="C2437" t="s">
        <v>4057</v>
      </c>
      <c r="D2437" t="s">
        <v>12972</v>
      </c>
      <c r="E2437">
        <v>424031</v>
      </c>
      <c r="F2437" t="s">
        <v>1</v>
      </c>
      <c r="G2437" t="s">
        <v>2</v>
      </c>
      <c r="H2437" t="s">
        <v>12973</v>
      </c>
      <c r="I2437" t="s">
        <v>12974</v>
      </c>
      <c r="L2437" t="s">
        <v>12975</v>
      </c>
      <c r="M2437" t="s">
        <v>12976</v>
      </c>
      <c r="P2437" t="s">
        <v>20</v>
      </c>
      <c r="Y2437" t="s">
        <v>12977</v>
      </c>
    </row>
    <row r="2438" spans="1:25" x14ac:dyDescent="0.25">
      <c r="A2438" t="str">
        <f>"1315281428"</f>
        <v>1315281428</v>
      </c>
      <c r="B2438" t="s">
        <v>176</v>
      </c>
      <c r="C2438" t="s">
        <v>279</v>
      </c>
      <c r="D2438" t="s">
        <v>12978</v>
      </c>
      <c r="E2438">
        <v>424031</v>
      </c>
      <c r="F2438" t="s">
        <v>1</v>
      </c>
      <c r="G2438" t="s">
        <v>2</v>
      </c>
      <c r="H2438" t="s">
        <v>12979</v>
      </c>
      <c r="I2438" t="s">
        <v>12980</v>
      </c>
      <c r="L2438" t="s">
        <v>12981</v>
      </c>
      <c r="P2438" t="s">
        <v>20</v>
      </c>
      <c r="Y2438" t="s">
        <v>12982</v>
      </c>
    </row>
    <row r="2439" spans="1:25" x14ac:dyDescent="0.25">
      <c r="A2439" t="str">
        <f>"1315480986"</f>
        <v>1315480986</v>
      </c>
      <c r="B2439" t="s">
        <v>3094</v>
      </c>
      <c r="C2439" t="s">
        <v>3095</v>
      </c>
      <c r="D2439" t="s">
        <v>12983</v>
      </c>
      <c r="E2439">
        <v>424020</v>
      </c>
      <c r="F2439" t="s">
        <v>1</v>
      </c>
      <c r="G2439" t="s">
        <v>2</v>
      </c>
      <c r="H2439" t="s">
        <v>12984</v>
      </c>
      <c r="I2439" t="s">
        <v>12985</v>
      </c>
      <c r="L2439" t="s">
        <v>12986</v>
      </c>
      <c r="M2439" t="s">
        <v>12987</v>
      </c>
      <c r="P2439" t="s">
        <v>12988</v>
      </c>
      <c r="Y2439" t="s">
        <v>12989</v>
      </c>
    </row>
    <row r="2440" spans="1:25" x14ac:dyDescent="0.25">
      <c r="A2440" t="str">
        <f>"1315535846"</f>
        <v>1315535846</v>
      </c>
      <c r="B2440" t="s">
        <v>96</v>
      </c>
      <c r="C2440" t="s">
        <v>507</v>
      </c>
      <c r="D2440" t="s">
        <v>10152</v>
      </c>
      <c r="E2440">
        <v>424000</v>
      </c>
      <c r="F2440" t="s">
        <v>1</v>
      </c>
      <c r="G2440" t="s">
        <v>2</v>
      </c>
      <c r="H2440" t="s">
        <v>2925</v>
      </c>
      <c r="I2440" t="s">
        <v>12990</v>
      </c>
      <c r="P2440" t="s">
        <v>7053</v>
      </c>
      <c r="Y2440" t="s">
        <v>12991</v>
      </c>
    </row>
    <row r="2441" spans="1:25" x14ac:dyDescent="0.25">
      <c r="A2441" t="str">
        <f>"1315628079"</f>
        <v>1315628079</v>
      </c>
      <c r="B2441" t="s">
        <v>348</v>
      </c>
      <c r="C2441" t="s">
        <v>12108</v>
      </c>
      <c r="D2441" t="s">
        <v>12992</v>
      </c>
      <c r="E2441">
        <v>424006</v>
      </c>
      <c r="F2441" t="s">
        <v>1</v>
      </c>
      <c r="G2441" t="s">
        <v>2</v>
      </c>
      <c r="H2441" t="s">
        <v>3330</v>
      </c>
      <c r="J2441" t="s">
        <v>12993</v>
      </c>
      <c r="P2441" t="s">
        <v>941</v>
      </c>
      <c r="Y2441" t="s">
        <v>5376</v>
      </c>
    </row>
    <row r="2442" spans="1:25" x14ac:dyDescent="0.25">
      <c r="A2442" t="str">
        <f>"1315895492"</f>
        <v>1315895492</v>
      </c>
      <c r="B2442" t="s">
        <v>553</v>
      </c>
      <c r="C2442" t="s">
        <v>12997</v>
      </c>
      <c r="D2442" t="s">
        <v>12994</v>
      </c>
      <c r="E2442">
        <v>424000</v>
      </c>
      <c r="F2442" t="s">
        <v>1</v>
      </c>
      <c r="G2442" t="s">
        <v>2</v>
      </c>
      <c r="H2442" t="s">
        <v>1473</v>
      </c>
      <c r="I2442" t="s">
        <v>12995</v>
      </c>
      <c r="J2442" t="s">
        <v>12996</v>
      </c>
      <c r="P2442" t="s">
        <v>10416</v>
      </c>
      <c r="Y2442" t="s">
        <v>12998</v>
      </c>
    </row>
    <row r="2443" spans="1:25" x14ac:dyDescent="0.25">
      <c r="A2443" t="str">
        <f>"1316003754"</f>
        <v>1316003754</v>
      </c>
      <c r="B2443" t="s">
        <v>96</v>
      </c>
      <c r="C2443" t="s">
        <v>659</v>
      </c>
      <c r="D2443" t="s">
        <v>12999</v>
      </c>
      <c r="E2443">
        <v>424000</v>
      </c>
      <c r="F2443" t="s">
        <v>1</v>
      </c>
      <c r="G2443" t="s">
        <v>2</v>
      </c>
      <c r="H2443" t="s">
        <v>1531</v>
      </c>
      <c r="J2443" t="s">
        <v>13000</v>
      </c>
      <c r="P2443" t="s">
        <v>13001</v>
      </c>
      <c r="Y2443" t="s">
        <v>13002</v>
      </c>
    </row>
    <row r="2444" spans="1:25" x14ac:dyDescent="0.25">
      <c r="A2444" t="str">
        <f>"1316013491"</f>
        <v>1316013491</v>
      </c>
      <c r="B2444" t="s">
        <v>284</v>
      </c>
      <c r="C2444" t="s">
        <v>2462</v>
      </c>
      <c r="D2444" t="s">
        <v>12211</v>
      </c>
      <c r="F2444" t="s">
        <v>1</v>
      </c>
      <c r="G2444" t="s">
        <v>2</v>
      </c>
      <c r="H2444" t="s">
        <v>4222</v>
      </c>
      <c r="I2444" t="s">
        <v>13003</v>
      </c>
      <c r="J2444" t="s">
        <v>13004</v>
      </c>
      <c r="P2444" t="s">
        <v>330</v>
      </c>
      <c r="Y2444" t="s">
        <v>13005</v>
      </c>
    </row>
    <row r="2445" spans="1:25" x14ac:dyDescent="0.25">
      <c r="A2445" t="str">
        <f>"1316094524"</f>
        <v>1316094524</v>
      </c>
      <c r="B2445" t="s">
        <v>1053</v>
      </c>
      <c r="C2445" t="s">
        <v>13008</v>
      </c>
      <c r="D2445" t="s">
        <v>13006</v>
      </c>
      <c r="E2445">
        <v>424007</v>
      </c>
      <c r="F2445" t="s">
        <v>1</v>
      </c>
      <c r="G2445" t="s">
        <v>2</v>
      </c>
      <c r="H2445" t="s">
        <v>5647</v>
      </c>
      <c r="I2445" t="s">
        <v>13007</v>
      </c>
      <c r="P2445" t="s">
        <v>2979</v>
      </c>
      <c r="Y2445" t="s">
        <v>12500</v>
      </c>
    </row>
    <row r="2446" spans="1:25" x14ac:dyDescent="0.25">
      <c r="A2446" t="str">
        <f>"1316116240"</f>
        <v>1316116240</v>
      </c>
      <c r="B2446" t="s">
        <v>1573</v>
      </c>
      <c r="C2446" t="s">
        <v>13013</v>
      </c>
      <c r="D2446" t="s">
        <v>13009</v>
      </c>
      <c r="E2446">
        <v>424007</v>
      </c>
      <c r="F2446" t="s">
        <v>1</v>
      </c>
      <c r="G2446" t="s">
        <v>2</v>
      </c>
      <c r="H2446" t="s">
        <v>220</v>
      </c>
      <c r="I2446" t="s">
        <v>13010</v>
      </c>
      <c r="L2446" t="s">
        <v>13011</v>
      </c>
      <c r="M2446" t="s">
        <v>13012</v>
      </c>
      <c r="P2446" t="s">
        <v>280</v>
      </c>
      <c r="Y2446" t="s">
        <v>227</v>
      </c>
    </row>
    <row r="2447" spans="1:25" x14ac:dyDescent="0.25">
      <c r="A2447" t="str">
        <f>"1316136339"</f>
        <v>1316136339</v>
      </c>
      <c r="B2447" t="s">
        <v>160</v>
      </c>
      <c r="C2447" t="s">
        <v>9976</v>
      </c>
      <c r="D2447" t="s">
        <v>13014</v>
      </c>
      <c r="E2447">
        <v>424038</v>
      </c>
      <c r="F2447" t="s">
        <v>1</v>
      </c>
      <c r="G2447" t="s">
        <v>2</v>
      </c>
      <c r="H2447" t="s">
        <v>13015</v>
      </c>
      <c r="J2447" t="s">
        <v>13016</v>
      </c>
      <c r="P2447" t="s">
        <v>13017</v>
      </c>
      <c r="Y2447" t="s">
        <v>13018</v>
      </c>
    </row>
    <row r="2448" spans="1:25" x14ac:dyDescent="0.25">
      <c r="A2448" t="str">
        <f>"1316231596"</f>
        <v>1316231596</v>
      </c>
      <c r="B2448" t="s">
        <v>1573</v>
      </c>
      <c r="C2448" t="s">
        <v>1753</v>
      </c>
      <c r="D2448" t="s">
        <v>13019</v>
      </c>
      <c r="E2448">
        <v>424000</v>
      </c>
      <c r="F2448" t="s">
        <v>1</v>
      </c>
      <c r="G2448" t="s">
        <v>2</v>
      </c>
      <c r="H2448" t="s">
        <v>10803</v>
      </c>
      <c r="I2448" t="s">
        <v>13020</v>
      </c>
      <c r="P2448" t="s">
        <v>13021</v>
      </c>
      <c r="Y2448" t="s">
        <v>10805</v>
      </c>
    </row>
    <row r="2449" spans="1:25" x14ac:dyDescent="0.25">
      <c r="A2449" t="str">
        <f>"1316276144"</f>
        <v>1316276144</v>
      </c>
      <c r="B2449" t="s">
        <v>348</v>
      </c>
      <c r="C2449" t="s">
        <v>4366</v>
      </c>
      <c r="D2449" t="s">
        <v>13022</v>
      </c>
      <c r="E2449">
        <v>424016</v>
      </c>
      <c r="F2449" t="s">
        <v>1</v>
      </c>
      <c r="G2449" t="s">
        <v>2</v>
      </c>
      <c r="H2449" t="s">
        <v>3396</v>
      </c>
      <c r="I2449" t="s">
        <v>13023</v>
      </c>
      <c r="J2449" t="s">
        <v>13024</v>
      </c>
      <c r="P2449" t="s">
        <v>13025</v>
      </c>
      <c r="Y2449" t="s">
        <v>6510</v>
      </c>
    </row>
    <row r="2450" spans="1:25" x14ac:dyDescent="0.25">
      <c r="A2450" t="str">
        <f>"1316377871"</f>
        <v>1316377871</v>
      </c>
      <c r="B2450" t="s">
        <v>319</v>
      </c>
      <c r="C2450" t="s">
        <v>13029</v>
      </c>
      <c r="D2450" t="s">
        <v>13026</v>
      </c>
      <c r="E2450">
        <v>424019</v>
      </c>
      <c r="F2450" t="s">
        <v>1</v>
      </c>
      <c r="G2450" t="s">
        <v>2</v>
      </c>
      <c r="H2450" t="s">
        <v>13027</v>
      </c>
      <c r="I2450" t="s">
        <v>13028</v>
      </c>
      <c r="P2450" t="s">
        <v>330</v>
      </c>
      <c r="Y2450" t="s">
        <v>13030</v>
      </c>
    </row>
    <row r="2451" spans="1:25" x14ac:dyDescent="0.25">
      <c r="A2451" t="str">
        <f>"1316405816"</f>
        <v>1316405816</v>
      </c>
      <c r="B2451" t="s">
        <v>930</v>
      </c>
      <c r="C2451" t="s">
        <v>13033</v>
      </c>
      <c r="D2451" t="s">
        <v>13031</v>
      </c>
      <c r="E2451">
        <v>424008</v>
      </c>
      <c r="F2451" t="s">
        <v>1</v>
      </c>
      <c r="G2451" t="s">
        <v>2</v>
      </c>
      <c r="H2451" t="s">
        <v>6283</v>
      </c>
      <c r="I2451" t="s">
        <v>13032</v>
      </c>
      <c r="P2451" t="s">
        <v>133</v>
      </c>
      <c r="Y2451" t="s">
        <v>13034</v>
      </c>
    </row>
    <row r="2452" spans="1:25" x14ac:dyDescent="0.25">
      <c r="A2452" t="str">
        <f>"1316527955"</f>
        <v>1316527955</v>
      </c>
      <c r="B2452" t="s">
        <v>151</v>
      </c>
      <c r="C2452" t="s">
        <v>13037</v>
      </c>
      <c r="D2452" t="s">
        <v>13035</v>
      </c>
      <c r="E2452">
        <v>424020</v>
      </c>
      <c r="F2452" t="s">
        <v>1</v>
      </c>
      <c r="G2452" t="s">
        <v>2</v>
      </c>
      <c r="H2452" t="s">
        <v>1837</v>
      </c>
      <c r="I2452" t="s">
        <v>13036</v>
      </c>
      <c r="P2452" t="s">
        <v>27</v>
      </c>
      <c r="Y2452" t="s">
        <v>13038</v>
      </c>
    </row>
    <row r="2453" spans="1:25" x14ac:dyDescent="0.25">
      <c r="A2453" t="str">
        <f>"1316541177"</f>
        <v>1316541177</v>
      </c>
      <c r="B2453" t="s">
        <v>319</v>
      </c>
      <c r="C2453" t="s">
        <v>320</v>
      </c>
      <c r="D2453" t="s">
        <v>13039</v>
      </c>
      <c r="E2453">
        <v>424033</v>
      </c>
      <c r="F2453" t="s">
        <v>1</v>
      </c>
      <c r="G2453" t="s">
        <v>2</v>
      </c>
      <c r="H2453" t="s">
        <v>4357</v>
      </c>
      <c r="I2453" t="s">
        <v>13040</v>
      </c>
      <c r="P2453" t="s">
        <v>410</v>
      </c>
      <c r="Y2453" t="s">
        <v>9977</v>
      </c>
    </row>
    <row r="2454" spans="1:25" x14ac:dyDescent="0.25">
      <c r="A2454" t="str">
        <f>"1316555058"</f>
        <v>1316555058</v>
      </c>
      <c r="B2454" t="s">
        <v>18</v>
      </c>
      <c r="C2454" t="s">
        <v>143</v>
      </c>
      <c r="D2454" t="s">
        <v>13041</v>
      </c>
      <c r="E2454">
        <v>424006</v>
      </c>
      <c r="F2454" t="s">
        <v>1</v>
      </c>
      <c r="G2454" t="s">
        <v>2</v>
      </c>
      <c r="H2454" t="s">
        <v>2012</v>
      </c>
      <c r="J2454" t="s">
        <v>13042</v>
      </c>
      <c r="L2454" t="s">
        <v>13043</v>
      </c>
      <c r="M2454" t="s">
        <v>13044</v>
      </c>
      <c r="P2454" t="s">
        <v>20</v>
      </c>
      <c r="Y2454" t="s">
        <v>13045</v>
      </c>
    </row>
    <row r="2455" spans="1:25" x14ac:dyDescent="0.25">
      <c r="A2455" t="str">
        <f>"1316623867"</f>
        <v>1316623867</v>
      </c>
      <c r="B2455" t="s">
        <v>348</v>
      </c>
      <c r="C2455" t="s">
        <v>4366</v>
      </c>
      <c r="D2455" t="s">
        <v>4366</v>
      </c>
      <c r="E2455">
        <v>424037</v>
      </c>
      <c r="F2455" t="s">
        <v>1</v>
      </c>
      <c r="G2455" t="s">
        <v>2</v>
      </c>
      <c r="H2455" t="s">
        <v>13046</v>
      </c>
      <c r="I2455" t="s">
        <v>13047</v>
      </c>
      <c r="P2455" t="s">
        <v>280</v>
      </c>
      <c r="Y2455" t="s">
        <v>13048</v>
      </c>
    </row>
    <row r="2456" spans="1:25" x14ac:dyDescent="0.25">
      <c r="A2456" t="str">
        <f>"1316689574"</f>
        <v>1316689574</v>
      </c>
      <c r="B2456" t="s">
        <v>160</v>
      </c>
      <c r="C2456" t="s">
        <v>9976</v>
      </c>
      <c r="D2456" t="s">
        <v>13049</v>
      </c>
      <c r="E2456">
        <v>424007</v>
      </c>
      <c r="F2456" t="s">
        <v>1</v>
      </c>
      <c r="G2456" t="s">
        <v>2</v>
      </c>
      <c r="H2456" t="s">
        <v>13050</v>
      </c>
      <c r="P2456" t="s">
        <v>13051</v>
      </c>
      <c r="Y2456" t="s">
        <v>13052</v>
      </c>
    </row>
    <row r="2457" spans="1:25" x14ac:dyDescent="0.25">
      <c r="A2457" t="str">
        <f>"1316865987"</f>
        <v>1316865987</v>
      </c>
      <c r="B2457" t="s">
        <v>319</v>
      </c>
      <c r="C2457" t="s">
        <v>320</v>
      </c>
      <c r="D2457" t="s">
        <v>13039</v>
      </c>
      <c r="E2457">
        <v>424002</v>
      </c>
      <c r="F2457" t="s">
        <v>1</v>
      </c>
      <c r="G2457" t="s">
        <v>2</v>
      </c>
      <c r="H2457" t="s">
        <v>915</v>
      </c>
      <c r="I2457" t="s">
        <v>13053</v>
      </c>
      <c r="P2457" t="s">
        <v>216</v>
      </c>
      <c r="Y2457" t="s">
        <v>917</v>
      </c>
    </row>
    <row r="2458" spans="1:25" x14ac:dyDescent="0.25">
      <c r="A2458" t="str">
        <f>"1317067596"</f>
        <v>1317067596</v>
      </c>
      <c r="B2458" t="s">
        <v>243</v>
      </c>
      <c r="C2458" t="s">
        <v>2538</v>
      </c>
      <c r="D2458" t="s">
        <v>13054</v>
      </c>
      <c r="E2458">
        <v>424002</v>
      </c>
      <c r="F2458" t="s">
        <v>1</v>
      </c>
      <c r="G2458" t="s">
        <v>2</v>
      </c>
      <c r="H2458" t="s">
        <v>2164</v>
      </c>
      <c r="I2458" t="s">
        <v>13055</v>
      </c>
      <c r="K2458" t="s">
        <v>13056</v>
      </c>
      <c r="P2458" t="s">
        <v>27</v>
      </c>
      <c r="Y2458" t="s">
        <v>2166</v>
      </c>
    </row>
    <row r="2459" spans="1:25" x14ac:dyDescent="0.25">
      <c r="A2459" t="str">
        <f>"1317154161"</f>
        <v>1317154161</v>
      </c>
      <c r="B2459" t="s">
        <v>1152</v>
      </c>
      <c r="C2459" t="s">
        <v>13059</v>
      </c>
      <c r="D2459" t="s">
        <v>13057</v>
      </c>
      <c r="E2459">
        <v>424030</v>
      </c>
      <c r="F2459" t="s">
        <v>1</v>
      </c>
      <c r="G2459" t="s">
        <v>2</v>
      </c>
      <c r="H2459" t="s">
        <v>11072</v>
      </c>
      <c r="I2459" t="s">
        <v>13058</v>
      </c>
      <c r="P2459" t="s">
        <v>5459</v>
      </c>
      <c r="Y2459" t="s">
        <v>13060</v>
      </c>
    </row>
    <row r="2460" spans="1:25" x14ac:dyDescent="0.25">
      <c r="A2460" t="str">
        <f>"1317219836"</f>
        <v>1317219836</v>
      </c>
      <c r="B2460" t="s">
        <v>25</v>
      </c>
      <c r="C2460" t="s">
        <v>59</v>
      </c>
      <c r="D2460" t="s">
        <v>13061</v>
      </c>
      <c r="E2460">
        <v>424031</v>
      </c>
      <c r="F2460" t="s">
        <v>1</v>
      </c>
      <c r="G2460" t="s">
        <v>2</v>
      </c>
      <c r="H2460" t="s">
        <v>2353</v>
      </c>
      <c r="I2460" t="s">
        <v>13062</v>
      </c>
      <c r="P2460" t="s">
        <v>312</v>
      </c>
      <c r="Y2460" t="s">
        <v>2356</v>
      </c>
    </row>
    <row r="2461" spans="1:25" x14ac:dyDescent="0.25">
      <c r="A2461" t="str">
        <f>"1317222794"</f>
        <v>1317222794</v>
      </c>
      <c r="B2461" t="s">
        <v>978</v>
      </c>
      <c r="C2461" t="s">
        <v>13068</v>
      </c>
      <c r="D2461" t="s">
        <v>13063</v>
      </c>
      <c r="E2461">
        <v>424019</v>
      </c>
      <c r="F2461" t="s">
        <v>1</v>
      </c>
      <c r="G2461" t="s">
        <v>2</v>
      </c>
      <c r="H2461" t="s">
        <v>13064</v>
      </c>
      <c r="I2461" t="s">
        <v>13065</v>
      </c>
      <c r="L2461" t="s">
        <v>13066</v>
      </c>
      <c r="M2461" t="s">
        <v>13067</v>
      </c>
      <c r="P2461" t="s">
        <v>2738</v>
      </c>
      <c r="Q2461" t="s">
        <v>13069</v>
      </c>
      <c r="T2461" t="s">
        <v>13070</v>
      </c>
      <c r="V2461" t="s">
        <v>13071</v>
      </c>
      <c r="Y2461" t="s">
        <v>13072</v>
      </c>
    </row>
    <row r="2462" spans="1:25" x14ac:dyDescent="0.25">
      <c r="A2462" t="str">
        <f>"1317265064"</f>
        <v>1317265064</v>
      </c>
      <c r="B2462" t="s">
        <v>2178</v>
      </c>
      <c r="C2462" t="s">
        <v>2179</v>
      </c>
      <c r="D2462" t="s">
        <v>13073</v>
      </c>
      <c r="E2462">
        <v>424032</v>
      </c>
      <c r="F2462" t="s">
        <v>1</v>
      </c>
      <c r="G2462" t="s">
        <v>2</v>
      </c>
      <c r="H2462" t="s">
        <v>13074</v>
      </c>
      <c r="I2462" t="s">
        <v>13075</v>
      </c>
      <c r="L2462" t="s">
        <v>10327</v>
      </c>
      <c r="M2462" t="s">
        <v>10328</v>
      </c>
      <c r="P2462" t="s">
        <v>9741</v>
      </c>
      <c r="Y2462" t="s">
        <v>13076</v>
      </c>
    </row>
    <row r="2463" spans="1:25" x14ac:dyDescent="0.25">
      <c r="A2463" t="str">
        <f>"1317305711"</f>
        <v>1317305711</v>
      </c>
      <c r="B2463" t="s">
        <v>2846</v>
      </c>
      <c r="C2463" t="s">
        <v>13079</v>
      </c>
      <c r="D2463" t="s">
        <v>13077</v>
      </c>
      <c r="E2463">
        <v>424006</v>
      </c>
      <c r="F2463" t="s">
        <v>1</v>
      </c>
      <c r="G2463" t="s">
        <v>2</v>
      </c>
      <c r="H2463" t="s">
        <v>3374</v>
      </c>
      <c r="I2463" t="s">
        <v>13078</v>
      </c>
      <c r="P2463" t="s">
        <v>8945</v>
      </c>
      <c r="Q2463" t="s">
        <v>13080</v>
      </c>
      <c r="Y2463" t="s">
        <v>13081</v>
      </c>
    </row>
    <row r="2464" spans="1:25" x14ac:dyDescent="0.25">
      <c r="A2464" t="str">
        <f>"1317329763"</f>
        <v>1317329763</v>
      </c>
      <c r="B2464" t="s">
        <v>3700</v>
      </c>
      <c r="C2464" t="s">
        <v>4023</v>
      </c>
      <c r="D2464" t="s">
        <v>13082</v>
      </c>
      <c r="E2464">
        <v>424008</v>
      </c>
      <c r="F2464" t="s">
        <v>1</v>
      </c>
      <c r="G2464" t="s">
        <v>2</v>
      </c>
      <c r="H2464" t="s">
        <v>1031</v>
      </c>
      <c r="I2464" t="s">
        <v>13083</v>
      </c>
      <c r="J2464" t="s">
        <v>13084</v>
      </c>
      <c r="P2464" t="s">
        <v>4831</v>
      </c>
      <c r="Y2464" t="s">
        <v>5039</v>
      </c>
    </row>
    <row r="2465" spans="1:25" x14ac:dyDescent="0.25">
      <c r="A2465" t="str">
        <f>"1317358832"</f>
        <v>1317358832</v>
      </c>
      <c r="B2465" t="s">
        <v>160</v>
      </c>
      <c r="C2465" t="s">
        <v>1666</v>
      </c>
      <c r="D2465" t="s">
        <v>13085</v>
      </c>
      <c r="E2465">
        <v>424038</v>
      </c>
      <c r="F2465" t="s">
        <v>1</v>
      </c>
      <c r="G2465" t="s">
        <v>2</v>
      </c>
      <c r="H2465" t="s">
        <v>5779</v>
      </c>
      <c r="I2465" t="s">
        <v>13086</v>
      </c>
      <c r="L2465" t="s">
        <v>13087</v>
      </c>
      <c r="M2465" t="s">
        <v>13088</v>
      </c>
      <c r="P2465" t="s">
        <v>20</v>
      </c>
      <c r="Y2465" t="s">
        <v>5780</v>
      </c>
    </row>
    <row r="2466" spans="1:25" x14ac:dyDescent="0.25">
      <c r="A2466" t="str">
        <f>"1317402333"</f>
        <v>1317402333</v>
      </c>
      <c r="B2466" t="s">
        <v>1053</v>
      </c>
      <c r="C2466" t="s">
        <v>1927</v>
      </c>
      <c r="D2466" t="s">
        <v>13089</v>
      </c>
      <c r="E2466">
        <v>424032</v>
      </c>
      <c r="F2466" t="s">
        <v>1</v>
      </c>
      <c r="G2466" t="s">
        <v>2</v>
      </c>
      <c r="H2466" t="s">
        <v>13090</v>
      </c>
      <c r="I2466" t="s">
        <v>13091</v>
      </c>
      <c r="M2466" t="s">
        <v>13092</v>
      </c>
      <c r="P2466" t="s">
        <v>20</v>
      </c>
      <c r="Y2466" t="s">
        <v>13093</v>
      </c>
    </row>
    <row r="2467" spans="1:25" x14ac:dyDescent="0.25">
      <c r="A2467" t="str">
        <f>"1317498977"</f>
        <v>1317498977</v>
      </c>
      <c r="B2467" t="s">
        <v>290</v>
      </c>
      <c r="C2467" t="s">
        <v>13097</v>
      </c>
      <c r="D2467" t="s">
        <v>13094</v>
      </c>
      <c r="E2467">
        <v>424038</v>
      </c>
      <c r="F2467" t="s">
        <v>1</v>
      </c>
      <c r="G2467" t="s">
        <v>2</v>
      </c>
      <c r="H2467" t="s">
        <v>13095</v>
      </c>
      <c r="J2467" t="s">
        <v>13096</v>
      </c>
      <c r="P2467" t="s">
        <v>4006</v>
      </c>
      <c r="Y2467" t="s">
        <v>13098</v>
      </c>
    </row>
    <row r="2468" spans="1:25" x14ac:dyDescent="0.25">
      <c r="A2468" t="str">
        <f>"1317516341"</f>
        <v>1317516341</v>
      </c>
      <c r="B2468" t="s">
        <v>18</v>
      </c>
      <c r="C2468" t="s">
        <v>4522</v>
      </c>
      <c r="D2468" t="s">
        <v>13099</v>
      </c>
      <c r="E2468">
        <v>424006</v>
      </c>
      <c r="F2468" t="s">
        <v>1</v>
      </c>
      <c r="G2468" t="s">
        <v>2</v>
      </c>
      <c r="H2468" t="s">
        <v>2825</v>
      </c>
      <c r="J2468" t="s">
        <v>12549</v>
      </c>
      <c r="L2468" t="s">
        <v>13100</v>
      </c>
      <c r="M2468" t="s">
        <v>13101</v>
      </c>
      <c r="P2468" t="s">
        <v>13102</v>
      </c>
      <c r="Y2468" t="s">
        <v>2832</v>
      </c>
    </row>
    <row r="2469" spans="1:25" x14ac:dyDescent="0.25">
      <c r="A2469" t="str">
        <f>"1317572543"</f>
        <v>1317572543</v>
      </c>
      <c r="B2469" t="s">
        <v>624</v>
      </c>
      <c r="C2469" t="s">
        <v>13105</v>
      </c>
      <c r="D2469" t="s">
        <v>13103</v>
      </c>
      <c r="E2469">
        <v>424000</v>
      </c>
      <c r="F2469" t="s">
        <v>1</v>
      </c>
      <c r="G2469" t="s">
        <v>2</v>
      </c>
      <c r="H2469" t="s">
        <v>1531</v>
      </c>
      <c r="I2469" t="s">
        <v>13104</v>
      </c>
      <c r="P2469" t="s">
        <v>458</v>
      </c>
      <c r="Y2469" t="s">
        <v>4373</v>
      </c>
    </row>
    <row r="2470" spans="1:25" x14ac:dyDescent="0.25">
      <c r="A2470" t="str">
        <f>"1317650333"</f>
        <v>1317650333</v>
      </c>
      <c r="B2470" t="s">
        <v>110</v>
      </c>
      <c r="C2470" t="s">
        <v>111</v>
      </c>
      <c r="D2470" t="s">
        <v>1399</v>
      </c>
      <c r="E2470">
        <v>424918</v>
      </c>
      <c r="F2470" t="s">
        <v>1</v>
      </c>
      <c r="G2470" t="s">
        <v>2</v>
      </c>
      <c r="H2470" t="s">
        <v>629</v>
      </c>
      <c r="I2470" t="s">
        <v>13106</v>
      </c>
      <c r="L2470" t="s">
        <v>11157</v>
      </c>
      <c r="M2470" t="s">
        <v>11158</v>
      </c>
      <c r="P2470" t="s">
        <v>630</v>
      </c>
      <c r="Q2470" t="s">
        <v>11159</v>
      </c>
      <c r="Y2470" t="s">
        <v>13107</v>
      </c>
    </row>
    <row r="2471" spans="1:25" x14ac:dyDescent="0.25">
      <c r="A2471" t="str">
        <f>"1317718616"</f>
        <v>1317718616</v>
      </c>
      <c r="B2471" t="s">
        <v>1544</v>
      </c>
      <c r="C2471" t="s">
        <v>13112</v>
      </c>
      <c r="D2471" t="s">
        <v>13108</v>
      </c>
      <c r="E2471">
        <v>424006</v>
      </c>
      <c r="F2471" t="s">
        <v>1</v>
      </c>
      <c r="G2471" t="s">
        <v>2</v>
      </c>
      <c r="H2471" t="s">
        <v>13109</v>
      </c>
      <c r="I2471" t="s">
        <v>13110</v>
      </c>
      <c r="J2471" t="s">
        <v>13111</v>
      </c>
      <c r="P2471" t="s">
        <v>2513</v>
      </c>
      <c r="Q2471" t="s">
        <v>13113</v>
      </c>
      <c r="T2471" t="s">
        <v>13114</v>
      </c>
      <c r="V2471" t="s">
        <v>13115</v>
      </c>
      <c r="Y2471" t="s">
        <v>13116</v>
      </c>
    </row>
    <row r="2472" spans="1:25" x14ac:dyDescent="0.25">
      <c r="A2472" t="str">
        <f>"1317731670"</f>
        <v>1317731670</v>
      </c>
      <c r="B2472" t="s">
        <v>462</v>
      </c>
      <c r="C2472" t="s">
        <v>13123</v>
      </c>
      <c r="D2472" t="s">
        <v>13117</v>
      </c>
      <c r="E2472">
        <v>424038</v>
      </c>
      <c r="F2472" t="s">
        <v>1</v>
      </c>
      <c r="G2472" t="s">
        <v>2</v>
      </c>
      <c r="H2472" t="s">
        <v>13118</v>
      </c>
      <c r="I2472" t="s">
        <v>13119</v>
      </c>
      <c r="K2472" t="s">
        <v>13120</v>
      </c>
      <c r="L2472" t="s">
        <v>13121</v>
      </c>
      <c r="M2472" t="s">
        <v>13122</v>
      </c>
      <c r="P2472" t="s">
        <v>20</v>
      </c>
      <c r="Y2472" t="s">
        <v>13124</v>
      </c>
    </row>
    <row r="2473" spans="1:25" x14ac:dyDescent="0.25">
      <c r="A2473" t="str">
        <f>"1317774031"</f>
        <v>1317774031</v>
      </c>
      <c r="B2473" t="s">
        <v>519</v>
      </c>
      <c r="C2473" t="s">
        <v>13130</v>
      </c>
      <c r="D2473" t="s">
        <v>13125</v>
      </c>
      <c r="E2473">
        <v>424002</v>
      </c>
      <c r="F2473" t="s">
        <v>1</v>
      </c>
      <c r="G2473" t="s">
        <v>2</v>
      </c>
      <c r="H2473" t="s">
        <v>6656</v>
      </c>
      <c r="I2473" t="s">
        <v>13126</v>
      </c>
      <c r="J2473" t="s">
        <v>13127</v>
      </c>
      <c r="L2473" t="s">
        <v>13128</v>
      </c>
      <c r="M2473" t="s">
        <v>13129</v>
      </c>
      <c r="P2473" t="s">
        <v>4459</v>
      </c>
      <c r="Y2473" t="s">
        <v>11652</v>
      </c>
    </row>
    <row r="2474" spans="1:25" x14ac:dyDescent="0.25">
      <c r="A2474" t="str">
        <f>"1317794108"</f>
        <v>1317794108</v>
      </c>
      <c r="B2474" t="s">
        <v>123</v>
      </c>
      <c r="C2474" t="s">
        <v>424</v>
      </c>
      <c r="D2474" t="s">
        <v>13131</v>
      </c>
      <c r="E2474">
        <v>424036</v>
      </c>
      <c r="F2474" t="s">
        <v>1</v>
      </c>
      <c r="G2474" t="s">
        <v>2</v>
      </c>
      <c r="H2474" t="s">
        <v>13132</v>
      </c>
      <c r="I2474" t="s">
        <v>13133</v>
      </c>
      <c r="P2474" t="s">
        <v>4998</v>
      </c>
      <c r="Y2474" t="s">
        <v>13134</v>
      </c>
    </row>
    <row r="2475" spans="1:25" x14ac:dyDescent="0.25">
      <c r="A2475" t="str">
        <f>"1317810224"</f>
        <v>1317810224</v>
      </c>
      <c r="B2475" t="s">
        <v>3094</v>
      </c>
      <c r="C2475" t="s">
        <v>3095</v>
      </c>
      <c r="D2475" t="s">
        <v>13135</v>
      </c>
      <c r="E2475">
        <v>424028</v>
      </c>
      <c r="F2475" t="s">
        <v>1</v>
      </c>
      <c r="G2475" t="s">
        <v>2</v>
      </c>
      <c r="H2475" t="s">
        <v>13136</v>
      </c>
      <c r="I2475" t="s">
        <v>13137</v>
      </c>
      <c r="L2475" t="s">
        <v>13138</v>
      </c>
      <c r="P2475" t="s">
        <v>2879</v>
      </c>
      <c r="Y2475" t="s">
        <v>13139</v>
      </c>
    </row>
    <row r="2476" spans="1:25" x14ac:dyDescent="0.25">
      <c r="A2476" t="str">
        <f>"1317948248"</f>
        <v>1317948248</v>
      </c>
      <c r="B2476" t="s">
        <v>290</v>
      </c>
      <c r="C2476" t="s">
        <v>13143</v>
      </c>
      <c r="D2476" t="s">
        <v>13140</v>
      </c>
      <c r="E2476">
        <v>424002</v>
      </c>
      <c r="F2476" t="s">
        <v>1</v>
      </c>
      <c r="G2476" t="s">
        <v>2</v>
      </c>
      <c r="H2476" t="s">
        <v>13141</v>
      </c>
      <c r="I2476" t="s">
        <v>13142</v>
      </c>
      <c r="P2476" t="s">
        <v>13144</v>
      </c>
      <c r="Q2476" t="s">
        <v>13145</v>
      </c>
      <c r="V2476" t="s">
        <v>13146</v>
      </c>
      <c r="Y2476" t="s">
        <v>13147</v>
      </c>
    </row>
    <row r="2477" spans="1:25" x14ac:dyDescent="0.25">
      <c r="A2477" t="str">
        <f>"1317999132"</f>
        <v>1317999132</v>
      </c>
      <c r="B2477" t="s">
        <v>469</v>
      </c>
      <c r="C2477" t="s">
        <v>13151</v>
      </c>
      <c r="D2477" t="s">
        <v>13148</v>
      </c>
      <c r="E2477">
        <v>424000</v>
      </c>
      <c r="F2477" t="s">
        <v>1</v>
      </c>
      <c r="G2477" t="s">
        <v>2</v>
      </c>
      <c r="H2477" t="s">
        <v>2753</v>
      </c>
      <c r="I2477" t="s">
        <v>13149</v>
      </c>
      <c r="L2477" t="s">
        <v>2755</v>
      </c>
      <c r="M2477" t="s">
        <v>13150</v>
      </c>
      <c r="P2477" t="s">
        <v>1306</v>
      </c>
      <c r="Y2477" t="s">
        <v>13152</v>
      </c>
    </row>
    <row r="2478" spans="1:25" x14ac:dyDescent="0.25">
      <c r="A2478" t="str">
        <f>"1318159890"</f>
        <v>1318159890</v>
      </c>
      <c r="B2478" t="s">
        <v>110</v>
      </c>
      <c r="C2478" t="s">
        <v>13158</v>
      </c>
      <c r="D2478" t="s">
        <v>13153</v>
      </c>
      <c r="E2478">
        <v>424002</v>
      </c>
      <c r="F2478" t="s">
        <v>1</v>
      </c>
      <c r="G2478" t="s">
        <v>2</v>
      </c>
      <c r="H2478" t="s">
        <v>6656</v>
      </c>
      <c r="I2478" t="s">
        <v>13154</v>
      </c>
      <c r="J2478" t="s">
        <v>13155</v>
      </c>
      <c r="L2478" t="s">
        <v>13156</v>
      </c>
      <c r="M2478" t="s">
        <v>13157</v>
      </c>
      <c r="P2478" t="s">
        <v>13159</v>
      </c>
      <c r="Q2478" t="s">
        <v>13160</v>
      </c>
      <c r="T2478" t="s">
        <v>13161</v>
      </c>
      <c r="U2478" t="s">
        <v>13162</v>
      </c>
      <c r="V2478" t="s">
        <v>13163</v>
      </c>
      <c r="Y2478" t="s">
        <v>13164</v>
      </c>
    </row>
    <row r="2479" spans="1:25" x14ac:dyDescent="0.25">
      <c r="A2479" t="str">
        <f>"1318181978"</f>
        <v>1318181978</v>
      </c>
      <c r="B2479" t="s">
        <v>18</v>
      </c>
      <c r="C2479" t="s">
        <v>13168</v>
      </c>
      <c r="D2479" t="s">
        <v>13165</v>
      </c>
      <c r="E2479">
        <v>424033</v>
      </c>
      <c r="F2479" t="s">
        <v>1</v>
      </c>
      <c r="G2479" t="s">
        <v>2</v>
      </c>
      <c r="H2479" t="s">
        <v>2342</v>
      </c>
      <c r="I2479" t="s">
        <v>13166</v>
      </c>
      <c r="J2479" t="s">
        <v>13167</v>
      </c>
      <c r="P2479" t="s">
        <v>12317</v>
      </c>
      <c r="Y2479" t="s">
        <v>13169</v>
      </c>
    </row>
    <row r="2480" spans="1:25" x14ac:dyDescent="0.25">
      <c r="A2480" t="str">
        <f>"1318200318"</f>
        <v>1318200318</v>
      </c>
      <c r="B2480" t="s">
        <v>96</v>
      </c>
      <c r="C2480" t="s">
        <v>507</v>
      </c>
      <c r="D2480" t="s">
        <v>13170</v>
      </c>
      <c r="E2480">
        <v>424019</v>
      </c>
      <c r="F2480" t="s">
        <v>1</v>
      </c>
      <c r="G2480" t="s">
        <v>2</v>
      </c>
      <c r="H2480" t="s">
        <v>7785</v>
      </c>
      <c r="I2480" t="s">
        <v>13171</v>
      </c>
      <c r="L2480" t="s">
        <v>13172</v>
      </c>
      <c r="M2480" t="s">
        <v>13173</v>
      </c>
      <c r="P2480" t="s">
        <v>98</v>
      </c>
      <c r="Q2480" t="s">
        <v>13174</v>
      </c>
      <c r="V2480" t="s">
        <v>13175</v>
      </c>
      <c r="Y2480" t="s">
        <v>13176</v>
      </c>
    </row>
    <row r="2481" spans="1:25" x14ac:dyDescent="0.25">
      <c r="A2481" t="str">
        <f>"1318205844"</f>
        <v>1318205844</v>
      </c>
      <c r="B2481" t="s">
        <v>482</v>
      </c>
      <c r="C2481" t="s">
        <v>483</v>
      </c>
      <c r="D2481" t="s">
        <v>13177</v>
      </c>
      <c r="E2481">
        <v>424004</v>
      </c>
      <c r="F2481" t="s">
        <v>1</v>
      </c>
      <c r="G2481" t="s">
        <v>2</v>
      </c>
      <c r="H2481" t="s">
        <v>186</v>
      </c>
      <c r="J2481" t="s">
        <v>13178</v>
      </c>
      <c r="P2481" t="s">
        <v>152</v>
      </c>
      <c r="Y2481" t="s">
        <v>190</v>
      </c>
    </row>
    <row r="2482" spans="1:25" x14ac:dyDescent="0.25">
      <c r="A2482" t="str">
        <f>"1318243223"</f>
        <v>1318243223</v>
      </c>
      <c r="B2482" t="s">
        <v>797</v>
      </c>
      <c r="C2482" t="s">
        <v>13184</v>
      </c>
      <c r="D2482" t="s">
        <v>13179</v>
      </c>
      <c r="E2482">
        <v>424008</v>
      </c>
      <c r="F2482" t="s">
        <v>1</v>
      </c>
      <c r="G2482" t="s">
        <v>2</v>
      </c>
      <c r="H2482" t="s">
        <v>13180</v>
      </c>
      <c r="I2482" t="s">
        <v>13181</v>
      </c>
      <c r="K2482" t="s">
        <v>13182</v>
      </c>
      <c r="M2482" t="s">
        <v>13183</v>
      </c>
      <c r="P2482" t="s">
        <v>2020</v>
      </c>
      <c r="Y2482" t="s">
        <v>13185</v>
      </c>
    </row>
    <row r="2483" spans="1:25" x14ac:dyDescent="0.25">
      <c r="A2483" t="str">
        <f>"1318249678"</f>
        <v>1318249678</v>
      </c>
      <c r="B2483" t="s">
        <v>716</v>
      </c>
      <c r="C2483" t="s">
        <v>13188</v>
      </c>
      <c r="D2483" t="s">
        <v>13186</v>
      </c>
      <c r="E2483">
        <v>424030</v>
      </c>
      <c r="F2483" t="s">
        <v>1</v>
      </c>
      <c r="G2483" t="s">
        <v>2</v>
      </c>
      <c r="H2483" t="s">
        <v>13187</v>
      </c>
      <c r="P2483" t="s">
        <v>144</v>
      </c>
      <c r="Y2483" t="s">
        <v>13189</v>
      </c>
    </row>
    <row r="2484" spans="1:25" x14ac:dyDescent="0.25">
      <c r="A2484" t="str">
        <f>"1318274794"</f>
        <v>1318274794</v>
      </c>
      <c r="B2484" t="s">
        <v>930</v>
      </c>
      <c r="C2484" t="s">
        <v>13195</v>
      </c>
      <c r="D2484" t="s">
        <v>13190</v>
      </c>
      <c r="E2484">
        <v>424006</v>
      </c>
      <c r="F2484" t="s">
        <v>1</v>
      </c>
      <c r="G2484" t="s">
        <v>2</v>
      </c>
      <c r="H2484" t="s">
        <v>13191</v>
      </c>
      <c r="I2484" t="s">
        <v>13192</v>
      </c>
      <c r="J2484" t="s">
        <v>13193</v>
      </c>
      <c r="M2484" t="s">
        <v>13194</v>
      </c>
      <c r="P2484" t="s">
        <v>13196</v>
      </c>
      <c r="Y2484" t="s">
        <v>13197</v>
      </c>
    </row>
    <row r="2485" spans="1:25" x14ac:dyDescent="0.25">
      <c r="A2485" t="str">
        <f>"1318276133"</f>
        <v>1318276133</v>
      </c>
      <c r="B2485" t="s">
        <v>18</v>
      </c>
      <c r="C2485" t="s">
        <v>13201</v>
      </c>
      <c r="D2485" t="s">
        <v>13198</v>
      </c>
      <c r="E2485">
        <v>424000</v>
      </c>
      <c r="F2485" t="s">
        <v>1</v>
      </c>
      <c r="G2485" t="s">
        <v>2</v>
      </c>
      <c r="H2485" t="s">
        <v>1473</v>
      </c>
      <c r="I2485" t="s">
        <v>13199</v>
      </c>
      <c r="J2485" t="s">
        <v>13200</v>
      </c>
      <c r="P2485" t="s">
        <v>1160</v>
      </c>
      <c r="Y2485" t="s">
        <v>13202</v>
      </c>
    </row>
    <row r="2486" spans="1:25" x14ac:dyDescent="0.25">
      <c r="A2486" t="str">
        <f>"1318290962"</f>
        <v>1318290962</v>
      </c>
      <c r="B2486" t="s">
        <v>290</v>
      </c>
      <c r="C2486" t="s">
        <v>290</v>
      </c>
      <c r="D2486" t="s">
        <v>13203</v>
      </c>
      <c r="E2486">
        <v>424019</v>
      </c>
      <c r="F2486" t="s">
        <v>1</v>
      </c>
      <c r="G2486" t="s">
        <v>2</v>
      </c>
      <c r="H2486" t="s">
        <v>13204</v>
      </c>
      <c r="P2486" t="s">
        <v>13205</v>
      </c>
      <c r="Y2486" t="s">
        <v>13206</v>
      </c>
    </row>
    <row r="2487" spans="1:25" x14ac:dyDescent="0.25">
      <c r="A2487" t="str">
        <f>"1318293569"</f>
        <v>1318293569</v>
      </c>
      <c r="B2487" t="s">
        <v>397</v>
      </c>
      <c r="C2487" t="s">
        <v>13209</v>
      </c>
      <c r="D2487" t="s">
        <v>13207</v>
      </c>
      <c r="E2487">
        <v>424004</v>
      </c>
      <c r="F2487" t="s">
        <v>1</v>
      </c>
      <c r="G2487" t="s">
        <v>2</v>
      </c>
      <c r="H2487" t="s">
        <v>1880</v>
      </c>
      <c r="J2487" t="s">
        <v>13208</v>
      </c>
      <c r="P2487" t="s">
        <v>410</v>
      </c>
      <c r="Y2487" t="s">
        <v>13210</v>
      </c>
    </row>
    <row r="2488" spans="1:25" x14ac:dyDescent="0.25">
      <c r="A2488" t="str">
        <f>"1318351605"</f>
        <v>1318351605</v>
      </c>
      <c r="B2488" t="s">
        <v>1053</v>
      </c>
      <c r="C2488" t="s">
        <v>1927</v>
      </c>
      <c r="D2488" t="s">
        <v>13211</v>
      </c>
      <c r="E2488">
        <v>424003</v>
      </c>
      <c r="F2488" t="s">
        <v>1</v>
      </c>
      <c r="G2488" t="s">
        <v>2</v>
      </c>
      <c r="H2488" t="s">
        <v>13212</v>
      </c>
      <c r="I2488" t="s">
        <v>13213</v>
      </c>
      <c r="P2488" t="s">
        <v>330</v>
      </c>
      <c r="Y2488" t="s">
        <v>13214</v>
      </c>
    </row>
    <row r="2489" spans="1:25" x14ac:dyDescent="0.25">
      <c r="A2489" t="str">
        <f>"1318497254"</f>
        <v>1318497254</v>
      </c>
      <c r="B2489" t="s">
        <v>462</v>
      </c>
      <c r="C2489" t="s">
        <v>1140</v>
      </c>
      <c r="D2489" t="s">
        <v>13215</v>
      </c>
      <c r="E2489">
        <v>424039</v>
      </c>
      <c r="F2489" t="s">
        <v>1</v>
      </c>
      <c r="G2489" t="s">
        <v>2</v>
      </c>
      <c r="H2489" t="s">
        <v>13216</v>
      </c>
      <c r="I2489" t="s">
        <v>13217</v>
      </c>
      <c r="J2489" t="s">
        <v>13218</v>
      </c>
      <c r="K2489" t="s">
        <v>13219</v>
      </c>
      <c r="L2489" t="s">
        <v>13220</v>
      </c>
      <c r="M2489" t="s">
        <v>13221</v>
      </c>
      <c r="Y2489" t="s">
        <v>13222</v>
      </c>
    </row>
    <row r="2490" spans="1:25" x14ac:dyDescent="0.25">
      <c r="A2490" t="str">
        <f>"1318505822"</f>
        <v>1318505822</v>
      </c>
      <c r="B2490" t="s">
        <v>930</v>
      </c>
      <c r="C2490" t="s">
        <v>1096</v>
      </c>
      <c r="D2490" t="s">
        <v>13223</v>
      </c>
      <c r="E2490">
        <v>424007</v>
      </c>
      <c r="F2490" t="s">
        <v>1</v>
      </c>
      <c r="G2490" t="s">
        <v>2</v>
      </c>
      <c r="H2490" t="s">
        <v>2358</v>
      </c>
      <c r="I2490" t="s">
        <v>2359</v>
      </c>
      <c r="K2490" t="s">
        <v>2360</v>
      </c>
      <c r="P2490" t="s">
        <v>20</v>
      </c>
      <c r="Y2490" t="s">
        <v>2363</v>
      </c>
    </row>
    <row r="2491" spans="1:25" x14ac:dyDescent="0.25">
      <c r="A2491" t="str">
        <f>"1318523574"</f>
        <v>1318523574</v>
      </c>
      <c r="B2491" t="s">
        <v>25</v>
      </c>
      <c r="C2491" t="s">
        <v>5632</v>
      </c>
      <c r="D2491" t="s">
        <v>13224</v>
      </c>
      <c r="F2491" t="s">
        <v>1</v>
      </c>
      <c r="G2491" t="s">
        <v>2</v>
      </c>
      <c r="H2491" t="s">
        <v>13225</v>
      </c>
      <c r="I2491" t="s">
        <v>13226</v>
      </c>
      <c r="P2491" t="s">
        <v>13227</v>
      </c>
      <c r="Y2491" t="s">
        <v>13228</v>
      </c>
    </row>
    <row r="2492" spans="1:25" x14ac:dyDescent="0.25">
      <c r="A2492" t="str">
        <f>"1318739542"</f>
        <v>1318739542</v>
      </c>
      <c r="B2492" t="s">
        <v>553</v>
      </c>
      <c r="C2492" t="s">
        <v>554</v>
      </c>
      <c r="D2492" t="s">
        <v>13229</v>
      </c>
      <c r="E2492">
        <v>424002</v>
      </c>
      <c r="F2492" t="s">
        <v>1</v>
      </c>
      <c r="G2492" t="s">
        <v>2</v>
      </c>
      <c r="H2492" t="s">
        <v>1190</v>
      </c>
      <c r="I2492" t="s">
        <v>13230</v>
      </c>
      <c r="P2492" t="s">
        <v>2280</v>
      </c>
      <c r="Y2492" t="s">
        <v>1193</v>
      </c>
    </row>
    <row r="2493" spans="1:25" x14ac:dyDescent="0.25">
      <c r="A2493" t="str">
        <f>"1318825739"</f>
        <v>1318825739</v>
      </c>
      <c r="B2493" t="s">
        <v>3008</v>
      </c>
      <c r="C2493" t="s">
        <v>13234</v>
      </c>
      <c r="D2493" t="s">
        <v>13231</v>
      </c>
      <c r="E2493">
        <v>424037</v>
      </c>
      <c r="F2493" t="s">
        <v>1</v>
      </c>
      <c r="G2493" t="s">
        <v>2</v>
      </c>
      <c r="H2493" t="s">
        <v>13232</v>
      </c>
      <c r="J2493" t="s">
        <v>13233</v>
      </c>
      <c r="P2493" t="s">
        <v>152</v>
      </c>
      <c r="Y2493" t="s">
        <v>13235</v>
      </c>
    </row>
    <row r="2494" spans="1:25" x14ac:dyDescent="0.25">
      <c r="A2494" t="str">
        <f>"1318879510"</f>
        <v>1318879510</v>
      </c>
      <c r="B2494" t="s">
        <v>640</v>
      </c>
      <c r="C2494" t="s">
        <v>663</v>
      </c>
      <c r="D2494" t="s">
        <v>13236</v>
      </c>
      <c r="F2494" t="s">
        <v>1</v>
      </c>
      <c r="G2494" t="s">
        <v>2</v>
      </c>
      <c r="H2494" t="s">
        <v>6353</v>
      </c>
      <c r="J2494" t="s">
        <v>13237</v>
      </c>
      <c r="P2494" t="s">
        <v>13238</v>
      </c>
      <c r="Y2494" t="s">
        <v>13239</v>
      </c>
    </row>
    <row r="2495" spans="1:25" x14ac:dyDescent="0.25">
      <c r="A2495" t="str">
        <f>"1318970490"</f>
        <v>1318970490</v>
      </c>
      <c r="B2495" t="s">
        <v>5745</v>
      </c>
      <c r="C2495" t="s">
        <v>11619</v>
      </c>
      <c r="D2495" t="s">
        <v>13240</v>
      </c>
      <c r="E2495">
        <v>424007</v>
      </c>
      <c r="F2495" t="s">
        <v>1</v>
      </c>
      <c r="G2495" t="s">
        <v>2</v>
      </c>
      <c r="H2495" t="s">
        <v>5711</v>
      </c>
      <c r="J2495" t="s">
        <v>13241</v>
      </c>
      <c r="P2495" t="s">
        <v>1232</v>
      </c>
      <c r="Y2495" t="s">
        <v>5713</v>
      </c>
    </row>
    <row r="2496" spans="1:25" x14ac:dyDescent="0.25">
      <c r="A2496" t="str">
        <f>"1319039494"</f>
        <v>1319039494</v>
      </c>
      <c r="B2496" t="s">
        <v>32</v>
      </c>
      <c r="C2496" t="s">
        <v>182</v>
      </c>
      <c r="D2496" t="s">
        <v>13242</v>
      </c>
      <c r="E2496">
        <v>424002</v>
      </c>
      <c r="F2496" t="s">
        <v>1</v>
      </c>
      <c r="G2496" t="s">
        <v>2</v>
      </c>
      <c r="H2496" t="s">
        <v>13243</v>
      </c>
      <c r="I2496" t="s">
        <v>13244</v>
      </c>
      <c r="P2496" t="s">
        <v>4093</v>
      </c>
      <c r="Y2496" t="s">
        <v>13245</v>
      </c>
    </row>
    <row r="2497" spans="1:25" x14ac:dyDescent="0.25">
      <c r="A2497" t="str">
        <f>"1319063390"</f>
        <v>1319063390</v>
      </c>
      <c r="B2497" t="s">
        <v>25</v>
      </c>
      <c r="C2497" t="s">
        <v>1005</v>
      </c>
      <c r="D2497" t="s">
        <v>13246</v>
      </c>
      <c r="F2497" t="s">
        <v>1</v>
      </c>
      <c r="G2497" t="s">
        <v>2</v>
      </c>
      <c r="H2497" t="s">
        <v>5118</v>
      </c>
      <c r="I2497" t="s">
        <v>13247</v>
      </c>
      <c r="L2497" t="s">
        <v>13248</v>
      </c>
      <c r="M2497" t="s">
        <v>13249</v>
      </c>
      <c r="P2497" t="s">
        <v>20</v>
      </c>
      <c r="Y2497" t="s">
        <v>13250</v>
      </c>
    </row>
    <row r="2498" spans="1:25" x14ac:dyDescent="0.25">
      <c r="A2498" t="str">
        <f>"1319303256"</f>
        <v>1319303256</v>
      </c>
      <c r="B2498" t="s">
        <v>151</v>
      </c>
      <c r="C2498" t="s">
        <v>151</v>
      </c>
      <c r="D2498" t="s">
        <v>13251</v>
      </c>
      <c r="E2498">
        <v>424002</v>
      </c>
      <c r="F2498" t="s">
        <v>1</v>
      </c>
      <c r="G2498" t="s">
        <v>2</v>
      </c>
      <c r="H2498" t="s">
        <v>9744</v>
      </c>
      <c r="I2498" t="s">
        <v>13252</v>
      </c>
      <c r="J2498" t="s">
        <v>13253</v>
      </c>
      <c r="P2498" t="s">
        <v>1160</v>
      </c>
      <c r="Y2498" t="s">
        <v>13254</v>
      </c>
    </row>
    <row r="2499" spans="1:25" x14ac:dyDescent="0.25">
      <c r="A2499" t="str">
        <f>"1319307148"</f>
        <v>1319307148</v>
      </c>
      <c r="B2499" t="s">
        <v>430</v>
      </c>
      <c r="C2499" t="s">
        <v>13258</v>
      </c>
      <c r="D2499" t="s">
        <v>13255</v>
      </c>
      <c r="E2499">
        <v>424003</v>
      </c>
      <c r="F2499" t="s">
        <v>1</v>
      </c>
      <c r="G2499" t="s">
        <v>2</v>
      </c>
      <c r="H2499" t="s">
        <v>13256</v>
      </c>
      <c r="I2499" t="s">
        <v>13257</v>
      </c>
      <c r="P2499" t="s">
        <v>12988</v>
      </c>
      <c r="Y2499" t="s">
        <v>13259</v>
      </c>
    </row>
    <row r="2500" spans="1:25" x14ac:dyDescent="0.25">
      <c r="A2500" t="str">
        <f>"1319398405"</f>
        <v>1319398405</v>
      </c>
      <c r="B2500" t="s">
        <v>18</v>
      </c>
      <c r="C2500" t="s">
        <v>13264</v>
      </c>
      <c r="D2500" t="s">
        <v>13260</v>
      </c>
      <c r="E2500">
        <v>424016</v>
      </c>
      <c r="F2500" t="s">
        <v>1</v>
      </c>
      <c r="G2500" t="s">
        <v>2</v>
      </c>
      <c r="H2500" t="s">
        <v>12286</v>
      </c>
      <c r="I2500" t="s">
        <v>13261</v>
      </c>
      <c r="L2500" t="s">
        <v>13262</v>
      </c>
      <c r="M2500" t="s">
        <v>13263</v>
      </c>
      <c r="P2500" t="s">
        <v>280</v>
      </c>
      <c r="Y2500" t="s">
        <v>13265</v>
      </c>
    </row>
    <row r="2501" spans="1:25" x14ac:dyDescent="0.25">
      <c r="A2501" t="str">
        <f>"1319462370"</f>
        <v>1319462370</v>
      </c>
      <c r="B2501" t="s">
        <v>348</v>
      </c>
      <c r="C2501" t="s">
        <v>13269</v>
      </c>
      <c r="D2501" t="s">
        <v>6973</v>
      </c>
      <c r="E2501">
        <v>424006</v>
      </c>
      <c r="F2501" t="s">
        <v>1</v>
      </c>
      <c r="G2501" t="s">
        <v>2</v>
      </c>
      <c r="H2501" t="s">
        <v>445</v>
      </c>
      <c r="I2501" t="s">
        <v>13266</v>
      </c>
      <c r="L2501" t="s">
        <v>13267</v>
      </c>
      <c r="M2501" t="s">
        <v>13268</v>
      </c>
      <c r="P2501" t="s">
        <v>20</v>
      </c>
      <c r="Q2501" t="s">
        <v>6980</v>
      </c>
      <c r="V2501" t="s">
        <v>6981</v>
      </c>
      <c r="Y2501" t="s">
        <v>8488</v>
      </c>
    </row>
    <row r="2502" spans="1:25" x14ac:dyDescent="0.25">
      <c r="A2502" t="str">
        <f>"1319597472"</f>
        <v>1319597472</v>
      </c>
      <c r="B2502" t="s">
        <v>553</v>
      </c>
      <c r="C2502" t="s">
        <v>554</v>
      </c>
      <c r="D2502" t="s">
        <v>13270</v>
      </c>
      <c r="E2502">
        <v>424006</v>
      </c>
      <c r="F2502" t="s">
        <v>1</v>
      </c>
      <c r="G2502" t="s">
        <v>2</v>
      </c>
      <c r="H2502" t="s">
        <v>13271</v>
      </c>
      <c r="J2502" t="s">
        <v>13272</v>
      </c>
      <c r="P2502" t="s">
        <v>133</v>
      </c>
      <c r="Y2502" t="s">
        <v>13273</v>
      </c>
    </row>
    <row r="2503" spans="1:25" x14ac:dyDescent="0.25">
      <c r="A2503" t="str">
        <f>"1319607525"</f>
        <v>1319607525</v>
      </c>
      <c r="B2503" t="s">
        <v>1053</v>
      </c>
      <c r="C2503" t="s">
        <v>1927</v>
      </c>
      <c r="D2503" t="s">
        <v>13274</v>
      </c>
      <c r="E2503">
        <v>424002</v>
      </c>
      <c r="F2503" t="s">
        <v>1</v>
      </c>
      <c r="G2503" t="s">
        <v>2</v>
      </c>
      <c r="H2503" t="s">
        <v>57</v>
      </c>
      <c r="I2503" t="s">
        <v>13275</v>
      </c>
      <c r="P2503" t="s">
        <v>2979</v>
      </c>
      <c r="Y2503" t="s">
        <v>3783</v>
      </c>
    </row>
    <row r="2504" spans="1:25" x14ac:dyDescent="0.25">
      <c r="A2504" t="str">
        <f>"1319647362"</f>
        <v>1319647362</v>
      </c>
      <c r="B2504" t="s">
        <v>18</v>
      </c>
      <c r="C2504" t="s">
        <v>13281</v>
      </c>
      <c r="D2504" t="s">
        <v>13276</v>
      </c>
      <c r="E2504">
        <v>424006</v>
      </c>
      <c r="F2504" t="s">
        <v>1</v>
      </c>
      <c r="G2504" t="s">
        <v>2</v>
      </c>
      <c r="H2504" t="s">
        <v>10686</v>
      </c>
      <c r="I2504" t="s">
        <v>13277</v>
      </c>
      <c r="J2504" t="s">
        <v>13278</v>
      </c>
      <c r="L2504" t="s">
        <v>13279</v>
      </c>
      <c r="M2504" t="s">
        <v>13280</v>
      </c>
      <c r="P2504" t="s">
        <v>911</v>
      </c>
      <c r="Q2504" t="s">
        <v>13282</v>
      </c>
      <c r="Y2504" t="s">
        <v>10690</v>
      </c>
    </row>
    <row r="2505" spans="1:25" x14ac:dyDescent="0.25">
      <c r="A2505" t="str">
        <f>"1319662091"</f>
        <v>1319662091</v>
      </c>
      <c r="B2505" t="s">
        <v>1053</v>
      </c>
      <c r="C2505" t="s">
        <v>13288</v>
      </c>
      <c r="D2505" t="s">
        <v>13283</v>
      </c>
      <c r="E2505">
        <v>424006</v>
      </c>
      <c r="F2505" t="s">
        <v>1</v>
      </c>
      <c r="G2505" t="s">
        <v>2</v>
      </c>
      <c r="H2505" t="s">
        <v>13284</v>
      </c>
      <c r="I2505" t="s">
        <v>13285</v>
      </c>
      <c r="L2505" t="s">
        <v>13286</v>
      </c>
      <c r="M2505" t="s">
        <v>13287</v>
      </c>
      <c r="P2505" t="s">
        <v>13289</v>
      </c>
      <c r="Q2505" t="s">
        <v>13290</v>
      </c>
      <c r="Y2505" t="s">
        <v>13291</v>
      </c>
    </row>
    <row r="2506" spans="1:25" x14ac:dyDescent="0.25">
      <c r="A2506" t="str">
        <f>"1319747138"</f>
        <v>1319747138</v>
      </c>
      <c r="B2506" t="s">
        <v>1053</v>
      </c>
      <c r="C2506" t="s">
        <v>1927</v>
      </c>
      <c r="D2506" t="s">
        <v>13292</v>
      </c>
      <c r="E2506">
        <v>424020</v>
      </c>
      <c r="F2506" t="s">
        <v>1</v>
      </c>
      <c r="G2506" t="s">
        <v>2</v>
      </c>
      <c r="H2506" t="s">
        <v>1837</v>
      </c>
      <c r="J2506" t="s">
        <v>13293</v>
      </c>
      <c r="P2506" t="s">
        <v>280</v>
      </c>
      <c r="Y2506" t="s">
        <v>1842</v>
      </c>
    </row>
    <row r="2507" spans="1:25" x14ac:dyDescent="0.25">
      <c r="A2507" t="str">
        <f>"1319998484"</f>
        <v>1319998484</v>
      </c>
      <c r="B2507" t="s">
        <v>7</v>
      </c>
      <c r="C2507" t="s">
        <v>13296</v>
      </c>
      <c r="D2507" t="s">
        <v>13294</v>
      </c>
      <c r="E2507">
        <v>424003</v>
      </c>
      <c r="F2507" t="s">
        <v>1</v>
      </c>
      <c r="G2507" t="s">
        <v>2</v>
      </c>
      <c r="H2507" t="s">
        <v>2465</v>
      </c>
      <c r="J2507" t="s">
        <v>13295</v>
      </c>
      <c r="P2507" t="s">
        <v>152</v>
      </c>
      <c r="Y2507" t="s">
        <v>13297</v>
      </c>
    </row>
    <row r="2508" spans="1:25" x14ac:dyDescent="0.25">
      <c r="A2508" t="str">
        <f>"1320128574"</f>
        <v>1320128574</v>
      </c>
      <c r="B2508" t="s">
        <v>1152</v>
      </c>
      <c r="C2508" t="s">
        <v>8523</v>
      </c>
      <c r="D2508" t="s">
        <v>13298</v>
      </c>
      <c r="E2508">
        <v>424033</v>
      </c>
      <c r="F2508" t="s">
        <v>1</v>
      </c>
      <c r="G2508" t="s">
        <v>2</v>
      </c>
      <c r="H2508" t="s">
        <v>6875</v>
      </c>
      <c r="I2508" t="s">
        <v>13299</v>
      </c>
      <c r="P2508" t="s">
        <v>13300</v>
      </c>
      <c r="Y2508" t="s">
        <v>13301</v>
      </c>
    </row>
    <row r="2509" spans="1:25" x14ac:dyDescent="0.25">
      <c r="A2509" t="str">
        <f>"1320281647"</f>
        <v>1320281647</v>
      </c>
      <c r="B2509" t="s">
        <v>18</v>
      </c>
      <c r="C2509" t="s">
        <v>13305</v>
      </c>
      <c r="D2509" t="s">
        <v>13302</v>
      </c>
      <c r="E2509">
        <v>424003</v>
      </c>
      <c r="F2509" t="s">
        <v>1</v>
      </c>
      <c r="G2509" t="s">
        <v>2</v>
      </c>
      <c r="H2509" t="s">
        <v>13303</v>
      </c>
      <c r="I2509" t="s">
        <v>13304</v>
      </c>
      <c r="K2509" t="s">
        <v>814</v>
      </c>
      <c r="P2509" t="s">
        <v>13306</v>
      </c>
      <c r="Y2509" t="s">
        <v>13307</v>
      </c>
    </row>
    <row r="2510" spans="1:25" x14ac:dyDescent="0.25">
      <c r="A2510" t="str">
        <f>"1320387950"</f>
        <v>1320387950</v>
      </c>
      <c r="B2510" t="s">
        <v>352</v>
      </c>
      <c r="C2510" t="s">
        <v>353</v>
      </c>
      <c r="D2510" t="s">
        <v>13308</v>
      </c>
      <c r="E2510">
        <v>424032</v>
      </c>
      <c r="F2510" t="s">
        <v>1</v>
      </c>
      <c r="G2510" t="s">
        <v>2</v>
      </c>
      <c r="H2510" t="s">
        <v>11296</v>
      </c>
      <c r="I2510" t="s">
        <v>13309</v>
      </c>
      <c r="J2510" t="s">
        <v>13310</v>
      </c>
      <c r="K2510" t="s">
        <v>13311</v>
      </c>
      <c r="L2510" t="s">
        <v>13312</v>
      </c>
      <c r="M2510" t="s">
        <v>13313</v>
      </c>
      <c r="P2510" t="s">
        <v>280</v>
      </c>
      <c r="Y2510" t="s">
        <v>11299</v>
      </c>
    </row>
    <row r="2511" spans="1:25" x14ac:dyDescent="0.25">
      <c r="A2511" t="str">
        <f>"1320464338"</f>
        <v>1320464338</v>
      </c>
      <c r="B2511" t="s">
        <v>703</v>
      </c>
      <c r="C2511" t="s">
        <v>13318</v>
      </c>
      <c r="D2511" t="s">
        <v>13314</v>
      </c>
      <c r="E2511">
        <v>424007</v>
      </c>
      <c r="F2511" t="s">
        <v>1</v>
      </c>
      <c r="G2511" t="s">
        <v>2</v>
      </c>
      <c r="H2511" t="s">
        <v>3243</v>
      </c>
      <c r="I2511" t="s">
        <v>13315</v>
      </c>
      <c r="L2511" t="s">
        <v>13316</v>
      </c>
      <c r="M2511" t="s">
        <v>13317</v>
      </c>
      <c r="P2511" t="s">
        <v>696</v>
      </c>
      <c r="Q2511" t="s">
        <v>13319</v>
      </c>
      <c r="R2511" t="s">
        <v>13320</v>
      </c>
      <c r="S2511" t="s">
        <v>13321</v>
      </c>
      <c r="T2511" t="s">
        <v>13322</v>
      </c>
      <c r="V2511" t="s">
        <v>13323</v>
      </c>
      <c r="Y2511" t="s">
        <v>3249</v>
      </c>
    </row>
    <row r="2512" spans="1:25" x14ac:dyDescent="0.25">
      <c r="A2512" t="str">
        <f>"1320622192"</f>
        <v>1320622192</v>
      </c>
      <c r="B2512" t="s">
        <v>1152</v>
      </c>
      <c r="C2512" t="s">
        <v>1385</v>
      </c>
      <c r="D2512" t="s">
        <v>13324</v>
      </c>
      <c r="E2512">
        <v>424036</v>
      </c>
      <c r="F2512" t="s">
        <v>1</v>
      </c>
      <c r="G2512" t="s">
        <v>2</v>
      </c>
      <c r="H2512" t="s">
        <v>13325</v>
      </c>
      <c r="I2512" t="s">
        <v>13326</v>
      </c>
      <c r="P2512" t="s">
        <v>13327</v>
      </c>
      <c r="Y2512" t="s">
        <v>13328</v>
      </c>
    </row>
    <row r="2513" spans="1:25" x14ac:dyDescent="0.25">
      <c r="A2513" t="str">
        <f>"1320665658"</f>
        <v>1320665658</v>
      </c>
      <c r="B2513" t="s">
        <v>243</v>
      </c>
      <c r="C2513" t="s">
        <v>2538</v>
      </c>
      <c r="D2513" t="s">
        <v>13329</v>
      </c>
      <c r="E2513">
        <v>424006</v>
      </c>
      <c r="F2513" t="s">
        <v>1</v>
      </c>
      <c r="G2513" t="s">
        <v>2</v>
      </c>
      <c r="H2513" t="s">
        <v>451</v>
      </c>
      <c r="I2513" t="s">
        <v>13330</v>
      </c>
      <c r="L2513" t="s">
        <v>13331</v>
      </c>
      <c r="P2513" t="s">
        <v>2923</v>
      </c>
      <c r="Y2513" t="s">
        <v>459</v>
      </c>
    </row>
    <row r="2514" spans="1:25" x14ac:dyDescent="0.25">
      <c r="A2514" t="str">
        <f>"1320725605"</f>
        <v>1320725605</v>
      </c>
      <c r="B2514" t="s">
        <v>7</v>
      </c>
      <c r="C2514" t="s">
        <v>6023</v>
      </c>
      <c r="D2514" t="s">
        <v>13332</v>
      </c>
      <c r="E2514">
        <v>424000</v>
      </c>
      <c r="F2514" t="s">
        <v>1</v>
      </c>
      <c r="G2514" t="s">
        <v>2</v>
      </c>
      <c r="H2514" t="s">
        <v>12303</v>
      </c>
      <c r="I2514" t="s">
        <v>13333</v>
      </c>
      <c r="J2514" t="s">
        <v>13334</v>
      </c>
      <c r="P2514" t="s">
        <v>152</v>
      </c>
      <c r="Y2514" t="s">
        <v>13335</v>
      </c>
    </row>
    <row r="2515" spans="1:25" x14ac:dyDescent="0.25">
      <c r="A2515" t="str">
        <f>"1320775256"</f>
        <v>1320775256</v>
      </c>
      <c r="B2515" t="s">
        <v>1053</v>
      </c>
      <c r="C2515" t="s">
        <v>1927</v>
      </c>
      <c r="D2515" t="s">
        <v>13336</v>
      </c>
      <c r="E2515">
        <v>424038</v>
      </c>
      <c r="F2515" t="s">
        <v>1</v>
      </c>
      <c r="G2515" t="s">
        <v>2</v>
      </c>
      <c r="H2515" t="s">
        <v>6550</v>
      </c>
      <c r="I2515" t="s">
        <v>13337</v>
      </c>
      <c r="P2515" t="s">
        <v>20</v>
      </c>
      <c r="Y2515" t="s">
        <v>6552</v>
      </c>
    </row>
    <row r="2516" spans="1:25" x14ac:dyDescent="0.25">
      <c r="A2516" t="str">
        <f>"1320843111"</f>
        <v>1320843111</v>
      </c>
      <c r="B2516" t="s">
        <v>379</v>
      </c>
      <c r="C2516" t="s">
        <v>766</v>
      </c>
      <c r="D2516" t="s">
        <v>13338</v>
      </c>
      <c r="E2516">
        <v>424007</v>
      </c>
      <c r="F2516" t="s">
        <v>1</v>
      </c>
      <c r="G2516" t="s">
        <v>2</v>
      </c>
      <c r="H2516" t="s">
        <v>5281</v>
      </c>
      <c r="I2516" t="s">
        <v>13339</v>
      </c>
      <c r="J2516" t="s">
        <v>13340</v>
      </c>
      <c r="P2516" t="s">
        <v>2923</v>
      </c>
      <c r="Y2516" t="s">
        <v>13341</v>
      </c>
    </row>
    <row r="2517" spans="1:25" x14ac:dyDescent="0.25">
      <c r="A2517" t="str">
        <f>"1320859048"</f>
        <v>1320859048</v>
      </c>
      <c r="B2517" t="s">
        <v>7</v>
      </c>
      <c r="C2517" t="s">
        <v>13346</v>
      </c>
      <c r="D2517" t="s">
        <v>13342</v>
      </c>
      <c r="E2517">
        <v>424001</v>
      </c>
      <c r="F2517" t="s">
        <v>1</v>
      </c>
      <c r="G2517" t="s">
        <v>2</v>
      </c>
      <c r="H2517" t="s">
        <v>919</v>
      </c>
      <c r="I2517" t="s">
        <v>13343</v>
      </c>
      <c r="L2517" t="s">
        <v>13344</v>
      </c>
      <c r="M2517" t="s">
        <v>13345</v>
      </c>
      <c r="P2517" t="s">
        <v>9533</v>
      </c>
      <c r="Q2517" t="s">
        <v>13347</v>
      </c>
      <c r="V2517" t="s">
        <v>13348</v>
      </c>
      <c r="Y2517" t="s">
        <v>13349</v>
      </c>
    </row>
    <row r="2518" spans="1:25" x14ac:dyDescent="0.25">
      <c r="A2518" t="str">
        <f>"1321059084"</f>
        <v>1321059084</v>
      </c>
      <c r="B2518" t="s">
        <v>1053</v>
      </c>
      <c r="C2518" t="s">
        <v>13354</v>
      </c>
      <c r="D2518" t="s">
        <v>13350</v>
      </c>
      <c r="E2518">
        <v>424007</v>
      </c>
      <c r="F2518" t="s">
        <v>1</v>
      </c>
      <c r="G2518" t="s">
        <v>2</v>
      </c>
      <c r="H2518" t="s">
        <v>3119</v>
      </c>
      <c r="J2518" t="s">
        <v>13351</v>
      </c>
      <c r="L2518" t="s">
        <v>13352</v>
      </c>
      <c r="M2518" t="s">
        <v>13353</v>
      </c>
      <c r="P2518" t="s">
        <v>13355</v>
      </c>
      <c r="Q2518" t="s">
        <v>13356</v>
      </c>
      <c r="Y2518" t="s">
        <v>6812</v>
      </c>
    </row>
    <row r="2519" spans="1:25" x14ac:dyDescent="0.25">
      <c r="A2519" t="str">
        <f>"1321161182"</f>
        <v>1321161182</v>
      </c>
      <c r="B2519" t="s">
        <v>160</v>
      </c>
      <c r="C2519" t="s">
        <v>9976</v>
      </c>
      <c r="D2519" t="s">
        <v>13357</v>
      </c>
      <c r="E2519">
        <v>424036</v>
      </c>
      <c r="F2519" t="s">
        <v>1</v>
      </c>
      <c r="G2519" t="s">
        <v>2</v>
      </c>
      <c r="H2519" t="s">
        <v>13358</v>
      </c>
      <c r="J2519" t="s">
        <v>13359</v>
      </c>
      <c r="P2519" t="s">
        <v>13360</v>
      </c>
      <c r="Y2519" t="s">
        <v>13361</v>
      </c>
    </row>
    <row r="2520" spans="1:25" x14ac:dyDescent="0.25">
      <c r="A2520" t="str">
        <f>"1321166758"</f>
        <v>1321166758</v>
      </c>
      <c r="B2520" t="s">
        <v>328</v>
      </c>
      <c r="C2520" t="s">
        <v>13365</v>
      </c>
      <c r="D2520" t="s">
        <v>13362</v>
      </c>
      <c r="E2520">
        <v>424007</v>
      </c>
      <c r="F2520" t="s">
        <v>1</v>
      </c>
      <c r="G2520" t="s">
        <v>2</v>
      </c>
      <c r="H2520" t="s">
        <v>13363</v>
      </c>
      <c r="I2520" t="s">
        <v>13364</v>
      </c>
      <c r="P2520" t="s">
        <v>152</v>
      </c>
      <c r="Y2520" t="s">
        <v>13366</v>
      </c>
    </row>
    <row r="2521" spans="1:25" x14ac:dyDescent="0.25">
      <c r="A2521" t="str">
        <f>"1321221010"</f>
        <v>1321221010</v>
      </c>
      <c r="B2521" t="s">
        <v>456</v>
      </c>
      <c r="C2521" t="s">
        <v>13371</v>
      </c>
      <c r="D2521" t="s">
        <v>13367</v>
      </c>
      <c r="E2521">
        <v>424007</v>
      </c>
      <c r="F2521" t="s">
        <v>1</v>
      </c>
      <c r="G2521" t="s">
        <v>2</v>
      </c>
      <c r="H2521" t="s">
        <v>7511</v>
      </c>
      <c r="J2521" t="s">
        <v>13368</v>
      </c>
      <c r="L2521" t="s">
        <v>13369</v>
      </c>
      <c r="M2521" t="s">
        <v>13370</v>
      </c>
      <c r="P2521" t="s">
        <v>27</v>
      </c>
      <c r="Y2521" t="s">
        <v>7512</v>
      </c>
    </row>
    <row r="2522" spans="1:25" x14ac:dyDescent="0.25">
      <c r="A2522" t="str">
        <f>"1321251501"</f>
        <v>1321251501</v>
      </c>
      <c r="B2522" t="s">
        <v>18</v>
      </c>
      <c r="C2522" t="s">
        <v>13378</v>
      </c>
      <c r="D2522" t="s">
        <v>13372</v>
      </c>
      <c r="E2522">
        <v>424028</v>
      </c>
      <c r="F2522" t="s">
        <v>1</v>
      </c>
      <c r="G2522" t="s">
        <v>2</v>
      </c>
      <c r="H2522" t="s">
        <v>13373</v>
      </c>
      <c r="I2522" t="s">
        <v>13374</v>
      </c>
      <c r="J2522" t="s">
        <v>13375</v>
      </c>
      <c r="L2522" t="s">
        <v>13376</v>
      </c>
      <c r="M2522" t="s">
        <v>13377</v>
      </c>
      <c r="P2522" t="s">
        <v>10133</v>
      </c>
      <c r="Y2522" t="s">
        <v>13379</v>
      </c>
    </row>
    <row r="2523" spans="1:25" x14ac:dyDescent="0.25">
      <c r="A2523" t="str">
        <f>"1321295572"</f>
        <v>1321295572</v>
      </c>
      <c r="B2523" t="s">
        <v>18</v>
      </c>
      <c r="C2523" t="s">
        <v>143</v>
      </c>
      <c r="D2523" t="s">
        <v>13380</v>
      </c>
      <c r="E2523">
        <v>424006</v>
      </c>
      <c r="F2523" t="s">
        <v>1</v>
      </c>
      <c r="G2523" t="s">
        <v>2</v>
      </c>
      <c r="H2523" t="s">
        <v>2012</v>
      </c>
      <c r="I2523" t="s">
        <v>13381</v>
      </c>
      <c r="P2523" t="s">
        <v>20</v>
      </c>
      <c r="Y2523" t="s">
        <v>2016</v>
      </c>
    </row>
    <row r="2524" spans="1:25" x14ac:dyDescent="0.25">
      <c r="A2524" t="str">
        <f>"1321398603"</f>
        <v>1321398603</v>
      </c>
      <c r="B2524" t="s">
        <v>2104</v>
      </c>
      <c r="C2524" t="s">
        <v>13387</v>
      </c>
      <c r="D2524" t="s">
        <v>13382</v>
      </c>
      <c r="E2524">
        <v>424006</v>
      </c>
      <c r="F2524" t="s">
        <v>1</v>
      </c>
      <c r="G2524" t="s">
        <v>2</v>
      </c>
      <c r="H2524" t="s">
        <v>13383</v>
      </c>
      <c r="I2524" t="s">
        <v>13384</v>
      </c>
      <c r="L2524" t="s">
        <v>13385</v>
      </c>
      <c r="M2524" t="s">
        <v>13386</v>
      </c>
      <c r="P2524" t="s">
        <v>13388</v>
      </c>
      <c r="Y2524" t="s">
        <v>13389</v>
      </c>
    </row>
    <row r="2525" spans="1:25" x14ac:dyDescent="0.25">
      <c r="A2525" t="str">
        <f>"1321423638"</f>
        <v>1321423638</v>
      </c>
      <c r="B2525" t="s">
        <v>96</v>
      </c>
      <c r="C2525" t="s">
        <v>13394</v>
      </c>
      <c r="D2525" t="s">
        <v>13390</v>
      </c>
      <c r="E2525">
        <v>424019</v>
      </c>
      <c r="F2525" t="s">
        <v>1</v>
      </c>
      <c r="G2525" t="s">
        <v>2</v>
      </c>
      <c r="H2525" t="s">
        <v>7785</v>
      </c>
      <c r="I2525" t="s">
        <v>13391</v>
      </c>
      <c r="L2525" t="s">
        <v>13392</v>
      </c>
      <c r="M2525" t="s">
        <v>13393</v>
      </c>
      <c r="P2525" t="s">
        <v>98</v>
      </c>
      <c r="Q2525" t="s">
        <v>13395</v>
      </c>
      <c r="Y2525" t="s">
        <v>13396</v>
      </c>
    </row>
    <row r="2526" spans="1:25" x14ac:dyDescent="0.25">
      <c r="A2526" t="str">
        <f>"1321500822"</f>
        <v>1321500822</v>
      </c>
      <c r="B2526" t="s">
        <v>123</v>
      </c>
      <c r="C2526" t="s">
        <v>424</v>
      </c>
      <c r="D2526" t="s">
        <v>13397</v>
      </c>
      <c r="E2526">
        <v>424000</v>
      </c>
      <c r="F2526" t="s">
        <v>1</v>
      </c>
      <c r="G2526" t="s">
        <v>2</v>
      </c>
      <c r="H2526" t="s">
        <v>13398</v>
      </c>
      <c r="I2526" t="s">
        <v>13399</v>
      </c>
      <c r="M2526" t="s">
        <v>13400</v>
      </c>
      <c r="P2526" t="s">
        <v>425</v>
      </c>
      <c r="Y2526" t="s">
        <v>13401</v>
      </c>
    </row>
    <row r="2527" spans="1:25" x14ac:dyDescent="0.25">
      <c r="A2527" t="str">
        <f>"1321542707"</f>
        <v>1321542707</v>
      </c>
      <c r="B2527" t="s">
        <v>1611</v>
      </c>
      <c r="C2527" t="s">
        <v>3218</v>
      </c>
      <c r="D2527" t="s">
        <v>13402</v>
      </c>
      <c r="E2527">
        <v>424037</v>
      </c>
      <c r="F2527" t="s">
        <v>1</v>
      </c>
      <c r="G2527" t="s">
        <v>2</v>
      </c>
      <c r="H2527" t="s">
        <v>3216</v>
      </c>
      <c r="I2527" t="s">
        <v>13403</v>
      </c>
      <c r="L2527" t="s">
        <v>3217</v>
      </c>
      <c r="Y2527" t="s">
        <v>13404</v>
      </c>
    </row>
    <row r="2528" spans="1:25" x14ac:dyDescent="0.25">
      <c r="A2528" t="str">
        <f>"1321572782"</f>
        <v>1321572782</v>
      </c>
      <c r="B2528" t="s">
        <v>96</v>
      </c>
      <c r="C2528" t="s">
        <v>12339</v>
      </c>
      <c r="D2528" t="s">
        <v>13405</v>
      </c>
      <c r="E2528">
        <v>424038</v>
      </c>
      <c r="F2528" t="s">
        <v>1</v>
      </c>
      <c r="G2528" t="s">
        <v>2</v>
      </c>
      <c r="H2528" t="s">
        <v>7597</v>
      </c>
      <c r="J2528" t="s">
        <v>13406</v>
      </c>
      <c r="P2528" t="s">
        <v>1642</v>
      </c>
      <c r="Q2528" t="s">
        <v>13407</v>
      </c>
      <c r="Y2528" t="s">
        <v>13408</v>
      </c>
    </row>
    <row r="2529" spans="1:25" x14ac:dyDescent="0.25">
      <c r="A2529" t="str">
        <f>"1321620984"</f>
        <v>1321620984</v>
      </c>
      <c r="B2529" t="s">
        <v>176</v>
      </c>
      <c r="C2529" t="s">
        <v>279</v>
      </c>
      <c r="D2529" t="s">
        <v>13409</v>
      </c>
      <c r="E2529">
        <v>424000</v>
      </c>
      <c r="F2529" t="s">
        <v>1</v>
      </c>
      <c r="G2529" t="s">
        <v>2</v>
      </c>
      <c r="H2529" t="s">
        <v>13410</v>
      </c>
      <c r="I2529" t="s">
        <v>13411</v>
      </c>
      <c r="L2529" t="s">
        <v>2444</v>
      </c>
      <c r="M2529" t="s">
        <v>13412</v>
      </c>
      <c r="P2529" t="s">
        <v>20</v>
      </c>
      <c r="Y2529" t="s">
        <v>13413</v>
      </c>
    </row>
    <row r="2530" spans="1:25" x14ac:dyDescent="0.25">
      <c r="A2530" t="str">
        <f>"1321653916"</f>
        <v>1321653916</v>
      </c>
      <c r="B2530" t="s">
        <v>930</v>
      </c>
      <c r="C2530" t="s">
        <v>13418</v>
      </c>
      <c r="D2530" t="s">
        <v>13414</v>
      </c>
      <c r="E2530">
        <v>424007</v>
      </c>
      <c r="F2530" t="s">
        <v>1</v>
      </c>
      <c r="G2530" t="s">
        <v>2</v>
      </c>
      <c r="H2530" t="s">
        <v>819</v>
      </c>
      <c r="I2530" t="s">
        <v>13415</v>
      </c>
      <c r="K2530" t="s">
        <v>13416</v>
      </c>
      <c r="L2530" t="s">
        <v>13417</v>
      </c>
      <c r="P2530" t="s">
        <v>27</v>
      </c>
      <c r="Y2530" t="s">
        <v>13419</v>
      </c>
    </row>
    <row r="2531" spans="1:25" x14ac:dyDescent="0.25">
      <c r="A2531" t="str">
        <f>"1321695810"</f>
        <v>1321695810</v>
      </c>
      <c r="B2531" t="s">
        <v>1230</v>
      </c>
      <c r="C2531" t="s">
        <v>13422</v>
      </c>
      <c r="D2531" t="s">
        <v>13420</v>
      </c>
      <c r="E2531">
        <v>424002</v>
      </c>
      <c r="F2531" t="s">
        <v>1</v>
      </c>
      <c r="G2531" t="s">
        <v>2</v>
      </c>
      <c r="H2531" t="s">
        <v>6656</v>
      </c>
      <c r="I2531" t="s">
        <v>13421</v>
      </c>
      <c r="P2531" t="s">
        <v>11651</v>
      </c>
      <c r="Y2531" t="s">
        <v>13423</v>
      </c>
    </row>
    <row r="2532" spans="1:25" x14ac:dyDescent="0.25">
      <c r="A2532" t="str">
        <f>"1321813246"</f>
        <v>1321813246</v>
      </c>
      <c r="B2532" t="s">
        <v>25</v>
      </c>
      <c r="C2532" t="s">
        <v>13425</v>
      </c>
      <c r="D2532" t="s">
        <v>13424</v>
      </c>
      <c r="E2532">
        <v>424038</v>
      </c>
      <c r="F2532" t="s">
        <v>1</v>
      </c>
      <c r="G2532" t="s">
        <v>2</v>
      </c>
      <c r="H2532" t="s">
        <v>546</v>
      </c>
      <c r="Y2532" t="s">
        <v>549</v>
      </c>
    </row>
    <row r="2533" spans="1:25" x14ac:dyDescent="0.25">
      <c r="A2533" t="str">
        <f>"1321914580"</f>
        <v>1321914580</v>
      </c>
      <c r="B2533" t="s">
        <v>790</v>
      </c>
      <c r="C2533" t="s">
        <v>13430</v>
      </c>
      <c r="D2533" t="s">
        <v>13426</v>
      </c>
      <c r="E2533">
        <v>424019</v>
      </c>
      <c r="F2533" t="s">
        <v>1</v>
      </c>
      <c r="G2533" t="s">
        <v>2</v>
      </c>
      <c r="H2533" t="s">
        <v>12105</v>
      </c>
      <c r="I2533" t="s">
        <v>13427</v>
      </c>
      <c r="L2533" t="s">
        <v>13428</v>
      </c>
      <c r="M2533" t="s">
        <v>13429</v>
      </c>
      <c r="P2533" t="s">
        <v>1027</v>
      </c>
      <c r="Y2533" t="s">
        <v>13431</v>
      </c>
    </row>
    <row r="2534" spans="1:25" x14ac:dyDescent="0.25">
      <c r="A2534" t="str">
        <f>"1321921542"</f>
        <v>1321921542</v>
      </c>
      <c r="B2534" t="s">
        <v>18</v>
      </c>
      <c r="C2534" t="s">
        <v>13434</v>
      </c>
      <c r="D2534" t="s">
        <v>13432</v>
      </c>
      <c r="F2534" t="s">
        <v>1</v>
      </c>
      <c r="G2534" t="s">
        <v>2</v>
      </c>
      <c r="H2534" t="s">
        <v>1600</v>
      </c>
      <c r="I2534" t="s">
        <v>13433</v>
      </c>
      <c r="P2534" t="s">
        <v>280</v>
      </c>
      <c r="Y2534" t="s">
        <v>2417</v>
      </c>
    </row>
    <row r="2535" spans="1:25" x14ac:dyDescent="0.25">
      <c r="A2535" t="str">
        <f>"1322062613"</f>
        <v>1322062613</v>
      </c>
      <c r="B2535" t="s">
        <v>18</v>
      </c>
      <c r="C2535" t="s">
        <v>959</v>
      </c>
      <c r="D2535" t="s">
        <v>13435</v>
      </c>
      <c r="E2535">
        <v>424006</v>
      </c>
      <c r="F2535" t="s">
        <v>1</v>
      </c>
      <c r="G2535" t="s">
        <v>2</v>
      </c>
      <c r="H2535" t="s">
        <v>4821</v>
      </c>
      <c r="I2535" t="s">
        <v>13436</v>
      </c>
      <c r="P2535" t="s">
        <v>27</v>
      </c>
      <c r="Y2535" t="s">
        <v>4825</v>
      </c>
    </row>
    <row r="2536" spans="1:25" x14ac:dyDescent="0.25">
      <c r="A2536" t="str">
        <f>"1322124992"</f>
        <v>1322124992</v>
      </c>
      <c r="B2536" t="s">
        <v>1046</v>
      </c>
      <c r="C2536" t="s">
        <v>13439</v>
      </c>
      <c r="D2536" t="s">
        <v>13437</v>
      </c>
      <c r="E2536">
        <v>424003</v>
      </c>
      <c r="F2536" t="s">
        <v>1</v>
      </c>
      <c r="G2536" t="s">
        <v>2</v>
      </c>
      <c r="H2536" t="s">
        <v>13438</v>
      </c>
      <c r="P2536" t="s">
        <v>13440</v>
      </c>
      <c r="Q2536" t="s">
        <v>13441</v>
      </c>
      <c r="V2536" t="s">
        <v>13442</v>
      </c>
      <c r="Y2536" t="s">
        <v>13443</v>
      </c>
    </row>
    <row r="2537" spans="1:25" x14ac:dyDescent="0.25">
      <c r="A2537" t="str">
        <f>"1322203107"</f>
        <v>1322203107</v>
      </c>
      <c r="B2537" t="s">
        <v>397</v>
      </c>
      <c r="C2537" t="s">
        <v>1432</v>
      </c>
      <c r="D2537" t="s">
        <v>13444</v>
      </c>
      <c r="E2537">
        <v>424040</v>
      </c>
      <c r="F2537" t="s">
        <v>1</v>
      </c>
      <c r="G2537" t="s">
        <v>2</v>
      </c>
      <c r="H2537" t="s">
        <v>13445</v>
      </c>
      <c r="I2537" t="s">
        <v>13446</v>
      </c>
      <c r="P2537" t="s">
        <v>330</v>
      </c>
      <c r="Y2537" t="s">
        <v>13447</v>
      </c>
    </row>
    <row r="2538" spans="1:25" x14ac:dyDescent="0.25">
      <c r="A2538" t="str">
        <f>"1322396703"</f>
        <v>1322396703</v>
      </c>
      <c r="B2538" t="s">
        <v>32</v>
      </c>
      <c r="C2538" t="s">
        <v>777</v>
      </c>
      <c r="D2538" t="s">
        <v>13448</v>
      </c>
      <c r="E2538">
        <v>424005</v>
      </c>
      <c r="F2538" t="s">
        <v>1</v>
      </c>
      <c r="G2538" t="s">
        <v>2</v>
      </c>
      <c r="H2538" t="s">
        <v>6843</v>
      </c>
      <c r="I2538" t="s">
        <v>13449</v>
      </c>
      <c r="P2538" t="s">
        <v>13450</v>
      </c>
      <c r="Y2538" t="s">
        <v>13451</v>
      </c>
    </row>
    <row r="2539" spans="1:25" x14ac:dyDescent="0.25">
      <c r="A2539" t="str">
        <f>"1322451140"</f>
        <v>1322451140</v>
      </c>
      <c r="B2539" t="s">
        <v>591</v>
      </c>
      <c r="C2539" t="s">
        <v>1904</v>
      </c>
      <c r="D2539" t="s">
        <v>13452</v>
      </c>
      <c r="E2539">
        <v>424038</v>
      </c>
      <c r="F2539" t="s">
        <v>1</v>
      </c>
      <c r="G2539" t="s">
        <v>2</v>
      </c>
      <c r="H2539" t="s">
        <v>386</v>
      </c>
      <c r="I2539" t="s">
        <v>13453</v>
      </c>
      <c r="P2539" t="s">
        <v>2258</v>
      </c>
      <c r="Y2539" t="s">
        <v>391</v>
      </c>
    </row>
    <row r="2540" spans="1:25" x14ac:dyDescent="0.25">
      <c r="A2540" t="str">
        <f>"1322633229"</f>
        <v>1322633229</v>
      </c>
      <c r="B2540" t="s">
        <v>160</v>
      </c>
      <c r="C2540" t="s">
        <v>1666</v>
      </c>
      <c r="D2540" t="s">
        <v>13454</v>
      </c>
      <c r="E2540">
        <v>424039</v>
      </c>
      <c r="F2540" t="s">
        <v>1</v>
      </c>
      <c r="G2540" t="s">
        <v>2</v>
      </c>
      <c r="H2540" t="s">
        <v>13455</v>
      </c>
      <c r="I2540" t="s">
        <v>13456</v>
      </c>
      <c r="L2540" t="s">
        <v>6190</v>
      </c>
      <c r="M2540" t="s">
        <v>13457</v>
      </c>
      <c r="P2540" t="s">
        <v>20</v>
      </c>
      <c r="Y2540" t="s">
        <v>13458</v>
      </c>
    </row>
    <row r="2541" spans="1:25" x14ac:dyDescent="0.25">
      <c r="A2541" t="str">
        <f>"1322685035"</f>
        <v>1322685035</v>
      </c>
      <c r="B2541" t="s">
        <v>1152</v>
      </c>
      <c r="C2541" t="s">
        <v>13462</v>
      </c>
      <c r="D2541" t="s">
        <v>13459</v>
      </c>
      <c r="E2541">
        <v>424031</v>
      </c>
      <c r="F2541" t="s">
        <v>1</v>
      </c>
      <c r="G2541" t="s">
        <v>2</v>
      </c>
      <c r="H2541" t="s">
        <v>13460</v>
      </c>
      <c r="I2541" t="s">
        <v>13461</v>
      </c>
      <c r="P2541" t="s">
        <v>2923</v>
      </c>
      <c r="Y2541" t="s">
        <v>13463</v>
      </c>
    </row>
    <row r="2542" spans="1:25" x14ac:dyDescent="0.25">
      <c r="A2542" t="str">
        <f>"1322929968"</f>
        <v>1322929968</v>
      </c>
      <c r="B2542" t="s">
        <v>1604</v>
      </c>
      <c r="C2542" t="s">
        <v>2271</v>
      </c>
      <c r="D2542" t="s">
        <v>13464</v>
      </c>
      <c r="E2542">
        <v>424003</v>
      </c>
      <c r="F2542" t="s">
        <v>1</v>
      </c>
      <c r="G2542" t="s">
        <v>2</v>
      </c>
      <c r="H2542" t="s">
        <v>13465</v>
      </c>
      <c r="J2542" t="s">
        <v>13466</v>
      </c>
      <c r="P2542" t="s">
        <v>27</v>
      </c>
      <c r="Y2542" t="s">
        <v>13467</v>
      </c>
    </row>
    <row r="2543" spans="1:25" x14ac:dyDescent="0.25">
      <c r="A2543" t="str">
        <f>"1322956225"</f>
        <v>1322956225</v>
      </c>
      <c r="B2543" t="s">
        <v>482</v>
      </c>
      <c r="C2543" t="s">
        <v>13472</v>
      </c>
      <c r="D2543" t="s">
        <v>13468</v>
      </c>
      <c r="E2543">
        <v>424006</v>
      </c>
      <c r="F2543" t="s">
        <v>1</v>
      </c>
      <c r="G2543" t="s">
        <v>2</v>
      </c>
      <c r="H2543" t="s">
        <v>478</v>
      </c>
      <c r="I2543" t="s">
        <v>13469</v>
      </c>
      <c r="L2543" t="s">
        <v>13470</v>
      </c>
      <c r="M2543" t="s">
        <v>13471</v>
      </c>
      <c r="P2543" t="s">
        <v>689</v>
      </c>
      <c r="Q2543" t="s">
        <v>13473</v>
      </c>
      <c r="T2543" t="s">
        <v>13474</v>
      </c>
      <c r="Y2543" t="s">
        <v>13475</v>
      </c>
    </row>
    <row r="2544" spans="1:25" x14ac:dyDescent="0.25">
      <c r="A2544" t="str">
        <f>"1323017751"</f>
        <v>1323017751</v>
      </c>
      <c r="B2544" t="s">
        <v>430</v>
      </c>
      <c r="C2544" t="s">
        <v>10138</v>
      </c>
      <c r="D2544" t="s">
        <v>13476</v>
      </c>
      <c r="E2544">
        <v>424006</v>
      </c>
      <c r="F2544" t="s">
        <v>1</v>
      </c>
      <c r="G2544" t="s">
        <v>2</v>
      </c>
      <c r="H2544" t="s">
        <v>1645</v>
      </c>
      <c r="I2544" t="s">
        <v>13477</v>
      </c>
      <c r="L2544" t="s">
        <v>610</v>
      </c>
      <c r="M2544" t="s">
        <v>611</v>
      </c>
      <c r="P2544" t="s">
        <v>9803</v>
      </c>
      <c r="Y2544" t="s">
        <v>13478</v>
      </c>
    </row>
    <row r="2545" spans="1:25" x14ac:dyDescent="0.25">
      <c r="A2545" t="str">
        <f>"1323089187"</f>
        <v>1323089187</v>
      </c>
      <c r="B2545" t="s">
        <v>96</v>
      </c>
      <c r="C2545" t="s">
        <v>2285</v>
      </c>
      <c r="D2545" t="s">
        <v>13479</v>
      </c>
      <c r="E2545">
        <v>424033</v>
      </c>
      <c r="F2545" t="s">
        <v>1</v>
      </c>
      <c r="G2545" t="s">
        <v>2</v>
      </c>
      <c r="H2545" t="s">
        <v>2597</v>
      </c>
      <c r="J2545" t="s">
        <v>13480</v>
      </c>
      <c r="P2545" t="s">
        <v>144</v>
      </c>
      <c r="Y2545" t="s">
        <v>13481</v>
      </c>
    </row>
    <row r="2546" spans="1:25" x14ac:dyDescent="0.25">
      <c r="A2546" t="str">
        <f>"1323234638"</f>
        <v>1323234638</v>
      </c>
      <c r="B2546" t="s">
        <v>18</v>
      </c>
      <c r="C2546" t="s">
        <v>2171</v>
      </c>
      <c r="D2546" t="s">
        <v>13482</v>
      </c>
      <c r="E2546">
        <v>424006</v>
      </c>
      <c r="F2546" t="s">
        <v>1</v>
      </c>
      <c r="G2546" t="s">
        <v>2</v>
      </c>
      <c r="H2546" t="s">
        <v>2825</v>
      </c>
      <c r="I2546" t="s">
        <v>10337</v>
      </c>
      <c r="P2546" t="s">
        <v>152</v>
      </c>
      <c r="Y2546" t="s">
        <v>2832</v>
      </c>
    </row>
    <row r="2547" spans="1:25" x14ac:dyDescent="0.25">
      <c r="A2547" t="str">
        <f>"1323332654"</f>
        <v>1323332654</v>
      </c>
      <c r="B2547" t="s">
        <v>3573</v>
      </c>
      <c r="C2547" t="s">
        <v>5816</v>
      </c>
      <c r="D2547" t="s">
        <v>13483</v>
      </c>
      <c r="E2547">
        <v>424007</v>
      </c>
      <c r="F2547" t="s">
        <v>1</v>
      </c>
      <c r="G2547" t="s">
        <v>2</v>
      </c>
      <c r="H2547" t="s">
        <v>819</v>
      </c>
      <c r="I2547" t="s">
        <v>13484</v>
      </c>
      <c r="P2547" t="s">
        <v>2296</v>
      </c>
      <c r="Y2547" t="s">
        <v>821</v>
      </c>
    </row>
    <row r="2548" spans="1:25" x14ac:dyDescent="0.25">
      <c r="A2548" t="str">
        <f>"1323349115"</f>
        <v>1323349115</v>
      </c>
      <c r="B2548" t="s">
        <v>348</v>
      </c>
      <c r="C2548" t="s">
        <v>13490</v>
      </c>
      <c r="D2548" t="s">
        <v>13485</v>
      </c>
      <c r="E2548">
        <v>424016</v>
      </c>
      <c r="F2548" t="s">
        <v>1</v>
      </c>
      <c r="G2548" t="s">
        <v>2</v>
      </c>
      <c r="H2548" t="s">
        <v>3703</v>
      </c>
      <c r="I2548" t="s">
        <v>13486</v>
      </c>
      <c r="J2548" t="s">
        <v>13487</v>
      </c>
      <c r="L2548" t="s">
        <v>13488</v>
      </c>
      <c r="M2548" t="s">
        <v>13489</v>
      </c>
      <c r="Q2548" t="s">
        <v>13491</v>
      </c>
      <c r="Y2548" t="s">
        <v>5274</v>
      </c>
    </row>
    <row r="2549" spans="1:25" x14ac:dyDescent="0.25">
      <c r="A2549" t="str">
        <f>"1323366226"</f>
        <v>1323366226</v>
      </c>
      <c r="B2549" t="s">
        <v>88</v>
      </c>
      <c r="C2549" t="s">
        <v>6066</v>
      </c>
      <c r="D2549" t="s">
        <v>13492</v>
      </c>
      <c r="E2549">
        <v>424002</v>
      </c>
      <c r="F2549" t="s">
        <v>1</v>
      </c>
      <c r="G2549" t="s">
        <v>2</v>
      </c>
      <c r="H2549" t="s">
        <v>5162</v>
      </c>
      <c r="J2549" t="s">
        <v>13493</v>
      </c>
      <c r="P2549" t="s">
        <v>13494</v>
      </c>
      <c r="Y2549" t="s">
        <v>13495</v>
      </c>
    </row>
    <row r="2550" spans="1:25" x14ac:dyDescent="0.25">
      <c r="A2550" t="str">
        <f>"1323371478"</f>
        <v>1323371478</v>
      </c>
      <c r="B2550" t="s">
        <v>176</v>
      </c>
      <c r="C2550" t="s">
        <v>13500</v>
      </c>
      <c r="D2550" t="s">
        <v>13496</v>
      </c>
      <c r="F2550" t="s">
        <v>1</v>
      </c>
      <c r="G2550" t="s">
        <v>2</v>
      </c>
      <c r="H2550" t="s">
        <v>3984</v>
      </c>
      <c r="I2550" t="s">
        <v>13497</v>
      </c>
      <c r="L2550" t="s">
        <v>13498</v>
      </c>
      <c r="M2550" t="s">
        <v>13499</v>
      </c>
      <c r="P2550" t="s">
        <v>27</v>
      </c>
      <c r="Q2550" t="s">
        <v>13501</v>
      </c>
      <c r="Y2550" t="s">
        <v>4409</v>
      </c>
    </row>
    <row r="2551" spans="1:25" x14ac:dyDescent="0.25">
      <c r="A2551" t="str">
        <f>"1323398353"</f>
        <v>1323398353</v>
      </c>
      <c r="B2551" t="s">
        <v>978</v>
      </c>
      <c r="C2551" t="s">
        <v>13504</v>
      </c>
      <c r="D2551" t="s">
        <v>13502</v>
      </c>
      <c r="E2551">
        <v>424039</v>
      </c>
      <c r="F2551" t="s">
        <v>1</v>
      </c>
      <c r="G2551" t="s">
        <v>2</v>
      </c>
      <c r="H2551" t="s">
        <v>5827</v>
      </c>
      <c r="I2551" t="s">
        <v>13503</v>
      </c>
      <c r="P2551" t="s">
        <v>13505</v>
      </c>
      <c r="Q2551" t="s">
        <v>13506</v>
      </c>
      <c r="Y2551" t="s">
        <v>13507</v>
      </c>
    </row>
    <row r="2552" spans="1:25" x14ac:dyDescent="0.25">
      <c r="A2552" t="str">
        <f>"1323402853"</f>
        <v>1323402853</v>
      </c>
      <c r="B2552" t="s">
        <v>160</v>
      </c>
      <c r="C2552" t="s">
        <v>9976</v>
      </c>
      <c r="D2552" t="s">
        <v>13508</v>
      </c>
      <c r="E2552">
        <v>424036</v>
      </c>
      <c r="F2552" t="s">
        <v>1</v>
      </c>
      <c r="G2552" t="s">
        <v>2</v>
      </c>
      <c r="H2552" t="s">
        <v>13509</v>
      </c>
      <c r="J2552" t="s">
        <v>13510</v>
      </c>
      <c r="P2552" t="s">
        <v>27</v>
      </c>
      <c r="Y2552" t="s">
        <v>13511</v>
      </c>
    </row>
    <row r="2553" spans="1:25" x14ac:dyDescent="0.25">
      <c r="A2553" t="str">
        <f>"1323441622"</f>
        <v>1323441622</v>
      </c>
      <c r="B2553" t="s">
        <v>462</v>
      </c>
      <c r="C2553" t="s">
        <v>13516</v>
      </c>
      <c r="D2553" t="s">
        <v>13512</v>
      </c>
      <c r="E2553">
        <v>424000</v>
      </c>
      <c r="F2553" t="s">
        <v>1</v>
      </c>
      <c r="G2553" t="s">
        <v>2</v>
      </c>
      <c r="H2553" t="s">
        <v>5615</v>
      </c>
      <c r="I2553" t="s">
        <v>13513</v>
      </c>
      <c r="L2553" t="s">
        <v>13514</v>
      </c>
      <c r="M2553" t="s">
        <v>13515</v>
      </c>
      <c r="P2553" t="s">
        <v>340</v>
      </c>
      <c r="Q2553" t="s">
        <v>13517</v>
      </c>
      <c r="Y2553" t="s">
        <v>13518</v>
      </c>
    </row>
    <row r="2554" spans="1:25" x14ac:dyDescent="0.25">
      <c r="A2554" t="str">
        <f>"1323452285"</f>
        <v>1323452285</v>
      </c>
      <c r="B2554" t="s">
        <v>25</v>
      </c>
      <c r="C2554" t="s">
        <v>59</v>
      </c>
      <c r="D2554" t="s">
        <v>13519</v>
      </c>
      <c r="E2554">
        <v>424020</v>
      </c>
      <c r="F2554" t="s">
        <v>1</v>
      </c>
      <c r="G2554" t="s">
        <v>2</v>
      </c>
      <c r="H2554" t="s">
        <v>23</v>
      </c>
      <c r="I2554" t="s">
        <v>13520</v>
      </c>
      <c r="Y2554" t="s">
        <v>13521</v>
      </c>
    </row>
    <row r="2555" spans="1:25" x14ac:dyDescent="0.25">
      <c r="A2555" t="str">
        <f>"1323497499"</f>
        <v>1323497499</v>
      </c>
      <c r="B2555" t="s">
        <v>553</v>
      </c>
      <c r="C2555" t="s">
        <v>10404</v>
      </c>
      <c r="D2555" t="s">
        <v>13522</v>
      </c>
      <c r="E2555">
        <v>424028</v>
      </c>
      <c r="F2555" t="s">
        <v>1</v>
      </c>
      <c r="G2555" t="s">
        <v>2</v>
      </c>
      <c r="H2555" t="s">
        <v>5034</v>
      </c>
      <c r="I2555" t="s">
        <v>13523</v>
      </c>
      <c r="J2555" t="s">
        <v>13524</v>
      </c>
      <c r="P2555" t="s">
        <v>10416</v>
      </c>
      <c r="Y2555" t="s">
        <v>5036</v>
      </c>
    </row>
    <row r="2556" spans="1:25" x14ac:dyDescent="0.25">
      <c r="A2556" t="str">
        <f>"1323504039"</f>
        <v>1323504039</v>
      </c>
      <c r="B2556" t="s">
        <v>888</v>
      </c>
      <c r="C2556" t="s">
        <v>888</v>
      </c>
      <c r="D2556" t="s">
        <v>13525</v>
      </c>
      <c r="E2556">
        <v>424032</v>
      </c>
      <c r="F2556" t="s">
        <v>1</v>
      </c>
      <c r="G2556" t="s">
        <v>2</v>
      </c>
      <c r="H2556" t="s">
        <v>13526</v>
      </c>
      <c r="I2556" t="s">
        <v>13527</v>
      </c>
      <c r="L2556" t="s">
        <v>13528</v>
      </c>
      <c r="M2556" t="s">
        <v>13529</v>
      </c>
      <c r="P2556" t="s">
        <v>13530</v>
      </c>
      <c r="Y2556" t="s">
        <v>13531</v>
      </c>
    </row>
    <row r="2557" spans="1:25" x14ac:dyDescent="0.25">
      <c r="A2557" t="str">
        <f>"1323556447"</f>
        <v>1323556447</v>
      </c>
      <c r="B2557" t="s">
        <v>151</v>
      </c>
      <c r="C2557" t="s">
        <v>4240</v>
      </c>
      <c r="D2557" t="s">
        <v>13532</v>
      </c>
      <c r="E2557">
        <v>424033</v>
      </c>
      <c r="F2557" t="s">
        <v>1</v>
      </c>
      <c r="G2557" t="s">
        <v>2</v>
      </c>
      <c r="H2557" t="s">
        <v>6953</v>
      </c>
      <c r="I2557" t="s">
        <v>13533</v>
      </c>
      <c r="P2557" t="s">
        <v>27</v>
      </c>
      <c r="Y2557" t="s">
        <v>13534</v>
      </c>
    </row>
    <row r="2558" spans="1:25" x14ac:dyDescent="0.25">
      <c r="A2558" t="str">
        <f>"1323585619"</f>
        <v>1323585619</v>
      </c>
      <c r="B2558" t="s">
        <v>13538</v>
      </c>
      <c r="C2558" t="s">
        <v>13539</v>
      </c>
      <c r="D2558" t="s">
        <v>13535</v>
      </c>
      <c r="E2558">
        <v>424028</v>
      </c>
      <c r="F2558" t="s">
        <v>1</v>
      </c>
      <c r="G2558" t="s">
        <v>2</v>
      </c>
      <c r="H2558" t="s">
        <v>13536</v>
      </c>
      <c r="J2558" t="s">
        <v>13537</v>
      </c>
      <c r="P2558" t="s">
        <v>1232</v>
      </c>
      <c r="Y2558" t="s">
        <v>13540</v>
      </c>
    </row>
    <row r="2559" spans="1:25" x14ac:dyDescent="0.25">
      <c r="A2559" t="str">
        <f>"1323607498"</f>
        <v>1323607498</v>
      </c>
      <c r="B2559" t="s">
        <v>1343</v>
      </c>
      <c r="C2559" t="s">
        <v>13544</v>
      </c>
      <c r="D2559" t="s">
        <v>13541</v>
      </c>
      <c r="E2559">
        <v>424000</v>
      </c>
      <c r="F2559" t="s">
        <v>1</v>
      </c>
      <c r="G2559" t="s">
        <v>2</v>
      </c>
      <c r="H2559" t="s">
        <v>1806</v>
      </c>
      <c r="I2559" t="s">
        <v>13542</v>
      </c>
      <c r="J2559" t="s">
        <v>13543</v>
      </c>
      <c r="P2559" t="s">
        <v>941</v>
      </c>
      <c r="Y2559" t="s">
        <v>13545</v>
      </c>
    </row>
    <row r="2560" spans="1:25" x14ac:dyDescent="0.25">
      <c r="A2560" t="str">
        <f>"1323767101"</f>
        <v>1323767101</v>
      </c>
      <c r="B2560" t="s">
        <v>687</v>
      </c>
      <c r="C2560" t="s">
        <v>13550</v>
      </c>
      <c r="D2560" t="s">
        <v>13546</v>
      </c>
      <c r="F2560" t="s">
        <v>1</v>
      </c>
      <c r="G2560" t="s">
        <v>2</v>
      </c>
      <c r="H2560" t="s">
        <v>3430</v>
      </c>
      <c r="I2560" t="s">
        <v>13547</v>
      </c>
      <c r="L2560" t="s">
        <v>13548</v>
      </c>
      <c r="M2560" t="s">
        <v>13549</v>
      </c>
      <c r="P2560" t="s">
        <v>20</v>
      </c>
      <c r="Y2560" t="s">
        <v>13551</v>
      </c>
    </row>
    <row r="2561" spans="1:25" x14ac:dyDescent="0.25">
      <c r="A2561" t="str">
        <f>"1323802773"</f>
        <v>1323802773</v>
      </c>
      <c r="B2561" t="s">
        <v>32</v>
      </c>
      <c r="C2561" t="s">
        <v>13554</v>
      </c>
      <c r="D2561" t="s">
        <v>13552</v>
      </c>
      <c r="E2561">
        <v>424000</v>
      </c>
      <c r="F2561" t="s">
        <v>1</v>
      </c>
      <c r="G2561" t="s">
        <v>2</v>
      </c>
      <c r="H2561" t="s">
        <v>2671</v>
      </c>
      <c r="I2561" t="s">
        <v>13553</v>
      </c>
      <c r="P2561" t="s">
        <v>13555</v>
      </c>
      <c r="Y2561" t="s">
        <v>13556</v>
      </c>
    </row>
    <row r="2562" spans="1:25" x14ac:dyDescent="0.25">
      <c r="A2562" t="str">
        <f>"1323863622"</f>
        <v>1323863622</v>
      </c>
      <c r="B2562" t="s">
        <v>13560</v>
      </c>
      <c r="C2562" t="s">
        <v>13561</v>
      </c>
      <c r="D2562" t="s">
        <v>13557</v>
      </c>
      <c r="E2562">
        <v>424002</v>
      </c>
      <c r="F2562" t="s">
        <v>1</v>
      </c>
      <c r="G2562" t="s">
        <v>2</v>
      </c>
      <c r="H2562" t="s">
        <v>1190</v>
      </c>
      <c r="I2562" t="s">
        <v>13558</v>
      </c>
      <c r="J2562" t="s">
        <v>13559</v>
      </c>
      <c r="P2562" t="s">
        <v>13562</v>
      </c>
      <c r="Y2562" t="s">
        <v>1284</v>
      </c>
    </row>
    <row r="2563" spans="1:25" x14ac:dyDescent="0.25">
      <c r="A2563" t="str">
        <f>"1324065309"</f>
        <v>1324065309</v>
      </c>
      <c r="B2563" t="s">
        <v>290</v>
      </c>
      <c r="C2563" t="s">
        <v>290</v>
      </c>
      <c r="D2563" t="s">
        <v>13563</v>
      </c>
      <c r="E2563">
        <v>424038</v>
      </c>
      <c r="F2563" t="s">
        <v>1</v>
      </c>
      <c r="G2563" t="s">
        <v>2</v>
      </c>
      <c r="H2563" t="s">
        <v>13095</v>
      </c>
      <c r="I2563" t="s">
        <v>13564</v>
      </c>
      <c r="L2563" t="s">
        <v>13565</v>
      </c>
      <c r="M2563" t="s">
        <v>13566</v>
      </c>
      <c r="P2563" t="s">
        <v>2513</v>
      </c>
      <c r="Q2563" t="s">
        <v>13567</v>
      </c>
      <c r="V2563" t="s">
        <v>13568</v>
      </c>
      <c r="Y2563" t="s">
        <v>13569</v>
      </c>
    </row>
    <row r="2564" spans="1:25" x14ac:dyDescent="0.25">
      <c r="A2564" t="str">
        <f>"1324068006"</f>
        <v>1324068006</v>
      </c>
      <c r="B2564" t="s">
        <v>96</v>
      </c>
      <c r="C2564" t="s">
        <v>659</v>
      </c>
      <c r="D2564" t="s">
        <v>13570</v>
      </c>
      <c r="F2564" t="s">
        <v>1</v>
      </c>
      <c r="G2564" t="s">
        <v>2</v>
      </c>
      <c r="H2564" t="s">
        <v>2018</v>
      </c>
      <c r="P2564" t="s">
        <v>1404</v>
      </c>
      <c r="Y2564" t="s">
        <v>13571</v>
      </c>
    </row>
    <row r="2565" spans="1:25" x14ac:dyDescent="0.25">
      <c r="A2565" t="str">
        <f>"1324090863"</f>
        <v>1324090863</v>
      </c>
      <c r="B2565" t="s">
        <v>80</v>
      </c>
      <c r="C2565" t="s">
        <v>6600</v>
      </c>
      <c r="D2565" t="s">
        <v>13572</v>
      </c>
      <c r="E2565">
        <v>424003</v>
      </c>
      <c r="F2565" t="s">
        <v>1</v>
      </c>
      <c r="G2565" t="s">
        <v>2</v>
      </c>
      <c r="H2565" t="s">
        <v>5773</v>
      </c>
      <c r="I2565" t="s">
        <v>13573</v>
      </c>
      <c r="P2565" t="s">
        <v>13574</v>
      </c>
      <c r="Q2565" t="s">
        <v>13575</v>
      </c>
      <c r="Y2565" t="s">
        <v>13576</v>
      </c>
    </row>
    <row r="2566" spans="1:25" x14ac:dyDescent="0.25">
      <c r="A2566" t="str">
        <f>"1324119791"</f>
        <v>1324119791</v>
      </c>
      <c r="B2566" t="s">
        <v>1053</v>
      </c>
      <c r="C2566" t="s">
        <v>13580</v>
      </c>
      <c r="D2566" t="s">
        <v>13577</v>
      </c>
      <c r="E2566">
        <v>424002</v>
      </c>
      <c r="F2566" t="s">
        <v>1</v>
      </c>
      <c r="G2566" t="s">
        <v>2</v>
      </c>
      <c r="H2566" t="s">
        <v>2193</v>
      </c>
      <c r="I2566" t="s">
        <v>13578</v>
      </c>
      <c r="M2566" t="s">
        <v>13579</v>
      </c>
      <c r="P2566" t="s">
        <v>20</v>
      </c>
      <c r="Q2566" t="s">
        <v>13581</v>
      </c>
      <c r="Y2566" t="s">
        <v>13582</v>
      </c>
    </row>
    <row r="2567" spans="1:25" x14ac:dyDescent="0.25">
      <c r="A2567" t="str">
        <f>"1324171840"</f>
        <v>1324171840</v>
      </c>
      <c r="B2567" t="s">
        <v>123</v>
      </c>
      <c r="C2567" t="s">
        <v>10769</v>
      </c>
      <c r="D2567" t="s">
        <v>13583</v>
      </c>
      <c r="E2567">
        <v>424031</v>
      </c>
      <c r="F2567" t="s">
        <v>1</v>
      </c>
      <c r="G2567" t="s">
        <v>2</v>
      </c>
      <c r="H2567" t="s">
        <v>2353</v>
      </c>
      <c r="I2567" t="s">
        <v>13584</v>
      </c>
      <c r="P2567" t="s">
        <v>13585</v>
      </c>
      <c r="Q2567" t="s">
        <v>13586</v>
      </c>
      <c r="Y2567" t="s">
        <v>13587</v>
      </c>
    </row>
    <row r="2568" spans="1:25" x14ac:dyDescent="0.25">
      <c r="A2568" t="str">
        <f>"1324171973"</f>
        <v>1324171973</v>
      </c>
      <c r="B2568" t="s">
        <v>430</v>
      </c>
      <c r="C2568" t="s">
        <v>13590</v>
      </c>
      <c r="D2568" t="s">
        <v>12868</v>
      </c>
      <c r="E2568">
        <v>424032</v>
      </c>
      <c r="F2568" t="s">
        <v>1</v>
      </c>
      <c r="G2568" t="s">
        <v>2</v>
      </c>
      <c r="H2568" t="s">
        <v>7583</v>
      </c>
      <c r="I2568" t="s">
        <v>13588</v>
      </c>
      <c r="J2568" t="s">
        <v>13589</v>
      </c>
      <c r="P2568" t="s">
        <v>216</v>
      </c>
      <c r="Q2568" t="s">
        <v>13591</v>
      </c>
      <c r="Y2568" t="s">
        <v>13592</v>
      </c>
    </row>
    <row r="2569" spans="1:25" x14ac:dyDescent="0.25">
      <c r="A2569" t="str">
        <f>"1324239999"</f>
        <v>1324239999</v>
      </c>
      <c r="B2569" t="s">
        <v>640</v>
      </c>
      <c r="C2569" t="s">
        <v>641</v>
      </c>
      <c r="D2569" t="s">
        <v>13593</v>
      </c>
      <c r="E2569">
        <v>424033</v>
      </c>
      <c r="F2569" t="s">
        <v>1</v>
      </c>
      <c r="G2569" t="s">
        <v>2</v>
      </c>
      <c r="H2569" t="s">
        <v>4300</v>
      </c>
      <c r="I2569" t="s">
        <v>13594</v>
      </c>
      <c r="P2569" t="s">
        <v>98</v>
      </c>
      <c r="Y2569" t="s">
        <v>10046</v>
      </c>
    </row>
    <row r="2570" spans="1:25" x14ac:dyDescent="0.25">
      <c r="A2570" t="str">
        <f>"1324345499"</f>
        <v>1324345499</v>
      </c>
      <c r="B2570" t="s">
        <v>18</v>
      </c>
      <c r="C2570" t="s">
        <v>5160</v>
      </c>
      <c r="D2570" t="s">
        <v>13595</v>
      </c>
      <c r="E2570">
        <v>424006</v>
      </c>
      <c r="F2570" t="s">
        <v>1</v>
      </c>
      <c r="G2570" t="s">
        <v>2</v>
      </c>
      <c r="H2570" t="s">
        <v>13596</v>
      </c>
      <c r="J2570" t="s">
        <v>13597</v>
      </c>
      <c r="P2570" t="s">
        <v>2084</v>
      </c>
      <c r="Y2570" t="s">
        <v>13598</v>
      </c>
    </row>
    <row r="2571" spans="1:25" x14ac:dyDescent="0.25">
      <c r="A2571" t="str">
        <f>"1324404770"</f>
        <v>1324404770</v>
      </c>
      <c r="B2571" t="s">
        <v>738</v>
      </c>
      <c r="C2571" t="s">
        <v>13603</v>
      </c>
      <c r="D2571" t="s">
        <v>13599</v>
      </c>
      <c r="E2571">
        <v>424031</v>
      </c>
      <c r="F2571" t="s">
        <v>1</v>
      </c>
      <c r="G2571" t="s">
        <v>2</v>
      </c>
      <c r="H2571" t="s">
        <v>4622</v>
      </c>
      <c r="I2571" t="s">
        <v>13600</v>
      </c>
      <c r="K2571" t="s">
        <v>13601</v>
      </c>
      <c r="L2571" t="s">
        <v>13602</v>
      </c>
      <c r="P2571" t="s">
        <v>1514</v>
      </c>
      <c r="Y2571" t="s">
        <v>7838</v>
      </c>
    </row>
    <row r="2572" spans="1:25" x14ac:dyDescent="0.25">
      <c r="A2572" t="str">
        <f>"1324471928"</f>
        <v>1324471928</v>
      </c>
      <c r="B2572" t="s">
        <v>388</v>
      </c>
      <c r="C2572" t="s">
        <v>2149</v>
      </c>
      <c r="D2572" t="s">
        <v>13604</v>
      </c>
      <c r="E2572">
        <v>424020</v>
      </c>
      <c r="F2572" t="s">
        <v>1</v>
      </c>
      <c r="G2572" t="s">
        <v>2</v>
      </c>
      <c r="H2572" t="s">
        <v>13605</v>
      </c>
      <c r="I2572" t="s">
        <v>13606</v>
      </c>
      <c r="L2572" t="s">
        <v>13607</v>
      </c>
      <c r="M2572" t="s">
        <v>13608</v>
      </c>
      <c r="P2572" t="s">
        <v>260</v>
      </c>
      <c r="Y2572" t="s">
        <v>13609</v>
      </c>
    </row>
    <row r="2573" spans="1:25" x14ac:dyDescent="0.25">
      <c r="A2573" t="str">
        <f>"1324490902"</f>
        <v>1324490902</v>
      </c>
      <c r="B2573" t="s">
        <v>2178</v>
      </c>
      <c r="C2573" t="s">
        <v>2179</v>
      </c>
      <c r="D2573" t="s">
        <v>13610</v>
      </c>
      <c r="E2573">
        <v>424036</v>
      </c>
      <c r="F2573" t="s">
        <v>1</v>
      </c>
      <c r="G2573" t="s">
        <v>2</v>
      </c>
      <c r="H2573" t="s">
        <v>12116</v>
      </c>
      <c r="I2573" t="s">
        <v>13611</v>
      </c>
      <c r="L2573" t="s">
        <v>10327</v>
      </c>
      <c r="M2573" t="s">
        <v>10328</v>
      </c>
      <c r="P2573" t="s">
        <v>9741</v>
      </c>
      <c r="Y2573" t="s">
        <v>12118</v>
      </c>
    </row>
    <row r="2574" spans="1:25" x14ac:dyDescent="0.25">
      <c r="A2574" t="str">
        <f>"1324539176"</f>
        <v>1324539176</v>
      </c>
      <c r="B2574" t="s">
        <v>888</v>
      </c>
      <c r="C2574" t="s">
        <v>7389</v>
      </c>
      <c r="D2574" t="s">
        <v>13612</v>
      </c>
      <c r="E2574">
        <v>424000</v>
      </c>
      <c r="F2574" t="s">
        <v>1</v>
      </c>
      <c r="G2574" t="s">
        <v>2</v>
      </c>
      <c r="H2574" t="s">
        <v>5814</v>
      </c>
      <c r="I2574" t="s">
        <v>13613</v>
      </c>
      <c r="L2574" t="s">
        <v>13614</v>
      </c>
      <c r="M2574" t="s">
        <v>13615</v>
      </c>
      <c r="P2574" t="s">
        <v>13616</v>
      </c>
      <c r="Q2574" t="s">
        <v>13617</v>
      </c>
      <c r="Y2574" t="s">
        <v>13618</v>
      </c>
    </row>
    <row r="2575" spans="1:25" x14ac:dyDescent="0.25">
      <c r="A2575" t="str">
        <f>"1324543184"</f>
        <v>1324543184</v>
      </c>
      <c r="B2575" t="s">
        <v>519</v>
      </c>
      <c r="C2575" t="s">
        <v>13623</v>
      </c>
      <c r="D2575" t="s">
        <v>13619</v>
      </c>
      <c r="E2575">
        <v>424036</v>
      </c>
      <c r="F2575" t="s">
        <v>1</v>
      </c>
      <c r="G2575" t="s">
        <v>2</v>
      </c>
      <c r="H2575" t="s">
        <v>8222</v>
      </c>
      <c r="I2575" t="s">
        <v>13620</v>
      </c>
      <c r="J2575" t="s">
        <v>13621</v>
      </c>
      <c r="M2575" t="s">
        <v>13622</v>
      </c>
      <c r="P2575" t="s">
        <v>941</v>
      </c>
      <c r="Q2575" t="s">
        <v>13624</v>
      </c>
      <c r="Y2575" t="s">
        <v>12963</v>
      </c>
    </row>
    <row r="2576" spans="1:25" x14ac:dyDescent="0.25">
      <c r="A2576" t="str">
        <f>"1324562350"</f>
        <v>1324562350</v>
      </c>
      <c r="B2576" t="s">
        <v>654</v>
      </c>
      <c r="C2576" t="s">
        <v>13627</v>
      </c>
      <c r="D2576" t="s">
        <v>13625</v>
      </c>
      <c r="F2576" t="s">
        <v>1</v>
      </c>
      <c r="G2576" t="s">
        <v>2</v>
      </c>
      <c r="H2576" t="s">
        <v>8553</v>
      </c>
      <c r="I2576" t="s">
        <v>13626</v>
      </c>
      <c r="Y2576" t="s">
        <v>13628</v>
      </c>
    </row>
    <row r="2577" spans="1:25" x14ac:dyDescent="0.25">
      <c r="A2577" t="str">
        <f>"1324565358"</f>
        <v>1324565358</v>
      </c>
      <c r="B2577" t="s">
        <v>482</v>
      </c>
      <c r="C2577" t="s">
        <v>6009</v>
      </c>
      <c r="D2577" t="s">
        <v>13629</v>
      </c>
      <c r="E2577">
        <v>424031</v>
      </c>
      <c r="F2577" t="s">
        <v>1</v>
      </c>
      <c r="G2577" t="s">
        <v>2</v>
      </c>
      <c r="H2577" t="s">
        <v>13630</v>
      </c>
      <c r="I2577" t="s">
        <v>13631</v>
      </c>
      <c r="J2577" t="s">
        <v>13632</v>
      </c>
      <c r="L2577" t="s">
        <v>13633</v>
      </c>
      <c r="P2577" t="s">
        <v>27</v>
      </c>
      <c r="Q2577" t="s">
        <v>13634</v>
      </c>
      <c r="Y2577" t="s">
        <v>13635</v>
      </c>
    </row>
    <row r="2578" spans="1:25" x14ac:dyDescent="0.25">
      <c r="A2578" t="str">
        <f>"1324570320"</f>
        <v>1324570320</v>
      </c>
      <c r="B2578" t="s">
        <v>624</v>
      </c>
      <c r="C2578" t="s">
        <v>1637</v>
      </c>
      <c r="D2578" t="s">
        <v>13636</v>
      </c>
      <c r="E2578">
        <v>424037</v>
      </c>
      <c r="F2578" t="s">
        <v>1</v>
      </c>
      <c r="G2578" t="s">
        <v>2</v>
      </c>
      <c r="H2578" t="s">
        <v>10936</v>
      </c>
      <c r="I2578" t="s">
        <v>13637</v>
      </c>
      <c r="J2578" t="s">
        <v>13638</v>
      </c>
      <c r="P2578" t="s">
        <v>27</v>
      </c>
      <c r="Y2578" t="s">
        <v>13639</v>
      </c>
    </row>
    <row r="2579" spans="1:25" x14ac:dyDescent="0.25">
      <c r="A2579" t="str">
        <f>"1324606642"</f>
        <v>1324606642</v>
      </c>
      <c r="B2579" t="s">
        <v>32</v>
      </c>
      <c r="C2579" t="s">
        <v>13642</v>
      </c>
      <c r="D2579" t="s">
        <v>13640</v>
      </c>
      <c r="E2579">
        <v>424003</v>
      </c>
      <c r="F2579" t="s">
        <v>1</v>
      </c>
      <c r="G2579" t="s">
        <v>2</v>
      </c>
      <c r="H2579" t="s">
        <v>3459</v>
      </c>
      <c r="I2579" t="s">
        <v>13641</v>
      </c>
      <c r="P2579" t="s">
        <v>2050</v>
      </c>
      <c r="Y2579" t="s">
        <v>13643</v>
      </c>
    </row>
    <row r="2580" spans="1:25" x14ac:dyDescent="0.25">
      <c r="A2580" t="str">
        <f>"1324699918"</f>
        <v>1324699918</v>
      </c>
      <c r="B2580" t="s">
        <v>32</v>
      </c>
      <c r="C2580" t="s">
        <v>4125</v>
      </c>
      <c r="D2580" t="s">
        <v>13644</v>
      </c>
      <c r="E2580">
        <v>424002</v>
      </c>
      <c r="F2580" t="s">
        <v>1</v>
      </c>
      <c r="G2580" t="s">
        <v>2</v>
      </c>
      <c r="H2580" t="s">
        <v>662</v>
      </c>
      <c r="I2580" t="s">
        <v>13645</v>
      </c>
      <c r="P2580" t="s">
        <v>778</v>
      </c>
      <c r="Y2580" t="s">
        <v>664</v>
      </c>
    </row>
    <row r="2581" spans="1:25" x14ac:dyDescent="0.25">
      <c r="A2581" t="str">
        <f>"1324752979"</f>
        <v>1324752979</v>
      </c>
      <c r="B2581" t="s">
        <v>160</v>
      </c>
      <c r="C2581" t="s">
        <v>13649</v>
      </c>
      <c r="D2581" t="s">
        <v>13646</v>
      </c>
      <c r="E2581">
        <v>424913</v>
      </c>
      <c r="F2581" t="s">
        <v>1</v>
      </c>
      <c r="G2581" t="s">
        <v>2</v>
      </c>
      <c r="H2581" t="s">
        <v>1278</v>
      </c>
      <c r="I2581" t="s">
        <v>13647</v>
      </c>
      <c r="K2581" t="s">
        <v>13648</v>
      </c>
      <c r="P2581" t="s">
        <v>280</v>
      </c>
      <c r="Y2581" t="s">
        <v>119</v>
      </c>
    </row>
    <row r="2582" spans="1:25" x14ac:dyDescent="0.25">
      <c r="A2582" t="str">
        <f>"1324757859"</f>
        <v>1324757859</v>
      </c>
      <c r="B2582" t="s">
        <v>3008</v>
      </c>
      <c r="C2582" t="s">
        <v>13654</v>
      </c>
      <c r="D2582" t="s">
        <v>13650</v>
      </c>
      <c r="E2582">
        <v>424020</v>
      </c>
      <c r="F2582" t="s">
        <v>1</v>
      </c>
      <c r="G2582" t="s">
        <v>2</v>
      </c>
      <c r="H2582" t="s">
        <v>8702</v>
      </c>
      <c r="I2582" t="s">
        <v>13651</v>
      </c>
      <c r="L2582" t="s">
        <v>13652</v>
      </c>
      <c r="M2582" t="s">
        <v>13653</v>
      </c>
      <c r="P2582" t="s">
        <v>280</v>
      </c>
      <c r="Y2582" t="s">
        <v>13655</v>
      </c>
    </row>
    <row r="2583" spans="1:25" x14ac:dyDescent="0.25">
      <c r="A2583" t="str">
        <f>"1324813296"</f>
        <v>1324813296</v>
      </c>
      <c r="B2583" t="s">
        <v>160</v>
      </c>
      <c r="C2583" t="s">
        <v>9976</v>
      </c>
      <c r="D2583" t="s">
        <v>13656</v>
      </c>
      <c r="E2583">
        <v>424003</v>
      </c>
      <c r="F2583" t="s">
        <v>1</v>
      </c>
      <c r="G2583" t="s">
        <v>2</v>
      </c>
      <c r="H2583" t="s">
        <v>13657</v>
      </c>
      <c r="I2583" t="s">
        <v>13658</v>
      </c>
      <c r="P2583" t="s">
        <v>13659</v>
      </c>
      <c r="Y2583" t="s">
        <v>13660</v>
      </c>
    </row>
    <row r="2584" spans="1:25" x14ac:dyDescent="0.25">
      <c r="A2584" t="str">
        <f>"1324819178"</f>
        <v>1324819178</v>
      </c>
      <c r="B2584" t="s">
        <v>430</v>
      </c>
      <c r="C2584" t="s">
        <v>13663</v>
      </c>
      <c r="D2584" t="s">
        <v>13661</v>
      </c>
      <c r="E2584">
        <v>424000</v>
      </c>
      <c r="F2584" t="s">
        <v>1</v>
      </c>
      <c r="G2584" t="s">
        <v>2</v>
      </c>
      <c r="H2584" t="s">
        <v>2671</v>
      </c>
      <c r="I2584" t="s">
        <v>13662</v>
      </c>
      <c r="P2584" t="s">
        <v>11005</v>
      </c>
      <c r="Y2584" t="s">
        <v>2674</v>
      </c>
    </row>
    <row r="2585" spans="1:25" x14ac:dyDescent="0.25">
      <c r="A2585" t="str">
        <f>"1325131461"</f>
        <v>1325131461</v>
      </c>
      <c r="B2585" t="s">
        <v>18</v>
      </c>
      <c r="C2585" t="s">
        <v>4522</v>
      </c>
      <c r="D2585" t="s">
        <v>13664</v>
      </c>
      <c r="E2585">
        <v>424020</v>
      </c>
      <c r="F2585" t="s">
        <v>1</v>
      </c>
      <c r="G2585" t="s">
        <v>2</v>
      </c>
      <c r="H2585" t="s">
        <v>13605</v>
      </c>
      <c r="P2585" t="s">
        <v>27</v>
      </c>
      <c r="Y2585" t="s">
        <v>13665</v>
      </c>
    </row>
    <row r="2586" spans="1:25" x14ac:dyDescent="0.25">
      <c r="A2586" t="str">
        <f>"1325135951"</f>
        <v>1325135951</v>
      </c>
      <c r="B2586" t="s">
        <v>574</v>
      </c>
      <c r="C2586" t="s">
        <v>646</v>
      </c>
      <c r="D2586" t="s">
        <v>13666</v>
      </c>
      <c r="E2586">
        <v>424026</v>
      </c>
      <c r="F2586" t="s">
        <v>1</v>
      </c>
      <c r="G2586" t="s">
        <v>2</v>
      </c>
      <c r="H2586" t="s">
        <v>13667</v>
      </c>
      <c r="I2586" t="s">
        <v>13668</v>
      </c>
      <c r="P2586" t="s">
        <v>330</v>
      </c>
      <c r="Y2586" t="s">
        <v>13669</v>
      </c>
    </row>
    <row r="2587" spans="1:25" x14ac:dyDescent="0.25">
      <c r="A2587" t="str">
        <f>"1325151173"</f>
        <v>1325151173</v>
      </c>
      <c r="B2587" t="s">
        <v>18</v>
      </c>
      <c r="C2587" t="s">
        <v>143</v>
      </c>
      <c r="D2587" t="s">
        <v>137</v>
      </c>
      <c r="E2587">
        <v>424002</v>
      </c>
      <c r="F2587" t="s">
        <v>1</v>
      </c>
      <c r="G2587" t="s">
        <v>2</v>
      </c>
      <c r="H2587" t="s">
        <v>11341</v>
      </c>
      <c r="I2587" t="s">
        <v>13670</v>
      </c>
      <c r="K2587" t="s">
        <v>13671</v>
      </c>
      <c r="L2587" t="s">
        <v>141</v>
      </c>
      <c r="M2587" t="s">
        <v>13672</v>
      </c>
      <c r="P2587" t="s">
        <v>112</v>
      </c>
      <c r="V2587" t="s">
        <v>145</v>
      </c>
      <c r="Y2587" t="s">
        <v>11344</v>
      </c>
    </row>
    <row r="2588" spans="1:25" x14ac:dyDescent="0.25">
      <c r="A2588" t="str">
        <f>"1325172832"</f>
        <v>1325172832</v>
      </c>
      <c r="B2588" t="s">
        <v>348</v>
      </c>
      <c r="C2588" t="s">
        <v>7354</v>
      </c>
      <c r="D2588" t="s">
        <v>13673</v>
      </c>
      <c r="F2588" t="s">
        <v>1</v>
      </c>
      <c r="G2588" t="s">
        <v>2</v>
      </c>
      <c r="H2588" t="s">
        <v>2018</v>
      </c>
      <c r="I2588" t="s">
        <v>13674</v>
      </c>
      <c r="J2588" t="s">
        <v>13675</v>
      </c>
      <c r="L2588" t="s">
        <v>13676</v>
      </c>
      <c r="M2588" t="s">
        <v>13677</v>
      </c>
      <c r="P2588" t="s">
        <v>2572</v>
      </c>
      <c r="Q2588" t="s">
        <v>13678</v>
      </c>
      <c r="Y2588" t="s">
        <v>2131</v>
      </c>
    </row>
    <row r="2589" spans="1:25" x14ac:dyDescent="0.25">
      <c r="A2589" t="str">
        <f>"1325392853"</f>
        <v>1325392853</v>
      </c>
      <c r="B2589" t="s">
        <v>96</v>
      </c>
      <c r="C2589" t="s">
        <v>507</v>
      </c>
      <c r="D2589" t="s">
        <v>13679</v>
      </c>
      <c r="E2589">
        <v>424002</v>
      </c>
      <c r="F2589" t="s">
        <v>1</v>
      </c>
      <c r="G2589" t="s">
        <v>2</v>
      </c>
      <c r="H2589" t="s">
        <v>662</v>
      </c>
      <c r="I2589" t="s">
        <v>13680</v>
      </c>
      <c r="J2589" t="s">
        <v>13681</v>
      </c>
      <c r="P2589" t="s">
        <v>112</v>
      </c>
      <c r="Y2589" t="s">
        <v>13682</v>
      </c>
    </row>
    <row r="2590" spans="1:25" x14ac:dyDescent="0.25">
      <c r="A2590" t="str">
        <f>"1325401383"</f>
        <v>1325401383</v>
      </c>
      <c r="B2590" t="s">
        <v>1323</v>
      </c>
      <c r="C2590" t="s">
        <v>13687</v>
      </c>
      <c r="D2590" t="s">
        <v>13683</v>
      </c>
      <c r="E2590">
        <v>424006</v>
      </c>
      <c r="F2590" t="s">
        <v>1</v>
      </c>
      <c r="G2590" t="s">
        <v>2</v>
      </c>
      <c r="H2590" t="s">
        <v>2547</v>
      </c>
      <c r="I2590" t="s">
        <v>13684</v>
      </c>
      <c r="L2590" t="s">
        <v>13685</v>
      </c>
      <c r="M2590" t="s">
        <v>13686</v>
      </c>
      <c r="P2590" t="s">
        <v>3938</v>
      </c>
      <c r="Q2590" t="s">
        <v>13688</v>
      </c>
      <c r="T2590" t="s">
        <v>13689</v>
      </c>
      <c r="U2590" t="s">
        <v>13690</v>
      </c>
      <c r="V2590" t="s">
        <v>13691</v>
      </c>
      <c r="Y2590" t="s">
        <v>13692</v>
      </c>
    </row>
    <row r="2591" spans="1:25" x14ac:dyDescent="0.25">
      <c r="A2591" t="str">
        <f>"1325436686"</f>
        <v>1325436686</v>
      </c>
      <c r="B2591" t="s">
        <v>233</v>
      </c>
      <c r="C2591" t="s">
        <v>1897</v>
      </c>
      <c r="D2591" t="s">
        <v>13693</v>
      </c>
      <c r="E2591">
        <v>424008</v>
      </c>
      <c r="F2591" t="s">
        <v>1</v>
      </c>
      <c r="G2591" t="s">
        <v>2</v>
      </c>
      <c r="H2591" t="s">
        <v>1012</v>
      </c>
      <c r="I2591" t="s">
        <v>13694</v>
      </c>
      <c r="K2591" t="s">
        <v>13695</v>
      </c>
      <c r="P2591" t="s">
        <v>390</v>
      </c>
      <c r="Y2591" t="s">
        <v>1016</v>
      </c>
    </row>
    <row r="2592" spans="1:25" x14ac:dyDescent="0.25">
      <c r="A2592" t="str">
        <f>"1325451278"</f>
        <v>1325451278</v>
      </c>
      <c r="B2592" t="s">
        <v>2104</v>
      </c>
      <c r="C2592" t="s">
        <v>13387</v>
      </c>
      <c r="D2592" t="s">
        <v>13696</v>
      </c>
      <c r="E2592">
        <v>424038</v>
      </c>
      <c r="F2592" t="s">
        <v>1</v>
      </c>
      <c r="G2592" t="s">
        <v>2</v>
      </c>
      <c r="H2592" t="s">
        <v>11130</v>
      </c>
      <c r="I2592" t="s">
        <v>13697</v>
      </c>
      <c r="P2592" t="s">
        <v>8133</v>
      </c>
      <c r="Y2592" t="s">
        <v>13698</v>
      </c>
    </row>
    <row r="2593" spans="1:25" x14ac:dyDescent="0.25">
      <c r="A2593" t="str">
        <f>"1325492692"</f>
        <v>1325492692</v>
      </c>
      <c r="B2593" t="s">
        <v>797</v>
      </c>
      <c r="C2593" t="s">
        <v>13701</v>
      </c>
      <c r="D2593" t="s">
        <v>5236</v>
      </c>
      <c r="E2593">
        <v>424000</v>
      </c>
      <c r="F2593" t="s">
        <v>1</v>
      </c>
      <c r="G2593" t="s">
        <v>2</v>
      </c>
      <c r="H2593" t="s">
        <v>13699</v>
      </c>
      <c r="I2593" t="s">
        <v>13700</v>
      </c>
      <c r="P2593" t="s">
        <v>13702</v>
      </c>
      <c r="Q2593" t="s">
        <v>13703</v>
      </c>
      <c r="Y2593" t="s">
        <v>11278</v>
      </c>
    </row>
    <row r="2594" spans="1:25" x14ac:dyDescent="0.25">
      <c r="A2594" t="str">
        <f>"1325591724"</f>
        <v>1325591724</v>
      </c>
      <c r="B2594" t="s">
        <v>290</v>
      </c>
      <c r="C2594" t="s">
        <v>290</v>
      </c>
      <c r="D2594" t="s">
        <v>13704</v>
      </c>
      <c r="E2594">
        <v>424019</v>
      </c>
      <c r="F2594" t="s">
        <v>1</v>
      </c>
      <c r="G2594" t="s">
        <v>2</v>
      </c>
      <c r="H2594" t="s">
        <v>13705</v>
      </c>
      <c r="I2594" t="s">
        <v>13706</v>
      </c>
      <c r="J2594" t="s">
        <v>13707</v>
      </c>
      <c r="P2594" t="s">
        <v>13205</v>
      </c>
      <c r="Y2594" t="s">
        <v>13708</v>
      </c>
    </row>
    <row r="2595" spans="1:25" x14ac:dyDescent="0.25">
      <c r="A2595" t="str">
        <f>"1325607572"</f>
        <v>1325607572</v>
      </c>
      <c r="B2595" t="s">
        <v>1053</v>
      </c>
      <c r="C2595" t="s">
        <v>1927</v>
      </c>
      <c r="D2595" t="s">
        <v>5805</v>
      </c>
      <c r="E2595">
        <v>424020</v>
      </c>
      <c r="F2595" t="s">
        <v>1</v>
      </c>
      <c r="G2595" t="s">
        <v>2</v>
      </c>
      <c r="H2595" t="s">
        <v>5634</v>
      </c>
      <c r="J2595" t="s">
        <v>13709</v>
      </c>
      <c r="P2595" t="s">
        <v>280</v>
      </c>
      <c r="Y2595" t="s">
        <v>13710</v>
      </c>
    </row>
    <row r="2596" spans="1:25" x14ac:dyDescent="0.25">
      <c r="A2596" t="str">
        <f>"1325653358"</f>
        <v>1325653358</v>
      </c>
      <c r="B2596" t="s">
        <v>224</v>
      </c>
      <c r="C2596" t="s">
        <v>13714</v>
      </c>
      <c r="D2596" t="s">
        <v>3922</v>
      </c>
      <c r="E2596">
        <v>424008</v>
      </c>
      <c r="F2596" t="s">
        <v>1</v>
      </c>
      <c r="G2596" t="s">
        <v>2</v>
      </c>
      <c r="H2596" t="s">
        <v>528</v>
      </c>
      <c r="I2596" t="s">
        <v>13711</v>
      </c>
      <c r="L2596" t="s">
        <v>13712</v>
      </c>
      <c r="M2596" t="s">
        <v>13713</v>
      </c>
      <c r="P2596" t="s">
        <v>6426</v>
      </c>
      <c r="Y2596" t="s">
        <v>6427</v>
      </c>
    </row>
    <row r="2597" spans="1:25" x14ac:dyDescent="0.25">
      <c r="A2597" t="str">
        <f>"1325663332"</f>
        <v>1325663332</v>
      </c>
      <c r="B2597" t="s">
        <v>624</v>
      </c>
      <c r="C2597" t="s">
        <v>2640</v>
      </c>
      <c r="D2597" t="s">
        <v>13715</v>
      </c>
      <c r="E2597">
        <v>424006</v>
      </c>
      <c r="F2597" t="s">
        <v>1</v>
      </c>
      <c r="G2597" t="s">
        <v>2</v>
      </c>
      <c r="H2597" t="s">
        <v>2775</v>
      </c>
      <c r="I2597" t="s">
        <v>13716</v>
      </c>
      <c r="J2597" t="s">
        <v>13717</v>
      </c>
      <c r="K2597" t="s">
        <v>13716</v>
      </c>
      <c r="P2597" t="s">
        <v>13718</v>
      </c>
      <c r="Y2597" t="s">
        <v>2779</v>
      </c>
    </row>
    <row r="2598" spans="1:25" x14ac:dyDescent="0.25">
      <c r="A2598" t="str">
        <f>"1325760547"</f>
        <v>1325760547</v>
      </c>
      <c r="B2598" t="s">
        <v>18</v>
      </c>
      <c r="C2598" t="s">
        <v>143</v>
      </c>
      <c r="D2598" t="s">
        <v>13719</v>
      </c>
      <c r="E2598">
        <v>424031</v>
      </c>
      <c r="F2598" t="s">
        <v>1</v>
      </c>
      <c r="G2598" t="s">
        <v>2</v>
      </c>
      <c r="H2598" t="s">
        <v>413</v>
      </c>
      <c r="I2598" t="s">
        <v>13720</v>
      </c>
      <c r="P2598" t="s">
        <v>1270</v>
      </c>
      <c r="Y2598" t="s">
        <v>643</v>
      </c>
    </row>
    <row r="2599" spans="1:25" x14ac:dyDescent="0.25">
      <c r="A2599" t="str">
        <f>"1325824242"</f>
        <v>1325824242</v>
      </c>
      <c r="B2599" t="s">
        <v>1611</v>
      </c>
      <c r="C2599" t="s">
        <v>4172</v>
      </c>
      <c r="D2599" t="s">
        <v>13721</v>
      </c>
      <c r="E2599">
        <v>424037</v>
      </c>
      <c r="F2599" t="s">
        <v>1</v>
      </c>
      <c r="G2599" t="s">
        <v>2</v>
      </c>
      <c r="H2599" t="s">
        <v>13722</v>
      </c>
      <c r="I2599" t="s">
        <v>13723</v>
      </c>
      <c r="L2599" t="s">
        <v>581</v>
      </c>
      <c r="M2599" t="s">
        <v>13724</v>
      </c>
      <c r="P2599" t="s">
        <v>280</v>
      </c>
      <c r="Y2599" t="s">
        <v>13725</v>
      </c>
    </row>
    <row r="2600" spans="1:25" x14ac:dyDescent="0.25">
      <c r="A2600" t="str">
        <f>"1325831771"</f>
        <v>1325831771</v>
      </c>
      <c r="B2600" t="s">
        <v>430</v>
      </c>
      <c r="C2600" t="s">
        <v>940</v>
      </c>
      <c r="D2600" t="s">
        <v>13726</v>
      </c>
      <c r="E2600">
        <v>424036</v>
      </c>
      <c r="F2600" t="s">
        <v>1</v>
      </c>
      <c r="G2600" t="s">
        <v>2</v>
      </c>
      <c r="H2600" t="s">
        <v>5317</v>
      </c>
      <c r="J2600" t="s">
        <v>13727</v>
      </c>
      <c r="P2600" t="s">
        <v>144</v>
      </c>
      <c r="Y2600" t="s">
        <v>13728</v>
      </c>
    </row>
    <row r="2601" spans="1:25" x14ac:dyDescent="0.25">
      <c r="A2601" t="str">
        <f>"1326002141"</f>
        <v>1326002141</v>
      </c>
      <c r="B2601" t="s">
        <v>1053</v>
      </c>
      <c r="C2601" t="s">
        <v>1927</v>
      </c>
      <c r="D2601" t="s">
        <v>13729</v>
      </c>
      <c r="E2601">
        <v>424000</v>
      </c>
      <c r="F2601" t="s">
        <v>1</v>
      </c>
      <c r="G2601" t="s">
        <v>2</v>
      </c>
      <c r="H2601" t="s">
        <v>1531</v>
      </c>
      <c r="J2601" t="s">
        <v>13730</v>
      </c>
      <c r="P2601" t="s">
        <v>6400</v>
      </c>
      <c r="Y2601" t="s">
        <v>1707</v>
      </c>
    </row>
    <row r="2602" spans="1:25" x14ac:dyDescent="0.25">
      <c r="A2602" t="str">
        <f>"1326084638"</f>
        <v>1326084638</v>
      </c>
      <c r="B2602" t="s">
        <v>4084</v>
      </c>
      <c r="C2602" t="s">
        <v>7951</v>
      </c>
      <c r="D2602" t="s">
        <v>13731</v>
      </c>
      <c r="F2602" t="s">
        <v>1</v>
      </c>
      <c r="G2602" t="s">
        <v>2</v>
      </c>
      <c r="H2602" t="s">
        <v>13732</v>
      </c>
      <c r="Y2602" t="s">
        <v>13733</v>
      </c>
    </row>
    <row r="2603" spans="1:25" x14ac:dyDescent="0.25">
      <c r="A2603" t="str">
        <f>"1326093251"</f>
        <v>1326093251</v>
      </c>
      <c r="B2603" t="s">
        <v>319</v>
      </c>
      <c r="C2603" t="s">
        <v>320</v>
      </c>
      <c r="D2603" t="s">
        <v>12607</v>
      </c>
      <c r="E2603">
        <v>424006</v>
      </c>
      <c r="F2603" t="s">
        <v>1</v>
      </c>
      <c r="G2603" t="s">
        <v>2</v>
      </c>
      <c r="H2603" t="s">
        <v>13109</v>
      </c>
      <c r="P2603" t="s">
        <v>2561</v>
      </c>
      <c r="Y2603" t="s">
        <v>13734</v>
      </c>
    </row>
    <row r="2604" spans="1:25" x14ac:dyDescent="0.25">
      <c r="A2604" t="str">
        <f>"1326105027"</f>
        <v>1326105027</v>
      </c>
      <c r="B2604" t="s">
        <v>151</v>
      </c>
      <c r="C2604" t="s">
        <v>2522</v>
      </c>
      <c r="D2604" t="s">
        <v>13735</v>
      </c>
      <c r="E2604">
        <v>424006</v>
      </c>
      <c r="F2604" t="s">
        <v>1</v>
      </c>
      <c r="G2604" t="s">
        <v>2</v>
      </c>
      <c r="H2604" t="s">
        <v>1890</v>
      </c>
      <c r="I2604" t="s">
        <v>13736</v>
      </c>
      <c r="L2604" t="s">
        <v>5579</v>
      </c>
      <c r="M2604" t="s">
        <v>13737</v>
      </c>
      <c r="P2604" t="s">
        <v>12390</v>
      </c>
      <c r="Y2604" t="s">
        <v>1893</v>
      </c>
    </row>
    <row r="2605" spans="1:25" x14ac:dyDescent="0.25">
      <c r="A2605" t="str">
        <f>"1326155976"</f>
        <v>1326155976</v>
      </c>
      <c r="B2605" t="s">
        <v>1573</v>
      </c>
      <c r="C2605" t="s">
        <v>13743</v>
      </c>
      <c r="D2605" t="s">
        <v>13738</v>
      </c>
      <c r="E2605">
        <v>424038</v>
      </c>
      <c r="F2605" t="s">
        <v>1</v>
      </c>
      <c r="G2605" t="s">
        <v>2</v>
      </c>
      <c r="H2605" t="s">
        <v>13739</v>
      </c>
      <c r="I2605" t="s">
        <v>13740</v>
      </c>
      <c r="L2605" t="s">
        <v>13741</v>
      </c>
      <c r="M2605" t="s">
        <v>13742</v>
      </c>
      <c r="P2605" t="s">
        <v>410</v>
      </c>
      <c r="Y2605" t="s">
        <v>13744</v>
      </c>
    </row>
    <row r="2606" spans="1:25" x14ac:dyDescent="0.25">
      <c r="A2606" t="str">
        <f>"1326196455"</f>
        <v>1326196455</v>
      </c>
      <c r="B2606" t="s">
        <v>348</v>
      </c>
      <c r="C2606" t="s">
        <v>13749</v>
      </c>
      <c r="D2606" t="s">
        <v>13745</v>
      </c>
      <c r="E2606">
        <v>424036</v>
      </c>
      <c r="F2606" t="s">
        <v>1</v>
      </c>
      <c r="G2606" t="s">
        <v>2</v>
      </c>
      <c r="H2606" t="s">
        <v>8222</v>
      </c>
      <c r="I2606" t="s">
        <v>13746</v>
      </c>
      <c r="L2606" t="s">
        <v>13747</v>
      </c>
      <c r="M2606" t="s">
        <v>13748</v>
      </c>
      <c r="P2606" t="s">
        <v>10416</v>
      </c>
      <c r="Y2606" t="s">
        <v>13750</v>
      </c>
    </row>
    <row r="2607" spans="1:25" x14ac:dyDescent="0.25">
      <c r="A2607" t="str">
        <f>"1326253020"</f>
        <v>1326253020</v>
      </c>
      <c r="B2607" t="s">
        <v>123</v>
      </c>
      <c r="C2607" t="s">
        <v>13753</v>
      </c>
      <c r="D2607" t="s">
        <v>13751</v>
      </c>
      <c r="E2607">
        <v>424007</v>
      </c>
      <c r="F2607" t="s">
        <v>1</v>
      </c>
      <c r="G2607" t="s">
        <v>2</v>
      </c>
      <c r="H2607" t="s">
        <v>5647</v>
      </c>
      <c r="I2607" t="s">
        <v>13752</v>
      </c>
      <c r="P2607" t="s">
        <v>13754</v>
      </c>
      <c r="Q2607" t="s">
        <v>13755</v>
      </c>
      <c r="Y2607" t="s">
        <v>13756</v>
      </c>
    </row>
    <row r="2608" spans="1:25" x14ac:dyDescent="0.25">
      <c r="A2608" t="str">
        <f>"1326258084"</f>
        <v>1326258084</v>
      </c>
      <c r="B2608" t="s">
        <v>25</v>
      </c>
      <c r="C2608" t="s">
        <v>1005</v>
      </c>
      <c r="D2608" t="s">
        <v>2163</v>
      </c>
      <c r="E2608">
        <v>424918</v>
      </c>
      <c r="F2608" t="s">
        <v>1</v>
      </c>
      <c r="G2608" t="s">
        <v>2</v>
      </c>
      <c r="H2608" t="s">
        <v>629</v>
      </c>
      <c r="I2608" t="s">
        <v>13757</v>
      </c>
      <c r="P2608" t="s">
        <v>1232</v>
      </c>
      <c r="Y2608" t="s">
        <v>1744</v>
      </c>
    </row>
    <row r="2609" spans="1:25" x14ac:dyDescent="0.25">
      <c r="A2609" t="str">
        <f>"1326294695"</f>
        <v>1326294695</v>
      </c>
      <c r="B2609" t="s">
        <v>151</v>
      </c>
      <c r="C2609" t="s">
        <v>151</v>
      </c>
      <c r="D2609" t="s">
        <v>13260</v>
      </c>
      <c r="E2609">
        <v>424006</v>
      </c>
      <c r="F2609" t="s">
        <v>1</v>
      </c>
      <c r="G2609" t="s">
        <v>2</v>
      </c>
      <c r="H2609" t="s">
        <v>13758</v>
      </c>
      <c r="I2609" t="s">
        <v>13759</v>
      </c>
      <c r="P2609" t="s">
        <v>390</v>
      </c>
      <c r="Y2609" t="s">
        <v>13760</v>
      </c>
    </row>
    <row r="2610" spans="1:25" x14ac:dyDescent="0.25">
      <c r="A2610" t="str">
        <f>"1326360803"</f>
        <v>1326360803</v>
      </c>
      <c r="B2610" t="s">
        <v>18</v>
      </c>
      <c r="C2610" t="s">
        <v>13764</v>
      </c>
      <c r="D2610" t="s">
        <v>13761</v>
      </c>
      <c r="E2610">
        <v>424007</v>
      </c>
      <c r="F2610" t="s">
        <v>1</v>
      </c>
      <c r="G2610" t="s">
        <v>2</v>
      </c>
      <c r="H2610" t="s">
        <v>13762</v>
      </c>
      <c r="I2610" t="s">
        <v>13763</v>
      </c>
      <c r="P2610" t="s">
        <v>6151</v>
      </c>
      <c r="Y2610" t="s">
        <v>13765</v>
      </c>
    </row>
    <row r="2611" spans="1:25" x14ac:dyDescent="0.25">
      <c r="A2611" t="str">
        <f>"1326377115"</f>
        <v>1326377115</v>
      </c>
      <c r="B2611" t="s">
        <v>388</v>
      </c>
      <c r="C2611" t="s">
        <v>6019</v>
      </c>
      <c r="D2611" t="s">
        <v>13766</v>
      </c>
      <c r="E2611">
        <v>424000</v>
      </c>
      <c r="F2611" t="s">
        <v>1</v>
      </c>
      <c r="G2611" t="s">
        <v>2</v>
      </c>
      <c r="H2611" t="s">
        <v>6578</v>
      </c>
      <c r="I2611" t="s">
        <v>13767</v>
      </c>
      <c r="P2611" t="s">
        <v>27</v>
      </c>
      <c r="Y2611" t="s">
        <v>9940</v>
      </c>
    </row>
    <row r="2612" spans="1:25" x14ac:dyDescent="0.25">
      <c r="A2612" t="str">
        <f>"1326391475"</f>
        <v>1326391475</v>
      </c>
      <c r="B2612" t="s">
        <v>117</v>
      </c>
      <c r="C2612" t="s">
        <v>873</v>
      </c>
      <c r="D2612" t="s">
        <v>870</v>
      </c>
      <c r="F2612" t="s">
        <v>1</v>
      </c>
      <c r="G2612" t="s">
        <v>2</v>
      </c>
      <c r="H2612" t="s">
        <v>13768</v>
      </c>
      <c r="I2612" t="s">
        <v>13769</v>
      </c>
      <c r="P2612" t="s">
        <v>330</v>
      </c>
      <c r="Y2612" t="s">
        <v>1847</v>
      </c>
    </row>
    <row r="2613" spans="1:25" x14ac:dyDescent="0.25">
      <c r="A2613" t="str">
        <f>"1326400220"</f>
        <v>1326400220</v>
      </c>
      <c r="B2613" t="s">
        <v>290</v>
      </c>
      <c r="C2613" t="s">
        <v>2737</v>
      </c>
      <c r="D2613" t="s">
        <v>13770</v>
      </c>
      <c r="E2613">
        <v>424002</v>
      </c>
      <c r="F2613" t="s">
        <v>1</v>
      </c>
      <c r="G2613" t="s">
        <v>2</v>
      </c>
      <c r="H2613" t="s">
        <v>6656</v>
      </c>
      <c r="I2613" t="s">
        <v>13771</v>
      </c>
      <c r="P2613" t="s">
        <v>390</v>
      </c>
      <c r="Q2613" t="s">
        <v>13772</v>
      </c>
      <c r="Y2613" t="s">
        <v>13773</v>
      </c>
    </row>
    <row r="2614" spans="1:25" x14ac:dyDescent="0.25">
      <c r="A2614" t="str">
        <f>"1326457357"</f>
        <v>1326457357</v>
      </c>
      <c r="B2614" t="s">
        <v>553</v>
      </c>
      <c r="C2614" t="s">
        <v>13777</v>
      </c>
      <c r="D2614" t="s">
        <v>13774</v>
      </c>
      <c r="E2614">
        <v>424006</v>
      </c>
      <c r="F2614" t="s">
        <v>1</v>
      </c>
      <c r="G2614" t="s">
        <v>2</v>
      </c>
      <c r="H2614" t="s">
        <v>2012</v>
      </c>
      <c r="J2614" t="s">
        <v>13775</v>
      </c>
      <c r="L2614" t="s">
        <v>3752</v>
      </c>
      <c r="M2614" t="s">
        <v>13776</v>
      </c>
      <c r="P2614" t="s">
        <v>6467</v>
      </c>
      <c r="Q2614" t="s">
        <v>13778</v>
      </c>
      <c r="Y2614" t="s">
        <v>13779</v>
      </c>
    </row>
    <row r="2615" spans="1:25" x14ac:dyDescent="0.25">
      <c r="A2615" t="str">
        <f>"1326547684"</f>
        <v>1326547684</v>
      </c>
      <c r="B2615" t="s">
        <v>18</v>
      </c>
      <c r="C2615" t="s">
        <v>13785</v>
      </c>
      <c r="D2615" t="s">
        <v>13780</v>
      </c>
      <c r="E2615">
        <v>424008</v>
      </c>
      <c r="F2615" t="s">
        <v>1</v>
      </c>
      <c r="G2615" t="s">
        <v>2</v>
      </c>
      <c r="H2615" t="s">
        <v>10128</v>
      </c>
      <c r="I2615" t="s">
        <v>13781</v>
      </c>
      <c r="J2615" t="s">
        <v>13782</v>
      </c>
      <c r="L2615" t="s">
        <v>13783</v>
      </c>
      <c r="M2615" t="s">
        <v>13784</v>
      </c>
      <c r="P2615" t="s">
        <v>280</v>
      </c>
      <c r="Y2615" t="s">
        <v>10134</v>
      </c>
    </row>
    <row r="2616" spans="1:25" x14ac:dyDescent="0.25">
      <c r="A2616" t="str">
        <f>"1326730948"</f>
        <v>1326730948</v>
      </c>
      <c r="B2616" t="s">
        <v>160</v>
      </c>
      <c r="C2616" t="s">
        <v>1666</v>
      </c>
      <c r="D2616" t="s">
        <v>13786</v>
      </c>
      <c r="E2616">
        <v>424016</v>
      </c>
      <c r="F2616" t="s">
        <v>1</v>
      </c>
      <c r="G2616" t="s">
        <v>2</v>
      </c>
      <c r="H2616" t="s">
        <v>13787</v>
      </c>
      <c r="I2616" t="s">
        <v>13788</v>
      </c>
      <c r="L2616" t="s">
        <v>13789</v>
      </c>
      <c r="M2616" t="s">
        <v>13790</v>
      </c>
      <c r="P2616" t="s">
        <v>20</v>
      </c>
      <c r="Y2616" t="s">
        <v>13791</v>
      </c>
    </row>
    <row r="2617" spans="1:25" x14ac:dyDescent="0.25">
      <c r="A2617" t="str">
        <f>"1326760450"</f>
        <v>1326760450</v>
      </c>
      <c r="B2617" t="s">
        <v>18</v>
      </c>
      <c r="C2617" t="s">
        <v>13796</v>
      </c>
      <c r="D2617" t="s">
        <v>13792</v>
      </c>
      <c r="E2617">
        <v>424031</v>
      </c>
      <c r="F2617" t="s">
        <v>1</v>
      </c>
      <c r="G2617" t="s">
        <v>2</v>
      </c>
      <c r="H2617" t="s">
        <v>1524</v>
      </c>
      <c r="I2617" t="s">
        <v>13793</v>
      </c>
      <c r="J2617" t="s">
        <v>13794</v>
      </c>
      <c r="L2617" t="s">
        <v>13795</v>
      </c>
      <c r="P2617" t="s">
        <v>7390</v>
      </c>
      <c r="Q2617" t="s">
        <v>13797</v>
      </c>
      <c r="Y2617" t="s">
        <v>5358</v>
      </c>
    </row>
    <row r="2618" spans="1:25" x14ac:dyDescent="0.25">
      <c r="A2618" t="str">
        <f>"1326775621"</f>
        <v>1326775621</v>
      </c>
      <c r="B2618" t="s">
        <v>447</v>
      </c>
      <c r="C2618" t="s">
        <v>448</v>
      </c>
      <c r="D2618" t="s">
        <v>13798</v>
      </c>
      <c r="E2618">
        <v>424028</v>
      </c>
      <c r="F2618" t="s">
        <v>1</v>
      </c>
      <c r="G2618" t="s">
        <v>2</v>
      </c>
      <c r="H2618" t="s">
        <v>13799</v>
      </c>
      <c r="J2618" t="s">
        <v>13800</v>
      </c>
      <c r="P2618" t="s">
        <v>20</v>
      </c>
      <c r="Y2618" t="s">
        <v>13801</v>
      </c>
    </row>
    <row r="2619" spans="1:25" x14ac:dyDescent="0.25">
      <c r="A2619" t="str">
        <f>"1326828406"</f>
        <v>1326828406</v>
      </c>
      <c r="B2619" t="s">
        <v>379</v>
      </c>
      <c r="C2619" t="s">
        <v>4852</v>
      </c>
      <c r="D2619" t="s">
        <v>4850</v>
      </c>
      <c r="E2619">
        <v>424036</v>
      </c>
      <c r="F2619" t="s">
        <v>1</v>
      </c>
      <c r="G2619" t="s">
        <v>2</v>
      </c>
      <c r="H2619" t="s">
        <v>7305</v>
      </c>
      <c r="I2619" t="s">
        <v>13802</v>
      </c>
      <c r="J2619" t="s">
        <v>13803</v>
      </c>
      <c r="P2619" t="s">
        <v>1027</v>
      </c>
      <c r="Y2619" t="s">
        <v>7306</v>
      </c>
    </row>
    <row r="2620" spans="1:25" x14ac:dyDescent="0.25">
      <c r="A2620" t="str">
        <f>"1326829631"</f>
        <v>1326829631</v>
      </c>
      <c r="B2620" t="s">
        <v>3094</v>
      </c>
      <c r="C2620" t="s">
        <v>10543</v>
      </c>
      <c r="D2620" t="s">
        <v>13804</v>
      </c>
      <c r="E2620">
        <v>424020</v>
      </c>
      <c r="F2620" t="s">
        <v>1</v>
      </c>
      <c r="G2620" t="s">
        <v>2</v>
      </c>
      <c r="H2620" t="s">
        <v>13805</v>
      </c>
      <c r="I2620" t="s">
        <v>13806</v>
      </c>
      <c r="L2620" t="s">
        <v>13807</v>
      </c>
      <c r="M2620" t="s">
        <v>13808</v>
      </c>
      <c r="P2620" t="s">
        <v>20</v>
      </c>
      <c r="Y2620" t="s">
        <v>13809</v>
      </c>
    </row>
    <row r="2621" spans="1:25" x14ac:dyDescent="0.25">
      <c r="A2621" t="str">
        <f>"1326891933"</f>
        <v>1326891933</v>
      </c>
      <c r="B2621" t="s">
        <v>1475</v>
      </c>
      <c r="C2621" t="s">
        <v>1476</v>
      </c>
      <c r="D2621" t="s">
        <v>13810</v>
      </c>
      <c r="E2621">
        <v>424019</v>
      </c>
      <c r="F2621" t="s">
        <v>1</v>
      </c>
      <c r="G2621" t="s">
        <v>2</v>
      </c>
      <c r="H2621" t="s">
        <v>12105</v>
      </c>
      <c r="P2621" t="s">
        <v>1027</v>
      </c>
      <c r="Y2621" t="s">
        <v>13811</v>
      </c>
    </row>
    <row r="2622" spans="1:25" x14ac:dyDescent="0.25">
      <c r="A2622" t="str">
        <f>"1326917354"</f>
        <v>1326917354</v>
      </c>
      <c r="B2622" t="s">
        <v>18</v>
      </c>
      <c r="C2622" t="s">
        <v>13813</v>
      </c>
      <c r="D2622" t="s">
        <v>3240</v>
      </c>
      <c r="E2622">
        <v>424028</v>
      </c>
      <c r="F2622" t="s">
        <v>1</v>
      </c>
      <c r="G2622" t="s">
        <v>2</v>
      </c>
      <c r="H2622" t="s">
        <v>1260</v>
      </c>
      <c r="J2622" t="s">
        <v>13812</v>
      </c>
      <c r="P2622" t="s">
        <v>280</v>
      </c>
      <c r="Y2622" t="s">
        <v>1264</v>
      </c>
    </row>
    <row r="2623" spans="1:25" x14ac:dyDescent="0.25">
      <c r="A2623" t="str">
        <f>"1327025768"</f>
        <v>1327025768</v>
      </c>
      <c r="B2623" t="s">
        <v>1604</v>
      </c>
      <c r="C2623" t="s">
        <v>2271</v>
      </c>
      <c r="D2623" t="s">
        <v>13814</v>
      </c>
      <c r="E2623">
        <v>424007</v>
      </c>
      <c r="F2623" t="s">
        <v>1</v>
      </c>
      <c r="G2623" t="s">
        <v>2</v>
      </c>
      <c r="H2623" t="s">
        <v>819</v>
      </c>
      <c r="I2623" t="s">
        <v>13815</v>
      </c>
      <c r="P2623" t="s">
        <v>2979</v>
      </c>
      <c r="Y2623" t="s">
        <v>821</v>
      </c>
    </row>
    <row r="2624" spans="1:25" x14ac:dyDescent="0.25">
      <c r="A2624" t="str">
        <f>"1327035985"</f>
        <v>1327035985</v>
      </c>
      <c r="B2624" t="s">
        <v>930</v>
      </c>
      <c r="C2624" t="s">
        <v>13819</v>
      </c>
      <c r="D2624" t="s">
        <v>13816</v>
      </c>
      <c r="F2624" t="s">
        <v>1</v>
      </c>
      <c r="G2624" t="s">
        <v>2</v>
      </c>
      <c r="H2624" t="s">
        <v>10476</v>
      </c>
      <c r="I2624" t="s">
        <v>13817</v>
      </c>
      <c r="L2624" t="s">
        <v>13818</v>
      </c>
      <c r="P2624" t="s">
        <v>13820</v>
      </c>
      <c r="Q2624" t="s">
        <v>13821</v>
      </c>
      <c r="Y2624" t="s">
        <v>13822</v>
      </c>
    </row>
    <row r="2625" spans="1:25" x14ac:dyDescent="0.25">
      <c r="A2625" t="str">
        <f>"1327153937"</f>
        <v>1327153937</v>
      </c>
      <c r="B2625" t="s">
        <v>624</v>
      </c>
      <c r="C2625" t="s">
        <v>13824</v>
      </c>
      <c r="D2625" t="s">
        <v>11641</v>
      </c>
      <c r="E2625">
        <v>424007</v>
      </c>
      <c r="F2625" t="s">
        <v>1</v>
      </c>
      <c r="G2625" t="s">
        <v>2</v>
      </c>
      <c r="H2625" t="s">
        <v>356</v>
      </c>
      <c r="I2625" t="s">
        <v>13823</v>
      </c>
      <c r="P2625" t="s">
        <v>1404</v>
      </c>
      <c r="Y2625" t="s">
        <v>13825</v>
      </c>
    </row>
    <row r="2626" spans="1:25" x14ac:dyDescent="0.25">
      <c r="A2626" t="str">
        <f>"1327247760"</f>
        <v>1327247760</v>
      </c>
      <c r="B2626" t="s">
        <v>1152</v>
      </c>
      <c r="C2626" t="s">
        <v>1152</v>
      </c>
      <c r="D2626" t="s">
        <v>13826</v>
      </c>
      <c r="F2626" t="s">
        <v>1</v>
      </c>
      <c r="G2626" t="s">
        <v>2</v>
      </c>
      <c r="H2626" t="s">
        <v>1600</v>
      </c>
      <c r="I2626" t="s">
        <v>13827</v>
      </c>
      <c r="P2626" t="s">
        <v>152</v>
      </c>
      <c r="Y2626" t="s">
        <v>2417</v>
      </c>
    </row>
    <row r="2627" spans="1:25" x14ac:dyDescent="0.25">
      <c r="A2627" t="str">
        <f>"1327311750"</f>
        <v>1327311750</v>
      </c>
      <c r="B2627" t="s">
        <v>18</v>
      </c>
      <c r="C2627" t="s">
        <v>4522</v>
      </c>
      <c r="D2627" t="s">
        <v>13828</v>
      </c>
      <c r="E2627">
        <v>424038</v>
      </c>
      <c r="F2627" t="s">
        <v>1</v>
      </c>
      <c r="G2627" t="s">
        <v>2</v>
      </c>
      <c r="H2627" t="s">
        <v>9930</v>
      </c>
      <c r="Y2627" t="s">
        <v>13829</v>
      </c>
    </row>
    <row r="2628" spans="1:25" x14ac:dyDescent="0.25">
      <c r="A2628" t="str">
        <f>"1327316217"</f>
        <v>1327316217</v>
      </c>
      <c r="B2628" t="s">
        <v>687</v>
      </c>
      <c r="C2628" t="s">
        <v>13834</v>
      </c>
      <c r="D2628" t="s">
        <v>13830</v>
      </c>
      <c r="E2628">
        <v>424031</v>
      </c>
      <c r="F2628" t="s">
        <v>1</v>
      </c>
      <c r="G2628" t="s">
        <v>2</v>
      </c>
      <c r="H2628" t="s">
        <v>106</v>
      </c>
      <c r="I2628" t="s">
        <v>13831</v>
      </c>
      <c r="L2628" t="s">
        <v>13832</v>
      </c>
      <c r="M2628" t="s">
        <v>13833</v>
      </c>
      <c r="P2628" t="s">
        <v>280</v>
      </c>
      <c r="Y2628" t="s">
        <v>13835</v>
      </c>
    </row>
    <row r="2629" spans="1:25" x14ac:dyDescent="0.25">
      <c r="A2629" t="str">
        <f>"1327368308"</f>
        <v>1327368308</v>
      </c>
      <c r="B2629" t="s">
        <v>334</v>
      </c>
      <c r="C2629" t="s">
        <v>334</v>
      </c>
      <c r="D2629" t="s">
        <v>13836</v>
      </c>
      <c r="E2629">
        <v>424033</v>
      </c>
      <c r="F2629" t="s">
        <v>1</v>
      </c>
      <c r="G2629" t="s">
        <v>2</v>
      </c>
      <c r="H2629" t="s">
        <v>13837</v>
      </c>
      <c r="J2629" t="s">
        <v>13838</v>
      </c>
      <c r="L2629" t="s">
        <v>13839</v>
      </c>
      <c r="M2629" t="s">
        <v>13840</v>
      </c>
      <c r="P2629" t="s">
        <v>390</v>
      </c>
      <c r="Y2629" t="s">
        <v>13841</v>
      </c>
    </row>
    <row r="2630" spans="1:25" x14ac:dyDescent="0.25">
      <c r="A2630" t="str">
        <f>"1327395240"</f>
        <v>1327395240</v>
      </c>
      <c r="B2630" t="s">
        <v>176</v>
      </c>
      <c r="C2630" t="s">
        <v>279</v>
      </c>
      <c r="D2630" t="s">
        <v>13842</v>
      </c>
      <c r="E2630">
        <v>424002</v>
      </c>
      <c r="F2630" t="s">
        <v>1</v>
      </c>
      <c r="G2630" t="s">
        <v>2</v>
      </c>
      <c r="H2630" t="s">
        <v>13843</v>
      </c>
      <c r="I2630" t="s">
        <v>13844</v>
      </c>
      <c r="L2630" t="s">
        <v>4465</v>
      </c>
      <c r="M2630" t="s">
        <v>4466</v>
      </c>
      <c r="P2630" t="s">
        <v>20</v>
      </c>
      <c r="Q2630" t="s">
        <v>13845</v>
      </c>
      <c r="T2630" t="s">
        <v>13846</v>
      </c>
      <c r="Y2630" t="s">
        <v>13847</v>
      </c>
    </row>
    <row r="2631" spans="1:25" x14ac:dyDescent="0.25">
      <c r="A2631" t="str">
        <f>"1327478846"</f>
        <v>1327478846</v>
      </c>
      <c r="B2631" t="s">
        <v>18</v>
      </c>
      <c r="C2631" t="s">
        <v>2295</v>
      </c>
      <c r="D2631" t="s">
        <v>13848</v>
      </c>
      <c r="E2631">
        <v>424002</v>
      </c>
      <c r="F2631" t="s">
        <v>1</v>
      </c>
      <c r="G2631" t="s">
        <v>2</v>
      </c>
      <c r="H2631" t="s">
        <v>9138</v>
      </c>
      <c r="I2631" t="s">
        <v>13849</v>
      </c>
      <c r="J2631" t="s">
        <v>13850</v>
      </c>
      <c r="P2631" t="s">
        <v>6710</v>
      </c>
      <c r="Y2631" t="s">
        <v>9141</v>
      </c>
    </row>
    <row r="2632" spans="1:25" x14ac:dyDescent="0.25">
      <c r="A2632" t="str">
        <f>"1327567406"</f>
        <v>1327567406</v>
      </c>
      <c r="B2632" t="s">
        <v>456</v>
      </c>
      <c r="C2632" t="s">
        <v>13853</v>
      </c>
      <c r="D2632" t="s">
        <v>13851</v>
      </c>
      <c r="E2632">
        <v>424003</v>
      </c>
      <c r="F2632" t="s">
        <v>1</v>
      </c>
      <c r="G2632" t="s">
        <v>2</v>
      </c>
      <c r="H2632" t="s">
        <v>775</v>
      </c>
      <c r="J2632" t="s">
        <v>13852</v>
      </c>
      <c r="P2632" t="s">
        <v>27</v>
      </c>
      <c r="Y2632" t="s">
        <v>6686</v>
      </c>
    </row>
    <row r="2633" spans="1:25" x14ac:dyDescent="0.25">
      <c r="A2633" t="str">
        <f>"1327766650"</f>
        <v>1327766650</v>
      </c>
      <c r="B2633" t="s">
        <v>243</v>
      </c>
      <c r="C2633" t="s">
        <v>2538</v>
      </c>
      <c r="D2633" t="s">
        <v>13854</v>
      </c>
      <c r="E2633">
        <v>424036</v>
      </c>
      <c r="F2633" t="s">
        <v>1</v>
      </c>
      <c r="G2633" t="s">
        <v>2</v>
      </c>
      <c r="H2633" t="s">
        <v>180</v>
      </c>
      <c r="I2633" t="s">
        <v>13855</v>
      </c>
      <c r="P2633" t="s">
        <v>27</v>
      </c>
      <c r="Y2633" t="s">
        <v>184</v>
      </c>
    </row>
    <row r="2634" spans="1:25" x14ac:dyDescent="0.25">
      <c r="A2634" t="str">
        <f>"1327847371"</f>
        <v>1327847371</v>
      </c>
      <c r="B2634" t="s">
        <v>96</v>
      </c>
      <c r="C2634" t="s">
        <v>893</v>
      </c>
      <c r="D2634" t="s">
        <v>13856</v>
      </c>
      <c r="E2634">
        <v>424003</v>
      </c>
      <c r="F2634" t="s">
        <v>1</v>
      </c>
      <c r="G2634" t="s">
        <v>2</v>
      </c>
      <c r="H2634" t="s">
        <v>720</v>
      </c>
      <c r="P2634" t="s">
        <v>2580</v>
      </c>
      <c r="Y2634" t="s">
        <v>13857</v>
      </c>
    </row>
    <row r="2635" spans="1:25" x14ac:dyDescent="0.25">
      <c r="A2635" t="str">
        <f>"1327875795"</f>
        <v>1327875795</v>
      </c>
      <c r="B2635" t="s">
        <v>8011</v>
      </c>
      <c r="C2635" t="s">
        <v>13860</v>
      </c>
      <c r="D2635" t="s">
        <v>12536</v>
      </c>
      <c r="E2635">
        <v>424031</v>
      </c>
      <c r="F2635" t="s">
        <v>1</v>
      </c>
      <c r="G2635" t="s">
        <v>2</v>
      </c>
      <c r="H2635" t="s">
        <v>4606</v>
      </c>
      <c r="I2635" t="s">
        <v>13858</v>
      </c>
      <c r="J2635" t="s">
        <v>10952</v>
      </c>
      <c r="K2635" t="s">
        <v>13859</v>
      </c>
      <c r="P2635" t="s">
        <v>410</v>
      </c>
      <c r="Y2635" t="s">
        <v>13861</v>
      </c>
    </row>
    <row r="2636" spans="1:25" x14ac:dyDescent="0.25">
      <c r="A2636" t="str">
        <f>"1328008242"</f>
        <v>1328008242</v>
      </c>
      <c r="B2636" t="s">
        <v>930</v>
      </c>
      <c r="C2636" t="s">
        <v>13865</v>
      </c>
      <c r="D2636" t="s">
        <v>13862</v>
      </c>
      <c r="E2636">
        <v>424004</v>
      </c>
      <c r="F2636" t="s">
        <v>1</v>
      </c>
      <c r="G2636" t="s">
        <v>2</v>
      </c>
      <c r="H2636" t="s">
        <v>13863</v>
      </c>
      <c r="I2636" t="s">
        <v>13864</v>
      </c>
      <c r="P2636" t="s">
        <v>152</v>
      </c>
      <c r="Y2636" t="s">
        <v>13866</v>
      </c>
    </row>
    <row r="2637" spans="1:25" x14ac:dyDescent="0.25">
      <c r="A2637" t="str">
        <f>"1328072194"</f>
        <v>1328072194</v>
      </c>
      <c r="B2637" t="s">
        <v>18</v>
      </c>
      <c r="C2637" t="s">
        <v>13871</v>
      </c>
      <c r="D2637" t="s">
        <v>13867</v>
      </c>
      <c r="E2637">
        <v>424006</v>
      </c>
      <c r="F2637" t="s">
        <v>1</v>
      </c>
      <c r="G2637" t="s">
        <v>2</v>
      </c>
      <c r="H2637" t="s">
        <v>1003</v>
      </c>
      <c r="I2637" t="s">
        <v>13868</v>
      </c>
      <c r="L2637" t="s">
        <v>13869</v>
      </c>
      <c r="M2637" t="s">
        <v>13870</v>
      </c>
      <c r="P2637" t="s">
        <v>9</v>
      </c>
      <c r="Q2637" t="s">
        <v>13872</v>
      </c>
      <c r="T2637" t="s">
        <v>13873</v>
      </c>
      <c r="V2637" t="s">
        <v>13874</v>
      </c>
      <c r="Y2637" t="s">
        <v>13875</v>
      </c>
    </row>
    <row r="2638" spans="1:25" x14ac:dyDescent="0.25">
      <c r="A2638" t="str">
        <f>"1328121589"</f>
        <v>1328121589</v>
      </c>
      <c r="B2638" t="s">
        <v>1573</v>
      </c>
      <c r="C2638" t="s">
        <v>13879</v>
      </c>
      <c r="D2638" t="s">
        <v>13876</v>
      </c>
      <c r="E2638">
        <v>424016</v>
      </c>
      <c r="F2638" t="s">
        <v>1</v>
      </c>
      <c r="G2638" t="s">
        <v>2</v>
      </c>
      <c r="H2638" t="s">
        <v>2637</v>
      </c>
      <c r="I2638" t="s">
        <v>13877</v>
      </c>
      <c r="J2638" t="s">
        <v>13878</v>
      </c>
      <c r="L2638" t="s">
        <v>3280</v>
      </c>
      <c r="M2638" t="s">
        <v>3281</v>
      </c>
      <c r="P2638" t="s">
        <v>280</v>
      </c>
      <c r="Y2638" t="s">
        <v>13880</v>
      </c>
    </row>
    <row r="2639" spans="1:25" x14ac:dyDescent="0.25">
      <c r="A2639" t="str">
        <f>"1328140776"</f>
        <v>1328140776</v>
      </c>
      <c r="B2639" t="s">
        <v>243</v>
      </c>
      <c r="C2639" t="s">
        <v>2538</v>
      </c>
      <c r="D2639" t="s">
        <v>13881</v>
      </c>
      <c r="E2639">
        <v>424006</v>
      </c>
      <c r="F2639" t="s">
        <v>1</v>
      </c>
      <c r="G2639" t="s">
        <v>2</v>
      </c>
      <c r="H2639" t="s">
        <v>1890</v>
      </c>
      <c r="I2639" t="s">
        <v>13882</v>
      </c>
      <c r="P2639" t="s">
        <v>9</v>
      </c>
      <c r="Y2639" t="s">
        <v>1893</v>
      </c>
    </row>
    <row r="2640" spans="1:25" x14ac:dyDescent="0.25">
      <c r="A2640" t="str">
        <f>"1328224815"</f>
        <v>1328224815</v>
      </c>
      <c r="B2640" t="s">
        <v>703</v>
      </c>
      <c r="C2640" t="s">
        <v>2129</v>
      </c>
      <c r="D2640" t="s">
        <v>2129</v>
      </c>
      <c r="E2640">
        <v>424037</v>
      </c>
      <c r="F2640" t="s">
        <v>1</v>
      </c>
      <c r="G2640" t="s">
        <v>2</v>
      </c>
      <c r="H2640" t="s">
        <v>2781</v>
      </c>
      <c r="I2640" t="s">
        <v>13883</v>
      </c>
      <c r="J2640" t="s">
        <v>13884</v>
      </c>
      <c r="P2640" t="s">
        <v>133</v>
      </c>
      <c r="Y2640" t="s">
        <v>5868</v>
      </c>
    </row>
    <row r="2641" spans="1:25" x14ac:dyDescent="0.25">
      <c r="A2641" t="str">
        <f>"1328292575"</f>
        <v>1328292575</v>
      </c>
      <c r="B2641" t="s">
        <v>18</v>
      </c>
      <c r="C2641" t="s">
        <v>13886</v>
      </c>
      <c r="D2641" t="s">
        <v>13885</v>
      </c>
      <c r="E2641">
        <v>424007</v>
      </c>
      <c r="F2641" t="s">
        <v>1</v>
      </c>
      <c r="G2641" t="s">
        <v>2</v>
      </c>
      <c r="H2641" t="s">
        <v>1242</v>
      </c>
      <c r="P2641" t="s">
        <v>3393</v>
      </c>
      <c r="Y2641" t="s">
        <v>1754</v>
      </c>
    </row>
    <row r="2642" spans="1:25" x14ac:dyDescent="0.25">
      <c r="A2642" t="str">
        <f>"1328335319"</f>
        <v>1328335319</v>
      </c>
      <c r="B2642" t="s">
        <v>1053</v>
      </c>
      <c r="C2642" t="s">
        <v>1927</v>
      </c>
      <c r="D2642" t="s">
        <v>13887</v>
      </c>
      <c r="E2642">
        <v>424000</v>
      </c>
      <c r="F2642" t="s">
        <v>1</v>
      </c>
      <c r="G2642" t="s">
        <v>2</v>
      </c>
      <c r="H2642" t="s">
        <v>3471</v>
      </c>
      <c r="J2642" t="s">
        <v>13888</v>
      </c>
      <c r="P2642" t="s">
        <v>330</v>
      </c>
      <c r="Y2642" t="s">
        <v>13889</v>
      </c>
    </row>
    <row r="2643" spans="1:25" x14ac:dyDescent="0.25">
      <c r="A2643" t="str">
        <f>"1328344923"</f>
        <v>1328344923</v>
      </c>
      <c r="B2643" t="s">
        <v>553</v>
      </c>
      <c r="C2643" t="s">
        <v>13892</v>
      </c>
      <c r="D2643" t="s">
        <v>13890</v>
      </c>
      <c r="E2643">
        <v>424037</v>
      </c>
      <c r="F2643" t="s">
        <v>1</v>
      </c>
      <c r="G2643" t="s">
        <v>2</v>
      </c>
      <c r="H2643" t="s">
        <v>3115</v>
      </c>
      <c r="I2643" t="s">
        <v>13891</v>
      </c>
      <c r="P2643" t="s">
        <v>27</v>
      </c>
      <c r="V2643" t="s">
        <v>13893</v>
      </c>
      <c r="Y2643" t="s">
        <v>13894</v>
      </c>
    </row>
    <row r="2644" spans="1:25" x14ac:dyDescent="0.25">
      <c r="A2644" t="str">
        <f>"1328376289"</f>
        <v>1328376289</v>
      </c>
      <c r="B2644" t="s">
        <v>888</v>
      </c>
      <c r="C2644" t="s">
        <v>13897</v>
      </c>
      <c r="D2644" t="s">
        <v>13895</v>
      </c>
      <c r="E2644">
        <v>424002</v>
      </c>
      <c r="F2644" t="s">
        <v>1</v>
      </c>
      <c r="G2644" t="s">
        <v>2</v>
      </c>
      <c r="H2644" t="s">
        <v>57</v>
      </c>
      <c r="I2644" t="s">
        <v>13896</v>
      </c>
      <c r="P2644" t="s">
        <v>13898</v>
      </c>
      <c r="Y2644" t="s">
        <v>3783</v>
      </c>
    </row>
    <row r="2645" spans="1:25" x14ac:dyDescent="0.25">
      <c r="A2645" t="str">
        <f>"1328474432"</f>
        <v>1328474432</v>
      </c>
      <c r="B2645" t="s">
        <v>348</v>
      </c>
      <c r="C2645" t="s">
        <v>4366</v>
      </c>
      <c r="D2645" t="s">
        <v>348</v>
      </c>
      <c r="E2645">
        <v>424005</v>
      </c>
      <c r="F2645" t="s">
        <v>1</v>
      </c>
      <c r="G2645" t="s">
        <v>2</v>
      </c>
      <c r="H2645" t="s">
        <v>7480</v>
      </c>
      <c r="I2645" t="s">
        <v>13899</v>
      </c>
      <c r="P2645" t="s">
        <v>7638</v>
      </c>
      <c r="Y2645" t="s">
        <v>13900</v>
      </c>
    </row>
    <row r="2646" spans="1:25" x14ac:dyDescent="0.25">
      <c r="A2646" t="str">
        <f>"1328503876"</f>
        <v>1328503876</v>
      </c>
      <c r="B2646" t="s">
        <v>574</v>
      </c>
      <c r="C2646" t="s">
        <v>13903</v>
      </c>
      <c r="D2646" t="s">
        <v>13901</v>
      </c>
      <c r="E2646">
        <v>424028</v>
      </c>
      <c r="F2646" t="s">
        <v>1</v>
      </c>
      <c r="G2646" t="s">
        <v>2</v>
      </c>
      <c r="H2646" t="s">
        <v>7204</v>
      </c>
      <c r="I2646" t="s">
        <v>13902</v>
      </c>
      <c r="P2646" t="s">
        <v>60</v>
      </c>
      <c r="Y2646" t="s">
        <v>13904</v>
      </c>
    </row>
    <row r="2647" spans="1:25" x14ac:dyDescent="0.25">
      <c r="A2647" t="str">
        <f>"1328697325"</f>
        <v>1328697325</v>
      </c>
      <c r="B2647" t="s">
        <v>703</v>
      </c>
      <c r="C2647" t="s">
        <v>13909</v>
      </c>
      <c r="D2647" t="s">
        <v>13905</v>
      </c>
      <c r="E2647">
        <v>424000</v>
      </c>
      <c r="F2647" t="s">
        <v>1</v>
      </c>
      <c r="G2647" t="s">
        <v>2</v>
      </c>
      <c r="H2647" t="s">
        <v>5523</v>
      </c>
      <c r="I2647" t="s">
        <v>13906</v>
      </c>
      <c r="J2647" t="s">
        <v>13907</v>
      </c>
      <c r="M2647" t="s">
        <v>13908</v>
      </c>
      <c r="P2647" t="s">
        <v>330</v>
      </c>
      <c r="Q2647" t="s">
        <v>13910</v>
      </c>
      <c r="Y2647" t="s">
        <v>5529</v>
      </c>
    </row>
    <row r="2648" spans="1:25" x14ac:dyDescent="0.25">
      <c r="A2648" t="str">
        <f>"1328805184"</f>
        <v>1328805184</v>
      </c>
      <c r="B2648" t="s">
        <v>176</v>
      </c>
      <c r="C2648" t="s">
        <v>4741</v>
      </c>
      <c r="D2648" t="s">
        <v>13911</v>
      </c>
      <c r="E2648">
        <v>424008</v>
      </c>
      <c r="F2648" t="s">
        <v>1</v>
      </c>
      <c r="G2648" t="s">
        <v>2</v>
      </c>
      <c r="H2648" t="s">
        <v>13912</v>
      </c>
      <c r="I2648" t="s">
        <v>13913</v>
      </c>
      <c r="L2648" t="s">
        <v>13914</v>
      </c>
      <c r="M2648" t="s">
        <v>13915</v>
      </c>
      <c r="P2648" t="s">
        <v>20</v>
      </c>
      <c r="Y2648" t="s">
        <v>13916</v>
      </c>
    </row>
    <row r="2649" spans="1:25" x14ac:dyDescent="0.25">
      <c r="A2649" t="str">
        <f>"1328808023"</f>
        <v>1328808023</v>
      </c>
      <c r="B2649" t="s">
        <v>160</v>
      </c>
      <c r="C2649" t="s">
        <v>9976</v>
      </c>
      <c r="D2649" t="s">
        <v>13917</v>
      </c>
      <c r="E2649">
        <v>424007</v>
      </c>
      <c r="F2649" t="s">
        <v>1</v>
      </c>
      <c r="G2649" t="s">
        <v>2</v>
      </c>
      <c r="H2649" t="s">
        <v>13918</v>
      </c>
      <c r="J2649" t="s">
        <v>13919</v>
      </c>
      <c r="P2649" t="s">
        <v>27</v>
      </c>
      <c r="Y2649" t="s">
        <v>13920</v>
      </c>
    </row>
    <row r="2650" spans="1:25" x14ac:dyDescent="0.25">
      <c r="A2650" t="str">
        <f>"1329028122"</f>
        <v>1329028122</v>
      </c>
      <c r="B2650" t="s">
        <v>188</v>
      </c>
      <c r="C2650" t="s">
        <v>6834</v>
      </c>
      <c r="D2650" t="s">
        <v>13921</v>
      </c>
      <c r="F2650" t="s">
        <v>1</v>
      </c>
      <c r="G2650" t="s">
        <v>2</v>
      </c>
      <c r="H2650" t="s">
        <v>3984</v>
      </c>
      <c r="I2650" t="s">
        <v>13922</v>
      </c>
      <c r="J2650" t="s">
        <v>13923</v>
      </c>
      <c r="P2650" t="s">
        <v>1760</v>
      </c>
      <c r="Y2650" t="s">
        <v>4409</v>
      </c>
    </row>
    <row r="2651" spans="1:25" x14ac:dyDescent="0.25">
      <c r="A2651" t="str">
        <f>"1329055775"</f>
        <v>1329055775</v>
      </c>
      <c r="B2651" t="s">
        <v>7</v>
      </c>
      <c r="C2651" t="s">
        <v>13927</v>
      </c>
      <c r="D2651" t="s">
        <v>13924</v>
      </c>
      <c r="E2651">
        <v>424016</v>
      </c>
      <c r="F2651" t="s">
        <v>1</v>
      </c>
      <c r="G2651" t="s">
        <v>2</v>
      </c>
      <c r="H2651" t="s">
        <v>13925</v>
      </c>
      <c r="I2651" t="s">
        <v>13926</v>
      </c>
      <c r="P2651" t="s">
        <v>20</v>
      </c>
      <c r="Y2651" t="s">
        <v>13928</v>
      </c>
    </row>
    <row r="2652" spans="1:25" x14ac:dyDescent="0.25">
      <c r="A2652" t="str">
        <f>"1329059256"</f>
        <v>1329059256</v>
      </c>
      <c r="B2652" t="s">
        <v>1758</v>
      </c>
      <c r="C2652" t="s">
        <v>13934</v>
      </c>
      <c r="D2652" t="s">
        <v>13929</v>
      </c>
      <c r="E2652">
        <v>424000</v>
      </c>
      <c r="F2652" t="s">
        <v>1</v>
      </c>
      <c r="G2652" t="s">
        <v>2</v>
      </c>
      <c r="H2652" t="s">
        <v>2202</v>
      </c>
      <c r="I2652" t="s">
        <v>13930</v>
      </c>
      <c r="J2652" t="s">
        <v>13931</v>
      </c>
      <c r="L2652" t="s">
        <v>13932</v>
      </c>
      <c r="M2652" t="s">
        <v>13933</v>
      </c>
      <c r="P2652" t="s">
        <v>13935</v>
      </c>
      <c r="Y2652" t="s">
        <v>13936</v>
      </c>
    </row>
    <row r="2653" spans="1:25" x14ac:dyDescent="0.25">
      <c r="A2653" t="str">
        <f>"1329074622"</f>
        <v>1329074622</v>
      </c>
      <c r="B2653" t="s">
        <v>462</v>
      </c>
      <c r="C2653" t="s">
        <v>13941</v>
      </c>
      <c r="D2653" t="s">
        <v>13937</v>
      </c>
      <c r="E2653">
        <v>424020</v>
      </c>
      <c r="F2653" t="s">
        <v>1</v>
      </c>
      <c r="G2653" t="s">
        <v>2</v>
      </c>
      <c r="H2653" t="s">
        <v>13938</v>
      </c>
      <c r="J2653" t="s">
        <v>13939</v>
      </c>
      <c r="L2653" t="s">
        <v>4110</v>
      </c>
      <c r="M2653" t="s">
        <v>13940</v>
      </c>
      <c r="P2653" t="s">
        <v>13942</v>
      </c>
      <c r="Q2653" t="s">
        <v>13943</v>
      </c>
      <c r="Y2653" t="s">
        <v>13944</v>
      </c>
    </row>
    <row r="2654" spans="1:25" x14ac:dyDescent="0.25">
      <c r="A2654" t="str">
        <f>"1329181532"</f>
        <v>1329181532</v>
      </c>
      <c r="B2654" t="s">
        <v>430</v>
      </c>
      <c r="C2654" t="s">
        <v>13663</v>
      </c>
      <c r="D2654" t="s">
        <v>13945</v>
      </c>
      <c r="E2654">
        <v>424006</v>
      </c>
      <c r="F2654" t="s">
        <v>1</v>
      </c>
      <c r="G2654" t="s">
        <v>2</v>
      </c>
      <c r="H2654" t="s">
        <v>2649</v>
      </c>
      <c r="I2654" t="s">
        <v>13946</v>
      </c>
      <c r="J2654" t="s">
        <v>13947</v>
      </c>
      <c r="P2654" t="s">
        <v>330</v>
      </c>
      <c r="Y2654" t="s">
        <v>2654</v>
      </c>
    </row>
    <row r="2655" spans="1:25" x14ac:dyDescent="0.25">
      <c r="A2655" t="str">
        <f>"1329225930"</f>
        <v>1329225930</v>
      </c>
      <c r="B2655" t="s">
        <v>96</v>
      </c>
      <c r="C2655" t="s">
        <v>507</v>
      </c>
      <c r="D2655" t="s">
        <v>13948</v>
      </c>
      <c r="E2655">
        <v>424019</v>
      </c>
      <c r="F2655" t="s">
        <v>1</v>
      </c>
      <c r="G2655" t="s">
        <v>2</v>
      </c>
      <c r="H2655" t="s">
        <v>7785</v>
      </c>
      <c r="I2655" t="s">
        <v>13949</v>
      </c>
      <c r="L2655" t="s">
        <v>13950</v>
      </c>
      <c r="M2655" t="s">
        <v>13951</v>
      </c>
      <c r="P2655" t="s">
        <v>98</v>
      </c>
      <c r="Q2655" t="s">
        <v>13952</v>
      </c>
      <c r="R2655" t="s">
        <v>13953</v>
      </c>
      <c r="T2655" t="s">
        <v>13954</v>
      </c>
      <c r="V2655" t="s">
        <v>13955</v>
      </c>
      <c r="Y2655" t="s">
        <v>13956</v>
      </c>
    </row>
    <row r="2656" spans="1:25" x14ac:dyDescent="0.25">
      <c r="A2656" t="str">
        <f>"1329299107"</f>
        <v>1329299107</v>
      </c>
      <c r="B2656" t="s">
        <v>25</v>
      </c>
      <c r="C2656" t="s">
        <v>5632</v>
      </c>
      <c r="D2656" t="s">
        <v>13957</v>
      </c>
      <c r="E2656">
        <v>424039</v>
      </c>
      <c r="F2656" t="s">
        <v>1</v>
      </c>
      <c r="G2656" t="s">
        <v>2</v>
      </c>
      <c r="H2656" t="s">
        <v>13958</v>
      </c>
      <c r="I2656" t="s">
        <v>13959</v>
      </c>
      <c r="P2656" t="s">
        <v>152</v>
      </c>
      <c r="Y2656" t="s">
        <v>13960</v>
      </c>
    </row>
    <row r="2657" spans="1:25" x14ac:dyDescent="0.25">
      <c r="A2657" t="str">
        <f>"1329332421"</f>
        <v>1329332421</v>
      </c>
      <c r="B2657" t="s">
        <v>3094</v>
      </c>
      <c r="C2657" t="s">
        <v>3095</v>
      </c>
      <c r="D2657" t="s">
        <v>13961</v>
      </c>
      <c r="E2657">
        <v>424030</v>
      </c>
      <c r="F2657" t="s">
        <v>1</v>
      </c>
      <c r="G2657" t="s">
        <v>2</v>
      </c>
      <c r="H2657" t="s">
        <v>13962</v>
      </c>
      <c r="I2657" t="s">
        <v>13963</v>
      </c>
      <c r="L2657" t="s">
        <v>13964</v>
      </c>
      <c r="M2657" t="s">
        <v>13965</v>
      </c>
      <c r="P2657" t="s">
        <v>280</v>
      </c>
      <c r="Q2657" t="s">
        <v>13966</v>
      </c>
      <c r="T2657" t="s">
        <v>13967</v>
      </c>
      <c r="Y2657" t="s">
        <v>13968</v>
      </c>
    </row>
    <row r="2658" spans="1:25" x14ac:dyDescent="0.25">
      <c r="A2658" t="str">
        <f>"1329451813"</f>
        <v>1329451813</v>
      </c>
      <c r="B2658" t="s">
        <v>1262</v>
      </c>
      <c r="C2658" t="s">
        <v>1263</v>
      </c>
      <c r="D2658" t="s">
        <v>13969</v>
      </c>
      <c r="E2658">
        <v>424007</v>
      </c>
      <c r="F2658" t="s">
        <v>1</v>
      </c>
      <c r="G2658" t="s">
        <v>2</v>
      </c>
      <c r="H2658" t="s">
        <v>13970</v>
      </c>
      <c r="I2658" t="s">
        <v>13971</v>
      </c>
      <c r="P2658" t="s">
        <v>280</v>
      </c>
      <c r="Y2658" t="s">
        <v>13972</v>
      </c>
    </row>
    <row r="2659" spans="1:25" x14ac:dyDescent="0.25">
      <c r="A2659" t="str">
        <f>"1329463504"</f>
        <v>1329463504</v>
      </c>
      <c r="B2659" t="s">
        <v>462</v>
      </c>
      <c r="C2659" t="s">
        <v>1140</v>
      </c>
      <c r="D2659" t="s">
        <v>13973</v>
      </c>
      <c r="E2659">
        <v>424006</v>
      </c>
      <c r="F2659" t="s">
        <v>1</v>
      </c>
      <c r="G2659" t="s">
        <v>2</v>
      </c>
      <c r="H2659" t="s">
        <v>2525</v>
      </c>
      <c r="I2659" t="s">
        <v>13974</v>
      </c>
      <c r="P2659" t="s">
        <v>2951</v>
      </c>
      <c r="Y2659" t="s">
        <v>2527</v>
      </c>
    </row>
    <row r="2660" spans="1:25" x14ac:dyDescent="0.25">
      <c r="A2660" t="str">
        <f>"1329627176"</f>
        <v>1329627176</v>
      </c>
      <c r="B2660" t="s">
        <v>3958</v>
      </c>
      <c r="C2660" t="s">
        <v>13978</v>
      </c>
      <c r="D2660" t="s">
        <v>13975</v>
      </c>
      <c r="E2660">
        <v>424033</v>
      </c>
      <c r="F2660" t="s">
        <v>1</v>
      </c>
      <c r="G2660" t="s">
        <v>2</v>
      </c>
      <c r="H2660" t="s">
        <v>6953</v>
      </c>
      <c r="I2660" t="s">
        <v>13976</v>
      </c>
      <c r="J2660" t="s">
        <v>13977</v>
      </c>
      <c r="P2660" t="s">
        <v>390</v>
      </c>
      <c r="Y2660" t="s">
        <v>13979</v>
      </c>
    </row>
    <row r="2661" spans="1:25" x14ac:dyDescent="0.25">
      <c r="A2661" t="str">
        <f>"1329700082"</f>
        <v>1329700082</v>
      </c>
      <c r="B2661" t="s">
        <v>18</v>
      </c>
      <c r="C2661" t="s">
        <v>2593</v>
      </c>
      <c r="D2661" t="s">
        <v>13980</v>
      </c>
      <c r="E2661">
        <v>424004</v>
      </c>
      <c r="F2661" t="s">
        <v>1</v>
      </c>
      <c r="G2661" t="s">
        <v>2</v>
      </c>
      <c r="H2661" t="s">
        <v>1590</v>
      </c>
      <c r="I2661" t="s">
        <v>13981</v>
      </c>
      <c r="P2661" t="s">
        <v>8663</v>
      </c>
      <c r="Y2661" t="s">
        <v>1593</v>
      </c>
    </row>
    <row r="2662" spans="1:25" x14ac:dyDescent="0.25">
      <c r="A2662" t="str">
        <f>"1329772989"</f>
        <v>1329772989</v>
      </c>
      <c r="B2662" t="s">
        <v>32</v>
      </c>
      <c r="C2662" t="s">
        <v>777</v>
      </c>
      <c r="D2662" t="s">
        <v>13982</v>
      </c>
      <c r="E2662">
        <v>424033</v>
      </c>
      <c r="F2662" t="s">
        <v>1</v>
      </c>
      <c r="G2662" t="s">
        <v>2</v>
      </c>
      <c r="H2662" t="s">
        <v>6875</v>
      </c>
      <c r="I2662" t="s">
        <v>13983</v>
      </c>
      <c r="P2662" t="s">
        <v>13984</v>
      </c>
      <c r="Y2662" t="s">
        <v>13985</v>
      </c>
    </row>
    <row r="2663" spans="1:25" x14ac:dyDescent="0.25">
      <c r="A2663" t="str">
        <f>"1329948053"</f>
        <v>1329948053</v>
      </c>
      <c r="B2663" t="s">
        <v>430</v>
      </c>
      <c r="C2663" t="s">
        <v>10138</v>
      </c>
      <c r="D2663" t="s">
        <v>10135</v>
      </c>
      <c r="E2663">
        <v>424038</v>
      </c>
      <c r="F2663" t="s">
        <v>1</v>
      </c>
      <c r="G2663" t="s">
        <v>2</v>
      </c>
      <c r="H2663" t="s">
        <v>13986</v>
      </c>
      <c r="J2663" t="s">
        <v>13987</v>
      </c>
      <c r="P2663" t="s">
        <v>2457</v>
      </c>
      <c r="Y2663" t="s">
        <v>13988</v>
      </c>
    </row>
    <row r="2664" spans="1:25" x14ac:dyDescent="0.25">
      <c r="A2664" t="str">
        <f>"1329960644"</f>
        <v>1329960644</v>
      </c>
      <c r="B2664" t="s">
        <v>176</v>
      </c>
      <c r="C2664" t="s">
        <v>250</v>
      </c>
      <c r="D2664" t="s">
        <v>13989</v>
      </c>
      <c r="E2664">
        <v>424000</v>
      </c>
      <c r="F2664" t="s">
        <v>1</v>
      </c>
      <c r="G2664" t="s">
        <v>2</v>
      </c>
      <c r="H2664" t="s">
        <v>1531</v>
      </c>
      <c r="I2664" t="s">
        <v>13990</v>
      </c>
      <c r="J2664" t="s">
        <v>13991</v>
      </c>
      <c r="L2664" t="s">
        <v>13992</v>
      </c>
      <c r="M2664" t="s">
        <v>13993</v>
      </c>
      <c r="P2664" t="s">
        <v>13994</v>
      </c>
      <c r="Q2664" t="s">
        <v>13995</v>
      </c>
      <c r="R2664" t="s">
        <v>13996</v>
      </c>
      <c r="V2664" t="s">
        <v>13997</v>
      </c>
      <c r="Y2664" t="s">
        <v>1707</v>
      </c>
    </row>
    <row r="2665" spans="1:25" x14ac:dyDescent="0.25">
      <c r="A2665" t="str">
        <f>"1329983919"</f>
        <v>1329983919</v>
      </c>
      <c r="B2665" t="s">
        <v>703</v>
      </c>
      <c r="C2665" t="s">
        <v>2129</v>
      </c>
      <c r="D2665" t="s">
        <v>13998</v>
      </c>
      <c r="E2665">
        <v>424040</v>
      </c>
      <c r="F2665" t="s">
        <v>1</v>
      </c>
      <c r="G2665" t="s">
        <v>2</v>
      </c>
      <c r="H2665" t="s">
        <v>7927</v>
      </c>
      <c r="I2665" t="s">
        <v>13999</v>
      </c>
      <c r="P2665" t="s">
        <v>647</v>
      </c>
      <c r="Y2665" t="s">
        <v>14000</v>
      </c>
    </row>
    <row r="2666" spans="1:25" x14ac:dyDescent="0.25">
      <c r="A2666" t="str">
        <f>"1330013910"</f>
        <v>1330013910</v>
      </c>
      <c r="B2666" t="s">
        <v>233</v>
      </c>
      <c r="C2666" t="s">
        <v>14003</v>
      </c>
      <c r="D2666" t="s">
        <v>14001</v>
      </c>
      <c r="E2666">
        <v>424006</v>
      </c>
      <c r="F2666" t="s">
        <v>1</v>
      </c>
      <c r="G2666" t="s">
        <v>2</v>
      </c>
      <c r="H2666" t="s">
        <v>2185</v>
      </c>
      <c r="I2666" t="s">
        <v>14002</v>
      </c>
      <c r="P2666" t="s">
        <v>280</v>
      </c>
      <c r="Y2666" t="s">
        <v>14004</v>
      </c>
    </row>
    <row r="2667" spans="1:25" x14ac:dyDescent="0.25">
      <c r="A2667" t="str">
        <f>"1330045227"</f>
        <v>1330045227</v>
      </c>
      <c r="B2667" t="s">
        <v>290</v>
      </c>
      <c r="C2667" t="s">
        <v>290</v>
      </c>
      <c r="D2667" t="s">
        <v>14005</v>
      </c>
      <c r="E2667">
        <v>424026</v>
      </c>
      <c r="F2667" t="s">
        <v>1</v>
      </c>
      <c r="G2667" t="s">
        <v>2</v>
      </c>
      <c r="H2667" t="s">
        <v>13667</v>
      </c>
      <c r="I2667" t="s">
        <v>14006</v>
      </c>
      <c r="P2667" t="s">
        <v>14007</v>
      </c>
      <c r="Y2667" t="s">
        <v>14008</v>
      </c>
    </row>
    <row r="2668" spans="1:25" x14ac:dyDescent="0.25">
      <c r="A2668" t="str">
        <f>"1330181177"</f>
        <v>1330181177</v>
      </c>
      <c r="B2668" t="s">
        <v>176</v>
      </c>
      <c r="C2668" t="s">
        <v>4741</v>
      </c>
      <c r="D2668" t="s">
        <v>14009</v>
      </c>
      <c r="E2668">
        <v>424000</v>
      </c>
      <c r="F2668" t="s">
        <v>1</v>
      </c>
      <c r="G2668" t="s">
        <v>2</v>
      </c>
      <c r="H2668" t="s">
        <v>2202</v>
      </c>
      <c r="I2668" t="s">
        <v>14010</v>
      </c>
      <c r="M2668" t="s">
        <v>14011</v>
      </c>
      <c r="P2668" t="s">
        <v>1027</v>
      </c>
      <c r="Y2668" t="s">
        <v>14012</v>
      </c>
    </row>
    <row r="2669" spans="1:25" x14ac:dyDescent="0.25">
      <c r="A2669" t="str">
        <f>"1330367542"</f>
        <v>1330367542</v>
      </c>
      <c r="B2669" t="s">
        <v>7</v>
      </c>
      <c r="C2669" t="s">
        <v>14013</v>
      </c>
      <c r="D2669" t="s">
        <v>14013</v>
      </c>
      <c r="E2669">
        <v>424000</v>
      </c>
      <c r="F2669" t="s">
        <v>1</v>
      </c>
      <c r="G2669" t="s">
        <v>2</v>
      </c>
      <c r="H2669" t="s">
        <v>2193</v>
      </c>
      <c r="I2669" t="s">
        <v>14014</v>
      </c>
      <c r="P2669" t="s">
        <v>27</v>
      </c>
      <c r="Y2669" t="s">
        <v>2196</v>
      </c>
    </row>
    <row r="2670" spans="1:25" x14ac:dyDescent="0.25">
      <c r="A2670" t="str">
        <f>"1330472869"</f>
        <v>1330472869</v>
      </c>
      <c r="B2670" t="s">
        <v>574</v>
      </c>
      <c r="C2670" t="s">
        <v>14016</v>
      </c>
      <c r="D2670" t="s">
        <v>14015</v>
      </c>
      <c r="E2670">
        <v>424020</v>
      </c>
      <c r="F2670" t="s">
        <v>1</v>
      </c>
      <c r="G2670" t="s">
        <v>2</v>
      </c>
      <c r="H2670" t="s">
        <v>23</v>
      </c>
      <c r="P2670" t="s">
        <v>14017</v>
      </c>
      <c r="Y2670" t="s">
        <v>14018</v>
      </c>
    </row>
    <row r="2671" spans="1:25" x14ac:dyDescent="0.25">
      <c r="A2671" t="str">
        <f>"1330530035"</f>
        <v>1330530035</v>
      </c>
      <c r="B2671" t="s">
        <v>1053</v>
      </c>
      <c r="C2671" t="s">
        <v>14023</v>
      </c>
      <c r="D2671" t="s">
        <v>14019</v>
      </c>
      <c r="E2671">
        <v>424007</v>
      </c>
      <c r="F2671" t="s">
        <v>1</v>
      </c>
      <c r="G2671" t="s">
        <v>2</v>
      </c>
      <c r="H2671" t="s">
        <v>14020</v>
      </c>
      <c r="I2671" t="s">
        <v>14021</v>
      </c>
      <c r="J2671" t="s">
        <v>14022</v>
      </c>
      <c r="P2671" t="s">
        <v>1505</v>
      </c>
      <c r="Y2671" t="s">
        <v>14024</v>
      </c>
    </row>
    <row r="2672" spans="1:25" x14ac:dyDescent="0.25">
      <c r="A2672" t="str">
        <f>"1330545236"</f>
        <v>1330545236</v>
      </c>
      <c r="B2672" t="s">
        <v>32</v>
      </c>
      <c r="C2672" t="s">
        <v>777</v>
      </c>
      <c r="D2672" t="s">
        <v>14025</v>
      </c>
      <c r="E2672">
        <v>424008</v>
      </c>
      <c r="F2672" t="s">
        <v>1</v>
      </c>
      <c r="G2672" t="s">
        <v>2</v>
      </c>
      <c r="H2672" t="s">
        <v>14026</v>
      </c>
      <c r="J2672" t="s">
        <v>14027</v>
      </c>
      <c r="P2672" t="s">
        <v>3776</v>
      </c>
      <c r="Y2672" t="s">
        <v>14028</v>
      </c>
    </row>
    <row r="2673" spans="1:25" x14ac:dyDescent="0.25">
      <c r="A2673" t="str">
        <f>"1330649719"</f>
        <v>1330649719</v>
      </c>
      <c r="B2673" t="s">
        <v>160</v>
      </c>
      <c r="C2673" t="s">
        <v>9976</v>
      </c>
      <c r="D2673" t="s">
        <v>14029</v>
      </c>
      <c r="E2673">
        <v>424007</v>
      </c>
      <c r="F2673" t="s">
        <v>1</v>
      </c>
      <c r="G2673" t="s">
        <v>2</v>
      </c>
      <c r="H2673" t="s">
        <v>14030</v>
      </c>
      <c r="J2673" t="s">
        <v>14031</v>
      </c>
      <c r="P2673" t="s">
        <v>20</v>
      </c>
      <c r="Y2673" t="s">
        <v>14032</v>
      </c>
    </row>
    <row r="2674" spans="1:25" x14ac:dyDescent="0.25">
      <c r="A2674" t="str">
        <f>"1330742059"</f>
        <v>1330742059</v>
      </c>
      <c r="B2674" t="s">
        <v>1315</v>
      </c>
      <c r="C2674" t="s">
        <v>14038</v>
      </c>
      <c r="D2674" t="s">
        <v>14033</v>
      </c>
      <c r="E2674">
        <v>424003</v>
      </c>
      <c r="F2674" t="s">
        <v>1</v>
      </c>
      <c r="G2674" t="s">
        <v>2</v>
      </c>
      <c r="H2674" t="s">
        <v>14034</v>
      </c>
      <c r="I2674" t="s">
        <v>14035</v>
      </c>
      <c r="L2674" t="s">
        <v>14036</v>
      </c>
      <c r="M2674" t="s">
        <v>14037</v>
      </c>
      <c r="P2674" t="s">
        <v>20</v>
      </c>
      <c r="Q2674" t="s">
        <v>14039</v>
      </c>
      <c r="Y2674" t="s">
        <v>14040</v>
      </c>
    </row>
    <row r="2675" spans="1:25" x14ac:dyDescent="0.25">
      <c r="A2675" t="str">
        <f>"1330766975"</f>
        <v>1330766975</v>
      </c>
      <c r="B2675" t="s">
        <v>123</v>
      </c>
      <c r="C2675" t="s">
        <v>10769</v>
      </c>
      <c r="D2675" t="s">
        <v>14041</v>
      </c>
      <c r="E2675">
        <v>424033</v>
      </c>
      <c r="F2675" t="s">
        <v>1</v>
      </c>
      <c r="G2675" t="s">
        <v>2</v>
      </c>
      <c r="H2675" t="s">
        <v>4300</v>
      </c>
      <c r="I2675" t="s">
        <v>14042</v>
      </c>
      <c r="P2675" t="s">
        <v>4831</v>
      </c>
      <c r="Y2675" t="s">
        <v>14043</v>
      </c>
    </row>
    <row r="2676" spans="1:25" x14ac:dyDescent="0.25">
      <c r="A2676" t="str">
        <f>"1330832600"</f>
        <v>1330832600</v>
      </c>
      <c r="B2676" t="s">
        <v>1758</v>
      </c>
      <c r="C2676" t="s">
        <v>1811</v>
      </c>
      <c r="D2676" t="s">
        <v>14044</v>
      </c>
      <c r="E2676">
        <v>424028</v>
      </c>
      <c r="F2676" t="s">
        <v>1</v>
      </c>
      <c r="G2676" t="s">
        <v>2</v>
      </c>
      <c r="H2676" t="s">
        <v>7666</v>
      </c>
      <c r="I2676" t="s">
        <v>14045</v>
      </c>
      <c r="J2676" t="s">
        <v>14046</v>
      </c>
      <c r="M2676" t="s">
        <v>14047</v>
      </c>
      <c r="P2676" t="s">
        <v>2738</v>
      </c>
      <c r="Q2676" t="s">
        <v>14048</v>
      </c>
      <c r="Y2676" t="s">
        <v>14049</v>
      </c>
    </row>
    <row r="2677" spans="1:25" x14ac:dyDescent="0.25">
      <c r="A2677" t="str">
        <f>"1330853682"</f>
        <v>1330853682</v>
      </c>
      <c r="B2677" t="s">
        <v>2601</v>
      </c>
      <c r="C2677" t="s">
        <v>5375</v>
      </c>
      <c r="D2677" t="s">
        <v>10023</v>
      </c>
      <c r="E2677">
        <v>424000</v>
      </c>
      <c r="F2677" t="s">
        <v>1</v>
      </c>
      <c r="G2677" t="s">
        <v>2</v>
      </c>
      <c r="H2677" t="s">
        <v>2671</v>
      </c>
      <c r="I2677" t="s">
        <v>14050</v>
      </c>
      <c r="P2677" t="s">
        <v>133</v>
      </c>
      <c r="Y2677" t="s">
        <v>14051</v>
      </c>
    </row>
    <row r="2678" spans="1:25" x14ac:dyDescent="0.25">
      <c r="A2678" t="str">
        <f>"1331167733"</f>
        <v>1331167733</v>
      </c>
      <c r="B2678" t="s">
        <v>1315</v>
      </c>
      <c r="C2678" t="s">
        <v>14055</v>
      </c>
      <c r="D2678" t="s">
        <v>14052</v>
      </c>
      <c r="E2678">
        <v>424006</v>
      </c>
      <c r="F2678" t="s">
        <v>1</v>
      </c>
      <c r="G2678" t="s">
        <v>2</v>
      </c>
      <c r="H2678" t="s">
        <v>445</v>
      </c>
      <c r="I2678" t="s">
        <v>14053</v>
      </c>
      <c r="K2678" t="s">
        <v>14054</v>
      </c>
      <c r="P2678" t="s">
        <v>280</v>
      </c>
      <c r="Y2678" t="s">
        <v>14056</v>
      </c>
    </row>
    <row r="2679" spans="1:25" x14ac:dyDescent="0.25">
      <c r="A2679" t="str">
        <f>"1331226287"</f>
        <v>1331226287</v>
      </c>
      <c r="B2679" t="s">
        <v>624</v>
      </c>
      <c r="C2679" t="s">
        <v>1637</v>
      </c>
      <c r="D2679" t="s">
        <v>14057</v>
      </c>
      <c r="E2679">
        <v>424004</v>
      </c>
      <c r="F2679" t="s">
        <v>1</v>
      </c>
      <c r="G2679" t="s">
        <v>2</v>
      </c>
      <c r="H2679" t="s">
        <v>1169</v>
      </c>
      <c r="I2679" t="s">
        <v>14058</v>
      </c>
      <c r="P2679" t="s">
        <v>330</v>
      </c>
      <c r="Y2679" t="s">
        <v>1178</v>
      </c>
    </row>
    <row r="2680" spans="1:25" x14ac:dyDescent="0.25">
      <c r="A2680" t="str">
        <f>"1331305403"</f>
        <v>1331305403</v>
      </c>
      <c r="B2680" t="s">
        <v>1152</v>
      </c>
      <c r="C2680" t="s">
        <v>1159</v>
      </c>
      <c r="D2680" t="s">
        <v>14059</v>
      </c>
      <c r="E2680">
        <v>424002</v>
      </c>
      <c r="F2680" t="s">
        <v>1</v>
      </c>
      <c r="G2680" t="s">
        <v>2</v>
      </c>
      <c r="H2680" t="s">
        <v>12626</v>
      </c>
      <c r="J2680" t="s">
        <v>14060</v>
      </c>
      <c r="L2680" t="s">
        <v>14061</v>
      </c>
      <c r="M2680" t="s">
        <v>14062</v>
      </c>
      <c r="P2680" t="s">
        <v>330</v>
      </c>
      <c r="Y2680" t="s">
        <v>12627</v>
      </c>
    </row>
    <row r="2681" spans="1:25" x14ac:dyDescent="0.25">
      <c r="A2681" t="str">
        <f>"1331378192"</f>
        <v>1331378192</v>
      </c>
      <c r="B2681" t="s">
        <v>18</v>
      </c>
      <c r="C2681" t="s">
        <v>14066</v>
      </c>
      <c r="D2681" t="s">
        <v>14063</v>
      </c>
      <c r="E2681">
        <v>424004</v>
      </c>
      <c r="F2681" t="s">
        <v>1</v>
      </c>
      <c r="G2681" t="s">
        <v>2</v>
      </c>
      <c r="H2681" t="s">
        <v>3489</v>
      </c>
      <c r="I2681" t="s">
        <v>14064</v>
      </c>
      <c r="J2681" t="s">
        <v>14065</v>
      </c>
      <c r="P2681" t="s">
        <v>14067</v>
      </c>
      <c r="Y2681" t="s">
        <v>14068</v>
      </c>
    </row>
    <row r="2682" spans="1:25" x14ac:dyDescent="0.25">
      <c r="A2682" t="str">
        <f>"1331412612"</f>
        <v>1331412612</v>
      </c>
      <c r="B2682" t="s">
        <v>417</v>
      </c>
      <c r="C2682" t="s">
        <v>418</v>
      </c>
      <c r="D2682" t="s">
        <v>856</v>
      </c>
      <c r="E2682">
        <v>424003</v>
      </c>
      <c r="F2682" t="s">
        <v>1</v>
      </c>
      <c r="G2682" t="s">
        <v>2</v>
      </c>
      <c r="H2682" t="s">
        <v>13657</v>
      </c>
      <c r="I2682" t="s">
        <v>14069</v>
      </c>
      <c r="L2682" t="s">
        <v>858</v>
      </c>
      <c r="M2682" t="s">
        <v>859</v>
      </c>
      <c r="P2682" t="s">
        <v>12632</v>
      </c>
      <c r="Y2682" t="s">
        <v>14070</v>
      </c>
    </row>
    <row r="2683" spans="1:25" x14ac:dyDescent="0.25">
      <c r="A2683" t="str">
        <f>"1331474234"</f>
        <v>1331474234</v>
      </c>
      <c r="B2683" t="s">
        <v>417</v>
      </c>
      <c r="C2683" t="s">
        <v>14074</v>
      </c>
      <c r="D2683" t="s">
        <v>14071</v>
      </c>
      <c r="E2683">
        <v>424028</v>
      </c>
      <c r="F2683" t="s">
        <v>1</v>
      </c>
      <c r="G2683" t="s">
        <v>2</v>
      </c>
      <c r="H2683" t="s">
        <v>5121</v>
      </c>
      <c r="I2683" t="s">
        <v>14072</v>
      </c>
      <c r="J2683" t="s">
        <v>14073</v>
      </c>
      <c r="L2683" t="s">
        <v>11137</v>
      </c>
      <c r="P2683" t="s">
        <v>14075</v>
      </c>
      <c r="Y2683" t="s">
        <v>14076</v>
      </c>
    </row>
    <row r="2684" spans="1:25" x14ac:dyDescent="0.25">
      <c r="A2684" t="str">
        <f>"1331478632"</f>
        <v>1331478632</v>
      </c>
      <c r="B2684" t="s">
        <v>18</v>
      </c>
      <c r="C2684" t="s">
        <v>14080</v>
      </c>
      <c r="D2684" t="s">
        <v>14077</v>
      </c>
      <c r="E2684">
        <v>424004</v>
      </c>
      <c r="F2684" t="s">
        <v>1</v>
      </c>
      <c r="G2684" t="s">
        <v>2</v>
      </c>
      <c r="H2684" t="s">
        <v>12781</v>
      </c>
      <c r="I2684" t="s">
        <v>14078</v>
      </c>
      <c r="J2684" t="s">
        <v>14079</v>
      </c>
      <c r="P2684" t="s">
        <v>14081</v>
      </c>
      <c r="Y2684" t="s">
        <v>14082</v>
      </c>
    </row>
    <row r="2685" spans="1:25" x14ac:dyDescent="0.25">
      <c r="A2685" t="str">
        <f>"1331531245"</f>
        <v>1331531245</v>
      </c>
      <c r="B2685" t="s">
        <v>151</v>
      </c>
      <c r="C2685" t="s">
        <v>151</v>
      </c>
      <c r="D2685" t="s">
        <v>14083</v>
      </c>
      <c r="E2685">
        <v>424031</v>
      </c>
      <c r="F2685" t="s">
        <v>1</v>
      </c>
      <c r="G2685" t="s">
        <v>2</v>
      </c>
      <c r="H2685" t="s">
        <v>239</v>
      </c>
      <c r="J2685" t="s">
        <v>14084</v>
      </c>
      <c r="P2685" t="s">
        <v>27</v>
      </c>
      <c r="Y2685" t="s">
        <v>246</v>
      </c>
    </row>
    <row r="2686" spans="1:25" x14ac:dyDescent="0.25">
      <c r="A2686" t="str">
        <f>"1331545818"</f>
        <v>1331545818</v>
      </c>
      <c r="B2686" t="s">
        <v>1078</v>
      </c>
      <c r="C2686" t="s">
        <v>12091</v>
      </c>
      <c r="D2686" t="s">
        <v>1621</v>
      </c>
      <c r="E2686">
        <v>424020</v>
      </c>
      <c r="F2686" t="s">
        <v>1</v>
      </c>
      <c r="G2686" t="s">
        <v>2</v>
      </c>
      <c r="H2686" t="s">
        <v>288</v>
      </c>
      <c r="I2686" t="s">
        <v>14085</v>
      </c>
      <c r="L2686" t="s">
        <v>1624</v>
      </c>
      <c r="M2686" t="s">
        <v>7564</v>
      </c>
      <c r="P2686" t="s">
        <v>112</v>
      </c>
      <c r="Y2686" t="s">
        <v>14086</v>
      </c>
    </row>
    <row r="2687" spans="1:25" x14ac:dyDescent="0.25">
      <c r="A2687" t="str">
        <f>"1331574799"</f>
        <v>1331574799</v>
      </c>
      <c r="B2687" t="s">
        <v>1053</v>
      </c>
      <c r="C2687" t="s">
        <v>5092</v>
      </c>
      <c r="D2687" t="s">
        <v>14087</v>
      </c>
      <c r="E2687">
        <v>424019</v>
      </c>
      <c r="F2687" t="s">
        <v>1</v>
      </c>
      <c r="G2687" t="s">
        <v>2</v>
      </c>
      <c r="H2687" t="s">
        <v>7863</v>
      </c>
      <c r="J2687" t="s">
        <v>14088</v>
      </c>
      <c r="P2687" t="s">
        <v>2457</v>
      </c>
      <c r="Y2687" t="s">
        <v>14089</v>
      </c>
    </row>
    <row r="2688" spans="1:25" x14ac:dyDescent="0.25">
      <c r="A2688" t="str">
        <f>"1331734444"</f>
        <v>1331734444</v>
      </c>
      <c r="B2688" t="s">
        <v>123</v>
      </c>
      <c r="C2688" t="s">
        <v>424</v>
      </c>
      <c r="D2688" t="s">
        <v>11176</v>
      </c>
      <c r="E2688">
        <v>424000</v>
      </c>
      <c r="F2688" t="s">
        <v>1</v>
      </c>
      <c r="G2688" t="s">
        <v>2</v>
      </c>
      <c r="H2688" t="s">
        <v>14090</v>
      </c>
      <c r="I2688" t="s">
        <v>11178</v>
      </c>
      <c r="J2688" t="s">
        <v>11179</v>
      </c>
      <c r="P2688" t="s">
        <v>425</v>
      </c>
      <c r="Y2688" t="s">
        <v>14091</v>
      </c>
    </row>
    <row r="2689" spans="1:25" x14ac:dyDescent="0.25">
      <c r="A2689" t="str">
        <f>"1331766216"</f>
        <v>1331766216</v>
      </c>
      <c r="B2689" t="s">
        <v>352</v>
      </c>
      <c r="C2689" t="s">
        <v>14096</v>
      </c>
      <c r="D2689" t="s">
        <v>14092</v>
      </c>
      <c r="E2689">
        <v>424032</v>
      </c>
      <c r="F2689" t="s">
        <v>1</v>
      </c>
      <c r="G2689" t="s">
        <v>2</v>
      </c>
      <c r="H2689" t="s">
        <v>5699</v>
      </c>
      <c r="I2689" t="s">
        <v>14093</v>
      </c>
      <c r="J2689" t="s">
        <v>14094</v>
      </c>
      <c r="L2689" t="s">
        <v>14095</v>
      </c>
      <c r="P2689" t="s">
        <v>2050</v>
      </c>
      <c r="Y2689" t="s">
        <v>14097</v>
      </c>
    </row>
    <row r="2690" spans="1:25" x14ac:dyDescent="0.25">
      <c r="A2690" t="str">
        <f>"1331832312"</f>
        <v>1331832312</v>
      </c>
      <c r="B2690" t="s">
        <v>3652</v>
      </c>
      <c r="C2690" t="s">
        <v>14101</v>
      </c>
      <c r="D2690" t="s">
        <v>14098</v>
      </c>
      <c r="F2690" t="s">
        <v>1</v>
      </c>
      <c r="G2690" t="s">
        <v>2</v>
      </c>
      <c r="H2690" t="s">
        <v>14099</v>
      </c>
      <c r="I2690" t="s">
        <v>14100</v>
      </c>
      <c r="P2690" t="s">
        <v>20</v>
      </c>
      <c r="Y2690" t="s">
        <v>14102</v>
      </c>
    </row>
    <row r="2691" spans="1:25" x14ac:dyDescent="0.25">
      <c r="A2691" t="str">
        <f>"1331837601"</f>
        <v>1331837601</v>
      </c>
      <c r="B2691" t="s">
        <v>1053</v>
      </c>
      <c r="C2691" t="s">
        <v>1927</v>
      </c>
      <c r="D2691" t="s">
        <v>7406</v>
      </c>
      <c r="E2691">
        <v>424032</v>
      </c>
      <c r="F2691" t="s">
        <v>1</v>
      </c>
      <c r="G2691" t="s">
        <v>2</v>
      </c>
      <c r="H2691" t="s">
        <v>4808</v>
      </c>
      <c r="I2691" t="s">
        <v>14103</v>
      </c>
      <c r="J2691" t="s">
        <v>14104</v>
      </c>
      <c r="P2691" t="s">
        <v>280</v>
      </c>
      <c r="Y2691" t="s">
        <v>4812</v>
      </c>
    </row>
    <row r="2692" spans="1:25" x14ac:dyDescent="0.25">
      <c r="A2692" t="str">
        <f>"1331845022"</f>
        <v>1331845022</v>
      </c>
      <c r="B2692" t="s">
        <v>1315</v>
      </c>
      <c r="C2692" t="s">
        <v>14108</v>
      </c>
      <c r="D2692" t="s">
        <v>14105</v>
      </c>
      <c r="E2692">
        <v>424006</v>
      </c>
      <c r="F2692" t="s">
        <v>1</v>
      </c>
      <c r="G2692" t="s">
        <v>2</v>
      </c>
      <c r="H2692" t="s">
        <v>14106</v>
      </c>
      <c r="J2692" t="s">
        <v>14107</v>
      </c>
      <c r="P2692" t="s">
        <v>27</v>
      </c>
      <c r="Y2692" t="s">
        <v>14109</v>
      </c>
    </row>
    <row r="2693" spans="1:25" x14ac:dyDescent="0.25">
      <c r="A2693" t="str">
        <f>"1331924965"</f>
        <v>1331924965</v>
      </c>
      <c r="B2693" t="s">
        <v>397</v>
      </c>
      <c r="C2693" t="s">
        <v>11379</v>
      </c>
      <c r="D2693" t="s">
        <v>14110</v>
      </c>
      <c r="E2693">
        <v>424006</v>
      </c>
      <c r="F2693" t="s">
        <v>1</v>
      </c>
      <c r="G2693" t="s">
        <v>2</v>
      </c>
      <c r="H2693" t="s">
        <v>14111</v>
      </c>
      <c r="I2693" t="s">
        <v>14112</v>
      </c>
      <c r="L2693" t="s">
        <v>14113</v>
      </c>
      <c r="M2693" t="s">
        <v>14114</v>
      </c>
      <c r="P2693" t="s">
        <v>14115</v>
      </c>
      <c r="Y2693" t="s">
        <v>14116</v>
      </c>
    </row>
    <row r="2694" spans="1:25" x14ac:dyDescent="0.25">
      <c r="A2694" t="str">
        <f>"1332021046"</f>
        <v>1332021046</v>
      </c>
      <c r="B2694" t="s">
        <v>1152</v>
      </c>
      <c r="C2694" t="s">
        <v>1385</v>
      </c>
      <c r="D2694" t="s">
        <v>1385</v>
      </c>
      <c r="E2694">
        <v>424033</v>
      </c>
      <c r="F2694" t="s">
        <v>1</v>
      </c>
      <c r="G2694" t="s">
        <v>2</v>
      </c>
      <c r="H2694" t="s">
        <v>5738</v>
      </c>
      <c r="I2694" t="s">
        <v>14117</v>
      </c>
      <c r="P2694" t="s">
        <v>2710</v>
      </c>
      <c r="Y2694" t="s">
        <v>14118</v>
      </c>
    </row>
    <row r="2695" spans="1:25" x14ac:dyDescent="0.25">
      <c r="A2695" t="str">
        <f>"1332159708"</f>
        <v>1332159708</v>
      </c>
      <c r="B2695" t="s">
        <v>1475</v>
      </c>
      <c r="C2695" t="s">
        <v>14122</v>
      </c>
      <c r="D2695" t="s">
        <v>14119</v>
      </c>
      <c r="E2695">
        <v>424020</v>
      </c>
      <c r="F2695" t="s">
        <v>1</v>
      </c>
      <c r="G2695" t="s">
        <v>2</v>
      </c>
      <c r="H2695" t="s">
        <v>14120</v>
      </c>
      <c r="I2695" t="s">
        <v>14121</v>
      </c>
      <c r="P2695" t="s">
        <v>6263</v>
      </c>
      <c r="Y2695" t="s">
        <v>14123</v>
      </c>
    </row>
    <row r="2696" spans="1:25" x14ac:dyDescent="0.25">
      <c r="A2696" t="str">
        <f>"1332230737"</f>
        <v>1332230737</v>
      </c>
      <c r="B2696" t="s">
        <v>1053</v>
      </c>
      <c r="C2696" t="s">
        <v>14129</v>
      </c>
      <c r="D2696" t="s">
        <v>14124</v>
      </c>
      <c r="E2696">
        <v>424007</v>
      </c>
      <c r="F2696" t="s">
        <v>1</v>
      </c>
      <c r="G2696" t="s">
        <v>2</v>
      </c>
      <c r="H2696" t="s">
        <v>5450</v>
      </c>
      <c r="I2696" t="s">
        <v>14125</v>
      </c>
      <c r="K2696" t="s">
        <v>14126</v>
      </c>
      <c r="L2696" t="s">
        <v>14127</v>
      </c>
      <c r="M2696" t="s">
        <v>14128</v>
      </c>
      <c r="P2696" t="s">
        <v>20</v>
      </c>
      <c r="Y2696" t="s">
        <v>14130</v>
      </c>
    </row>
    <row r="2697" spans="1:25" x14ac:dyDescent="0.25">
      <c r="A2697" t="str">
        <f>"1332529858"</f>
        <v>1332529858</v>
      </c>
      <c r="B2697" t="s">
        <v>348</v>
      </c>
      <c r="C2697" t="s">
        <v>349</v>
      </c>
      <c r="D2697" t="s">
        <v>14131</v>
      </c>
      <c r="E2697">
        <v>424016</v>
      </c>
      <c r="F2697" t="s">
        <v>1</v>
      </c>
      <c r="G2697" t="s">
        <v>2</v>
      </c>
      <c r="H2697" t="s">
        <v>3703</v>
      </c>
      <c r="J2697" t="s">
        <v>14132</v>
      </c>
      <c r="P2697" t="s">
        <v>280</v>
      </c>
      <c r="Y2697" t="s">
        <v>5274</v>
      </c>
    </row>
    <row r="2698" spans="1:25" x14ac:dyDescent="0.25">
      <c r="A2698" t="str">
        <f>"1332533921"</f>
        <v>1332533921</v>
      </c>
      <c r="B2698" t="s">
        <v>32</v>
      </c>
      <c r="C2698" t="s">
        <v>14135</v>
      </c>
      <c r="D2698" t="s">
        <v>14133</v>
      </c>
      <c r="E2698">
        <v>424000</v>
      </c>
      <c r="F2698" t="s">
        <v>1</v>
      </c>
      <c r="G2698" t="s">
        <v>2</v>
      </c>
      <c r="H2698" t="s">
        <v>404</v>
      </c>
      <c r="I2698" t="s">
        <v>14134</v>
      </c>
      <c r="P2698" t="s">
        <v>14136</v>
      </c>
      <c r="Y2698" t="s">
        <v>14137</v>
      </c>
    </row>
    <row r="2699" spans="1:25" x14ac:dyDescent="0.25">
      <c r="A2699" t="str">
        <f>"1332547572"</f>
        <v>1332547572</v>
      </c>
      <c r="B2699" t="s">
        <v>18</v>
      </c>
      <c r="C2699" t="s">
        <v>959</v>
      </c>
      <c r="D2699" t="s">
        <v>14138</v>
      </c>
      <c r="E2699">
        <v>424038</v>
      </c>
      <c r="F2699" t="s">
        <v>1</v>
      </c>
      <c r="G2699" t="s">
        <v>2</v>
      </c>
      <c r="H2699" t="s">
        <v>13095</v>
      </c>
      <c r="I2699" t="s">
        <v>14139</v>
      </c>
      <c r="P2699" t="s">
        <v>6710</v>
      </c>
      <c r="Y2699" t="s">
        <v>14140</v>
      </c>
    </row>
    <row r="2700" spans="1:25" x14ac:dyDescent="0.25">
      <c r="A2700" t="str">
        <f>"1332570939"</f>
        <v>1332570939</v>
      </c>
      <c r="B2700" t="s">
        <v>624</v>
      </c>
      <c r="C2700" t="s">
        <v>1637</v>
      </c>
      <c r="D2700" t="s">
        <v>14141</v>
      </c>
      <c r="E2700">
        <v>424004</v>
      </c>
      <c r="F2700" t="s">
        <v>1</v>
      </c>
      <c r="G2700" t="s">
        <v>2</v>
      </c>
      <c r="H2700" t="s">
        <v>351</v>
      </c>
      <c r="I2700" t="s">
        <v>14058</v>
      </c>
      <c r="J2700" t="s">
        <v>14142</v>
      </c>
      <c r="P2700" t="s">
        <v>14143</v>
      </c>
      <c r="Y2700" t="s">
        <v>354</v>
      </c>
    </row>
    <row r="2701" spans="1:25" x14ac:dyDescent="0.25">
      <c r="A2701" t="str">
        <f>"1332673553"</f>
        <v>1332673553</v>
      </c>
      <c r="B2701" t="s">
        <v>32</v>
      </c>
      <c r="C2701" t="s">
        <v>777</v>
      </c>
      <c r="D2701" t="s">
        <v>14144</v>
      </c>
      <c r="E2701">
        <v>424020</v>
      </c>
      <c r="F2701" t="s">
        <v>1</v>
      </c>
      <c r="G2701" t="s">
        <v>2</v>
      </c>
      <c r="H2701" t="s">
        <v>288</v>
      </c>
      <c r="P2701" t="s">
        <v>8655</v>
      </c>
      <c r="Y2701" t="s">
        <v>14145</v>
      </c>
    </row>
    <row r="2702" spans="1:25" x14ac:dyDescent="0.25">
      <c r="A2702" t="str">
        <f>"1332737878"</f>
        <v>1332737878</v>
      </c>
      <c r="B2702" t="s">
        <v>930</v>
      </c>
      <c r="C2702" t="s">
        <v>1096</v>
      </c>
      <c r="D2702" t="s">
        <v>14146</v>
      </c>
      <c r="E2702">
        <v>424028</v>
      </c>
      <c r="F2702" t="s">
        <v>1</v>
      </c>
      <c r="G2702" t="s">
        <v>2</v>
      </c>
      <c r="H2702" t="s">
        <v>13799</v>
      </c>
      <c r="I2702" t="s">
        <v>14147</v>
      </c>
      <c r="L2702" t="s">
        <v>14148</v>
      </c>
      <c r="P2702" t="s">
        <v>2738</v>
      </c>
      <c r="Q2702" t="s">
        <v>14149</v>
      </c>
      <c r="Y2702" t="s">
        <v>14150</v>
      </c>
    </row>
    <row r="2703" spans="1:25" x14ac:dyDescent="0.25">
      <c r="A2703" t="str">
        <f>"1332765423"</f>
        <v>1332765423</v>
      </c>
      <c r="B2703" t="s">
        <v>151</v>
      </c>
      <c r="C2703" t="s">
        <v>9277</v>
      </c>
      <c r="D2703" t="s">
        <v>14151</v>
      </c>
      <c r="E2703">
        <v>424020</v>
      </c>
      <c r="F2703" t="s">
        <v>1</v>
      </c>
      <c r="G2703" t="s">
        <v>2</v>
      </c>
      <c r="H2703" t="s">
        <v>3</v>
      </c>
      <c r="J2703" t="s">
        <v>14152</v>
      </c>
      <c r="P2703" t="s">
        <v>27</v>
      </c>
      <c r="Y2703" t="s">
        <v>14153</v>
      </c>
    </row>
    <row r="2704" spans="1:25" x14ac:dyDescent="0.25">
      <c r="A2704" t="str">
        <f>"1333038740"</f>
        <v>1333038740</v>
      </c>
      <c r="B2704" t="s">
        <v>2601</v>
      </c>
      <c r="C2704" t="s">
        <v>5375</v>
      </c>
      <c r="D2704" t="s">
        <v>10023</v>
      </c>
      <c r="E2704">
        <v>424000</v>
      </c>
      <c r="F2704" t="s">
        <v>1</v>
      </c>
      <c r="G2704" t="s">
        <v>2</v>
      </c>
      <c r="H2704" t="s">
        <v>1473</v>
      </c>
      <c r="P2704" t="s">
        <v>941</v>
      </c>
      <c r="Y2704" t="s">
        <v>14154</v>
      </c>
    </row>
    <row r="2705" spans="1:25" x14ac:dyDescent="0.25">
      <c r="A2705" t="str">
        <f>"1333046903"</f>
        <v>1333046903</v>
      </c>
      <c r="B2705" t="s">
        <v>1152</v>
      </c>
      <c r="C2705" t="s">
        <v>14159</v>
      </c>
      <c r="D2705" t="s">
        <v>14155</v>
      </c>
      <c r="E2705">
        <v>424002</v>
      </c>
      <c r="F2705" t="s">
        <v>1</v>
      </c>
      <c r="G2705" t="s">
        <v>2</v>
      </c>
      <c r="H2705" t="s">
        <v>14156</v>
      </c>
      <c r="I2705" t="s">
        <v>14157</v>
      </c>
      <c r="J2705" t="s">
        <v>14158</v>
      </c>
      <c r="P2705" t="s">
        <v>3690</v>
      </c>
      <c r="Y2705" t="s">
        <v>14160</v>
      </c>
    </row>
    <row r="2706" spans="1:25" x14ac:dyDescent="0.25">
      <c r="A2706" t="str">
        <f>"1333080988"</f>
        <v>1333080988</v>
      </c>
      <c r="B2706" t="s">
        <v>703</v>
      </c>
      <c r="C2706" t="s">
        <v>14165</v>
      </c>
      <c r="D2706" t="s">
        <v>14161</v>
      </c>
      <c r="F2706" t="s">
        <v>1</v>
      </c>
      <c r="G2706" t="s">
        <v>2</v>
      </c>
      <c r="H2706" t="s">
        <v>1600</v>
      </c>
      <c r="J2706" t="s">
        <v>14162</v>
      </c>
      <c r="L2706" t="s">
        <v>14163</v>
      </c>
      <c r="M2706" t="s">
        <v>14164</v>
      </c>
      <c r="P2706" t="s">
        <v>280</v>
      </c>
      <c r="Q2706" t="s">
        <v>14166</v>
      </c>
      <c r="Y2706" t="s">
        <v>14167</v>
      </c>
    </row>
    <row r="2707" spans="1:25" x14ac:dyDescent="0.25">
      <c r="A2707" t="str">
        <f>"1333107755"</f>
        <v>1333107755</v>
      </c>
      <c r="B2707" t="s">
        <v>462</v>
      </c>
      <c r="C2707" t="s">
        <v>14170</v>
      </c>
      <c r="D2707" t="s">
        <v>14168</v>
      </c>
      <c r="E2707">
        <v>424002</v>
      </c>
      <c r="F2707" t="s">
        <v>1</v>
      </c>
      <c r="G2707" t="s">
        <v>2</v>
      </c>
      <c r="H2707" t="s">
        <v>3877</v>
      </c>
      <c r="J2707" t="s">
        <v>14169</v>
      </c>
      <c r="P2707" t="s">
        <v>2738</v>
      </c>
      <c r="Y2707" t="s">
        <v>14171</v>
      </c>
    </row>
    <row r="2708" spans="1:25" x14ac:dyDescent="0.25">
      <c r="A2708" t="str">
        <f>"1333181603"</f>
        <v>1333181603</v>
      </c>
      <c r="B2708" t="s">
        <v>96</v>
      </c>
      <c r="C2708" t="s">
        <v>14175</v>
      </c>
      <c r="D2708" t="s">
        <v>14172</v>
      </c>
      <c r="E2708">
        <v>424006</v>
      </c>
      <c r="F2708" t="s">
        <v>1</v>
      </c>
      <c r="G2708" t="s">
        <v>2</v>
      </c>
      <c r="H2708" t="s">
        <v>14173</v>
      </c>
      <c r="I2708" t="s">
        <v>14174</v>
      </c>
      <c r="P2708" t="s">
        <v>112</v>
      </c>
      <c r="Y2708" t="s">
        <v>14176</v>
      </c>
    </row>
    <row r="2709" spans="1:25" x14ac:dyDescent="0.25">
      <c r="A2709" t="str">
        <f>"1333181982"</f>
        <v>1333181982</v>
      </c>
      <c r="B2709" t="s">
        <v>1046</v>
      </c>
      <c r="C2709" t="s">
        <v>14179</v>
      </c>
      <c r="D2709" t="s">
        <v>10162</v>
      </c>
      <c r="E2709">
        <v>424007</v>
      </c>
      <c r="F2709" t="s">
        <v>1</v>
      </c>
      <c r="G2709" t="s">
        <v>2</v>
      </c>
      <c r="H2709" t="s">
        <v>10411</v>
      </c>
      <c r="I2709" t="s">
        <v>14177</v>
      </c>
      <c r="L2709" t="s">
        <v>14178</v>
      </c>
      <c r="P2709" t="s">
        <v>1642</v>
      </c>
      <c r="Q2709" t="s">
        <v>14180</v>
      </c>
      <c r="V2709" t="s">
        <v>14181</v>
      </c>
      <c r="Y2709" t="s">
        <v>14182</v>
      </c>
    </row>
    <row r="2710" spans="1:25" x14ac:dyDescent="0.25">
      <c r="A2710" t="str">
        <f>"1333275104"</f>
        <v>1333275104</v>
      </c>
      <c r="B2710" t="s">
        <v>930</v>
      </c>
      <c r="C2710" t="s">
        <v>14185</v>
      </c>
      <c r="D2710" t="s">
        <v>14183</v>
      </c>
      <c r="E2710">
        <v>424007</v>
      </c>
      <c r="F2710" t="s">
        <v>1</v>
      </c>
      <c r="G2710" t="s">
        <v>2</v>
      </c>
      <c r="H2710" t="s">
        <v>4869</v>
      </c>
      <c r="J2710" t="s">
        <v>14184</v>
      </c>
      <c r="P2710" t="s">
        <v>330</v>
      </c>
      <c r="Y2710" t="s">
        <v>14186</v>
      </c>
    </row>
    <row r="2711" spans="1:25" x14ac:dyDescent="0.25">
      <c r="A2711" t="str">
        <f>"1333275432"</f>
        <v>1333275432</v>
      </c>
      <c r="B2711" t="s">
        <v>1758</v>
      </c>
      <c r="C2711" t="s">
        <v>7867</v>
      </c>
      <c r="D2711" t="s">
        <v>14187</v>
      </c>
      <c r="E2711">
        <v>424039</v>
      </c>
      <c r="F2711" t="s">
        <v>1</v>
      </c>
      <c r="G2711" t="s">
        <v>2</v>
      </c>
      <c r="H2711" t="s">
        <v>5827</v>
      </c>
      <c r="P2711" t="s">
        <v>14188</v>
      </c>
      <c r="Y2711" t="s">
        <v>14189</v>
      </c>
    </row>
    <row r="2712" spans="1:25" x14ac:dyDescent="0.25">
      <c r="A2712" t="str">
        <f>"1333292687"</f>
        <v>1333292687</v>
      </c>
      <c r="B2712" t="s">
        <v>348</v>
      </c>
      <c r="C2712" t="s">
        <v>4366</v>
      </c>
      <c r="D2712" t="s">
        <v>14190</v>
      </c>
      <c r="E2712">
        <v>424028</v>
      </c>
      <c r="F2712" t="s">
        <v>1</v>
      </c>
      <c r="G2712" t="s">
        <v>2</v>
      </c>
      <c r="H2712" t="s">
        <v>14191</v>
      </c>
      <c r="I2712" t="s">
        <v>14192</v>
      </c>
      <c r="L2712" t="s">
        <v>14193</v>
      </c>
      <c r="M2712" t="s">
        <v>14194</v>
      </c>
      <c r="P2712" t="s">
        <v>4126</v>
      </c>
      <c r="Y2712" t="s">
        <v>14195</v>
      </c>
    </row>
    <row r="2713" spans="1:25" x14ac:dyDescent="0.25">
      <c r="A2713" t="str">
        <f>"1333295999"</f>
        <v>1333295999</v>
      </c>
      <c r="B2713" t="s">
        <v>1053</v>
      </c>
      <c r="C2713" t="s">
        <v>1799</v>
      </c>
      <c r="D2713" t="s">
        <v>14196</v>
      </c>
      <c r="F2713" t="s">
        <v>1</v>
      </c>
      <c r="G2713" t="s">
        <v>2</v>
      </c>
      <c r="H2713" t="s">
        <v>14197</v>
      </c>
      <c r="J2713" t="s">
        <v>14198</v>
      </c>
      <c r="P2713" t="s">
        <v>330</v>
      </c>
      <c r="Y2713" t="s">
        <v>14199</v>
      </c>
    </row>
    <row r="2714" spans="1:25" x14ac:dyDescent="0.25">
      <c r="A2714" t="str">
        <f>"1333297946"</f>
        <v>1333297946</v>
      </c>
      <c r="B2714" t="s">
        <v>18</v>
      </c>
      <c r="C2714" t="s">
        <v>14203</v>
      </c>
      <c r="D2714" t="s">
        <v>14200</v>
      </c>
      <c r="E2714">
        <v>424005</v>
      </c>
      <c r="F2714" t="s">
        <v>1</v>
      </c>
      <c r="G2714" t="s">
        <v>2</v>
      </c>
      <c r="H2714" t="s">
        <v>3042</v>
      </c>
      <c r="I2714" t="s">
        <v>14201</v>
      </c>
      <c r="L2714" t="s">
        <v>14202</v>
      </c>
      <c r="P2714" t="s">
        <v>941</v>
      </c>
      <c r="Q2714" t="s">
        <v>14204</v>
      </c>
      <c r="Y2714" t="s">
        <v>14205</v>
      </c>
    </row>
    <row r="2715" spans="1:25" x14ac:dyDescent="0.25">
      <c r="A2715" t="str">
        <f>"1333334063"</f>
        <v>1333334063</v>
      </c>
      <c r="B2715" t="s">
        <v>1152</v>
      </c>
      <c r="C2715" t="s">
        <v>2319</v>
      </c>
      <c r="D2715" t="s">
        <v>2319</v>
      </c>
      <c r="E2715">
        <v>424020</v>
      </c>
      <c r="F2715" t="s">
        <v>1</v>
      </c>
      <c r="G2715" t="s">
        <v>2</v>
      </c>
      <c r="H2715" t="s">
        <v>1837</v>
      </c>
      <c r="I2715" t="s">
        <v>14206</v>
      </c>
      <c r="P2715" t="s">
        <v>4538</v>
      </c>
      <c r="Y2715" t="s">
        <v>14207</v>
      </c>
    </row>
    <row r="2716" spans="1:25" x14ac:dyDescent="0.25">
      <c r="A2716" t="str">
        <f>"1333380232"</f>
        <v>1333380232</v>
      </c>
      <c r="B2716" t="s">
        <v>319</v>
      </c>
      <c r="C2716" t="s">
        <v>320</v>
      </c>
      <c r="D2716" t="s">
        <v>11775</v>
      </c>
      <c r="E2716">
        <v>424003</v>
      </c>
      <c r="F2716" t="s">
        <v>1</v>
      </c>
      <c r="G2716" t="s">
        <v>2</v>
      </c>
      <c r="H2716" t="s">
        <v>562</v>
      </c>
      <c r="I2716" t="s">
        <v>14208</v>
      </c>
      <c r="P2716" t="s">
        <v>216</v>
      </c>
      <c r="Y2716" t="s">
        <v>14209</v>
      </c>
    </row>
    <row r="2717" spans="1:25" x14ac:dyDescent="0.25">
      <c r="A2717" t="str">
        <f>"1333388721"</f>
        <v>1333388721</v>
      </c>
      <c r="B2717" t="s">
        <v>319</v>
      </c>
      <c r="C2717" t="s">
        <v>320</v>
      </c>
      <c r="D2717" t="s">
        <v>14210</v>
      </c>
      <c r="E2717">
        <v>424007</v>
      </c>
      <c r="F2717" t="s">
        <v>1</v>
      </c>
      <c r="G2717" t="s">
        <v>2</v>
      </c>
      <c r="H2717" t="s">
        <v>14211</v>
      </c>
      <c r="I2717" t="s">
        <v>14212</v>
      </c>
      <c r="L2717" t="s">
        <v>2559</v>
      </c>
      <c r="M2717" t="s">
        <v>2560</v>
      </c>
      <c r="P2717" t="s">
        <v>14213</v>
      </c>
      <c r="Y2717" t="s">
        <v>14214</v>
      </c>
    </row>
    <row r="2718" spans="1:25" x14ac:dyDescent="0.25">
      <c r="A2718" t="str">
        <f>"1333413791"</f>
        <v>1333413791</v>
      </c>
      <c r="B2718" t="s">
        <v>4084</v>
      </c>
      <c r="C2718" t="s">
        <v>7951</v>
      </c>
      <c r="D2718" t="s">
        <v>14215</v>
      </c>
      <c r="E2718">
        <v>424004</v>
      </c>
      <c r="F2718" t="s">
        <v>1</v>
      </c>
      <c r="G2718" t="s">
        <v>2</v>
      </c>
      <c r="H2718" t="s">
        <v>14216</v>
      </c>
      <c r="Y2718" t="s">
        <v>14217</v>
      </c>
    </row>
    <row r="2719" spans="1:25" x14ac:dyDescent="0.25">
      <c r="A2719" t="str">
        <f>"1333415550"</f>
        <v>1333415550</v>
      </c>
      <c r="B2719" t="s">
        <v>430</v>
      </c>
      <c r="C2719" t="s">
        <v>10138</v>
      </c>
      <c r="D2719" t="s">
        <v>607</v>
      </c>
      <c r="E2719">
        <v>424000</v>
      </c>
      <c r="F2719" t="s">
        <v>1</v>
      </c>
      <c r="G2719" t="s">
        <v>2</v>
      </c>
      <c r="H2719" t="s">
        <v>265</v>
      </c>
      <c r="I2719" t="s">
        <v>14218</v>
      </c>
      <c r="Y2719" t="s">
        <v>11205</v>
      </c>
    </row>
    <row r="2720" spans="1:25" x14ac:dyDescent="0.25">
      <c r="A2720" t="str">
        <f>"1333540764"</f>
        <v>1333540764</v>
      </c>
      <c r="B2720" t="s">
        <v>243</v>
      </c>
      <c r="C2720" t="s">
        <v>2538</v>
      </c>
      <c r="D2720" t="s">
        <v>7406</v>
      </c>
      <c r="E2720">
        <v>424006</v>
      </c>
      <c r="F2720" t="s">
        <v>1</v>
      </c>
      <c r="G2720" t="s">
        <v>2</v>
      </c>
      <c r="H2720" t="s">
        <v>751</v>
      </c>
      <c r="J2720" t="s">
        <v>14219</v>
      </c>
      <c r="L2720" t="s">
        <v>14220</v>
      </c>
      <c r="P2720" t="s">
        <v>14221</v>
      </c>
      <c r="Q2720" t="s">
        <v>14222</v>
      </c>
      <c r="Y2720" t="s">
        <v>14223</v>
      </c>
    </row>
    <row r="2721" spans="1:25" x14ac:dyDescent="0.25">
      <c r="A2721" t="str">
        <f>"1333825467"</f>
        <v>1333825467</v>
      </c>
      <c r="B2721" t="s">
        <v>1053</v>
      </c>
      <c r="C2721" t="s">
        <v>1927</v>
      </c>
      <c r="D2721" t="s">
        <v>14224</v>
      </c>
      <c r="E2721">
        <v>424005</v>
      </c>
      <c r="F2721" t="s">
        <v>1</v>
      </c>
      <c r="G2721" t="s">
        <v>2</v>
      </c>
      <c r="H2721" t="s">
        <v>6843</v>
      </c>
      <c r="I2721" t="s">
        <v>14225</v>
      </c>
      <c r="J2721" t="s">
        <v>14226</v>
      </c>
      <c r="P2721" t="s">
        <v>3938</v>
      </c>
      <c r="Y2721" t="s">
        <v>6846</v>
      </c>
    </row>
    <row r="2722" spans="1:25" x14ac:dyDescent="0.25">
      <c r="A2722" t="str">
        <f>"1333933649"</f>
        <v>1333933649</v>
      </c>
      <c r="B2722" t="s">
        <v>110</v>
      </c>
      <c r="C2722" t="s">
        <v>111</v>
      </c>
      <c r="D2722" t="s">
        <v>4989</v>
      </c>
      <c r="E2722">
        <v>424038</v>
      </c>
      <c r="F2722" t="s">
        <v>1</v>
      </c>
      <c r="G2722" t="s">
        <v>2</v>
      </c>
      <c r="H2722" t="s">
        <v>13739</v>
      </c>
      <c r="I2722" t="s">
        <v>14227</v>
      </c>
      <c r="P2722" t="s">
        <v>7125</v>
      </c>
      <c r="Y2722" t="s">
        <v>14228</v>
      </c>
    </row>
    <row r="2723" spans="1:25" x14ac:dyDescent="0.25">
      <c r="A2723" t="str">
        <f>"1333959754"</f>
        <v>1333959754</v>
      </c>
      <c r="B2723" t="s">
        <v>18</v>
      </c>
      <c r="C2723" t="s">
        <v>14233</v>
      </c>
      <c r="D2723" t="s">
        <v>14229</v>
      </c>
      <c r="E2723">
        <v>424028</v>
      </c>
      <c r="F2723" t="s">
        <v>1</v>
      </c>
      <c r="G2723" t="s">
        <v>2</v>
      </c>
      <c r="H2723" t="s">
        <v>8743</v>
      </c>
      <c r="I2723" t="s">
        <v>14230</v>
      </c>
      <c r="L2723" t="s">
        <v>14231</v>
      </c>
      <c r="M2723" t="s">
        <v>14232</v>
      </c>
      <c r="P2723" t="s">
        <v>1528</v>
      </c>
      <c r="Y2723" t="s">
        <v>14234</v>
      </c>
    </row>
    <row r="2724" spans="1:25" x14ac:dyDescent="0.25">
      <c r="A2724" t="str">
        <f>"1333972664"</f>
        <v>1333972664</v>
      </c>
      <c r="B2724" t="s">
        <v>18</v>
      </c>
      <c r="C2724" t="s">
        <v>2593</v>
      </c>
      <c r="D2724" t="s">
        <v>14235</v>
      </c>
      <c r="E2724">
        <v>424003</v>
      </c>
      <c r="F2724" t="s">
        <v>1</v>
      </c>
      <c r="G2724" t="s">
        <v>2</v>
      </c>
      <c r="H2724" t="s">
        <v>5311</v>
      </c>
      <c r="J2724" t="s">
        <v>14236</v>
      </c>
      <c r="L2724" t="s">
        <v>14237</v>
      </c>
      <c r="M2724" t="s">
        <v>14238</v>
      </c>
      <c r="P2724" t="s">
        <v>20</v>
      </c>
      <c r="Q2724" t="s">
        <v>14239</v>
      </c>
      <c r="Y2724" t="s">
        <v>14240</v>
      </c>
    </row>
    <row r="2725" spans="1:25" x14ac:dyDescent="0.25">
      <c r="A2725" t="str">
        <f>"1333980018"</f>
        <v>1333980018</v>
      </c>
      <c r="B2725" t="s">
        <v>738</v>
      </c>
      <c r="C2725" t="s">
        <v>14244</v>
      </c>
      <c r="D2725" t="s">
        <v>14241</v>
      </c>
      <c r="E2725">
        <v>424002</v>
      </c>
      <c r="F2725" t="s">
        <v>1</v>
      </c>
      <c r="G2725" t="s">
        <v>2</v>
      </c>
      <c r="H2725" t="s">
        <v>14242</v>
      </c>
      <c r="I2725" t="s">
        <v>14243</v>
      </c>
      <c r="P2725" t="s">
        <v>2457</v>
      </c>
      <c r="Y2725" t="s">
        <v>8091</v>
      </c>
    </row>
    <row r="2726" spans="1:25" x14ac:dyDescent="0.25">
      <c r="A2726" t="str">
        <f>"1334272846"</f>
        <v>1334272846</v>
      </c>
      <c r="B2726" t="s">
        <v>80</v>
      </c>
      <c r="C2726" t="s">
        <v>14246</v>
      </c>
      <c r="D2726" t="s">
        <v>14245</v>
      </c>
      <c r="E2726">
        <v>424006</v>
      </c>
      <c r="F2726" t="s">
        <v>1</v>
      </c>
      <c r="G2726" t="s">
        <v>2</v>
      </c>
      <c r="H2726" t="s">
        <v>445</v>
      </c>
      <c r="P2726" t="s">
        <v>14247</v>
      </c>
      <c r="Y2726" t="s">
        <v>449</v>
      </c>
    </row>
    <row r="2727" spans="1:25" x14ac:dyDescent="0.25">
      <c r="A2727" t="str">
        <f>"1334285918"</f>
        <v>1334285918</v>
      </c>
      <c r="B2727" t="s">
        <v>284</v>
      </c>
      <c r="C2727" t="s">
        <v>2462</v>
      </c>
      <c r="D2727" t="s">
        <v>14248</v>
      </c>
      <c r="E2727">
        <v>424004</v>
      </c>
      <c r="F2727" t="s">
        <v>1</v>
      </c>
      <c r="G2727" t="s">
        <v>2</v>
      </c>
      <c r="H2727" t="s">
        <v>14249</v>
      </c>
      <c r="I2727" t="s">
        <v>14250</v>
      </c>
      <c r="J2727" t="s">
        <v>14251</v>
      </c>
      <c r="P2727" t="s">
        <v>3456</v>
      </c>
      <c r="Y2727" t="s">
        <v>14252</v>
      </c>
    </row>
    <row r="2728" spans="1:25" x14ac:dyDescent="0.25">
      <c r="A2728" t="str">
        <f>"1334391806"</f>
        <v>1334391806</v>
      </c>
      <c r="B2728" t="s">
        <v>160</v>
      </c>
      <c r="C2728" t="s">
        <v>9976</v>
      </c>
      <c r="D2728" t="s">
        <v>14253</v>
      </c>
      <c r="E2728">
        <v>424006</v>
      </c>
      <c r="F2728" t="s">
        <v>1</v>
      </c>
      <c r="G2728" t="s">
        <v>2</v>
      </c>
      <c r="H2728" t="s">
        <v>14254</v>
      </c>
      <c r="I2728" t="s">
        <v>14255</v>
      </c>
      <c r="P2728" t="s">
        <v>11599</v>
      </c>
      <c r="Y2728" t="s">
        <v>14256</v>
      </c>
    </row>
    <row r="2729" spans="1:25" x14ac:dyDescent="0.25">
      <c r="A2729" t="str">
        <f>"1334509839"</f>
        <v>1334509839</v>
      </c>
      <c r="B2729" t="s">
        <v>348</v>
      </c>
      <c r="C2729" t="s">
        <v>4366</v>
      </c>
      <c r="D2729" t="s">
        <v>14257</v>
      </c>
      <c r="E2729">
        <v>424019</v>
      </c>
      <c r="F2729" t="s">
        <v>1</v>
      </c>
      <c r="G2729" t="s">
        <v>2</v>
      </c>
      <c r="H2729" t="s">
        <v>12105</v>
      </c>
      <c r="I2729" t="s">
        <v>14258</v>
      </c>
      <c r="P2729" t="s">
        <v>14259</v>
      </c>
      <c r="Y2729" t="s">
        <v>14260</v>
      </c>
    </row>
    <row r="2730" spans="1:25" x14ac:dyDescent="0.25">
      <c r="A2730" t="str">
        <f>"1334565968"</f>
        <v>1334565968</v>
      </c>
      <c r="B2730" t="s">
        <v>18</v>
      </c>
      <c r="C2730" t="s">
        <v>4522</v>
      </c>
      <c r="D2730" t="s">
        <v>14261</v>
      </c>
      <c r="E2730">
        <v>424006</v>
      </c>
      <c r="F2730" t="s">
        <v>1</v>
      </c>
      <c r="G2730" t="s">
        <v>2</v>
      </c>
      <c r="H2730" t="s">
        <v>2012</v>
      </c>
      <c r="P2730" t="s">
        <v>2280</v>
      </c>
      <c r="Y2730" t="s">
        <v>14262</v>
      </c>
    </row>
    <row r="2731" spans="1:25" x14ac:dyDescent="0.25">
      <c r="A2731" t="str">
        <f>"1334629638"</f>
        <v>1334629638</v>
      </c>
      <c r="B2731" t="s">
        <v>1053</v>
      </c>
      <c r="C2731" t="s">
        <v>1927</v>
      </c>
      <c r="D2731" t="s">
        <v>14263</v>
      </c>
      <c r="E2731">
        <v>424039</v>
      </c>
      <c r="F2731" t="s">
        <v>1</v>
      </c>
      <c r="G2731" t="s">
        <v>2</v>
      </c>
      <c r="H2731" t="s">
        <v>7138</v>
      </c>
      <c r="I2731" t="s">
        <v>14264</v>
      </c>
      <c r="L2731" t="s">
        <v>2127</v>
      </c>
      <c r="M2731" t="s">
        <v>14265</v>
      </c>
      <c r="P2731" t="s">
        <v>1027</v>
      </c>
      <c r="Y2731" t="s">
        <v>14266</v>
      </c>
    </row>
    <row r="2732" spans="1:25" x14ac:dyDescent="0.25">
      <c r="A2732" t="str">
        <f>"1334651935"</f>
        <v>1334651935</v>
      </c>
      <c r="B2732" t="s">
        <v>574</v>
      </c>
      <c r="C2732" t="s">
        <v>14269</v>
      </c>
      <c r="D2732" t="s">
        <v>14267</v>
      </c>
      <c r="E2732">
        <v>424019</v>
      </c>
      <c r="F2732" t="s">
        <v>1</v>
      </c>
      <c r="G2732" t="s">
        <v>2</v>
      </c>
      <c r="H2732" t="s">
        <v>13027</v>
      </c>
      <c r="J2732" t="s">
        <v>14268</v>
      </c>
      <c r="P2732" t="s">
        <v>216</v>
      </c>
      <c r="Y2732" t="s">
        <v>14270</v>
      </c>
    </row>
    <row r="2733" spans="1:25" x14ac:dyDescent="0.25">
      <c r="A2733" t="str">
        <f>"1334655978"</f>
        <v>1334655978</v>
      </c>
      <c r="B2733" t="s">
        <v>1053</v>
      </c>
      <c r="C2733" t="s">
        <v>1927</v>
      </c>
      <c r="D2733" t="s">
        <v>14271</v>
      </c>
      <c r="E2733">
        <v>424016</v>
      </c>
      <c r="F2733" t="s">
        <v>1</v>
      </c>
      <c r="G2733" t="s">
        <v>2</v>
      </c>
      <c r="H2733" t="s">
        <v>673</v>
      </c>
      <c r="I2733" t="s">
        <v>14272</v>
      </c>
      <c r="K2733" t="s">
        <v>14273</v>
      </c>
      <c r="L2733" t="s">
        <v>14274</v>
      </c>
      <c r="M2733" t="s">
        <v>14275</v>
      </c>
      <c r="P2733" t="s">
        <v>280</v>
      </c>
      <c r="Y2733" t="s">
        <v>1072</v>
      </c>
    </row>
    <row r="2734" spans="1:25" x14ac:dyDescent="0.25">
      <c r="A2734" t="str">
        <f>"1334715827"</f>
        <v>1334715827</v>
      </c>
      <c r="B2734" t="s">
        <v>18</v>
      </c>
      <c r="C2734" t="s">
        <v>14278</v>
      </c>
      <c r="D2734" t="s">
        <v>561</v>
      </c>
      <c r="E2734">
        <v>424031</v>
      </c>
      <c r="F2734" t="s">
        <v>1</v>
      </c>
      <c r="G2734" t="s">
        <v>2</v>
      </c>
      <c r="H2734" t="s">
        <v>10559</v>
      </c>
      <c r="I2734" t="s">
        <v>14276</v>
      </c>
      <c r="L2734" t="s">
        <v>4186</v>
      </c>
      <c r="M2734" t="s">
        <v>14277</v>
      </c>
      <c r="P2734" t="s">
        <v>14279</v>
      </c>
      <c r="Q2734" t="s">
        <v>4190</v>
      </c>
      <c r="Y2734" t="s">
        <v>14280</v>
      </c>
    </row>
    <row r="2735" spans="1:25" x14ac:dyDescent="0.25">
      <c r="A2735" t="str">
        <f>"1334723055"</f>
        <v>1334723055</v>
      </c>
      <c r="B2735" t="s">
        <v>978</v>
      </c>
      <c r="C2735" t="s">
        <v>14285</v>
      </c>
      <c r="D2735" t="s">
        <v>14281</v>
      </c>
      <c r="E2735">
        <v>424020</v>
      </c>
      <c r="F2735" t="s">
        <v>1</v>
      </c>
      <c r="G2735" t="s">
        <v>2</v>
      </c>
      <c r="H2735" t="s">
        <v>1837</v>
      </c>
      <c r="I2735" t="s">
        <v>14282</v>
      </c>
      <c r="J2735" t="s">
        <v>14283</v>
      </c>
      <c r="M2735" t="s">
        <v>14284</v>
      </c>
      <c r="P2735" t="s">
        <v>216</v>
      </c>
      <c r="Y2735" t="s">
        <v>14286</v>
      </c>
    </row>
    <row r="2736" spans="1:25" x14ac:dyDescent="0.25">
      <c r="A2736" t="str">
        <f>"1334757048"</f>
        <v>1334757048</v>
      </c>
      <c r="B2736" t="s">
        <v>978</v>
      </c>
      <c r="C2736" t="s">
        <v>7568</v>
      </c>
      <c r="D2736" t="s">
        <v>14287</v>
      </c>
      <c r="E2736">
        <v>424002</v>
      </c>
      <c r="F2736" t="s">
        <v>1</v>
      </c>
      <c r="G2736" t="s">
        <v>2</v>
      </c>
      <c r="H2736" t="s">
        <v>14288</v>
      </c>
      <c r="J2736" t="s">
        <v>14289</v>
      </c>
      <c r="M2736" t="s">
        <v>14290</v>
      </c>
      <c r="P2736" t="s">
        <v>14291</v>
      </c>
      <c r="Y2736" t="s">
        <v>14292</v>
      </c>
    </row>
    <row r="2737" spans="1:25" x14ac:dyDescent="0.25">
      <c r="A2737" t="str">
        <f>"1334809034"</f>
        <v>1334809034</v>
      </c>
      <c r="B2737" t="s">
        <v>18</v>
      </c>
      <c r="C2737" t="s">
        <v>143</v>
      </c>
      <c r="D2737" t="s">
        <v>137</v>
      </c>
      <c r="E2737">
        <v>424032</v>
      </c>
      <c r="F2737" t="s">
        <v>1</v>
      </c>
      <c r="G2737" t="s">
        <v>2</v>
      </c>
      <c r="H2737" t="s">
        <v>5699</v>
      </c>
      <c r="I2737" t="s">
        <v>14293</v>
      </c>
      <c r="L2737" t="s">
        <v>14294</v>
      </c>
      <c r="M2737" t="s">
        <v>14295</v>
      </c>
      <c r="P2737" t="s">
        <v>2731</v>
      </c>
      <c r="V2737" t="s">
        <v>14296</v>
      </c>
      <c r="Y2737" t="s">
        <v>14297</v>
      </c>
    </row>
    <row r="2738" spans="1:25" x14ac:dyDescent="0.25">
      <c r="A2738" t="str">
        <f>"1334813842"</f>
        <v>1334813842</v>
      </c>
      <c r="B2738" t="s">
        <v>1053</v>
      </c>
      <c r="C2738" t="s">
        <v>14298</v>
      </c>
      <c r="D2738" t="s">
        <v>14298</v>
      </c>
      <c r="E2738">
        <v>424030</v>
      </c>
      <c r="F2738" t="s">
        <v>1</v>
      </c>
      <c r="G2738" t="s">
        <v>2</v>
      </c>
      <c r="H2738" t="s">
        <v>14299</v>
      </c>
      <c r="J2738" t="s">
        <v>14300</v>
      </c>
      <c r="P2738" t="s">
        <v>330</v>
      </c>
      <c r="Y2738" t="s">
        <v>14301</v>
      </c>
    </row>
    <row r="2739" spans="1:25" x14ac:dyDescent="0.25">
      <c r="A2739" t="str">
        <f>"1334831011"</f>
        <v>1334831011</v>
      </c>
      <c r="B2739" t="s">
        <v>1493</v>
      </c>
      <c r="C2739" t="s">
        <v>3486</v>
      </c>
      <c r="D2739" t="s">
        <v>14302</v>
      </c>
      <c r="F2739" t="s">
        <v>1</v>
      </c>
      <c r="G2739" t="s">
        <v>2</v>
      </c>
      <c r="H2739" t="s">
        <v>757</v>
      </c>
      <c r="I2739" t="s">
        <v>14303</v>
      </c>
      <c r="P2739" t="s">
        <v>27</v>
      </c>
      <c r="Y2739" t="s">
        <v>760</v>
      </c>
    </row>
    <row r="2740" spans="1:25" x14ac:dyDescent="0.25">
      <c r="A2740" t="str">
        <f>"1334840197"</f>
        <v>1334840197</v>
      </c>
      <c r="B2740" t="s">
        <v>1182</v>
      </c>
      <c r="C2740" t="s">
        <v>14307</v>
      </c>
      <c r="D2740" t="s">
        <v>14304</v>
      </c>
      <c r="F2740" t="s">
        <v>1</v>
      </c>
      <c r="G2740" t="s">
        <v>2</v>
      </c>
      <c r="H2740" t="s">
        <v>14305</v>
      </c>
      <c r="I2740" t="s">
        <v>14306</v>
      </c>
      <c r="P2740" t="s">
        <v>2580</v>
      </c>
      <c r="Y2740" t="s">
        <v>14308</v>
      </c>
    </row>
    <row r="2741" spans="1:25" x14ac:dyDescent="0.25">
      <c r="A2741" t="str">
        <f>"1334954202"</f>
        <v>1334954202</v>
      </c>
      <c r="B2741" t="s">
        <v>243</v>
      </c>
      <c r="C2741" t="s">
        <v>2538</v>
      </c>
      <c r="D2741" t="s">
        <v>14309</v>
      </c>
      <c r="E2741">
        <v>424000</v>
      </c>
      <c r="F2741" t="s">
        <v>1</v>
      </c>
      <c r="G2741" t="s">
        <v>2</v>
      </c>
      <c r="H2741" t="s">
        <v>2547</v>
      </c>
      <c r="I2741" t="s">
        <v>14310</v>
      </c>
      <c r="P2741" t="s">
        <v>152</v>
      </c>
      <c r="Y2741" t="s">
        <v>14311</v>
      </c>
    </row>
    <row r="2742" spans="1:25" x14ac:dyDescent="0.25">
      <c r="A2742" t="str">
        <f>"1334958374"</f>
        <v>1334958374</v>
      </c>
      <c r="B2742" t="s">
        <v>1544</v>
      </c>
      <c r="C2742" t="s">
        <v>14313</v>
      </c>
      <c r="D2742" t="s">
        <v>7104</v>
      </c>
      <c r="E2742">
        <v>424000</v>
      </c>
      <c r="F2742" t="s">
        <v>1</v>
      </c>
      <c r="G2742" t="s">
        <v>2</v>
      </c>
      <c r="H2742" t="s">
        <v>128</v>
      </c>
      <c r="I2742" t="s">
        <v>14312</v>
      </c>
      <c r="P2742" t="s">
        <v>14314</v>
      </c>
      <c r="Q2742" t="s">
        <v>14315</v>
      </c>
      <c r="V2742" t="s">
        <v>14316</v>
      </c>
      <c r="Y2742" t="s">
        <v>14317</v>
      </c>
    </row>
    <row r="2743" spans="1:25" x14ac:dyDescent="0.25">
      <c r="A2743" t="str">
        <f>"1334970926"</f>
        <v>1334970926</v>
      </c>
      <c r="B2743" t="s">
        <v>430</v>
      </c>
      <c r="C2743" t="s">
        <v>10138</v>
      </c>
      <c r="D2743" t="s">
        <v>10135</v>
      </c>
      <c r="E2743">
        <v>424006</v>
      </c>
      <c r="F2743" t="s">
        <v>1</v>
      </c>
      <c r="G2743" t="s">
        <v>2</v>
      </c>
      <c r="H2743" t="s">
        <v>1890</v>
      </c>
      <c r="I2743" t="s">
        <v>14318</v>
      </c>
      <c r="J2743" t="s">
        <v>10137</v>
      </c>
      <c r="P2743" t="s">
        <v>330</v>
      </c>
      <c r="Y2743" t="s">
        <v>1893</v>
      </c>
    </row>
    <row r="2744" spans="1:25" x14ac:dyDescent="0.25">
      <c r="A2744" t="str">
        <f>"1335055155"</f>
        <v>1335055155</v>
      </c>
      <c r="B2744" t="s">
        <v>32</v>
      </c>
      <c r="C2744" t="s">
        <v>182</v>
      </c>
      <c r="D2744" t="s">
        <v>14319</v>
      </c>
      <c r="E2744">
        <v>424030</v>
      </c>
      <c r="F2744" t="s">
        <v>1</v>
      </c>
      <c r="G2744" t="s">
        <v>2</v>
      </c>
      <c r="H2744" t="s">
        <v>440</v>
      </c>
      <c r="I2744" t="s">
        <v>14320</v>
      </c>
      <c r="J2744" t="s">
        <v>14321</v>
      </c>
      <c r="P2744" t="s">
        <v>14322</v>
      </c>
      <c r="Y2744" t="s">
        <v>14323</v>
      </c>
    </row>
    <row r="2745" spans="1:25" x14ac:dyDescent="0.25">
      <c r="A2745" t="str">
        <f>"1335098025"</f>
        <v>1335098025</v>
      </c>
      <c r="B2745" t="s">
        <v>574</v>
      </c>
      <c r="C2745" t="s">
        <v>14328</v>
      </c>
      <c r="D2745" t="s">
        <v>3388</v>
      </c>
      <c r="E2745">
        <v>424003</v>
      </c>
      <c r="F2745" t="s">
        <v>1</v>
      </c>
      <c r="G2745" t="s">
        <v>2</v>
      </c>
      <c r="H2745" t="s">
        <v>14324</v>
      </c>
      <c r="I2745" t="s">
        <v>14325</v>
      </c>
      <c r="L2745" t="s">
        <v>14326</v>
      </c>
      <c r="M2745" t="s">
        <v>14327</v>
      </c>
      <c r="P2745" t="s">
        <v>280</v>
      </c>
      <c r="Q2745" t="s">
        <v>14329</v>
      </c>
      <c r="T2745" t="s">
        <v>14330</v>
      </c>
      <c r="Y2745" t="s">
        <v>14331</v>
      </c>
    </row>
    <row r="2746" spans="1:25" x14ac:dyDescent="0.25">
      <c r="A2746" t="str">
        <f>"1335108738"</f>
        <v>1335108738</v>
      </c>
      <c r="B2746" t="s">
        <v>2178</v>
      </c>
      <c r="C2746" t="s">
        <v>2179</v>
      </c>
      <c r="D2746" t="s">
        <v>14332</v>
      </c>
      <c r="E2746">
        <v>424002</v>
      </c>
      <c r="F2746" t="s">
        <v>1</v>
      </c>
      <c r="G2746" t="s">
        <v>2</v>
      </c>
      <c r="H2746" t="s">
        <v>14333</v>
      </c>
      <c r="I2746" t="s">
        <v>14334</v>
      </c>
      <c r="L2746" t="s">
        <v>10327</v>
      </c>
      <c r="M2746" t="s">
        <v>10328</v>
      </c>
      <c r="P2746" t="s">
        <v>9741</v>
      </c>
      <c r="Y2746" t="s">
        <v>14335</v>
      </c>
    </row>
    <row r="2747" spans="1:25" x14ac:dyDescent="0.25">
      <c r="A2747" t="str">
        <f>"1335115955"</f>
        <v>1335115955</v>
      </c>
      <c r="B2747" t="s">
        <v>1343</v>
      </c>
      <c r="C2747" t="s">
        <v>5984</v>
      </c>
      <c r="D2747" t="s">
        <v>14336</v>
      </c>
      <c r="E2747">
        <v>424019</v>
      </c>
      <c r="F2747" t="s">
        <v>1</v>
      </c>
      <c r="G2747" t="s">
        <v>2</v>
      </c>
      <c r="H2747" t="s">
        <v>7785</v>
      </c>
      <c r="I2747" t="s">
        <v>14337</v>
      </c>
      <c r="J2747" t="s">
        <v>14338</v>
      </c>
      <c r="L2747" t="s">
        <v>14339</v>
      </c>
      <c r="M2747" t="s">
        <v>14340</v>
      </c>
      <c r="P2747" t="s">
        <v>98</v>
      </c>
      <c r="T2747" t="s">
        <v>14341</v>
      </c>
      <c r="Y2747" t="s">
        <v>14342</v>
      </c>
    </row>
    <row r="2748" spans="1:25" x14ac:dyDescent="0.25">
      <c r="A2748" t="str">
        <f>"1335151794"</f>
        <v>1335151794</v>
      </c>
      <c r="B2748" t="s">
        <v>96</v>
      </c>
      <c r="C2748" t="s">
        <v>8808</v>
      </c>
      <c r="D2748" t="s">
        <v>14343</v>
      </c>
      <c r="E2748">
        <v>424918</v>
      </c>
      <c r="F2748" t="s">
        <v>1</v>
      </c>
      <c r="G2748" t="s">
        <v>2</v>
      </c>
      <c r="H2748" t="s">
        <v>629</v>
      </c>
      <c r="J2748" t="s">
        <v>14344</v>
      </c>
      <c r="P2748" t="s">
        <v>630</v>
      </c>
      <c r="Y2748" t="s">
        <v>14345</v>
      </c>
    </row>
    <row r="2749" spans="1:25" x14ac:dyDescent="0.25">
      <c r="A2749" t="str">
        <f>"1335161048"</f>
        <v>1335161048</v>
      </c>
      <c r="B2749" t="s">
        <v>151</v>
      </c>
      <c r="C2749" t="s">
        <v>1034</v>
      </c>
      <c r="D2749" t="s">
        <v>14346</v>
      </c>
      <c r="E2749">
        <v>424002</v>
      </c>
      <c r="F2749" t="s">
        <v>1</v>
      </c>
      <c r="G2749" t="s">
        <v>2</v>
      </c>
      <c r="H2749" t="s">
        <v>6656</v>
      </c>
      <c r="I2749" t="s">
        <v>14347</v>
      </c>
      <c r="J2749" t="s">
        <v>14348</v>
      </c>
      <c r="P2749" t="s">
        <v>27</v>
      </c>
      <c r="Y2749" t="s">
        <v>14349</v>
      </c>
    </row>
    <row r="2750" spans="1:25" x14ac:dyDescent="0.25">
      <c r="A2750" t="str">
        <f>"1335163424"</f>
        <v>1335163424</v>
      </c>
      <c r="B2750" t="s">
        <v>397</v>
      </c>
      <c r="C2750" t="s">
        <v>11502</v>
      </c>
      <c r="D2750" t="s">
        <v>14350</v>
      </c>
      <c r="E2750">
        <v>424004</v>
      </c>
      <c r="F2750" t="s">
        <v>1</v>
      </c>
      <c r="G2750" t="s">
        <v>2</v>
      </c>
      <c r="H2750" t="s">
        <v>14351</v>
      </c>
      <c r="I2750" t="s">
        <v>14352</v>
      </c>
      <c r="J2750" t="s">
        <v>14353</v>
      </c>
      <c r="L2750" t="s">
        <v>14354</v>
      </c>
      <c r="M2750" t="s">
        <v>14355</v>
      </c>
      <c r="P2750" t="s">
        <v>152</v>
      </c>
      <c r="Y2750" t="s">
        <v>14356</v>
      </c>
    </row>
    <row r="2751" spans="1:25" x14ac:dyDescent="0.25">
      <c r="A2751" t="str">
        <f>"1335242122"</f>
        <v>1335242122</v>
      </c>
      <c r="B2751" t="s">
        <v>110</v>
      </c>
      <c r="C2751" t="s">
        <v>5755</v>
      </c>
      <c r="D2751" t="s">
        <v>14357</v>
      </c>
      <c r="E2751">
        <v>424031</v>
      </c>
      <c r="F2751" t="s">
        <v>1</v>
      </c>
      <c r="G2751" t="s">
        <v>2</v>
      </c>
      <c r="H2751" t="s">
        <v>8059</v>
      </c>
      <c r="I2751" t="s">
        <v>14358</v>
      </c>
      <c r="P2751" t="s">
        <v>584</v>
      </c>
      <c r="Y2751" t="s">
        <v>8061</v>
      </c>
    </row>
    <row r="2752" spans="1:25" x14ac:dyDescent="0.25">
      <c r="A2752" t="str">
        <f>"1335423314"</f>
        <v>1335423314</v>
      </c>
      <c r="B2752" t="s">
        <v>3008</v>
      </c>
      <c r="C2752" t="s">
        <v>14362</v>
      </c>
      <c r="D2752" t="s">
        <v>14359</v>
      </c>
      <c r="E2752">
        <v>424033</v>
      </c>
      <c r="F2752" t="s">
        <v>1</v>
      </c>
      <c r="G2752" t="s">
        <v>2</v>
      </c>
      <c r="H2752" t="s">
        <v>2342</v>
      </c>
      <c r="I2752" t="s">
        <v>14360</v>
      </c>
      <c r="J2752" t="s">
        <v>14361</v>
      </c>
      <c r="P2752" t="s">
        <v>330</v>
      </c>
      <c r="Y2752" t="s">
        <v>13169</v>
      </c>
    </row>
    <row r="2753" spans="1:25" x14ac:dyDescent="0.25">
      <c r="A2753" t="str">
        <f>"1335613968"</f>
        <v>1335613968</v>
      </c>
      <c r="B2753" t="s">
        <v>1729</v>
      </c>
      <c r="C2753" t="s">
        <v>2992</v>
      </c>
      <c r="D2753" t="s">
        <v>14363</v>
      </c>
      <c r="E2753">
        <v>424006</v>
      </c>
      <c r="F2753" t="s">
        <v>1</v>
      </c>
      <c r="G2753" t="s">
        <v>2</v>
      </c>
      <c r="H2753" t="s">
        <v>2525</v>
      </c>
      <c r="J2753" t="s">
        <v>14364</v>
      </c>
      <c r="L2753" t="s">
        <v>14365</v>
      </c>
      <c r="M2753" t="s">
        <v>14366</v>
      </c>
      <c r="P2753" t="s">
        <v>27</v>
      </c>
      <c r="Q2753" t="s">
        <v>14367</v>
      </c>
      <c r="Y2753" t="s">
        <v>2527</v>
      </c>
    </row>
    <row r="2754" spans="1:25" x14ac:dyDescent="0.25">
      <c r="A2754" t="str">
        <f>"1335664130"</f>
        <v>1335664130</v>
      </c>
      <c r="B2754" t="s">
        <v>160</v>
      </c>
      <c r="C2754" t="s">
        <v>9976</v>
      </c>
      <c r="D2754" t="s">
        <v>14368</v>
      </c>
      <c r="E2754">
        <v>424007</v>
      </c>
      <c r="F2754" t="s">
        <v>1</v>
      </c>
      <c r="G2754" t="s">
        <v>2</v>
      </c>
      <c r="H2754" t="s">
        <v>14369</v>
      </c>
      <c r="I2754" t="s">
        <v>14370</v>
      </c>
      <c r="P2754" t="s">
        <v>20</v>
      </c>
      <c r="Y2754" t="s">
        <v>14371</v>
      </c>
    </row>
    <row r="2755" spans="1:25" x14ac:dyDescent="0.25">
      <c r="A2755" t="str">
        <f>"1335677638"</f>
        <v>1335677638</v>
      </c>
      <c r="B2755" t="s">
        <v>123</v>
      </c>
      <c r="C2755" t="s">
        <v>424</v>
      </c>
      <c r="D2755" t="s">
        <v>14372</v>
      </c>
      <c r="F2755" t="s">
        <v>1</v>
      </c>
      <c r="G2755" t="s">
        <v>2</v>
      </c>
      <c r="H2755" t="s">
        <v>14373</v>
      </c>
      <c r="I2755" t="s">
        <v>14374</v>
      </c>
      <c r="L2755" t="s">
        <v>14375</v>
      </c>
      <c r="M2755" t="s">
        <v>14376</v>
      </c>
      <c r="P2755" t="s">
        <v>425</v>
      </c>
      <c r="Y2755" t="s">
        <v>14377</v>
      </c>
    </row>
    <row r="2756" spans="1:25" x14ac:dyDescent="0.25">
      <c r="A2756" t="str">
        <f>"1335687389"</f>
        <v>1335687389</v>
      </c>
      <c r="B2756" t="s">
        <v>2818</v>
      </c>
      <c r="C2756" t="s">
        <v>14382</v>
      </c>
      <c r="D2756" t="s">
        <v>14378</v>
      </c>
      <c r="E2756">
        <v>424007</v>
      </c>
      <c r="F2756" t="s">
        <v>1</v>
      </c>
      <c r="G2756" t="s">
        <v>2</v>
      </c>
      <c r="H2756" t="s">
        <v>14379</v>
      </c>
      <c r="I2756" t="s">
        <v>14380</v>
      </c>
      <c r="K2756" t="s">
        <v>14381</v>
      </c>
      <c r="P2756" t="s">
        <v>20</v>
      </c>
      <c r="Y2756" t="s">
        <v>14383</v>
      </c>
    </row>
    <row r="2757" spans="1:25" x14ac:dyDescent="0.25">
      <c r="A2757" t="str">
        <f>"1335723578"</f>
        <v>1335723578</v>
      </c>
      <c r="B2757" t="s">
        <v>738</v>
      </c>
      <c r="C2757" t="s">
        <v>14390</v>
      </c>
      <c r="D2757" t="s">
        <v>14384</v>
      </c>
      <c r="E2757">
        <v>424019</v>
      </c>
      <c r="F2757" t="s">
        <v>1</v>
      </c>
      <c r="G2757" t="s">
        <v>2</v>
      </c>
      <c r="H2757" t="s">
        <v>14385</v>
      </c>
      <c r="I2757" t="s">
        <v>14386</v>
      </c>
      <c r="J2757" t="s">
        <v>14387</v>
      </c>
      <c r="L2757" t="s">
        <v>14388</v>
      </c>
      <c r="M2757" t="s">
        <v>14389</v>
      </c>
      <c r="P2757" t="s">
        <v>9820</v>
      </c>
      <c r="Y2757" t="s">
        <v>14391</v>
      </c>
    </row>
    <row r="2758" spans="1:25" x14ac:dyDescent="0.25">
      <c r="A2758" t="str">
        <f>"1335796497"</f>
        <v>1335796497</v>
      </c>
      <c r="B2758" t="s">
        <v>553</v>
      </c>
      <c r="C2758" t="s">
        <v>554</v>
      </c>
      <c r="D2758" t="s">
        <v>14392</v>
      </c>
      <c r="E2758">
        <v>424913</v>
      </c>
      <c r="F2758" t="s">
        <v>1</v>
      </c>
      <c r="G2758" t="s">
        <v>2</v>
      </c>
      <c r="H2758" t="s">
        <v>14393</v>
      </c>
      <c r="P2758" t="s">
        <v>14394</v>
      </c>
      <c r="Y2758" t="s">
        <v>14395</v>
      </c>
    </row>
    <row r="2759" spans="1:25" x14ac:dyDescent="0.25">
      <c r="A2759" t="str">
        <f>"1335914587"</f>
        <v>1335914587</v>
      </c>
      <c r="B2759" t="s">
        <v>519</v>
      </c>
      <c r="C2759" t="s">
        <v>14399</v>
      </c>
      <c r="D2759" t="s">
        <v>14396</v>
      </c>
      <c r="E2759">
        <v>424002</v>
      </c>
      <c r="F2759" t="s">
        <v>1</v>
      </c>
      <c r="G2759" t="s">
        <v>2</v>
      </c>
      <c r="H2759" t="s">
        <v>744</v>
      </c>
      <c r="I2759" t="s">
        <v>14397</v>
      </c>
      <c r="J2759" t="s">
        <v>14398</v>
      </c>
      <c r="P2759" t="s">
        <v>1035</v>
      </c>
      <c r="Y2759" t="s">
        <v>14400</v>
      </c>
    </row>
    <row r="2760" spans="1:25" x14ac:dyDescent="0.25">
      <c r="A2760" t="str">
        <f>"1335951619"</f>
        <v>1335951619</v>
      </c>
      <c r="B2760" t="s">
        <v>96</v>
      </c>
      <c r="C2760" t="s">
        <v>893</v>
      </c>
      <c r="D2760" t="s">
        <v>14401</v>
      </c>
      <c r="E2760">
        <v>424918</v>
      </c>
      <c r="F2760" t="s">
        <v>1</v>
      </c>
      <c r="G2760" t="s">
        <v>2</v>
      </c>
      <c r="H2760" t="s">
        <v>629</v>
      </c>
      <c r="J2760" t="s">
        <v>14402</v>
      </c>
      <c r="P2760" t="s">
        <v>630</v>
      </c>
      <c r="Y2760" t="s">
        <v>14403</v>
      </c>
    </row>
    <row r="2761" spans="1:25" x14ac:dyDescent="0.25">
      <c r="A2761" t="str">
        <f>"1336192502"</f>
        <v>1336192502</v>
      </c>
      <c r="B2761" t="s">
        <v>110</v>
      </c>
      <c r="C2761" t="s">
        <v>111</v>
      </c>
      <c r="D2761" t="s">
        <v>4989</v>
      </c>
      <c r="E2761">
        <v>424007</v>
      </c>
      <c r="F2761" t="s">
        <v>1</v>
      </c>
      <c r="G2761" t="s">
        <v>2</v>
      </c>
      <c r="H2761" t="s">
        <v>5178</v>
      </c>
      <c r="I2761" t="s">
        <v>14404</v>
      </c>
      <c r="P2761" t="s">
        <v>2731</v>
      </c>
      <c r="Y2761" t="s">
        <v>14405</v>
      </c>
    </row>
    <row r="2762" spans="1:25" x14ac:dyDescent="0.25">
      <c r="A2762" t="str">
        <f>"1336287269"</f>
        <v>1336287269</v>
      </c>
      <c r="B2762" t="s">
        <v>110</v>
      </c>
      <c r="C2762" t="s">
        <v>5755</v>
      </c>
      <c r="D2762" t="s">
        <v>14406</v>
      </c>
      <c r="F2762" t="s">
        <v>1</v>
      </c>
      <c r="G2762" t="s">
        <v>2</v>
      </c>
      <c r="H2762" t="s">
        <v>8553</v>
      </c>
      <c r="I2762" t="s">
        <v>14407</v>
      </c>
      <c r="L2762" t="s">
        <v>14408</v>
      </c>
      <c r="M2762" t="s">
        <v>14409</v>
      </c>
      <c r="P2762" t="s">
        <v>280</v>
      </c>
      <c r="Q2762" t="s">
        <v>14410</v>
      </c>
      <c r="Y2762" t="s">
        <v>14411</v>
      </c>
    </row>
    <row r="2763" spans="1:25" x14ac:dyDescent="0.25">
      <c r="A2763" t="str">
        <f>"1336323899"</f>
        <v>1336323899</v>
      </c>
      <c r="B2763" t="s">
        <v>462</v>
      </c>
      <c r="C2763" t="s">
        <v>14415</v>
      </c>
      <c r="D2763" t="s">
        <v>14412</v>
      </c>
      <c r="E2763">
        <v>424032</v>
      </c>
      <c r="F2763" t="s">
        <v>1</v>
      </c>
      <c r="G2763" t="s">
        <v>2</v>
      </c>
      <c r="H2763" t="s">
        <v>14413</v>
      </c>
      <c r="J2763" t="s">
        <v>14414</v>
      </c>
      <c r="L2763" t="s">
        <v>4110</v>
      </c>
      <c r="M2763" t="s">
        <v>13940</v>
      </c>
      <c r="P2763" t="s">
        <v>14416</v>
      </c>
      <c r="Q2763" t="s">
        <v>13943</v>
      </c>
      <c r="Y2763" t="s">
        <v>14417</v>
      </c>
    </row>
    <row r="2764" spans="1:25" x14ac:dyDescent="0.25">
      <c r="A2764" t="str">
        <f>"1336360499"</f>
        <v>1336360499</v>
      </c>
      <c r="B2764" t="s">
        <v>790</v>
      </c>
      <c r="C2764" t="s">
        <v>14420</v>
      </c>
      <c r="D2764" t="s">
        <v>14418</v>
      </c>
      <c r="E2764">
        <v>424918</v>
      </c>
      <c r="F2764" t="s">
        <v>1</v>
      </c>
      <c r="G2764" t="s">
        <v>2</v>
      </c>
      <c r="H2764" t="s">
        <v>629</v>
      </c>
      <c r="I2764" t="s">
        <v>14419</v>
      </c>
      <c r="P2764" t="s">
        <v>1760</v>
      </c>
      <c r="Q2764" t="s">
        <v>14421</v>
      </c>
      <c r="Y2764" t="s">
        <v>14422</v>
      </c>
    </row>
    <row r="2765" spans="1:25" x14ac:dyDescent="0.25">
      <c r="A2765" t="str">
        <f>"1336616470"</f>
        <v>1336616470</v>
      </c>
      <c r="B2765" t="s">
        <v>456</v>
      </c>
      <c r="C2765" t="s">
        <v>4178</v>
      </c>
      <c r="D2765" t="s">
        <v>14423</v>
      </c>
      <c r="E2765">
        <v>424040</v>
      </c>
      <c r="F2765" t="s">
        <v>1</v>
      </c>
      <c r="G2765" t="s">
        <v>2</v>
      </c>
      <c r="H2765" t="s">
        <v>14424</v>
      </c>
      <c r="J2765" t="s">
        <v>14425</v>
      </c>
      <c r="L2765" t="s">
        <v>14426</v>
      </c>
      <c r="M2765" t="s">
        <v>14427</v>
      </c>
      <c r="P2765" t="s">
        <v>27</v>
      </c>
      <c r="Y2765" t="s">
        <v>14428</v>
      </c>
    </row>
    <row r="2766" spans="1:25" x14ac:dyDescent="0.25">
      <c r="A2766" t="str">
        <f>"1336621800"</f>
        <v>1336621800</v>
      </c>
      <c r="B2766" t="s">
        <v>703</v>
      </c>
      <c r="C2766" t="s">
        <v>7344</v>
      </c>
      <c r="D2766" t="s">
        <v>14429</v>
      </c>
      <c r="E2766">
        <v>424000</v>
      </c>
      <c r="F2766" t="s">
        <v>1</v>
      </c>
      <c r="G2766" t="s">
        <v>2</v>
      </c>
      <c r="H2766" t="s">
        <v>1746</v>
      </c>
      <c r="J2766" t="s">
        <v>14430</v>
      </c>
      <c r="P2766" t="s">
        <v>280</v>
      </c>
      <c r="Y2766" t="s">
        <v>14431</v>
      </c>
    </row>
    <row r="2767" spans="1:25" x14ac:dyDescent="0.25">
      <c r="A2767" t="str">
        <f>"1336665024"</f>
        <v>1336665024</v>
      </c>
      <c r="B2767" t="s">
        <v>352</v>
      </c>
      <c r="C2767" t="s">
        <v>353</v>
      </c>
      <c r="D2767" t="s">
        <v>14432</v>
      </c>
      <c r="E2767">
        <v>424033</v>
      </c>
      <c r="F2767" t="s">
        <v>1</v>
      </c>
      <c r="G2767" t="s">
        <v>2</v>
      </c>
      <c r="H2767" t="s">
        <v>4300</v>
      </c>
      <c r="I2767" t="s">
        <v>14433</v>
      </c>
      <c r="P2767" t="s">
        <v>2050</v>
      </c>
      <c r="Y2767" t="s">
        <v>10046</v>
      </c>
    </row>
    <row r="2768" spans="1:25" x14ac:dyDescent="0.25">
      <c r="A2768" t="str">
        <f>"1336671648"</f>
        <v>1336671648</v>
      </c>
      <c r="B2768" t="s">
        <v>160</v>
      </c>
      <c r="C2768" t="s">
        <v>9976</v>
      </c>
      <c r="D2768" t="s">
        <v>14434</v>
      </c>
      <c r="E2768">
        <v>424007</v>
      </c>
      <c r="F2768" t="s">
        <v>1</v>
      </c>
      <c r="G2768" t="s">
        <v>2</v>
      </c>
      <c r="H2768" t="s">
        <v>14435</v>
      </c>
      <c r="J2768" t="s">
        <v>14436</v>
      </c>
      <c r="P2768" t="s">
        <v>280</v>
      </c>
      <c r="Y2768" t="s">
        <v>14437</v>
      </c>
    </row>
    <row r="2769" spans="1:25" x14ac:dyDescent="0.25">
      <c r="A2769" t="str">
        <f>"1336763964"</f>
        <v>1336763964</v>
      </c>
      <c r="B2769" t="s">
        <v>32</v>
      </c>
      <c r="C2769" t="s">
        <v>182</v>
      </c>
      <c r="D2769" t="s">
        <v>14438</v>
      </c>
      <c r="E2769">
        <v>424031</v>
      </c>
      <c r="F2769" t="s">
        <v>1</v>
      </c>
      <c r="G2769" t="s">
        <v>2</v>
      </c>
      <c r="H2769" t="s">
        <v>2353</v>
      </c>
      <c r="I2769" t="s">
        <v>14439</v>
      </c>
      <c r="L2769" t="s">
        <v>14440</v>
      </c>
      <c r="P2769" t="s">
        <v>14441</v>
      </c>
      <c r="Y2769" t="s">
        <v>14442</v>
      </c>
    </row>
    <row r="2770" spans="1:25" x14ac:dyDescent="0.25">
      <c r="A2770" t="str">
        <f>"1336767471"</f>
        <v>1336767471</v>
      </c>
      <c r="B2770" t="s">
        <v>25</v>
      </c>
      <c r="C2770" t="s">
        <v>11919</v>
      </c>
      <c r="D2770" t="s">
        <v>14443</v>
      </c>
      <c r="E2770">
        <v>424001</v>
      </c>
      <c r="F2770" t="s">
        <v>1</v>
      </c>
      <c r="G2770" t="s">
        <v>2</v>
      </c>
      <c r="H2770" t="s">
        <v>919</v>
      </c>
      <c r="J2770" t="s">
        <v>14444</v>
      </c>
      <c r="P2770" t="s">
        <v>330</v>
      </c>
      <c r="Y2770" t="s">
        <v>1750</v>
      </c>
    </row>
    <row r="2771" spans="1:25" x14ac:dyDescent="0.25">
      <c r="A2771" t="str">
        <f>"1336816525"</f>
        <v>1336816525</v>
      </c>
      <c r="B2771" t="s">
        <v>654</v>
      </c>
      <c r="C2771" t="s">
        <v>14448</v>
      </c>
      <c r="D2771" t="s">
        <v>14445</v>
      </c>
      <c r="E2771">
        <v>424002</v>
      </c>
      <c r="F2771" t="s">
        <v>1</v>
      </c>
      <c r="G2771" t="s">
        <v>2</v>
      </c>
      <c r="H2771" t="s">
        <v>3877</v>
      </c>
      <c r="J2771" t="s">
        <v>14446</v>
      </c>
      <c r="L2771" t="s">
        <v>14447</v>
      </c>
      <c r="P2771" t="s">
        <v>7390</v>
      </c>
      <c r="Q2771" t="s">
        <v>14449</v>
      </c>
      <c r="Y2771" t="s">
        <v>14450</v>
      </c>
    </row>
    <row r="2772" spans="1:25" x14ac:dyDescent="0.25">
      <c r="A2772" t="str">
        <f>"1336824052"</f>
        <v>1336824052</v>
      </c>
      <c r="B2772" t="s">
        <v>352</v>
      </c>
      <c r="C2772" t="s">
        <v>8051</v>
      </c>
      <c r="D2772" t="s">
        <v>14451</v>
      </c>
      <c r="E2772">
        <v>424039</v>
      </c>
      <c r="F2772" t="s">
        <v>1</v>
      </c>
      <c r="G2772" t="s">
        <v>2</v>
      </c>
      <c r="H2772" t="s">
        <v>14452</v>
      </c>
      <c r="J2772" t="s">
        <v>14453</v>
      </c>
      <c r="Y2772" t="s">
        <v>14454</v>
      </c>
    </row>
    <row r="2773" spans="1:25" x14ac:dyDescent="0.25">
      <c r="A2773" t="str">
        <f>"1336832863"</f>
        <v>1336832863</v>
      </c>
      <c r="B2773" t="s">
        <v>640</v>
      </c>
      <c r="C2773" t="s">
        <v>2857</v>
      </c>
      <c r="D2773" t="s">
        <v>14455</v>
      </c>
      <c r="E2773">
        <v>424000</v>
      </c>
      <c r="F2773" t="s">
        <v>1</v>
      </c>
      <c r="G2773" t="s">
        <v>2</v>
      </c>
      <c r="H2773" t="s">
        <v>211</v>
      </c>
      <c r="I2773" t="s">
        <v>14456</v>
      </c>
      <c r="P2773" t="s">
        <v>216</v>
      </c>
      <c r="Y2773" t="s">
        <v>4742</v>
      </c>
    </row>
    <row r="2774" spans="1:25" x14ac:dyDescent="0.25">
      <c r="A2774" t="str">
        <f>"1336906602"</f>
        <v>1336906602</v>
      </c>
      <c r="B2774" t="s">
        <v>160</v>
      </c>
      <c r="C2774" t="s">
        <v>14462</v>
      </c>
      <c r="D2774" t="s">
        <v>14457</v>
      </c>
      <c r="E2774">
        <v>424003</v>
      </c>
      <c r="F2774" t="s">
        <v>1</v>
      </c>
      <c r="G2774" t="s">
        <v>2</v>
      </c>
      <c r="H2774" t="s">
        <v>511</v>
      </c>
      <c r="I2774" t="s">
        <v>14458</v>
      </c>
      <c r="K2774" t="s">
        <v>14459</v>
      </c>
      <c r="L2774" t="s">
        <v>14460</v>
      </c>
      <c r="M2774" t="s">
        <v>14461</v>
      </c>
      <c r="P2774" t="s">
        <v>20</v>
      </c>
      <c r="Y2774" t="s">
        <v>516</v>
      </c>
    </row>
    <row r="2775" spans="1:25" x14ac:dyDescent="0.25">
      <c r="A2775" t="str">
        <f>"1336976234"</f>
        <v>1336976234</v>
      </c>
      <c r="B2775" t="s">
        <v>1230</v>
      </c>
      <c r="C2775" t="s">
        <v>2526</v>
      </c>
      <c r="D2775" t="s">
        <v>14463</v>
      </c>
      <c r="E2775">
        <v>424033</v>
      </c>
      <c r="F2775" t="s">
        <v>1</v>
      </c>
      <c r="G2775" t="s">
        <v>2</v>
      </c>
      <c r="H2775" t="s">
        <v>5738</v>
      </c>
      <c r="I2775" t="s">
        <v>14464</v>
      </c>
      <c r="Y2775" t="s">
        <v>8649</v>
      </c>
    </row>
    <row r="2776" spans="1:25" x14ac:dyDescent="0.25">
      <c r="A2776" t="str">
        <f>"1337131800"</f>
        <v>1337131800</v>
      </c>
      <c r="B2776" t="s">
        <v>538</v>
      </c>
      <c r="C2776" t="s">
        <v>539</v>
      </c>
      <c r="D2776" t="s">
        <v>14465</v>
      </c>
      <c r="E2776">
        <v>424031</v>
      </c>
      <c r="F2776" t="s">
        <v>1</v>
      </c>
      <c r="G2776" t="s">
        <v>2</v>
      </c>
      <c r="H2776" t="s">
        <v>14466</v>
      </c>
      <c r="I2776" t="s">
        <v>14467</v>
      </c>
      <c r="L2776" t="s">
        <v>11386</v>
      </c>
      <c r="M2776" t="s">
        <v>11387</v>
      </c>
      <c r="P2776" t="s">
        <v>14468</v>
      </c>
      <c r="Q2776" t="s">
        <v>14469</v>
      </c>
      <c r="Y2776" t="s">
        <v>14470</v>
      </c>
    </row>
    <row r="2777" spans="1:25" x14ac:dyDescent="0.25">
      <c r="A2777" t="str">
        <f>"1337140715"</f>
        <v>1337140715</v>
      </c>
      <c r="B2777" t="s">
        <v>96</v>
      </c>
      <c r="C2777" t="s">
        <v>695</v>
      </c>
      <c r="D2777" t="s">
        <v>8943</v>
      </c>
      <c r="E2777">
        <v>424038</v>
      </c>
      <c r="F2777" t="s">
        <v>1</v>
      </c>
      <c r="G2777" t="s">
        <v>2</v>
      </c>
      <c r="H2777" t="s">
        <v>14471</v>
      </c>
      <c r="I2777" t="s">
        <v>14472</v>
      </c>
      <c r="P2777" t="s">
        <v>2580</v>
      </c>
      <c r="Y2777" t="s">
        <v>14473</v>
      </c>
    </row>
    <row r="2778" spans="1:25" x14ac:dyDescent="0.25">
      <c r="A2778" t="str">
        <f>"1337436638"</f>
        <v>1337436638</v>
      </c>
      <c r="B2778" t="s">
        <v>32</v>
      </c>
      <c r="C2778" t="s">
        <v>777</v>
      </c>
      <c r="D2778" t="s">
        <v>5858</v>
      </c>
      <c r="E2778">
        <v>424020</v>
      </c>
      <c r="F2778" t="s">
        <v>1</v>
      </c>
      <c r="G2778" t="s">
        <v>2</v>
      </c>
      <c r="H2778" t="s">
        <v>14474</v>
      </c>
      <c r="J2778" t="s">
        <v>14475</v>
      </c>
      <c r="P2778" t="s">
        <v>8655</v>
      </c>
      <c r="Y2778" t="s">
        <v>14476</v>
      </c>
    </row>
    <row r="2779" spans="1:25" x14ac:dyDescent="0.25">
      <c r="A2779" t="str">
        <f>"1337441148"</f>
        <v>1337441148</v>
      </c>
      <c r="B2779" t="s">
        <v>18</v>
      </c>
      <c r="C2779" t="s">
        <v>14479</v>
      </c>
      <c r="D2779" t="s">
        <v>14477</v>
      </c>
      <c r="E2779">
        <v>424007</v>
      </c>
      <c r="F2779" t="s">
        <v>1</v>
      </c>
      <c r="G2779" t="s">
        <v>2</v>
      </c>
      <c r="H2779" t="s">
        <v>5178</v>
      </c>
      <c r="I2779" t="s">
        <v>14478</v>
      </c>
      <c r="P2779" t="s">
        <v>2731</v>
      </c>
      <c r="Y2779" t="s">
        <v>14480</v>
      </c>
    </row>
    <row r="2780" spans="1:25" x14ac:dyDescent="0.25">
      <c r="A2780" t="str">
        <f>"1337553038"</f>
        <v>1337553038</v>
      </c>
      <c r="B2780" t="s">
        <v>1352</v>
      </c>
      <c r="C2780" t="s">
        <v>2093</v>
      </c>
      <c r="D2780" t="s">
        <v>14481</v>
      </c>
      <c r="E2780">
        <v>424031</v>
      </c>
      <c r="F2780" t="s">
        <v>1</v>
      </c>
      <c r="G2780" t="s">
        <v>2</v>
      </c>
      <c r="H2780" t="s">
        <v>14482</v>
      </c>
      <c r="J2780" t="s">
        <v>14483</v>
      </c>
      <c r="P2780" t="s">
        <v>312</v>
      </c>
      <c r="Y2780" t="s">
        <v>14484</v>
      </c>
    </row>
    <row r="2781" spans="1:25" x14ac:dyDescent="0.25">
      <c r="A2781" t="str">
        <f>"1337596250"</f>
        <v>1337596250</v>
      </c>
      <c r="B2781" t="s">
        <v>397</v>
      </c>
      <c r="C2781" t="s">
        <v>5148</v>
      </c>
      <c r="D2781" t="s">
        <v>14485</v>
      </c>
      <c r="E2781">
        <v>424003</v>
      </c>
      <c r="F2781" t="s">
        <v>1</v>
      </c>
      <c r="G2781" t="s">
        <v>2</v>
      </c>
      <c r="H2781" t="s">
        <v>38</v>
      </c>
      <c r="I2781" t="s">
        <v>14486</v>
      </c>
      <c r="J2781" t="s">
        <v>14487</v>
      </c>
      <c r="K2781" t="s">
        <v>14488</v>
      </c>
      <c r="P2781" t="s">
        <v>280</v>
      </c>
      <c r="Y2781" t="s">
        <v>8462</v>
      </c>
    </row>
    <row r="2782" spans="1:25" x14ac:dyDescent="0.25">
      <c r="A2782" t="str">
        <f>"1337606183"</f>
        <v>1337606183</v>
      </c>
      <c r="B2782" t="s">
        <v>7</v>
      </c>
      <c r="C2782" t="s">
        <v>8238</v>
      </c>
      <c r="D2782" t="s">
        <v>14489</v>
      </c>
      <c r="E2782">
        <v>424007</v>
      </c>
      <c r="F2782" t="s">
        <v>1</v>
      </c>
      <c r="G2782" t="s">
        <v>2</v>
      </c>
      <c r="H2782" t="s">
        <v>14490</v>
      </c>
      <c r="I2782" t="s">
        <v>14491</v>
      </c>
      <c r="J2782" t="s">
        <v>14492</v>
      </c>
      <c r="L2782" t="s">
        <v>14440</v>
      </c>
      <c r="P2782" t="s">
        <v>5396</v>
      </c>
      <c r="Y2782" t="s">
        <v>14493</v>
      </c>
    </row>
    <row r="2783" spans="1:25" x14ac:dyDescent="0.25">
      <c r="A2783" t="str">
        <f>"1337696614"</f>
        <v>1337696614</v>
      </c>
      <c r="B2783" t="s">
        <v>1362</v>
      </c>
      <c r="C2783" t="s">
        <v>8728</v>
      </c>
      <c r="D2783" t="s">
        <v>14494</v>
      </c>
      <c r="F2783" t="s">
        <v>1</v>
      </c>
      <c r="G2783" t="s">
        <v>2</v>
      </c>
      <c r="H2783" t="s">
        <v>4897</v>
      </c>
      <c r="I2783" t="s">
        <v>14495</v>
      </c>
      <c r="J2783" t="s">
        <v>14496</v>
      </c>
      <c r="P2783" t="s">
        <v>152</v>
      </c>
      <c r="Y2783" t="s">
        <v>4900</v>
      </c>
    </row>
    <row r="2784" spans="1:25" x14ac:dyDescent="0.25">
      <c r="A2784" t="str">
        <f>"1337798605"</f>
        <v>1337798605</v>
      </c>
      <c r="B2784" t="s">
        <v>96</v>
      </c>
      <c r="C2784" t="s">
        <v>893</v>
      </c>
      <c r="D2784" t="s">
        <v>14497</v>
      </c>
      <c r="E2784">
        <v>424019</v>
      </c>
      <c r="F2784" t="s">
        <v>1</v>
      </c>
      <c r="G2784" t="s">
        <v>2</v>
      </c>
      <c r="H2784" t="s">
        <v>1467</v>
      </c>
      <c r="J2784" t="s">
        <v>14498</v>
      </c>
      <c r="P2784" t="s">
        <v>630</v>
      </c>
      <c r="Y2784" t="s">
        <v>1630</v>
      </c>
    </row>
    <row r="2785" spans="1:25" x14ac:dyDescent="0.25">
      <c r="A2785" t="str">
        <f>"1337968120"</f>
        <v>1337968120</v>
      </c>
      <c r="B2785" t="s">
        <v>123</v>
      </c>
      <c r="C2785" t="s">
        <v>196</v>
      </c>
      <c r="D2785" t="s">
        <v>14499</v>
      </c>
      <c r="E2785">
        <v>424006</v>
      </c>
      <c r="F2785" t="s">
        <v>1</v>
      </c>
      <c r="G2785" t="s">
        <v>2</v>
      </c>
      <c r="H2785" t="s">
        <v>2966</v>
      </c>
      <c r="I2785" t="s">
        <v>14500</v>
      </c>
      <c r="L2785" t="s">
        <v>8818</v>
      </c>
      <c r="P2785" t="s">
        <v>1027</v>
      </c>
      <c r="Q2785" t="s">
        <v>14501</v>
      </c>
      <c r="Y2785" t="s">
        <v>2970</v>
      </c>
    </row>
    <row r="2786" spans="1:25" x14ac:dyDescent="0.25">
      <c r="A2786" t="str">
        <f>"1337981599"</f>
        <v>1337981599</v>
      </c>
      <c r="B2786" t="s">
        <v>2818</v>
      </c>
      <c r="C2786" t="s">
        <v>6466</v>
      </c>
      <c r="D2786" t="s">
        <v>4269</v>
      </c>
      <c r="F2786" t="s">
        <v>1</v>
      </c>
      <c r="G2786" t="s">
        <v>2</v>
      </c>
      <c r="H2786" t="s">
        <v>2745</v>
      </c>
      <c r="I2786" t="s">
        <v>14502</v>
      </c>
      <c r="P2786" t="s">
        <v>1160</v>
      </c>
      <c r="Y2786" t="s">
        <v>14503</v>
      </c>
    </row>
    <row r="2787" spans="1:25" x14ac:dyDescent="0.25">
      <c r="A2787" t="str">
        <f>"1338091365"</f>
        <v>1338091365</v>
      </c>
      <c r="B2787" t="s">
        <v>176</v>
      </c>
      <c r="C2787" t="s">
        <v>250</v>
      </c>
      <c r="D2787" t="s">
        <v>14504</v>
      </c>
      <c r="E2787">
        <v>424003</v>
      </c>
      <c r="F2787" t="s">
        <v>1</v>
      </c>
      <c r="G2787" t="s">
        <v>2</v>
      </c>
      <c r="H2787" t="s">
        <v>2465</v>
      </c>
      <c r="I2787" t="s">
        <v>14505</v>
      </c>
      <c r="P2787" t="s">
        <v>1441</v>
      </c>
      <c r="Y2787" t="s">
        <v>14506</v>
      </c>
    </row>
    <row r="2788" spans="1:25" x14ac:dyDescent="0.25">
      <c r="A2788" t="str">
        <f>"1338109345"</f>
        <v>1338109345</v>
      </c>
      <c r="B2788" t="s">
        <v>319</v>
      </c>
      <c r="C2788" t="s">
        <v>320</v>
      </c>
      <c r="D2788" t="s">
        <v>14507</v>
      </c>
      <c r="F2788" t="s">
        <v>1</v>
      </c>
      <c r="G2788" t="s">
        <v>2</v>
      </c>
      <c r="H2788" t="s">
        <v>5721</v>
      </c>
      <c r="I2788" t="s">
        <v>14508</v>
      </c>
      <c r="L2788" t="s">
        <v>7276</v>
      </c>
      <c r="M2788" t="s">
        <v>14509</v>
      </c>
      <c r="P2788" t="s">
        <v>14510</v>
      </c>
      <c r="Y2788" t="s">
        <v>14511</v>
      </c>
    </row>
    <row r="2789" spans="1:25" x14ac:dyDescent="0.25">
      <c r="A2789" t="str">
        <f>"1338174426"</f>
        <v>1338174426</v>
      </c>
      <c r="B2789" t="s">
        <v>348</v>
      </c>
      <c r="C2789" t="s">
        <v>4366</v>
      </c>
      <c r="D2789" t="s">
        <v>14512</v>
      </c>
      <c r="E2789">
        <v>424002</v>
      </c>
      <c r="F2789" t="s">
        <v>1</v>
      </c>
      <c r="G2789" t="s">
        <v>2</v>
      </c>
      <c r="H2789" t="s">
        <v>14513</v>
      </c>
      <c r="I2789" t="s">
        <v>14514</v>
      </c>
      <c r="P2789" t="s">
        <v>14515</v>
      </c>
      <c r="Y2789" t="s">
        <v>14516</v>
      </c>
    </row>
    <row r="2790" spans="1:25" x14ac:dyDescent="0.25">
      <c r="A2790" t="str">
        <f>"1338183113"</f>
        <v>1338183113</v>
      </c>
      <c r="B2790" t="s">
        <v>841</v>
      </c>
      <c r="C2790" t="s">
        <v>11986</v>
      </c>
      <c r="D2790" t="s">
        <v>14517</v>
      </c>
      <c r="E2790">
        <v>424039</v>
      </c>
      <c r="F2790" t="s">
        <v>1</v>
      </c>
      <c r="G2790" t="s">
        <v>2</v>
      </c>
      <c r="H2790" t="s">
        <v>5827</v>
      </c>
      <c r="J2790" t="s">
        <v>14518</v>
      </c>
      <c r="P2790" t="s">
        <v>4487</v>
      </c>
      <c r="Y2790" t="s">
        <v>14519</v>
      </c>
    </row>
    <row r="2791" spans="1:25" x14ac:dyDescent="0.25">
      <c r="A2791" t="str">
        <f>"1338340130"</f>
        <v>1338340130</v>
      </c>
      <c r="B2791" t="s">
        <v>3908</v>
      </c>
      <c r="C2791" t="s">
        <v>3909</v>
      </c>
      <c r="D2791" t="s">
        <v>14520</v>
      </c>
      <c r="E2791">
        <v>424004</v>
      </c>
      <c r="F2791" t="s">
        <v>1</v>
      </c>
      <c r="G2791" t="s">
        <v>2</v>
      </c>
      <c r="H2791" t="s">
        <v>1820</v>
      </c>
      <c r="I2791" t="s">
        <v>14521</v>
      </c>
      <c r="L2791" t="s">
        <v>14522</v>
      </c>
      <c r="M2791" t="s">
        <v>14523</v>
      </c>
      <c r="P2791" t="s">
        <v>11123</v>
      </c>
      <c r="Y2791" t="s">
        <v>14524</v>
      </c>
    </row>
    <row r="2792" spans="1:25" x14ac:dyDescent="0.25">
      <c r="A2792" t="str">
        <f>"1338340276"</f>
        <v>1338340276</v>
      </c>
      <c r="B2792" t="s">
        <v>110</v>
      </c>
      <c r="C2792" t="s">
        <v>5755</v>
      </c>
      <c r="D2792" t="s">
        <v>14525</v>
      </c>
      <c r="E2792">
        <v>424004</v>
      </c>
      <c r="F2792" t="s">
        <v>1</v>
      </c>
      <c r="G2792" t="s">
        <v>2</v>
      </c>
      <c r="H2792" t="s">
        <v>8853</v>
      </c>
      <c r="I2792" t="s">
        <v>14526</v>
      </c>
      <c r="P2792" t="s">
        <v>869</v>
      </c>
      <c r="Y2792" t="s">
        <v>14527</v>
      </c>
    </row>
    <row r="2793" spans="1:25" x14ac:dyDescent="0.25">
      <c r="A2793" t="str">
        <f>"1338357783"</f>
        <v>1338357783</v>
      </c>
      <c r="B2793" t="s">
        <v>32</v>
      </c>
      <c r="C2793" t="s">
        <v>777</v>
      </c>
      <c r="D2793" t="s">
        <v>14528</v>
      </c>
      <c r="E2793">
        <v>424038</v>
      </c>
      <c r="F2793" t="s">
        <v>1</v>
      </c>
      <c r="G2793" t="s">
        <v>2</v>
      </c>
      <c r="H2793" t="s">
        <v>5779</v>
      </c>
      <c r="I2793" t="s">
        <v>14529</v>
      </c>
      <c r="M2793" t="s">
        <v>14530</v>
      </c>
      <c r="P2793" t="s">
        <v>14531</v>
      </c>
      <c r="Y2793" t="s">
        <v>14532</v>
      </c>
    </row>
    <row r="2794" spans="1:25" x14ac:dyDescent="0.25">
      <c r="A2794" t="str">
        <f>"1338425178"</f>
        <v>1338425178</v>
      </c>
      <c r="B2794" t="s">
        <v>8011</v>
      </c>
      <c r="C2794" t="s">
        <v>14535</v>
      </c>
      <c r="D2794" t="s">
        <v>14533</v>
      </c>
      <c r="E2794">
        <v>424008</v>
      </c>
      <c r="F2794" t="s">
        <v>1</v>
      </c>
      <c r="G2794" t="s">
        <v>2</v>
      </c>
      <c r="H2794" t="s">
        <v>1012</v>
      </c>
      <c r="I2794" t="s">
        <v>14534</v>
      </c>
      <c r="P2794" t="s">
        <v>27</v>
      </c>
      <c r="Y2794" t="s">
        <v>1016</v>
      </c>
    </row>
    <row r="2795" spans="1:25" x14ac:dyDescent="0.25">
      <c r="A2795" t="str">
        <f>"1338452633"</f>
        <v>1338452633</v>
      </c>
      <c r="B2795" t="s">
        <v>160</v>
      </c>
      <c r="C2795" t="s">
        <v>9976</v>
      </c>
      <c r="D2795" t="s">
        <v>14536</v>
      </c>
      <c r="E2795">
        <v>424033</v>
      </c>
      <c r="F2795" t="s">
        <v>1</v>
      </c>
      <c r="G2795" t="s">
        <v>2</v>
      </c>
      <c r="H2795" t="s">
        <v>5916</v>
      </c>
      <c r="I2795" t="s">
        <v>14537</v>
      </c>
      <c r="P2795" t="s">
        <v>14538</v>
      </c>
      <c r="Y2795" t="s">
        <v>5918</v>
      </c>
    </row>
    <row r="2796" spans="1:25" x14ac:dyDescent="0.25">
      <c r="A2796" t="str">
        <f>"1338466727"</f>
        <v>1338466727</v>
      </c>
      <c r="B2796" t="s">
        <v>1758</v>
      </c>
      <c r="C2796" t="s">
        <v>7867</v>
      </c>
      <c r="D2796" t="s">
        <v>14539</v>
      </c>
      <c r="E2796">
        <v>424019</v>
      </c>
      <c r="F2796" t="s">
        <v>1</v>
      </c>
      <c r="G2796" t="s">
        <v>2</v>
      </c>
      <c r="H2796" t="s">
        <v>1801</v>
      </c>
      <c r="J2796" t="s">
        <v>14540</v>
      </c>
      <c r="P2796" t="s">
        <v>941</v>
      </c>
      <c r="Y2796" t="s">
        <v>1804</v>
      </c>
    </row>
    <row r="2797" spans="1:25" x14ac:dyDescent="0.25">
      <c r="A2797" t="str">
        <f>"1338509190"</f>
        <v>1338509190</v>
      </c>
      <c r="B2797" t="s">
        <v>18</v>
      </c>
      <c r="C2797" t="s">
        <v>964</v>
      </c>
      <c r="D2797" t="s">
        <v>504</v>
      </c>
      <c r="E2797">
        <v>424007</v>
      </c>
      <c r="F2797" t="s">
        <v>1</v>
      </c>
      <c r="G2797" t="s">
        <v>2</v>
      </c>
      <c r="H2797" t="s">
        <v>14541</v>
      </c>
      <c r="J2797" t="s">
        <v>14542</v>
      </c>
      <c r="P2797" t="s">
        <v>14543</v>
      </c>
      <c r="Y2797" t="s">
        <v>14544</v>
      </c>
    </row>
    <row r="2798" spans="1:25" x14ac:dyDescent="0.25">
      <c r="A2798" t="str">
        <f>"1338530498"</f>
        <v>1338530498</v>
      </c>
      <c r="B2798" t="s">
        <v>284</v>
      </c>
      <c r="C2798" t="s">
        <v>711</v>
      </c>
      <c r="D2798" t="s">
        <v>711</v>
      </c>
      <c r="E2798">
        <v>424020</v>
      </c>
      <c r="F2798" t="s">
        <v>1</v>
      </c>
      <c r="G2798" t="s">
        <v>2</v>
      </c>
      <c r="H2798" t="s">
        <v>9669</v>
      </c>
      <c r="J2798" t="s">
        <v>14545</v>
      </c>
      <c r="P2798" t="s">
        <v>330</v>
      </c>
      <c r="Y2798" t="s">
        <v>14546</v>
      </c>
    </row>
    <row r="2799" spans="1:25" x14ac:dyDescent="0.25">
      <c r="A2799" t="str">
        <f>"1338598949"</f>
        <v>1338598949</v>
      </c>
      <c r="B2799" t="s">
        <v>96</v>
      </c>
      <c r="C2799" t="s">
        <v>14551</v>
      </c>
      <c r="D2799" t="s">
        <v>14547</v>
      </c>
      <c r="E2799">
        <v>424002</v>
      </c>
      <c r="F2799" t="s">
        <v>1</v>
      </c>
      <c r="G2799" t="s">
        <v>2</v>
      </c>
      <c r="H2799" t="s">
        <v>11581</v>
      </c>
      <c r="I2799" t="s">
        <v>14548</v>
      </c>
      <c r="L2799" t="s">
        <v>14549</v>
      </c>
      <c r="M2799" t="s">
        <v>14550</v>
      </c>
      <c r="P2799" t="s">
        <v>471</v>
      </c>
      <c r="Q2799" t="s">
        <v>14552</v>
      </c>
      <c r="R2799" t="s">
        <v>14553</v>
      </c>
      <c r="T2799" t="s">
        <v>14554</v>
      </c>
      <c r="U2799" t="s">
        <v>14555</v>
      </c>
      <c r="V2799" t="s">
        <v>14556</v>
      </c>
      <c r="Y2799" t="s">
        <v>14557</v>
      </c>
    </row>
    <row r="2800" spans="1:25" x14ac:dyDescent="0.25">
      <c r="A2800" t="str">
        <f>"1338617585"</f>
        <v>1338617585</v>
      </c>
      <c r="B2800" t="s">
        <v>388</v>
      </c>
      <c r="C2800" t="s">
        <v>7194</v>
      </c>
      <c r="D2800" t="s">
        <v>14558</v>
      </c>
      <c r="E2800">
        <v>424006</v>
      </c>
      <c r="F2800" t="s">
        <v>1</v>
      </c>
      <c r="G2800" t="s">
        <v>2</v>
      </c>
      <c r="H2800" t="s">
        <v>10818</v>
      </c>
      <c r="I2800" t="s">
        <v>14559</v>
      </c>
      <c r="J2800" t="s">
        <v>14560</v>
      </c>
      <c r="L2800" t="s">
        <v>14561</v>
      </c>
      <c r="M2800" t="s">
        <v>14562</v>
      </c>
      <c r="P2800" t="s">
        <v>260</v>
      </c>
      <c r="Y2800" t="s">
        <v>10823</v>
      </c>
    </row>
    <row r="2801" spans="1:25" x14ac:dyDescent="0.25">
      <c r="A2801" t="str">
        <f>"1338737258"</f>
        <v>1338737258</v>
      </c>
      <c r="B2801" t="s">
        <v>176</v>
      </c>
      <c r="C2801" t="s">
        <v>279</v>
      </c>
      <c r="D2801" t="s">
        <v>14563</v>
      </c>
      <c r="E2801">
        <v>424002</v>
      </c>
      <c r="F2801" t="s">
        <v>1</v>
      </c>
      <c r="G2801" t="s">
        <v>2</v>
      </c>
      <c r="H2801" t="s">
        <v>14564</v>
      </c>
      <c r="I2801" t="s">
        <v>14565</v>
      </c>
      <c r="L2801" t="s">
        <v>14566</v>
      </c>
      <c r="M2801" t="s">
        <v>4466</v>
      </c>
      <c r="P2801" t="s">
        <v>20</v>
      </c>
      <c r="T2801" t="s">
        <v>13846</v>
      </c>
      <c r="Y2801" t="s">
        <v>14567</v>
      </c>
    </row>
    <row r="2802" spans="1:25" x14ac:dyDescent="0.25">
      <c r="A2802" t="str">
        <f>"1338799156"</f>
        <v>1338799156</v>
      </c>
      <c r="B2802" t="s">
        <v>123</v>
      </c>
      <c r="C2802" t="s">
        <v>10232</v>
      </c>
      <c r="D2802" t="s">
        <v>14568</v>
      </c>
      <c r="E2802">
        <v>424020</v>
      </c>
      <c r="F2802" t="s">
        <v>1</v>
      </c>
      <c r="G2802" t="s">
        <v>2</v>
      </c>
      <c r="H2802" t="s">
        <v>3327</v>
      </c>
      <c r="I2802" t="s">
        <v>14569</v>
      </c>
      <c r="P2802" t="s">
        <v>144</v>
      </c>
      <c r="Y2802" t="s">
        <v>3328</v>
      </c>
    </row>
    <row r="2803" spans="1:25" x14ac:dyDescent="0.25">
      <c r="A2803" t="str">
        <f>"1338823724"</f>
        <v>1338823724</v>
      </c>
      <c r="B2803" t="s">
        <v>224</v>
      </c>
      <c r="C2803" t="s">
        <v>14572</v>
      </c>
      <c r="D2803" t="s">
        <v>4397</v>
      </c>
      <c r="E2803">
        <v>424007</v>
      </c>
      <c r="F2803" t="s">
        <v>1</v>
      </c>
      <c r="G2803" t="s">
        <v>2</v>
      </c>
      <c r="H2803" t="s">
        <v>14570</v>
      </c>
      <c r="I2803" t="s">
        <v>14571</v>
      </c>
      <c r="P2803" t="s">
        <v>280</v>
      </c>
      <c r="Y2803" t="s">
        <v>14573</v>
      </c>
    </row>
    <row r="2804" spans="1:25" x14ac:dyDescent="0.25">
      <c r="A2804" t="str">
        <f>"1338844505"</f>
        <v>1338844505</v>
      </c>
      <c r="B2804" t="s">
        <v>12407</v>
      </c>
      <c r="C2804" t="s">
        <v>14577</v>
      </c>
      <c r="D2804" t="s">
        <v>14574</v>
      </c>
      <c r="E2804">
        <v>424016</v>
      </c>
      <c r="F2804" t="s">
        <v>1</v>
      </c>
      <c r="G2804" t="s">
        <v>2</v>
      </c>
      <c r="H2804" t="s">
        <v>4568</v>
      </c>
      <c r="I2804" t="s">
        <v>14575</v>
      </c>
      <c r="M2804" t="s">
        <v>14576</v>
      </c>
      <c r="P2804" t="s">
        <v>3690</v>
      </c>
      <c r="Y2804" t="s">
        <v>4574</v>
      </c>
    </row>
    <row r="2805" spans="1:25" x14ac:dyDescent="0.25">
      <c r="A2805" t="str">
        <f>"1338867216"</f>
        <v>1338867216</v>
      </c>
      <c r="B2805" t="s">
        <v>160</v>
      </c>
      <c r="C2805" t="s">
        <v>9976</v>
      </c>
      <c r="D2805" t="s">
        <v>14578</v>
      </c>
      <c r="E2805">
        <v>424036</v>
      </c>
      <c r="F2805" t="s">
        <v>1</v>
      </c>
      <c r="G2805" t="s">
        <v>2</v>
      </c>
      <c r="H2805" t="s">
        <v>14579</v>
      </c>
      <c r="I2805" t="s">
        <v>14580</v>
      </c>
      <c r="P2805" t="s">
        <v>280</v>
      </c>
      <c r="Y2805" t="s">
        <v>14581</v>
      </c>
    </row>
    <row r="2806" spans="1:25" x14ac:dyDescent="0.25">
      <c r="A2806" t="str">
        <f>"1338886002"</f>
        <v>1338886002</v>
      </c>
      <c r="B2806" t="s">
        <v>430</v>
      </c>
      <c r="C2806" t="s">
        <v>612</v>
      </c>
      <c r="D2806" t="s">
        <v>9923</v>
      </c>
      <c r="E2806">
        <v>424020</v>
      </c>
      <c r="F2806" t="s">
        <v>1</v>
      </c>
      <c r="G2806" t="s">
        <v>2</v>
      </c>
      <c r="H2806" t="s">
        <v>23</v>
      </c>
      <c r="I2806" t="s">
        <v>14582</v>
      </c>
      <c r="L2806" t="s">
        <v>610</v>
      </c>
      <c r="M2806" t="s">
        <v>611</v>
      </c>
      <c r="P2806" t="s">
        <v>330</v>
      </c>
      <c r="Y2806" t="s">
        <v>14583</v>
      </c>
    </row>
    <row r="2807" spans="1:25" x14ac:dyDescent="0.25">
      <c r="A2807" t="str">
        <f>"1338924431"</f>
        <v>1338924431</v>
      </c>
      <c r="B2807" t="s">
        <v>176</v>
      </c>
      <c r="C2807" t="s">
        <v>279</v>
      </c>
      <c r="D2807" t="s">
        <v>14584</v>
      </c>
      <c r="E2807">
        <v>424005</v>
      </c>
      <c r="F2807" t="s">
        <v>1</v>
      </c>
      <c r="G2807" t="s">
        <v>2</v>
      </c>
      <c r="H2807" t="s">
        <v>14585</v>
      </c>
      <c r="I2807" t="s">
        <v>14586</v>
      </c>
      <c r="L2807" t="s">
        <v>14587</v>
      </c>
      <c r="M2807" t="s">
        <v>14588</v>
      </c>
      <c r="P2807" t="s">
        <v>280</v>
      </c>
      <c r="Q2807" t="s">
        <v>14589</v>
      </c>
      <c r="Y2807" t="s">
        <v>14590</v>
      </c>
    </row>
    <row r="2808" spans="1:25" x14ac:dyDescent="0.25">
      <c r="A2808" t="str">
        <f>"1338946939"</f>
        <v>1338946939</v>
      </c>
      <c r="B2808" t="s">
        <v>3094</v>
      </c>
      <c r="C2808" t="s">
        <v>12179</v>
      </c>
      <c r="D2808" t="s">
        <v>14591</v>
      </c>
      <c r="E2808">
        <v>424038</v>
      </c>
      <c r="F2808" t="s">
        <v>1</v>
      </c>
      <c r="G2808" t="s">
        <v>2</v>
      </c>
      <c r="H2808" t="s">
        <v>14592</v>
      </c>
      <c r="I2808" t="s">
        <v>14593</v>
      </c>
      <c r="L2808" t="s">
        <v>14594</v>
      </c>
      <c r="M2808" t="s">
        <v>14595</v>
      </c>
      <c r="Y2808" t="s">
        <v>14596</v>
      </c>
    </row>
    <row r="2809" spans="1:25" x14ac:dyDescent="0.25">
      <c r="A2809" t="str">
        <f>"1339031895"</f>
        <v>1339031895</v>
      </c>
      <c r="B2809" t="s">
        <v>703</v>
      </c>
      <c r="C2809" t="s">
        <v>2129</v>
      </c>
      <c r="D2809" t="s">
        <v>14597</v>
      </c>
      <c r="E2809">
        <v>424006</v>
      </c>
      <c r="F2809" t="s">
        <v>1</v>
      </c>
      <c r="G2809" t="s">
        <v>2</v>
      </c>
      <c r="H2809" t="s">
        <v>14598</v>
      </c>
      <c r="P2809" t="s">
        <v>330</v>
      </c>
      <c r="Y2809" t="s">
        <v>14599</v>
      </c>
    </row>
    <row r="2810" spans="1:25" x14ac:dyDescent="0.25">
      <c r="A2810" t="str">
        <f>"1339050671"</f>
        <v>1339050671</v>
      </c>
      <c r="B2810" t="s">
        <v>574</v>
      </c>
      <c r="C2810" t="s">
        <v>14603</v>
      </c>
      <c r="D2810" t="s">
        <v>14600</v>
      </c>
      <c r="E2810">
        <v>424032</v>
      </c>
      <c r="F2810" t="s">
        <v>1</v>
      </c>
      <c r="G2810" t="s">
        <v>2</v>
      </c>
      <c r="H2810" t="s">
        <v>14601</v>
      </c>
      <c r="I2810" t="s">
        <v>14602</v>
      </c>
      <c r="P2810" t="s">
        <v>13205</v>
      </c>
      <c r="Q2810" t="s">
        <v>2668</v>
      </c>
      <c r="Y2810" t="s">
        <v>14604</v>
      </c>
    </row>
    <row r="2811" spans="1:25" x14ac:dyDescent="0.25">
      <c r="A2811" t="str">
        <f>"1339083429"</f>
        <v>1339083429</v>
      </c>
      <c r="B2811" t="s">
        <v>18</v>
      </c>
      <c r="C2811" t="s">
        <v>14608</v>
      </c>
      <c r="D2811" t="s">
        <v>14605</v>
      </c>
      <c r="E2811">
        <v>424006</v>
      </c>
      <c r="F2811" t="s">
        <v>1</v>
      </c>
      <c r="G2811" t="s">
        <v>2</v>
      </c>
      <c r="H2811" t="s">
        <v>2775</v>
      </c>
      <c r="I2811" t="s">
        <v>14606</v>
      </c>
      <c r="J2811" t="s">
        <v>14607</v>
      </c>
      <c r="P2811" t="s">
        <v>152</v>
      </c>
      <c r="Y2811" t="s">
        <v>2779</v>
      </c>
    </row>
    <row r="2812" spans="1:25" x14ac:dyDescent="0.25">
      <c r="A2812" t="str">
        <f>"1339159492"</f>
        <v>1339159492</v>
      </c>
      <c r="B2812" t="s">
        <v>176</v>
      </c>
      <c r="C2812" t="s">
        <v>279</v>
      </c>
      <c r="D2812" t="s">
        <v>14609</v>
      </c>
      <c r="F2812" t="s">
        <v>1</v>
      </c>
      <c r="G2812" t="s">
        <v>2</v>
      </c>
      <c r="H2812" t="s">
        <v>14610</v>
      </c>
      <c r="I2812" t="s">
        <v>14611</v>
      </c>
      <c r="P2812" t="s">
        <v>20</v>
      </c>
      <c r="Y2812" t="s">
        <v>14612</v>
      </c>
    </row>
    <row r="2813" spans="1:25" x14ac:dyDescent="0.25">
      <c r="A2813" t="str">
        <f>"1339161217"</f>
        <v>1339161217</v>
      </c>
      <c r="B2813" t="s">
        <v>123</v>
      </c>
      <c r="C2813" t="s">
        <v>731</v>
      </c>
      <c r="D2813" t="s">
        <v>14613</v>
      </c>
      <c r="E2813">
        <v>424031</v>
      </c>
      <c r="F2813" t="s">
        <v>1</v>
      </c>
      <c r="G2813" t="s">
        <v>2</v>
      </c>
      <c r="H2813" t="s">
        <v>14614</v>
      </c>
      <c r="I2813" t="s">
        <v>14615</v>
      </c>
      <c r="L2813" t="s">
        <v>14616</v>
      </c>
      <c r="M2813" t="s">
        <v>14617</v>
      </c>
      <c r="P2813" t="s">
        <v>425</v>
      </c>
      <c r="Y2813" t="s">
        <v>14618</v>
      </c>
    </row>
    <row r="2814" spans="1:25" x14ac:dyDescent="0.25">
      <c r="A2814" t="str">
        <f>"1339322521"</f>
        <v>1339322521</v>
      </c>
      <c r="B2814" t="s">
        <v>123</v>
      </c>
      <c r="C2814" t="s">
        <v>196</v>
      </c>
      <c r="D2814" t="s">
        <v>14619</v>
      </c>
      <c r="F2814" t="s">
        <v>1</v>
      </c>
      <c r="G2814" t="s">
        <v>2</v>
      </c>
      <c r="H2814" t="s">
        <v>3984</v>
      </c>
      <c r="I2814" t="s">
        <v>14620</v>
      </c>
      <c r="J2814" t="s">
        <v>14621</v>
      </c>
      <c r="L2814" t="s">
        <v>14622</v>
      </c>
      <c r="M2814" t="s">
        <v>14623</v>
      </c>
      <c r="P2814" t="s">
        <v>14624</v>
      </c>
      <c r="Q2814" t="s">
        <v>14625</v>
      </c>
      <c r="Y2814" t="s">
        <v>14626</v>
      </c>
    </row>
    <row r="2815" spans="1:25" x14ac:dyDescent="0.25">
      <c r="A2815" t="str">
        <f>"1339373893"</f>
        <v>1339373893</v>
      </c>
      <c r="B2815" t="s">
        <v>1611</v>
      </c>
      <c r="C2815" t="s">
        <v>14630</v>
      </c>
      <c r="D2815" t="s">
        <v>14627</v>
      </c>
      <c r="E2815">
        <v>424037</v>
      </c>
      <c r="F2815" t="s">
        <v>1</v>
      </c>
      <c r="G2815" t="s">
        <v>2</v>
      </c>
      <c r="H2815" t="s">
        <v>1247</v>
      </c>
      <c r="I2815" t="s">
        <v>14628</v>
      </c>
      <c r="L2815" t="s">
        <v>581</v>
      </c>
      <c r="M2815" t="s">
        <v>14629</v>
      </c>
      <c r="P2815" t="s">
        <v>330</v>
      </c>
      <c r="Y2815" t="s">
        <v>14631</v>
      </c>
    </row>
    <row r="2816" spans="1:25" x14ac:dyDescent="0.25">
      <c r="A2816" t="str">
        <f>"1339425422"</f>
        <v>1339425422</v>
      </c>
      <c r="B2816" t="s">
        <v>703</v>
      </c>
      <c r="C2816" t="s">
        <v>2129</v>
      </c>
      <c r="D2816" t="s">
        <v>14632</v>
      </c>
      <c r="E2816">
        <v>424031</v>
      </c>
      <c r="F2816" t="s">
        <v>1</v>
      </c>
      <c r="G2816" t="s">
        <v>2</v>
      </c>
      <c r="H2816" t="s">
        <v>14633</v>
      </c>
      <c r="J2816" t="s">
        <v>14634</v>
      </c>
      <c r="P2816" t="s">
        <v>330</v>
      </c>
      <c r="Y2816" t="s">
        <v>14635</v>
      </c>
    </row>
    <row r="2817" spans="1:25" x14ac:dyDescent="0.25">
      <c r="A2817" t="str">
        <f>"1339446384"</f>
        <v>1339446384</v>
      </c>
      <c r="B2817" t="s">
        <v>18</v>
      </c>
      <c r="C2817" t="s">
        <v>10339</v>
      </c>
      <c r="D2817" t="s">
        <v>14636</v>
      </c>
      <c r="E2817">
        <v>424003</v>
      </c>
      <c r="F2817" t="s">
        <v>1</v>
      </c>
      <c r="G2817" t="s">
        <v>2</v>
      </c>
      <c r="H2817" t="s">
        <v>775</v>
      </c>
      <c r="I2817" t="s">
        <v>14637</v>
      </c>
      <c r="P2817" t="s">
        <v>27</v>
      </c>
      <c r="Y2817" t="s">
        <v>10859</v>
      </c>
    </row>
    <row r="2818" spans="1:25" x14ac:dyDescent="0.25">
      <c r="A2818" t="str">
        <f>"1339461791"</f>
        <v>1339461791</v>
      </c>
      <c r="B2818" t="s">
        <v>160</v>
      </c>
      <c r="C2818" t="s">
        <v>1666</v>
      </c>
      <c r="D2818" t="s">
        <v>14638</v>
      </c>
      <c r="E2818">
        <v>424031</v>
      </c>
      <c r="F2818" t="s">
        <v>1</v>
      </c>
      <c r="G2818" t="s">
        <v>2</v>
      </c>
      <c r="H2818" t="s">
        <v>14639</v>
      </c>
      <c r="J2818" t="s">
        <v>14640</v>
      </c>
      <c r="P2818" t="s">
        <v>20</v>
      </c>
      <c r="Y2818" t="s">
        <v>14641</v>
      </c>
    </row>
    <row r="2819" spans="1:25" x14ac:dyDescent="0.25">
      <c r="A2819" t="str">
        <f>"1339573053"</f>
        <v>1339573053</v>
      </c>
      <c r="B2819" t="s">
        <v>1053</v>
      </c>
      <c r="C2819" t="s">
        <v>1927</v>
      </c>
      <c r="D2819" t="s">
        <v>11071</v>
      </c>
      <c r="E2819">
        <v>424003</v>
      </c>
      <c r="F2819" t="s">
        <v>1</v>
      </c>
      <c r="G2819" t="s">
        <v>2</v>
      </c>
      <c r="H2819" t="s">
        <v>5773</v>
      </c>
      <c r="I2819" t="s">
        <v>14642</v>
      </c>
      <c r="P2819" t="s">
        <v>390</v>
      </c>
      <c r="Y2819" t="s">
        <v>5775</v>
      </c>
    </row>
    <row r="2820" spans="1:25" x14ac:dyDescent="0.25">
      <c r="A2820" t="str">
        <f>"1339638484"</f>
        <v>1339638484</v>
      </c>
      <c r="B2820" t="s">
        <v>930</v>
      </c>
      <c r="C2820" t="s">
        <v>14647</v>
      </c>
      <c r="D2820" t="s">
        <v>14643</v>
      </c>
      <c r="E2820">
        <v>424006</v>
      </c>
      <c r="F2820" t="s">
        <v>1</v>
      </c>
      <c r="G2820" t="s">
        <v>2</v>
      </c>
      <c r="H2820" t="s">
        <v>14644</v>
      </c>
      <c r="I2820" t="s">
        <v>14645</v>
      </c>
      <c r="M2820" t="s">
        <v>14646</v>
      </c>
      <c r="P2820" t="s">
        <v>330</v>
      </c>
      <c r="Y2820" t="s">
        <v>14648</v>
      </c>
    </row>
    <row r="2821" spans="1:25" x14ac:dyDescent="0.25">
      <c r="A2821" t="str">
        <f>"1339780028"</f>
        <v>1339780028</v>
      </c>
      <c r="B2821" t="s">
        <v>3573</v>
      </c>
      <c r="C2821" t="s">
        <v>5816</v>
      </c>
      <c r="D2821" t="s">
        <v>14649</v>
      </c>
      <c r="E2821">
        <v>424000</v>
      </c>
      <c r="F2821" t="s">
        <v>1</v>
      </c>
      <c r="G2821" t="s">
        <v>2</v>
      </c>
      <c r="H2821" t="s">
        <v>8365</v>
      </c>
      <c r="I2821" t="s">
        <v>14650</v>
      </c>
      <c r="J2821" t="s">
        <v>14651</v>
      </c>
      <c r="P2821" t="s">
        <v>9213</v>
      </c>
      <c r="Y2821" t="s">
        <v>8369</v>
      </c>
    </row>
    <row r="2822" spans="1:25" x14ac:dyDescent="0.25">
      <c r="A2822" t="str">
        <f>"1339844075"</f>
        <v>1339844075</v>
      </c>
      <c r="B2822" t="s">
        <v>574</v>
      </c>
      <c r="C2822" t="s">
        <v>14652</v>
      </c>
      <c r="D2822" t="s">
        <v>14652</v>
      </c>
      <c r="E2822">
        <v>424019</v>
      </c>
      <c r="F2822" t="s">
        <v>1</v>
      </c>
      <c r="G2822" t="s">
        <v>2</v>
      </c>
      <c r="H2822" t="s">
        <v>12105</v>
      </c>
      <c r="J2822" t="s">
        <v>14653</v>
      </c>
      <c r="L2822" t="s">
        <v>14654</v>
      </c>
      <c r="M2822" t="s">
        <v>14655</v>
      </c>
      <c r="P2822" t="s">
        <v>1027</v>
      </c>
      <c r="Y2822" t="s">
        <v>14260</v>
      </c>
    </row>
    <row r="2823" spans="1:25" x14ac:dyDescent="0.25">
      <c r="A2823" t="str">
        <f>"1339893234"</f>
        <v>1339893234</v>
      </c>
      <c r="B2823" t="s">
        <v>930</v>
      </c>
      <c r="C2823" t="s">
        <v>1096</v>
      </c>
      <c r="D2823" t="s">
        <v>14656</v>
      </c>
      <c r="E2823">
        <v>424032</v>
      </c>
      <c r="F2823" t="s">
        <v>1</v>
      </c>
      <c r="G2823" t="s">
        <v>2</v>
      </c>
      <c r="H2823" t="s">
        <v>14657</v>
      </c>
      <c r="J2823" t="s">
        <v>14658</v>
      </c>
      <c r="P2823" t="s">
        <v>7221</v>
      </c>
      <c r="V2823" t="s">
        <v>14659</v>
      </c>
      <c r="Y2823" t="s">
        <v>14660</v>
      </c>
    </row>
    <row r="2824" spans="1:25" x14ac:dyDescent="0.25">
      <c r="A2824" t="str">
        <f>"1339926879"</f>
        <v>1339926879</v>
      </c>
      <c r="B2824" t="s">
        <v>1053</v>
      </c>
      <c r="C2824" t="s">
        <v>5712</v>
      </c>
      <c r="D2824" t="s">
        <v>14661</v>
      </c>
      <c r="F2824" t="s">
        <v>1</v>
      </c>
      <c r="G2824" t="s">
        <v>2</v>
      </c>
      <c r="H2824" t="s">
        <v>757</v>
      </c>
      <c r="I2824" t="s">
        <v>14662</v>
      </c>
      <c r="J2824" t="s">
        <v>14663</v>
      </c>
      <c r="P2824" t="s">
        <v>280</v>
      </c>
      <c r="Y2824" t="s">
        <v>760</v>
      </c>
    </row>
    <row r="2825" spans="1:25" x14ac:dyDescent="0.25">
      <c r="A2825" t="str">
        <f>"1340064110"</f>
        <v>1340064110</v>
      </c>
      <c r="B2825" t="s">
        <v>352</v>
      </c>
      <c r="C2825" t="s">
        <v>14666</v>
      </c>
      <c r="D2825" t="s">
        <v>14664</v>
      </c>
      <c r="E2825">
        <v>424006</v>
      </c>
      <c r="F2825" t="s">
        <v>1</v>
      </c>
      <c r="G2825" t="s">
        <v>2</v>
      </c>
      <c r="H2825" t="s">
        <v>10111</v>
      </c>
      <c r="I2825" t="s">
        <v>14665</v>
      </c>
      <c r="P2825" t="s">
        <v>27</v>
      </c>
      <c r="Y2825" t="s">
        <v>10113</v>
      </c>
    </row>
    <row r="2826" spans="1:25" x14ac:dyDescent="0.25">
      <c r="A2826" t="str">
        <f>"1340155668"</f>
        <v>1340155668</v>
      </c>
      <c r="B2826" t="s">
        <v>160</v>
      </c>
      <c r="C2826" t="s">
        <v>14673</v>
      </c>
      <c r="D2826" t="s">
        <v>14667</v>
      </c>
      <c r="F2826" t="s">
        <v>1</v>
      </c>
      <c r="G2826" t="s">
        <v>2</v>
      </c>
      <c r="H2826" t="s">
        <v>14668</v>
      </c>
      <c r="I2826" t="s">
        <v>14669</v>
      </c>
      <c r="K2826" t="s">
        <v>14670</v>
      </c>
      <c r="L2826" t="s">
        <v>14671</v>
      </c>
      <c r="M2826" t="s">
        <v>14672</v>
      </c>
      <c r="P2826" t="s">
        <v>20</v>
      </c>
      <c r="Y2826" t="s">
        <v>14674</v>
      </c>
    </row>
    <row r="2827" spans="1:25" x14ac:dyDescent="0.25">
      <c r="A2827" t="str">
        <f>"1340186800"</f>
        <v>1340186800</v>
      </c>
      <c r="B2827" t="s">
        <v>18</v>
      </c>
      <c r="C2827" t="s">
        <v>14678</v>
      </c>
      <c r="D2827" t="s">
        <v>14675</v>
      </c>
      <c r="E2827">
        <v>424019</v>
      </c>
      <c r="F2827" t="s">
        <v>1</v>
      </c>
      <c r="G2827" t="s">
        <v>2</v>
      </c>
      <c r="H2827" t="s">
        <v>9271</v>
      </c>
      <c r="I2827" t="s">
        <v>14676</v>
      </c>
      <c r="J2827" t="s">
        <v>14677</v>
      </c>
      <c r="L2827" t="s">
        <v>7859</v>
      </c>
      <c r="P2827" t="s">
        <v>14679</v>
      </c>
      <c r="Y2827" t="s">
        <v>14680</v>
      </c>
    </row>
    <row r="2828" spans="1:25" x14ac:dyDescent="0.25">
      <c r="A2828" t="str">
        <f>"1340358640"</f>
        <v>1340358640</v>
      </c>
      <c r="B2828" t="s">
        <v>3094</v>
      </c>
      <c r="C2828" t="s">
        <v>3095</v>
      </c>
      <c r="D2828" t="s">
        <v>14681</v>
      </c>
      <c r="E2828">
        <v>424005</v>
      </c>
      <c r="F2828" t="s">
        <v>1</v>
      </c>
      <c r="G2828" t="s">
        <v>2</v>
      </c>
      <c r="H2828" t="s">
        <v>14682</v>
      </c>
      <c r="I2828" t="s">
        <v>14683</v>
      </c>
      <c r="L2828" t="s">
        <v>946</v>
      </c>
      <c r="M2828" t="s">
        <v>14684</v>
      </c>
      <c r="Y2828" t="s">
        <v>14685</v>
      </c>
    </row>
    <row r="2829" spans="1:25" x14ac:dyDescent="0.25">
      <c r="A2829" t="str">
        <f>"1340364080"</f>
        <v>1340364080</v>
      </c>
      <c r="B2829" t="s">
        <v>430</v>
      </c>
      <c r="C2829" t="s">
        <v>14689</v>
      </c>
      <c r="D2829" t="s">
        <v>14686</v>
      </c>
      <c r="E2829">
        <v>424031</v>
      </c>
      <c r="F2829" t="s">
        <v>1</v>
      </c>
      <c r="G2829" t="s">
        <v>2</v>
      </c>
      <c r="H2829" t="s">
        <v>239</v>
      </c>
      <c r="I2829" t="s">
        <v>14687</v>
      </c>
      <c r="L2829" t="s">
        <v>14688</v>
      </c>
      <c r="P2829" t="s">
        <v>27</v>
      </c>
      <c r="Y2829" t="s">
        <v>246</v>
      </c>
    </row>
    <row r="2830" spans="1:25" x14ac:dyDescent="0.25">
      <c r="A2830" t="str">
        <f>"1340393257"</f>
        <v>1340393257</v>
      </c>
      <c r="B2830" t="s">
        <v>430</v>
      </c>
      <c r="C2830" t="s">
        <v>940</v>
      </c>
      <c r="D2830" t="s">
        <v>14690</v>
      </c>
      <c r="E2830">
        <v>424031</v>
      </c>
      <c r="F2830" t="s">
        <v>1</v>
      </c>
      <c r="G2830" t="s">
        <v>2</v>
      </c>
      <c r="H2830" t="s">
        <v>239</v>
      </c>
      <c r="I2830" t="s">
        <v>14691</v>
      </c>
      <c r="Y2830" t="s">
        <v>246</v>
      </c>
    </row>
    <row r="2831" spans="1:25" x14ac:dyDescent="0.25">
      <c r="A2831" t="str">
        <f>"1340443125"</f>
        <v>1340443125</v>
      </c>
      <c r="B2831" t="s">
        <v>1343</v>
      </c>
      <c r="C2831" t="s">
        <v>1344</v>
      </c>
      <c r="D2831" t="s">
        <v>14692</v>
      </c>
      <c r="F2831" t="s">
        <v>1</v>
      </c>
      <c r="G2831" t="s">
        <v>2</v>
      </c>
      <c r="H2831" t="s">
        <v>757</v>
      </c>
      <c r="J2831" t="s">
        <v>14693</v>
      </c>
      <c r="P2831" t="s">
        <v>133</v>
      </c>
      <c r="Y2831" t="s">
        <v>760</v>
      </c>
    </row>
    <row r="2832" spans="1:25" x14ac:dyDescent="0.25">
      <c r="A2832" t="str">
        <f>"1340515640"</f>
        <v>1340515640</v>
      </c>
      <c r="B2832" t="s">
        <v>1611</v>
      </c>
      <c r="C2832" t="s">
        <v>14699</v>
      </c>
      <c r="D2832" t="s">
        <v>14694</v>
      </c>
      <c r="E2832">
        <v>424031</v>
      </c>
      <c r="F2832" t="s">
        <v>1</v>
      </c>
      <c r="G2832" t="s">
        <v>2</v>
      </c>
      <c r="H2832" t="s">
        <v>14695</v>
      </c>
      <c r="I2832" t="s">
        <v>14696</v>
      </c>
      <c r="L2832" t="s">
        <v>14697</v>
      </c>
      <c r="M2832" t="s">
        <v>14698</v>
      </c>
      <c r="P2832" t="s">
        <v>10807</v>
      </c>
      <c r="Q2832" t="s">
        <v>14700</v>
      </c>
      <c r="T2832" t="s">
        <v>14701</v>
      </c>
      <c r="Y2832" t="s">
        <v>14702</v>
      </c>
    </row>
    <row r="2833" spans="1:25" x14ac:dyDescent="0.25">
      <c r="A2833" t="str">
        <f>"1340813383"</f>
        <v>1340813383</v>
      </c>
      <c r="B2833" t="s">
        <v>25</v>
      </c>
      <c r="C2833" t="s">
        <v>59</v>
      </c>
      <c r="D2833" t="s">
        <v>14703</v>
      </c>
      <c r="E2833">
        <v>424000</v>
      </c>
      <c r="F2833" t="s">
        <v>1</v>
      </c>
      <c r="G2833" t="s">
        <v>2</v>
      </c>
      <c r="H2833" t="s">
        <v>2202</v>
      </c>
      <c r="I2833" t="s">
        <v>14704</v>
      </c>
      <c r="P2833" t="s">
        <v>1760</v>
      </c>
      <c r="Y2833" t="s">
        <v>2204</v>
      </c>
    </row>
    <row r="2834" spans="1:25" x14ac:dyDescent="0.25">
      <c r="A2834" t="str">
        <f>"1340831461"</f>
        <v>1340831461</v>
      </c>
      <c r="B2834" t="s">
        <v>930</v>
      </c>
      <c r="C2834" t="s">
        <v>14708</v>
      </c>
      <c r="D2834" t="s">
        <v>14705</v>
      </c>
      <c r="E2834">
        <v>424006</v>
      </c>
      <c r="F2834" t="s">
        <v>1</v>
      </c>
      <c r="G2834" t="s">
        <v>2</v>
      </c>
      <c r="H2834" t="s">
        <v>14706</v>
      </c>
      <c r="I2834" t="s">
        <v>14707</v>
      </c>
      <c r="P2834" t="s">
        <v>2580</v>
      </c>
      <c r="Y2834" t="s">
        <v>5149</v>
      </c>
    </row>
    <row r="2835" spans="1:25" x14ac:dyDescent="0.25">
      <c r="A2835" t="str">
        <f>"1340900683"</f>
        <v>1340900683</v>
      </c>
      <c r="B2835" t="s">
        <v>1053</v>
      </c>
      <c r="C2835" t="s">
        <v>1927</v>
      </c>
      <c r="D2835" t="s">
        <v>14709</v>
      </c>
      <c r="E2835">
        <v>424004</v>
      </c>
      <c r="F2835" t="s">
        <v>1</v>
      </c>
      <c r="G2835" t="s">
        <v>2</v>
      </c>
      <c r="H2835" t="s">
        <v>14710</v>
      </c>
      <c r="I2835" t="s">
        <v>14711</v>
      </c>
      <c r="J2835" t="s">
        <v>14712</v>
      </c>
      <c r="P2835" t="s">
        <v>280</v>
      </c>
      <c r="Y2835" t="s">
        <v>14713</v>
      </c>
    </row>
    <row r="2836" spans="1:25" x14ac:dyDescent="0.25">
      <c r="A2836" t="str">
        <f>"1341102795"</f>
        <v>1341102795</v>
      </c>
      <c r="B2836" t="s">
        <v>1053</v>
      </c>
      <c r="C2836" t="s">
        <v>1927</v>
      </c>
      <c r="D2836" t="s">
        <v>14714</v>
      </c>
      <c r="E2836">
        <v>424006</v>
      </c>
      <c r="F2836" t="s">
        <v>1</v>
      </c>
      <c r="G2836" t="s">
        <v>2</v>
      </c>
      <c r="H2836" t="s">
        <v>3389</v>
      </c>
      <c r="I2836" t="s">
        <v>14715</v>
      </c>
      <c r="P2836" t="s">
        <v>20</v>
      </c>
      <c r="Y2836" t="s">
        <v>3394</v>
      </c>
    </row>
    <row r="2837" spans="1:25" x14ac:dyDescent="0.25">
      <c r="A2837" t="str">
        <f>"1341103137"</f>
        <v>1341103137</v>
      </c>
      <c r="B2837" t="s">
        <v>25</v>
      </c>
      <c r="C2837" t="s">
        <v>59</v>
      </c>
      <c r="D2837" t="s">
        <v>14716</v>
      </c>
      <c r="E2837">
        <v>424004</v>
      </c>
      <c r="F2837" t="s">
        <v>1</v>
      </c>
      <c r="G2837" t="s">
        <v>2</v>
      </c>
      <c r="H2837" t="s">
        <v>186</v>
      </c>
      <c r="I2837" t="s">
        <v>14717</v>
      </c>
      <c r="P2837" t="s">
        <v>27</v>
      </c>
      <c r="Y2837" t="s">
        <v>190</v>
      </c>
    </row>
    <row r="2838" spans="1:25" x14ac:dyDescent="0.25">
      <c r="A2838" t="str">
        <f>"1341277018"</f>
        <v>1341277018</v>
      </c>
      <c r="B2838" t="s">
        <v>624</v>
      </c>
      <c r="C2838" t="s">
        <v>1637</v>
      </c>
      <c r="D2838" t="s">
        <v>14718</v>
      </c>
      <c r="E2838">
        <v>424006</v>
      </c>
      <c r="F2838" t="s">
        <v>1</v>
      </c>
      <c r="G2838" t="s">
        <v>2</v>
      </c>
      <c r="H2838" t="s">
        <v>8622</v>
      </c>
      <c r="I2838" t="s">
        <v>14719</v>
      </c>
      <c r="P2838" t="s">
        <v>1731</v>
      </c>
      <c r="Y2838" t="s">
        <v>14720</v>
      </c>
    </row>
    <row r="2839" spans="1:25" x14ac:dyDescent="0.25">
      <c r="A2839" t="str">
        <f>"1341463970"</f>
        <v>1341463970</v>
      </c>
      <c r="B2839" t="s">
        <v>1152</v>
      </c>
      <c r="C2839" t="s">
        <v>14723</v>
      </c>
      <c r="D2839" t="s">
        <v>3135</v>
      </c>
      <c r="E2839">
        <v>424037</v>
      </c>
      <c r="F2839" t="s">
        <v>1</v>
      </c>
      <c r="G2839" t="s">
        <v>2</v>
      </c>
      <c r="H2839" t="s">
        <v>14721</v>
      </c>
      <c r="I2839" t="s">
        <v>3137</v>
      </c>
      <c r="J2839" t="s">
        <v>14722</v>
      </c>
      <c r="M2839" t="s">
        <v>3138</v>
      </c>
      <c r="P2839" t="s">
        <v>6236</v>
      </c>
      <c r="Y2839" t="s">
        <v>14724</v>
      </c>
    </row>
    <row r="2840" spans="1:25" x14ac:dyDescent="0.25">
      <c r="A2840" t="str">
        <f>"1341527888"</f>
        <v>1341527888</v>
      </c>
      <c r="B2840" t="s">
        <v>687</v>
      </c>
      <c r="C2840" t="s">
        <v>14728</v>
      </c>
      <c r="D2840" t="s">
        <v>14725</v>
      </c>
      <c r="E2840">
        <v>424006</v>
      </c>
      <c r="F2840" t="s">
        <v>1</v>
      </c>
      <c r="G2840" t="s">
        <v>2</v>
      </c>
      <c r="H2840" t="s">
        <v>4821</v>
      </c>
      <c r="I2840" t="s">
        <v>14726</v>
      </c>
      <c r="L2840" t="s">
        <v>8198</v>
      </c>
      <c r="M2840" t="s">
        <v>14727</v>
      </c>
      <c r="P2840" t="s">
        <v>14729</v>
      </c>
      <c r="Y2840" t="s">
        <v>4825</v>
      </c>
    </row>
    <row r="2841" spans="1:25" x14ac:dyDescent="0.25">
      <c r="A2841" t="str">
        <f>"1341530809"</f>
        <v>1341530809</v>
      </c>
      <c r="B2841" t="s">
        <v>352</v>
      </c>
      <c r="C2841" t="s">
        <v>14733</v>
      </c>
      <c r="D2841" t="s">
        <v>14730</v>
      </c>
      <c r="E2841">
        <v>424007</v>
      </c>
      <c r="F2841" t="s">
        <v>1</v>
      </c>
      <c r="G2841" t="s">
        <v>2</v>
      </c>
      <c r="H2841" t="s">
        <v>9471</v>
      </c>
      <c r="I2841" t="s">
        <v>14731</v>
      </c>
      <c r="K2841" t="s">
        <v>14732</v>
      </c>
      <c r="P2841" t="s">
        <v>20</v>
      </c>
      <c r="Y2841" t="s">
        <v>14734</v>
      </c>
    </row>
    <row r="2842" spans="1:25" x14ac:dyDescent="0.25">
      <c r="A2842" t="str">
        <f>"1341689535"</f>
        <v>1341689535</v>
      </c>
      <c r="B2842" t="s">
        <v>447</v>
      </c>
      <c r="C2842" t="s">
        <v>448</v>
      </c>
      <c r="D2842" t="s">
        <v>14735</v>
      </c>
      <c r="E2842">
        <v>424007</v>
      </c>
      <c r="F2842" t="s">
        <v>1</v>
      </c>
      <c r="G2842" t="s">
        <v>2</v>
      </c>
      <c r="H2842" t="s">
        <v>2358</v>
      </c>
      <c r="I2842" t="s">
        <v>14736</v>
      </c>
      <c r="P2842" t="s">
        <v>152</v>
      </c>
      <c r="Y2842" t="s">
        <v>2363</v>
      </c>
    </row>
    <row r="2843" spans="1:25" x14ac:dyDescent="0.25">
      <c r="A2843" t="str">
        <f>"1341702151"</f>
        <v>1341702151</v>
      </c>
      <c r="B2843" t="s">
        <v>25</v>
      </c>
      <c r="C2843" t="s">
        <v>1596</v>
      </c>
      <c r="D2843" t="s">
        <v>14737</v>
      </c>
      <c r="E2843">
        <v>424003</v>
      </c>
      <c r="F2843" t="s">
        <v>1</v>
      </c>
      <c r="G2843" t="s">
        <v>2</v>
      </c>
      <c r="H2843" t="s">
        <v>1042</v>
      </c>
      <c r="I2843" t="s">
        <v>14738</v>
      </c>
      <c r="J2843" t="s">
        <v>14739</v>
      </c>
      <c r="P2843" t="s">
        <v>14740</v>
      </c>
      <c r="Y2843" t="s">
        <v>14741</v>
      </c>
    </row>
    <row r="2844" spans="1:25" x14ac:dyDescent="0.25">
      <c r="A2844" t="str">
        <f>"1341748892"</f>
        <v>1341748892</v>
      </c>
      <c r="B2844" t="s">
        <v>1475</v>
      </c>
      <c r="C2844" t="s">
        <v>1476</v>
      </c>
      <c r="D2844" t="s">
        <v>14742</v>
      </c>
      <c r="E2844">
        <v>424007</v>
      </c>
      <c r="F2844" t="s">
        <v>1</v>
      </c>
      <c r="G2844" t="s">
        <v>2</v>
      </c>
      <c r="H2844" t="s">
        <v>5178</v>
      </c>
      <c r="I2844" t="s">
        <v>7383</v>
      </c>
      <c r="K2844" t="s">
        <v>14743</v>
      </c>
      <c r="P2844" t="s">
        <v>2731</v>
      </c>
      <c r="Y2844" t="s">
        <v>14744</v>
      </c>
    </row>
    <row r="2845" spans="1:25" x14ac:dyDescent="0.25">
      <c r="A2845" t="str">
        <f>"1341749698"</f>
        <v>1341749698</v>
      </c>
      <c r="B2845" t="s">
        <v>328</v>
      </c>
      <c r="C2845" t="s">
        <v>1920</v>
      </c>
      <c r="D2845" t="s">
        <v>14745</v>
      </c>
      <c r="E2845">
        <v>424028</v>
      </c>
      <c r="F2845" t="s">
        <v>1</v>
      </c>
      <c r="G2845" t="s">
        <v>2</v>
      </c>
      <c r="H2845" t="s">
        <v>13799</v>
      </c>
      <c r="I2845" t="s">
        <v>14746</v>
      </c>
      <c r="K2845" t="s">
        <v>14747</v>
      </c>
      <c r="P2845" t="s">
        <v>584</v>
      </c>
      <c r="Y2845" t="s">
        <v>13801</v>
      </c>
    </row>
    <row r="2846" spans="1:25" x14ac:dyDescent="0.25">
      <c r="A2846" t="str">
        <f>"1341918757"</f>
        <v>1341918757</v>
      </c>
      <c r="B2846" t="s">
        <v>1152</v>
      </c>
      <c r="C2846" t="s">
        <v>14752</v>
      </c>
      <c r="D2846" t="s">
        <v>14748</v>
      </c>
      <c r="E2846">
        <v>424038</v>
      </c>
      <c r="F2846" t="s">
        <v>1</v>
      </c>
      <c r="G2846" t="s">
        <v>2</v>
      </c>
      <c r="H2846" t="s">
        <v>7597</v>
      </c>
      <c r="I2846" t="s">
        <v>14749</v>
      </c>
      <c r="L2846" t="s">
        <v>14750</v>
      </c>
      <c r="M2846" t="s">
        <v>14751</v>
      </c>
      <c r="P2846" t="s">
        <v>1642</v>
      </c>
      <c r="Q2846" t="s">
        <v>14753</v>
      </c>
      <c r="V2846" t="s">
        <v>14754</v>
      </c>
      <c r="Y2846" t="s">
        <v>14755</v>
      </c>
    </row>
    <row r="2847" spans="1:25" x14ac:dyDescent="0.25">
      <c r="A2847" t="str">
        <f>"1341948397"</f>
        <v>1341948397</v>
      </c>
      <c r="B2847" t="s">
        <v>1702</v>
      </c>
      <c r="C2847" t="s">
        <v>2265</v>
      </c>
      <c r="D2847" t="s">
        <v>14756</v>
      </c>
      <c r="E2847">
        <v>424000</v>
      </c>
      <c r="F2847" t="s">
        <v>1</v>
      </c>
      <c r="G2847" t="s">
        <v>2</v>
      </c>
      <c r="H2847" t="s">
        <v>1531</v>
      </c>
      <c r="I2847" t="s">
        <v>14757</v>
      </c>
      <c r="L2847" t="s">
        <v>14758</v>
      </c>
      <c r="M2847" t="s">
        <v>14759</v>
      </c>
      <c r="P2847" t="s">
        <v>27</v>
      </c>
      <c r="Y2847" t="s">
        <v>1707</v>
      </c>
    </row>
    <row r="2848" spans="1:25" x14ac:dyDescent="0.25">
      <c r="A2848" t="str">
        <f>"1342108144"</f>
        <v>1342108144</v>
      </c>
      <c r="B2848" t="s">
        <v>1182</v>
      </c>
      <c r="C2848" t="s">
        <v>6011</v>
      </c>
      <c r="D2848" t="s">
        <v>14760</v>
      </c>
      <c r="E2848">
        <v>424002</v>
      </c>
      <c r="F2848" t="s">
        <v>1</v>
      </c>
      <c r="G2848" t="s">
        <v>2</v>
      </c>
      <c r="H2848" t="s">
        <v>6656</v>
      </c>
      <c r="I2848" t="s">
        <v>14761</v>
      </c>
      <c r="P2848" t="s">
        <v>14762</v>
      </c>
      <c r="Y2848" t="s">
        <v>14763</v>
      </c>
    </row>
    <row r="2849" spans="1:25" x14ac:dyDescent="0.25">
      <c r="A2849" t="str">
        <f>"1342139236"</f>
        <v>1342139236</v>
      </c>
      <c r="B2849" t="s">
        <v>32</v>
      </c>
      <c r="C2849" t="s">
        <v>182</v>
      </c>
      <c r="D2849" t="s">
        <v>14764</v>
      </c>
      <c r="E2849">
        <v>424000</v>
      </c>
      <c r="F2849" t="s">
        <v>1</v>
      </c>
      <c r="G2849" t="s">
        <v>2</v>
      </c>
      <c r="H2849" t="s">
        <v>9432</v>
      </c>
      <c r="P2849" t="s">
        <v>4093</v>
      </c>
      <c r="Y2849" t="s">
        <v>14765</v>
      </c>
    </row>
    <row r="2850" spans="1:25" x14ac:dyDescent="0.25">
      <c r="A2850" t="str">
        <f>"1342194231"</f>
        <v>1342194231</v>
      </c>
      <c r="B2850" t="s">
        <v>1758</v>
      </c>
      <c r="C2850" t="s">
        <v>14769</v>
      </c>
      <c r="D2850" t="s">
        <v>14766</v>
      </c>
      <c r="E2850">
        <v>424007</v>
      </c>
      <c r="F2850" t="s">
        <v>1</v>
      </c>
      <c r="G2850" t="s">
        <v>2</v>
      </c>
      <c r="H2850" t="s">
        <v>14767</v>
      </c>
      <c r="I2850" t="s">
        <v>14768</v>
      </c>
      <c r="L2850" t="s">
        <v>581</v>
      </c>
      <c r="M2850" t="s">
        <v>582</v>
      </c>
      <c r="P2850" t="s">
        <v>14770</v>
      </c>
      <c r="Y2850" t="s">
        <v>14771</v>
      </c>
    </row>
    <row r="2851" spans="1:25" x14ac:dyDescent="0.25">
      <c r="A2851" t="str">
        <f>"1342262763"</f>
        <v>1342262763</v>
      </c>
      <c r="B2851" t="s">
        <v>25</v>
      </c>
      <c r="C2851" t="s">
        <v>14775</v>
      </c>
      <c r="D2851" t="s">
        <v>14772</v>
      </c>
      <c r="E2851">
        <v>424002</v>
      </c>
      <c r="F2851" t="s">
        <v>1</v>
      </c>
      <c r="G2851" t="s">
        <v>2</v>
      </c>
      <c r="H2851" t="s">
        <v>662</v>
      </c>
      <c r="I2851" t="s">
        <v>14773</v>
      </c>
      <c r="J2851" t="s">
        <v>11229</v>
      </c>
      <c r="L2851" t="s">
        <v>14774</v>
      </c>
      <c r="P2851" t="s">
        <v>216</v>
      </c>
      <c r="Y2851" t="s">
        <v>3342</v>
      </c>
    </row>
    <row r="2852" spans="1:25" x14ac:dyDescent="0.25">
      <c r="A2852" t="str">
        <f>"1342332168"</f>
        <v>1342332168</v>
      </c>
      <c r="B2852" t="s">
        <v>160</v>
      </c>
      <c r="C2852" t="s">
        <v>9976</v>
      </c>
      <c r="D2852" t="s">
        <v>14776</v>
      </c>
      <c r="E2852">
        <v>424019</v>
      </c>
      <c r="F2852" t="s">
        <v>1</v>
      </c>
      <c r="G2852" t="s">
        <v>2</v>
      </c>
      <c r="H2852" t="s">
        <v>9271</v>
      </c>
      <c r="I2852" t="s">
        <v>14777</v>
      </c>
      <c r="J2852" t="s">
        <v>14778</v>
      </c>
      <c r="P2852" t="s">
        <v>14779</v>
      </c>
      <c r="Y2852" t="s">
        <v>14780</v>
      </c>
    </row>
    <row r="2853" spans="1:25" x14ac:dyDescent="0.25">
      <c r="A2853" t="str">
        <f>"1342498830"</f>
        <v>1342498830</v>
      </c>
      <c r="B2853" t="s">
        <v>18</v>
      </c>
      <c r="C2853" t="s">
        <v>14786</v>
      </c>
      <c r="D2853" t="s">
        <v>14781</v>
      </c>
      <c r="F2853" t="s">
        <v>1</v>
      </c>
      <c r="G2853" t="s">
        <v>2</v>
      </c>
      <c r="H2853" t="s">
        <v>14782</v>
      </c>
      <c r="I2853" t="s">
        <v>14783</v>
      </c>
      <c r="K2853" t="s">
        <v>14784</v>
      </c>
      <c r="M2853" t="s">
        <v>14785</v>
      </c>
      <c r="P2853" t="s">
        <v>20</v>
      </c>
      <c r="Y2853" t="s">
        <v>14787</v>
      </c>
    </row>
    <row r="2854" spans="1:25" x14ac:dyDescent="0.25">
      <c r="A2854" t="str">
        <f>"1342770404"</f>
        <v>1342770404</v>
      </c>
      <c r="B2854" t="s">
        <v>1053</v>
      </c>
      <c r="C2854" t="s">
        <v>1927</v>
      </c>
      <c r="D2854" t="s">
        <v>14788</v>
      </c>
      <c r="E2854">
        <v>424016</v>
      </c>
      <c r="F2854" t="s">
        <v>1</v>
      </c>
      <c r="G2854" t="s">
        <v>2</v>
      </c>
      <c r="H2854" t="s">
        <v>4568</v>
      </c>
      <c r="I2854" t="s">
        <v>14789</v>
      </c>
      <c r="P2854" t="s">
        <v>20</v>
      </c>
      <c r="Y2854" t="s">
        <v>4574</v>
      </c>
    </row>
    <row r="2855" spans="1:25" x14ac:dyDescent="0.25">
      <c r="A2855" t="str">
        <f>"1342859454"</f>
        <v>1342859454</v>
      </c>
      <c r="B2855" t="s">
        <v>888</v>
      </c>
      <c r="C2855" t="s">
        <v>7389</v>
      </c>
      <c r="D2855" t="s">
        <v>14790</v>
      </c>
      <c r="E2855">
        <v>424002</v>
      </c>
      <c r="F2855" t="s">
        <v>1</v>
      </c>
      <c r="G2855" t="s">
        <v>2</v>
      </c>
      <c r="H2855" t="s">
        <v>57</v>
      </c>
      <c r="I2855" t="s">
        <v>14791</v>
      </c>
      <c r="P2855" t="s">
        <v>4831</v>
      </c>
      <c r="Y2855" t="s">
        <v>3783</v>
      </c>
    </row>
    <row r="2856" spans="1:25" x14ac:dyDescent="0.25">
      <c r="A2856" t="str">
        <f>"1342990896"</f>
        <v>1342990896</v>
      </c>
      <c r="B2856" t="s">
        <v>3652</v>
      </c>
      <c r="C2856" t="s">
        <v>3685</v>
      </c>
      <c r="D2856" t="s">
        <v>14792</v>
      </c>
      <c r="E2856">
        <v>424006</v>
      </c>
      <c r="F2856" t="s">
        <v>1</v>
      </c>
      <c r="G2856" t="s">
        <v>2</v>
      </c>
      <c r="H2856" t="s">
        <v>1003</v>
      </c>
      <c r="I2856" t="s">
        <v>14793</v>
      </c>
      <c r="J2856" t="s">
        <v>14794</v>
      </c>
      <c r="P2856" t="s">
        <v>280</v>
      </c>
      <c r="Y2856" t="s">
        <v>14262</v>
      </c>
    </row>
    <row r="2857" spans="1:25" x14ac:dyDescent="0.25">
      <c r="A2857" t="str">
        <f>"1343123651"</f>
        <v>1343123651</v>
      </c>
      <c r="B2857" t="s">
        <v>123</v>
      </c>
      <c r="C2857" t="s">
        <v>196</v>
      </c>
      <c r="D2857" t="s">
        <v>14795</v>
      </c>
      <c r="E2857">
        <v>424003</v>
      </c>
      <c r="F2857" t="s">
        <v>1</v>
      </c>
      <c r="G2857" t="s">
        <v>2</v>
      </c>
      <c r="H2857" t="s">
        <v>1042</v>
      </c>
      <c r="I2857" t="s">
        <v>14796</v>
      </c>
      <c r="P2857" t="s">
        <v>14797</v>
      </c>
      <c r="Y2857" t="s">
        <v>14798</v>
      </c>
    </row>
    <row r="2858" spans="1:25" x14ac:dyDescent="0.25">
      <c r="A2858" t="str">
        <f>"1343152215"</f>
        <v>1343152215</v>
      </c>
      <c r="B2858" t="s">
        <v>18</v>
      </c>
      <c r="C2858" t="s">
        <v>14801</v>
      </c>
      <c r="D2858" t="s">
        <v>14799</v>
      </c>
      <c r="E2858">
        <v>424032</v>
      </c>
      <c r="F2858" t="s">
        <v>1</v>
      </c>
      <c r="G2858" t="s">
        <v>2</v>
      </c>
      <c r="H2858" t="s">
        <v>5699</v>
      </c>
      <c r="I2858" t="s">
        <v>14800</v>
      </c>
      <c r="L2858" t="s">
        <v>12954</v>
      </c>
      <c r="P2858" t="s">
        <v>2731</v>
      </c>
      <c r="Y2858" t="s">
        <v>5709</v>
      </c>
    </row>
    <row r="2859" spans="1:25" x14ac:dyDescent="0.25">
      <c r="A2859" t="str">
        <f>"1343266405"</f>
        <v>1343266405</v>
      </c>
      <c r="B2859" t="s">
        <v>96</v>
      </c>
      <c r="C2859" t="s">
        <v>659</v>
      </c>
      <c r="D2859" t="s">
        <v>3493</v>
      </c>
      <c r="E2859">
        <v>424918</v>
      </c>
      <c r="F2859" t="s">
        <v>1</v>
      </c>
      <c r="G2859" t="s">
        <v>2</v>
      </c>
      <c r="H2859" t="s">
        <v>629</v>
      </c>
      <c r="I2859" t="s">
        <v>14802</v>
      </c>
      <c r="P2859" t="s">
        <v>630</v>
      </c>
      <c r="Y2859" t="s">
        <v>5594</v>
      </c>
    </row>
    <row r="2860" spans="1:25" x14ac:dyDescent="0.25">
      <c r="A2860" t="str">
        <f>"1343358550"</f>
        <v>1343358550</v>
      </c>
      <c r="B2860" t="s">
        <v>25</v>
      </c>
      <c r="C2860" t="s">
        <v>59</v>
      </c>
      <c r="D2860" t="s">
        <v>10481</v>
      </c>
      <c r="E2860">
        <v>424005</v>
      </c>
      <c r="F2860" t="s">
        <v>1</v>
      </c>
      <c r="G2860" t="s">
        <v>2</v>
      </c>
      <c r="H2860" t="s">
        <v>6843</v>
      </c>
      <c r="I2860" t="s">
        <v>14803</v>
      </c>
      <c r="P2860" t="s">
        <v>144</v>
      </c>
      <c r="Y2860" t="s">
        <v>6846</v>
      </c>
    </row>
    <row r="2861" spans="1:25" x14ac:dyDescent="0.25">
      <c r="A2861" t="str">
        <f>"1343406317"</f>
        <v>1343406317</v>
      </c>
      <c r="B2861" t="s">
        <v>32</v>
      </c>
      <c r="C2861" t="s">
        <v>777</v>
      </c>
      <c r="D2861" t="s">
        <v>14804</v>
      </c>
      <c r="E2861">
        <v>424032</v>
      </c>
      <c r="F2861" t="s">
        <v>1</v>
      </c>
      <c r="G2861" t="s">
        <v>2</v>
      </c>
      <c r="H2861" t="s">
        <v>7410</v>
      </c>
      <c r="I2861" t="s">
        <v>14805</v>
      </c>
      <c r="J2861" t="s">
        <v>14806</v>
      </c>
      <c r="P2861" t="s">
        <v>14807</v>
      </c>
      <c r="Y2861" t="s">
        <v>14808</v>
      </c>
    </row>
    <row r="2862" spans="1:25" x14ac:dyDescent="0.25">
      <c r="A2862" t="str">
        <f>"1343429828"</f>
        <v>1343429828</v>
      </c>
      <c r="B2862" t="s">
        <v>25</v>
      </c>
      <c r="C2862" t="s">
        <v>9873</v>
      </c>
      <c r="D2862" t="s">
        <v>14809</v>
      </c>
      <c r="E2862">
        <v>424006</v>
      </c>
      <c r="F2862" t="s">
        <v>1</v>
      </c>
      <c r="G2862" t="s">
        <v>2</v>
      </c>
      <c r="H2862" t="s">
        <v>751</v>
      </c>
      <c r="I2862" t="s">
        <v>14810</v>
      </c>
      <c r="J2862" t="s">
        <v>14811</v>
      </c>
      <c r="M2862" t="s">
        <v>14812</v>
      </c>
      <c r="P2862" t="s">
        <v>14813</v>
      </c>
      <c r="Q2862" t="s">
        <v>14814</v>
      </c>
      <c r="Y2862" t="s">
        <v>755</v>
      </c>
    </row>
    <row r="2863" spans="1:25" x14ac:dyDescent="0.25">
      <c r="A2863" t="str">
        <f>"1343441420"</f>
        <v>1343441420</v>
      </c>
      <c r="B2863" t="s">
        <v>348</v>
      </c>
      <c r="C2863" t="s">
        <v>12108</v>
      </c>
      <c r="D2863" t="s">
        <v>14815</v>
      </c>
      <c r="E2863">
        <v>424019</v>
      </c>
      <c r="F2863" t="s">
        <v>1</v>
      </c>
      <c r="G2863" t="s">
        <v>2</v>
      </c>
      <c r="H2863" t="s">
        <v>7785</v>
      </c>
      <c r="I2863" t="s">
        <v>14816</v>
      </c>
      <c r="L2863" t="s">
        <v>14817</v>
      </c>
      <c r="M2863" t="s">
        <v>14818</v>
      </c>
      <c r="P2863" t="s">
        <v>98</v>
      </c>
      <c r="Q2863" t="s">
        <v>14819</v>
      </c>
      <c r="R2863" t="s">
        <v>14820</v>
      </c>
      <c r="T2863" t="s">
        <v>14821</v>
      </c>
      <c r="U2863" t="s">
        <v>14822</v>
      </c>
      <c r="V2863" t="s">
        <v>14823</v>
      </c>
      <c r="Y2863" t="s">
        <v>14824</v>
      </c>
    </row>
    <row r="2864" spans="1:25" x14ac:dyDescent="0.25">
      <c r="A2864" t="str">
        <f>"1343478533"</f>
        <v>1343478533</v>
      </c>
      <c r="B2864" t="s">
        <v>388</v>
      </c>
      <c r="C2864" t="s">
        <v>2653</v>
      </c>
      <c r="D2864" t="s">
        <v>14825</v>
      </c>
      <c r="E2864">
        <v>424007</v>
      </c>
      <c r="F2864" t="s">
        <v>1</v>
      </c>
      <c r="G2864" t="s">
        <v>2</v>
      </c>
      <c r="H2864" t="s">
        <v>1566</v>
      </c>
      <c r="I2864" t="s">
        <v>14826</v>
      </c>
      <c r="P2864" t="s">
        <v>14827</v>
      </c>
      <c r="Y2864" t="s">
        <v>2882</v>
      </c>
    </row>
    <row r="2865" spans="1:25" x14ac:dyDescent="0.25">
      <c r="A2865" t="str">
        <f>"1343497159"</f>
        <v>1343497159</v>
      </c>
      <c r="B2865" t="s">
        <v>574</v>
      </c>
      <c r="C2865" t="s">
        <v>14830</v>
      </c>
      <c r="D2865" t="s">
        <v>14828</v>
      </c>
      <c r="E2865">
        <v>424004</v>
      </c>
      <c r="F2865" t="s">
        <v>1</v>
      </c>
      <c r="G2865" t="s">
        <v>2</v>
      </c>
      <c r="H2865" t="s">
        <v>12781</v>
      </c>
      <c r="I2865" t="s">
        <v>14829</v>
      </c>
      <c r="P2865" t="s">
        <v>280</v>
      </c>
      <c r="Y2865" t="s">
        <v>14082</v>
      </c>
    </row>
    <row r="2866" spans="1:25" x14ac:dyDescent="0.25">
      <c r="A2866" t="str">
        <f>"1343527332"</f>
        <v>1343527332</v>
      </c>
      <c r="B2866" t="s">
        <v>1046</v>
      </c>
      <c r="C2866" t="s">
        <v>14832</v>
      </c>
      <c r="D2866" t="s">
        <v>14831</v>
      </c>
      <c r="E2866">
        <v>424040</v>
      </c>
      <c r="F2866" t="s">
        <v>1</v>
      </c>
      <c r="G2866" t="s">
        <v>2</v>
      </c>
      <c r="H2866" t="s">
        <v>7989</v>
      </c>
      <c r="Y2866" t="s">
        <v>14833</v>
      </c>
    </row>
    <row r="2867" spans="1:25" x14ac:dyDescent="0.25">
      <c r="A2867" t="str">
        <f>"1343685107"</f>
        <v>1343685107</v>
      </c>
      <c r="B2867" t="s">
        <v>1758</v>
      </c>
      <c r="C2867" t="s">
        <v>7867</v>
      </c>
      <c r="D2867" t="s">
        <v>1805</v>
      </c>
      <c r="E2867">
        <v>424033</v>
      </c>
      <c r="F2867" t="s">
        <v>1</v>
      </c>
      <c r="G2867" t="s">
        <v>2</v>
      </c>
      <c r="H2867" t="s">
        <v>2597</v>
      </c>
      <c r="I2867" t="s">
        <v>1807</v>
      </c>
      <c r="P2867" t="s">
        <v>14834</v>
      </c>
      <c r="Y2867" t="s">
        <v>14835</v>
      </c>
    </row>
    <row r="2868" spans="1:25" x14ac:dyDescent="0.25">
      <c r="A2868" t="str">
        <f>"1343845549"</f>
        <v>1343845549</v>
      </c>
      <c r="B2868" t="s">
        <v>1573</v>
      </c>
      <c r="C2868" t="s">
        <v>1574</v>
      </c>
      <c r="D2868" t="s">
        <v>14836</v>
      </c>
      <c r="E2868">
        <v>424031</v>
      </c>
      <c r="F2868" t="s">
        <v>1</v>
      </c>
      <c r="G2868" t="s">
        <v>2</v>
      </c>
      <c r="H2868" t="s">
        <v>11334</v>
      </c>
      <c r="I2868" t="s">
        <v>14837</v>
      </c>
      <c r="L2868" t="s">
        <v>14838</v>
      </c>
      <c r="M2868" t="s">
        <v>14839</v>
      </c>
      <c r="P2868" t="s">
        <v>1855</v>
      </c>
      <c r="Q2868" t="s">
        <v>14840</v>
      </c>
      <c r="V2868" t="s">
        <v>14841</v>
      </c>
      <c r="Y2868" t="s">
        <v>14842</v>
      </c>
    </row>
    <row r="2869" spans="1:25" x14ac:dyDescent="0.25">
      <c r="A2869" t="str">
        <f>"1343869962"</f>
        <v>1343869962</v>
      </c>
      <c r="B2869" t="s">
        <v>456</v>
      </c>
      <c r="C2869" t="s">
        <v>14848</v>
      </c>
      <c r="D2869" t="s">
        <v>14843</v>
      </c>
      <c r="E2869">
        <v>424000</v>
      </c>
      <c r="F2869" t="s">
        <v>1</v>
      </c>
      <c r="G2869" t="s">
        <v>2</v>
      </c>
      <c r="H2869" t="s">
        <v>11438</v>
      </c>
      <c r="I2869" t="s">
        <v>14844</v>
      </c>
      <c r="J2869" t="s">
        <v>14845</v>
      </c>
      <c r="L2869" t="s">
        <v>14846</v>
      </c>
      <c r="M2869" t="s">
        <v>14847</v>
      </c>
      <c r="P2869" t="s">
        <v>1160</v>
      </c>
      <c r="Q2869" t="s">
        <v>14849</v>
      </c>
      <c r="T2869" t="s">
        <v>14850</v>
      </c>
      <c r="V2869" t="s">
        <v>14851</v>
      </c>
      <c r="Y2869" t="s">
        <v>14852</v>
      </c>
    </row>
    <row r="2870" spans="1:25" x14ac:dyDescent="0.25">
      <c r="A2870" t="str">
        <f>"1343919087"</f>
        <v>1343919087</v>
      </c>
      <c r="B2870" t="s">
        <v>123</v>
      </c>
      <c r="C2870" t="s">
        <v>424</v>
      </c>
      <c r="D2870" t="s">
        <v>8373</v>
      </c>
      <c r="E2870">
        <v>424019</v>
      </c>
      <c r="F2870" t="s">
        <v>1</v>
      </c>
      <c r="G2870" t="s">
        <v>2</v>
      </c>
      <c r="H2870" t="s">
        <v>7863</v>
      </c>
      <c r="I2870" t="s">
        <v>14853</v>
      </c>
      <c r="J2870" t="s">
        <v>14854</v>
      </c>
      <c r="L2870" t="s">
        <v>8376</v>
      </c>
      <c r="M2870" t="s">
        <v>8377</v>
      </c>
      <c r="P2870" t="s">
        <v>425</v>
      </c>
      <c r="Y2870" t="s">
        <v>14089</v>
      </c>
    </row>
    <row r="2871" spans="1:25" x14ac:dyDescent="0.25">
      <c r="A2871" t="str">
        <f>"1343958385"</f>
        <v>1343958385</v>
      </c>
      <c r="B2871" t="s">
        <v>284</v>
      </c>
      <c r="C2871" t="s">
        <v>2462</v>
      </c>
      <c r="D2871" t="s">
        <v>14855</v>
      </c>
      <c r="E2871">
        <v>424033</v>
      </c>
      <c r="F2871" t="s">
        <v>1</v>
      </c>
      <c r="G2871" t="s">
        <v>2</v>
      </c>
      <c r="H2871" t="s">
        <v>14856</v>
      </c>
      <c r="J2871" t="s">
        <v>14857</v>
      </c>
      <c r="P2871" t="s">
        <v>1270</v>
      </c>
      <c r="Y2871" t="s">
        <v>14858</v>
      </c>
    </row>
    <row r="2872" spans="1:25" x14ac:dyDescent="0.25">
      <c r="A2872" t="str">
        <f>"1344055690"</f>
        <v>1344055690</v>
      </c>
      <c r="B2872" t="s">
        <v>3094</v>
      </c>
      <c r="C2872" t="s">
        <v>3095</v>
      </c>
      <c r="D2872" t="s">
        <v>14859</v>
      </c>
      <c r="E2872">
        <v>424039</v>
      </c>
      <c r="F2872" t="s">
        <v>1</v>
      </c>
      <c r="G2872" t="s">
        <v>2</v>
      </c>
      <c r="H2872" t="s">
        <v>14860</v>
      </c>
      <c r="I2872" t="s">
        <v>14861</v>
      </c>
      <c r="L2872" t="s">
        <v>14862</v>
      </c>
      <c r="M2872" t="s">
        <v>14863</v>
      </c>
      <c r="P2872" t="s">
        <v>280</v>
      </c>
      <c r="Q2872" t="s">
        <v>14864</v>
      </c>
      <c r="Y2872" t="s">
        <v>14865</v>
      </c>
    </row>
    <row r="2873" spans="1:25" x14ac:dyDescent="0.25">
      <c r="A2873" t="str">
        <f>"1344069824"</f>
        <v>1344069824</v>
      </c>
      <c r="B2873" t="s">
        <v>1078</v>
      </c>
      <c r="C2873" t="s">
        <v>14872</v>
      </c>
      <c r="D2873" t="s">
        <v>14866</v>
      </c>
      <c r="E2873">
        <v>424006</v>
      </c>
      <c r="F2873" t="s">
        <v>1</v>
      </c>
      <c r="G2873" t="s">
        <v>2</v>
      </c>
      <c r="H2873" t="s">
        <v>14867</v>
      </c>
      <c r="I2873" t="s">
        <v>14868</v>
      </c>
      <c r="J2873" t="s">
        <v>14869</v>
      </c>
      <c r="L2873" t="s">
        <v>14870</v>
      </c>
      <c r="M2873" t="s">
        <v>14871</v>
      </c>
      <c r="P2873" t="s">
        <v>27</v>
      </c>
      <c r="Y2873" t="s">
        <v>14873</v>
      </c>
    </row>
    <row r="2874" spans="1:25" x14ac:dyDescent="0.25">
      <c r="A2874" t="str">
        <f>"1344085453"</f>
        <v>1344085453</v>
      </c>
      <c r="B2874" t="s">
        <v>1611</v>
      </c>
      <c r="C2874" t="s">
        <v>14879</v>
      </c>
      <c r="D2874" t="s">
        <v>14874</v>
      </c>
      <c r="E2874">
        <v>424006</v>
      </c>
      <c r="F2874" t="s">
        <v>1</v>
      </c>
      <c r="G2874" t="s">
        <v>2</v>
      </c>
      <c r="H2874" t="s">
        <v>14875</v>
      </c>
      <c r="I2874" t="s">
        <v>14876</v>
      </c>
      <c r="L2874" t="s">
        <v>14877</v>
      </c>
      <c r="M2874" t="s">
        <v>14878</v>
      </c>
      <c r="P2874" t="s">
        <v>14880</v>
      </c>
      <c r="Y2874" t="s">
        <v>14881</v>
      </c>
    </row>
    <row r="2875" spans="1:25" x14ac:dyDescent="0.25">
      <c r="A2875" t="str">
        <f>"1344137962"</f>
        <v>1344137962</v>
      </c>
      <c r="B2875" t="s">
        <v>18</v>
      </c>
      <c r="C2875" t="s">
        <v>143</v>
      </c>
      <c r="D2875" t="s">
        <v>14882</v>
      </c>
      <c r="E2875">
        <v>424007</v>
      </c>
      <c r="F2875" t="s">
        <v>1</v>
      </c>
      <c r="G2875" t="s">
        <v>2</v>
      </c>
      <c r="H2875" t="s">
        <v>3444</v>
      </c>
      <c r="I2875" t="s">
        <v>14883</v>
      </c>
      <c r="P2875" t="s">
        <v>280</v>
      </c>
      <c r="Y2875" t="s">
        <v>3446</v>
      </c>
    </row>
    <row r="2876" spans="1:25" x14ac:dyDescent="0.25">
      <c r="A2876" t="str">
        <f>"1344427307"</f>
        <v>1344427307</v>
      </c>
      <c r="B2876" t="s">
        <v>25</v>
      </c>
      <c r="C2876" t="s">
        <v>59</v>
      </c>
      <c r="D2876" t="s">
        <v>14884</v>
      </c>
      <c r="E2876">
        <v>424004</v>
      </c>
      <c r="F2876" t="s">
        <v>1</v>
      </c>
      <c r="G2876" t="s">
        <v>2</v>
      </c>
      <c r="H2876" t="s">
        <v>351</v>
      </c>
      <c r="I2876" t="s">
        <v>14885</v>
      </c>
      <c r="J2876" t="s">
        <v>14886</v>
      </c>
      <c r="P2876" t="s">
        <v>330</v>
      </c>
      <c r="Y2876" t="s">
        <v>354</v>
      </c>
    </row>
    <row r="2877" spans="1:25" x14ac:dyDescent="0.25">
      <c r="A2877" t="str">
        <f>"1344450898"</f>
        <v>1344450898</v>
      </c>
      <c r="B2877" t="s">
        <v>352</v>
      </c>
      <c r="C2877" t="s">
        <v>353</v>
      </c>
      <c r="D2877" t="s">
        <v>14887</v>
      </c>
      <c r="E2877">
        <v>424003</v>
      </c>
      <c r="F2877" t="s">
        <v>1</v>
      </c>
      <c r="G2877" t="s">
        <v>2</v>
      </c>
      <c r="H2877" t="s">
        <v>5076</v>
      </c>
      <c r="I2877" t="s">
        <v>5077</v>
      </c>
      <c r="P2877" t="s">
        <v>1731</v>
      </c>
      <c r="Y2877" t="s">
        <v>14888</v>
      </c>
    </row>
    <row r="2878" spans="1:25" x14ac:dyDescent="0.25">
      <c r="A2878" t="str">
        <f>"1344461786"</f>
        <v>1344461786</v>
      </c>
      <c r="B2878" t="s">
        <v>319</v>
      </c>
      <c r="C2878" t="s">
        <v>320</v>
      </c>
      <c r="D2878" t="s">
        <v>2556</v>
      </c>
      <c r="E2878">
        <v>424005</v>
      </c>
      <c r="F2878" t="s">
        <v>1</v>
      </c>
      <c r="G2878" t="s">
        <v>2</v>
      </c>
      <c r="H2878" t="s">
        <v>5429</v>
      </c>
      <c r="I2878" t="s">
        <v>14889</v>
      </c>
      <c r="L2878" t="s">
        <v>2559</v>
      </c>
      <c r="M2878" t="s">
        <v>2560</v>
      </c>
      <c r="P2878" t="s">
        <v>14890</v>
      </c>
      <c r="Y2878" t="s">
        <v>14891</v>
      </c>
    </row>
    <row r="2879" spans="1:25" x14ac:dyDescent="0.25">
      <c r="A2879" t="str">
        <f>"1344561764"</f>
        <v>1344561764</v>
      </c>
      <c r="B2879" t="s">
        <v>624</v>
      </c>
      <c r="C2879" t="s">
        <v>2640</v>
      </c>
      <c r="D2879" t="s">
        <v>14892</v>
      </c>
      <c r="F2879" t="s">
        <v>1</v>
      </c>
      <c r="G2879" t="s">
        <v>2</v>
      </c>
      <c r="H2879" t="s">
        <v>12120</v>
      </c>
      <c r="I2879" t="s">
        <v>14893</v>
      </c>
      <c r="P2879" t="s">
        <v>1071</v>
      </c>
      <c r="Y2879" t="s">
        <v>14894</v>
      </c>
    </row>
    <row r="2880" spans="1:25" x14ac:dyDescent="0.25">
      <c r="A2880" t="str">
        <f>"1344564623"</f>
        <v>1344564623</v>
      </c>
      <c r="B2880" t="s">
        <v>1611</v>
      </c>
      <c r="C2880" t="s">
        <v>2214</v>
      </c>
      <c r="D2880" t="s">
        <v>14895</v>
      </c>
      <c r="E2880">
        <v>424006</v>
      </c>
      <c r="F2880" t="s">
        <v>1</v>
      </c>
      <c r="G2880" t="s">
        <v>2</v>
      </c>
      <c r="H2880" t="s">
        <v>14896</v>
      </c>
      <c r="I2880" t="s">
        <v>14897</v>
      </c>
      <c r="L2880" t="s">
        <v>10318</v>
      </c>
      <c r="M2880" t="s">
        <v>14898</v>
      </c>
      <c r="P2880" t="s">
        <v>5723</v>
      </c>
      <c r="Y2880" t="s">
        <v>14899</v>
      </c>
    </row>
    <row r="2881" spans="1:25" x14ac:dyDescent="0.25">
      <c r="A2881" t="str">
        <f>"1344577310"</f>
        <v>1344577310</v>
      </c>
      <c r="B2881" t="s">
        <v>538</v>
      </c>
      <c r="C2881" t="s">
        <v>3633</v>
      </c>
      <c r="D2881" t="s">
        <v>14900</v>
      </c>
      <c r="F2881" t="s">
        <v>1</v>
      </c>
      <c r="G2881" t="s">
        <v>2</v>
      </c>
      <c r="H2881" t="s">
        <v>7611</v>
      </c>
      <c r="I2881" t="s">
        <v>14901</v>
      </c>
      <c r="K2881" t="s">
        <v>14902</v>
      </c>
      <c r="L2881" t="s">
        <v>14903</v>
      </c>
      <c r="M2881" t="s">
        <v>14904</v>
      </c>
      <c r="P2881" t="s">
        <v>6315</v>
      </c>
      <c r="Q2881" t="s">
        <v>14905</v>
      </c>
      <c r="Y2881" t="s">
        <v>14906</v>
      </c>
    </row>
    <row r="2882" spans="1:25" x14ac:dyDescent="0.25">
      <c r="A2882" t="str">
        <f>"1344651432"</f>
        <v>1344651432</v>
      </c>
      <c r="B2882" t="s">
        <v>18</v>
      </c>
      <c r="C2882" t="s">
        <v>14912</v>
      </c>
      <c r="D2882" t="s">
        <v>14907</v>
      </c>
      <c r="E2882">
        <v>424032</v>
      </c>
      <c r="F2882" t="s">
        <v>1</v>
      </c>
      <c r="G2882" t="s">
        <v>2</v>
      </c>
      <c r="H2882" t="s">
        <v>3508</v>
      </c>
      <c r="I2882" t="s">
        <v>14908</v>
      </c>
      <c r="J2882" t="s">
        <v>14909</v>
      </c>
      <c r="L2882" t="s">
        <v>14910</v>
      </c>
      <c r="M2882" t="s">
        <v>14911</v>
      </c>
      <c r="P2882" t="s">
        <v>27</v>
      </c>
      <c r="Y2882" t="s">
        <v>14913</v>
      </c>
    </row>
    <row r="2883" spans="1:25" x14ac:dyDescent="0.25">
      <c r="A2883" t="str">
        <f>"1344795856"</f>
        <v>1344795856</v>
      </c>
      <c r="B2883" t="s">
        <v>123</v>
      </c>
      <c r="C2883" t="s">
        <v>424</v>
      </c>
      <c r="D2883" t="s">
        <v>7296</v>
      </c>
      <c r="E2883">
        <v>424039</v>
      </c>
      <c r="F2883" t="s">
        <v>1</v>
      </c>
      <c r="G2883" t="s">
        <v>2</v>
      </c>
      <c r="H2883" t="s">
        <v>2218</v>
      </c>
      <c r="I2883" t="s">
        <v>10892</v>
      </c>
      <c r="P2883" t="s">
        <v>4998</v>
      </c>
      <c r="Q2883" t="s">
        <v>14914</v>
      </c>
      <c r="Y2883" t="s">
        <v>14915</v>
      </c>
    </row>
    <row r="2884" spans="1:25" x14ac:dyDescent="0.25">
      <c r="A2884" t="str">
        <f>"1344811267"</f>
        <v>1344811267</v>
      </c>
      <c r="B2884" t="s">
        <v>574</v>
      </c>
      <c r="C2884" t="s">
        <v>14918</v>
      </c>
      <c r="D2884" t="s">
        <v>3329</v>
      </c>
      <c r="E2884">
        <v>424002</v>
      </c>
      <c r="F2884" t="s">
        <v>1</v>
      </c>
      <c r="G2884" t="s">
        <v>2</v>
      </c>
      <c r="H2884" t="s">
        <v>14916</v>
      </c>
      <c r="I2884" t="s">
        <v>14917</v>
      </c>
      <c r="P2884" t="s">
        <v>1027</v>
      </c>
      <c r="Y2884" t="s">
        <v>14919</v>
      </c>
    </row>
    <row r="2885" spans="1:25" x14ac:dyDescent="0.25">
      <c r="A2885" t="str">
        <f>"1344823626"</f>
        <v>1344823626</v>
      </c>
      <c r="B2885" t="s">
        <v>417</v>
      </c>
      <c r="C2885" t="s">
        <v>418</v>
      </c>
      <c r="D2885" t="s">
        <v>417</v>
      </c>
      <c r="E2885">
        <v>424031</v>
      </c>
      <c r="F2885" t="s">
        <v>1</v>
      </c>
      <c r="G2885" t="s">
        <v>2</v>
      </c>
      <c r="H2885" t="s">
        <v>14920</v>
      </c>
      <c r="J2885" t="s">
        <v>14921</v>
      </c>
      <c r="P2885" t="s">
        <v>14922</v>
      </c>
      <c r="Y2885" t="s">
        <v>14923</v>
      </c>
    </row>
    <row r="2886" spans="1:25" x14ac:dyDescent="0.25">
      <c r="A2886" t="str">
        <f>"1344823981"</f>
        <v>1344823981</v>
      </c>
      <c r="B2886" t="s">
        <v>1152</v>
      </c>
      <c r="C2886" t="s">
        <v>1153</v>
      </c>
      <c r="D2886" t="s">
        <v>14924</v>
      </c>
      <c r="E2886">
        <v>424038</v>
      </c>
      <c r="F2886" t="s">
        <v>1</v>
      </c>
      <c r="G2886" t="s">
        <v>2</v>
      </c>
      <c r="H2886" t="s">
        <v>546</v>
      </c>
      <c r="I2886" t="s">
        <v>10408</v>
      </c>
      <c r="J2886" t="s">
        <v>10409</v>
      </c>
      <c r="M2886" t="s">
        <v>14925</v>
      </c>
      <c r="P2886" t="s">
        <v>8133</v>
      </c>
      <c r="Q2886" t="s">
        <v>14926</v>
      </c>
      <c r="Y2886" t="s">
        <v>549</v>
      </c>
    </row>
    <row r="2887" spans="1:25" x14ac:dyDescent="0.25">
      <c r="A2887" t="str">
        <f>"1344832218"</f>
        <v>1344832218</v>
      </c>
      <c r="B2887" t="s">
        <v>456</v>
      </c>
      <c r="C2887" t="s">
        <v>14932</v>
      </c>
      <c r="D2887" t="s">
        <v>14927</v>
      </c>
      <c r="E2887">
        <v>424003</v>
      </c>
      <c r="F2887" t="s">
        <v>1</v>
      </c>
      <c r="G2887" t="s">
        <v>2</v>
      </c>
      <c r="H2887" t="s">
        <v>14928</v>
      </c>
      <c r="I2887" t="s">
        <v>14929</v>
      </c>
      <c r="L2887" t="s">
        <v>14930</v>
      </c>
      <c r="M2887" t="s">
        <v>14931</v>
      </c>
      <c r="P2887" t="s">
        <v>13820</v>
      </c>
      <c r="Q2887" t="s">
        <v>14933</v>
      </c>
      <c r="R2887" t="s">
        <v>14934</v>
      </c>
      <c r="S2887" t="s">
        <v>14935</v>
      </c>
      <c r="V2887" t="s">
        <v>14936</v>
      </c>
      <c r="Y2887" t="s">
        <v>14937</v>
      </c>
    </row>
    <row r="2888" spans="1:25" x14ac:dyDescent="0.25">
      <c r="A2888" t="str">
        <f>"1344832888"</f>
        <v>1344832888</v>
      </c>
      <c r="B2888" t="s">
        <v>32</v>
      </c>
      <c r="C2888" t="s">
        <v>33</v>
      </c>
      <c r="D2888" t="s">
        <v>14938</v>
      </c>
      <c r="E2888">
        <v>424002</v>
      </c>
      <c r="F2888" t="s">
        <v>1</v>
      </c>
      <c r="G2888" t="s">
        <v>2</v>
      </c>
      <c r="H2888" t="s">
        <v>2507</v>
      </c>
      <c r="I2888" t="s">
        <v>14939</v>
      </c>
      <c r="P2888" t="s">
        <v>14940</v>
      </c>
      <c r="Y2888" t="s">
        <v>14941</v>
      </c>
    </row>
    <row r="2889" spans="1:25" x14ac:dyDescent="0.25">
      <c r="A2889" t="str">
        <f>"1344877101"</f>
        <v>1344877101</v>
      </c>
      <c r="B2889" t="s">
        <v>1315</v>
      </c>
      <c r="C2889" t="s">
        <v>14944</v>
      </c>
      <c r="D2889" t="s">
        <v>14942</v>
      </c>
      <c r="E2889">
        <v>424006</v>
      </c>
      <c r="F2889" t="s">
        <v>1</v>
      </c>
      <c r="G2889" t="s">
        <v>2</v>
      </c>
      <c r="H2889" t="s">
        <v>1645</v>
      </c>
      <c r="I2889" t="s">
        <v>14943</v>
      </c>
      <c r="P2889" t="s">
        <v>14945</v>
      </c>
      <c r="Y2889" t="s">
        <v>14946</v>
      </c>
    </row>
    <row r="2890" spans="1:25" x14ac:dyDescent="0.25">
      <c r="A2890" t="str">
        <f>"1344891445"</f>
        <v>1344891445</v>
      </c>
      <c r="B2890" t="s">
        <v>1053</v>
      </c>
      <c r="C2890" t="s">
        <v>1927</v>
      </c>
      <c r="D2890" t="s">
        <v>7960</v>
      </c>
      <c r="E2890">
        <v>424033</v>
      </c>
      <c r="F2890" t="s">
        <v>1</v>
      </c>
      <c r="G2890" t="s">
        <v>2</v>
      </c>
      <c r="H2890" t="s">
        <v>14856</v>
      </c>
      <c r="P2890" t="s">
        <v>9</v>
      </c>
      <c r="Y2890" t="s">
        <v>14947</v>
      </c>
    </row>
    <row r="2891" spans="1:25" x14ac:dyDescent="0.25">
      <c r="A2891" t="str">
        <f>"1344896253"</f>
        <v>1344896253</v>
      </c>
      <c r="B2891" t="s">
        <v>703</v>
      </c>
      <c r="C2891" t="s">
        <v>10967</v>
      </c>
      <c r="D2891" t="s">
        <v>14948</v>
      </c>
      <c r="E2891">
        <v>424006</v>
      </c>
      <c r="F2891" t="s">
        <v>1</v>
      </c>
      <c r="G2891" t="s">
        <v>2</v>
      </c>
      <c r="H2891" t="s">
        <v>14949</v>
      </c>
      <c r="I2891" t="s">
        <v>14950</v>
      </c>
      <c r="J2891" t="s">
        <v>14951</v>
      </c>
      <c r="K2891" t="s">
        <v>14952</v>
      </c>
      <c r="Y2891" t="s">
        <v>13598</v>
      </c>
    </row>
    <row r="2892" spans="1:25" x14ac:dyDescent="0.25">
      <c r="A2892" t="str">
        <f>"1344965184"</f>
        <v>1344965184</v>
      </c>
      <c r="B2892" t="s">
        <v>519</v>
      </c>
      <c r="C2892" t="s">
        <v>13130</v>
      </c>
      <c r="D2892" t="s">
        <v>14953</v>
      </c>
      <c r="E2892">
        <v>424003</v>
      </c>
      <c r="F2892" t="s">
        <v>1</v>
      </c>
      <c r="G2892" t="s">
        <v>2</v>
      </c>
      <c r="H2892" t="s">
        <v>1042</v>
      </c>
      <c r="J2892" t="s">
        <v>14954</v>
      </c>
      <c r="P2892" t="s">
        <v>14955</v>
      </c>
      <c r="Y2892" t="s">
        <v>11321</v>
      </c>
    </row>
    <row r="2893" spans="1:25" x14ac:dyDescent="0.25">
      <c r="A2893" t="str">
        <f>"1344969113"</f>
        <v>1344969113</v>
      </c>
      <c r="B2893" t="s">
        <v>18</v>
      </c>
      <c r="C2893" t="s">
        <v>12289</v>
      </c>
      <c r="D2893" t="s">
        <v>1265</v>
      </c>
      <c r="E2893">
        <v>424037</v>
      </c>
      <c r="F2893" t="s">
        <v>1</v>
      </c>
      <c r="G2893" t="s">
        <v>2</v>
      </c>
      <c r="H2893" t="s">
        <v>14956</v>
      </c>
      <c r="I2893" t="s">
        <v>14957</v>
      </c>
      <c r="J2893" t="s">
        <v>14958</v>
      </c>
      <c r="M2893" t="s">
        <v>14959</v>
      </c>
      <c r="P2893" t="s">
        <v>14960</v>
      </c>
      <c r="Y2893" t="s">
        <v>14961</v>
      </c>
    </row>
    <row r="2894" spans="1:25" x14ac:dyDescent="0.25">
      <c r="A2894" t="str">
        <f>"1345047812"</f>
        <v>1345047812</v>
      </c>
      <c r="B2894" t="s">
        <v>96</v>
      </c>
      <c r="C2894" t="s">
        <v>893</v>
      </c>
      <c r="D2894" t="s">
        <v>14962</v>
      </c>
      <c r="E2894">
        <v>424000</v>
      </c>
      <c r="F2894" t="s">
        <v>1</v>
      </c>
      <c r="G2894" t="s">
        <v>2</v>
      </c>
      <c r="H2894" t="s">
        <v>1531</v>
      </c>
      <c r="P2894" t="s">
        <v>1760</v>
      </c>
      <c r="Y2894" t="s">
        <v>1707</v>
      </c>
    </row>
    <row r="2895" spans="1:25" x14ac:dyDescent="0.25">
      <c r="A2895" t="str">
        <f>"1345054117"</f>
        <v>1345054117</v>
      </c>
      <c r="B2895" t="s">
        <v>151</v>
      </c>
      <c r="C2895" t="s">
        <v>14967</v>
      </c>
      <c r="D2895" t="s">
        <v>14963</v>
      </c>
      <c r="E2895">
        <v>424007</v>
      </c>
      <c r="F2895" t="s">
        <v>1</v>
      </c>
      <c r="G2895" t="s">
        <v>2</v>
      </c>
      <c r="H2895" t="s">
        <v>4869</v>
      </c>
      <c r="I2895" t="s">
        <v>14964</v>
      </c>
      <c r="L2895" t="s">
        <v>14965</v>
      </c>
      <c r="M2895" t="s">
        <v>14966</v>
      </c>
      <c r="P2895" t="s">
        <v>27</v>
      </c>
      <c r="Y2895" t="s">
        <v>5759</v>
      </c>
    </row>
    <row r="2896" spans="1:25" x14ac:dyDescent="0.25">
      <c r="A2896" t="str">
        <f>"1345101903"</f>
        <v>1345101903</v>
      </c>
      <c r="B2896" t="s">
        <v>803</v>
      </c>
      <c r="C2896" t="s">
        <v>4941</v>
      </c>
      <c r="D2896" t="s">
        <v>14968</v>
      </c>
      <c r="E2896">
        <v>424002</v>
      </c>
      <c r="F2896" t="s">
        <v>1</v>
      </c>
      <c r="G2896" t="s">
        <v>2</v>
      </c>
      <c r="H2896" t="s">
        <v>3421</v>
      </c>
      <c r="I2896" t="s">
        <v>14969</v>
      </c>
      <c r="J2896" t="s">
        <v>14970</v>
      </c>
      <c r="L2896" t="s">
        <v>14971</v>
      </c>
      <c r="M2896" t="s">
        <v>14972</v>
      </c>
      <c r="P2896" t="s">
        <v>14973</v>
      </c>
      <c r="Y2896" t="s">
        <v>14974</v>
      </c>
    </row>
    <row r="2897" spans="1:25" x14ac:dyDescent="0.25">
      <c r="A2897" t="str">
        <f>"1345278886"</f>
        <v>1345278886</v>
      </c>
      <c r="B2897" t="s">
        <v>80</v>
      </c>
      <c r="C2897" t="s">
        <v>2071</v>
      </c>
      <c r="D2897" t="s">
        <v>14975</v>
      </c>
      <c r="E2897">
        <v>424036</v>
      </c>
      <c r="F2897" t="s">
        <v>1</v>
      </c>
      <c r="G2897" t="s">
        <v>2</v>
      </c>
      <c r="H2897" t="s">
        <v>14976</v>
      </c>
      <c r="I2897" t="s">
        <v>14977</v>
      </c>
      <c r="J2897" t="s">
        <v>14978</v>
      </c>
      <c r="P2897" t="s">
        <v>14979</v>
      </c>
      <c r="Y2897" t="s">
        <v>14980</v>
      </c>
    </row>
    <row r="2898" spans="1:25" x14ac:dyDescent="0.25">
      <c r="A2898" t="str">
        <f>"1345292769"</f>
        <v>1345292769</v>
      </c>
      <c r="B2898" t="s">
        <v>32</v>
      </c>
      <c r="C2898" t="s">
        <v>2996</v>
      </c>
      <c r="D2898" t="s">
        <v>14981</v>
      </c>
      <c r="E2898">
        <v>424031</v>
      </c>
      <c r="F2898" t="s">
        <v>1</v>
      </c>
      <c r="G2898" t="s">
        <v>2</v>
      </c>
      <c r="H2898" t="s">
        <v>4622</v>
      </c>
      <c r="J2898" t="s">
        <v>14982</v>
      </c>
      <c r="M2898" t="s">
        <v>14983</v>
      </c>
      <c r="P2898" t="s">
        <v>5871</v>
      </c>
      <c r="Q2898" t="s">
        <v>14984</v>
      </c>
      <c r="V2898" t="s">
        <v>14985</v>
      </c>
      <c r="Y2898" t="s">
        <v>14986</v>
      </c>
    </row>
    <row r="2899" spans="1:25" x14ac:dyDescent="0.25">
      <c r="A2899" t="str">
        <f>"1345449783"</f>
        <v>1345449783</v>
      </c>
      <c r="B2899" t="s">
        <v>290</v>
      </c>
      <c r="C2899" t="s">
        <v>14990</v>
      </c>
      <c r="D2899" t="s">
        <v>14987</v>
      </c>
      <c r="E2899">
        <v>424002</v>
      </c>
      <c r="F2899" t="s">
        <v>1</v>
      </c>
      <c r="G2899" t="s">
        <v>2</v>
      </c>
      <c r="H2899" t="s">
        <v>6502</v>
      </c>
      <c r="I2899" t="s">
        <v>14988</v>
      </c>
      <c r="J2899" t="s">
        <v>14989</v>
      </c>
      <c r="P2899" t="s">
        <v>14991</v>
      </c>
      <c r="Q2899" t="s">
        <v>14992</v>
      </c>
      <c r="Y2899" t="s">
        <v>14993</v>
      </c>
    </row>
    <row r="2900" spans="1:25" x14ac:dyDescent="0.25">
      <c r="A2900" t="str">
        <f>"1345584566"</f>
        <v>1345584566</v>
      </c>
      <c r="B2900" t="s">
        <v>18</v>
      </c>
      <c r="C2900" t="s">
        <v>9652</v>
      </c>
      <c r="D2900" t="s">
        <v>14994</v>
      </c>
      <c r="E2900">
        <v>424007</v>
      </c>
      <c r="F2900" t="s">
        <v>1</v>
      </c>
      <c r="G2900" t="s">
        <v>2</v>
      </c>
      <c r="H2900" t="s">
        <v>14995</v>
      </c>
      <c r="I2900" t="s">
        <v>14996</v>
      </c>
      <c r="J2900" t="s">
        <v>14997</v>
      </c>
      <c r="L2900" t="s">
        <v>14998</v>
      </c>
      <c r="M2900" t="s">
        <v>14999</v>
      </c>
      <c r="P2900" t="s">
        <v>20</v>
      </c>
      <c r="Q2900" t="s">
        <v>15000</v>
      </c>
      <c r="T2900" t="s">
        <v>15001</v>
      </c>
      <c r="V2900" t="s">
        <v>15002</v>
      </c>
      <c r="Y2900" t="s">
        <v>15003</v>
      </c>
    </row>
    <row r="2901" spans="1:25" x14ac:dyDescent="0.25">
      <c r="A2901" t="str">
        <f>"1345591219"</f>
        <v>1345591219</v>
      </c>
      <c r="B2901" t="s">
        <v>352</v>
      </c>
      <c r="C2901" t="s">
        <v>353</v>
      </c>
      <c r="D2901" t="s">
        <v>15004</v>
      </c>
      <c r="E2901">
        <v>424007</v>
      </c>
      <c r="F2901" t="s">
        <v>1</v>
      </c>
      <c r="G2901" t="s">
        <v>2</v>
      </c>
      <c r="H2901" t="s">
        <v>15005</v>
      </c>
      <c r="Y2901" t="s">
        <v>15006</v>
      </c>
    </row>
    <row r="2902" spans="1:25" x14ac:dyDescent="0.25">
      <c r="A2902" t="str">
        <f>"1345610239"</f>
        <v>1345610239</v>
      </c>
      <c r="B2902" t="s">
        <v>96</v>
      </c>
      <c r="C2902" t="s">
        <v>7071</v>
      </c>
      <c r="D2902" t="s">
        <v>15007</v>
      </c>
      <c r="E2902">
        <v>424000</v>
      </c>
      <c r="F2902" t="s">
        <v>1</v>
      </c>
      <c r="G2902" t="s">
        <v>2</v>
      </c>
      <c r="H2902" t="s">
        <v>3749</v>
      </c>
      <c r="I2902" t="s">
        <v>15008</v>
      </c>
      <c r="P2902" t="s">
        <v>941</v>
      </c>
      <c r="Y2902" t="s">
        <v>3754</v>
      </c>
    </row>
    <row r="2903" spans="1:25" x14ac:dyDescent="0.25">
      <c r="A2903" t="str">
        <f>"1345651109"</f>
        <v>1345651109</v>
      </c>
      <c r="B2903" t="s">
        <v>574</v>
      </c>
      <c r="C2903" t="s">
        <v>952</v>
      </c>
      <c r="D2903" t="s">
        <v>8187</v>
      </c>
      <c r="E2903">
        <v>424040</v>
      </c>
      <c r="F2903" t="s">
        <v>1</v>
      </c>
      <c r="G2903" t="s">
        <v>2</v>
      </c>
      <c r="H2903" t="s">
        <v>14424</v>
      </c>
      <c r="J2903" t="s">
        <v>15009</v>
      </c>
      <c r="L2903" t="s">
        <v>8189</v>
      </c>
      <c r="M2903" t="s">
        <v>8190</v>
      </c>
      <c r="P2903" t="s">
        <v>15010</v>
      </c>
      <c r="Q2903" t="s">
        <v>8192</v>
      </c>
      <c r="Y2903" t="s">
        <v>15011</v>
      </c>
    </row>
    <row r="2904" spans="1:25" x14ac:dyDescent="0.25">
      <c r="A2904" t="str">
        <f>"1345670928"</f>
        <v>1345670928</v>
      </c>
      <c r="B2904" t="s">
        <v>574</v>
      </c>
      <c r="C2904" t="s">
        <v>14269</v>
      </c>
      <c r="D2904" t="s">
        <v>15012</v>
      </c>
      <c r="E2904">
        <v>424006</v>
      </c>
      <c r="F2904" t="s">
        <v>1</v>
      </c>
      <c r="G2904" t="s">
        <v>2</v>
      </c>
      <c r="H2904" t="s">
        <v>15013</v>
      </c>
      <c r="I2904" t="s">
        <v>15014</v>
      </c>
      <c r="L2904" t="s">
        <v>15015</v>
      </c>
      <c r="M2904" t="s">
        <v>15016</v>
      </c>
      <c r="P2904" t="s">
        <v>216</v>
      </c>
      <c r="Q2904" t="s">
        <v>15017</v>
      </c>
      <c r="S2904" t="s">
        <v>15018</v>
      </c>
      <c r="V2904" t="s">
        <v>15019</v>
      </c>
      <c r="Y2904" t="s">
        <v>15020</v>
      </c>
    </row>
    <row r="2905" spans="1:25" x14ac:dyDescent="0.25">
      <c r="A2905" t="str">
        <f>"1345708754"</f>
        <v>1345708754</v>
      </c>
      <c r="B2905" t="s">
        <v>3094</v>
      </c>
      <c r="C2905" t="s">
        <v>3095</v>
      </c>
      <c r="D2905" t="s">
        <v>15021</v>
      </c>
      <c r="E2905">
        <v>424033</v>
      </c>
      <c r="F2905" t="s">
        <v>1</v>
      </c>
      <c r="G2905" t="s">
        <v>2</v>
      </c>
      <c r="H2905" t="s">
        <v>5433</v>
      </c>
      <c r="I2905" t="s">
        <v>15022</v>
      </c>
      <c r="L2905" t="s">
        <v>15023</v>
      </c>
      <c r="M2905" t="s">
        <v>15024</v>
      </c>
      <c r="P2905" t="s">
        <v>987</v>
      </c>
      <c r="Y2905" t="s">
        <v>15025</v>
      </c>
    </row>
    <row r="2906" spans="1:25" x14ac:dyDescent="0.25">
      <c r="A2906" t="str">
        <f>"1345788288"</f>
        <v>1345788288</v>
      </c>
      <c r="B2906" t="s">
        <v>160</v>
      </c>
      <c r="C2906" t="s">
        <v>1666</v>
      </c>
      <c r="D2906" t="s">
        <v>15026</v>
      </c>
      <c r="E2906">
        <v>424006</v>
      </c>
      <c r="F2906" t="s">
        <v>1</v>
      </c>
      <c r="G2906" t="s">
        <v>2</v>
      </c>
      <c r="H2906" t="s">
        <v>2557</v>
      </c>
      <c r="I2906" t="s">
        <v>11514</v>
      </c>
      <c r="P2906" t="s">
        <v>216</v>
      </c>
      <c r="Y2906" t="s">
        <v>15027</v>
      </c>
    </row>
    <row r="2907" spans="1:25" x14ac:dyDescent="0.25">
      <c r="A2907" t="str">
        <f>"1345859871"</f>
        <v>1345859871</v>
      </c>
      <c r="B2907" t="s">
        <v>96</v>
      </c>
      <c r="C2907" t="s">
        <v>15030</v>
      </c>
      <c r="D2907" t="s">
        <v>15028</v>
      </c>
      <c r="E2907">
        <v>424003</v>
      </c>
      <c r="F2907" t="s">
        <v>1</v>
      </c>
      <c r="G2907" t="s">
        <v>2</v>
      </c>
      <c r="H2907" t="s">
        <v>3158</v>
      </c>
      <c r="J2907" t="s">
        <v>15029</v>
      </c>
      <c r="P2907" t="s">
        <v>941</v>
      </c>
      <c r="Y2907" t="s">
        <v>6780</v>
      </c>
    </row>
    <row r="2908" spans="1:25" x14ac:dyDescent="0.25">
      <c r="A2908" t="str">
        <f>"1345923856"</f>
        <v>1345923856</v>
      </c>
      <c r="B2908" t="s">
        <v>151</v>
      </c>
      <c r="C2908" t="s">
        <v>1034</v>
      </c>
      <c r="D2908" t="s">
        <v>15031</v>
      </c>
      <c r="E2908">
        <v>424006</v>
      </c>
      <c r="F2908" t="s">
        <v>1</v>
      </c>
      <c r="G2908" t="s">
        <v>2</v>
      </c>
      <c r="H2908" t="s">
        <v>751</v>
      </c>
      <c r="I2908" t="s">
        <v>15032</v>
      </c>
      <c r="P2908" t="s">
        <v>15033</v>
      </c>
      <c r="Y2908" t="s">
        <v>755</v>
      </c>
    </row>
    <row r="2909" spans="1:25" x14ac:dyDescent="0.25">
      <c r="A2909" t="str">
        <f>"1345943037"</f>
        <v>1345943037</v>
      </c>
      <c r="B2909" t="s">
        <v>430</v>
      </c>
      <c r="C2909" t="s">
        <v>940</v>
      </c>
      <c r="D2909" t="s">
        <v>15034</v>
      </c>
      <c r="E2909">
        <v>424037</v>
      </c>
      <c r="F2909" t="s">
        <v>1</v>
      </c>
      <c r="G2909" t="s">
        <v>2</v>
      </c>
      <c r="H2909" t="s">
        <v>15035</v>
      </c>
      <c r="J2909" t="s">
        <v>15036</v>
      </c>
      <c r="P2909" t="s">
        <v>2280</v>
      </c>
      <c r="Y2909" t="s">
        <v>15037</v>
      </c>
    </row>
    <row r="2910" spans="1:25" x14ac:dyDescent="0.25">
      <c r="A2910" t="str">
        <f>"1345988529"</f>
        <v>1345988529</v>
      </c>
      <c r="B2910" t="s">
        <v>176</v>
      </c>
      <c r="C2910" t="s">
        <v>250</v>
      </c>
      <c r="D2910" t="s">
        <v>15038</v>
      </c>
      <c r="E2910">
        <v>424001</v>
      </c>
      <c r="F2910" t="s">
        <v>1</v>
      </c>
      <c r="G2910" t="s">
        <v>2</v>
      </c>
      <c r="H2910" t="s">
        <v>919</v>
      </c>
      <c r="I2910" t="s">
        <v>15039</v>
      </c>
      <c r="P2910" t="s">
        <v>15040</v>
      </c>
      <c r="Y2910" t="s">
        <v>1750</v>
      </c>
    </row>
    <row r="2911" spans="1:25" x14ac:dyDescent="0.25">
      <c r="A2911" t="str">
        <f>"1346038267"</f>
        <v>1346038267</v>
      </c>
      <c r="B2911" t="s">
        <v>7</v>
      </c>
      <c r="C2911" t="s">
        <v>925</v>
      </c>
      <c r="D2911" t="s">
        <v>15041</v>
      </c>
      <c r="E2911">
        <v>424004</v>
      </c>
      <c r="F2911" t="s">
        <v>1</v>
      </c>
      <c r="G2911" t="s">
        <v>2</v>
      </c>
      <c r="H2911" t="s">
        <v>186</v>
      </c>
      <c r="I2911" t="s">
        <v>15042</v>
      </c>
      <c r="P2911" t="s">
        <v>280</v>
      </c>
      <c r="Y2911" t="s">
        <v>15043</v>
      </c>
    </row>
    <row r="2912" spans="1:25" x14ac:dyDescent="0.25">
      <c r="A2912" t="str">
        <f>"1346054056"</f>
        <v>1346054056</v>
      </c>
      <c r="B2912" t="s">
        <v>110</v>
      </c>
      <c r="C2912" t="s">
        <v>15048</v>
      </c>
      <c r="D2912" t="s">
        <v>15044</v>
      </c>
      <c r="E2912">
        <v>424038</v>
      </c>
      <c r="F2912" t="s">
        <v>1</v>
      </c>
      <c r="G2912" t="s">
        <v>2</v>
      </c>
      <c r="H2912" t="s">
        <v>13118</v>
      </c>
      <c r="I2912" t="s">
        <v>15045</v>
      </c>
      <c r="L2912" t="s">
        <v>15046</v>
      </c>
      <c r="M2912" t="s">
        <v>15047</v>
      </c>
      <c r="P2912" t="s">
        <v>390</v>
      </c>
      <c r="Y2912" t="s">
        <v>15049</v>
      </c>
    </row>
    <row r="2913" spans="1:25" x14ac:dyDescent="0.25">
      <c r="A2913" t="str">
        <f>"1346283052"</f>
        <v>1346283052</v>
      </c>
      <c r="B2913" t="s">
        <v>123</v>
      </c>
      <c r="C2913" t="s">
        <v>731</v>
      </c>
      <c r="D2913" t="s">
        <v>15050</v>
      </c>
      <c r="E2913">
        <v>424032</v>
      </c>
      <c r="F2913" t="s">
        <v>1</v>
      </c>
      <c r="G2913" t="s">
        <v>2</v>
      </c>
      <c r="H2913" t="s">
        <v>15051</v>
      </c>
      <c r="I2913" t="s">
        <v>15052</v>
      </c>
      <c r="L2913" t="s">
        <v>946</v>
      </c>
      <c r="M2913" t="s">
        <v>15053</v>
      </c>
      <c r="P2913" t="s">
        <v>425</v>
      </c>
      <c r="Y2913" t="s">
        <v>15054</v>
      </c>
    </row>
    <row r="2914" spans="1:25" x14ac:dyDescent="0.25">
      <c r="A2914" t="str">
        <f>"1346519157"</f>
        <v>1346519157</v>
      </c>
      <c r="B2914" t="s">
        <v>654</v>
      </c>
      <c r="C2914" t="s">
        <v>1283</v>
      </c>
      <c r="D2914" t="s">
        <v>15055</v>
      </c>
      <c r="E2914">
        <v>424000</v>
      </c>
      <c r="F2914" t="s">
        <v>1</v>
      </c>
      <c r="G2914" t="s">
        <v>2</v>
      </c>
      <c r="H2914" t="s">
        <v>1531</v>
      </c>
      <c r="I2914" t="s">
        <v>15056</v>
      </c>
      <c r="P2914" t="s">
        <v>14813</v>
      </c>
      <c r="Y2914" t="s">
        <v>1707</v>
      </c>
    </row>
    <row r="2915" spans="1:25" x14ac:dyDescent="0.25">
      <c r="A2915" t="str">
        <f>"1346530769"</f>
        <v>1346530769</v>
      </c>
      <c r="B2915" t="s">
        <v>553</v>
      </c>
      <c r="C2915" t="s">
        <v>15061</v>
      </c>
      <c r="D2915" t="s">
        <v>15057</v>
      </c>
      <c r="E2915">
        <v>424007</v>
      </c>
      <c r="F2915" t="s">
        <v>1</v>
      </c>
      <c r="G2915" t="s">
        <v>2</v>
      </c>
      <c r="H2915" t="s">
        <v>1085</v>
      </c>
      <c r="I2915" t="s">
        <v>15058</v>
      </c>
      <c r="L2915" t="s">
        <v>15059</v>
      </c>
      <c r="M2915" t="s">
        <v>15060</v>
      </c>
      <c r="P2915" t="s">
        <v>11801</v>
      </c>
      <c r="Q2915" t="s">
        <v>15062</v>
      </c>
      <c r="V2915" t="s">
        <v>15063</v>
      </c>
      <c r="Y2915" t="s">
        <v>15064</v>
      </c>
    </row>
    <row r="2916" spans="1:25" x14ac:dyDescent="0.25">
      <c r="A2916" t="str">
        <f>"1346553517"</f>
        <v>1346553517</v>
      </c>
      <c r="B2916" t="s">
        <v>1758</v>
      </c>
      <c r="C2916" t="s">
        <v>8089</v>
      </c>
      <c r="D2916" t="s">
        <v>14187</v>
      </c>
      <c r="E2916">
        <v>424019</v>
      </c>
      <c r="F2916" t="s">
        <v>1</v>
      </c>
      <c r="G2916" t="s">
        <v>2</v>
      </c>
      <c r="H2916" t="s">
        <v>12105</v>
      </c>
      <c r="J2916" t="s">
        <v>15065</v>
      </c>
      <c r="P2916" t="s">
        <v>1855</v>
      </c>
      <c r="Y2916" t="s">
        <v>15066</v>
      </c>
    </row>
    <row r="2917" spans="1:25" x14ac:dyDescent="0.25">
      <c r="A2917" t="str">
        <f>"1346558621"</f>
        <v>1346558621</v>
      </c>
      <c r="B2917" t="s">
        <v>176</v>
      </c>
      <c r="C2917" t="s">
        <v>4741</v>
      </c>
      <c r="D2917" t="s">
        <v>15067</v>
      </c>
      <c r="E2917">
        <v>424003</v>
      </c>
      <c r="F2917" t="s">
        <v>1</v>
      </c>
      <c r="G2917" t="s">
        <v>2</v>
      </c>
      <c r="H2917" t="s">
        <v>15068</v>
      </c>
      <c r="I2917" t="s">
        <v>15069</v>
      </c>
      <c r="P2917" t="s">
        <v>2738</v>
      </c>
      <c r="Y2917" t="s">
        <v>15070</v>
      </c>
    </row>
    <row r="2918" spans="1:25" x14ac:dyDescent="0.25">
      <c r="A2918" t="str">
        <f>"1346607205"</f>
        <v>1346607205</v>
      </c>
      <c r="B2918" t="s">
        <v>716</v>
      </c>
      <c r="C2918" t="s">
        <v>13188</v>
      </c>
      <c r="D2918" t="s">
        <v>11313</v>
      </c>
      <c r="E2918">
        <v>424019</v>
      </c>
      <c r="F2918" t="s">
        <v>1</v>
      </c>
      <c r="G2918" t="s">
        <v>2</v>
      </c>
      <c r="H2918" t="s">
        <v>11012</v>
      </c>
      <c r="J2918" t="s">
        <v>15071</v>
      </c>
      <c r="P2918" t="s">
        <v>216</v>
      </c>
      <c r="Y2918" t="s">
        <v>11016</v>
      </c>
    </row>
    <row r="2919" spans="1:25" x14ac:dyDescent="0.25">
      <c r="A2919" t="str">
        <f>"1346698773"</f>
        <v>1346698773</v>
      </c>
      <c r="B2919" t="s">
        <v>624</v>
      </c>
      <c r="C2919" t="s">
        <v>1637</v>
      </c>
      <c r="D2919" t="s">
        <v>15072</v>
      </c>
      <c r="E2919">
        <v>424003</v>
      </c>
      <c r="F2919" t="s">
        <v>1</v>
      </c>
      <c r="G2919" t="s">
        <v>2</v>
      </c>
      <c r="H2919" t="s">
        <v>15073</v>
      </c>
      <c r="I2919" t="s">
        <v>15074</v>
      </c>
      <c r="M2919" t="s">
        <v>15075</v>
      </c>
      <c r="P2919" t="s">
        <v>20</v>
      </c>
      <c r="Y2919" t="s">
        <v>15076</v>
      </c>
    </row>
    <row r="2920" spans="1:25" x14ac:dyDescent="0.25">
      <c r="A2920" t="str">
        <f>"1346772987"</f>
        <v>1346772987</v>
      </c>
      <c r="B2920" t="s">
        <v>284</v>
      </c>
      <c r="C2920" t="s">
        <v>15079</v>
      </c>
      <c r="D2920" t="s">
        <v>15077</v>
      </c>
      <c r="E2920">
        <v>424007</v>
      </c>
      <c r="F2920" t="s">
        <v>1</v>
      </c>
      <c r="G2920" t="s">
        <v>2</v>
      </c>
      <c r="H2920" t="s">
        <v>13762</v>
      </c>
      <c r="I2920" t="s">
        <v>15078</v>
      </c>
      <c r="P2920" t="s">
        <v>1528</v>
      </c>
      <c r="Y2920" t="s">
        <v>13765</v>
      </c>
    </row>
    <row r="2921" spans="1:25" x14ac:dyDescent="0.25">
      <c r="A2921" t="str">
        <f>"1346862860"</f>
        <v>1346862860</v>
      </c>
      <c r="B2921" t="s">
        <v>7</v>
      </c>
      <c r="C2921" t="s">
        <v>15083</v>
      </c>
      <c r="D2921" t="s">
        <v>15080</v>
      </c>
      <c r="E2921">
        <v>424016</v>
      </c>
      <c r="F2921" t="s">
        <v>1</v>
      </c>
      <c r="G2921" t="s">
        <v>2</v>
      </c>
      <c r="H2921" t="s">
        <v>15081</v>
      </c>
      <c r="I2921" t="s">
        <v>15082</v>
      </c>
      <c r="P2921" t="s">
        <v>133</v>
      </c>
      <c r="Y2921" t="s">
        <v>15084</v>
      </c>
    </row>
    <row r="2922" spans="1:25" x14ac:dyDescent="0.25">
      <c r="A2922" t="str">
        <f>"1346924435"</f>
        <v>1346924435</v>
      </c>
      <c r="B2922" t="s">
        <v>687</v>
      </c>
      <c r="C2922" t="s">
        <v>15090</v>
      </c>
      <c r="D2922" t="s">
        <v>15085</v>
      </c>
      <c r="E2922">
        <v>424006</v>
      </c>
      <c r="F2922" t="s">
        <v>1</v>
      </c>
      <c r="G2922" t="s">
        <v>2</v>
      </c>
      <c r="H2922" t="s">
        <v>10686</v>
      </c>
      <c r="I2922" t="s">
        <v>15086</v>
      </c>
      <c r="J2922" t="s">
        <v>15087</v>
      </c>
      <c r="L2922" t="s">
        <v>15088</v>
      </c>
      <c r="M2922" t="s">
        <v>15089</v>
      </c>
      <c r="P2922" t="s">
        <v>2406</v>
      </c>
      <c r="Y2922" t="s">
        <v>10690</v>
      </c>
    </row>
    <row r="2923" spans="1:25" x14ac:dyDescent="0.25">
      <c r="A2923" t="str">
        <f>"1346949746"</f>
        <v>1346949746</v>
      </c>
      <c r="B2923" t="s">
        <v>1053</v>
      </c>
      <c r="C2923" t="s">
        <v>1927</v>
      </c>
      <c r="D2923" t="s">
        <v>15091</v>
      </c>
      <c r="E2923">
        <v>424006</v>
      </c>
      <c r="F2923" t="s">
        <v>1</v>
      </c>
      <c r="G2923" t="s">
        <v>2</v>
      </c>
      <c r="H2923" t="s">
        <v>8482</v>
      </c>
      <c r="I2923" t="s">
        <v>15092</v>
      </c>
      <c r="M2923" t="s">
        <v>15093</v>
      </c>
      <c r="P2923" t="s">
        <v>9</v>
      </c>
      <c r="Y2923" t="s">
        <v>8488</v>
      </c>
    </row>
    <row r="2924" spans="1:25" x14ac:dyDescent="0.25">
      <c r="A2924" t="str">
        <f>"1346957672"</f>
        <v>1346957672</v>
      </c>
      <c r="B2924" t="s">
        <v>591</v>
      </c>
      <c r="C2924" t="s">
        <v>7358</v>
      </c>
      <c r="D2924" t="s">
        <v>15094</v>
      </c>
      <c r="E2924">
        <v>424000</v>
      </c>
      <c r="F2924" t="s">
        <v>1</v>
      </c>
      <c r="G2924" t="s">
        <v>2</v>
      </c>
      <c r="H2924" t="s">
        <v>11351</v>
      </c>
      <c r="J2924" t="s">
        <v>15095</v>
      </c>
      <c r="P2924" t="s">
        <v>5084</v>
      </c>
      <c r="Y2924" t="s">
        <v>15096</v>
      </c>
    </row>
    <row r="2925" spans="1:25" x14ac:dyDescent="0.25">
      <c r="A2925" t="str">
        <f>"1346973585"</f>
        <v>1346973585</v>
      </c>
      <c r="B2925" t="s">
        <v>25</v>
      </c>
      <c r="C2925" t="s">
        <v>4208</v>
      </c>
      <c r="D2925" t="s">
        <v>15097</v>
      </c>
      <c r="E2925">
        <v>424004</v>
      </c>
      <c r="F2925" t="s">
        <v>1</v>
      </c>
      <c r="G2925" t="s">
        <v>2</v>
      </c>
      <c r="H2925" t="s">
        <v>15098</v>
      </c>
      <c r="I2925" t="s">
        <v>15099</v>
      </c>
      <c r="L2925" t="s">
        <v>15100</v>
      </c>
      <c r="M2925" t="s">
        <v>15101</v>
      </c>
      <c r="P2925" t="s">
        <v>27</v>
      </c>
      <c r="Y2925" t="s">
        <v>15102</v>
      </c>
    </row>
    <row r="2926" spans="1:25" x14ac:dyDescent="0.25">
      <c r="A2926" t="str">
        <f>"1346980934"</f>
        <v>1346980934</v>
      </c>
      <c r="B2926" t="s">
        <v>417</v>
      </c>
      <c r="C2926" t="s">
        <v>418</v>
      </c>
      <c r="D2926" t="s">
        <v>15103</v>
      </c>
      <c r="E2926">
        <v>424006</v>
      </c>
      <c r="F2926" t="s">
        <v>1</v>
      </c>
      <c r="G2926" t="s">
        <v>2</v>
      </c>
      <c r="H2926" t="s">
        <v>4346</v>
      </c>
      <c r="I2926" t="s">
        <v>15104</v>
      </c>
      <c r="L2926" t="s">
        <v>15105</v>
      </c>
      <c r="P2926" t="s">
        <v>2879</v>
      </c>
      <c r="Y2926" t="s">
        <v>15106</v>
      </c>
    </row>
    <row r="2927" spans="1:25" x14ac:dyDescent="0.25">
      <c r="A2927" t="str">
        <f>"1347012954"</f>
        <v>1347012954</v>
      </c>
      <c r="B2927" t="s">
        <v>703</v>
      </c>
      <c r="C2927" t="s">
        <v>2129</v>
      </c>
      <c r="D2927" t="s">
        <v>2129</v>
      </c>
      <c r="E2927">
        <v>424039</v>
      </c>
      <c r="F2927" t="s">
        <v>1</v>
      </c>
      <c r="G2927" t="s">
        <v>2</v>
      </c>
      <c r="H2927" t="s">
        <v>1768</v>
      </c>
      <c r="I2927" t="s">
        <v>15107</v>
      </c>
      <c r="P2927" t="s">
        <v>330</v>
      </c>
      <c r="Y2927" t="s">
        <v>1771</v>
      </c>
    </row>
    <row r="2928" spans="1:25" x14ac:dyDescent="0.25">
      <c r="A2928" t="str">
        <f>"1347144671"</f>
        <v>1347144671</v>
      </c>
      <c r="B2928" t="s">
        <v>574</v>
      </c>
      <c r="C2928" t="s">
        <v>8436</v>
      </c>
      <c r="D2928" t="s">
        <v>15108</v>
      </c>
      <c r="E2928">
        <v>424000</v>
      </c>
      <c r="F2928" t="s">
        <v>1</v>
      </c>
      <c r="G2928" t="s">
        <v>2</v>
      </c>
      <c r="H2928" t="s">
        <v>11438</v>
      </c>
      <c r="I2928" t="s">
        <v>8433</v>
      </c>
      <c r="L2928" t="s">
        <v>8434</v>
      </c>
      <c r="M2928" t="s">
        <v>8435</v>
      </c>
      <c r="P2928" t="s">
        <v>1505</v>
      </c>
      <c r="Q2928" t="s">
        <v>8437</v>
      </c>
      <c r="T2928" t="s">
        <v>8438</v>
      </c>
      <c r="V2928" t="s">
        <v>8439</v>
      </c>
      <c r="Y2928" t="s">
        <v>15109</v>
      </c>
    </row>
    <row r="2929" spans="1:25" x14ac:dyDescent="0.25">
      <c r="A2929" t="str">
        <f>"1347174647"</f>
        <v>1347174647</v>
      </c>
      <c r="B2929" t="s">
        <v>1053</v>
      </c>
      <c r="C2929" t="s">
        <v>1927</v>
      </c>
      <c r="D2929" t="s">
        <v>15110</v>
      </c>
      <c r="E2929">
        <v>424033</v>
      </c>
      <c r="F2929" t="s">
        <v>1</v>
      </c>
      <c r="G2929" t="s">
        <v>2</v>
      </c>
      <c r="H2929" t="s">
        <v>1383</v>
      </c>
      <c r="P2929" t="s">
        <v>1420</v>
      </c>
      <c r="Y2929" t="s">
        <v>15111</v>
      </c>
    </row>
    <row r="2930" spans="1:25" x14ac:dyDescent="0.25">
      <c r="A2930" t="str">
        <f>"1347209927"</f>
        <v>1347209927</v>
      </c>
      <c r="B2930" t="s">
        <v>2846</v>
      </c>
      <c r="C2930" t="s">
        <v>15117</v>
      </c>
      <c r="D2930" t="s">
        <v>15112</v>
      </c>
      <c r="E2930">
        <v>424000</v>
      </c>
      <c r="F2930" t="s">
        <v>1</v>
      </c>
      <c r="G2930" t="s">
        <v>2</v>
      </c>
      <c r="H2930" t="s">
        <v>1531</v>
      </c>
      <c r="I2930" t="s">
        <v>15113</v>
      </c>
      <c r="J2930" t="s">
        <v>15114</v>
      </c>
      <c r="L2930" t="s">
        <v>15115</v>
      </c>
      <c r="M2930" t="s">
        <v>15116</v>
      </c>
      <c r="P2930" t="s">
        <v>941</v>
      </c>
      <c r="Q2930" t="s">
        <v>15118</v>
      </c>
      <c r="V2930" t="s">
        <v>15119</v>
      </c>
      <c r="Y2930" t="s">
        <v>15120</v>
      </c>
    </row>
    <row r="2931" spans="1:25" x14ac:dyDescent="0.25">
      <c r="A2931" t="str">
        <f>"1347291517"</f>
        <v>1347291517</v>
      </c>
      <c r="B2931" t="s">
        <v>3094</v>
      </c>
      <c r="C2931" t="s">
        <v>3095</v>
      </c>
      <c r="D2931" t="s">
        <v>15121</v>
      </c>
      <c r="E2931">
        <v>424040</v>
      </c>
      <c r="F2931" t="s">
        <v>1</v>
      </c>
      <c r="G2931" t="s">
        <v>2</v>
      </c>
      <c r="H2931" t="s">
        <v>15122</v>
      </c>
      <c r="I2931" t="s">
        <v>15123</v>
      </c>
      <c r="L2931" t="s">
        <v>15124</v>
      </c>
      <c r="M2931" t="s">
        <v>15125</v>
      </c>
      <c r="P2931" t="s">
        <v>280</v>
      </c>
      <c r="Q2931" t="s">
        <v>15126</v>
      </c>
      <c r="T2931" t="s">
        <v>15127</v>
      </c>
      <c r="Y2931" t="s">
        <v>15128</v>
      </c>
    </row>
    <row r="2932" spans="1:25" x14ac:dyDescent="0.25">
      <c r="A2932" t="str">
        <f>"1347335989"</f>
        <v>1347335989</v>
      </c>
      <c r="B2932" t="s">
        <v>96</v>
      </c>
      <c r="C2932" t="s">
        <v>15131</v>
      </c>
      <c r="D2932" t="s">
        <v>12115</v>
      </c>
      <c r="E2932">
        <v>424028</v>
      </c>
      <c r="F2932" t="s">
        <v>1</v>
      </c>
      <c r="G2932" t="s">
        <v>2</v>
      </c>
      <c r="H2932" t="s">
        <v>15129</v>
      </c>
      <c r="I2932" t="s">
        <v>15130</v>
      </c>
      <c r="P2932" t="s">
        <v>1160</v>
      </c>
      <c r="Y2932" t="s">
        <v>15132</v>
      </c>
    </row>
    <row r="2933" spans="1:25" x14ac:dyDescent="0.25">
      <c r="A2933" t="str">
        <f>"1347343343"</f>
        <v>1347343343</v>
      </c>
      <c r="B2933" t="s">
        <v>18</v>
      </c>
      <c r="C2933" t="s">
        <v>15135</v>
      </c>
      <c r="D2933" t="s">
        <v>15133</v>
      </c>
      <c r="E2933">
        <v>424016</v>
      </c>
      <c r="F2933" t="s">
        <v>1</v>
      </c>
      <c r="G2933" t="s">
        <v>2</v>
      </c>
      <c r="H2933" t="s">
        <v>3703</v>
      </c>
      <c r="I2933" t="s">
        <v>15134</v>
      </c>
      <c r="P2933" t="s">
        <v>11801</v>
      </c>
      <c r="Y2933" t="s">
        <v>15136</v>
      </c>
    </row>
    <row r="2934" spans="1:25" x14ac:dyDescent="0.25">
      <c r="A2934" t="str">
        <f>"1347386279"</f>
        <v>1347386279</v>
      </c>
      <c r="B2934" t="s">
        <v>1053</v>
      </c>
      <c r="C2934" t="s">
        <v>11751</v>
      </c>
      <c r="D2934" t="s">
        <v>15137</v>
      </c>
      <c r="E2934">
        <v>424020</v>
      </c>
      <c r="F2934" t="s">
        <v>1</v>
      </c>
      <c r="G2934" t="s">
        <v>2</v>
      </c>
      <c r="H2934" t="s">
        <v>1837</v>
      </c>
      <c r="Y2934" t="s">
        <v>1842</v>
      </c>
    </row>
    <row r="2935" spans="1:25" x14ac:dyDescent="0.25">
      <c r="A2935" t="str">
        <f>"1347519073"</f>
        <v>1347519073</v>
      </c>
      <c r="B2935" t="s">
        <v>687</v>
      </c>
      <c r="C2935" t="s">
        <v>15140</v>
      </c>
      <c r="D2935" t="s">
        <v>5835</v>
      </c>
      <c r="F2935" t="s">
        <v>1</v>
      </c>
      <c r="G2935" t="s">
        <v>2</v>
      </c>
      <c r="H2935" t="s">
        <v>3696</v>
      </c>
      <c r="I2935" t="s">
        <v>15138</v>
      </c>
      <c r="J2935" t="s">
        <v>15139</v>
      </c>
      <c r="L2935" t="s">
        <v>5838</v>
      </c>
      <c r="M2935" t="s">
        <v>5839</v>
      </c>
      <c r="Y2935" t="s">
        <v>15141</v>
      </c>
    </row>
    <row r="2936" spans="1:25" x14ac:dyDescent="0.25">
      <c r="A2936" t="str">
        <f>"1347580608"</f>
        <v>1347580608</v>
      </c>
      <c r="B2936" t="s">
        <v>1729</v>
      </c>
      <c r="C2936" t="s">
        <v>2992</v>
      </c>
      <c r="D2936" t="s">
        <v>15142</v>
      </c>
      <c r="E2936">
        <v>424000</v>
      </c>
      <c r="F2936" t="s">
        <v>1</v>
      </c>
      <c r="G2936" t="s">
        <v>2</v>
      </c>
      <c r="H2936" t="s">
        <v>128</v>
      </c>
      <c r="I2936" t="s">
        <v>15143</v>
      </c>
      <c r="L2936" t="s">
        <v>15144</v>
      </c>
      <c r="P2936" t="s">
        <v>9</v>
      </c>
      <c r="Q2936" t="s">
        <v>15145</v>
      </c>
      <c r="S2936" t="s">
        <v>15146</v>
      </c>
      <c r="T2936" t="s">
        <v>15147</v>
      </c>
      <c r="V2936" t="s">
        <v>15148</v>
      </c>
      <c r="Y2936" t="s">
        <v>15149</v>
      </c>
    </row>
    <row r="2937" spans="1:25" x14ac:dyDescent="0.25">
      <c r="A2937" t="str">
        <f>"1347765554"</f>
        <v>1347765554</v>
      </c>
      <c r="B2937" t="s">
        <v>80</v>
      </c>
      <c r="C2937" t="s">
        <v>15154</v>
      </c>
      <c r="D2937" t="s">
        <v>15150</v>
      </c>
      <c r="E2937">
        <v>424003</v>
      </c>
      <c r="F2937" t="s">
        <v>1</v>
      </c>
      <c r="G2937" t="s">
        <v>2</v>
      </c>
      <c r="H2937" t="s">
        <v>1725</v>
      </c>
      <c r="J2937" t="s">
        <v>15151</v>
      </c>
      <c r="L2937" t="s">
        <v>15152</v>
      </c>
      <c r="M2937" t="s">
        <v>15153</v>
      </c>
      <c r="P2937" t="s">
        <v>15155</v>
      </c>
      <c r="Y2937" t="s">
        <v>15156</v>
      </c>
    </row>
    <row r="2938" spans="1:25" x14ac:dyDescent="0.25">
      <c r="A2938" t="str">
        <f>"1347831833"</f>
        <v>1347831833</v>
      </c>
      <c r="B2938" t="s">
        <v>703</v>
      </c>
      <c r="C2938" t="s">
        <v>10967</v>
      </c>
      <c r="D2938" t="s">
        <v>15157</v>
      </c>
      <c r="E2938">
        <v>424004</v>
      </c>
      <c r="F2938" t="s">
        <v>1</v>
      </c>
      <c r="G2938" t="s">
        <v>2</v>
      </c>
      <c r="H2938" t="s">
        <v>186</v>
      </c>
      <c r="P2938" t="s">
        <v>689</v>
      </c>
      <c r="Y2938" t="s">
        <v>190</v>
      </c>
    </row>
    <row r="2939" spans="1:25" x14ac:dyDescent="0.25">
      <c r="A2939" t="str">
        <f>"1347839577"</f>
        <v>1347839577</v>
      </c>
      <c r="B2939" t="s">
        <v>96</v>
      </c>
      <c r="C2939" t="s">
        <v>659</v>
      </c>
      <c r="D2939" t="s">
        <v>10558</v>
      </c>
      <c r="E2939">
        <v>424918</v>
      </c>
      <c r="F2939" t="s">
        <v>1</v>
      </c>
      <c r="G2939" t="s">
        <v>2</v>
      </c>
      <c r="H2939" t="s">
        <v>629</v>
      </c>
      <c r="J2939" t="s">
        <v>15158</v>
      </c>
      <c r="P2939" t="s">
        <v>630</v>
      </c>
      <c r="Y2939" t="s">
        <v>15159</v>
      </c>
    </row>
    <row r="2940" spans="1:25" x14ac:dyDescent="0.25">
      <c r="A2940" t="str">
        <f>"1347914740"</f>
        <v>1347914740</v>
      </c>
      <c r="B2940" t="s">
        <v>88</v>
      </c>
      <c r="C2940" t="s">
        <v>8056</v>
      </c>
      <c r="D2940" t="s">
        <v>15160</v>
      </c>
      <c r="E2940">
        <v>424002</v>
      </c>
      <c r="F2940" t="s">
        <v>1</v>
      </c>
      <c r="G2940" t="s">
        <v>2</v>
      </c>
      <c r="H2940" t="s">
        <v>11341</v>
      </c>
      <c r="J2940" t="s">
        <v>15161</v>
      </c>
      <c r="M2940" t="s">
        <v>15162</v>
      </c>
      <c r="P2940" t="s">
        <v>112</v>
      </c>
      <c r="Q2940" t="s">
        <v>15163</v>
      </c>
      <c r="R2940" t="s">
        <v>15164</v>
      </c>
      <c r="V2940" t="s">
        <v>15165</v>
      </c>
      <c r="Y2940" t="s">
        <v>11344</v>
      </c>
    </row>
    <row r="2941" spans="1:25" x14ac:dyDescent="0.25">
      <c r="A2941" t="str">
        <f>"1348034521"</f>
        <v>1348034521</v>
      </c>
      <c r="B2941" t="s">
        <v>176</v>
      </c>
      <c r="C2941" t="s">
        <v>279</v>
      </c>
      <c r="D2941" t="s">
        <v>15166</v>
      </c>
      <c r="E2941">
        <v>424002</v>
      </c>
      <c r="F2941" t="s">
        <v>1</v>
      </c>
      <c r="G2941" t="s">
        <v>2</v>
      </c>
      <c r="H2941" t="s">
        <v>15167</v>
      </c>
      <c r="I2941" t="s">
        <v>14565</v>
      </c>
      <c r="P2941" t="s">
        <v>330</v>
      </c>
      <c r="Y2941" t="s">
        <v>15168</v>
      </c>
    </row>
    <row r="2942" spans="1:25" x14ac:dyDescent="0.25">
      <c r="A2942" t="str">
        <f>"1348072624"</f>
        <v>1348072624</v>
      </c>
      <c r="B2942" t="s">
        <v>1053</v>
      </c>
      <c r="C2942" t="s">
        <v>15171</v>
      </c>
      <c r="D2942" t="s">
        <v>1927</v>
      </c>
      <c r="E2942">
        <v>424016</v>
      </c>
      <c r="F2942" t="s">
        <v>1</v>
      </c>
      <c r="G2942" t="s">
        <v>2</v>
      </c>
      <c r="H2942" t="s">
        <v>15169</v>
      </c>
      <c r="J2942" t="s">
        <v>15170</v>
      </c>
      <c r="P2942" t="s">
        <v>133</v>
      </c>
      <c r="Y2942" t="s">
        <v>15172</v>
      </c>
    </row>
    <row r="2943" spans="1:25" x14ac:dyDescent="0.25">
      <c r="A2943" t="str">
        <f>"1348106462"</f>
        <v>1348106462</v>
      </c>
      <c r="B2943" t="s">
        <v>18</v>
      </c>
      <c r="C2943" t="s">
        <v>15177</v>
      </c>
      <c r="D2943" t="s">
        <v>15173</v>
      </c>
      <c r="E2943">
        <v>424003</v>
      </c>
      <c r="F2943" t="s">
        <v>1</v>
      </c>
      <c r="G2943" t="s">
        <v>2</v>
      </c>
      <c r="H2943" t="s">
        <v>4546</v>
      </c>
      <c r="I2943" t="s">
        <v>15174</v>
      </c>
      <c r="L2943" t="s">
        <v>15175</v>
      </c>
      <c r="M2943" t="s">
        <v>15176</v>
      </c>
      <c r="P2943" t="s">
        <v>15178</v>
      </c>
      <c r="Y2943" t="s">
        <v>15179</v>
      </c>
    </row>
    <row r="2944" spans="1:25" x14ac:dyDescent="0.25">
      <c r="A2944" t="str">
        <f>"1348125986"</f>
        <v>1348125986</v>
      </c>
      <c r="B2944" t="s">
        <v>25</v>
      </c>
      <c r="C2944" t="s">
        <v>59</v>
      </c>
      <c r="D2944" t="s">
        <v>15180</v>
      </c>
      <c r="E2944">
        <v>424031</v>
      </c>
      <c r="F2944" t="s">
        <v>1</v>
      </c>
      <c r="G2944" t="s">
        <v>2</v>
      </c>
      <c r="H2944" t="s">
        <v>2353</v>
      </c>
      <c r="I2944" t="s">
        <v>15181</v>
      </c>
      <c r="P2944" t="s">
        <v>216</v>
      </c>
      <c r="Y2944" t="s">
        <v>2356</v>
      </c>
    </row>
    <row r="2945" spans="1:25" x14ac:dyDescent="0.25">
      <c r="A2945" t="str">
        <f>"1348129806"</f>
        <v>1348129806</v>
      </c>
      <c r="B2945" t="s">
        <v>160</v>
      </c>
      <c r="C2945" t="s">
        <v>1666</v>
      </c>
      <c r="D2945" t="s">
        <v>15182</v>
      </c>
      <c r="E2945">
        <v>424003</v>
      </c>
      <c r="F2945" t="s">
        <v>1</v>
      </c>
      <c r="G2945" t="s">
        <v>2</v>
      </c>
      <c r="H2945" t="s">
        <v>15183</v>
      </c>
      <c r="I2945" t="s">
        <v>15184</v>
      </c>
      <c r="P2945" t="s">
        <v>280</v>
      </c>
      <c r="Y2945" t="s">
        <v>15185</v>
      </c>
    </row>
    <row r="2946" spans="1:25" x14ac:dyDescent="0.25">
      <c r="A2946" t="str">
        <f>"1348230064"</f>
        <v>1348230064</v>
      </c>
      <c r="B2946" t="s">
        <v>1362</v>
      </c>
      <c r="C2946" t="s">
        <v>8728</v>
      </c>
      <c r="D2946" t="s">
        <v>8728</v>
      </c>
      <c r="E2946">
        <v>424031</v>
      </c>
      <c r="F2946" t="s">
        <v>1</v>
      </c>
      <c r="G2946" t="s">
        <v>2</v>
      </c>
      <c r="H2946" t="s">
        <v>15186</v>
      </c>
      <c r="J2946" t="s">
        <v>15187</v>
      </c>
      <c r="P2946" t="s">
        <v>27</v>
      </c>
      <c r="Y2946" t="s">
        <v>15188</v>
      </c>
    </row>
    <row r="2947" spans="1:25" x14ac:dyDescent="0.25">
      <c r="A2947" t="str">
        <f>"1348280047"</f>
        <v>1348280047</v>
      </c>
      <c r="B2947" t="s">
        <v>25</v>
      </c>
      <c r="C2947" t="s">
        <v>1005</v>
      </c>
      <c r="D2947" t="s">
        <v>15189</v>
      </c>
      <c r="E2947">
        <v>424004</v>
      </c>
      <c r="F2947" t="s">
        <v>1</v>
      </c>
      <c r="G2947" t="s">
        <v>2</v>
      </c>
      <c r="H2947" t="s">
        <v>2133</v>
      </c>
      <c r="I2947" t="s">
        <v>15190</v>
      </c>
      <c r="J2947" t="s">
        <v>15191</v>
      </c>
      <c r="P2947" t="s">
        <v>280</v>
      </c>
      <c r="Y2947" t="s">
        <v>2137</v>
      </c>
    </row>
    <row r="2948" spans="1:25" x14ac:dyDescent="0.25">
      <c r="A2948" t="str">
        <f>"1348291091"</f>
        <v>1348291091</v>
      </c>
      <c r="B2948" t="s">
        <v>18</v>
      </c>
      <c r="C2948" t="s">
        <v>9652</v>
      </c>
      <c r="D2948" t="s">
        <v>15192</v>
      </c>
      <c r="E2948">
        <v>424005</v>
      </c>
      <c r="F2948" t="s">
        <v>1</v>
      </c>
      <c r="G2948" t="s">
        <v>2</v>
      </c>
      <c r="H2948" t="s">
        <v>1310</v>
      </c>
      <c r="I2948" t="s">
        <v>15193</v>
      </c>
      <c r="L2948" t="s">
        <v>15194</v>
      </c>
      <c r="M2948" t="s">
        <v>15195</v>
      </c>
      <c r="P2948" t="s">
        <v>1232</v>
      </c>
      <c r="Q2948" t="s">
        <v>15196</v>
      </c>
      <c r="R2948" t="s">
        <v>15197</v>
      </c>
      <c r="S2948" t="s">
        <v>15198</v>
      </c>
      <c r="T2948" t="s">
        <v>15199</v>
      </c>
      <c r="U2948" t="s">
        <v>15200</v>
      </c>
      <c r="V2948" t="s">
        <v>15201</v>
      </c>
      <c r="Y2948" t="s">
        <v>3926</v>
      </c>
    </row>
    <row r="2949" spans="1:25" x14ac:dyDescent="0.25">
      <c r="A2949" t="str">
        <f>"1348375842"</f>
        <v>1348375842</v>
      </c>
      <c r="B2949" t="s">
        <v>397</v>
      </c>
      <c r="C2949" t="s">
        <v>15205</v>
      </c>
      <c r="D2949" t="s">
        <v>15202</v>
      </c>
      <c r="F2949" t="s">
        <v>1</v>
      </c>
      <c r="G2949" t="s">
        <v>2</v>
      </c>
      <c r="H2949" t="s">
        <v>8553</v>
      </c>
      <c r="I2949" t="s">
        <v>15203</v>
      </c>
      <c r="J2949" t="s">
        <v>15204</v>
      </c>
      <c r="P2949" t="s">
        <v>2457</v>
      </c>
      <c r="Y2949" t="s">
        <v>15206</v>
      </c>
    </row>
    <row r="2950" spans="1:25" x14ac:dyDescent="0.25">
      <c r="A2950" t="str">
        <f>"1348452405"</f>
        <v>1348452405</v>
      </c>
      <c r="B2950" t="s">
        <v>18</v>
      </c>
      <c r="C2950" t="s">
        <v>4522</v>
      </c>
      <c r="D2950" t="s">
        <v>15207</v>
      </c>
      <c r="E2950">
        <v>424006</v>
      </c>
      <c r="F2950" t="s">
        <v>1</v>
      </c>
      <c r="G2950" t="s">
        <v>2</v>
      </c>
      <c r="H2950" t="s">
        <v>445</v>
      </c>
      <c r="I2950" t="s">
        <v>15208</v>
      </c>
      <c r="K2950" t="s">
        <v>15209</v>
      </c>
      <c r="P2950" t="s">
        <v>5575</v>
      </c>
      <c r="Y2950" t="s">
        <v>8488</v>
      </c>
    </row>
    <row r="2951" spans="1:25" x14ac:dyDescent="0.25">
      <c r="A2951" t="str">
        <f>"1348458687"</f>
        <v>1348458687</v>
      </c>
      <c r="B2951" t="s">
        <v>1046</v>
      </c>
      <c r="C2951" t="s">
        <v>13439</v>
      </c>
      <c r="D2951" t="s">
        <v>15210</v>
      </c>
      <c r="E2951">
        <v>424006</v>
      </c>
      <c r="F2951" t="s">
        <v>1</v>
      </c>
      <c r="G2951" t="s">
        <v>2</v>
      </c>
      <c r="H2951" t="s">
        <v>4346</v>
      </c>
      <c r="J2951" t="s">
        <v>15211</v>
      </c>
      <c r="L2951" t="s">
        <v>15212</v>
      </c>
      <c r="P2951" t="s">
        <v>15213</v>
      </c>
      <c r="Q2951" t="s">
        <v>15214</v>
      </c>
      <c r="T2951" t="s">
        <v>15215</v>
      </c>
      <c r="V2951" t="s">
        <v>15216</v>
      </c>
      <c r="Y2951" t="s">
        <v>15217</v>
      </c>
    </row>
    <row r="2952" spans="1:25" x14ac:dyDescent="0.25">
      <c r="A2952" t="str">
        <f>"1348515631"</f>
        <v>1348515631</v>
      </c>
      <c r="B2952" t="s">
        <v>930</v>
      </c>
      <c r="C2952" t="s">
        <v>1096</v>
      </c>
      <c r="D2952" t="s">
        <v>15218</v>
      </c>
      <c r="E2952">
        <v>424004</v>
      </c>
      <c r="F2952" t="s">
        <v>1</v>
      </c>
      <c r="G2952" t="s">
        <v>2</v>
      </c>
      <c r="H2952" t="s">
        <v>15219</v>
      </c>
      <c r="J2952" t="s">
        <v>15220</v>
      </c>
      <c r="P2952" t="s">
        <v>3690</v>
      </c>
      <c r="Y2952" t="s">
        <v>15221</v>
      </c>
    </row>
    <row r="2953" spans="1:25" x14ac:dyDescent="0.25">
      <c r="A2953" t="str">
        <f>"1348518246"</f>
        <v>1348518246</v>
      </c>
      <c r="B2953" t="s">
        <v>930</v>
      </c>
      <c r="C2953" t="s">
        <v>1096</v>
      </c>
      <c r="D2953" t="s">
        <v>15222</v>
      </c>
      <c r="E2953">
        <v>424030</v>
      </c>
      <c r="F2953" t="s">
        <v>1</v>
      </c>
      <c r="G2953" t="s">
        <v>2</v>
      </c>
      <c r="H2953" t="s">
        <v>15223</v>
      </c>
      <c r="I2953" t="s">
        <v>15224</v>
      </c>
      <c r="P2953" t="s">
        <v>133</v>
      </c>
      <c r="Y2953" t="s">
        <v>15225</v>
      </c>
    </row>
    <row r="2954" spans="1:25" x14ac:dyDescent="0.25">
      <c r="A2954" t="str">
        <f>"1348543184"</f>
        <v>1348543184</v>
      </c>
      <c r="B2954" t="s">
        <v>48</v>
      </c>
      <c r="C2954" t="s">
        <v>15230</v>
      </c>
      <c r="D2954" t="s">
        <v>15226</v>
      </c>
      <c r="E2954">
        <v>424032</v>
      </c>
      <c r="F2954" t="s">
        <v>1</v>
      </c>
      <c r="G2954" t="s">
        <v>2</v>
      </c>
      <c r="H2954" t="s">
        <v>6045</v>
      </c>
      <c r="I2954" t="s">
        <v>15227</v>
      </c>
      <c r="J2954" t="s">
        <v>15228</v>
      </c>
      <c r="M2954" t="s">
        <v>15229</v>
      </c>
      <c r="P2954" t="s">
        <v>15231</v>
      </c>
      <c r="Y2954" t="s">
        <v>6048</v>
      </c>
    </row>
    <row r="2955" spans="1:25" x14ac:dyDescent="0.25">
      <c r="A2955" t="str">
        <f>"1348553282"</f>
        <v>1348553282</v>
      </c>
      <c r="B2955" t="s">
        <v>80</v>
      </c>
      <c r="C2955" t="s">
        <v>15234</v>
      </c>
      <c r="D2955" t="s">
        <v>15232</v>
      </c>
      <c r="E2955">
        <v>424039</v>
      </c>
      <c r="F2955" t="s">
        <v>1</v>
      </c>
      <c r="G2955" t="s">
        <v>2</v>
      </c>
      <c r="H2955" t="s">
        <v>15233</v>
      </c>
      <c r="J2955" t="s">
        <v>12923</v>
      </c>
      <c r="P2955" t="s">
        <v>1270</v>
      </c>
      <c r="Y2955" t="s">
        <v>15235</v>
      </c>
    </row>
    <row r="2956" spans="1:25" x14ac:dyDescent="0.25">
      <c r="A2956" t="str">
        <f>"1348557114"</f>
        <v>1348557114</v>
      </c>
      <c r="B2956" t="s">
        <v>930</v>
      </c>
      <c r="C2956" t="s">
        <v>1096</v>
      </c>
      <c r="D2956" t="s">
        <v>15236</v>
      </c>
      <c r="F2956" t="s">
        <v>1</v>
      </c>
      <c r="G2956" t="s">
        <v>2</v>
      </c>
      <c r="H2956" t="s">
        <v>15237</v>
      </c>
      <c r="I2956" t="s">
        <v>15238</v>
      </c>
      <c r="J2956" t="s">
        <v>15239</v>
      </c>
      <c r="P2956" t="s">
        <v>27</v>
      </c>
      <c r="Y2956" t="s">
        <v>15240</v>
      </c>
    </row>
    <row r="2957" spans="1:25" x14ac:dyDescent="0.25">
      <c r="A2957" t="str">
        <f>"1348605197"</f>
        <v>1348605197</v>
      </c>
      <c r="B2957" t="s">
        <v>18</v>
      </c>
      <c r="C2957" t="s">
        <v>4522</v>
      </c>
      <c r="D2957" t="s">
        <v>11244</v>
      </c>
      <c r="E2957">
        <v>424037</v>
      </c>
      <c r="F2957" t="s">
        <v>1</v>
      </c>
      <c r="G2957" t="s">
        <v>2</v>
      </c>
      <c r="H2957" t="s">
        <v>15241</v>
      </c>
      <c r="I2957" t="s">
        <v>15242</v>
      </c>
      <c r="L2957" t="s">
        <v>15243</v>
      </c>
      <c r="M2957" t="s">
        <v>15244</v>
      </c>
      <c r="P2957" t="s">
        <v>15245</v>
      </c>
      <c r="Y2957" t="s">
        <v>15246</v>
      </c>
    </row>
    <row r="2958" spans="1:25" x14ac:dyDescent="0.25">
      <c r="A2958" t="str">
        <f>"1348747059"</f>
        <v>1348747059</v>
      </c>
      <c r="B2958" t="s">
        <v>290</v>
      </c>
      <c r="C2958" t="s">
        <v>290</v>
      </c>
      <c r="D2958" t="s">
        <v>15247</v>
      </c>
      <c r="E2958">
        <v>424000</v>
      </c>
      <c r="F2958" t="s">
        <v>1</v>
      </c>
      <c r="G2958" t="s">
        <v>2</v>
      </c>
      <c r="H2958" t="s">
        <v>128</v>
      </c>
      <c r="I2958" t="s">
        <v>15248</v>
      </c>
      <c r="P2958" t="s">
        <v>14314</v>
      </c>
      <c r="Y2958" t="s">
        <v>5640</v>
      </c>
    </row>
    <row r="2959" spans="1:25" x14ac:dyDescent="0.25">
      <c r="A2959" t="str">
        <f>"1348836672"</f>
        <v>1348836672</v>
      </c>
      <c r="B2959" t="s">
        <v>300</v>
      </c>
      <c r="C2959" t="s">
        <v>15253</v>
      </c>
      <c r="D2959" t="s">
        <v>15249</v>
      </c>
      <c r="E2959">
        <v>424006</v>
      </c>
      <c r="F2959" t="s">
        <v>1</v>
      </c>
      <c r="G2959" t="s">
        <v>2</v>
      </c>
      <c r="H2959" t="s">
        <v>478</v>
      </c>
      <c r="I2959" t="s">
        <v>15250</v>
      </c>
      <c r="L2959" t="s">
        <v>15251</v>
      </c>
      <c r="M2959" t="s">
        <v>15252</v>
      </c>
      <c r="P2959" t="s">
        <v>8911</v>
      </c>
      <c r="Q2959" t="s">
        <v>15254</v>
      </c>
      <c r="R2959" t="s">
        <v>15255</v>
      </c>
      <c r="T2959" t="s">
        <v>15256</v>
      </c>
      <c r="V2959" t="s">
        <v>15257</v>
      </c>
      <c r="Y2959" t="s">
        <v>926</v>
      </c>
    </row>
    <row r="2960" spans="1:25" x14ac:dyDescent="0.25">
      <c r="A2960" t="str">
        <f>"1348859136"</f>
        <v>1348859136</v>
      </c>
      <c r="B2960" t="s">
        <v>25</v>
      </c>
      <c r="C2960" t="s">
        <v>59</v>
      </c>
      <c r="D2960" t="s">
        <v>15258</v>
      </c>
      <c r="E2960">
        <v>424004</v>
      </c>
      <c r="F2960" t="s">
        <v>1</v>
      </c>
      <c r="G2960" t="s">
        <v>2</v>
      </c>
      <c r="H2960" t="s">
        <v>186</v>
      </c>
      <c r="I2960" t="s">
        <v>15259</v>
      </c>
      <c r="P2960" t="s">
        <v>27</v>
      </c>
      <c r="Y2960" t="s">
        <v>190</v>
      </c>
    </row>
    <row r="2961" spans="1:25" x14ac:dyDescent="0.25">
      <c r="A2961" t="str">
        <f>"1348904024"</f>
        <v>1348904024</v>
      </c>
      <c r="B2961" t="s">
        <v>3573</v>
      </c>
      <c r="C2961" t="s">
        <v>15263</v>
      </c>
      <c r="D2961" t="s">
        <v>15260</v>
      </c>
      <c r="E2961">
        <v>424001</v>
      </c>
      <c r="F2961" t="s">
        <v>1</v>
      </c>
      <c r="G2961" t="s">
        <v>2</v>
      </c>
      <c r="H2961" t="s">
        <v>919</v>
      </c>
      <c r="I2961" t="s">
        <v>15039</v>
      </c>
      <c r="L2961" t="s">
        <v>15261</v>
      </c>
      <c r="M2961" t="s">
        <v>15262</v>
      </c>
      <c r="Y2961" t="s">
        <v>1750</v>
      </c>
    </row>
    <row r="2962" spans="1:25" x14ac:dyDescent="0.25">
      <c r="A2962" t="str">
        <f>"1348905017"</f>
        <v>1348905017</v>
      </c>
      <c r="B2962" t="s">
        <v>1544</v>
      </c>
      <c r="C2962" t="s">
        <v>3738</v>
      </c>
      <c r="D2962" t="s">
        <v>15264</v>
      </c>
      <c r="E2962">
        <v>424038</v>
      </c>
      <c r="F2962" t="s">
        <v>1</v>
      </c>
      <c r="G2962" t="s">
        <v>2</v>
      </c>
      <c r="H2962" t="s">
        <v>7498</v>
      </c>
      <c r="I2962" t="s">
        <v>15265</v>
      </c>
      <c r="P2962" t="s">
        <v>20</v>
      </c>
      <c r="Y2962" t="s">
        <v>15266</v>
      </c>
    </row>
    <row r="2963" spans="1:25" x14ac:dyDescent="0.25">
      <c r="A2963" t="str">
        <f>"1348954005"</f>
        <v>1348954005</v>
      </c>
      <c r="B2963" t="s">
        <v>574</v>
      </c>
      <c r="C2963" t="s">
        <v>952</v>
      </c>
      <c r="D2963" t="s">
        <v>15267</v>
      </c>
      <c r="E2963">
        <v>424006</v>
      </c>
      <c r="F2963" t="s">
        <v>1</v>
      </c>
      <c r="G2963" t="s">
        <v>2</v>
      </c>
      <c r="H2963" t="s">
        <v>14173</v>
      </c>
      <c r="I2963" t="s">
        <v>15268</v>
      </c>
      <c r="J2963" t="s">
        <v>15269</v>
      </c>
      <c r="L2963" t="s">
        <v>15270</v>
      </c>
      <c r="M2963" t="s">
        <v>15271</v>
      </c>
      <c r="P2963" t="s">
        <v>2738</v>
      </c>
      <c r="Q2963" t="s">
        <v>15272</v>
      </c>
      <c r="T2963" t="s">
        <v>15273</v>
      </c>
      <c r="V2963" t="s">
        <v>15274</v>
      </c>
      <c r="Y2963" t="s">
        <v>15275</v>
      </c>
    </row>
    <row r="2964" spans="1:25" x14ac:dyDescent="0.25">
      <c r="A2964" t="str">
        <f>"1348967655"</f>
        <v>1348967655</v>
      </c>
      <c r="B2964" t="s">
        <v>462</v>
      </c>
      <c r="C2964" t="s">
        <v>3988</v>
      </c>
      <c r="D2964" t="s">
        <v>15276</v>
      </c>
      <c r="E2964">
        <v>424000</v>
      </c>
      <c r="F2964" t="s">
        <v>1</v>
      </c>
      <c r="G2964" t="s">
        <v>2</v>
      </c>
      <c r="H2964" t="s">
        <v>2202</v>
      </c>
      <c r="I2964" t="s">
        <v>15277</v>
      </c>
      <c r="J2964" t="s">
        <v>15278</v>
      </c>
      <c r="L2964" t="s">
        <v>15279</v>
      </c>
      <c r="M2964" t="s">
        <v>15280</v>
      </c>
      <c r="P2964" t="s">
        <v>696</v>
      </c>
      <c r="Q2964" t="s">
        <v>15281</v>
      </c>
      <c r="Y2964" t="s">
        <v>2204</v>
      </c>
    </row>
    <row r="2965" spans="1:25" x14ac:dyDescent="0.25">
      <c r="A2965" t="str">
        <f>"1348981900"</f>
        <v>1348981900</v>
      </c>
      <c r="B2965" t="s">
        <v>176</v>
      </c>
      <c r="C2965" t="s">
        <v>279</v>
      </c>
      <c r="D2965" t="s">
        <v>15282</v>
      </c>
      <c r="E2965">
        <v>424037</v>
      </c>
      <c r="F2965" t="s">
        <v>1</v>
      </c>
      <c r="G2965" t="s">
        <v>2</v>
      </c>
      <c r="H2965" t="s">
        <v>2370</v>
      </c>
      <c r="I2965" t="s">
        <v>15283</v>
      </c>
      <c r="L2965" t="s">
        <v>8496</v>
      </c>
      <c r="M2965" t="s">
        <v>8497</v>
      </c>
      <c r="P2965" t="s">
        <v>20</v>
      </c>
      <c r="Y2965" t="s">
        <v>15284</v>
      </c>
    </row>
    <row r="2966" spans="1:25" x14ac:dyDescent="0.25">
      <c r="A2966" t="str">
        <f>"1349255719"</f>
        <v>1349255719</v>
      </c>
      <c r="B2966" t="s">
        <v>430</v>
      </c>
      <c r="C2966" t="s">
        <v>15287</v>
      </c>
      <c r="D2966" t="s">
        <v>15285</v>
      </c>
      <c r="E2966">
        <v>424000</v>
      </c>
      <c r="F2966" t="s">
        <v>1</v>
      </c>
      <c r="G2966" t="s">
        <v>2</v>
      </c>
      <c r="H2966" t="s">
        <v>1531</v>
      </c>
      <c r="J2966" t="s">
        <v>15286</v>
      </c>
      <c r="P2966" t="s">
        <v>27</v>
      </c>
      <c r="Y2966" t="s">
        <v>1707</v>
      </c>
    </row>
    <row r="2967" spans="1:25" x14ac:dyDescent="0.25">
      <c r="A2967" t="str">
        <f>"1349356364"</f>
        <v>1349356364</v>
      </c>
      <c r="B2967" t="s">
        <v>160</v>
      </c>
      <c r="C2967" t="s">
        <v>1666</v>
      </c>
      <c r="D2967" t="s">
        <v>15288</v>
      </c>
      <c r="E2967">
        <v>424039</v>
      </c>
      <c r="F2967" t="s">
        <v>1</v>
      </c>
      <c r="G2967" t="s">
        <v>2</v>
      </c>
      <c r="H2967" t="s">
        <v>15289</v>
      </c>
      <c r="J2967" t="s">
        <v>15290</v>
      </c>
      <c r="P2967" t="s">
        <v>330</v>
      </c>
      <c r="Y2967" t="s">
        <v>15291</v>
      </c>
    </row>
    <row r="2968" spans="1:25" x14ac:dyDescent="0.25">
      <c r="A2968" t="str">
        <f>"1349520951"</f>
        <v>1349520951</v>
      </c>
      <c r="B2968" t="s">
        <v>290</v>
      </c>
      <c r="C2968" t="s">
        <v>2737</v>
      </c>
      <c r="D2968" t="s">
        <v>15292</v>
      </c>
      <c r="E2968">
        <v>424033</v>
      </c>
      <c r="F2968" t="s">
        <v>1</v>
      </c>
      <c r="G2968" t="s">
        <v>2</v>
      </c>
      <c r="H2968" t="s">
        <v>4300</v>
      </c>
      <c r="I2968" t="s">
        <v>15293</v>
      </c>
      <c r="K2968" t="s">
        <v>15293</v>
      </c>
      <c r="P2968" t="s">
        <v>15294</v>
      </c>
      <c r="Y2968" t="s">
        <v>10046</v>
      </c>
    </row>
    <row r="2969" spans="1:25" x14ac:dyDescent="0.25">
      <c r="A2969" t="str">
        <f>"1349532566"</f>
        <v>1349532566</v>
      </c>
      <c r="B2969" t="s">
        <v>3094</v>
      </c>
      <c r="C2969" t="s">
        <v>3095</v>
      </c>
      <c r="D2969" t="s">
        <v>15295</v>
      </c>
      <c r="E2969">
        <v>424002</v>
      </c>
      <c r="F2969" t="s">
        <v>1</v>
      </c>
      <c r="G2969" t="s">
        <v>2</v>
      </c>
      <c r="H2969" t="s">
        <v>15296</v>
      </c>
      <c r="I2969" t="s">
        <v>15297</v>
      </c>
      <c r="K2969" t="s">
        <v>15298</v>
      </c>
      <c r="L2969" t="s">
        <v>15299</v>
      </c>
      <c r="M2969" t="s">
        <v>15300</v>
      </c>
      <c r="P2969" t="s">
        <v>3938</v>
      </c>
      <c r="Y2969" t="s">
        <v>15301</v>
      </c>
    </row>
    <row r="2970" spans="1:25" x14ac:dyDescent="0.25">
      <c r="A2970" t="str">
        <f>"1349534851"</f>
        <v>1349534851</v>
      </c>
      <c r="B2970" t="s">
        <v>25</v>
      </c>
      <c r="C2970" t="s">
        <v>59</v>
      </c>
      <c r="D2970" t="s">
        <v>15302</v>
      </c>
      <c r="E2970">
        <v>424008</v>
      </c>
      <c r="F2970" t="s">
        <v>1</v>
      </c>
      <c r="G2970" t="s">
        <v>2</v>
      </c>
      <c r="H2970" t="s">
        <v>1012</v>
      </c>
      <c r="I2970" t="s">
        <v>15303</v>
      </c>
      <c r="J2970" t="s">
        <v>15304</v>
      </c>
      <c r="L2970" t="s">
        <v>15305</v>
      </c>
      <c r="M2970" t="s">
        <v>15306</v>
      </c>
      <c r="P2970" t="s">
        <v>15307</v>
      </c>
      <c r="Y2970" t="s">
        <v>1016</v>
      </c>
    </row>
    <row r="2971" spans="1:25" x14ac:dyDescent="0.25">
      <c r="A2971" t="str">
        <f>"1349573685"</f>
        <v>1349573685</v>
      </c>
      <c r="B2971" t="s">
        <v>18</v>
      </c>
      <c r="C2971" t="s">
        <v>15312</v>
      </c>
      <c r="D2971" t="s">
        <v>15308</v>
      </c>
      <c r="E2971">
        <v>424028</v>
      </c>
      <c r="F2971" t="s">
        <v>1</v>
      </c>
      <c r="G2971" t="s">
        <v>2</v>
      </c>
      <c r="H2971" t="s">
        <v>8743</v>
      </c>
      <c r="I2971" t="s">
        <v>15309</v>
      </c>
      <c r="L2971" t="s">
        <v>15310</v>
      </c>
      <c r="M2971" t="s">
        <v>15311</v>
      </c>
      <c r="P2971" t="s">
        <v>152</v>
      </c>
      <c r="Y2971" t="s">
        <v>15313</v>
      </c>
    </row>
    <row r="2972" spans="1:25" x14ac:dyDescent="0.25">
      <c r="A2972" t="str">
        <f>"1349583618"</f>
        <v>1349583618</v>
      </c>
      <c r="B2972" t="s">
        <v>123</v>
      </c>
      <c r="C2972" t="s">
        <v>196</v>
      </c>
      <c r="D2972" t="s">
        <v>15314</v>
      </c>
      <c r="E2972">
        <v>424028</v>
      </c>
      <c r="F2972" t="s">
        <v>1</v>
      </c>
      <c r="G2972" t="s">
        <v>2</v>
      </c>
      <c r="H2972" t="s">
        <v>3226</v>
      </c>
      <c r="I2972" t="s">
        <v>15315</v>
      </c>
      <c r="P2972" t="s">
        <v>2438</v>
      </c>
      <c r="Y2972" t="s">
        <v>15316</v>
      </c>
    </row>
    <row r="2973" spans="1:25" x14ac:dyDescent="0.25">
      <c r="A2973" t="str">
        <f>"1349686145"</f>
        <v>1349686145</v>
      </c>
      <c r="B2973" t="s">
        <v>32</v>
      </c>
      <c r="C2973" t="s">
        <v>182</v>
      </c>
      <c r="D2973" t="s">
        <v>15317</v>
      </c>
      <c r="E2973">
        <v>424030</v>
      </c>
      <c r="F2973" t="s">
        <v>1</v>
      </c>
      <c r="G2973" t="s">
        <v>2</v>
      </c>
      <c r="H2973" t="s">
        <v>15318</v>
      </c>
      <c r="P2973" t="s">
        <v>1027</v>
      </c>
      <c r="Y2973" t="s">
        <v>15319</v>
      </c>
    </row>
    <row r="2974" spans="1:25" x14ac:dyDescent="0.25">
      <c r="A2974" t="str">
        <f>"1349733043"</f>
        <v>1349733043</v>
      </c>
      <c r="B2974" t="s">
        <v>654</v>
      </c>
      <c r="C2974" t="s">
        <v>1283</v>
      </c>
      <c r="D2974" t="s">
        <v>15320</v>
      </c>
      <c r="E2974">
        <v>424006</v>
      </c>
      <c r="F2974" t="s">
        <v>1</v>
      </c>
      <c r="G2974" t="s">
        <v>2</v>
      </c>
      <c r="H2974" t="s">
        <v>8482</v>
      </c>
      <c r="I2974" t="s">
        <v>15321</v>
      </c>
      <c r="K2974" t="s">
        <v>15322</v>
      </c>
      <c r="P2974" t="s">
        <v>280</v>
      </c>
      <c r="Y2974" t="s">
        <v>15323</v>
      </c>
    </row>
    <row r="2975" spans="1:25" x14ac:dyDescent="0.25">
      <c r="A2975" t="str">
        <f>"1349774498"</f>
        <v>1349774498</v>
      </c>
      <c r="B2975" t="s">
        <v>18</v>
      </c>
      <c r="C2975" t="s">
        <v>15327</v>
      </c>
      <c r="D2975" t="s">
        <v>15324</v>
      </c>
      <c r="E2975">
        <v>424004</v>
      </c>
      <c r="F2975" t="s">
        <v>1</v>
      </c>
      <c r="G2975" t="s">
        <v>2</v>
      </c>
      <c r="H2975" t="s">
        <v>15325</v>
      </c>
      <c r="I2975" t="s">
        <v>15326</v>
      </c>
      <c r="P2975" t="s">
        <v>799</v>
      </c>
      <c r="Y2975" t="s">
        <v>15328</v>
      </c>
    </row>
    <row r="2976" spans="1:25" x14ac:dyDescent="0.25">
      <c r="A2976" t="str">
        <f>"1349814893"</f>
        <v>1349814893</v>
      </c>
      <c r="B2976" t="s">
        <v>25</v>
      </c>
      <c r="C2976" t="s">
        <v>1005</v>
      </c>
      <c r="D2976" t="s">
        <v>15329</v>
      </c>
      <c r="E2976">
        <v>424006</v>
      </c>
      <c r="F2976" t="s">
        <v>1</v>
      </c>
      <c r="G2976" t="s">
        <v>2</v>
      </c>
      <c r="H2976" t="s">
        <v>10818</v>
      </c>
      <c r="J2976" t="s">
        <v>15330</v>
      </c>
      <c r="P2976" t="s">
        <v>15331</v>
      </c>
      <c r="Y2976" t="s">
        <v>10823</v>
      </c>
    </row>
    <row r="2977" spans="1:25" x14ac:dyDescent="0.25">
      <c r="A2977" t="str">
        <f>"1349827588"</f>
        <v>1349827588</v>
      </c>
      <c r="B2977" t="s">
        <v>591</v>
      </c>
      <c r="C2977" t="s">
        <v>15334</v>
      </c>
      <c r="D2977" t="s">
        <v>15332</v>
      </c>
      <c r="F2977" t="s">
        <v>1</v>
      </c>
      <c r="G2977" t="s">
        <v>2</v>
      </c>
      <c r="H2977" t="s">
        <v>5118</v>
      </c>
      <c r="I2977" t="s">
        <v>15333</v>
      </c>
      <c r="K2977" t="s">
        <v>15333</v>
      </c>
      <c r="P2977" t="s">
        <v>280</v>
      </c>
      <c r="Y2977" t="s">
        <v>15335</v>
      </c>
    </row>
    <row r="2978" spans="1:25" x14ac:dyDescent="0.25">
      <c r="A2978" t="str">
        <f>"1349876030"</f>
        <v>1349876030</v>
      </c>
      <c r="B2978" t="s">
        <v>160</v>
      </c>
      <c r="C2978" t="s">
        <v>1666</v>
      </c>
      <c r="D2978" t="s">
        <v>15336</v>
      </c>
      <c r="E2978">
        <v>424005</v>
      </c>
      <c r="F2978" t="s">
        <v>1</v>
      </c>
      <c r="G2978" t="s">
        <v>2</v>
      </c>
      <c r="H2978" t="s">
        <v>15337</v>
      </c>
      <c r="I2978" t="s">
        <v>15338</v>
      </c>
      <c r="P2978" t="s">
        <v>15339</v>
      </c>
      <c r="Y2978" t="s">
        <v>15340</v>
      </c>
    </row>
    <row r="2979" spans="1:25" x14ac:dyDescent="0.25">
      <c r="A2979" t="str">
        <f>"1349876705"</f>
        <v>1349876705</v>
      </c>
      <c r="B2979" t="s">
        <v>456</v>
      </c>
      <c r="C2979" t="s">
        <v>15345</v>
      </c>
      <c r="D2979" t="s">
        <v>15341</v>
      </c>
      <c r="E2979">
        <v>424020</v>
      </c>
      <c r="F2979" t="s">
        <v>1</v>
      </c>
      <c r="G2979" t="s">
        <v>2</v>
      </c>
      <c r="H2979" t="s">
        <v>13605</v>
      </c>
      <c r="I2979" t="s">
        <v>15342</v>
      </c>
      <c r="L2979" t="s">
        <v>15343</v>
      </c>
      <c r="M2979" t="s">
        <v>15344</v>
      </c>
      <c r="P2979" t="s">
        <v>27</v>
      </c>
      <c r="Q2979" t="s">
        <v>15346</v>
      </c>
      <c r="T2979" t="s">
        <v>15347</v>
      </c>
      <c r="Y2979" t="s">
        <v>15348</v>
      </c>
    </row>
    <row r="2980" spans="1:25" x14ac:dyDescent="0.25">
      <c r="A2980" t="str">
        <f>"1349905422"</f>
        <v>1349905422</v>
      </c>
      <c r="B2980" t="s">
        <v>32</v>
      </c>
      <c r="C2980" t="s">
        <v>5809</v>
      </c>
      <c r="D2980" t="s">
        <v>15349</v>
      </c>
      <c r="E2980">
        <v>424007</v>
      </c>
      <c r="F2980" t="s">
        <v>1</v>
      </c>
      <c r="G2980" t="s">
        <v>2</v>
      </c>
      <c r="H2980" t="s">
        <v>4666</v>
      </c>
      <c r="J2980" t="s">
        <v>15350</v>
      </c>
      <c r="P2980" t="s">
        <v>2050</v>
      </c>
      <c r="Y2980" t="s">
        <v>15351</v>
      </c>
    </row>
    <row r="2981" spans="1:25" x14ac:dyDescent="0.25">
      <c r="A2981" t="str">
        <f>"1350241084"</f>
        <v>1350241084</v>
      </c>
      <c r="B2981" t="s">
        <v>1152</v>
      </c>
      <c r="C2981" t="s">
        <v>2222</v>
      </c>
      <c r="D2981" t="s">
        <v>10152</v>
      </c>
      <c r="E2981">
        <v>424038</v>
      </c>
      <c r="F2981" t="s">
        <v>1</v>
      </c>
      <c r="G2981" t="s">
        <v>2</v>
      </c>
      <c r="H2981" t="s">
        <v>6059</v>
      </c>
      <c r="I2981" t="s">
        <v>15352</v>
      </c>
      <c r="P2981" t="s">
        <v>7053</v>
      </c>
      <c r="Y2981" t="s">
        <v>15353</v>
      </c>
    </row>
    <row r="2982" spans="1:25" x14ac:dyDescent="0.25">
      <c r="A2982" t="str">
        <f>"1350314225"</f>
        <v>1350314225</v>
      </c>
      <c r="B2982" t="s">
        <v>352</v>
      </c>
      <c r="C2982" t="s">
        <v>15360</v>
      </c>
      <c r="D2982" t="s">
        <v>15354</v>
      </c>
      <c r="E2982">
        <v>424019</v>
      </c>
      <c r="F2982" t="s">
        <v>1</v>
      </c>
      <c r="G2982" t="s">
        <v>2</v>
      </c>
      <c r="H2982" t="s">
        <v>15355</v>
      </c>
      <c r="I2982" t="s">
        <v>15356</v>
      </c>
      <c r="J2982" t="s">
        <v>15357</v>
      </c>
      <c r="L2982" t="s">
        <v>15358</v>
      </c>
      <c r="M2982" t="s">
        <v>15359</v>
      </c>
      <c r="P2982" t="s">
        <v>1071</v>
      </c>
      <c r="Q2982" t="s">
        <v>15361</v>
      </c>
      <c r="V2982" t="s">
        <v>15362</v>
      </c>
      <c r="Y2982" t="s">
        <v>15363</v>
      </c>
    </row>
    <row r="2983" spans="1:25" x14ac:dyDescent="0.25">
      <c r="A2983" t="str">
        <f>"1350340546"</f>
        <v>1350340546</v>
      </c>
      <c r="B2983" t="s">
        <v>930</v>
      </c>
      <c r="C2983" t="s">
        <v>15368</v>
      </c>
      <c r="D2983" t="s">
        <v>15364</v>
      </c>
      <c r="E2983">
        <v>424004</v>
      </c>
      <c r="F2983" t="s">
        <v>1</v>
      </c>
      <c r="G2983" t="s">
        <v>2</v>
      </c>
      <c r="H2983" t="s">
        <v>15365</v>
      </c>
      <c r="I2983" t="s">
        <v>15366</v>
      </c>
      <c r="J2983" t="s">
        <v>15367</v>
      </c>
      <c r="P2983" t="s">
        <v>27</v>
      </c>
      <c r="Y2983" t="s">
        <v>15369</v>
      </c>
    </row>
    <row r="2984" spans="1:25" x14ac:dyDescent="0.25">
      <c r="A2984" t="str">
        <f>"1350407867"</f>
        <v>1350407867</v>
      </c>
      <c r="B2984" t="s">
        <v>469</v>
      </c>
      <c r="C2984" t="s">
        <v>12479</v>
      </c>
      <c r="D2984" t="s">
        <v>15370</v>
      </c>
      <c r="E2984">
        <v>424003</v>
      </c>
      <c r="F2984" t="s">
        <v>1</v>
      </c>
      <c r="G2984" t="s">
        <v>2</v>
      </c>
      <c r="H2984" t="s">
        <v>15371</v>
      </c>
      <c r="I2984" t="s">
        <v>15372</v>
      </c>
      <c r="L2984" t="s">
        <v>15373</v>
      </c>
      <c r="M2984" t="s">
        <v>15374</v>
      </c>
      <c r="P2984" t="s">
        <v>2513</v>
      </c>
      <c r="Q2984" t="s">
        <v>2514</v>
      </c>
      <c r="R2984" t="s">
        <v>15375</v>
      </c>
      <c r="T2984" t="s">
        <v>15376</v>
      </c>
      <c r="V2984" t="s">
        <v>15377</v>
      </c>
      <c r="Y2984" t="s">
        <v>15378</v>
      </c>
    </row>
    <row r="2985" spans="1:25" x14ac:dyDescent="0.25">
      <c r="A2985" t="str">
        <f>"1350437782"</f>
        <v>1350437782</v>
      </c>
      <c r="B2985" t="s">
        <v>3908</v>
      </c>
      <c r="C2985" t="s">
        <v>15383</v>
      </c>
      <c r="D2985" t="s">
        <v>15379</v>
      </c>
      <c r="E2985">
        <v>424003</v>
      </c>
      <c r="F2985" t="s">
        <v>1</v>
      </c>
      <c r="G2985" t="s">
        <v>2</v>
      </c>
      <c r="H2985" t="s">
        <v>6518</v>
      </c>
      <c r="I2985" t="s">
        <v>15380</v>
      </c>
      <c r="L2985" t="s">
        <v>15381</v>
      </c>
      <c r="M2985" t="s">
        <v>15382</v>
      </c>
      <c r="P2985" t="s">
        <v>1270</v>
      </c>
      <c r="Y2985" t="s">
        <v>15384</v>
      </c>
    </row>
    <row r="2986" spans="1:25" x14ac:dyDescent="0.25">
      <c r="A2986" t="str">
        <f>"1350496424"</f>
        <v>1350496424</v>
      </c>
      <c r="B2986" t="s">
        <v>151</v>
      </c>
      <c r="C2986" t="s">
        <v>151</v>
      </c>
      <c r="D2986" t="s">
        <v>15385</v>
      </c>
      <c r="E2986">
        <v>424006</v>
      </c>
      <c r="F2986" t="s">
        <v>1</v>
      </c>
      <c r="G2986" t="s">
        <v>2</v>
      </c>
      <c r="H2986" t="s">
        <v>751</v>
      </c>
      <c r="J2986" t="s">
        <v>15386</v>
      </c>
      <c r="P2986" t="s">
        <v>2839</v>
      </c>
      <c r="Y2986" t="s">
        <v>15387</v>
      </c>
    </row>
    <row r="2987" spans="1:25" x14ac:dyDescent="0.25">
      <c r="A2987" t="str">
        <f>"1350544381"</f>
        <v>1350544381</v>
      </c>
      <c r="B2987" t="s">
        <v>888</v>
      </c>
      <c r="C2987" t="s">
        <v>15391</v>
      </c>
      <c r="D2987" t="s">
        <v>15388</v>
      </c>
      <c r="E2987">
        <v>424006</v>
      </c>
      <c r="F2987" t="s">
        <v>1</v>
      </c>
      <c r="G2987" t="s">
        <v>2</v>
      </c>
      <c r="H2987" t="s">
        <v>10818</v>
      </c>
      <c r="I2987" t="s">
        <v>15389</v>
      </c>
      <c r="L2987" t="s">
        <v>15390</v>
      </c>
      <c r="P2987" t="s">
        <v>15392</v>
      </c>
      <c r="Q2987" t="s">
        <v>15393</v>
      </c>
      <c r="Y2987" t="s">
        <v>1016</v>
      </c>
    </row>
    <row r="2988" spans="1:25" x14ac:dyDescent="0.25">
      <c r="A2988" t="str">
        <f>"1350636936"</f>
        <v>1350636936</v>
      </c>
      <c r="B2988" t="s">
        <v>397</v>
      </c>
      <c r="C2988" t="s">
        <v>15397</v>
      </c>
      <c r="D2988" t="s">
        <v>15394</v>
      </c>
      <c r="F2988" t="s">
        <v>1</v>
      </c>
      <c r="G2988" t="s">
        <v>2</v>
      </c>
      <c r="H2988" t="s">
        <v>9077</v>
      </c>
      <c r="I2988" t="s">
        <v>15395</v>
      </c>
      <c r="K2988" t="s">
        <v>15396</v>
      </c>
      <c r="P2988" t="s">
        <v>14081</v>
      </c>
      <c r="Y2988" t="s">
        <v>15398</v>
      </c>
    </row>
    <row r="2989" spans="1:25" x14ac:dyDescent="0.25">
      <c r="A2989" t="str">
        <f>"1350772855"</f>
        <v>1350772855</v>
      </c>
      <c r="B2989" t="s">
        <v>18</v>
      </c>
      <c r="C2989" t="s">
        <v>959</v>
      </c>
      <c r="D2989" t="s">
        <v>15399</v>
      </c>
      <c r="E2989">
        <v>424033</v>
      </c>
      <c r="F2989" t="s">
        <v>1</v>
      </c>
      <c r="G2989" t="s">
        <v>2</v>
      </c>
      <c r="H2989" t="s">
        <v>1341</v>
      </c>
      <c r="J2989" t="s">
        <v>15400</v>
      </c>
      <c r="P2989" t="s">
        <v>280</v>
      </c>
      <c r="Y2989" t="s">
        <v>1346</v>
      </c>
    </row>
    <row r="2990" spans="1:25" x14ac:dyDescent="0.25">
      <c r="A2990" t="str">
        <f>"1350908480"</f>
        <v>1350908480</v>
      </c>
      <c r="B2990" t="s">
        <v>18</v>
      </c>
      <c r="C2990" t="s">
        <v>15402</v>
      </c>
      <c r="D2990" t="s">
        <v>561</v>
      </c>
      <c r="E2990">
        <v>424038</v>
      </c>
      <c r="F2990" t="s">
        <v>1</v>
      </c>
      <c r="G2990" t="s">
        <v>2</v>
      </c>
      <c r="H2990" t="s">
        <v>8196</v>
      </c>
      <c r="I2990" t="s">
        <v>15401</v>
      </c>
      <c r="L2990" t="s">
        <v>4186</v>
      </c>
      <c r="M2990" t="s">
        <v>4187</v>
      </c>
      <c r="P2990" t="s">
        <v>15403</v>
      </c>
      <c r="Q2990" t="s">
        <v>15404</v>
      </c>
      <c r="Y2990" t="s">
        <v>15405</v>
      </c>
    </row>
    <row r="2991" spans="1:25" x14ac:dyDescent="0.25">
      <c r="A2991" t="str">
        <f>"1350988296"</f>
        <v>1350988296</v>
      </c>
      <c r="B2991" t="s">
        <v>1611</v>
      </c>
      <c r="C2991" t="s">
        <v>3218</v>
      </c>
      <c r="D2991" t="s">
        <v>15406</v>
      </c>
      <c r="E2991">
        <v>424037</v>
      </c>
      <c r="F2991" t="s">
        <v>1</v>
      </c>
      <c r="G2991" t="s">
        <v>2</v>
      </c>
      <c r="H2991" t="s">
        <v>15407</v>
      </c>
      <c r="I2991" t="s">
        <v>15408</v>
      </c>
      <c r="L2991" t="s">
        <v>15409</v>
      </c>
      <c r="M2991" t="s">
        <v>15410</v>
      </c>
      <c r="P2991" t="s">
        <v>15411</v>
      </c>
      <c r="Y2991" t="s">
        <v>15412</v>
      </c>
    </row>
    <row r="2992" spans="1:25" x14ac:dyDescent="0.25">
      <c r="A2992" t="str">
        <f>"1350988969"</f>
        <v>1350988969</v>
      </c>
      <c r="B2992" t="s">
        <v>18</v>
      </c>
      <c r="C2992" t="s">
        <v>15415</v>
      </c>
      <c r="D2992" t="s">
        <v>15413</v>
      </c>
      <c r="E2992">
        <v>424005</v>
      </c>
      <c r="F2992" t="s">
        <v>1</v>
      </c>
      <c r="G2992" t="s">
        <v>2</v>
      </c>
      <c r="H2992" t="s">
        <v>5843</v>
      </c>
      <c r="I2992" t="s">
        <v>15414</v>
      </c>
      <c r="P2992" t="s">
        <v>941</v>
      </c>
      <c r="Y2992" t="s">
        <v>15416</v>
      </c>
    </row>
    <row r="2993" spans="1:25" x14ac:dyDescent="0.25">
      <c r="A2993" t="str">
        <f>"1351070067"</f>
        <v>1351070067</v>
      </c>
      <c r="B2993" t="s">
        <v>2104</v>
      </c>
      <c r="C2993" t="s">
        <v>13387</v>
      </c>
      <c r="D2993" t="s">
        <v>15417</v>
      </c>
      <c r="E2993">
        <v>424007</v>
      </c>
      <c r="F2993" t="s">
        <v>1</v>
      </c>
      <c r="G2993" t="s">
        <v>2</v>
      </c>
      <c r="H2993" t="s">
        <v>15418</v>
      </c>
      <c r="I2993" t="s">
        <v>15419</v>
      </c>
      <c r="P2993" t="s">
        <v>8133</v>
      </c>
      <c r="Y2993" t="s">
        <v>15420</v>
      </c>
    </row>
    <row r="2994" spans="1:25" x14ac:dyDescent="0.25">
      <c r="A2994" t="str">
        <f>"1351178999"</f>
        <v>1351178999</v>
      </c>
      <c r="B2994" t="s">
        <v>176</v>
      </c>
      <c r="C2994" t="s">
        <v>2968</v>
      </c>
      <c r="D2994" t="s">
        <v>15421</v>
      </c>
      <c r="E2994">
        <v>424005</v>
      </c>
      <c r="F2994" t="s">
        <v>1</v>
      </c>
      <c r="G2994" t="s">
        <v>2</v>
      </c>
      <c r="H2994" t="s">
        <v>15422</v>
      </c>
      <c r="I2994" t="s">
        <v>15423</v>
      </c>
      <c r="L2994" t="s">
        <v>15424</v>
      </c>
      <c r="M2994" t="s">
        <v>15425</v>
      </c>
      <c r="P2994" t="s">
        <v>15033</v>
      </c>
      <c r="Y2994" t="s">
        <v>15426</v>
      </c>
    </row>
    <row r="2995" spans="1:25" x14ac:dyDescent="0.25">
      <c r="A2995" t="str">
        <f>"1351219184"</f>
        <v>1351219184</v>
      </c>
      <c r="B2995" t="s">
        <v>160</v>
      </c>
      <c r="C2995" t="s">
        <v>1666</v>
      </c>
      <c r="D2995" t="s">
        <v>15427</v>
      </c>
      <c r="E2995">
        <v>424033</v>
      </c>
      <c r="F2995" t="s">
        <v>1</v>
      </c>
      <c r="G2995" t="s">
        <v>2</v>
      </c>
      <c r="H2995" t="s">
        <v>15428</v>
      </c>
      <c r="I2995" t="s">
        <v>15429</v>
      </c>
      <c r="P2995" t="s">
        <v>14538</v>
      </c>
      <c r="Y2995" t="s">
        <v>15430</v>
      </c>
    </row>
    <row r="2996" spans="1:25" x14ac:dyDescent="0.25">
      <c r="A2996" t="str">
        <f>"1351228543"</f>
        <v>1351228543</v>
      </c>
      <c r="B2996" t="s">
        <v>1053</v>
      </c>
      <c r="C2996" t="s">
        <v>15432</v>
      </c>
      <c r="D2996" t="s">
        <v>15431</v>
      </c>
      <c r="E2996">
        <v>424006</v>
      </c>
      <c r="F2996" t="s">
        <v>1</v>
      </c>
      <c r="G2996" t="s">
        <v>2</v>
      </c>
      <c r="H2996" t="s">
        <v>4821</v>
      </c>
      <c r="I2996" t="s">
        <v>7393</v>
      </c>
      <c r="P2996" t="s">
        <v>2839</v>
      </c>
      <c r="Y2996" t="s">
        <v>15433</v>
      </c>
    </row>
    <row r="2997" spans="1:25" x14ac:dyDescent="0.25">
      <c r="A2997" t="str">
        <f>"1351346151"</f>
        <v>1351346151</v>
      </c>
      <c r="B2997" t="s">
        <v>1611</v>
      </c>
      <c r="C2997" t="s">
        <v>3218</v>
      </c>
      <c r="D2997" t="s">
        <v>15434</v>
      </c>
      <c r="F2997" t="s">
        <v>1</v>
      </c>
      <c r="G2997" t="s">
        <v>2</v>
      </c>
      <c r="H2997" t="s">
        <v>15435</v>
      </c>
      <c r="I2997" t="s">
        <v>15436</v>
      </c>
      <c r="M2997" t="s">
        <v>15437</v>
      </c>
      <c r="P2997" t="s">
        <v>330</v>
      </c>
      <c r="Y2997" t="s">
        <v>15438</v>
      </c>
    </row>
    <row r="2998" spans="1:25" x14ac:dyDescent="0.25">
      <c r="A2998" t="str">
        <f>"1351454200"</f>
        <v>1351454200</v>
      </c>
      <c r="B2998" t="s">
        <v>18</v>
      </c>
      <c r="C2998" t="s">
        <v>6222</v>
      </c>
      <c r="D2998" t="s">
        <v>15439</v>
      </c>
      <c r="E2998">
        <v>424028</v>
      </c>
      <c r="F2998" t="s">
        <v>1</v>
      </c>
      <c r="G2998" t="s">
        <v>2</v>
      </c>
      <c r="H2998" t="s">
        <v>3359</v>
      </c>
      <c r="I2998" t="s">
        <v>15440</v>
      </c>
      <c r="P2998" t="s">
        <v>330</v>
      </c>
      <c r="Y2998" t="s">
        <v>15441</v>
      </c>
    </row>
    <row r="2999" spans="1:25" x14ac:dyDescent="0.25">
      <c r="A2999" t="str">
        <f>"1351505480"</f>
        <v>1351505480</v>
      </c>
      <c r="B2999" t="s">
        <v>123</v>
      </c>
      <c r="C2999" t="s">
        <v>15445</v>
      </c>
      <c r="D2999" t="s">
        <v>15442</v>
      </c>
      <c r="E2999">
        <v>424007</v>
      </c>
      <c r="F2999" t="s">
        <v>1</v>
      </c>
      <c r="G2999" t="s">
        <v>2</v>
      </c>
      <c r="H2999" t="s">
        <v>10411</v>
      </c>
      <c r="I2999" t="s">
        <v>15443</v>
      </c>
      <c r="J2999" t="s">
        <v>15444</v>
      </c>
      <c r="P2999" t="s">
        <v>15446</v>
      </c>
      <c r="Y2999" t="s">
        <v>15447</v>
      </c>
    </row>
    <row r="3000" spans="1:25" x14ac:dyDescent="0.25">
      <c r="A3000" t="str">
        <f>"1351544205"</f>
        <v>1351544205</v>
      </c>
      <c r="B3000" t="s">
        <v>123</v>
      </c>
      <c r="C3000" t="s">
        <v>424</v>
      </c>
      <c r="D3000" t="s">
        <v>15448</v>
      </c>
      <c r="E3000">
        <v>424039</v>
      </c>
      <c r="F3000" t="s">
        <v>1</v>
      </c>
      <c r="G3000" t="s">
        <v>2</v>
      </c>
      <c r="H3000" t="s">
        <v>15449</v>
      </c>
      <c r="I3000" t="s">
        <v>15450</v>
      </c>
      <c r="L3000" t="s">
        <v>15451</v>
      </c>
      <c r="M3000" t="s">
        <v>15452</v>
      </c>
      <c r="P3000" t="s">
        <v>4998</v>
      </c>
      <c r="Y3000" t="s">
        <v>15453</v>
      </c>
    </row>
    <row r="3001" spans="1:25" x14ac:dyDescent="0.25">
      <c r="A3001" t="str">
        <f>"1351578161"</f>
        <v>1351578161</v>
      </c>
      <c r="B3001" t="s">
        <v>25</v>
      </c>
      <c r="C3001" t="s">
        <v>59</v>
      </c>
      <c r="D3001" t="s">
        <v>15454</v>
      </c>
      <c r="E3001">
        <v>424002</v>
      </c>
      <c r="F3001" t="s">
        <v>1</v>
      </c>
      <c r="G3001" t="s">
        <v>2</v>
      </c>
      <c r="H3001" t="s">
        <v>10546</v>
      </c>
      <c r="J3001" t="s">
        <v>15455</v>
      </c>
      <c r="P3001" t="s">
        <v>330</v>
      </c>
      <c r="Y3001" t="s">
        <v>15456</v>
      </c>
    </row>
    <row r="3002" spans="1:25" x14ac:dyDescent="0.25">
      <c r="A3002" t="str">
        <f>"1351598124"</f>
        <v>1351598124</v>
      </c>
      <c r="B3002" t="s">
        <v>352</v>
      </c>
      <c r="C3002" t="s">
        <v>15459</v>
      </c>
      <c r="D3002" t="s">
        <v>15457</v>
      </c>
      <c r="E3002">
        <v>424000</v>
      </c>
      <c r="F3002" t="s">
        <v>1</v>
      </c>
      <c r="G3002" t="s">
        <v>2</v>
      </c>
      <c r="H3002" t="s">
        <v>3421</v>
      </c>
      <c r="I3002" t="s">
        <v>15458</v>
      </c>
      <c r="P3002" t="s">
        <v>1027</v>
      </c>
      <c r="Y3002" t="s">
        <v>3425</v>
      </c>
    </row>
    <row r="3003" spans="1:25" x14ac:dyDescent="0.25">
      <c r="A3003" t="str">
        <f>"1351611808"</f>
        <v>1351611808</v>
      </c>
      <c r="B3003" t="s">
        <v>7</v>
      </c>
      <c r="C3003" t="s">
        <v>14013</v>
      </c>
      <c r="D3003" t="s">
        <v>15460</v>
      </c>
      <c r="E3003">
        <v>424031</v>
      </c>
      <c r="F3003" t="s">
        <v>1</v>
      </c>
      <c r="G3003" t="s">
        <v>2</v>
      </c>
      <c r="H3003" t="s">
        <v>413</v>
      </c>
      <c r="J3003" t="s">
        <v>15461</v>
      </c>
      <c r="P3003" t="s">
        <v>9</v>
      </c>
      <c r="Y3003" t="s">
        <v>1421</v>
      </c>
    </row>
    <row r="3004" spans="1:25" x14ac:dyDescent="0.25">
      <c r="A3004" t="str">
        <f>"1351658683"</f>
        <v>1351658683</v>
      </c>
      <c r="B3004" t="s">
        <v>388</v>
      </c>
      <c r="C3004" t="s">
        <v>15466</v>
      </c>
      <c r="D3004" t="s">
        <v>15462</v>
      </c>
      <c r="E3004">
        <v>424004</v>
      </c>
      <c r="F3004" t="s">
        <v>1</v>
      </c>
      <c r="G3004" t="s">
        <v>2</v>
      </c>
      <c r="H3004" t="s">
        <v>351</v>
      </c>
      <c r="I3004" t="s">
        <v>15463</v>
      </c>
      <c r="L3004" t="s">
        <v>15464</v>
      </c>
      <c r="M3004" t="s">
        <v>15465</v>
      </c>
      <c r="P3004" t="s">
        <v>1528</v>
      </c>
      <c r="Q3004" t="s">
        <v>15467</v>
      </c>
      <c r="Y3004" t="s">
        <v>15468</v>
      </c>
    </row>
    <row r="3005" spans="1:25" x14ac:dyDescent="0.25">
      <c r="A3005" t="str">
        <f>"1351696991"</f>
        <v>1351696991</v>
      </c>
      <c r="B3005" t="s">
        <v>18</v>
      </c>
      <c r="C3005" t="s">
        <v>959</v>
      </c>
      <c r="D3005" t="s">
        <v>15469</v>
      </c>
      <c r="E3005">
        <v>424006</v>
      </c>
      <c r="F3005" t="s">
        <v>1</v>
      </c>
      <c r="G3005" t="s">
        <v>2</v>
      </c>
      <c r="H3005" t="s">
        <v>5726</v>
      </c>
      <c r="I3005" t="s">
        <v>15470</v>
      </c>
      <c r="P3005" t="s">
        <v>27</v>
      </c>
      <c r="Y3005" t="s">
        <v>656</v>
      </c>
    </row>
    <row r="3006" spans="1:25" x14ac:dyDescent="0.25">
      <c r="A3006" t="str">
        <f>"1351747937"</f>
        <v>1351747937</v>
      </c>
      <c r="B3006" t="s">
        <v>243</v>
      </c>
      <c r="C3006" t="s">
        <v>2538</v>
      </c>
      <c r="D3006" t="s">
        <v>15471</v>
      </c>
      <c r="E3006">
        <v>424006</v>
      </c>
      <c r="F3006" t="s">
        <v>1</v>
      </c>
      <c r="G3006" t="s">
        <v>2</v>
      </c>
      <c r="H3006" t="s">
        <v>4821</v>
      </c>
      <c r="I3006" t="s">
        <v>15472</v>
      </c>
      <c r="P3006" t="s">
        <v>27</v>
      </c>
      <c r="Y3006" t="s">
        <v>15433</v>
      </c>
    </row>
    <row r="3007" spans="1:25" x14ac:dyDescent="0.25">
      <c r="A3007" t="str">
        <f>"1351780799"</f>
        <v>1351780799</v>
      </c>
      <c r="B3007" t="s">
        <v>3573</v>
      </c>
      <c r="C3007" t="s">
        <v>15478</v>
      </c>
      <c r="D3007" t="s">
        <v>15473</v>
      </c>
      <c r="E3007">
        <v>424006</v>
      </c>
      <c r="F3007" t="s">
        <v>1</v>
      </c>
      <c r="G3007" t="s">
        <v>2</v>
      </c>
      <c r="H3007" t="s">
        <v>751</v>
      </c>
      <c r="I3007" t="s">
        <v>15474</v>
      </c>
      <c r="J3007" t="s">
        <v>15475</v>
      </c>
      <c r="L3007" t="s">
        <v>15476</v>
      </c>
      <c r="M3007" t="s">
        <v>15477</v>
      </c>
      <c r="P3007" t="s">
        <v>9</v>
      </c>
      <c r="Y3007" t="s">
        <v>755</v>
      </c>
    </row>
    <row r="3008" spans="1:25" x14ac:dyDescent="0.25">
      <c r="A3008" t="str">
        <f>"1351843675"</f>
        <v>1351843675</v>
      </c>
      <c r="B3008" t="s">
        <v>3008</v>
      </c>
      <c r="C3008" t="s">
        <v>15481</v>
      </c>
      <c r="D3008" t="s">
        <v>15479</v>
      </c>
      <c r="E3008">
        <v>424038</v>
      </c>
      <c r="F3008" t="s">
        <v>1</v>
      </c>
      <c r="G3008" t="s">
        <v>2</v>
      </c>
      <c r="H3008" t="s">
        <v>8196</v>
      </c>
      <c r="I3008" t="s">
        <v>15480</v>
      </c>
      <c r="P3008" t="s">
        <v>15482</v>
      </c>
      <c r="Y3008" t="s">
        <v>15483</v>
      </c>
    </row>
    <row r="3009" spans="1:25" x14ac:dyDescent="0.25">
      <c r="A3009" t="str">
        <f>"1351883771"</f>
        <v>1351883771</v>
      </c>
      <c r="B3009" t="s">
        <v>553</v>
      </c>
      <c r="C3009" t="s">
        <v>10404</v>
      </c>
      <c r="D3009" t="s">
        <v>4269</v>
      </c>
      <c r="E3009">
        <v>424002</v>
      </c>
      <c r="F3009" t="s">
        <v>1</v>
      </c>
      <c r="G3009" t="s">
        <v>2</v>
      </c>
      <c r="H3009" t="s">
        <v>662</v>
      </c>
      <c r="I3009" t="s">
        <v>15484</v>
      </c>
      <c r="P3009" t="s">
        <v>2438</v>
      </c>
      <c r="Y3009" t="s">
        <v>1296</v>
      </c>
    </row>
    <row r="3010" spans="1:25" x14ac:dyDescent="0.25">
      <c r="A3010" t="str">
        <f>"1351957536"</f>
        <v>1351957536</v>
      </c>
      <c r="B3010" t="s">
        <v>1611</v>
      </c>
      <c r="C3010" t="s">
        <v>4172</v>
      </c>
      <c r="D3010" t="s">
        <v>15485</v>
      </c>
      <c r="E3010">
        <v>424028</v>
      </c>
      <c r="F3010" t="s">
        <v>1</v>
      </c>
      <c r="G3010" t="s">
        <v>2</v>
      </c>
      <c r="H3010" t="s">
        <v>15486</v>
      </c>
      <c r="I3010" t="s">
        <v>15487</v>
      </c>
      <c r="L3010" t="s">
        <v>15488</v>
      </c>
      <c r="M3010" t="s">
        <v>15489</v>
      </c>
      <c r="P3010" t="s">
        <v>1035</v>
      </c>
      <c r="Y3010" t="s">
        <v>15490</v>
      </c>
    </row>
    <row r="3011" spans="1:25" x14ac:dyDescent="0.25">
      <c r="A3011" t="str">
        <f>"1351991176"</f>
        <v>1351991176</v>
      </c>
      <c r="B3011" t="s">
        <v>32</v>
      </c>
      <c r="C3011" t="s">
        <v>15493</v>
      </c>
      <c r="D3011" t="s">
        <v>15491</v>
      </c>
      <c r="E3011">
        <v>424000</v>
      </c>
      <c r="F3011" t="s">
        <v>1</v>
      </c>
      <c r="G3011" t="s">
        <v>2</v>
      </c>
      <c r="H3011" t="s">
        <v>1531</v>
      </c>
      <c r="I3011" t="s">
        <v>15492</v>
      </c>
      <c r="P3011" t="s">
        <v>15494</v>
      </c>
      <c r="Y3011" t="s">
        <v>15495</v>
      </c>
    </row>
    <row r="3012" spans="1:25" x14ac:dyDescent="0.25">
      <c r="A3012" t="str">
        <f>"1352027237"</f>
        <v>1352027237</v>
      </c>
      <c r="B3012" t="s">
        <v>430</v>
      </c>
      <c r="C3012" t="s">
        <v>2571</v>
      </c>
      <c r="D3012" t="s">
        <v>15496</v>
      </c>
      <c r="E3012">
        <v>424003</v>
      </c>
      <c r="F3012" t="s">
        <v>1</v>
      </c>
      <c r="G3012" t="s">
        <v>2</v>
      </c>
      <c r="H3012" t="s">
        <v>15497</v>
      </c>
      <c r="I3012" t="s">
        <v>15498</v>
      </c>
      <c r="L3012" t="s">
        <v>15499</v>
      </c>
      <c r="M3012" t="s">
        <v>15500</v>
      </c>
      <c r="P3012" t="s">
        <v>15501</v>
      </c>
      <c r="Q3012" t="s">
        <v>15502</v>
      </c>
      <c r="V3012" t="s">
        <v>15503</v>
      </c>
      <c r="Y3012" t="s">
        <v>15504</v>
      </c>
    </row>
    <row r="3013" spans="1:25" x14ac:dyDescent="0.25">
      <c r="A3013" t="str">
        <f>"1352186800"</f>
        <v>1352186800</v>
      </c>
      <c r="B3013" t="s">
        <v>430</v>
      </c>
      <c r="C3013" t="s">
        <v>15509</v>
      </c>
      <c r="D3013" t="s">
        <v>15505</v>
      </c>
      <c r="E3013">
        <v>424019</v>
      </c>
      <c r="F3013" t="s">
        <v>1</v>
      </c>
      <c r="G3013" t="s">
        <v>2</v>
      </c>
      <c r="H3013" t="s">
        <v>15506</v>
      </c>
      <c r="J3013" t="s">
        <v>15507</v>
      </c>
      <c r="L3013" t="s">
        <v>15508</v>
      </c>
      <c r="P3013" t="s">
        <v>15510</v>
      </c>
      <c r="Q3013" t="s">
        <v>15511</v>
      </c>
      <c r="R3013" t="s">
        <v>15512</v>
      </c>
      <c r="Y3013" t="s">
        <v>15513</v>
      </c>
    </row>
    <row r="3014" spans="1:25" x14ac:dyDescent="0.25">
      <c r="A3014" t="str">
        <f>"1352210684"</f>
        <v>1352210684</v>
      </c>
      <c r="B3014" t="s">
        <v>176</v>
      </c>
      <c r="C3014" t="s">
        <v>279</v>
      </c>
      <c r="D3014" t="s">
        <v>15514</v>
      </c>
      <c r="E3014">
        <v>424002</v>
      </c>
      <c r="F3014" t="s">
        <v>1</v>
      </c>
      <c r="G3014" t="s">
        <v>2</v>
      </c>
      <c r="H3014" t="s">
        <v>15515</v>
      </c>
      <c r="I3014" t="s">
        <v>15516</v>
      </c>
      <c r="P3014" t="s">
        <v>20</v>
      </c>
      <c r="Y3014" t="s">
        <v>15517</v>
      </c>
    </row>
    <row r="3015" spans="1:25" x14ac:dyDescent="0.25">
      <c r="A3015" t="str">
        <f>"1352218804"</f>
        <v>1352218804</v>
      </c>
      <c r="B3015" t="s">
        <v>1053</v>
      </c>
      <c r="C3015" t="s">
        <v>4372</v>
      </c>
      <c r="D3015" t="s">
        <v>15518</v>
      </c>
      <c r="E3015">
        <v>424032</v>
      </c>
      <c r="F3015" t="s">
        <v>1</v>
      </c>
      <c r="G3015" t="s">
        <v>2</v>
      </c>
      <c r="H3015" t="s">
        <v>15519</v>
      </c>
      <c r="I3015" t="s">
        <v>15520</v>
      </c>
      <c r="J3015" t="s">
        <v>15521</v>
      </c>
      <c r="P3015" t="s">
        <v>15522</v>
      </c>
      <c r="Y3015" t="s">
        <v>15523</v>
      </c>
    </row>
    <row r="3016" spans="1:25" x14ac:dyDescent="0.25">
      <c r="A3016" t="str">
        <f>"1352283242"</f>
        <v>1352283242</v>
      </c>
      <c r="B3016" t="s">
        <v>519</v>
      </c>
      <c r="C3016" t="s">
        <v>3954</v>
      </c>
      <c r="D3016" t="s">
        <v>15524</v>
      </c>
      <c r="E3016">
        <v>424001</v>
      </c>
      <c r="F3016" t="s">
        <v>1</v>
      </c>
      <c r="G3016" t="s">
        <v>2</v>
      </c>
      <c r="H3016" t="s">
        <v>919</v>
      </c>
      <c r="I3016" t="s">
        <v>15525</v>
      </c>
      <c r="P3016" t="s">
        <v>15526</v>
      </c>
      <c r="Y3016" t="s">
        <v>1750</v>
      </c>
    </row>
    <row r="3017" spans="1:25" x14ac:dyDescent="0.25">
      <c r="A3017" t="str">
        <f>"1352308736"</f>
        <v>1352308736</v>
      </c>
      <c r="B3017" t="s">
        <v>1152</v>
      </c>
      <c r="C3017" t="s">
        <v>1385</v>
      </c>
      <c r="D3017" t="s">
        <v>1382</v>
      </c>
      <c r="E3017">
        <v>424031</v>
      </c>
      <c r="F3017" t="s">
        <v>1</v>
      </c>
      <c r="G3017" t="s">
        <v>2</v>
      </c>
      <c r="H3017" t="s">
        <v>413</v>
      </c>
      <c r="I3017" t="s">
        <v>15527</v>
      </c>
      <c r="J3017" t="s">
        <v>15528</v>
      </c>
      <c r="P3017" t="s">
        <v>15529</v>
      </c>
      <c r="Y3017" t="s">
        <v>15530</v>
      </c>
    </row>
    <row r="3018" spans="1:25" x14ac:dyDescent="0.25">
      <c r="A3018" t="str">
        <f>"1352326477"</f>
        <v>1352326477</v>
      </c>
      <c r="B3018" t="s">
        <v>930</v>
      </c>
      <c r="C3018" t="s">
        <v>1096</v>
      </c>
      <c r="D3018" t="s">
        <v>15531</v>
      </c>
      <c r="E3018">
        <v>424032</v>
      </c>
      <c r="F3018" t="s">
        <v>1</v>
      </c>
      <c r="G3018" t="s">
        <v>2</v>
      </c>
      <c r="H3018" t="s">
        <v>5699</v>
      </c>
      <c r="I3018" t="s">
        <v>15532</v>
      </c>
      <c r="P3018" t="s">
        <v>2580</v>
      </c>
      <c r="Y3018" t="s">
        <v>5709</v>
      </c>
    </row>
    <row r="3019" spans="1:25" x14ac:dyDescent="0.25">
      <c r="A3019" t="str">
        <f>"1352477083"</f>
        <v>1352477083</v>
      </c>
      <c r="B3019" t="s">
        <v>430</v>
      </c>
      <c r="C3019" t="s">
        <v>15535</v>
      </c>
      <c r="D3019" t="s">
        <v>15533</v>
      </c>
      <c r="E3019">
        <v>424003</v>
      </c>
      <c r="F3019" t="s">
        <v>1</v>
      </c>
      <c r="G3019" t="s">
        <v>2</v>
      </c>
      <c r="H3019" t="s">
        <v>3158</v>
      </c>
      <c r="I3019" t="s">
        <v>15534</v>
      </c>
      <c r="P3019" t="s">
        <v>941</v>
      </c>
      <c r="Y3019" t="s">
        <v>6780</v>
      </c>
    </row>
    <row r="3020" spans="1:25" x14ac:dyDescent="0.25">
      <c r="A3020" t="str">
        <f>"1352611863"</f>
        <v>1352611863</v>
      </c>
      <c r="B3020" t="s">
        <v>716</v>
      </c>
      <c r="C3020" t="s">
        <v>717</v>
      </c>
      <c r="D3020" t="s">
        <v>15536</v>
      </c>
      <c r="E3020">
        <v>424028</v>
      </c>
      <c r="F3020" t="s">
        <v>1</v>
      </c>
      <c r="G3020" t="s">
        <v>2</v>
      </c>
      <c r="H3020" t="s">
        <v>3628</v>
      </c>
      <c r="I3020" t="s">
        <v>15537</v>
      </c>
      <c r="P3020" t="s">
        <v>330</v>
      </c>
      <c r="Y3020" t="s">
        <v>6934</v>
      </c>
    </row>
    <row r="3021" spans="1:25" x14ac:dyDescent="0.25">
      <c r="A3021" t="str">
        <f>"1352622081"</f>
        <v>1352622081</v>
      </c>
      <c r="B3021" t="s">
        <v>151</v>
      </c>
      <c r="C3021" t="s">
        <v>151</v>
      </c>
      <c r="D3021" t="s">
        <v>15538</v>
      </c>
      <c r="E3021">
        <v>424030</v>
      </c>
      <c r="F3021" t="s">
        <v>1</v>
      </c>
      <c r="G3021" t="s">
        <v>2</v>
      </c>
      <c r="H3021" t="s">
        <v>15539</v>
      </c>
      <c r="P3021" t="s">
        <v>2280</v>
      </c>
      <c r="Y3021" t="s">
        <v>15540</v>
      </c>
    </row>
    <row r="3022" spans="1:25" x14ac:dyDescent="0.25">
      <c r="A3022" t="str">
        <f>"1352665255"</f>
        <v>1352665255</v>
      </c>
      <c r="B3022" t="s">
        <v>334</v>
      </c>
      <c r="C3022" t="s">
        <v>2551</v>
      </c>
      <c r="D3022" t="s">
        <v>15541</v>
      </c>
      <c r="E3022">
        <v>424002</v>
      </c>
      <c r="F3022" t="s">
        <v>1</v>
      </c>
      <c r="G3022" t="s">
        <v>2</v>
      </c>
      <c r="H3022" t="s">
        <v>8677</v>
      </c>
      <c r="I3022" t="s">
        <v>15542</v>
      </c>
      <c r="P3022" t="s">
        <v>340</v>
      </c>
      <c r="Y3022" t="s">
        <v>8681</v>
      </c>
    </row>
    <row r="3023" spans="1:25" x14ac:dyDescent="0.25">
      <c r="A3023" t="str">
        <f>"1352792607"</f>
        <v>1352792607</v>
      </c>
      <c r="B3023" t="s">
        <v>1362</v>
      </c>
      <c r="C3023" t="s">
        <v>15548</v>
      </c>
      <c r="D3023" t="s">
        <v>15543</v>
      </c>
      <c r="E3023">
        <v>424006</v>
      </c>
      <c r="F3023" t="s">
        <v>1</v>
      </c>
      <c r="G3023" t="s">
        <v>2</v>
      </c>
      <c r="H3023" t="s">
        <v>5906</v>
      </c>
      <c r="I3023" t="s">
        <v>15544</v>
      </c>
      <c r="K3023" t="s">
        <v>15545</v>
      </c>
      <c r="L3023" t="s">
        <v>15546</v>
      </c>
      <c r="M3023" t="s">
        <v>15547</v>
      </c>
      <c r="P3023" t="s">
        <v>15549</v>
      </c>
      <c r="Y3023" t="s">
        <v>15550</v>
      </c>
    </row>
    <row r="3024" spans="1:25" x14ac:dyDescent="0.25">
      <c r="A3024" t="str">
        <f>"1352813290"</f>
        <v>1352813290</v>
      </c>
      <c r="B3024" t="s">
        <v>978</v>
      </c>
      <c r="C3024" t="s">
        <v>1659</v>
      </c>
      <c r="D3024" t="s">
        <v>15551</v>
      </c>
      <c r="E3024">
        <v>424007</v>
      </c>
      <c r="F3024" t="s">
        <v>1</v>
      </c>
      <c r="G3024" t="s">
        <v>2</v>
      </c>
      <c r="H3024" t="s">
        <v>5647</v>
      </c>
      <c r="I3024" t="s">
        <v>15552</v>
      </c>
      <c r="L3024" t="s">
        <v>15553</v>
      </c>
      <c r="M3024" t="s">
        <v>15554</v>
      </c>
      <c r="P3024" t="s">
        <v>10331</v>
      </c>
      <c r="Q3024" t="s">
        <v>15555</v>
      </c>
      <c r="Y3024" t="s">
        <v>15556</v>
      </c>
    </row>
    <row r="3025" spans="1:25" x14ac:dyDescent="0.25">
      <c r="A3025" t="str">
        <f>"1352859774"</f>
        <v>1352859774</v>
      </c>
      <c r="B3025" t="s">
        <v>18</v>
      </c>
      <c r="C3025" t="s">
        <v>4522</v>
      </c>
      <c r="D3025" t="s">
        <v>15557</v>
      </c>
      <c r="E3025">
        <v>424004</v>
      </c>
      <c r="F3025" t="s">
        <v>1</v>
      </c>
      <c r="G3025" t="s">
        <v>2</v>
      </c>
      <c r="H3025" t="s">
        <v>1169</v>
      </c>
      <c r="I3025" t="s">
        <v>15558</v>
      </c>
      <c r="P3025" t="s">
        <v>362</v>
      </c>
      <c r="Y3025" t="s">
        <v>15559</v>
      </c>
    </row>
    <row r="3026" spans="1:25" x14ac:dyDescent="0.25">
      <c r="A3026" t="str">
        <f>"1352906609"</f>
        <v>1352906609</v>
      </c>
      <c r="B3026" t="s">
        <v>32</v>
      </c>
      <c r="C3026" t="s">
        <v>40</v>
      </c>
      <c r="D3026" t="s">
        <v>2733</v>
      </c>
      <c r="E3026">
        <v>424032</v>
      </c>
      <c r="F3026" t="s">
        <v>1</v>
      </c>
      <c r="G3026" t="s">
        <v>2</v>
      </c>
      <c r="H3026" t="s">
        <v>15560</v>
      </c>
      <c r="I3026" t="s">
        <v>15561</v>
      </c>
      <c r="P3026" t="s">
        <v>1638</v>
      </c>
      <c r="Y3026" t="s">
        <v>15562</v>
      </c>
    </row>
    <row r="3027" spans="1:25" x14ac:dyDescent="0.25">
      <c r="A3027" t="str">
        <f>"1353089029"</f>
        <v>1353089029</v>
      </c>
      <c r="B3027" t="s">
        <v>2818</v>
      </c>
      <c r="C3027" t="s">
        <v>15566</v>
      </c>
      <c r="D3027" t="s">
        <v>15563</v>
      </c>
      <c r="E3027">
        <v>424028</v>
      </c>
      <c r="F3027" t="s">
        <v>1</v>
      </c>
      <c r="G3027" t="s">
        <v>2</v>
      </c>
      <c r="H3027" t="s">
        <v>3628</v>
      </c>
      <c r="I3027" t="s">
        <v>15564</v>
      </c>
      <c r="J3027" t="s">
        <v>15565</v>
      </c>
      <c r="P3027" t="s">
        <v>226</v>
      </c>
      <c r="Q3027" t="s">
        <v>15567</v>
      </c>
      <c r="Y3027" t="s">
        <v>15568</v>
      </c>
    </row>
    <row r="3028" spans="1:25" x14ac:dyDescent="0.25">
      <c r="A3028" t="str">
        <f>"1353138115"</f>
        <v>1353138115</v>
      </c>
      <c r="B3028" t="s">
        <v>25</v>
      </c>
      <c r="C3028" t="s">
        <v>1005</v>
      </c>
      <c r="D3028" t="s">
        <v>15569</v>
      </c>
      <c r="E3028">
        <v>424026</v>
      </c>
      <c r="F3028" t="s">
        <v>1</v>
      </c>
      <c r="G3028" t="s">
        <v>2</v>
      </c>
      <c r="H3028" t="s">
        <v>12899</v>
      </c>
      <c r="I3028" t="s">
        <v>15570</v>
      </c>
      <c r="J3028" t="s">
        <v>15571</v>
      </c>
      <c r="P3028" t="s">
        <v>1160</v>
      </c>
      <c r="Y3028" t="s">
        <v>15572</v>
      </c>
    </row>
    <row r="3029" spans="1:25" x14ac:dyDescent="0.25">
      <c r="A3029" t="str">
        <f>"1353190920"</f>
        <v>1353190920</v>
      </c>
      <c r="B3029" t="s">
        <v>7</v>
      </c>
      <c r="C3029" t="s">
        <v>9893</v>
      </c>
      <c r="D3029" t="s">
        <v>15573</v>
      </c>
      <c r="E3029">
        <v>424032</v>
      </c>
      <c r="F3029" t="s">
        <v>1</v>
      </c>
      <c r="G3029" t="s">
        <v>2</v>
      </c>
      <c r="H3029" t="s">
        <v>7845</v>
      </c>
      <c r="J3029" t="s">
        <v>15574</v>
      </c>
      <c r="P3029" t="s">
        <v>1441</v>
      </c>
      <c r="Y3029" t="s">
        <v>7856</v>
      </c>
    </row>
    <row r="3030" spans="1:25" x14ac:dyDescent="0.25">
      <c r="A3030" t="str">
        <f>"1353200346"</f>
        <v>1353200346</v>
      </c>
      <c r="B3030" t="s">
        <v>1053</v>
      </c>
      <c r="C3030" t="s">
        <v>15581</v>
      </c>
      <c r="D3030" t="s">
        <v>15575</v>
      </c>
      <c r="E3030">
        <v>424006</v>
      </c>
      <c r="F3030" t="s">
        <v>1</v>
      </c>
      <c r="G3030" t="s">
        <v>2</v>
      </c>
      <c r="H3030" t="s">
        <v>1923</v>
      </c>
      <c r="I3030" t="s">
        <v>15576</v>
      </c>
      <c r="J3030" t="s">
        <v>15577</v>
      </c>
      <c r="K3030" t="s">
        <v>15578</v>
      </c>
      <c r="L3030" t="s">
        <v>15579</v>
      </c>
      <c r="M3030" t="s">
        <v>15580</v>
      </c>
      <c r="P3030" t="s">
        <v>280</v>
      </c>
      <c r="Y3030" t="s">
        <v>1928</v>
      </c>
    </row>
    <row r="3031" spans="1:25" x14ac:dyDescent="0.25">
      <c r="A3031" t="str">
        <f>"1353396525"</f>
        <v>1353396525</v>
      </c>
      <c r="B3031" t="s">
        <v>123</v>
      </c>
      <c r="C3031" t="s">
        <v>424</v>
      </c>
      <c r="D3031" t="s">
        <v>15582</v>
      </c>
      <c r="E3031">
        <v>424028</v>
      </c>
      <c r="F3031" t="s">
        <v>1</v>
      </c>
      <c r="G3031" t="s">
        <v>2</v>
      </c>
      <c r="H3031" t="s">
        <v>15583</v>
      </c>
      <c r="I3031" t="s">
        <v>15584</v>
      </c>
      <c r="L3031" t="s">
        <v>15585</v>
      </c>
      <c r="M3031" t="s">
        <v>15586</v>
      </c>
      <c r="P3031" t="s">
        <v>425</v>
      </c>
      <c r="Y3031" t="s">
        <v>15587</v>
      </c>
    </row>
    <row r="3032" spans="1:25" x14ac:dyDescent="0.25">
      <c r="A3032" t="str">
        <f>"1353495903"</f>
        <v>1353495903</v>
      </c>
      <c r="B3032" t="s">
        <v>456</v>
      </c>
      <c r="C3032" t="s">
        <v>15590</v>
      </c>
      <c r="D3032" t="s">
        <v>15588</v>
      </c>
      <c r="E3032">
        <v>424004</v>
      </c>
      <c r="F3032" t="s">
        <v>1</v>
      </c>
      <c r="G3032" t="s">
        <v>2</v>
      </c>
      <c r="H3032" t="s">
        <v>1169</v>
      </c>
      <c r="I3032" t="s">
        <v>15589</v>
      </c>
      <c r="P3032" t="s">
        <v>330</v>
      </c>
      <c r="Y3032" t="s">
        <v>1178</v>
      </c>
    </row>
    <row r="3033" spans="1:25" x14ac:dyDescent="0.25">
      <c r="A3033" t="str">
        <f>"1353521779"</f>
        <v>1353521779</v>
      </c>
      <c r="B3033" t="s">
        <v>352</v>
      </c>
      <c r="C3033" t="s">
        <v>15594</v>
      </c>
      <c r="D3033" t="s">
        <v>15591</v>
      </c>
      <c r="E3033">
        <v>424038</v>
      </c>
      <c r="F3033" t="s">
        <v>1</v>
      </c>
      <c r="G3033" t="s">
        <v>2</v>
      </c>
      <c r="H3033" t="s">
        <v>7518</v>
      </c>
      <c r="L3033" t="s">
        <v>15592</v>
      </c>
      <c r="M3033" t="s">
        <v>15593</v>
      </c>
      <c r="P3033" t="s">
        <v>27</v>
      </c>
      <c r="Y3033" t="s">
        <v>15595</v>
      </c>
    </row>
    <row r="3034" spans="1:25" x14ac:dyDescent="0.25">
      <c r="A3034" t="str">
        <f>"1353541793"</f>
        <v>1353541793</v>
      </c>
      <c r="B3034" t="s">
        <v>1544</v>
      </c>
      <c r="C3034" t="s">
        <v>15598</v>
      </c>
      <c r="D3034" t="s">
        <v>15596</v>
      </c>
      <c r="E3034">
        <v>424038</v>
      </c>
      <c r="F3034" t="s">
        <v>1</v>
      </c>
      <c r="G3034" t="s">
        <v>2</v>
      </c>
      <c r="H3034" t="s">
        <v>14471</v>
      </c>
      <c r="I3034" t="s">
        <v>15597</v>
      </c>
      <c r="P3034" t="s">
        <v>292</v>
      </c>
      <c r="Q3034" t="s">
        <v>15599</v>
      </c>
      <c r="Y3034" t="s">
        <v>15600</v>
      </c>
    </row>
    <row r="3035" spans="1:25" x14ac:dyDescent="0.25">
      <c r="A3035" t="str">
        <f>"1353552609"</f>
        <v>1353552609</v>
      </c>
      <c r="B3035" t="s">
        <v>654</v>
      </c>
      <c r="C3035" t="s">
        <v>2195</v>
      </c>
      <c r="D3035" t="s">
        <v>5040</v>
      </c>
      <c r="F3035" t="s">
        <v>1</v>
      </c>
      <c r="G3035" t="s">
        <v>2</v>
      </c>
      <c r="H3035" t="s">
        <v>757</v>
      </c>
      <c r="I3035" t="s">
        <v>15601</v>
      </c>
      <c r="P3035" t="s">
        <v>6467</v>
      </c>
      <c r="Y3035" t="s">
        <v>15602</v>
      </c>
    </row>
    <row r="3036" spans="1:25" x14ac:dyDescent="0.25">
      <c r="A3036" t="str">
        <f>"1353554229"</f>
        <v>1353554229</v>
      </c>
      <c r="B3036" t="s">
        <v>18</v>
      </c>
      <c r="C3036" t="s">
        <v>3386</v>
      </c>
      <c r="D3036" t="s">
        <v>15603</v>
      </c>
      <c r="E3036">
        <v>424007</v>
      </c>
      <c r="F3036" t="s">
        <v>1</v>
      </c>
      <c r="G3036" t="s">
        <v>2</v>
      </c>
      <c r="H3036" t="s">
        <v>1085</v>
      </c>
      <c r="I3036" t="s">
        <v>15604</v>
      </c>
      <c r="K3036" t="s">
        <v>4391</v>
      </c>
      <c r="L3036" t="s">
        <v>15605</v>
      </c>
      <c r="M3036" t="s">
        <v>15606</v>
      </c>
      <c r="P3036" t="s">
        <v>6426</v>
      </c>
      <c r="Y3036" t="s">
        <v>1412</v>
      </c>
    </row>
    <row r="3037" spans="1:25" x14ac:dyDescent="0.25">
      <c r="A3037" t="str">
        <f>"1353564488"</f>
        <v>1353564488</v>
      </c>
      <c r="B3037" t="s">
        <v>930</v>
      </c>
      <c r="C3037" t="s">
        <v>1940</v>
      </c>
      <c r="D3037" t="s">
        <v>1096</v>
      </c>
      <c r="E3037">
        <v>424007</v>
      </c>
      <c r="F3037" t="s">
        <v>1</v>
      </c>
      <c r="G3037" t="s">
        <v>2</v>
      </c>
      <c r="H3037" t="s">
        <v>3444</v>
      </c>
      <c r="I3037" t="s">
        <v>15607</v>
      </c>
      <c r="P3037" t="s">
        <v>20</v>
      </c>
      <c r="Y3037" t="s">
        <v>3446</v>
      </c>
    </row>
    <row r="3038" spans="1:25" x14ac:dyDescent="0.25">
      <c r="A3038" t="str">
        <f>"1353587938"</f>
        <v>1353587938</v>
      </c>
      <c r="B3038" t="s">
        <v>1053</v>
      </c>
      <c r="C3038" t="s">
        <v>1927</v>
      </c>
      <c r="D3038" t="s">
        <v>15608</v>
      </c>
      <c r="E3038">
        <v>424002</v>
      </c>
      <c r="F3038" t="s">
        <v>1</v>
      </c>
      <c r="G3038" t="s">
        <v>2</v>
      </c>
      <c r="H3038" t="s">
        <v>3604</v>
      </c>
      <c r="I3038" t="s">
        <v>15609</v>
      </c>
      <c r="J3038" t="s">
        <v>15610</v>
      </c>
      <c r="L3038" t="s">
        <v>2127</v>
      </c>
      <c r="M3038" t="s">
        <v>15611</v>
      </c>
      <c r="P3038" t="s">
        <v>27</v>
      </c>
      <c r="Y3038" t="s">
        <v>8209</v>
      </c>
    </row>
    <row r="3039" spans="1:25" x14ac:dyDescent="0.25">
      <c r="A3039" t="str">
        <f>"1353729588"</f>
        <v>1353729588</v>
      </c>
      <c r="B3039" t="s">
        <v>1182</v>
      </c>
      <c r="C3039" t="s">
        <v>15617</v>
      </c>
      <c r="D3039" t="s">
        <v>15612</v>
      </c>
      <c r="E3039">
        <v>424031</v>
      </c>
      <c r="F3039" t="s">
        <v>1</v>
      </c>
      <c r="G3039" t="s">
        <v>2</v>
      </c>
      <c r="H3039" t="s">
        <v>8799</v>
      </c>
      <c r="I3039" t="s">
        <v>15613</v>
      </c>
      <c r="J3039" t="s">
        <v>15614</v>
      </c>
      <c r="L3039" t="s">
        <v>15615</v>
      </c>
      <c r="M3039" t="s">
        <v>15616</v>
      </c>
      <c r="P3039" t="s">
        <v>27</v>
      </c>
      <c r="Y3039" t="s">
        <v>8803</v>
      </c>
    </row>
    <row r="3040" spans="1:25" x14ac:dyDescent="0.25">
      <c r="A3040" t="str">
        <f>"1353942424"</f>
        <v>1353942424</v>
      </c>
      <c r="B3040" t="s">
        <v>96</v>
      </c>
      <c r="C3040" t="s">
        <v>15620</v>
      </c>
      <c r="D3040" t="s">
        <v>15618</v>
      </c>
      <c r="E3040">
        <v>424031</v>
      </c>
      <c r="F3040" t="s">
        <v>1</v>
      </c>
      <c r="G3040" t="s">
        <v>2</v>
      </c>
      <c r="H3040" t="s">
        <v>10141</v>
      </c>
      <c r="J3040" t="s">
        <v>15619</v>
      </c>
      <c r="P3040" t="s">
        <v>27</v>
      </c>
      <c r="Y3040" t="s">
        <v>10144</v>
      </c>
    </row>
    <row r="3041" spans="1:25" x14ac:dyDescent="0.25">
      <c r="A3041" t="str">
        <f>"1354017320"</f>
        <v>1354017320</v>
      </c>
      <c r="B3041" t="s">
        <v>1053</v>
      </c>
      <c r="C3041" t="s">
        <v>1927</v>
      </c>
      <c r="D3041" t="s">
        <v>15621</v>
      </c>
      <c r="E3041">
        <v>424000</v>
      </c>
      <c r="F3041" t="s">
        <v>1</v>
      </c>
      <c r="G3041" t="s">
        <v>2</v>
      </c>
      <c r="H3041" t="s">
        <v>1531</v>
      </c>
      <c r="I3041" t="s">
        <v>15622</v>
      </c>
      <c r="J3041" t="s">
        <v>15623</v>
      </c>
      <c r="P3041" t="s">
        <v>280</v>
      </c>
      <c r="Y3041" t="s">
        <v>4373</v>
      </c>
    </row>
    <row r="3042" spans="1:25" x14ac:dyDescent="0.25">
      <c r="A3042" t="str">
        <f>"1354061156"</f>
        <v>1354061156</v>
      </c>
      <c r="B3042" t="s">
        <v>624</v>
      </c>
      <c r="C3042" t="s">
        <v>15627</v>
      </c>
      <c r="D3042" t="s">
        <v>15624</v>
      </c>
      <c r="E3042">
        <v>424007</v>
      </c>
      <c r="F3042" t="s">
        <v>1</v>
      </c>
      <c r="G3042" t="s">
        <v>2</v>
      </c>
      <c r="H3042" t="s">
        <v>499</v>
      </c>
      <c r="J3042" t="s">
        <v>15625</v>
      </c>
      <c r="M3042" t="s">
        <v>15626</v>
      </c>
      <c r="P3042" t="s">
        <v>1160</v>
      </c>
      <c r="Y3042" t="s">
        <v>1598</v>
      </c>
    </row>
    <row r="3043" spans="1:25" x14ac:dyDescent="0.25">
      <c r="A3043" t="str">
        <f>"1354158155"</f>
        <v>1354158155</v>
      </c>
      <c r="B3043" t="s">
        <v>2178</v>
      </c>
      <c r="C3043" t="s">
        <v>2179</v>
      </c>
      <c r="D3043" t="s">
        <v>15628</v>
      </c>
      <c r="E3043">
        <v>424038</v>
      </c>
      <c r="F3043" t="s">
        <v>1</v>
      </c>
      <c r="G3043" t="s">
        <v>2</v>
      </c>
      <c r="H3043" t="s">
        <v>12580</v>
      </c>
      <c r="I3043" t="s">
        <v>15629</v>
      </c>
      <c r="L3043" t="s">
        <v>10327</v>
      </c>
      <c r="M3043" t="s">
        <v>15630</v>
      </c>
      <c r="P3043" t="s">
        <v>15631</v>
      </c>
      <c r="Y3043" t="s">
        <v>15632</v>
      </c>
    </row>
    <row r="3044" spans="1:25" x14ac:dyDescent="0.25">
      <c r="A3044" t="str">
        <f>"1354242446"</f>
        <v>1354242446</v>
      </c>
      <c r="B3044" t="s">
        <v>290</v>
      </c>
      <c r="C3044" t="s">
        <v>290</v>
      </c>
      <c r="D3044" t="s">
        <v>15633</v>
      </c>
      <c r="E3044">
        <v>424918</v>
      </c>
      <c r="F3044" t="s">
        <v>1</v>
      </c>
      <c r="G3044" t="s">
        <v>2</v>
      </c>
      <c r="H3044" t="s">
        <v>629</v>
      </c>
      <c r="P3044" t="s">
        <v>630</v>
      </c>
      <c r="Y3044" t="s">
        <v>15634</v>
      </c>
    </row>
    <row r="3045" spans="1:25" x14ac:dyDescent="0.25">
      <c r="A3045" t="str">
        <f>"1354284498"</f>
        <v>1354284498</v>
      </c>
      <c r="B3045" t="s">
        <v>224</v>
      </c>
      <c r="C3045" t="s">
        <v>15639</v>
      </c>
      <c r="D3045" t="s">
        <v>15635</v>
      </c>
      <c r="E3045">
        <v>424006</v>
      </c>
      <c r="F3045" t="s">
        <v>1</v>
      </c>
      <c r="G3045" t="s">
        <v>2</v>
      </c>
      <c r="H3045" t="s">
        <v>4078</v>
      </c>
      <c r="I3045" t="s">
        <v>15636</v>
      </c>
      <c r="L3045" t="s">
        <v>15637</v>
      </c>
      <c r="M3045" t="s">
        <v>15638</v>
      </c>
      <c r="P3045" t="s">
        <v>2879</v>
      </c>
      <c r="Y3045" t="s">
        <v>4080</v>
      </c>
    </row>
    <row r="3046" spans="1:25" x14ac:dyDescent="0.25">
      <c r="A3046" t="str">
        <f>"1354366249"</f>
        <v>1354366249</v>
      </c>
      <c r="B3046" t="s">
        <v>4084</v>
      </c>
      <c r="C3046" t="s">
        <v>7951</v>
      </c>
      <c r="D3046" t="s">
        <v>15640</v>
      </c>
      <c r="F3046" t="s">
        <v>1</v>
      </c>
      <c r="G3046" t="s">
        <v>2</v>
      </c>
      <c r="H3046" t="s">
        <v>15641</v>
      </c>
      <c r="Y3046" t="s">
        <v>15642</v>
      </c>
    </row>
    <row r="3047" spans="1:25" x14ac:dyDescent="0.25">
      <c r="A3047" t="str">
        <f>"1354376571"</f>
        <v>1354376571</v>
      </c>
      <c r="B3047" t="s">
        <v>930</v>
      </c>
      <c r="C3047" t="s">
        <v>10263</v>
      </c>
      <c r="D3047" t="s">
        <v>15643</v>
      </c>
      <c r="E3047">
        <v>424040</v>
      </c>
      <c r="F3047" t="s">
        <v>1</v>
      </c>
      <c r="G3047" t="s">
        <v>2</v>
      </c>
      <c r="H3047" t="s">
        <v>14424</v>
      </c>
      <c r="I3047" t="s">
        <v>15644</v>
      </c>
      <c r="P3047" t="s">
        <v>330</v>
      </c>
      <c r="Q3047" t="s">
        <v>15645</v>
      </c>
      <c r="Y3047" t="s">
        <v>15646</v>
      </c>
    </row>
    <row r="3048" spans="1:25" x14ac:dyDescent="0.25">
      <c r="A3048" t="str">
        <f>"1354424368"</f>
        <v>1354424368</v>
      </c>
      <c r="B3048" t="s">
        <v>290</v>
      </c>
      <c r="C3048" t="s">
        <v>290</v>
      </c>
      <c r="D3048" t="s">
        <v>15647</v>
      </c>
      <c r="F3048" t="s">
        <v>1</v>
      </c>
      <c r="G3048" t="s">
        <v>2</v>
      </c>
      <c r="H3048" t="s">
        <v>15648</v>
      </c>
      <c r="J3048" t="s">
        <v>15649</v>
      </c>
      <c r="P3048" t="s">
        <v>15650</v>
      </c>
      <c r="Q3048" t="s">
        <v>15651</v>
      </c>
      <c r="Y3048" t="s">
        <v>15652</v>
      </c>
    </row>
    <row r="3049" spans="1:25" x14ac:dyDescent="0.25">
      <c r="A3049" t="str">
        <f>"1354456949"</f>
        <v>1354456949</v>
      </c>
      <c r="B3049" t="s">
        <v>160</v>
      </c>
      <c r="C3049" t="s">
        <v>15654</v>
      </c>
      <c r="D3049" t="s">
        <v>793</v>
      </c>
      <c r="E3049">
        <v>424003</v>
      </c>
      <c r="F3049" t="s">
        <v>1</v>
      </c>
      <c r="G3049" t="s">
        <v>2</v>
      </c>
      <c r="H3049" t="s">
        <v>3459</v>
      </c>
      <c r="I3049" t="s">
        <v>15653</v>
      </c>
      <c r="P3049" t="s">
        <v>2979</v>
      </c>
      <c r="Y3049" t="s">
        <v>15655</v>
      </c>
    </row>
    <row r="3050" spans="1:25" x14ac:dyDescent="0.25">
      <c r="A3050" t="str">
        <f>"1354463658"</f>
        <v>1354463658</v>
      </c>
      <c r="B3050" t="s">
        <v>3700</v>
      </c>
      <c r="C3050" t="s">
        <v>3700</v>
      </c>
      <c r="D3050" t="s">
        <v>15656</v>
      </c>
      <c r="E3050">
        <v>424007</v>
      </c>
      <c r="F3050" t="s">
        <v>1</v>
      </c>
      <c r="G3050" t="s">
        <v>2</v>
      </c>
      <c r="H3050" t="s">
        <v>1242</v>
      </c>
      <c r="I3050" t="s">
        <v>15657</v>
      </c>
      <c r="J3050" t="s">
        <v>15658</v>
      </c>
      <c r="Y3050" t="s">
        <v>1754</v>
      </c>
    </row>
    <row r="3051" spans="1:25" x14ac:dyDescent="0.25">
      <c r="A3051" t="str">
        <f>"1354499235"</f>
        <v>1354499235</v>
      </c>
      <c r="B3051" t="s">
        <v>32</v>
      </c>
      <c r="C3051" t="s">
        <v>40</v>
      </c>
      <c r="D3051" t="s">
        <v>15659</v>
      </c>
      <c r="E3051">
        <v>424007</v>
      </c>
      <c r="F3051" t="s">
        <v>1</v>
      </c>
      <c r="G3051" t="s">
        <v>2</v>
      </c>
      <c r="H3051" t="s">
        <v>10840</v>
      </c>
      <c r="I3051" t="s">
        <v>15660</v>
      </c>
      <c r="P3051" t="s">
        <v>8945</v>
      </c>
      <c r="Y3051" t="s">
        <v>15661</v>
      </c>
    </row>
    <row r="3052" spans="1:25" x14ac:dyDescent="0.25">
      <c r="A3052" t="str">
        <f>"1354545758"</f>
        <v>1354545758</v>
      </c>
      <c r="B3052" t="s">
        <v>3094</v>
      </c>
      <c r="C3052" t="s">
        <v>3095</v>
      </c>
      <c r="D3052" t="s">
        <v>15662</v>
      </c>
      <c r="E3052">
        <v>424037</v>
      </c>
      <c r="F3052" t="s">
        <v>1</v>
      </c>
      <c r="G3052" t="s">
        <v>2</v>
      </c>
      <c r="H3052" t="s">
        <v>15663</v>
      </c>
      <c r="I3052" t="s">
        <v>15664</v>
      </c>
      <c r="L3052" t="s">
        <v>15665</v>
      </c>
      <c r="M3052" t="s">
        <v>15666</v>
      </c>
      <c r="P3052" t="s">
        <v>280</v>
      </c>
      <c r="T3052" t="s">
        <v>15667</v>
      </c>
      <c r="Y3052" t="s">
        <v>15668</v>
      </c>
    </row>
    <row r="3053" spans="1:25" x14ac:dyDescent="0.25">
      <c r="A3053" t="str">
        <f>"1354563557"</f>
        <v>1354563557</v>
      </c>
      <c r="B3053" t="s">
        <v>469</v>
      </c>
      <c r="C3053" t="s">
        <v>15671</v>
      </c>
      <c r="D3053" t="s">
        <v>15669</v>
      </c>
      <c r="E3053">
        <v>424007</v>
      </c>
      <c r="F3053" t="s">
        <v>1</v>
      </c>
      <c r="G3053" t="s">
        <v>2</v>
      </c>
      <c r="H3053" t="s">
        <v>4411</v>
      </c>
      <c r="I3053" t="s">
        <v>15670</v>
      </c>
      <c r="P3053" t="s">
        <v>3690</v>
      </c>
      <c r="Y3053" t="s">
        <v>15672</v>
      </c>
    </row>
    <row r="3054" spans="1:25" x14ac:dyDescent="0.25">
      <c r="A3054" t="str">
        <f>"1354581939"</f>
        <v>1354581939</v>
      </c>
      <c r="B3054" t="s">
        <v>574</v>
      </c>
      <c r="C3054" t="s">
        <v>646</v>
      </c>
      <c r="D3054" t="s">
        <v>15673</v>
      </c>
      <c r="E3054">
        <v>424037</v>
      </c>
      <c r="F3054" t="s">
        <v>1</v>
      </c>
      <c r="G3054" t="s">
        <v>2</v>
      </c>
      <c r="H3054" t="s">
        <v>15674</v>
      </c>
      <c r="I3054" t="s">
        <v>15675</v>
      </c>
      <c r="P3054" t="s">
        <v>330</v>
      </c>
      <c r="Y3054" t="s">
        <v>15676</v>
      </c>
    </row>
    <row r="3055" spans="1:25" x14ac:dyDescent="0.25">
      <c r="A3055" t="str">
        <f>"1354594105"</f>
        <v>1354594105</v>
      </c>
      <c r="B3055" t="s">
        <v>7</v>
      </c>
      <c r="C3055" t="s">
        <v>6023</v>
      </c>
      <c r="D3055" t="s">
        <v>15677</v>
      </c>
      <c r="E3055">
        <v>424020</v>
      </c>
      <c r="F3055" t="s">
        <v>1</v>
      </c>
      <c r="G3055" t="s">
        <v>2</v>
      </c>
      <c r="H3055" t="s">
        <v>1837</v>
      </c>
      <c r="I3055" t="s">
        <v>15678</v>
      </c>
      <c r="J3055" t="s">
        <v>15679</v>
      </c>
      <c r="P3055" t="s">
        <v>9</v>
      </c>
      <c r="Y3055" t="s">
        <v>1842</v>
      </c>
    </row>
    <row r="3056" spans="1:25" x14ac:dyDescent="0.25">
      <c r="A3056" t="str">
        <f>"1354690162"</f>
        <v>1354690162</v>
      </c>
      <c r="B3056" t="s">
        <v>640</v>
      </c>
      <c r="C3056" t="s">
        <v>663</v>
      </c>
      <c r="D3056" t="s">
        <v>15680</v>
      </c>
      <c r="E3056">
        <v>424003</v>
      </c>
      <c r="F3056" t="s">
        <v>1</v>
      </c>
      <c r="G3056" t="s">
        <v>2</v>
      </c>
      <c r="H3056" t="s">
        <v>1725</v>
      </c>
      <c r="I3056" t="s">
        <v>15681</v>
      </c>
      <c r="J3056" t="s">
        <v>15682</v>
      </c>
      <c r="P3056" t="s">
        <v>15683</v>
      </c>
      <c r="Y3056" t="s">
        <v>15684</v>
      </c>
    </row>
    <row r="3057" spans="1:25" x14ac:dyDescent="0.25">
      <c r="A3057" t="str">
        <f>"1354793901"</f>
        <v>1354793901</v>
      </c>
      <c r="B3057" t="s">
        <v>18</v>
      </c>
      <c r="C3057" t="s">
        <v>15690</v>
      </c>
      <c r="D3057" t="s">
        <v>15685</v>
      </c>
      <c r="E3057">
        <v>424007</v>
      </c>
      <c r="F3057" t="s">
        <v>1</v>
      </c>
      <c r="G3057" t="s">
        <v>2</v>
      </c>
      <c r="H3057" t="s">
        <v>15686</v>
      </c>
      <c r="J3057" t="s">
        <v>15687</v>
      </c>
      <c r="L3057" t="s">
        <v>15688</v>
      </c>
      <c r="M3057" t="s">
        <v>15689</v>
      </c>
      <c r="P3057" t="s">
        <v>9</v>
      </c>
      <c r="Y3057" t="s">
        <v>15691</v>
      </c>
    </row>
    <row r="3058" spans="1:25" x14ac:dyDescent="0.25">
      <c r="A3058" t="str">
        <f>"1354812840"</f>
        <v>1354812840</v>
      </c>
      <c r="B3058" t="s">
        <v>430</v>
      </c>
      <c r="C3058" t="s">
        <v>15694</v>
      </c>
      <c r="D3058" t="s">
        <v>15692</v>
      </c>
      <c r="E3058">
        <v>424000</v>
      </c>
      <c r="F3058" t="s">
        <v>1</v>
      </c>
      <c r="G3058" t="s">
        <v>2</v>
      </c>
      <c r="H3058" t="s">
        <v>128</v>
      </c>
      <c r="I3058" t="s">
        <v>15693</v>
      </c>
      <c r="Y3058" t="s">
        <v>5640</v>
      </c>
    </row>
    <row r="3059" spans="1:25" x14ac:dyDescent="0.25">
      <c r="A3059" t="str">
        <f>"1354851795"</f>
        <v>1354851795</v>
      </c>
      <c r="B3059" t="s">
        <v>1222</v>
      </c>
      <c r="C3059" t="s">
        <v>2114</v>
      </c>
      <c r="D3059" t="s">
        <v>15695</v>
      </c>
      <c r="E3059">
        <v>424037</v>
      </c>
      <c r="F3059" t="s">
        <v>1</v>
      </c>
      <c r="G3059" t="s">
        <v>2</v>
      </c>
      <c r="H3059" t="s">
        <v>15696</v>
      </c>
      <c r="J3059" t="s">
        <v>15697</v>
      </c>
      <c r="P3059" t="s">
        <v>216</v>
      </c>
      <c r="Y3059" t="s">
        <v>15698</v>
      </c>
    </row>
    <row r="3060" spans="1:25" x14ac:dyDescent="0.25">
      <c r="A3060" t="str">
        <f>"1354865132"</f>
        <v>1354865132</v>
      </c>
      <c r="B3060" t="s">
        <v>243</v>
      </c>
      <c r="C3060" t="s">
        <v>2538</v>
      </c>
      <c r="D3060" t="s">
        <v>15699</v>
      </c>
      <c r="F3060" t="s">
        <v>1</v>
      </c>
      <c r="G3060" t="s">
        <v>2</v>
      </c>
      <c r="H3060" t="s">
        <v>15700</v>
      </c>
      <c r="I3060" t="s">
        <v>15701</v>
      </c>
      <c r="L3060" t="s">
        <v>15702</v>
      </c>
      <c r="P3060" t="s">
        <v>27</v>
      </c>
      <c r="Y3060" t="s">
        <v>15703</v>
      </c>
    </row>
    <row r="3061" spans="1:25" x14ac:dyDescent="0.25">
      <c r="A3061" t="str">
        <f>"1354968515"</f>
        <v>1354968515</v>
      </c>
      <c r="B3061" t="s">
        <v>3652</v>
      </c>
      <c r="C3061" t="s">
        <v>15707</v>
      </c>
      <c r="D3061" t="s">
        <v>15704</v>
      </c>
      <c r="E3061">
        <v>424006</v>
      </c>
      <c r="F3061" t="s">
        <v>1</v>
      </c>
      <c r="G3061" t="s">
        <v>2</v>
      </c>
      <c r="H3061" t="s">
        <v>15705</v>
      </c>
      <c r="I3061" t="s">
        <v>15706</v>
      </c>
      <c r="P3061" t="s">
        <v>152</v>
      </c>
      <c r="Y3061" t="s">
        <v>459</v>
      </c>
    </row>
    <row r="3062" spans="1:25" x14ac:dyDescent="0.25">
      <c r="A3062" t="str">
        <f>"1355017559"</f>
        <v>1355017559</v>
      </c>
      <c r="B3062" t="s">
        <v>1078</v>
      </c>
      <c r="C3062" t="s">
        <v>15709</v>
      </c>
      <c r="D3062" t="s">
        <v>7229</v>
      </c>
      <c r="E3062">
        <v>424000</v>
      </c>
      <c r="F3062" t="s">
        <v>1</v>
      </c>
      <c r="G3062" t="s">
        <v>2</v>
      </c>
      <c r="H3062" t="s">
        <v>10803</v>
      </c>
      <c r="J3062" t="s">
        <v>15708</v>
      </c>
      <c r="P3062" t="s">
        <v>13021</v>
      </c>
      <c r="Y3062" t="s">
        <v>15710</v>
      </c>
    </row>
    <row r="3063" spans="1:25" x14ac:dyDescent="0.25">
      <c r="A3063" t="str">
        <f>"1355030361"</f>
        <v>1355030361</v>
      </c>
      <c r="B3063" t="s">
        <v>1152</v>
      </c>
      <c r="C3063" t="s">
        <v>7010</v>
      </c>
      <c r="D3063" t="s">
        <v>15711</v>
      </c>
      <c r="E3063">
        <v>424007</v>
      </c>
      <c r="F3063" t="s">
        <v>1</v>
      </c>
      <c r="G3063" t="s">
        <v>2</v>
      </c>
      <c r="H3063" t="s">
        <v>1389</v>
      </c>
      <c r="I3063" t="s">
        <v>15712</v>
      </c>
      <c r="L3063" t="s">
        <v>15713</v>
      </c>
      <c r="M3063" t="s">
        <v>15714</v>
      </c>
      <c r="P3063" t="s">
        <v>20</v>
      </c>
      <c r="Y3063" t="s">
        <v>15715</v>
      </c>
    </row>
    <row r="3064" spans="1:25" x14ac:dyDescent="0.25">
      <c r="A3064" t="str">
        <f>"1355072865"</f>
        <v>1355072865</v>
      </c>
      <c r="B3064" t="s">
        <v>1152</v>
      </c>
      <c r="C3064" t="s">
        <v>9289</v>
      </c>
      <c r="D3064" t="s">
        <v>15716</v>
      </c>
      <c r="E3064">
        <v>424002</v>
      </c>
      <c r="F3064" t="s">
        <v>1</v>
      </c>
      <c r="G3064" t="s">
        <v>2</v>
      </c>
      <c r="H3064" t="s">
        <v>15717</v>
      </c>
      <c r="I3064" t="s">
        <v>15718</v>
      </c>
      <c r="L3064" t="s">
        <v>15719</v>
      </c>
      <c r="M3064" t="s">
        <v>15720</v>
      </c>
      <c r="P3064" t="s">
        <v>152</v>
      </c>
      <c r="Y3064" t="s">
        <v>15721</v>
      </c>
    </row>
    <row r="3065" spans="1:25" x14ac:dyDescent="0.25">
      <c r="A3065" t="str">
        <f>"1355094097"</f>
        <v>1355094097</v>
      </c>
      <c r="B3065" t="s">
        <v>352</v>
      </c>
      <c r="C3065" t="s">
        <v>353</v>
      </c>
      <c r="D3065" t="s">
        <v>15722</v>
      </c>
      <c r="F3065" t="s">
        <v>1</v>
      </c>
      <c r="G3065" t="s">
        <v>2</v>
      </c>
      <c r="H3065" t="s">
        <v>2018</v>
      </c>
      <c r="P3065" t="s">
        <v>4280</v>
      </c>
      <c r="Y3065" t="s">
        <v>2131</v>
      </c>
    </row>
    <row r="3066" spans="1:25" x14ac:dyDescent="0.25">
      <c r="A3066" t="str">
        <f>"1355102477"</f>
        <v>1355102477</v>
      </c>
      <c r="B3066" t="s">
        <v>18</v>
      </c>
      <c r="C3066" t="s">
        <v>15727</v>
      </c>
      <c r="D3066" t="s">
        <v>15723</v>
      </c>
      <c r="E3066">
        <v>424008</v>
      </c>
      <c r="F3066" t="s">
        <v>1</v>
      </c>
      <c r="G3066" t="s">
        <v>2</v>
      </c>
      <c r="H3066" t="s">
        <v>1012</v>
      </c>
      <c r="I3066" t="s">
        <v>15724</v>
      </c>
      <c r="L3066" t="s">
        <v>15725</v>
      </c>
      <c r="M3066" t="s">
        <v>15726</v>
      </c>
      <c r="P3066" t="s">
        <v>260</v>
      </c>
      <c r="Q3066" t="s">
        <v>15728</v>
      </c>
      <c r="Y3066" t="s">
        <v>2057</v>
      </c>
    </row>
    <row r="3067" spans="1:25" x14ac:dyDescent="0.25">
      <c r="A3067" t="str">
        <f>"1355107331"</f>
        <v>1355107331</v>
      </c>
      <c r="B3067" t="s">
        <v>703</v>
      </c>
      <c r="C3067" t="s">
        <v>15734</v>
      </c>
      <c r="D3067" t="s">
        <v>15729</v>
      </c>
      <c r="E3067">
        <v>424006</v>
      </c>
      <c r="F3067" t="s">
        <v>1</v>
      </c>
      <c r="G3067" t="s">
        <v>2</v>
      </c>
      <c r="H3067" t="s">
        <v>7984</v>
      </c>
      <c r="I3067" t="s">
        <v>15730</v>
      </c>
      <c r="K3067" t="s">
        <v>15731</v>
      </c>
      <c r="L3067" t="s">
        <v>15732</v>
      </c>
      <c r="M3067" t="s">
        <v>15733</v>
      </c>
      <c r="P3067" t="s">
        <v>152</v>
      </c>
      <c r="Y3067" t="s">
        <v>15735</v>
      </c>
    </row>
    <row r="3068" spans="1:25" x14ac:dyDescent="0.25">
      <c r="A3068" t="str">
        <f>"1355138438"</f>
        <v>1355138438</v>
      </c>
      <c r="B3068" t="s">
        <v>160</v>
      </c>
      <c r="C3068" t="s">
        <v>9976</v>
      </c>
      <c r="D3068" t="s">
        <v>15736</v>
      </c>
      <c r="E3068">
        <v>424004</v>
      </c>
      <c r="F3068" t="s">
        <v>1</v>
      </c>
      <c r="G3068" t="s">
        <v>2</v>
      </c>
      <c r="H3068" t="s">
        <v>2133</v>
      </c>
      <c r="I3068" t="s">
        <v>15737</v>
      </c>
      <c r="Y3068" t="s">
        <v>2137</v>
      </c>
    </row>
    <row r="3069" spans="1:25" x14ac:dyDescent="0.25">
      <c r="A3069" t="str">
        <f>"1355176354"</f>
        <v>1355176354</v>
      </c>
      <c r="B3069" t="s">
        <v>1078</v>
      </c>
      <c r="C3069" t="s">
        <v>4259</v>
      </c>
      <c r="D3069" t="s">
        <v>15738</v>
      </c>
      <c r="E3069">
        <v>424002</v>
      </c>
      <c r="F3069" t="s">
        <v>1</v>
      </c>
      <c r="G3069" t="s">
        <v>2</v>
      </c>
      <c r="H3069" t="s">
        <v>57</v>
      </c>
      <c r="P3069" t="s">
        <v>27</v>
      </c>
      <c r="Y3069" t="s">
        <v>15739</v>
      </c>
    </row>
    <row r="3070" spans="1:25" x14ac:dyDescent="0.25">
      <c r="A3070" t="str">
        <f>"1355197843"</f>
        <v>1355197843</v>
      </c>
      <c r="B3070" t="s">
        <v>224</v>
      </c>
      <c r="C3070" t="s">
        <v>3240</v>
      </c>
      <c r="D3070" t="s">
        <v>15740</v>
      </c>
      <c r="F3070" t="s">
        <v>1</v>
      </c>
      <c r="G3070" t="s">
        <v>2</v>
      </c>
      <c r="H3070" t="s">
        <v>15741</v>
      </c>
      <c r="I3070" t="s">
        <v>4032</v>
      </c>
      <c r="K3070" t="s">
        <v>4032</v>
      </c>
      <c r="P3070" t="s">
        <v>27</v>
      </c>
      <c r="Y3070" t="s">
        <v>4034</v>
      </c>
    </row>
    <row r="3071" spans="1:25" x14ac:dyDescent="0.25">
      <c r="A3071" t="str">
        <f>"1355227930"</f>
        <v>1355227930</v>
      </c>
      <c r="B3071" t="s">
        <v>3008</v>
      </c>
      <c r="C3071" t="s">
        <v>15744</v>
      </c>
      <c r="D3071" t="s">
        <v>15742</v>
      </c>
      <c r="E3071">
        <v>424004</v>
      </c>
      <c r="F3071" t="s">
        <v>1</v>
      </c>
      <c r="G3071" t="s">
        <v>2</v>
      </c>
      <c r="H3071" t="s">
        <v>351</v>
      </c>
      <c r="I3071" t="s">
        <v>15743</v>
      </c>
      <c r="P3071" t="s">
        <v>390</v>
      </c>
      <c r="Y3071" t="s">
        <v>354</v>
      </c>
    </row>
    <row r="3072" spans="1:25" x14ac:dyDescent="0.25">
      <c r="A3072" t="str">
        <f>"1355284469"</f>
        <v>1355284469</v>
      </c>
      <c r="B3072" t="s">
        <v>352</v>
      </c>
      <c r="C3072" t="s">
        <v>353</v>
      </c>
      <c r="D3072" t="s">
        <v>15722</v>
      </c>
      <c r="E3072">
        <v>424004</v>
      </c>
      <c r="F3072" t="s">
        <v>1</v>
      </c>
      <c r="G3072" t="s">
        <v>2</v>
      </c>
      <c r="H3072" t="s">
        <v>351</v>
      </c>
      <c r="J3072" t="s">
        <v>15745</v>
      </c>
      <c r="L3072" t="s">
        <v>15746</v>
      </c>
      <c r="P3072" t="s">
        <v>4280</v>
      </c>
      <c r="Y3072" t="s">
        <v>354</v>
      </c>
    </row>
    <row r="3073" spans="1:25" x14ac:dyDescent="0.25">
      <c r="A3073" t="str">
        <f>"1355300437"</f>
        <v>1355300437</v>
      </c>
      <c r="B3073" t="s">
        <v>18</v>
      </c>
      <c r="C3073" t="s">
        <v>6222</v>
      </c>
      <c r="D3073" t="s">
        <v>15747</v>
      </c>
      <c r="E3073">
        <v>424016</v>
      </c>
      <c r="F3073" t="s">
        <v>1</v>
      </c>
      <c r="G3073" t="s">
        <v>2</v>
      </c>
      <c r="H3073" t="s">
        <v>9674</v>
      </c>
      <c r="J3073" t="s">
        <v>15748</v>
      </c>
      <c r="P3073" t="s">
        <v>3938</v>
      </c>
      <c r="Y3073" t="s">
        <v>15749</v>
      </c>
    </row>
    <row r="3074" spans="1:25" x14ac:dyDescent="0.25">
      <c r="A3074" t="str">
        <f>"1355305692"</f>
        <v>1355305692</v>
      </c>
      <c r="B3074" t="s">
        <v>117</v>
      </c>
      <c r="C3074" t="s">
        <v>6850</v>
      </c>
      <c r="D3074" t="s">
        <v>15750</v>
      </c>
      <c r="E3074">
        <v>424038</v>
      </c>
      <c r="F3074" t="s">
        <v>1</v>
      </c>
      <c r="G3074" t="s">
        <v>2</v>
      </c>
      <c r="H3074" t="s">
        <v>15751</v>
      </c>
      <c r="I3074" t="s">
        <v>15752</v>
      </c>
      <c r="L3074" t="s">
        <v>15753</v>
      </c>
      <c r="M3074" t="s">
        <v>15754</v>
      </c>
      <c r="P3074" t="s">
        <v>330</v>
      </c>
      <c r="Q3074" t="s">
        <v>15755</v>
      </c>
      <c r="S3074" t="s">
        <v>15756</v>
      </c>
      <c r="T3074" t="s">
        <v>15757</v>
      </c>
      <c r="U3074" t="s">
        <v>15758</v>
      </c>
      <c r="V3074" t="s">
        <v>15759</v>
      </c>
      <c r="Y3074" t="s">
        <v>15760</v>
      </c>
    </row>
    <row r="3075" spans="1:25" x14ac:dyDescent="0.25">
      <c r="A3075" t="str">
        <f>"1355323020"</f>
        <v>1355323020</v>
      </c>
      <c r="B3075" t="s">
        <v>654</v>
      </c>
      <c r="C3075" t="s">
        <v>15761</v>
      </c>
      <c r="D3075" t="s">
        <v>13921</v>
      </c>
      <c r="E3075">
        <v>424918</v>
      </c>
      <c r="F3075" t="s">
        <v>1</v>
      </c>
      <c r="G3075" t="s">
        <v>2</v>
      </c>
      <c r="H3075" t="s">
        <v>629</v>
      </c>
      <c r="J3075" t="s">
        <v>13923</v>
      </c>
      <c r="P3075" t="s">
        <v>144</v>
      </c>
      <c r="Y3075" t="s">
        <v>15762</v>
      </c>
    </row>
    <row r="3076" spans="1:25" x14ac:dyDescent="0.25">
      <c r="A3076" t="str">
        <f>"1355443432"</f>
        <v>1355443432</v>
      </c>
      <c r="B3076" t="s">
        <v>3652</v>
      </c>
      <c r="C3076" t="s">
        <v>14101</v>
      </c>
      <c r="D3076" t="s">
        <v>15763</v>
      </c>
      <c r="E3076">
        <v>424000</v>
      </c>
      <c r="F3076" t="s">
        <v>1</v>
      </c>
      <c r="G3076" t="s">
        <v>2</v>
      </c>
      <c r="H3076" t="s">
        <v>2202</v>
      </c>
      <c r="I3076" t="s">
        <v>15764</v>
      </c>
      <c r="J3076" t="s">
        <v>15765</v>
      </c>
      <c r="L3076" t="s">
        <v>15766</v>
      </c>
      <c r="M3076" t="s">
        <v>15767</v>
      </c>
      <c r="P3076" t="s">
        <v>2079</v>
      </c>
      <c r="V3076" t="s">
        <v>15768</v>
      </c>
      <c r="Y3076" t="s">
        <v>15769</v>
      </c>
    </row>
    <row r="3077" spans="1:25" x14ac:dyDescent="0.25">
      <c r="A3077" t="str">
        <f>"1355546722"</f>
        <v>1355546722</v>
      </c>
      <c r="B3077" t="s">
        <v>654</v>
      </c>
      <c r="C3077" t="s">
        <v>2195</v>
      </c>
      <c r="D3077" t="s">
        <v>15770</v>
      </c>
      <c r="E3077">
        <v>424020</v>
      </c>
      <c r="F3077" t="s">
        <v>1</v>
      </c>
      <c r="G3077" t="s">
        <v>2</v>
      </c>
      <c r="H3077" t="s">
        <v>4528</v>
      </c>
      <c r="I3077" t="s">
        <v>15771</v>
      </c>
      <c r="L3077" t="s">
        <v>2127</v>
      </c>
      <c r="M3077" t="s">
        <v>15772</v>
      </c>
      <c r="P3077" t="s">
        <v>5575</v>
      </c>
      <c r="Y3077" t="s">
        <v>4534</v>
      </c>
    </row>
    <row r="3078" spans="1:25" x14ac:dyDescent="0.25">
      <c r="A3078" t="str">
        <f>"1355588144"</f>
        <v>1355588144</v>
      </c>
      <c r="B3078" t="s">
        <v>88</v>
      </c>
      <c r="C3078" t="s">
        <v>15774</v>
      </c>
      <c r="D3078" t="s">
        <v>15773</v>
      </c>
      <c r="F3078" t="s">
        <v>1</v>
      </c>
      <c r="G3078" t="s">
        <v>2</v>
      </c>
      <c r="H3078" t="s">
        <v>1600</v>
      </c>
      <c r="I3078" t="s">
        <v>12006</v>
      </c>
      <c r="J3078" t="s">
        <v>12007</v>
      </c>
      <c r="P3078" t="s">
        <v>340</v>
      </c>
      <c r="Y3078" t="s">
        <v>2417</v>
      </c>
    </row>
    <row r="3079" spans="1:25" x14ac:dyDescent="0.25">
      <c r="A3079" t="str">
        <f>"1355613914"</f>
        <v>1355613914</v>
      </c>
      <c r="B3079" t="s">
        <v>1611</v>
      </c>
      <c r="C3079" t="s">
        <v>15777</v>
      </c>
      <c r="D3079" t="s">
        <v>15775</v>
      </c>
      <c r="E3079">
        <v>424033</v>
      </c>
      <c r="F3079" t="s">
        <v>1</v>
      </c>
      <c r="G3079" t="s">
        <v>2</v>
      </c>
      <c r="H3079" t="s">
        <v>6875</v>
      </c>
      <c r="I3079" t="s">
        <v>15776</v>
      </c>
      <c r="L3079" t="s">
        <v>10318</v>
      </c>
      <c r="M3079" t="s">
        <v>14898</v>
      </c>
      <c r="P3079" t="s">
        <v>5723</v>
      </c>
      <c r="Y3079" t="s">
        <v>15778</v>
      </c>
    </row>
    <row r="3080" spans="1:25" x14ac:dyDescent="0.25">
      <c r="A3080" t="str">
        <f>"1355841938"</f>
        <v>1355841938</v>
      </c>
      <c r="B3080" t="s">
        <v>348</v>
      </c>
      <c r="C3080" t="s">
        <v>15781</v>
      </c>
      <c r="D3080" t="s">
        <v>15779</v>
      </c>
      <c r="E3080">
        <v>424039</v>
      </c>
      <c r="F3080" t="s">
        <v>1</v>
      </c>
      <c r="G3080" t="s">
        <v>2</v>
      </c>
      <c r="H3080" t="s">
        <v>8694</v>
      </c>
      <c r="J3080" t="s">
        <v>15780</v>
      </c>
      <c r="P3080" t="s">
        <v>941</v>
      </c>
      <c r="Y3080" t="s">
        <v>12226</v>
      </c>
    </row>
    <row r="3081" spans="1:25" x14ac:dyDescent="0.25">
      <c r="A3081" t="str">
        <f>"1355870388"</f>
        <v>1355870388</v>
      </c>
      <c r="B3081" t="s">
        <v>1053</v>
      </c>
      <c r="C3081" t="s">
        <v>1927</v>
      </c>
      <c r="D3081" t="s">
        <v>15782</v>
      </c>
      <c r="E3081">
        <v>424003</v>
      </c>
      <c r="F3081" t="s">
        <v>1</v>
      </c>
      <c r="G3081" t="s">
        <v>2</v>
      </c>
      <c r="H3081" t="s">
        <v>15783</v>
      </c>
      <c r="I3081" t="s">
        <v>15784</v>
      </c>
      <c r="L3081" t="s">
        <v>15785</v>
      </c>
      <c r="P3081" t="s">
        <v>362</v>
      </c>
      <c r="Q3081" t="s">
        <v>15786</v>
      </c>
      <c r="Y3081" t="s">
        <v>15787</v>
      </c>
    </row>
    <row r="3082" spans="1:25" x14ac:dyDescent="0.25">
      <c r="A3082" t="str">
        <f>"1355879471"</f>
        <v>1355879471</v>
      </c>
      <c r="B3082" t="s">
        <v>738</v>
      </c>
      <c r="C3082" t="s">
        <v>739</v>
      </c>
      <c r="D3082" t="s">
        <v>15788</v>
      </c>
      <c r="E3082">
        <v>424003</v>
      </c>
      <c r="F3082" t="s">
        <v>1</v>
      </c>
      <c r="G3082" t="s">
        <v>2</v>
      </c>
      <c r="H3082" t="s">
        <v>5325</v>
      </c>
      <c r="J3082" t="s">
        <v>15789</v>
      </c>
      <c r="P3082" t="s">
        <v>60</v>
      </c>
      <c r="Y3082" t="s">
        <v>15790</v>
      </c>
    </row>
    <row r="3083" spans="1:25" x14ac:dyDescent="0.25">
      <c r="A3083" t="str">
        <f>"1355959600"</f>
        <v>1355959600</v>
      </c>
      <c r="B3083" t="s">
        <v>32</v>
      </c>
      <c r="C3083" t="s">
        <v>9784</v>
      </c>
      <c r="D3083" t="s">
        <v>15791</v>
      </c>
      <c r="E3083">
        <v>424038</v>
      </c>
      <c r="F3083" t="s">
        <v>1</v>
      </c>
      <c r="G3083" t="s">
        <v>2</v>
      </c>
      <c r="H3083" t="s">
        <v>1366</v>
      </c>
      <c r="I3083" t="s">
        <v>15792</v>
      </c>
      <c r="P3083" t="s">
        <v>15793</v>
      </c>
      <c r="Q3083" t="s">
        <v>15794</v>
      </c>
      <c r="Y3083" t="s">
        <v>15795</v>
      </c>
    </row>
    <row r="3084" spans="1:25" x14ac:dyDescent="0.25">
      <c r="A3084" t="str">
        <f>"1356205893"</f>
        <v>1356205893</v>
      </c>
      <c r="B3084" t="s">
        <v>284</v>
      </c>
      <c r="C3084" t="s">
        <v>2462</v>
      </c>
      <c r="D3084" t="s">
        <v>15796</v>
      </c>
      <c r="E3084">
        <v>424030</v>
      </c>
      <c r="F3084" t="s">
        <v>1</v>
      </c>
      <c r="G3084" t="s">
        <v>2</v>
      </c>
      <c r="H3084" t="s">
        <v>3785</v>
      </c>
      <c r="P3084" t="s">
        <v>2280</v>
      </c>
      <c r="Y3084" t="s">
        <v>15797</v>
      </c>
    </row>
    <row r="3085" spans="1:25" x14ac:dyDescent="0.25">
      <c r="A3085" t="str">
        <f>"1356252873"</f>
        <v>1356252873</v>
      </c>
      <c r="B3085" t="s">
        <v>25</v>
      </c>
      <c r="C3085" t="s">
        <v>15801</v>
      </c>
      <c r="D3085" t="s">
        <v>15798</v>
      </c>
      <c r="E3085">
        <v>424007</v>
      </c>
      <c r="F3085" t="s">
        <v>1</v>
      </c>
      <c r="G3085" t="s">
        <v>2</v>
      </c>
      <c r="H3085" t="s">
        <v>819</v>
      </c>
      <c r="I3085" t="s">
        <v>15799</v>
      </c>
      <c r="M3085" t="s">
        <v>15800</v>
      </c>
      <c r="P3085" t="s">
        <v>20</v>
      </c>
      <c r="Q3085" t="s">
        <v>15802</v>
      </c>
      <c r="V3085" t="s">
        <v>15803</v>
      </c>
      <c r="Y3085" t="s">
        <v>15804</v>
      </c>
    </row>
    <row r="3086" spans="1:25" x14ac:dyDescent="0.25">
      <c r="A3086" t="str">
        <f>"1356333821"</f>
        <v>1356333821</v>
      </c>
      <c r="B3086" t="s">
        <v>1222</v>
      </c>
      <c r="C3086" t="s">
        <v>15807</v>
      </c>
      <c r="D3086" t="s">
        <v>15805</v>
      </c>
      <c r="E3086">
        <v>424003</v>
      </c>
      <c r="F3086" t="s">
        <v>1</v>
      </c>
      <c r="G3086" t="s">
        <v>2</v>
      </c>
      <c r="H3086" t="s">
        <v>734</v>
      </c>
      <c r="J3086" t="s">
        <v>15806</v>
      </c>
      <c r="P3086" t="s">
        <v>27</v>
      </c>
      <c r="Y3086" t="s">
        <v>8273</v>
      </c>
    </row>
    <row r="3087" spans="1:25" x14ac:dyDescent="0.25">
      <c r="A3087" t="str">
        <f>"1356376808"</f>
        <v>1356376808</v>
      </c>
      <c r="B3087" t="s">
        <v>640</v>
      </c>
      <c r="C3087" t="s">
        <v>2857</v>
      </c>
      <c r="D3087" t="s">
        <v>15808</v>
      </c>
      <c r="E3087">
        <v>424040</v>
      </c>
      <c r="F3087" t="s">
        <v>1</v>
      </c>
      <c r="G3087" t="s">
        <v>2</v>
      </c>
      <c r="H3087" t="s">
        <v>7989</v>
      </c>
      <c r="I3087" t="s">
        <v>15809</v>
      </c>
      <c r="P3087" t="s">
        <v>15810</v>
      </c>
      <c r="Y3087" t="s">
        <v>15811</v>
      </c>
    </row>
    <row r="3088" spans="1:25" x14ac:dyDescent="0.25">
      <c r="A3088" t="str">
        <f>"1356394848"</f>
        <v>1356394848</v>
      </c>
      <c r="B3088" t="s">
        <v>176</v>
      </c>
      <c r="C3088" t="s">
        <v>15816</v>
      </c>
      <c r="D3088" t="s">
        <v>15812</v>
      </c>
      <c r="E3088">
        <v>424001</v>
      </c>
      <c r="F3088" t="s">
        <v>1</v>
      </c>
      <c r="G3088" t="s">
        <v>2</v>
      </c>
      <c r="H3088" t="s">
        <v>919</v>
      </c>
      <c r="I3088" t="s">
        <v>15813</v>
      </c>
      <c r="L3088" t="s">
        <v>15814</v>
      </c>
      <c r="M3088" t="s">
        <v>15815</v>
      </c>
      <c r="P3088" t="s">
        <v>3690</v>
      </c>
      <c r="Y3088" t="s">
        <v>1750</v>
      </c>
    </row>
    <row r="3089" spans="1:25" x14ac:dyDescent="0.25">
      <c r="A3089" t="str">
        <f>"1356438316"</f>
        <v>1356438316</v>
      </c>
      <c r="B3089" t="s">
        <v>1222</v>
      </c>
      <c r="C3089" t="s">
        <v>2114</v>
      </c>
      <c r="D3089" t="s">
        <v>15817</v>
      </c>
      <c r="F3089" t="s">
        <v>1</v>
      </c>
      <c r="G3089" t="s">
        <v>2</v>
      </c>
      <c r="H3089" t="s">
        <v>3984</v>
      </c>
      <c r="I3089" t="s">
        <v>15818</v>
      </c>
      <c r="J3089" t="s">
        <v>15819</v>
      </c>
      <c r="P3089" t="s">
        <v>330</v>
      </c>
      <c r="Y3089" t="s">
        <v>4409</v>
      </c>
    </row>
    <row r="3090" spans="1:25" x14ac:dyDescent="0.25">
      <c r="A3090" t="str">
        <f>"1356460748"</f>
        <v>1356460748</v>
      </c>
      <c r="B3090" t="s">
        <v>7</v>
      </c>
      <c r="C3090" t="s">
        <v>6023</v>
      </c>
      <c r="D3090" t="s">
        <v>15820</v>
      </c>
      <c r="E3090">
        <v>424004</v>
      </c>
      <c r="F3090" t="s">
        <v>1</v>
      </c>
      <c r="G3090" t="s">
        <v>2</v>
      </c>
      <c r="H3090" t="s">
        <v>229</v>
      </c>
      <c r="I3090" t="s">
        <v>15821</v>
      </c>
      <c r="J3090" t="s">
        <v>15822</v>
      </c>
      <c r="K3090" t="s">
        <v>15821</v>
      </c>
      <c r="P3090" t="s">
        <v>27</v>
      </c>
      <c r="Y3090" t="s">
        <v>237</v>
      </c>
    </row>
    <row r="3091" spans="1:25" x14ac:dyDescent="0.25">
      <c r="A3091" t="str">
        <f>"1356487953"</f>
        <v>1356487953</v>
      </c>
      <c r="B3091" t="s">
        <v>18</v>
      </c>
      <c r="C3091" t="s">
        <v>15826</v>
      </c>
      <c r="D3091" t="s">
        <v>15823</v>
      </c>
      <c r="E3091">
        <v>424020</v>
      </c>
      <c r="F3091" t="s">
        <v>1</v>
      </c>
      <c r="G3091" t="s">
        <v>2</v>
      </c>
      <c r="H3091" t="s">
        <v>1837</v>
      </c>
      <c r="I3091" t="s">
        <v>15824</v>
      </c>
      <c r="J3091" t="s">
        <v>15825</v>
      </c>
      <c r="P3091" t="s">
        <v>9213</v>
      </c>
      <c r="Y3091" t="s">
        <v>1842</v>
      </c>
    </row>
    <row r="3092" spans="1:25" x14ac:dyDescent="0.25">
      <c r="A3092" t="str">
        <f>"1356578439"</f>
        <v>1356578439</v>
      </c>
      <c r="B3092" t="s">
        <v>1493</v>
      </c>
      <c r="C3092" t="s">
        <v>2355</v>
      </c>
      <c r="D3092" t="s">
        <v>15827</v>
      </c>
      <c r="E3092">
        <v>424004</v>
      </c>
      <c r="F3092" t="s">
        <v>1</v>
      </c>
      <c r="G3092" t="s">
        <v>2</v>
      </c>
      <c r="H3092" t="s">
        <v>186</v>
      </c>
      <c r="J3092" t="s">
        <v>15828</v>
      </c>
      <c r="M3092" t="s">
        <v>15829</v>
      </c>
      <c r="P3092" t="s">
        <v>5575</v>
      </c>
      <c r="Y3092" t="s">
        <v>190</v>
      </c>
    </row>
    <row r="3093" spans="1:25" x14ac:dyDescent="0.25">
      <c r="A3093" t="str">
        <f>"1356767014"</f>
        <v>1356767014</v>
      </c>
      <c r="B3093" t="s">
        <v>1552</v>
      </c>
      <c r="C3093" t="s">
        <v>1552</v>
      </c>
      <c r="D3093" t="s">
        <v>15830</v>
      </c>
      <c r="E3093">
        <v>424004</v>
      </c>
      <c r="F3093" t="s">
        <v>1</v>
      </c>
      <c r="G3093" t="s">
        <v>2</v>
      </c>
      <c r="H3093" t="s">
        <v>1169</v>
      </c>
      <c r="I3093" t="s">
        <v>15831</v>
      </c>
      <c r="P3093" t="s">
        <v>15832</v>
      </c>
      <c r="Y3093" t="s">
        <v>1178</v>
      </c>
    </row>
    <row r="3094" spans="1:25" x14ac:dyDescent="0.25">
      <c r="A3094" t="str">
        <f>"1356864035"</f>
        <v>1356864035</v>
      </c>
      <c r="B3094" t="s">
        <v>18</v>
      </c>
      <c r="C3094" t="s">
        <v>143</v>
      </c>
      <c r="D3094" t="s">
        <v>15833</v>
      </c>
      <c r="E3094">
        <v>424016</v>
      </c>
      <c r="F3094" t="s">
        <v>1</v>
      </c>
      <c r="G3094" t="s">
        <v>2</v>
      </c>
      <c r="H3094" t="s">
        <v>15834</v>
      </c>
      <c r="I3094" t="s">
        <v>15835</v>
      </c>
      <c r="J3094" t="s">
        <v>10178</v>
      </c>
      <c r="K3094" t="s">
        <v>15836</v>
      </c>
      <c r="P3094" t="s">
        <v>280</v>
      </c>
      <c r="Y3094" t="s">
        <v>6510</v>
      </c>
    </row>
    <row r="3095" spans="1:25" x14ac:dyDescent="0.25">
      <c r="A3095" t="str">
        <f>"1356972325"</f>
        <v>1356972325</v>
      </c>
      <c r="B3095" t="s">
        <v>388</v>
      </c>
      <c r="C3095" t="s">
        <v>15840</v>
      </c>
      <c r="D3095" t="s">
        <v>15837</v>
      </c>
      <c r="F3095" t="s">
        <v>1</v>
      </c>
      <c r="G3095" t="s">
        <v>2</v>
      </c>
      <c r="H3095" t="s">
        <v>14305</v>
      </c>
      <c r="I3095" t="s">
        <v>15838</v>
      </c>
      <c r="M3095" t="s">
        <v>15839</v>
      </c>
      <c r="P3095" t="s">
        <v>20</v>
      </c>
      <c r="Y3095" t="s">
        <v>14308</v>
      </c>
    </row>
    <row r="3096" spans="1:25" x14ac:dyDescent="0.25">
      <c r="A3096" t="str">
        <f>"1357172720"</f>
        <v>1357172720</v>
      </c>
      <c r="B3096" t="s">
        <v>888</v>
      </c>
      <c r="C3096" t="s">
        <v>15845</v>
      </c>
      <c r="D3096" t="s">
        <v>15841</v>
      </c>
      <c r="E3096">
        <v>424004</v>
      </c>
      <c r="F3096" t="s">
        <v>1</v>
      </c>
      <c r="G3096" t="s">
        <v>2</v>
      </c>
      <c r="H3096" t="s">
        <v>351</v>
      </c>
      <c r="I3096" t="s">
        <v>15842</v>
      </c>
      <c r="L3096" t="s">
        <v>15843</v>
      </c>
      <c r="M3096" t="s">
        <v>15844</v>
      </c>
      <c r="P3096" t="s">
        <v>280</v>
      </c>
      <c r="Y3096" t="s">
        <v>354</v>
      </c>
    </row>
    <row r="3097" spans="1:25" x14ac:dyDescent="0.25">
      <c r="A3097" t="str">
        <f>"1357185065"</f>
        <v>1357185065</v>
      </c>
      <c r="B3097" t="s">
        <v>654</v>
      </c>
      <c r="C3097" t="s">
        <v>2195</v>
      </c>
      <c r="D3097" t="s">
        <v>15846</v>
      </c>
      <c r="E3097">
        <v>424000</v>
      </c>
      <c r="F3097" t="s">
        <v>1</v>
      </c>
      <c r="G3097" t="s">
        <v>2</v>
      </c>
      <c r="H3097" t="s">
        <v>3749</v>
      </c>
      <c r="I3097" t="s">
        <v>15847</v>
      </c>
      <c r="P3097" t="s">
        <v>340</v>
      </c>
      <c r="Y3097" t="s">
        <v>3754</v>
      </c>
    </row>
    <row r="3098" spans="1:25" x14ac:dyDescent="0.25">
      <c r="A3098" t="str">
        <f>"1357230658"</f>
        <v>1357230658</v>
      </c>
      <c r="B3098" t="s">
        <v>176</v>
      </c>
      <c r="C3098" t="s">
        <v>279</v>
      </c>
      <c r="D3098" t="s">
        <v>15848</v>
      </c>
      <c r="E3098">
        <v>424031</v>
      </c>
      <c r="F3098" t="s">
        <v>1</v>
      </c>
      <c r="G3098" t="s">
        <v>2</v>
      </c>
      <c r="H3098" t="s">
        <v>15849</v>
      </c>
      <c r="I3098" t="s">
        <v>15850</v>
      </c>
      <c r="P3098" t="s">
        <v>20</v>
      </c>
      <c r="Y3098" t="s">
        <v>15851</v>
      </c>
    </row>
    <row r="3099" spans="1:25" x14ac:dyDescent="0.25">
      <c r="A3099" t="str">
        <f>"1357232358"</f>
        <v>1357232358</v>
      </c>
      <c r="B3099" t="s">
        <v>151</v>
      </c>
      <c r="C3099" t="s">
        <v>151</v>
      </c>
      <c r="D3099" t="s">
        <v>15852</v>
      </c>
      <c r="E3099">
        <v>424002</v>
      </c>
      <c r="F3099" t="s">
        <v>1</v>
      </c>
      <c r="G3099" t="s">
        <v>2</v>
      </c>
      <c r="H3099" t="s">
        <v>8832</v>
      </c>
      <c r="I3099" t="s">
        <v>15853</v>
      </c>
      <c r="K3099" t="s">
        <v>15854</v>
      </c>
      <c r="P3099" t="s">
        <v>27</v>
      </c>
      <c r="Y3099" t="s">
        <v>8902</v>
      </c>
    </row>
    <row r="3100" spans="1:25" x14ac:dyDescent="0.25">
      <c r="A3100" t="str">
        <f>"1357324532"</f>
        <v>1357324532</v>
      </c>
      <c r="B3100" t="s">
        <v>123</v>
      </c>
      <c r="C3100" t="s">
        <v>424</v>
      </c>
      <c r="D3100" t="s">
        <v>8373</v>
      </c>
      <c r="E3100">
        <v>424003</v>
      </c>
      <c r="F3100" t="s">
        <v>1</v>
      </c>
      <c r="G3100" t="s">
        <v>2</v>
      </c>
      <c r="H3100" t="s">
        <v>15068</v>
      </c>
      <c r="I3100" t="s">
        <v>15855</v>
      </c>
      <c r="J3100" t="s">
        <v>15856</v>
      </c>
      <c r="L3100" t="s">
        <v>8376</v>
      </c>
      <c r="M3100" t="s">
        <v>8377</v>
      </c>
      <c r="P3100" t="s">
        <v>425</v>
      </c>
      <c r="Y3100" t="s">
        <v>15857</v>
      </c>
    </row>
    <row r="3101" spans="1:25" x14ac:dyDescent="0.25">
      <c r="A3101" t="str">
        <f>"1357355301"</f>
        <v>1357355301</v>
      </c>
      <c r="B3101" t="s">
        <v>18</v>
      </c>
      <c r="C3101" t="s">
        <v>15861</v>
      </c>
      <c r="D3101" t="s">
        <v>15858</v>
      </c>
      <c r="E3101">
        <v>424026</v>
      </c>
      <c r="F3101" t="s">
        <v>1</v>
      </c>
      <c r="G3101" t="s">
        <v>2</v>
      </c>
      <c r="H3101" t="s">
        <v>7964</v>
      </c>
      <c r="I3101" t="s">
        <v>15859</v>
      </c>
      <c r="J3101" t="s">
        <v>15860</v>
      </c>
      <c r="P3101" t="s">
        <v>2923</v>
      </c>
      <c r="Y3101" t="s">
        <v>6422</v>
      </c>
    </row>
    <row r="3102" spans="1:25" x14ac:dyDescent="0.25">
      <c r="A3102" t="str">
        <f>"1357760029"</f>
        <v>1357760029</v>
      </c>
      <c r="B3102" t="s">
        <v>160</v>
      </c>
      <c r="C3102" t="s">
        <v>1666</v>
      </c>
      <c r="D3102" t="s">
        <v>15862</v>
      </c>
      <c r="E3102">
        <v>424006</v>
      </c>
      <c r="F3102" t="s">
        <v>1</v>
      </c>
      <c r="G3102" t="s">
        <v>2</v>
      </c>
      <c r="H3102" t="s">
        <v>830</v>
      </c>
      <c r="I3102" t="s">
        <v>15863</v>
      </c>
      <c r="P3102" t="s">
        <v>15864</v>
      </c>
      <c r="Y3102" t="s">
        <v>3830</v>
      </c>
    </row>
    <row r="3103" spans="1:25" x14ac:dyDescent="0.25">
      <c r="A3103" t="str">
        <f>"1357822175"</f>
        <v>1357822175</v>
      </c>
      <c r="B3103" t="s">
        <v>430</v>
      </c>
      <c r="C3103" t="s">
        <v>10138</v>
      </c>
      <c r="D3103" t="s">
        <v>10135</v>
      </c>
      <c r="F3103" t="s">
        <v>1</v>
      </c>
      <c r="G3103" t="s">
        <v>2</v>
      </c>
      <c r="H3103" t="s">
        <v>15865</v>
      </c>
      <c r="I3103" t="s">
        <v>14318</v>
      </c>
      <c r="J3103" t="s">
        <v>10137</v>
      </c>
      <c r="P3103" t="s">
        <v>60</v>
      </c>
      <c r="Y3103" t="s">
        <v>15866</v>
      </c>
    </row>
    <row r="3104" spans="1:25" x14ac:dyDescent="0.25">
      <c r="A3104" t="str">
        <f>"1357922950"</f>
        <v>1357922950</v>
      </c>
      <c r="B3104" t="s">
        <v>888</v>
      </c>
      <c r="C3104" t="s">
        <v>15871</v>
      </c>
      <c r="D3104" t="s">
        <v>15867</v>
      </c>
      <c r="E3104">
        <v>424000</v>
      </c>
      <c r="F3104" t="s">
        <v>1</v>
      </c>
      <c r="G3104" t="s">
        <v>2</v>
      </c>
      <c r="H3104" t="s">
        <v>5398</v>
      </c>
      <c r="I3104" t="s">
        <v>15868</v>
      </c>
      <c r="L3104" t="s">
        <v>15869</v>
      </c>
      <c r="M3104" t="s">
        <v>15870</v>
      </c>
      <c r="P3104" t="s">
        <v>152</v>
      </c>
      <c r="Y3104" t="s">
        <v>15872</v>
      </c>
    </row>
    <row r="3105" spans="1:25" x14ac:dyDescent="0.25">
      <c r="A3105" t="str">
        <f>"1357925280"</f>
        <v>1357925280</v>
      </c>
      <c r="B3105" t="s">
        <v>2818</v>
      </c>
      <c r="C3105" t="s">
        <v>6466</v>
      </c>
      <c r="D3105" t="s">
        <v>15873</v>
      </c>
      <c r="E3105">
        <v>424003</v>
      </c>
      <c r="F3105" t="s">
        <v>1</v>
      </c>
      <c r="G3105" t="s">
        <v>2</v>
      </c>
      <c r="H3105" t="s">
        <v>7258</v>
      </c>
      <c r="I3105" t="s">
        <v>15874</v>
      </c>
      <c r="L3105" t="s">
        <v>15875</v>
      </c>
      <c r="M3105" t="s">
        <v>15876</v>
      </c>
      <c r="P3105" t="s">
        <v>15877</v>
      </c>
      <c r="Q3105" t="s">
        <v>15878</v>
      </c>
      <c r="Y3105" t="s">
        <v>15879</v>
      </c>
    </row>
    <row r="3106" spans="1:25" x14ac:dyDescent="0.25">
      <c r="A3106" t="str">
        <f>"1357928679"</f>
        <v>1357928679</v>
      </c>
      <c r="B3106" t="s">
        <v>110</v>
      </c>
      <c r="C3106" t="s">
        <v>111</v>
      </c>
      <c r="D3106" t="s">
        <v>4989</v>
      </c>
      <c r="E3106">
        <v>424039</v>
      </c>
      <c r="F3106" t="s">
        <v>1</v>
      </c>
      <c r="G3106" t="s">
        <v>2</v>
      </c>
      <c r="H3106" t="s">
        <v>10036</v>
      </c>
      <c r="I3106" t="s">
        <v>15880</v>
      </c>
      <c r="P3106" t="s">
        <v>2079</v>
      </c>
      <c r="Y3106" t="s">
        <v>15881</v>
      </c>
    </row>
    <row r="3107" spans="1:25" x14ac:dyDescent="0.25">
      <c r="A3107" t="str">
        <f>"1357955404"</f>
        <v>1357955404</v>
      </c>
      <c r="B3107" t="s">
        <v>930</v>
      </c>
      <c r="C3107" t="s">
        <v>1096</v>
      </c>
      <c r="D3107" t="s">
        <v>1094</v>
      </c>
      <c r="E3107">
        <v>424005</v>
      </c>
      <c r="F3107" t="s">
        <v>1</v>
      </c>
      <c r="G3107" t="s">
        <v>2</v>
      </c>
      <c r="H3107" t="s">
        <v>3042</v>
      </c>
      <c r="I3107" t="s">
        <v>15882</v>
      </c>
      <c r="P3107" t="s">
        <v>10632</v>
      </c>
      <c r="Y3107" t="s">
        <v>3047</v>
      </c>
    </row>
    <row r="3108" spans="1:25" x14ac:dyDescent="0.25">
      <c r="A3108" t="str">
        <f>"1357980660"</f>
        <v>1357980660</v>
      </c>
      <c r="B3108" t="s">
        <v>1230</v>
      </c>
      <c r="C3108" t="s">
        <v>15888</v>
      </c>
      <c r="D3108" t="s">
        <v>15883</v>
      </c>
      <c r="E3108">
        <v>424036</v>
      </c>
      <c r="F3108" t="s">
        <v>1</v>
      </c>
      <c r="G3108" t="s">
        <v>2</v>
      </c>
      <c r="H3108" t="s">
        <v>15884</v>
      </c>
      <c r="I3108" t="s">
        <v>15885</v>
      </c>
      <c r="L3108" t="s">
        <v>15886</v>
      </c>
      <c r="M3108" t="s">
        <v>15887</v>
      </c>
      <c r="P3108" t="s">
        <v>390</v>
      </c>
      <c r="T3108" t="s">
        <v>15889</v>
      </c>
      <c r="Y3108" t="s">
        <v>15890</v>
      </c>
    </row>
    <row r="3109" spans="1:25" x14ac:dyDescent="0.25">
      <c r="A3109" t="str">
        <f>"1358060454"</f>
        <v>1358060454</v>
      </c>
      <c r="B3109" t="s">
        <v>1152</v>
      </c>
      <c r="C3109" t="s">
        <v>1152</v>
      </c>
      <c r="D3109" t="s">
        <v>1152</v>
      </c>
      <c r="E3109">
        <v>424031</v>
      </c>
      <c r="F3109" t="s">
        <v>1</v>
      </c>
      <c r="G3109" t="s">
        <v>2</v>
      </c>
      <c r="H3109" t="s">
        <v>1524</v>
      </c>
      <c r="J3109" t="s">
        <v>15891</v>
      </c>
      <c r="P3109" t="s">
        <v>280</v>
      </c>
      <c r="Y3109" t="s">
        <v>5358</v>
      </c>
    </row>
    <row r="3110" spans="1:25" x14ac:dyDescent="0.25">
      <c r="A3110" t="str">
        <f>"1358149258"</f>
        <v>1358149258</v>
      </c>
      <c r="B3110" t="s">
        <v>123</v>
      </c>
      <c r="C3110" t="s">
        <v>424</v>
      </c>
      <c r="D3110" t="s">
        <v>15892</v>
      </c>
      <c r="E3110">
        <v>424019</v>
      </c>
      <c r="F3110" t="s">
        <v>1</v>
      </c>
      <c r="G3110" t="s">
        <v>2</v>
      </c>
      <c r="H3110" t="s">
        <v>15893</v>
      </c>
      <c r="J3110" t="s">
        <v>15894</v>
      </c>
      <c r="P3110" t="s">
        <v>425</v>
      </c>
      <c r="Y3110" t="s">
        <v>15895</v>
      </c>
    </row>
    <row r="3111" spans="1:25" x14ac:dyDescent="0.25">
      <c r="A3111" t="str">
        <f>"1358419050"</f>
        <v>1358419050</v>
      </c>
      <c r="B3111" t="s">
        <v>348</v>
      </c>
      <c r="C3111" t="s">
        <v>15901</v>
      </c>
      <c r="D3111" t="s">
        <v>15896</v>
      </c>
      <c r="E3111">
        <v>424006</v>
      </c>
      <c r="F3111" t="s">
        <v>1</v>
      </c>
      <c r="G3111" t="s">
        <v>2</v>
      </c>
      <c r="H3111" t="s">
        <v>393</v>
      </c>
      <c r="I3111" t="s">
        <v>15897</v>
      </c>
      <c r="J3111" t="s">
        <v>15898</v>
      </c>
      <c r="L3111" t="s">
        <v>15899</v>
      </c>
      <c r="M3111" t="s">
        <v>15900</v>
      </c>
      <c r="P3111" t="s">
        <v>1679</v>
      </c>
      <c r="Q3111" t="s">
        <v>15902</v>
      </c>
      <c r="Y3111" t="s">
        <v>4333</v>
      </c>
    </row>
    <row r="3112" spans="1:25" x14ac:dyDescent="0.25">
      <c r="A3112" t="str">
        <f>"1358442286"</f>
        <v>1358442286</v>
      </c>
      <c r="B3112" t="s">
        <v>456</v>
      </c>
      <c r="C3112" t="s">
        <v>15908</v>
      </c>
      <c r="D3112" t="s">
        <v>15903</v>
      </c>
      <c r="E3112">
        <v>424033</v>
      </c>
      <c r="F3112" t="s">
        <v>1</v>
      </c>
      <c r="G3112" t="s">
        <v>2</v>
      </c>
      <c r="H3112" t="s">
        <v>15904</v>
      </c>
      <c r="J3112" t="s">
        <v>15905</v>
      </c>
      <c r="L3112" t="s">
        <v>15906</v>
      </c>
      <c r="M3112" t="s">
        <v>15907</v>
      </c>
      <c r="P3112" t="s">
        <v>27</v>
      </c>
      <c r="Y3112" t="s">
        <v>11180</v>
      </c>
    </row>
    <row r="3113" spans="1:25" x14ac:dyDescent="0.25">
      <c r="A3113" t="str">
        <f>"1358453618"</f>
        <v>1358453618</v>
      </c>
      <c r="B3113" t="s">
        <v>2062</v>
      </c>
      <c r="C3113" t="s">
        <v>2063</v>
      </c>
      <c r="D3113" t="s">
        <v>15909</v>
      </c>
      <c r="E3113">
        <v>424002</v>
      </c>
      <c r="F3113" t="s">
        <v>1</v>
      </c>
      <c r="G3113" t="s">
        <v>2</v>
      </c>
      <c r="H3113" t="s">
        <v>15910</v>
      </c>
      <c r="I3113" t="s">
        <v>15911</v>
      </c>
      <c r="L3113" t="s">
        <v>15912</v>
      </c>
      <c r="M3113" t="s">
        <v>15913</v>
      </c>
      <c r="P3113" t="s">
        <v>15914</v>
      </c>
      <c r="T3113" t="s">
        <v>15915</v>
      </c>
      <c r="U3113" t="s">
        <v>15916</v>
      </c>
      <c r="V3113" t="s">
        <v>15917</v>
      </c>
      <c r="Y3113" t="s">
        <v>15918</v>
      </c>
    </row>
    <row r="3114" spans="1:25" x14ac:dyDescent="0.25">
      <c r="A3114" t="str">
        <f>"1358529187"</f>
        <v>1358529187</v>
      </c>
      <c r="B3114" t="s">
        <v>7</v>
      </c>
      <c r="C3114" t="s">
        <v>14013</v>
      </c>
      <c r="D3114" t="s">
        <v>15919</v>
      </c>
      <c r="E3114">
        <v>424002</v>
      </c>
      <c r="F3114" t="s">
        <v>1</v>
      </c>
      <c r="G3114" t="s">
        <v>2</v>
      </c>
      <c r="H3114" t="s">
        <v>5596</v>
      </c>
      <c r="I3114" t="s">
        <v>15920</v>
      </c>
      <c r="P3114" t="s">
        <v>27</v>
      </c>
      <c r="Y3114" t="s">
        <v>15921</v>
      </c>
    </row>
    <row r="3115" spans="1:25" x14ac:dyDescent="0.25">
      <c r="A3115" t="str">
        <f>"1358529893"</f>
        <v>1358529893</v>
      </c>
      <c r="B3115" t="s">
        <v>96</v>
      </c>
      <c r="C3115" t="s">
        <v>5155</v>
      </c>
      <c r="D3115" t="s">
        <v>15922</v>
      </c>
      <c r="E3115">
        <v>424031</v>
      </c>
      <c r="F3115" t="s">
        <v>1</v>
      </c>
      <c r="G3115" t="s">
        <v>2</v>
      </c>
      <c r="H3115" t="s">
        <v>4622</v>
      </c>
      <c r="I3115" t="s">
        <v>15923</v>
      </c>
      <c r="P3115" t="s">
        <v>2315</v>
      </c>
      <c r="Y3115" t="s">
        <v>15924</v>
      </c>
    </row>
    <row r="3116" spans="1:25" x14ac:dyDescent="0.25">
      <c r="A3116" t="str">
        <f>"1358591100"</f>
        <v>1358591100</v>
      </c>
      <c r="B3116" t="s">
        <v>379</v>
      </c>
      <c r="C3116" t="s">
        <v>380</v>
      </c>
      <c r="D3116" t="s">
        <v>15925</v>
      </c>
      <c r="E3116">
        <v>424037</v>
      </c>
      <c r="F3116" t="s">
        <v>1</v>
      </c>
      <c r="G3116" t="s">
        <v>2</v>
      </c>
      <c r="H3116" t="s">
        <v>2781</v>
      </c>
      <c r="J3116" t="s">
        <v>15926</v>
      </c>
      <c r="P3116" t="s">
        <v>10083</v>
      </c>
      <c r="Y3116" t="s">
        <v>5868</v>
      </c>
    </row>
    <row r="3117" spans="1:25" x14ac:dyDescent="0.25">
      <c r="A3117" t="str">
        <f>"1358695282"</f>
        <v>1358695282</v>
      </c>
      <c r="B3117" t="s">
        <v>1152</v>
      </c>
      <c r="C3117" t="s">
        <v>1385</v>
      </c>
      <c r="D3117" t="s">
        <v>1385</v>
      </c>
      <c r="E3117">
        <v>424037</v>
      </c>
      <c r="F3117" t="s">
        <v>1</v>
      </c>
      <c r="G3117" t="s">
        <v>2</v>
      </c>
      <c r="H3117" t="s">
        <v>15927</v>
      </c>
      <c r="I3117" t="s">
        <v>15928</v>
      </c>
      <c r="P3117" t="s">
        <v>15929</v>
      </c>
      <c r="Y3117" t="s">
        <v>15930</v>
      </c>
    </row>
    <row r="3118" spans="1:25" x14ac:dyDescent="0.25">
      <c r="A3118" t="str">
        <f>"1358716583"</f>
        <v>1358716583</v>
      </c>
      <c r="B3118" t="s">
        <v>123</v>
      </c>
      <c r="C3118" t="s">
        <v>424</v>
      </c>
      <c r="D3118" t="s">
        <v>15931</v>
      </c>
      <c r="E3118">
        <v>424005</v>
      </c>
      <c r="F3118" t="s">
        <v>1</v>
      </c>
      <c r="G3118" t="s">
        <v>2</v>
      </c>
      <c r="H3118" t="s">
        <v>15932</v>
      </c>
      <c r="I3118" t="s">
        <v>15933</v>
      </c>
      <c r="L3118" t="s">
        <v>7424</v>
      </c>
      <c r="M3118" t="s">
        <v>15934</v>
      </c>
      <c r="P3118" t="s">
        <v>425</v>
      </c>
      <c r="Y3118" t="s">
        <v>15935</v>
      </c>
    </row>
    <row r="3119" spans="1:25" x14ac:dyDescent="0.25">
      <c r="A3119" t="str">
        <f>"1358901127"</f>
        <v>1358901127</v>
      </c>
      <c r="B3119" t="s">
        <v>1053</v>
      </c>
      <c r="C3119" t="s">
        <v>9938</v>
      </c>
      <c r="D3119" t="s">
        <v>11340</v>
      </c>
      <c r="E3119">
        <v>424007</v>
      </c>
      <c r="F3119" t="s">
        <v>1</v>
      </c>
      <c r="G3119" t="s">
        <v>2</v>
      </c>
      <c r="H3119" t="s">
        <v>4869</v>
      </c>
      <c r="I3119" t="s">
        <v>15936</v>
      </c>
      <c r="L3119" t="s">
        <v>15937</v>
      </c>
      <c r="M3119" t="s">
        <v>15938</v>
      </c>
      <c r="P3119" t="s">
        <v>280</v>
      </c>
      <c r="Y3119" t="s">
        <v>15939</v>
      </c>
    </row>
    <row r="3120" spans="1:25" x14ac:dyDescent="0.25">
      <c r="A3120" t="str">
        <f>"1358936935"</f>
        <v>1358936935</v>
      </c>
      <c r="B3120" t="s">
        <v>151</v>
      </c>
      <c r="C3120" t="s">
        <v>1034</v>
      </c>
      <c r="D3120" t="s">
        <v>15940</v>
      </c>
      <c r="E3120">
        <v>424031</v>
      </c>
      <c r="F3120" t="s">
        <v>1</v>
      </c>
      <c r="G3120" t="s">
        <v>2</v>
      </c>
      <c r="H3120" t="s">
        <v>1524</v>
      </c>
      <c r="I3120" t="s">
        <v>15941</v>
      </c>
      <c r="J3120" t="s">
        <v>15942</v>
      </c>
      <c r="P3120" t="s">
        <v>27</v>
      </c>
      <c r="Y3120" t="s">
        <v>5358</v>
      </c>
    </row>
    <row r="3121" spans="1:25" x14ac:dyDescent="0.25">
      <c r="A3121" t="str">
        <f>"1359059874"</f>
        <v>1359059874</v>
      </c>
      <c r="B3121" t="s">
        <v>160</v>
      </c>
      <c r="C3121" t="s">
        <v>15946</v>
      </c>
      <c r="D3121" t="s">
        <v>15943</v>
      </c>
      <c r="E3121">
        <v>424004</v>
      </c>
      <c r="F3121" t="s">
        <v>1</v>
      </c>
      <c r="G3121" t="s">
        <v>2</v>
      </c>
      <c r="H3121" t="s">
        <v>351</v>
      </c>
      <c r="I3121" t="s">
        <v>15944</v>
      </c>
      <c r="K3121" t="s">
        <v>15945</v>
      </c>
      <c r="P3121" t="s">
        <v>20</v>
      </c>
      <c r="Y3121" t="s">
        <v>15947</v>
      </c>
    </row>
    <row r="3122" spans="1:25" x14ac:dyDescent="0.25">
      <c r="A3122" t="str">
        <f>"1359142473"</f>
        <v>1359142473</v>
      </c>
      <c r="B3122" t="s">
        <v>930</v>
      </c>
      <c r="C3122" t="s">
        <v>4781</v>
      </c>
      <c r="D3122" t="s">
        <v>15948</v>
      </c>
      <c r="E3122">
        <v>424006</v>
      </c>
      <c r="F3122" t="s">
        <v>1</v>
      </c>
      <c r="G3122" t="s">
        <v>2</v>
      </c>
      <c r="H3122" t="s">
        <v>9007</v>
      </c>
      <c r="I3122" t="s">
        <v>15949</v>
      </c>
      <c r="L3122" t="s">
        <v>15950</v>
      </c>
      <c r="M3122" t="s">
        <v>15951</v>
      </c>
      <c r="P3122" t="s">
        <v>2580</v>
      </c>
      <c r="Y3122" t="s">
        <v>15952</v>
      </c>
    </row>
    <row r="3123" spans="1:25" x14ac:dyDescent="0.25">
      <c r="A3123" t="str">
        <f>"1359177236"</f>
        <v>1359177236</v>
      </c>
      <c r="B3123" t="s">
        <v>176</v>
      </c>
      <c r="C3123" t="s">
        <v>4741</v>
      </c>
      <c r="D3123" t="s">
        <v>15953</v>
      </c>
      <c r="E3123">
        <v>424004</v>
      </c>
      <c r="F3123" t="s">
        <v>1</v>
      </c>
      <c r="G3123" t="s">
        <v>2</v>
      </c>
      <c r="H3123" t="s">
        <v>3285</v>
      </c>
      <c r="I3123" t="s">
        <v>15954</v>
      </c>
      <c r="P3123" t="s">
        <v>15955</v>
      </c>
      <c r="Y3123" t="s">
        <v>15956</v>
      </c>
    </row>
    <row r="3124" spans="1:25" x14ac:dyDescent="0.25">
      <c r="A3124" t="str">
        <f>"1359177934"</f>
        <v>1359177934</v>
      </c>
      <c r="B3124" t="s">
        <v>1053</v>
      </c>
      <c r="C3124" t="s">
        <v>1927</v>
      </c>
      <c r="D3124" t="s">
        <v>15957</v>
      </c>
      <c r="E3124">
        <v>424006</v>
      </c>
      <c r="F3124" t="s">
        <v>1</v>
      </c>
      <c r="G3124" t="s">
        <v>2</v>
      </c>
      <c r="H3124" t="s">
        <v>15958</v>
      </c>
      <c r="I3124" t="s">
        <v>15959</v>
      </c>
      <c r="J3124" t="s">
        <v>15960</v>
      </c>
      <c r="P3124" t="s">
        <v>15961</v>
      </c>
      <c r="Y3124" t="s">
        <v>656</v>
      </c>
    </row>
    <row r="3125" spans="1:25" x14ac:dyDescent="0.25">
      <c r="A3125" t="str">
        <f>"1359327138"</f>
        <v>1359327138</v>
      </c>
      <c r="B3125" t="s">
        <v>930</v>
      </c>
      <c r="C3125" t="s">
        <v>15966</v>
      </c>
      <c r="D3125" t="s">
        <v>15962</v>
      </c>
      <c r="E3125">
        <v>424005</v>
      </c>
      <c r="F3125" t="s">
        <v>1</v>
      </c>
      <c r="G3125" t="s">
        <v>2</v>
      </c>
      <c r="H3125" t="s">
        <v>15963</v>
      </c>
      <c r="I3125" t="s">
        <v>15964</v>
      </c>
      <c r="J3125" t="s">
        <v>15965</v>
      </c>
      <c r="P3125" t="s">
        <v>381</v>
      </c>
      <c r="Y3125" t="s">
        <v>15967</v>
      </c>
    </row>
    <row r="3126" spans="1:25" x14ac:dyDescent="0.25">
      <c r="A3126" t="str">
        <f>"1359335625"</f>
        <v>1359335625</v>
      </c>
      <c r="B3126" t="s">
        <v>18</v>
      </c>
      <c r="C3126" t="s">
        <v>15974</v>
      </c>
      <c r="D3126" t="s">
        <v>15968</v>
      </c>
      <c r="E3126">
        <v>424016</v>
      </c>
      <c r="F3126" t="s">
        <v>1</v>
      </c>
      <c r="G3126" t="s">
        <v>2</v>
      </c>
      <c r="H3126" t="s">
        <v>15969</v>
      </c>
      <c r="I3126" t="s">
        <v>15970</v>
      </c>
      <c r="J3126" t="s">
        <v>15971</v>
      </c>
      <c r="L3126" t="s">
        <v>15972</v>
      </c>
      <c r="M3126" t="s">
        <v>15973</v>
      </c>
      <c r="P3126" t="s">
        <v>280</v>
      </c>
      <c r="Y3126" t="s">
        <v>15975</v>
      </c>
    </row>
    <row r="3127" spans="1:25" x14ac:dyDescent="0.25">
      <c r="A3127" t="str">
        <f>"1359407086"</f>
        <v>1359407086</v>
      </c>
      <c r="B3127" t="s">
        <v>151</v>
      </c>
      <c r="C3127" t="s">
        <v>1034</v>
      </c>
      <c r="D3127" t="s">
        <v>15976</v>
      </c>
      <c r="E3127">
        <v>424031</v>
      </c>
      <c r="F3127" t="s">
        <v>1</v>
      </c>
      <c r="G3127" t="s">
        <v>2</v>
      </c>
      <c r="H3127" t="s">
        <v>4158</v>
      </c>
      <c r="I3127" t="s">
        <v>15977</v>
      </c>
      <c r="P3127" t="s">
        <v>27</v>
      </c>
      <c r="Y3127" t="s">
        <v>15978</v>
      </c>
    </row>
    <row r="3128" spans="1:25" x14ac:dyDescent="0.25">
      <c r="A3128" t="str">
        <f>"1359424667"</f>
        <v>1359424667</v>
      </c>
      <c r="B3128" t="s">
        <v>348</v>
      </c>
      <c r="C3128" t="s">
        <v>4366</v>
      </c>
      <c r="D3128" t="s">
        <v>15979</v>
      </c>
      <c r="E3128">
        <v>424918</v>
      </c>
      <c r="F3128" t="s">
        <v>1</v>
      </c>
      <c r="G3128" t="s">
        <v>2</v>
      </c>
      <c r="H3128" t="s">
        <v>629</v>
      </c>
      <c r="I3128" t="s">
        <v>15980</v>
      </c>
      <c r="L3128" t="s">
        <v>15981</v>
      </c>
      <c r="M3128" t="s">
        <v>15982</v>
      </c>
      <c r="P3128" t="s">
        <v>630</v>
      </c>
      <c r="Y3128" t="s">
        <v>1744</v>
      </c>
    </row>
    <row r="3129" spans="1:25" x14ac:dyDescent="0.25">
      <c r="A3129" t="str">
        <f>"1359445539"</f>
        <v>1359445539</v>
      </c>
      <c r="B3129" t="s">
        <v>18</v>
      </c>
      <c r="C3129" t="s">
        <v>15987</v>
      </c>
      <c r="D3129" t="s">
        <v>15983</v>
      </c>
      <c r="E3129">
        <v>424006</v>
      </c>
      <c r="F3129" t="s">
        <v>1</v>
      </c>
      <c r="G3129" t="s">
        <v>2</v>
      </c>
      <c r="H3129" t="s">
        <v>9823</v>
      </c>
      <c r="I3129" t="s">
        <v>15984</v>
      </c>
      <c r="L3129" t="s">
        <v>15985</v>
      </c>
      <c r="M3129" t="s">
        <v>15986</v>
      </c>
      <c r="P3129" t="s">
        <v>15988</v>
      </c>
      <c r="Y3129" t="s">
        <v>15989</v>
      </c>
    </row>
    <row r="3130" spans="1:25" x14ac:dyDescent="0.25">
      <c r="A3130" t="str">
        <f>"1359566482"</f>
        <v>1359566482</v>
      </c>
      <c r="B3130" t="s">
        <v>624</v>
      </c>
      <c r="C3130" t="s">
        <v>15993</v>
      </c>
      <c r="D3130" t="s">
        <v>15990</v>
      </c>
      <c r="E3130">
        <v>424016</v>
      </c>
      <c r="F3130" t="s">
        <v>1</v>
      </c>
      <c r="G3130" t="s">
        <v>2</v>
      </c>
      <c r="H3130" t="s">
        <v>15991</v>
      </c>
      <c r="I3130" t="s">
        <v>15992</v>
      </c>
      <c r="P3130" t="s">
        <v>280</v>
      </c>
      <c r="Y3130" t="s">
        <v>15994</v>
      </c>
    </row>
    <row r="3131" spans="1:25" x14ac:dyDescent="0.25">
      <c r="A3131" t="str">
        <f>"1359579968"</f>
        <v>1359579968</v>
      </c>
      <c r="B3131" t="s">
        <v>96</v>
      </c>
      <c r="C3131" t="s">
        <v>695</v>
      </c>
      <c r="D3131" t="s">
        <v>11224</v>
      </c>
      <c r="E3131">
        <v>424032</v>
      </c>
      <c r="F3131" t="s">
        <v>1</v>
      </c>
      <c r="G3131" t="s">
        <v>2</v>
      </c>
      <c r="H3131" t="s">
        <v>11296</v>
      </c>
      <c r="P3131" t="s">
        <v>2050</v>
      </c>
      <c r="Y3131" t="s">
        <v>11299</v>
      </c>
    </row>
    <row r="3132" spans="1:25" x14ac:dyDescent="0.25">
      <c r="A3132" t="str">
        <f>"1359613724"</f>
        <v>1359613724</v>
      </c>
      <c r="B3132" t="s">
        <v>456</v>
      </c>
      <c r="C3132" t="s">
        <v>15999</v>
      </c>
      <c r="D3132" t="s">
        <v>15995</v>
      </c>
      <c r="E3132">
        <v>424007</v>
      </c>
      <c r="F3132" t="s">
        <v>1</v>
      </c>
      <c r="G3132" t="s">
        <v>2</v>
      </c>
      <c r="H3132" t="s">
        <v>10252</v>
      </c>
      <c r="I3132" t="s">
        <v>15996</v>
      </c>
      <c r="L3132" t="s">
        <v>15997</v>
      </c>
      <c r="M3132" t="s">
        <v>15998</v>
      </c>
      <c r="P3132" t="s">
        <v>27</v>
      </c>
      <c r="Q3132" t="s">
        <v>16000</v>
      </c>
      <c r="Y3132" t="s">
        <v>10258</v>
      </c>
    </row>
    <row r="3133" spans="1:25" x14ac:dyDescent="0.25">
      <c r="A3133" t="str">
        <f>"1359769689"</f>
        <v>1359769689</v>
      </c>
      <c r="B3133" t="s">
        <v>624</v>
      </c>
      <c r="C3133" t="s">
        <v>1637</v>
      </c>
      <c r="D3133" t="s">
        <v>16001</v>
      </c>
      <c r="E3133">
        <v>424006</v>
      </c>
      <c r="F3133" t="s">
        <v>1</v>
      </c>
      <c r="G3133" t="s">
        <v>2</v>
      </c>
      <c r="H3133" t="s">
        <v>2012</v>
      </c>
      <c r="I3133" t="s">
        <v>16002</v>
      </c>
      <c r="K3133" t="s">
        <v>16003</v>
      </c>
      <c r="L3133" t="s">
        <v>16004</v>
      </c>
      <c r="M3133" t="s">
        <v>16005</v>
      </c>
      <c r="P3133" t="s">
        <v>20</v>
      </c>
      <c r="Y3133" t="s">
        <v>2016</v>
      </c>
    </row>
    <row r="3134" spans="1:25" x14ac:dyDescent="0.25">
      <c r="A3134" t="str">
        <f>"1359883782"</f>
        <v>1359883782</v>
      </c>
      <c r="B3134" t="s">
        <v>553</v>
      </c>
      <c r="C3134" t="s">
        <v>16010</v>
      </c>
      <c r="D3134" t="s">
        <v>16006</v>
      </c>
      <c r="E3134">
        <v>424033</v>
      </c>
      <c r="F3134" t="s">
        <v>1</v>
      </c>
      <c r="G3134" t="s">
        <v>2</v>
      </c>
      <c r="H3134" t="s">
        <v>15428</v>
      </c>
      <c r="J3134" t="s">
        <v>16007</v>
      </c>
      <c r="L3134" t="s">
        <v>16008</v>
      </c>
      <c r="M3134" t="s">
        <v>16009</v>
      </c>
      <c r="P3134" t="s">
        <v>1027</v>
      </c>
      <c r="Y3134" t="s">
        <v>16011</v>
      </c>
    </row>
    <row r="3135" spans="1:25" x14ac:dyDescent="0.25">
      <c r="A3135" t="str">
        <f>"1359980344"</f>
        <v>1359980344</v>
      </c>
      <c r="B3135" t="s">
        <v>123</v>
      </c>
      <c r="C3135" t="s">
        <v>196</v>
      </c>
      <c r="D3135" t="s">
        <v>16012</v>
      </c>
      <c r="E3135">
        <v>424003</v>
      </c>
      <c r="F3135" t="s">
        <v>1</v>
      </c>
      <c r="G3135" t="s">
        <v>2</v>
      </c>
      <c r="H3135" t="s">
        <v>1042</v>
      </c>
      <c r="I3135" t="s">
        <v>16013</v>
      </c>
      <c r="P3135" t="s">
        <v>16014</v>
      </c>
      <c r="Y3135" t="s">
        <v>11321</v>
      </c>
    </row>
    <row r="3136" spans="1:25" x14ac:dyDescent="0.25">
      <c r="A3136" t="str">
        <f>"1360009262"</f>
        <v>1360009262</v>
      </c>
      <c r="B3136" t="s">
        <v>408</v>
      </c>
      <c r="C3136" t="s">
        <v>4591</v>
      </c>
      <c r="D3136" t="s">
        <v>16015</v>
      </c>
      <c r="E3136">
        <v>424019</v>
      </c>
      <c r="F3136" t="s">
        <v>1</v>
      </c>
      <c r="G3136" t="s">
        <v>2</v>
      </c>
      <c r="H3136" t="s">
        <v>7785</v>
      </c>
      <c r="I3136" t="s">
        <v>16016</v>
      </c>
      <c r="L3136" t="s">
        <v>16017</v>
      </c>
      <c r="M3136" t="s">
        <v>16018</v>
      </c>
      <c r="P3136" t="s">
        <v>98</v>
      </c>
      <c r="Y3136" t="s">
        <v>16019</v>
      </c>
    </row>
    <row r="3137" spans="1:25" x14ac:dyDescent="0.25">
      <c r="A3137" t="str">
        <f>"1360029146"</f>
        <v>1360029146</v>
      </c>
      <c r="B3137" t="s">
        <v>10383</v>
      </c>
      <c r="C3137" t="s">
        <v>16020</v>
      </c>
      <c r="D3137" t="s">
        <v>6596</v>
      </c>
      <c r="E3137">
        <v>424002</v>
      </c>
      <c r="F3137" t="s">
        <v>1</v>
      </c>
      <c r="G3137" t="s">
        <v>2</v>
      </c>
      <c r="H3137" t="s">
        <v>6597</v>
      </c>
      <c r="I3137" t="s">
        <v>6598</v>
      </c>
      <c r="P3137" t="s">
        <v>16021</v>
      </c>
      <c r="Y3137" t="s">
        <v>16022</v>
      </c>
    </row>
    <row r="3138" spans="1:25" x14ac:dyDescent="0.25">
      <c r="A3138" t="str">
        <f>"1360048464"</f>
        <v>1360048464</v>
      </c>
      <c r="B3138" t="s">
        <v>2818</v>
      </c>
      <c r="C3138" t="s">
        <v>6466</v>
      </c>
      <c r="D3138" t="s">
        <v>16023</v>
      </c>
      <c r="E3138">
        <v>424038</v>
      </c>
      <c r="F3138" t="s">
        <v>1</v>
      </c>
      <c r="G3138" t="s">
        <v>2</v>
      </c>
      <c r="H3138" t="s">
        <v>16024</v>
      </c>
      <c r="I3138" t="s">
        <v>16025</v>
      </c>
      <c r="L3138" t="s">
        <v>16026</v>
      </c>
      <c r="M3138" t="s">
        <v>16027</v>
      </c>
      <c r="P3138" t="s">
        <v>2580</v>
      </c>
      <c r="Q3138" t="s">
        <v>16028</v>
      </c>
      <c r="V3138" t="s">
        <v>16029</v>
      </c>
      <c r="Y3138" t="s">
        <v>16030</v>
      </c>
    </row>
    <row r="3139" spans="1:25" x14ac:dyDescent="0.25">
      <c r="A3139" t="str">
        <f>"1360059775"</f>
        <v>1360059775</v>
      </c>
      <c r="B3139" t="s">
        <v>1078</v>
      </c>
      <c r="C3139" t="s">
        <v>16033</v>
      </c>
      <c r="D3139" t="s">
        <v>16031</v>
      </c>
      <c r="E3139">
        <v>424031</v>
      </c>
      <c r="F3139" t="s">
        <v>1</v>
      </c>
      <c r="G3139" t="s">
        <v>2</v>
      </c>
      <c r="H3139" t="s">
        <v>239</v>
      </c>
      <c r="J3139" t="s">
        <v>16032</v>
      </c>
      <c r="P3139" t="s">
        <v>27</v>
      </c>
      <c r="V3139" t="s">
        <v>16034</v>
      </c>
      <c r="Y3139" t="s">
        <v>16035</v>
      </c>
    </row>
    <row r="3140" spans="1:25" x14ac:dyDescent="0.25">
      <c r="A3140" t="str">
        <f>"1360162881"</f>
        <v>1360162881</v>
      </c>
      <c r="B3140" t="s">
        <v>3573</v>
      </c>
      <c r="C3140" t="s">
        <v>3644</v>
      </c>
      <c r="D3140" t="s">
        <v>5408</v>
      </c>
      <c r="F3140" t="s">
        <v>1</v>
      </c>
      <c r="G3140" t="s">
        <v>2</v>
      </c>
      <c r="H3140" t="s">
        <v>2745</v>
      </c>
      <c r="P3140" t="s">
        <v>330</v>
      </c>
      <c r="Y3140" t="s">
        <v>2751</v>
      </c>
    </row>
    <row r="3141" spans="1:25" x14ac:dyDescent="0.25">
      <c r="A3141" t="str">
        <f>"1360270030"</f>
        <v>1360270030</v>
      </c>
      <c r="B3141" t="s">
        <v>2818</v>
      </c>
      <c r="C3141" t="s">
        <v>16040</v>
      </c>
      <c r="D3141" t="s">
        <v>16036</v>
      </c>
      <c r="E3141">
        <v>424006</v>
      </c>
      <c r="F3141" t="s">
        <v>1</v>
      </c>
      <c r="G3141" t="s">
        <v>2</v>
      </c>
      <c r="H3141" t="s">
        <v>2441</v>
      </c>
      <c r="I3141" t="s">
        <v>16037</v>
      </c>
      <c r="L3141" t="s">
        <v>16038</v>
      </c>
      <c r="M3141" t="s">
        <v>16039</v>
      </c>
      <c r="P3141" t="s">
        <v>280</v>
      </c>
      <c r="Y3141" t="s">
        <v>16041</v>
      </c>
    </row>
    <row r="3142" spans="1:25" x14ac:dyDescent="0.25">
      <c r="A3142" t="str">
        <f>"1360294749"</f>
        <v>1360294749</v>
      </c>
      <c r="B3142" t="s">
        <v>18</v>
      </c>
      <c r="C3142" t="s">
        <v>16044</v>
      </c>
      <c r="D3142" t="s">
        <v>16042</v>
      </c>
      <c r="E3142">
        <v>424005</v>
      </c>
      <c r="F3142" t="s">
        <v>1</v>
      </c>
      <c r="G3142" t="s">
        <v>2</v>
      </c>
      <c r="H3142" t="s">
        <v>3042</v>
      </c>
      <c r="J3142" t="s">
        <v>16043</v>
      </c>
      <c r="P3142" t="s">
        <v>27</v>
      </c>
      <c r="Y3142" t="s">
        <v>16045</v>
      </c>
    </row>
    <row r="3143" spans="1:25" x14ac:dyDescent="0.25">
      <c r="A3143" t="str">
        <f>"1360297359"</f>
        <v>1360297359</v>
      </c>
      <c r="B3143" t="s">
        <v>462</v>
      </c>
      <c r="C3143" t="s">
        <v>1140</v>
      </c>
      <c r="D3143" t="s">
        <v>16046</v>
      </c>
      <c r="E3143">
        <v>424039</v>
      </c>
      <c r="F3143" t="s">
        <v>1</v>
      </c>
      <c r="G3143" t="s">
        <v>2</v>
      </c>
      <c r="H3143" t="s">
        <v>16047</v>
      </c>
      <c r="I3143" t="s">
        <v>16048</v>
      </c>
      <c r="P3143" t="s">
        <v>280</v>
      </c>
      <c r="Y3143" t="s">
        <v>16049</v>
      </c>
    </row>
    <row r="3144" spans="1:25" x14ac:dyDescent="0.25">
      <c r="A3144" t="str">
        <f>"1360312119"</f>
        <v>1360312119</v>
      </c>
      <c r="B3144" t="s">
        <v>1053</v>
      </c>
      <c r="C3144" t="s">
        <v>1927</v>
      </c>
      <c r="D3144" t="s">
        <v>16050</v>
      </c>
      <c r="F3144" t="s">
        <v>1</v>
      </c>
      <c r="G3144" t="s">
        <v>2</v>
      </c>
      <c r="H3144" t="s">
        <v>16051</v>
      </c>
      <c r="I3144" t="s">
        <v>16052</v>
      </c>
      <c r="J3144" t="s">
        <v>16053</v>
      </c>
      <c r="P3144" t="s">
        <v>4280</v>
      </c>
      <c r="Y3144" t="s">
        <v>16054</v>
      </c>
    </row>
    <row r="3145" spans="1:25" x14ac:dyDescent="0.25">
      <c r="A3145" t="str">
        <f>"1360447280"</f>
        <v>1360447280</v>
      </c>
      <c r="B3145" t="s">
        <v>1053</v>
      </c>
      <c r="C3145" t="s">
        <v>16060</v>
      </c>
      <c r="D3145" t="s">
        <v>16055</v>
      </c>
      <c r="E3145">
        <v>424007</v>
      </c>
      <c r="F3145" t="s">
        <v>1</v>
      </c>
      <c r="G3145" t="s">
        <v>2</v>
      </c>
      <c r="H3145" t="s">
        <v>3476</v>
      </c>
      <c r="I3145" t="s">
        <v>16056</v>
      </c>
      <c r="J3145" t="s">
        <v>16057</v>
      </c>
      <c r="L3145" t="s">
        <v>16058</v>
      </c>
      <c r="M3145" t="s">
        <v>16059</v>
      </c>
      <c r="P3145" t="s">
        <v>280</v>
      </c>
      <c r="Y3145" t="s">
        <v>16061</v>
      </c>
    </row>
    <row r="3146" spans="1:25" x14ac:dyDescent="0.25">
      <c r="A3146" t="str">
        <f>"1360727052"</f>
        <v>1360727052</v>
      </c>
      <c r="B3146" t="s">
        <v>25</v>
      </c>
      <c r="C3146" t="s">
        <v>5632</v>
      </c>
      <c r="D3146" t="s">
        <v>16062</v>
      </c>
      <c r="E3146">
        <v>424006</v>
      </c>
      <c r="F3146" t="s">
        <v>1</v>
      </c>
      <c r="G3146" t="s">
        <v>2</v>
      </c>
      <c r="H3146" t="s">
        <v>16063</v>
      </c>
      <c r="I3146" t="s">
        <v>16064</v>
      </c>
      <c r="J3146" t="s">
        <v>16065</v>
      </c>
      <c r="Y3146" t="s">
        <v>16066</v>
      </c>
    </row>
    <row r="3147" spans="1:25" x14ac:dyDescent="0.25">
      <c r="A3147" t="str">
        <f>"1360735805"</f>
        <v>1360735805</v>
      </c>
      <c r="B3147" t="s">
        <v>48</v>
      </c>
      <c r="C3147" t="s">
        <v>16070</v>
      </c>
      <c r="D3147" t="s">
        <v>16067</v>
      </c>
      <c r="E3147">
        <v>424007</v>
      </c>
      <c r="F3147" t="s">
        <v>1</v>
      </c>
      <c r="G3147" t="s">
        <v>2</v>
      </c>
      <c r="H3147" t="s">
        <v>16068</v>
      </c>
      <c r="I3147" t="s">
        <v>16069</v>
      </c>
      <c r="P3147" t="s">
        <v>16071</v>
      </c>
      <c r="Q3147" t="s">
        <v>16072</v>
      </c>
      <c r="Y3147" t="s">
        <v>16073</v>
      </c>
    </row>
    <row r="3148" spans="1:25" x14ac:dyDescent="0.25">
      <c r="A3148" t="str">
        <f>"1360738560"</f>
        <v>1360738560</v>
      </c>
      <c r="B3148" t="s">
        <v>482</v>
      </c>
      <c r="C3148" t="s">
        <v>483</v>
      </c>
      <c r="D3148" t="s">
        <v>16074</v>
      </c>
      <c r="E3148">
        <v>424006</v>
      </c>
      <c r="F3148" t="s">
        <v>1</v>
      </c>
      <c r="G3148" t="s">
        <v>2</v>
      </c>
      <c r="H3148" t="s">
        <v>5146</v>
      </c>
      <c r="I3148" t="s">
        <v>16075</v>
      </c>
      <c r="J3148" t="s">
        <v>16076</v>
      </c>
      <c r="L3148" t="s">
        <v>16077</v>
      </c>
      <c r="M3148" t="s">
        <v>16078</v>
      </c>
      <c r="P3148" t="s">
        <v>27</v>
      </c>
      <c r="Q3148" t="s">
        <v>16079</v>
      </c>
      <c r="S3148" t="s">
        <v>16080</v>
      </c>
      <c r="T3148" t="s">
        <v>16081</v>
      </c>
      <c r="Y3148" t="s">
        <v>5149</v>
      </c>
    </row>
    <row r="3149" spans="1:25" x14ac:dyDescent="0.25">
      <c r="A3149" t="str">
        <f>"1360759027"</f>
        <v>1360759027</v>
      </c>
      <c r="B3149" t="s">
        <v>32</v>
      </c>
      <c r="C3149" t="s">
        <v>16084</v>
      </c>
      <c r="D3149" t="s">
        <v>16082</v>
      </c>
      <c r="E3149">
        <v>424019</v>
      </c>
      <c r="F3149" t="s">
        <v>1</v>
      </c>
      <c r="G3149" t="s">
        <v>2</v>
      </c>
      <c r="H3149" t="s">
        <v>1801</v>
      </c>
      <c r="I3149" t="s">
        <v>16083</v>
      </c>
      <c r="P3149" t="s">
        <v>16085</v>
      </c>
      <c r="Y3149" t="s">
        <v>16086</v>
      </c>
    </row>
    <row r="3150" spans="1:25" x14ac:dyDescent="0.25">
      <c r="A3150" t="str">
        <f>"1360846799"</f>
        <v>1360846799</v>
      </c>
      <c r="B3150" t="s">
        <v>469</v>
      </c>
      <c r="C3150" t="s">
        <v>16091</v>
      </c>
      <c r="D3150" t="s">
        <v>16087</v>
      </c>
      <c r="E3150">
        <v>424000</v>
      </c>
      <c r="F3150" t="s">
        <v>1</v>
      </c>
      <c r="G3150" t="s">
        <v>2</v>
      </c>
      <c r="H3150" t="s">
        <v>4427</v>
      </c>
      <c r="I3150" t="s">
        <v>16088</v>
      </c>
      <c r="L3150" t="s">
        <v>16089</v>
      </c>
      <c r="M3150" t="s">
        <v>16090</v>
      </c>
      <c r="P3150" t="s">
        <v>1642</v>
      </c>
      <c r="V3150" t="s">
        <v>16092</v>
      </c>
      <c r="Y3150" t="s">
        <v>16093</v>
      </c>
    </row>
    <row r="3151" spans="1:25" x14ac:dyDescent="0.25">
      <c r="A3151" t="str">
        <f>"1360859498"</f>
        <v>1360859498</v>
      </c>
      <c r="B3151" t="s">
        <v>388</v>
      </c>
      <c r="C3151" t="s">
        <v>16097</v>
      </c>
      <c r="D3151" t="s">
        <v>16094</v>
      </c>
      <c r="E3151">
        <v>424006</v>
      </c>
      <c r="F3151" t="s">
        <v>1</v>
      </c>
      <c r="G3151" t="s">
        <v>2</v>
      </c>
      <c r="H3151" t="s">
        <v>14949</v>
      </c>
      <c r="I3151" t="s">
        <v>16095</v>
      </c>
      <c r="J3151" t="s">
        <v>16096</v>
      </c>
      <c r="L3151" t="s">
        <v>8818</v>
      </c>
      <c r="P3151" t="s">
        <v>2979</v>
      </c>
      <c r="Y3151" t="s">
        <v>13598</v>
      </c>
    </row>
    <row r="3152" spans="1:25" x14ac:dyDescent="0.25">
      <c r="A3152" t="str">
        <f>"1360981386"</f>
        <v>1360981386</v>
      </c>
      <c r="B3152" t="s">
        <v>447</v>
      </c>
      <c r="C3152" t="s">
        <v>16100</v>
      </c>
      <c r="D3152" t="s">
        <v>16098</v>
      </c>
      <c r="F3152" t="s">
        <v>1</v>
      </c>
      <c r="G3152" t="s">
        <v>2</v>
      </c>
      <c r="H3152" t="s">
        <v>4915</v>
      </c>
      <c r="J3152" t="s">
        <v>16099</v>
      </c>
      <c r="P3152" t="s">
        <v>16101</v>
      </c>
      <c r="Y3152" t="s">
        <v>4917</v>
      </c>
    </row>
    <row r="3153" spans="1:25" x14ac:dyDescent="0.25">
      <c r="A3153" t="str">
        <f>"1361033397"</f>
        <v>1361033397</v>
      </c>
      <c r="B3153" t="s">
        <v>96</v>
      </c>
      <c r="C3153" t="s">
        <v>16105</v>
      </c>
      <c r="D3153" t="s">
        <v>16102</v>
      </c>
      <c r="E3153">
        <v>424000</v>
      </c>
      <c r="F3153" t="s">
        <v>1</v>
      </c>
      <c r="G3153" t="s">
        <v>2</v>
      </c>
      <c r="H3153" t="s">
        <v>1531</v>
      </c>
      <c r="J3153" t="s">
        <v>16103</v>
      </c>
      <c r="L3153" t="s">
        <v>16104</v>
      </c>
      <c r="P3153" t="s">
        <v>941</v>
      </c>
      <c r="Q3153" t="s">
        <v>16106</v>
      </c>
      <c r="Y3153" t="s">
        <v>16107</v>
      </c>
    </row>
    <row r="3154" spans="1:25" x14ac:dyDescent="0.25">
      <c r="A3154" t="str">
        <f>"1361066355"</f>
        <v>1361066355</v>
      </c>
      <c r="B3154" t="s">
        <v>1299</v>
      </c>
      <c r="C3154" t="s">
        <v>1300</v>
      </c>
      <c r="D3154" t="s">
        <v>16108</v>
      </c>
      <c r="E3154">
        <v>424016</v>
      </c>
      <c r="F3154" t="s">
        <v>1</v>
      </c>
      <c r="G3154" t="s">
        <v>2</v>
      </c>
      <c r="H3154" t="s">
        <v>16109</v>
      </c>
      <c r="I3154" t="s">
        <v>16110</v>
      </c>
      <c r="P3154" t="s">
        <v>27</v>
      </c>
      <c r="Y3154" t="s">
        <v>16111</v>
      </c>
    </row>
    <row r="3155" spans="1:25" x14ac:dyDescent="0.25">
      <c r="A3155" t="str">
        <f>"1361112461"</f>
        <v>1361112461</v>
      </c>
      <c r="B3155" t="s">
        <v>1053</v>
      </c>
      <c r="C3155" t="s">
        <v>16114</v>
      </c>
      <c r="D3155" t="s">
        <v>16112</v>
      </c>
      <c r="E3155">
        <v>424007</v>
      </c>
      <c r="F3155" t="s">
        <v>1</v>
      </c>
      <c r="G3155" t="s">
        <v>2</v>
      </c>
      <c r="H3155" t="s">
        <v>5647</v>
      </c>
      <c r="J3155" t="s">
        <v>16113</v>
      </c>
      <c r="P3155" t="s">
        <v>5575</v>
      </c>
      <c r="Y3155" t="s">
        <v>12500</v>
      </c>
    </row>
    <row r="3156" spans="1:25" x14ac:dyDescent="0.25">
      <c r="A3156" t="str">
        <f>"1361174934"</f>
        <v>1361174934</v>
      </c>
      <c r="B3156" t="s">
        <v>790</v>
      </c>
      <c r="C3156" t="s">
        <v>5283</v>
      </c>
      <c r="D3156" t="s">
        <v>16115</v>
      </c>
      <c r="E3156">
        <v>424037</v>
      </c>
      <c r="F3156" t="s">
        <v>1</v>
      </c>
      <c r="G3156" t="s">
        <v>2</v>
      </c>
      <c r="H3156" t="s">
        <v>9342</v>
      </c>
      <c r="I3156" t="s">
        <v>16116</v>
      </c>
      <c r="P3156" t="s">
        <v>27</v>
      </c>
      <c r="Y3156" t="s">
        <v>9347</v>
      </c>
    </row>
    <row r="3157" spans="1:25" x14ac:dyDescent="0.25">
      <c r="A3157" t="str">
        <f>"1361203483"</f>
        <v>1361203483</v>
      </c>
      <c r="B3157" t="s">
        <v>1152</v>
      </c>
      <c r="C3157" t="s">
        <v>1152</v>
      </c>
      <c r="D3157" t="s">
        <v>7878</v>
      </c>
      <c r="E3157">
        <v>424007</v>
      </c>
      <c r="F3157" t="s">
        <v>1</v>
      </c>
      <c r="G3157" t="s">
        <v>2</v>
      </c>
      <c r="H3157" t="s">
        <v>5281</v>
      </c>
      <c r="I3157" t="s">
        <v>16117</v>
      </c>
      <c r="J3157" t="s">
        <v>16118</v>
      </c>
      <c r="L3157" t="s">
        <v>16119</v>
      </c>
      <c r="M3157" t="s">
        <v>16120</v>
      </c>
      <c r="Y3157" t="s">
        <v>16121</v>
      </c>
    </row>
    <row r="3158" spans="1:25" x14ac:dyDescent="0.25">
      <c r="A3158" t="str">
        <f>"1361259039"</f>
        <v>1361259039</v>
      </c>
      <c r="B3158" t="s">
        <v>348</v>
      </c>
      <c r="C3158" t="s">
        <v>4366</v>
      </c>
      <c r="D3158" t="s">
        <v>16122</v>
      </c>
      <c r="E3158">
        <v>424032</v>
      </c>
      <c r="F3158" t="s">
        <v>1</v>
      </c>
      <c r="G3158" t="s">
        <v>2</v>
      </c>
      <c r="H3158" t="s">
        <v>5699</v>
      </c>
      <c r="I3158" t="s">
        <v>16123</v>
      </c>
      <c r="P3158" t="s">
        <v>11801</v>
      </c>
      <c r="Y3158" t="s">
        <v>16124</v>
      </c>
    </row>
    <row r="3159" spans="1:25" x14ac:dyDescent="0.25">
      <c r="A3159" t="str">
        <f>"1361297898"</f>
        <v>1361297898</v>
      </c>
      <c r="B3159" t="s">
        <v>96</v>
      </c>
      <c r="C3159" t="s">
        <v>659</v>
      </c>
      <c r="D3159" t="s">
        <v>6102</v>
      </c>
      <c r="E3159">
        <v>424918</v>
      </c>
      <c r="F3159" t="s">
        <v>1</v>
      </c>
      <c r="G3159" t="s">
        <v>2</v>
      </c>
      <c r="H3159" t="s">
        <v>629</v>
      </c>
      <c r="P3159" t="s">
        <v>630</v>
      </c>
      <c r="Y3159" t="s">
        <v>4513</v>
      </c>
    </row>
    <row r="3160" spans="1:25" x14ac:dyDescent="0.25">
      <c r="A3160" t="str">
        <f>"1361316045"</f>
        <v>1361316045</v>
      </c>
      <c r="B3160" t="s">
        <v>519</v>
      </c>
      <c r="C3160" t="s">
        <v>16127</v>
      </c>
      <c r="D3160" t="s">
        <v>14304</v>
      </c>
      <c r="E3160">
        <v>424006</v>
      </c>
      <c r="F3160" t="s">
        <v>1</v>
      </c>
      <c r="G3160" t="s">
        <v>2</v>
      </c>
      <c r="H3160" t="s">
        <v>16125</v>
      </c>
      <c r="I3160" t="s">
        <v>16126</v>
      </c>
      <c r="P3160" t="s">
        <v>9785</v>
      </c>
      <c r="Q3160" t="s">
        <v>16128</v>
      </c>
      <c r="V3160" t="s">
        <v>16129</v>
      </c>
      <c r="Y3160" t="s">
        <v>16130</v>
      </c>
    </row>
    <row r="3161" spans="1:25" x14ac:dyDescent="0.25">
      <c r="A3161" t="str">
        <f>"1361454982"</f>
        <v>1361454982</v>
      </c>
      <c r="B3161" t="s">
        <v>1182</v>
      </c>
      <c r="C3161" t="s">
        <v>16133</v>
      </c>
      <c r="D3161" t="s">
        <v>16131</v>
      </c>
      <c r="E3161">
        <v>424000</v>
      </c>
      <c r="F3161" t="s">
        <v>1</v>
      </c>
      <c r="G3161" t="s">
        <v>2</v>
      </c>
      <c r="H3161" t="s">
        <v>837</v>
      </c>
      <c r="I3161" t="s">
        <v>16132</v>
      </c>
      <c r="K3161" t="s">
        <v>16132</v>
      </c>
      <c r="P3161" t="s">
        <v>20</v>
      </c>
      <c r="Y3161" t="s">
        <v>2964</v>
      </c>
    </row>
    <row r="3162" spans="1:25" x14ac:dyDescent="0.25">
      <c r="A3162" t="str">
        <f>"1361529854"</f>
        <v>1361529854</v>
      </c>
      <c r="B3162" t="s">
        <v>32</v>
      </c>
      <c r="C3162" t="s">
        <v>40</v>
      </c>
      <c r="D3162" t="s">
        <v>16134</v>
      </c>
      <c r="E3162">
        <v>424036</v>
      </c>
      <c r="F3162" t="s">
        <v>1</v>
      </c>
      <c r="G3162" t="s">
        <v>2</v>
      </c>
      <c r="H3162" t="s">
        <v>5294</v>
      </c>
      <c r="I3162" t="s">
        <v>16135</v>
      </c>
      <c r="P3162" t="s">
        <v>16136</v>
      </c>
      <c r="Y3162" t="s">
        <v>16137</v>
      </c>
    </row>
    <row r="3163" spans="1:25" x14ac:dyDescent="0.25">
      <c r="A3163" t="str">
        <f>"1361581046"</f>
        <v>1361581046</v>
      </c>
      <c r="B3163" t="s">
        <v>574</v>
      </c>
      <c r="C3163" t="s">
        <v>11976</v>
      </c>
      <c r="D3163" t="s">
        <v>16138</v>
      </c>
      <c r="F3163" t="s">
        <v>1</v>
      </c>
      <c r="G3163" t="s">
        <v>2</v>
      </c>
      <c r="H3163" t="s">
        <v>16139</v>
      </c>
      <c r="I3163" t="s">
        <v>16140</v>
      </c>
      <c r="P3163" t="s">
        <v>280</v>
      </c>
      <c r="Y3163" t="s">
        <v>16141</v>
      </c>
    </row>
    <row r="3164" spans="1:25" x14ac:dyDescent="0.25">
      <c r="A3164" t="str">
        <f>"1361667788"</f>
        <v>1361667788</v>
      </c>
      <c r="B3164" t="s">
        <v>290</v>
      </c>
      <c r="C3164" t="s">
        <v>3798</v>
      </c>
      <c r="D3164" t="s">
        <v>16142</v>
      </c>
      <c r="E3164">
        <v>424038</v>
      </c>
      <c r="F3164" t="s">
        <v>1</v>
      </c>
      <c r="G3164" t="s">
        <v>2</v>
      </c>
      <c r="H3164" t="s">
        <v>7597</v>
      </c>
      <c r="I3164" t="s">
        <v>16143</v>
      </c>
      <c r="L3164" t="s">
        <v>16144</v>
      </c>
      <c r="M3164" t="s">
        <v>16145</v>
      </c>
      <c r="P3164" t="s">
        <v>16146</v>
      </c>
      <c r="Q3164" t="s">
        <v>16147</v>
      </c>
      <c r="T3164" t="s">
        <v>16148</v>
      </c>
      <c r="V3164" t="s">
        <v>16149</v>
      </c>
      <c r="Y3164" t="s">
        <v>16150</v>
      </c>
    </row>
    <row r="3165" spans="1:25" x14ac:dyDescent="0.25">
      <c r="A3165" t="str">
        <f>"1361858727"</f>
        <v>1361858727</v>
      </c>
      <c r="B3165" t="s">
        <v>319</v>
      </c>
      <c r="C3165" t="s">
        <v>320</v>
      </c>
      <c r="D3165" t="s">
        <v>16151</v>
      </c>
      <c r="E3165">
        <v>424002</v>
      </c>
      <c r="F3165" t="s">
        <v>1</v>
      </c>
      <c r="G3165" t="s">
        <v>2</v>
      </c>
      <c r="H3165" t="s">
        <v>2664</v>
      </c>
      <c r="P3165" t="s">
        <v>2561</v>
      </c>
      <c r="Y3165" t="s">
        <v>16152</v>
      </c>
    </row>
    <row r="3166" spans="1:25" x14ac:dyDescent="0.25">
      <c r="A3166" t="str">
        <f>"1361860015"</f>
        <v>1361860015</v>
      </c>
      <c r="B3166" t="s">
        <v>243</v>
      </c>
      <c r="C3166" t="s">
        <v>2538</v>
      </c>
      <c r="D3166" t="s">
        <v>16153</v>
      </c>
      <c r="E3166">
        <v>424002</v>
      </c>
      <c r="F3166" t="s">
        <v>1</v>
      </c>
      <c r="G3166" t="s">
        <v>2</v>
      </c>
      <c r="H3166" t="s">
        <v>2338</v>
      </c>
      <c r="J3166" t="s">
        <v>16154</v>
      </c>
      <c r="Y3166" t="s">
        <v>2954</v>
      </c>
    </row>
    <row r="3167" spans="1:25" x14ac:dyDescent="0.25">
      <c r="A3167" t="str">
        <f>"1361870064"</f>
        <v>1361870064</v>
      </c>
      <c r="B3167" t="s">
        <v>1053</v>
      </c>
      <c r="C3167" t="s">
        <v>1927</v>
      </c>
      <c r="D3167" t="s">
        <v>16155</v>
      </c>
      <c r="E3167">
        <v>424037</v>
      </c>
      <c r="F3167" t="s">
        <v>1</v>
      </c>
      <c r="G3167" t="s">
        <v>2</v>
      </c>
      <c r="H3167" t="s">
        <v>16156</v>
      </c>
      <c r="J3167" t="s">
        <v>16157</v>
      </c>
      <c r="L3167" t="s">
        <v>16158</v>
      </c>
      <c r="M3167" t="s">
        <v>16159</v>
      </c>
      <c r="P3167" t="s">
        <v>20</v>
      </c>
      <c r="V3167" t="s">
        <v>16160</v>
      </c>
      <c r="Y3167" t="s">
        <v>16161</v>
      </c>
    </row>
    <row r="3168" spans="1:25" x14ac:dyDescent="0.25">
      <c r="A3168" t="str">
        <f>"1361974314"</f>
        <v>1361974314</v>
      </c>
      <c r="B3168" t="s">
        <v>160</v>
      </c>
      <c r="C3168" t="s">
        <v>2479</v>
      </c>
      <c r="D3168" t="s">
        <v>16162</v>
      </c>
      <c r="E3168">
        <v>424913</v>
      </c>
      <c r="F3168" t="s">
        <v>1</v>
      </c>
      <c r="G3168" t="s">
        <v>2</v>
      </c>
      <c r="H3168" t="s">
        <v>1278</v>
      </c>
      <c r="I3168" t="s">
        <v>16163</v>
      </c>
      <c r="P3168" t="s">
        <v>16164</v>
      </c>
      <c r="Y3168" t="s">
        <v>16165</v>
      </c>
    </row>
    <row r="3169" spans="1:25" x14ac:dyDescent="0.25">
      <c r="A3169" t="str">
        <f>"1362080483"</f>
        <v>1362080483</v>
      </c>
      <c r="B3169" t="s">
        <v>290</v>
      </c>
      <c r="C3169" t="s">
        <v>16169</v>
      </c>
      <c r="D3169" t="s">
        <v>16166</v>
      </c>
      <c r="E3169">
        <v>424006</v>
      </c>
      <c r="F3169" t="s">
        <v>1</v>
      </c>
      <c r="G3169" t="s">
        <v>2</v>
      </c>
      <c r="H3169" t="s">
        <v>16167</v>
      </c>
      <c r="I3169" t="s">
        <v>16168</v>
      </c>
      <c r="P3169" t="s">
        <v>16170</v>
      </c>
      <c r="Q3169" t="s">
        <v>16171</v>
      </c>
      <c r="Y3169" t="s">
        <v>16172</v>
      </c>
    </row>
    <row r="3170" spans="1:25" x14ac:dyDescent="0.25">
      <c r="A3170" t="str">
        <f>"1362312825"</f>
        <v>1362312825</v>
      </c>
      <c r="B3170" t="s">
        <v>430</v>
      </c>
      <c r="C3170" t="s">
        <v>16178</v>
      </c>
      <c r="D3170" t="s">
        <v>16173</v>
      </c>
      <c r="E3170">
        <v>424000</v>
      </c>
      <c r="F3170" t="s">
        <v>1</v>
      </c>
      <c r="G3170" t="s">
        <v>2</v>
      </c>
      <c r="H3170" t="s">
        <v>11438</v>
      </c>
      <c r="I3170" t="s">
        <v>16174</v>
      </c>
      <c r="J3170" t="s">
        <v>16175</v>
      </c>
      <c r="L3170" t="s">
        <v>16176</v>
      </c>
      <c r="M3170" t="s">
        <v>16177</v>
      </c>
      <c r="P3170" t="s">
        <v>2050</v>
      </c>
      <c r="Q3170" t="s">
        <v>16179</v>
      </c>
      <c r="T3170" t="s">
        <v>16180</v>
      </c>
      <c r="V3170" t="s">
        <v>16181</v>
      </c>
      <c r="Y3170" t="s">
        <v>16182</v>
      </c>
    </row>
    <row r="3171" spans="1:25" x14ac:dyDescent="0.25">
      <c r="A3171" t="str">
        <f>"1362327906"</f>
        <v>1362327906</v>
      </c>
      <c r="B3171" t="s">
        <v>888</v>
      </c>
      <c r="C3171" t="s">
        <v>7389</v>
      </c>
      <c r="D3171" t="s">
        <v>11347</v>
      </c>
      <c r="E3171">
        <v>424038</v>
      </c>
      <c r="F3171" t="s">
        <v>1</v>
      </c>
      <c r="G3171" t="s">
        <v>2</v>
      </c>
      <c r="H3171" t="s">
        <v>16183</v>
      </c>
      <c r="I3171" t="s">
        <v>11348</v>
      </c>
      <c r="P3171" t="s">
        <v>16184</v>
      </c>
      <c r="Y3171" t="s">
        <v>16185</v>
      </c>
    </row>
    <row r="3172" spans="1:25" x14ac:dyDescent="0.25">
      <c r="A3172" t="str">
        <f>"1362495359"</f>
        <v>1362495359</v>
      </c>
      <c r="B3172" t="s">
        <v>96</v>
      </c>
      <c r="C3172" t="s">
        <v>16187</v>
      </c>
      <c r="D3172" t="s">
        <v>16186</v>
      </c>
      <c r="E3172">
        <v>424002</v>
      </c>
      <c r="F3172" t="s">
        <v>1</v>
      </c>
      <c r="G3172" t="s">
        <v>2</v>
      </c>
      <c r="H3172" t="s">
        <v>744</v>
      </c>
      <c r="P3172" t="s">
        <v>748</v>
      </c>
      <c r="Y3172" t="s">
        <v>16188</v>
      </c>
    </row>
    <row r="3173" spans="1:25" x14ac:dyDescent="0.25">
      <c r="A3173" t="str">
        <f>"1362628344"</f>
        <v>1362628344</v>
      </c>
      <c r="B3173" t="s">
        <v>469</v>
      </c>
      <c r="C3173" t="s">
        <v>16193</v>
      </c>
      <c r="D3173" t="s">
        <v>16189</v>
      </c>
      <c r="E3173">
        <v>424006</v>
      </c>
      <c r="F3173" t="s">
        <v>1</v>
      </c>
      <c r="G3173" t="s">
        <v>2</v>
      </c>
      <c r="H3173" t="s">
        <v>492</v>
      </c>
      <c r="I3173" t="s">
        <v>16190</v>
      </c>
      <c r="L3173" t="s">
        <v>16191</v>
      </c>
      <c r="M3173" t="s">
        <v>16192</v>
      </c>
      <c r="P3173" t="s">
        <v>13205</v>
      </c>
      <c r="Q3173" t="s">
        <v>16194</v>
      </c>
      <c r="T3173" t="s">
        <v>16195</v>
      </c>
      <c r="Y3173" t="s">
        <v>16196</v>
      </c>
    </row>
    <row r="3174" spans="1:25" x14ac:dyDescent="0.25">
      <c r="A3174" t="str">
        <f>"1362673224"</f>
        <v>1362673224</v>
      </c>
      <c r="B3174" t="s">
        <v>1046</v>
      </c>
      <c r="C3174" t="s">
        <v>3497</v>
      </c>
      <c r="D3174" t="s">
        <v>16197</v>
      </c>
      <c r="E3174">
        <v>424006</v>
      </c>
      <c r="F3174" t="s">
        <v>1</v>
      </c>
      <c r="G3174" t="s">
        <v>2</v>
      </c>
      <c r="H3174" t="s">
        <v>16198</v>
      </c>
      <c r="I3174" t="s">
        <v>16199</v>
      </c>
      <c r="P3174" t="s">
        <v>330</v>
      </c>
      <c r="Q3174" t="s">
        <v>16200</v>
      </c>
      <c r="V3174" t="s">
        <v>16201</v>
      </c>
      <c r="Y3174" t="s">
        <v>16202</v>
      </c>
    </row>
    <row r="3175" spans="1:25" x14ac:dyDescent="0.25">
      <c r="A3175" t="str">
        <f>"1362755990"</f>
        <v>1362755990</v>
      </c>
      <c r="B3175" t="s">
        <v>624</v>
      </c>
      <c r="C3175" t="s">
        <v>16205</v>
      </c>
      <c r="D3175" t="s">
        <v>16203</v>
      </c>
      <c r="E3175">
        <v>424004</v>
      </c>
      <c r="F3175" t="s">
        <v>1</v>
      </c>
      <c r="G3175" t="s">
        <v>2</v>
      </c>
      <c r="H3175" t="s">
        <v>2589</v>
      </c>
      <c r="I3175" t="s">
        <v>16204</v>
      </c>
      <c r="P3175" t="s">
        <v>280</v>
      </c>
      <c r="Y3175" t="s">
        <v>16206</v>
      </c>
    </row>
    <row r="3176" spans="1:25" x14ac:dyDescent="0.25">
      <c r="A3176" t="str">
        <f>"1362835289"</f>
        <v>1362835289</v>
      </c>
      <c r="B3176" t="s">
        <v>430</v>
      </c>
      <c r="C3176" t="s">
        <v>940</v>
      </c>
      <c r="D3176" t="s">
        <v>16207</v>
      </c>
      <c r="E3176">
        <v>424033</v>
      </c>
      <c r="F3176" t="s">
        <v>1</v>
      </c>
      <c r="G3176" t="s">
        <v>2</v>
      </c>
      <c r="H3176" t="s">
        <v>16208</v>
      </c>
      <c r="P3176" t="s">
        <v>133</v>
      </c>
      <c r="R3176" t="s">
        <v>16209</v>
      </c>
      <c r="T3176" t="s">
        <v>16210</v>
      </c>
      <c r="V3176" t="s">
        <v>16211</v>
      </c>
      <c r="Y3176" t="s">
        <v>16212</v>
      </c>
    </row>
    <row r="3177" spans="1:25" x14ac:dyDescent="0.25">
      <c r="A3177" t="str">
        <f>"1363102088"</f>
        <v>1363102088</v>
      </c>
      <c r="B3177" t="s">
        <v>32</v>
      </c>
      <c r="C3177" t="s">
        <v>777</v>
      </c>
      <c r="D3177" t="s">
        <v>16213</v>
      </c>
      <c r="E3177">
        <v>424038</v>
      </c>
      <c r="F3177" t="s">
        <v>1</v>
      </c>
      <c r="G3177" t="s">
        <v>2</v>
      </c>
      <c r="H3177" t="s">
        <v>2855</v>
      </c>
      <c r="I3177" t="s">
        <v>16214</v>
      </c>
      <c r="P3177" t="s">
        <v>1404</v>
      </c>
      <c r="Q3177" t="s">
        <v>16215</v>
      </c>
      <c r="Y3177" t="s">
        <v>16216</v>
      </c>
    </row>
    <row r="3178" spans="1:25" x14ac:dyDescent="0.25">
      <c r="A3178" t="str">
        <f>"1363138153"</f>
        <v>1363138153</v>
      </c>
      <c r="B3178" t="s">
        <v>687</v>
      </c>
      <c r="C3178" t="s">
        <v>16221</v>
      </c>
      <c r="D3178" t="s">
        <v>16217</v>
      </c>
      <c r="E3178">
        <v>424008</v>
      </c>
      <c r="F3178" t="s">
        <v>1</v>
      </c>
      <c r="G3178" t="s">
        <v>2</v>
      </c>
      <c r="H3178" t="s">
        <v>5114</v>
      </c>
      <c r="I3178" t="s">
        <v>16218</v>
      </c>
      <c r="L3178" t="s">
        <v>16219</v>
      </c>
      <c r="M3178" t="s">
        <v>16220</v>
      </c>
      <c r="P3178" t="s">
        <v>696</v>
      </c>
      <c r="Y3178" t="s">
        <v>16222</v>
      </c>
    </row>
    <row r="3179" spans="1:25" x14ac:dyDescent="0.25">
      <c r="A3179" t="str">
        <f>"1363163310"</f>
        <v>1363163310</v>
      </c>
      <c r="B3179" t="s">
        <v>18</v>
      </c>
      <c r="C3179" t="s">
        <v>16228</v>
      </c>
      <c r="D3179" t="s">
        <v>16223</v>
      </c>
      <c r="E3179">
        <v>424016</v>
      </c>
      <c r="F3179" t="s">
        <v>1</v>
      </c>
      <c r="G3179" t="s">
        <v>2</v>
      </c>
      <c r="H3179" t="s">
        <v>16224</v>
      </c>
      <c r="I3179" t="s">
        <v>16225</v>
      </c>
      <c r="L3179" t="s">
        <v>16226</v>
      </c>
      <c r="M3179" t="s">
        <v>16227</v>
      </c>
      <c r="P3179" t="s">
        <v>1411</v>
      </c>
      <c r="Q3179" t="s">
        <v>16229</v>
      </c>
      <c r="U3179" t="s">
        <v>16230</v>
      </c>
      <c r="V3179" t="s">
        <v>16231</v>
      </c>
      <c r="Y3179" t="s">
        <v>16232</v>
      </c>
    </row>
    <row r="3180" spans="1:25" x14ac:dyDescent="0.25">
      <c r="A3180" t="str">
        <f>"1363222100"</f>
        <v>1363222100</v>
      </c>
      <c r="B3180" t="s">
        <v>430</v>
      </c>
      <c r="C3180" t="s">
        <v>15287</v>
      </c>
      <c r="D3180" t="s">
        <v>16233</v>
      </c>
      <c r="E3180">
        <v>424031</v>
      </c>
      <c r="F3180" t="s">
        <v>1</v>
      </c>
      <c r="G3180" t="s">
        <v>2</v>
      </c>
      <c r="H3180" t="s">
        <v>239</v>
      </c>
      <c r="I3180" t="s">
        <v>16234</v>
      </c>
      <c r="J3180" t="s">
        <v>16235</v>
      </c>
      <c r="L3180" t="s">
        <v>16236</v>
      </c>
      <c r="M3180" t="s">
        <v>16237</v>
      </c>
      <c r="P3180" t="s">
        <v>260</v>
      </c>
      <c r="Q3180" t="s">
        <v>16238</v>
      </c>
      <c r="Y3180" t="s">
        <v>246</v>
      </c>
    </row>
    <row r="3181" spans="1:25" x14ac:dyDescent="0.25">
      <c r="A3181" t="str">
        <f>"1363315609"</f>
        <v>1363315609</v>
      </c>
      <c r="B3181" t="s">
        <v>319</v>
      </c>
      <c r="C3181" t="s">
        <v>320</v>
      </c>
      <c r="D3181" t="s">
        <v>13026</v>
      </c>
      <c r="E3181">
        <v>424039</v>
      </c>
      <c r="F3181" t="s">
        <v>1</v>
      </c>
      <c r="G3181" t="s">
        <v>2</v>
      </c>
      <c r="H3181" t="s">
        <v>10036</v>
      </c>
      <c r="I3181" t="s">
        <v>16239</v>
      </c>
      <c r="P3181" t="s">
        <v>16240</v>
      </c>
      <c r="Y3181" t="s">
        <v>16241</v>
      </c>
    </row>
    <row r="3182" spans="1:25" x14ac:dyDescent="0.25">
      <c r="A3182" t="str">
        <f>"1363335279"</f>
        <v>1363335279</v>
      </c>
      <c r="B3182" t="s">
        <v>456</v>
      </c>
      <c r="C3182" t="s">
        <v>16246</v>
      </c>
      <c r="D3182" t="s">
        <v>16242</v>
      </c>
      <c r="E3182">
        <v>424007</v>
      </c>
      <c r="F3182" t="s">
        <v>1</v>
      </c>
      <c r="G3182" t="s">
        <v>2</v>
      </c>
      <c r="H3182" t="s">
        <v>4869</v>
      </c>
      <c r="J3182" t="s">
        <v>16243</v>
      </c>
      <c r="L3182" t="s">
        <v>16244</v>
      </c>
      <c r="M3182" t="s">
        <v>16245</v>
      </c>
      <c r="P3182" t="s">
        <v>27</v>
      </c>
      <c r="Q3182" t="s">
        <v>16247</v>
      </c>
      <c r="R3182" t="s">
        <v>16248</v>
      </c>
      <c r="T3182" t="s">
        <v>16249</v>
      </c>
      <c r="V3182" t="s">
        <v>16250</v>
      </c>
      <c r="Y3182" t="s">
        <v>4872</v>
      </c>
    </row>
    <row r="3183" spans="1:25" x14ac:dyDescent="0.25">
      <c r="A3183" t="str">
        <f>"1363380011"</f>
        <v>1363380011</v>
      </c>
      <c r="B3183" t="s">
        <v>1493</v>
      </c>
      <c r="C3183" t="s">
        <v>1494</v>
      </c>
      <c r="D3183" t="s">
        <v>16251</v>
      </c>
      <c r="E3183">
        <v>424002</v>
      </c>
      <c r="F3183" t="s">
        <v>1</v>
      </c>
      <c r="G3183" t="s">
        <v>2</v>
      </c>
      <c r="H3183" t="s">
        <v>16252</v>
      </c>
      <c r="I3183" t="s">
        <v>16253</v>
      </c>
      <c r="P3183" t="s">
        <v>27</v>
      </c>
      <c r="Y3183" t="s">
        <v>16254</v>
      </c>
    </row>
    <row r="3184" spans="1:25" x14ac:dyDescent="0.25">
      <c r="A3184" t="str">
        <f>"1363384079"</f>
        <v>1363384079</v>
      </c>
      <c r="B3184" t="s">
        <v>96</v>
      </c>
      <c r="C3184" t="s">
        <v>16258</v>
      </c>
      <c r="D3184" t="s">
        <v>16255</v>
      </c>
      <c r="E3184">
        <v>424031</v>
      </c>
      <c r="F3184" t="s">
        <v>1</v>
      </c>
      <c r="G3184" t="s">
        <v>2</v>
      </c>
      <c r="H3184" t="s">
        <v>413</v>
      </c>
      <c r="I3184" t="s">
        <v>16256</v>
      </c>
      <c r="J3184" t="s">
        <v>16257</v>
      </c>
      <c r="P3184" t="s">
        <v>16259</v>
      </c>
      <c r="Y3184" t="s">
        <v>16260</v>
      </c>
    </row>
    <row r="3185" spans="1:25" x14ac:dyDescent="0.25">
      <c r="A3185" t="str">
        <f>"1363389425"</f>
        <v>1363389425</v>
      </c>
      <c r="B3185" t="s">
        <v>738</v>
      </c>
      <c r="C3185" t="s">
        <v>16266</v>
      </c>
      <c r="D3185" t="s">
        <v>16261</v>
      </c>
      <c r="E3185">
        <v>424007</v>
      </c>
      <c r="F3185" t="s">
        <v>1</v>
      </c>
      <c r="G3185" t="s">
        <v>2</v>
      </c>
      <c r="H3185" t="s">
        <v>16262</v>
      </c>
      <c r="I3185" t="s">
        <v>16263</v>
      </c>
      <c r="L3185" t="s">
        <v>16264</v>
      </c>
      <c r="M3185" t="s">
        <v>16265</v>
      </c>
      <c r="P3185" t="s">
        <v>20</v>
      </c>
      <c r="Y3185" t="s">
        <v>16267</v>
      </c>
    </row>
    <row r="3186" spans="1:25" x14ac:dyDescent="0.25">
      <c r="A3186" t="str">
        <f>"1363394166"</f>
        <v>1363394166</v>
      </c>
      <c r="B3186" t="s">
        <v>160</v>
      </c>
      <c r="C3186" t="s">
        <v>9976</v>
      </c>
      <c r="D3186" t="s">
        <v>16268</v>
      </c>
      <c r="E3186">
        <v>424039</v>
      </c>
      <c r="F3186" t="s">
        <v>1</v>
      </c>
      <c r="G3186" t="s">
        <v>2</v>
      </c>
      <c r="H3186" t="s">
        <v>16269</v>
      </c>
      <c r="I3186" t="s">
        <v>16270</v>
      </c>
      <c r="J3186" t="s">
        <v>16271</v>
      </c>
      <c r="P3186" t="s">
        <v>330</v>
      </c>
      <c r="Y3186" t="s">
        <v>16272</v>
      </c>
    </row>
    <row r="3187" spans="1:25" x14ac:dyDescent="0.25">
      <c r="A3187" t="str">
        <f>"1363400234"</f>
        <v>1363400234</v>
      </c>
      <c r="B3187" t="s">
        <v>1046</v>
      </c>
      <c r="C3187" t="s">
        <v>16275</v>
      </c>
      <c r="D3187" t="s">
        <v>5125</v>
      </c>
      <c r="E3187">
        <v>424038</v>
      </c>
      <c r="F3187" t="s">
        <v>1</v>
      </c>
      <c r="G3187" t="s">
        <v>2</v>
      </c>
      <c r="H3187" t="s">
        <v>546</v>
      </c>
      <c r="I3187" t="s">
        <v>16273</v>
      </c>
      <c r="J3187" t="s">
        <v>16274</v>
      </c>
      <c r="P3187" t="s">
        <v>10225</v>
      </c>
      <c r="Y3187" t="s">
        <v>16276</v>
      </c>
    </row>
    <row r="3188" spans="1:25" x14ac:dyDescent="0.25">
      <c r="A3188" t="str">
        <f>"1363411742"</f>
        <v>1363411742</v>
      </c>
      <c r="B3188" t="s">
        <v>397</v>
      </c>
      <c r="C3188" t="s">
        <v>16278</v>
      </c>
      <c r="D3188" t="s">
        <v>16277</v>
      </c>
      <c r="E3188">
        <v>424000</v>
      </c>
      <c r="F3188" t="s">
        <v>1</v>
      </c>
      <c r="G3188" t="s">
        <v>2</v>
      </c>
      <c r="H3188" t="s">
        <v>1531</v>
      </c>
      <c r="L3188" t="s">
        <v>7859</v>
      </c>
      <c r="P3188" t="s">
        <v>4403</v>
      </c>
      <c r="Y3188" t="s">
        <v>4373</v>
      </c>
    </row>
    <row r="3189" spans="1:25" x14ac:dyDescent="0.25">
      <c r="A3189" t="str">
        <f>"1363460032"</f>
        <v>1363460032</v>
      </c>
      <c r="B3189" t="s">
        <v>1611</v>
      </c>
      <c r="C3189" t="s">
        <v>16283</v>
      </c>
      <c r="D3189" t="s">
        <v>16279</v>
      </c>
      <c r="E3189">
        <v>424000</v>
      </c>
      <c r="F3189" t="s">
        <v>1</v>
      </c>
      <c r="G3189" t="s">
        <v>2</v>
      </c>
      <c r="H3189" t="s">
        <v>16280</v>
      </c>
      <c r="I3189" t="s">
        <v>16281</v>
      </c>
      <c r="L3189" t="s">
        <v>581</v>
      </c>
      <c r="M3189" t="s">
        <v>16282</v>
      </c>
      <c r="P3189" t="s">
        <v>330</v>
      </c>
      <c r="Y3189" t="s">
        <v>16284</v>
      </c>
    </row>
    <row r="3190" spans="1:25" x14ac:dyDescent="0.25">
      <c r="A3190" t="str">
        <f>"1363489675"</f>
        <v>1363489675</v>
      </c>
      <c r="B3190" t="s">
        <v>25</v>
      </c>
      <c r="C3190" t="s">
        <v>59</v>
      </c>
      <c r="D3190" t="s">
        <v>16285</v>
      </c>
      <c r="E3190">
        <v>424004</v>
      </c>
      <c r="F3190" t="s">
        <v>1</v>
      </c>
      <c r="G3190" t="s">
        <v>2</v>
      </c>
      <c r="H3190" t="s">
        <v>2133</v>
      </c>
      <c r="I3190" t="s">
        <v>16286</v>
      </c>
      <c r="J3190" t="s">
        <v>16287</v>
      </c>
      <c r="P3190" t="s">
        <v>2438</v>
      </c>
      <c r="Y3190" t="s">
        <v>2137</v>
      </c>
    </row>
    <row r="3191" spans="1:25" x14ac:dyDescent="0.25">
      <c r="A3191" t="str">
        <f>"1363509234"</f>
        <v>1363509234</v>
      </c>
      <c r="B3191" t="s">
        <v>624</v>
      </c>
      <c r="C3191" t="s">
        <v>1637</v>
      </c>
      <c r="D3191" t="s">
        <v>16288</v>
      </c>
      <c r="E3191">
        <v>424003</v>
      </c>
      <c r="F3191" t="s">
        <v>1</v>
      </c>
      <c r="G3191" t="s">
        <v>2</v>
      </c>
      <c r="H3191" t="s">
        <v>38</v>
      </c>
      <c r="I3191" t="s">
        <v>16289</v>
      </c>
      <c r="P3191" t="s">
        <v>69</v>
      </c>
      <c r="Y3191" t="s">
        <v>8462</v>
      </c>
    </row>
    <row r="3192" spans="1:25" x14ac:dyDescent="0.25">
      <c r="A3192" t="str">
        <f>"1363568434"</f>
        <v>1363568434</v>
      </c>
      <c r="B3192" t="s">
        <v>290</v>
      </c>
      <c r="C3192" t="s">
        <v>9932</v>
      </c>
      <c r="D3192" t="s">
        <v>16290</v>
      </c>
      <c r="E3192">
        <v>424006</v>
      </c>
      <c r="F3192" t="s">
        <v>1</v>
      </c>
      <c r="G3192" t="s">
        <v>2</v>
      </c>
      <c r="H3192" t="s">
        <v>3033</v>
      </c>
      <c r="I3192" t="s">
        <v>16291</v>
      </c>
      <c r="P3192" t="s">
        <v>16292</v>
      </c>
      <c r="Y3192" t="s">
        <v>16293</v>
      </c>
    </row>
    <row r="3193" spans="1:25" x14ac:dyDescent="0.25">
      <c r="A3193" t="str">
        <f>"1363580144"</f>
        <v>1363580144</v>
      </c>
      <c r="B3193" t="s">
        <v>1262</v>
      </c>
      <c r="C3193" t="s">
        <v>1263</v>
      </c>
      <c r="D3193" t="s">
        <v>13535</v>
      </c>
      <c r="E3193">
        <v>424003</v>
      </c>
      <c r="F3193" t="s">
        <v>1</v>
      </c>
      <c r="G3193" t="s">
        <v>2</v>
      </c>
      <c r="H3193" t="s">
        <v>16294</v>
      </c>
      <c r="J3193" t="s">
        <v>16295</v>
      </c>
      <c r="P3193" t="s">
        <v>280</v>
      </c>
      <c r="Y3193" t="s">
        <v>16296</v>
      </c>
    </row>
    <row r="3194" spans="1:25" x14ac:dyDescent="0.25">
      <c r="A3194" t="str">
        <f>"1363972914"</f>
        <v>1363972914</v>
      </c>
      <c r="B3194" t="s">
        <v>18</v>
      </c>
      <c r="C3194" t="s">
        <v>4416</v>
      </c>
      <c r="D3194" t="s">
        <v>4410</v>
      </c>
      <c r="E3194">
        <v>424004</v>
      </c>
      <c r="F3194" t="s">
        <v>1</v>
      </c>
      <c r="G3194" t="s">
        <v>2</v>
      </c>
      <c r="H3194" t="s">
        <v>2133</v>
      </c>
      <c r="I3194" t="s">
        <v>16297</v>
      </c>
      <c r="L3194" t="s">
        <v>16298</v>
      </c>
      <c r="M3194" t="s">
        <v>16299</v>
      </c>
      <c r="P3194" t="s">
        <v>4417</v>
      </c>
      <c r="Y3194" t="s">
        <v>16300</v>
      </c>
    </row>
    <row r="3195" spans="1:25" x14ac:dyDescent="0.25">
      <c r="A3195" t="str">
        <f>"1364184469"</f>
        <v>1364184469</v>
      </c>
      <c r="B3195" t="s">
        <v>224</v>
      </c>
      <c r="C3195" t="s">
        <v>4397</v>
      </c>
      <c r="D3195" t="s">
        <v>16301</v>
      </c>
      <c r="E3195">
        <v>424006</v>
      </c>
      <c r="F3195" t="s">
        <v>1</v>
      </c>
      <c r="G3195" t="s">
        <v>2</v>
      </c>
      <c r="H3195" t="s">
        <v>1645</v>
      </c>
      <c r="I3195" t="s">
        <v>16302</v>
      </c>
      <c r="P3195" t="s">
        <v>280</v>
      </c>
      <c r="Y3195" t="s">
        <v>16303</v>
      </c>
    </row>
    <row r="3196" spans="1:25" x14ac:dyDescent="0.25">
      <c r="A3196" t="str">
        <f>"1364203951"</f>
        <v>1364203951</v>
      </c>
      <c r="B3196" t="s">
        <v>3652</v>
      </c>
      <c r="C3196" t="s">
        <v>14101</v>
      </c>
      <c r="D3196" t="s">
        <v>16304</v>
      </c>
      <c r="E3196">
        <v>424002</v>
      </c>
      <c r="F3196" t="s">
        <v>1</v>
      </c>
      <c r="G3196" t="s">
        <v>2</v>
      </c>
      <c r="H3196" t="s">
        <v>7367</v>
      </c>
      <c r="I3196" t="s">
        <v>16305</v>
      </c>
      <c r="P3196" t="s">
        <v>20</v>
      </c>
      <c r="Y3196" t="s">
        <v>16306</v>
      </c>
    </row>
    <row r="3197" spans="1:25" x14ac:dyDescent="0.25">
      <c r="A3197" t="str">
        <f>"1364260062"</f>
        <v>1364260062</v>
      </c>
      <c r="B3197" t="s">
        <v>290</v>
      </c>
      <c r="C3197" t="s">
        <v>290</v>
      </c>
      <c r="D3197" t="s">
        <v>16307</v>
      </c>
      <c r="E3197">
        <v>424006</v>
      </c>
      <c r="F3197" t="s">
        <v>1</v>
      </c>
      <c r="G3197" t="s">
        <v>2</v>
      </c>
      <c r="H3197" t="s">
        <v>478</v>
      </c>
      <c r="I3197" t="s">
        <v>16308</v>
      </c>
      <c r="P3197" t="s">
        <v>4459</v>
      </c>
      <c r="Q3197" t="s">
        <v>16309</v>
      </c>
      <c r="Y3197" t="s">
        <v>16310</v>
      </c>
    </row>
    <row r="3198" spans="1:25" x14ac:dyDescent="0.25">
      <c r="A3198" t="str">
        <f>"1364278993"</f>
        <v>1364278993</v>
      </c>
      <c r="B3198" t="s">
        <v>930</v>
      </c>
      <c r="C3198" t="s">
        <v>15966</v>
      </c>
      <c r="D3198" t="s">
        <v>16311</v>
      </c>
      <c r="E3198">
        <v>424040</v>
      </c>
      <c r="F3198" t="s">
        <v>1</v>
      </c>
      <c r="G3198" t="s">
        <v>2</v>
      </c>
      <c r="H3198" t="s">
        <v>16312</v>
      </c>
      <c r="I3198" t="s">
        <v>16313</v>
      </c>
      <c r="L3198" t="s">
        <v>16314</v>
      </c>
      <c r="M3198" t="s">
        <v>16315</v>
      </c>
      <c r="P3198" t="s">
        <v>10632</v>
      </c>
      <c r="Q3198" t="s">
        <v>10633</v>
      </c>
      <c r="R3198" t="s">
        <v>10634</v>
      </c>
      <c r="S3198" t="s">
        <v>10635</v>
      </c>
      <c r="T3198" t="s">
        <v>10636</v>
      </c>
      <c r="U3198" t="s">
        <v>10637</v>
      </c>
      <c r="V3198" t="s">
        <v>10638</v>
      </c>
      <c r="Y3198" t="s">
        <v>16316</v>
      </c>
    </row>
    <row r="3199" spans="1:25" x14ac:dyDescent="0.25">
      <c r="A3199" t="str">
        <f>"1364315174"</f>
        <v>1364315174</v>
      </c>
      <c r="B3199" t="s">
        <v>352</v>
      </c>
      <c r="C3199" t="s">
        <v>353</v>
      </c>
      <c r="D3199" t="s">
        <v>16317</v>
      </c>
      <c r="E3199">
        <v>424003</v>
      </c>
      <c r="F3199" t="s">
        <v>1</v>
      </c>
      <c r="G3199" t="s">
        <v>2</v>
      </c>
      <c r="H3199" t="s">
        <v>15183</v>
      </c>
      <c r="I3199" t="s">
        <v>16318</v>
      </c>
      <c r="P3199" t="s">
        <v>20</v>
      </c>
      <c r="Y3199" t="s">
        <v>16319</v>
      </c>
    </row>
    <row r="3200" spans="1:25" x14ac:dyDescent="0.25">
      <c r="A3200" t="str">
        <f>"1364363502"</f>
        <v>1364363502</v>
      </c>
      <c r="B3200" t="s">
        <v>32</v>
      </c>
      <c r="C3200" t="s">
        <v>16324</v>
      </c>
      <c r="D3200" t="s">
        <v>16320</v>
      </c>
      <c r="E3200">
        <v>424000</v>
      </c>
      <c r="F3200" t="s">
        <v>1</v>
      </c>
      <c r="G3200" t="s">
        <v>2</v>
      </c>
      <c r="H3200" t="s">
        <v>16321</v>
      </c>
      <c r="I3200" t="s">
        <v>16322</v>
      </c>
      <c r="J3200" t="s">
        <v>16323</v>
      </c>
      <c r="P3200" t="s">
        <v>16325</v>
      </c>
      <c r="Y3200" t="s">
        <v>16326</v>
      </c>
    </row>
    <row r="3201" spans="1:25" x14ac:dyDescent="0.25">
      <c r="A3201" t="str">
        <f>"1364390313"</f>
        <v>1364390313</v>
      </c>
      <c r="B3201" t="s">
        <v>1078</v>
      </c>
      <c r="C3201" t="s">
        <v>2306</v>
      </c>
      <c r="D3201" t="s">
        <v>16327</v>
      </c>
      <c r="E3201">
        <v>424003</v>
      </c>
      <c r="F3201" t="s">
        <v>1</v>
      </c>
      <c r="G3201" t="s">
        <v>2</v>
      </c>
      <c r="H3201" t="s">
        <v>2465</v>
      </c>
      <c r="P3201" t="s">
        <v>112</v>
      </c>
      <c r="Y3201" t="s">
        <v>16328</v>
      </c>
    </row>
    <row r="3202" spans="1:25" x14ac:dyDescent="0.25">
      <c r="A3202" t="str">
        <f>"1364455856"</f>
        <v>1364455856</v>
      </c>
      <c r="B3202" t="s">
        <v>1611</v>
      </c>
      <c r="C3202" t="s">
        <v>4172</v>
      </c>
      <c r="D3202" t="s">
        <v>16329</v>
      </c>
      <c r="E3202">
        <v>424039</v>
      </c>
      <c r="F3202" t="s">
        <v>1</v>
      </c>
      <c r="G3202" t="s">
        <v>2</v>
      </c>
      <c r="H3202" t="s">
        <v>10277</v>
      </c>
      <c r="I3202" t="s">
        <v>16330</v>
      </c>
      <c r="K3202" t="s">
        <v>16331</v>
      </c>
      <c r="L3202" t="s">
        <v>16332</v>
      </c>
      <c r="M3202" t="s">
        <v>16333</v>
      </c>
      <c r="P3202" t="s">
        <v>12687</v>
      </c>
      <c r="Y3202" t="s">
        <v>16334</v>
      </c>
    </row>
    <row r="3203" spans="1:25" x14ac:dyDescent="0.25">
      <c r="A3203" t="str">
        <f>"1364492623"</f>
        <v>1364492623</v>
      </c>
      <c r="B3203" t="s">
        <v>18</v>
      </c>
      <c r="C3203" t="s">
        <v>16335</v>
      </c>
      <c r="D3203" t="s">
        <v>18</v>
      </c>
      <c r="E3203">
        <v>424016</v>
      </c>
      <c r="F3203" t="s">
        <v>1</v>
      </c>
      <c r="G3203" t="s">
        <v>2</v>
      </c>
      <c r="H3203" t="s">
        <v>2637</v>
      </c>
      <c r="P3203" t="s">
        <v>1071</v>
      </c>
      <c r="Y3203" t="s">
        <v>16336</v>
      </c>
    </row>
    <row r="3204" spans="1:25" x14ac:dyDescent="0.25">
      <c r="A3204" t="str">
        <f>"1364518073"</f>
        <v>1364518073</v>
      </c>
      <c r="B3204" t="s">
        <v>1152</v>
      </c>
      <c r="C3204" t="s">
        <v>1152</v>
      </c>
      <c r="D3204" t="s">
        <v>16337</v>
      </c>
      <c r="E3204">
        <v>424038</v>
      </c>
      <c r="F3204" t="s">
        <v>1</v>
      </c>
      <c r="G3204" t="s">
        <v>2</v>
      </c>
      <c r="H3204" t="s">
        <v>3683</v>
      </c>
      <c r="I3204" t="s">
        <v>16338</v>
      </c>
      <c r="P3204" t="s">
        <v>27</v>
      </c>
      <c r="Y3204" t="s">
        <v>3686</v>
      </c>
    </row>
    <row r="3205" spans="1:25" x14ac:dyDescent="0.25">
      <c r="A3205" t="str">
        <f>"1364569073"</f>
        <v>1364569073</v>
      </c>
      <c r="B3205" t="s">
        <v>930</v>
      </c>
      <c r="C3205" t="s">
        <v>16343</v>
      </c>
      <c r="D3205" t="s">
        <v>16339</v>
      </c>
      <c r="E3205">
        <v>424020</v>
      </c>
      <c r="F3205" t="s">
        <v>1</v>
      </c>
      <c r="G3205" t="s">
        <v>2</v>
      </c>
      <c r="H3205" t="s">
        <v>1837</v>
      </c>
      <c r="I3205" t="s">
        <v>16340</v>
      </c>
      <c r="L3205" t="s">
        <v>16341</v>
      </c>
      <c r="M3205" t="s">
        <v>16342</v>
      </c>
      <c r="P3205" t="s">
        <v>16344</v>
      </c>
      <c r="Q3205" t="s">
        <v>16345</v>
      </c>
      <c r="V3205" t="s">
        <v>16346</v>
      </c>
      <c r="Y3205" t="s">
        <v>1842</v>
      </c>
    </row>
    <row r="3206" spans="1:25" x14ac:dyDescent="0.25">
      <c r="A3206" t="str">
        <f>"1364571450"</f>
        <v>1364571450</v>
      </c>
      <c r="B3206" t="s">
        <v>151</v>
      </c>
      <c r="C3206" t="s">
        <v>151</v>
      </c>
      <c r="D3206" t="s">
        <v>16347</v>
      </c>
      <c r="E3206">
        <v>424031</v>
      </c>
      <c r="F3206" t="s">
        <v>1</v>
      </c>
      <c r="G3206" t="s">
        <v>2</v>
      </c>
      <c r="H3206" t="s">
        <v>413</v>
      </c>
      <c r="J3206" t="s">
        <v>16348</v>
      </c>
      <c r="L3206" t="s">
        <v>46</v>
      </c>
      <c r="M3206" t="s">
        <v>16349</v>
      </c>
      <c r="P3206" t="s">
        <v>152</v>
      </c>
      <c r="Q3206" t="s">
        <v>16350</v>
      </c>
      <c r="Y3206" t="s">
        <v>16351</v>
      </c>
    </row>
    <row r="3207" spans="1:25" x14ac:dyDescent="0.25">
      <c r="A3207" t="str">
        <f>"1364605736"</f>
        <v>1364605736</v>
      </c>
      <c r="B3207" t="s">
        <v>2601</v>
      </c>
      <c r="C3207" t="s">
        <v>2602</v>
      </c>
      <c r="D3207" t="s">
        <v>16352</v>
      </c>
      <c r="E3207">
        <v>424033</v>
      </c>
      <c r="F3207" t="s">
        <v>1</v>
      </c>
      <c r="G3207" t="s">
        <v>2</v>
      </c>
      <c r="H3207" t="s">
        <v>2597</v>
      </c>
      <c r="I3207" t="s">
        <v>16353</v>
      </c>
      <c r="L3207" t="s">
        <v>8245</v>
      </c>
      <c r="M3207" t="s">
        <v>16354</v>
      </c>
      <c r="P3207" t="s">
        <v>144</v>
      </c>
      <c r="Q3207" t="s">
        <v>16355</v>
      </c>
      <c r="R3207" t="s">
        <v>16356</v>
      </c>
      <c r="S3207" t="s">
        <v>16357</v>
      </c>
      <c r="T3207" t="s">
        <v>16358</v>
      </c>
      <c r="V3207" t="s">
        <v>16359</v>
      </c>
      <c r="Y3207" t="s">
        <v>16360</v>
      </c>
    </row>
    <row r="3208" spans="1:25" x14ac:dyDescent="0.25">
      <c r="A3208" t="str">
        <f>"1364659024"</f>
        <v>1364659024</v>
      </c>
      <c r="B3208" t="s">
        <v>456</v>
      </c>
      <c r="C3208" t="s">
        <v>16246</v>
      </c>
      <c r="D3208" t="s">
        <v>16361</v>
      </c>
      <c r="E3208">
        <v>424007</v>
      </c>
      <c r="F3208" t="s">
        <v>1</v>
      </c>
      <c r="G3208" t="s">
        <v>2</v>
      </c>
      <c r="H3208" t="s">
        <v>14570</v>
      </c>
      <c r="I3208" t="s">
        <v>16362</v>
      </c>
      <c r="J3208" t="s">
        <v>16363</v>
      </c>
      <c r="L3208" t="s">
        <v>16364</v>
      </c>
      <c r="M3208" t="s">
        <v>16365</v>
      </c>
      <c r="P3208" t="s">
        <v>27</v>
      </c>
      <c r="Q3208" t="s">
        <v>16366</v>
      </c>
      <c r="S3208" t="s">
        <v>16367</v>
      </c>
      <c r="T3208" t="s">
        <v>16368</v>
      </c>
      <c r="Y3208" t="s">
        <v>14573</v>
      </c>
    </row>
    <row r="3209" spans="1:25" x14ac:dyDescent="0.25">
      <c r="A3209" t="str">
        <f>"1364670923"</f>
        <v>1364670923</v>
      </c>
      <c r="B3209" t="s">
        <v>176</v>
      </c>
      <c r="C3209" t="s">
        <v>279</v>
      </c>
      <c r="D3209" t="s">
        <v>16369</v>
      </c>
      <c r="E3209">
        <v>424002</v>
      </c>
      <c r="F3209" t="s">
        <v>1</v>
      </c>
      <c r="G3209" t="s">
        <v>2</v>
      </c>
      <c r="H3209" t="s">
        <v>16370</v>
      </c>
      <c r="I3209" t="s">
        <v>14565</v>
      </c>
      <c r="L3209" t="s">
        <v>4465</v>
      </c>
      <c r="M3209" t="s">
        <v>4466</v>
      </c>
      <c r="P3209" t="s">
        <v>20</v>
      </c>
      <c r="Q3209" t="s">
        <v>13845</v>
      </c>
      <c r="T3209" t="s">
        <v>13846</v>
      </c>
      <c r="Y3209" t="s">
        <v>16371</v>
      </c>
    </row>
    <row r="3210" spans="1:25" x14ac:dyDescent="0.25">
      <c r="A3210" t="str">
        <f>"1364688729"</f>
        <v>1364688729</v>
      </c>
      <c r="B3210" t="s">
        <v>290</v>
      </c>
      <c r="C3210" t="s">
        <v>16376</v>
      </c>
      <c r="D3210" t="s">
        <v>16372</v>
      </c>
      <c r="E3210">
        <v>424038</v>
      </c>
      <c r="F3210" t="s">
        <v>1</v>
      </c>
      <c r="G3210" t="s">
        <v>2</v>
      </c>
      <c r="H3210" t="s">
        <v>7597</v>
      </c>
      <c r="I3210" t="s">
        <v>16373</v>
      </c>
      <c r="L3210" t="s">
        <v>16374</v>
      </c>
      <c r="M3210" t="s">
        <v>16375</v>
      </c>
      <c r="P3210" t="s">
        <v>1642</v>
      </c>
      <c r="Q3210" t="s">
        <v>16377</v>
      </c>
      <c r="S3210" t="s">
        <v>16378</v>
      </c>
      <c r="T3210" t="s">
        <v>16379</v>
      </c>
      <c r="U3210" t="s">
        <v>16380</v>
      </c>
      <c r="V3210" t="s">
        <v>16381</v>
      </c>
      <c r="Y3210" t="s">
        <v>16382</v>
      </c>
    </row>
    <row r="3211" spans="1:25" x14ac:dyDescent="0.25">
      <c r="A3211" t="str">
        <f>"1364698911"</f>
        <v>1364698911</v>
      </c>
      <c r="B3211" t="s">
        <v>18</v>
      </c>
      <c r="C3211" t="s">
        <v>16385</v>
      </c>
      <c r="D3211" t="s">
        <v>16383</v>
      </c>
      <c r="E3211">
        <v>424007</v>
      </c>
      <c r="F3211" t="s">
        <v>1</v>
      </c>
      <c r="G3211" t="s">
        <v>2</v>
      </c>
      <c r="H3211" t="s">
        <v>3243</v>
      </c>
      <c r="I3211" t="s">
        <v>16384</v>
      </c>
      <c r="L3211" t="s">
        <v>436</v>
      </c>
      <c r="P3211" t="s">
        <v>280</v>
      </c>
      <c r="Y3211" t="s">
        <v>16386</v>
      </c>
    </row>
    <row r="3212" spans="1:25" x14ac:dyDescent="0.25">
      <c r="A3212" t="str">
        <f>"1364736893"</f>
        <v>1364736893</v>
      </c>
      <c r="B3212" t="s">
        <v>1362</v>
      </c>
      <c r="C3212" t="s">
        <v>8728</v>
      </c>
      <c r="D3212" t="s">
        <v>16387</v>
      </c>
      <c r="E3212">
        <v>424036</v>
      </c>
      <c r="F3212" t="s">
        <v>1</v>
      </c>
      <c r="G3212" t="s">
        <v>2</v>
      </c>
      <c r="H3212" t="s">
        <v>10750</v>
      </c>
      <c r="J3212" t="s">
        <v>16388</v>
      </c>
      <c r="P3212" t="s">
        <v>330</v>
      </c>
      <c r="Y3212" t="s">
        <v>16389</v>
      </c>
    </row>
    <row r="3213" spans="1:25" x14ac:dyDescent="0.25">
      <c r="A3213" t="str">
        <f>"1364746770"</f>
        <v>1364746770</v>
      </c>
      <c r="B3213" t="s">
        <v>1222</v>
      </c>
      <c r="C3213" t="s">
        <v>2114</v>
      </c>
      <c r="D3213" t="s">
        <v>16390</v>
      </c>
      <c r="E3213">
        <v>424006</v>
      </c>
      <c r="F3213" t="s">
        <v>1</v>
      </c>
      <c r="G3213" t="s">
        <v>2</v>
      </c>
      <c r="H3213" t="s">
        <v>5846</v>
      </c>
      <c r="J3213" t="s">
        <v>16391</v>
      </c>
      <c r="P3213" t="s">
        <v>133</v>
      </c>
      <c r="Y3213" t="s">
        <v>16392</v>
      </c>
    </row>
    <row r="3214" spans="1:25" x14ac:dyDescent="0.25">
      <c r="A3214" t="str">
        <f>"1364816656"</f>
        <v>1364816656</v>
      </c>
      <c r="B3214" t="s">
        <v>640</v>
      </c>
      <c r="C3214" t="s">
        <v>663</v>
      </c>
      <c r="D3214" t="s">
        <v>16393</v>
      </c>
      <c r="E3214">
        <v>424000</v>
      </c>
      <c r="F3214" t="s">
        <v>1</v>
      </c>
      <c r="G3214" t="s">
        <v>2</v>
      </c>
      <c r="H3214" t="s">
        <v>1531</v>
      </c>
      <c r="Y3214" t="s">
        <v>1707</v>
      </c>
    </row>
    <row r="3215" spans="1:25" x14ac:dyDescent="0.25">
      <c r="A3215" t="str">
        <f>"1364980869"</f>
        <v>1364980869</v>
      </c>
      <c r="B3215" t="s">
        <v>553</v>
      </c>
      <c r="C3215" t="s">
        <v>554</v>
      </c>
      <c r="D3215" t="s">
        <v>16394</v>
      </c>
      <c r="E3215">
        <v>424007</v>
      </c>
      <c r="F3215" t="s">
        <v>1</v>
      </c>
      <c r="G3215" t="s">
        <v>2</v>
      </c>
      <c r="H3215" t="s">
        <v>4869</v>
      </c>
      <c r="J3215" t="s">
        <v>16395</v>
      </c>
      <c r="P3215" t="s">
        <v>280</v>
      </c>
      <c r="Y3215" t="s">
        <v>5759</v>
      </c>
    </row>
    <row r="3216" spans="1:25" x14ac:dyDescent="0.25">
      <c r="A3216" t="str">
        <f>"1365092750"</f>
        <v>1365092750</v>
      </c>
      <c r="B3216" t="s">
        <v>290</v>
      </c>
      <c r="C3216" t="s">
        <v>2722</v>
      </c>
      <c r="D3216" t="s">
        <v>16396</v>
      </c>
      <c r="E3216">
        <v>424031</v>
      </c>
      <c r="F3216" t="s">
        <v>1</v>
      </c>
      <c r="G3216" t="s">
        <v>2</v>
      </c>
      <c r="H3216" t="s">
        <v>16397</v>
      </c>
      <c r="Y3216" t="s">
        <v>16398</v>
      </c>
    </row>
    <row r="3217" spans="1:25" x14ac:dyDescent="0.25">
      <c r="A3217" t="str">
        <f>"1365108141"</f>
        <v>1365108141</v>
      </c>
      <c r="B3217" t="s">
        <v>18</v>
      </c>
      <c r="C3217" t="s">
        <v>143</v>
      </c>
      <c r="D3217" t="s">
        <v>137</v>
      </c>
      <c r="E3217">
        <v>424007</v>
      </c>
      <c r="F3217" t="s">
        <v>1</v>
      </c>
      <c r="G3217" t="s">
        <v>2</v>
      </c>
      <c r="H3217" t="s">
        <v>12665</v>
      </c>
      <c r="I3217" t="s">
        <v>16399</v>
      </c>
      <c r="L3217" t="s">
        <v>141</v>
      </c>
      <c r="M3217" t="s">
        <v>16400</v>
      </c>
      <c r="P3217" t="s">
        <v>1035</v>
      </c>
      <c r="V3217" t="s">
        <v>145</v>
      </c>
      <c r="Y3217" t="s">
        <v>16401</v>
      </c>
    </row>
    <row r="3218" spans="1:25" x14ac:dyDescent="0.25">
      <c r="A3218" t="str">
        <f>"1365131574"</f>
        <v>1365131574</v>
      </c>
      <c r="B3218" t="s">
        <v>160</v>
      </c>
      <c r="C3218" t="s">
        <v>2327</v>
      </c>
      <c r="D3218" t="s">
        <v>16402</v>
      </c>
      <c r="E3218">
        <v>424019</v>
      </c>
      <c r="F3218" t="s">
        <v>1</v>
      </c>
      <c r="G3218" t="s">
        <v>2</v>
      </c>
      <c r="H3218" t="s">
        <v>7863</v>
      </c>
      <c r="I3218" t="s">
        <v>16403</v>
      </c>
      <c r="J3218" t="s">
        <v>14778</v>
      </c>
      <c r="P3218" t="s">
        <v>16404</v>
      </c>
      <c r="Y3218" t="s">
        <v>16405</v>
      </c>
    </row>
    <row r="3219" spans="1:25" x14ac:dyDescent="0.25">
      <c r="A3219" t="str">
        <f>"1365151597"</f>
        <v>1365151597</v>
      </c>
      <c r="B3219" t="s">
        <v>160</v>
      </c>
      <c r="C3219" t="s">
        <v>9976</v>
      </c>
      <c r="D3219" t="s">
        <v>16406</v>
      </c>
      <c r="E3219">
        <v>424036</v>
      </c>
      <c r="F3219" t="s">
        <v>1</v>
      </c>
      <c r="G3219" t="s">
        <v>2</v>
      </c>
      <c r="H3219" t="s">
        <v>16407</v>
      </c>
      <c r="I3219" t="s">
        <v>16408</v>
      </c>
      <c r="P3219" t="s">
        <v>330</v>
      </c>
      <c r="Y3219" t="s">
        <v>16409</v>
      </c>
    </row>
    <row r="3220" spans="1:25" x14ac:dyDescent="0.25">
      <c r="A3220" t="str">
        <f>"1365193796"</f>
        <v>1365193796</v>
      </c>
      <c r="B3220" t="s">
        <v>18</v>
      </c>
      <c r="C3220" t="s">
        <v>16412</v>
      </c>
      <c r="D3220" t="s">
        <v>16410</v>
      </c>
      <c r="E3220">
        <v>424031</v>
      </c>
      <c r="F3220" t="s">
        <v>1</v>
      </c>
      <c r="G3220" t="s">
        <v>2</v>
      </c>
      <c r="H3220" t="s">
        <v>239</v>
      </c>
      <c r="I3220" t="s">
        <v>16411</v>
      </c>
      <c r="P3220" t="s">
        <v>390</v>
      </c>
      <c r="Y3220" t="s">
        <v>246</v>
      </c>
    </row>
    <row r="3221" spans="1:25" x14ac:dyDescent="0.25">
      <c r="A3221" t="str">
        <f>"1365375708"</f>
        <v>1365375708</v>
      </c>
      <c r="B3221" t="s">
        <v>224</v>
      </c>
      <c r="C3221" t="s">
        <v>3240</v>
      </c>
      <c r="D3221" t="s">
        <v>16413</v>
      </c>
      <c r="E3221">
        <v>424006</v>
      </c>
      <c r="F3221" t="s">
        <v>1</v>
      </c>
      <c r="G3221" t="s">
        <v>2</v>
      </c>
      <c r="H3221" t="s">
        <v>445</v>
      </c>
      <c r="I3221" t="s">
        <v>16414</v>
      </c>
      <c r="J3221" t="s">
        <v>16415</v>
      </c>
      <c r="L3221" t="s">
        <v>16416</v>
      </c>
      <c r="M3221" t="s">
        <v>16417</v>
      </c>
      <c r="P3221" t="s">
        <v>16418</v>
      </c>
      <c r="Y3221" t="s">
        <v>449</v>
      </c>
    </row>
    <row r="3222" spans="1:25" x14ac:dyDescent="0.25">
      <c r="A3222" t="str">
        <f>"1365438220"</f>
        <v>1365438220</v>
      </c>
      <c r="B3222" t="s">
        <v>930</v>
      </c>
      <c r="C3222" t="s">
        <v>11882</v>
      </c>
      <c r="D3222" t="s">
        <v>16419</v>
      </c>
      <c r="E3222">
        <v>424000</v>
      </c>
      <c r="F3222" t="s">
        <v>1</v>
      </c>
      <c r="G3222" t="s">
        <v>2</v>
      </c>
      <c r="H3222" t="s">
        <v>5398</v>
      </c>
      <c r="I3222" t="s">
        <v>16420</v>
      </c>
      <c r="P3222" t="s">
        <v>4831</v>
      </c>
      <c r="Y3222" t="s">
        <v>16421</v>
      </c>
    </row>
    <row r="3223" spans="1:25" x14ac:dyDescent="0.25">
      <c r="A3223" t="str">
        <f>"1365518543"</f>
        <v>1365518543</v>
      </c>
      <c r="B3223" t="s">
        <v>2178</v>
      </c>
      <c r="C3223" t="s">
        <v>2179</v>
      </c>
      <c r="D3223" t="s">
        <v>16422</v>
      </c>
      <c r="E3223">
        <v>424039</v>
      </c>
      <c r="F3223" t="s">
        <v>1</v>
      </c>
      <c r="G3223" t="s">
        <v>2</v>
      </c>
      <c r="H3223" t="s">
        <v>13455</v>
      </c>
      <c r="I3223" t="s">
        <v>16423</v>
      </c>
      <c r="L3223" t="s">
        <v>10327</v>
      </c>
      <c r="M3223" t="s">
        <v>10328</v>
      </c>
      <c r="P3223" t="s">
        <v>16424</v>
      </c>
      <c r="Y3223" t="s">
        <v>16425</v>
      </c>
    </row>
    <row r="3224" spans="1:25" x14ac:dyDescent="0.25">
      <c r="A3224" t="str">
        <f>"1365604512"</f>
        <v>1365604512</v>
      </c>
      <c r="B3224" t="s">
        <v>430</v>
      </c>
      <c r="C3224" t="s">
        <v>16426</v>
      </c>
      <c r="D3224" t="s">
        <v>16153</v>
      </c>
      <c r="E3224">
        <v>424032</v>
      </c>
      <c r="F3224" t="s">
        <v>1</v>
      </c>
      <c r="G3224" t="s">
        <v>2</v>
      </c>
      <c r="H3224" t="s">
        <v>6045</v>
      </c>
      <c r="I3224" t="s">
        <v>12006</v>
      </c>
      <c r="J3224" t="s">
        <v>12007</v>
      </c>
      <c r="P3224" t="s">
        <v>27</v>
      </c>
      <c r="Y3224" t="s">
        <v>6048</v>
      </c>
    </row>
    <row r="3225" spans="1:25" x14ac:dyDescent="0.25">
      <c r="A3225" t="str">
        <f>"1365691601"</f>
        <v>1365691601</v>
      </c>
      <c r="B3225" t="s">
        <v>16429</v>
      </c>
      <c r="C3225" t="s">
        <v>16430</v>
      </c>
      <c r="D3225" t="s">
        <v>16427</v>
      </c>
      <c r="E3225">
        <v>424004</v>
      </c>
      <c r="F3225" t="s">
        <v>1</v>
      </c>
      <c r="G3225" t="s">
        <v>2</v>
      </c>
      <c r="H3225" t="s">
        <v>14351</v>
      </c>
      <c r="I3225" t="s">
        <v>16428</v>
      </c>
      <c r="P3225" t="s">
        <v>27</v>
      </c>
      <c r="Y3225" t="s">
        <v>14356</v>
      </c>
    </row>
    <row r="3226" spans="1:25" x14ac:dyDescent="0.25">
      <c r="A3226" t="str">
        <f>"1365702191"</f>
        <v>1365702191</v>
      </c>
      <c r="B3226" t="s">
        <v>654</v>
      </c>
      <c r="C3226" t="s">
        <v>2195</v>
      </c>
      <c r="D3226" t="s">
        <v>16431</v>
      </c>
      <c r="F3226" t="s">
        <v>1</v>
      </c>
      <c r="G3226" t="s">
        <v>2</v>
      </c>
      <c r="H3226" t="s">
        <v>2018</v>
      </c>
      <c r="I3226" t="s">
        <v>16432</v>
      </c>
      <c r="J3226" t="s">
        <v>16433</v>
      </c>
      <c r="P3226" t="s">
        <v>340</v>
      </c>
      <c r="Y3226" t="s">
        <v>16434</v>
      </c>
    </row>
    <row r="3227" spans="1:25" x14ac:dyDescent="0.25">
      <c r="A3227" t="str">
        <f>"1365707978"</f>
        <v>1365707978</v>
      </c>
      <c r="B3227" t="s">
        <v>96</v>
      </c>
      <c r="C3227" t="s">
        <v>16440</v>
      </c>
      <c r="D3227" t="s">
        <v>16435</v>
      </c>
      <c r="E3227">
        <v>424016</v>
      </c>
      <c r="F3227" t="s">
        <v>1</v>
      </c>
      <c r="G3227" t="s">
        <v>2</v>
      </c>
      <c r="H3227" t="s">
        <v>16436</v>
      </c>
      <c r="I3227" t="s">
        <v>16437</v>
      </c>
      <c r="J3227" t="s">
        <v>16438</v>
      </c>
      <c r="L3227" t="s">
        <v>16439</v>
      </c>
      <c r="P3227" t="s">
        <v>16441</v>
      </c>
      <c r="Q3227" t="s">
        <v>16442</v>
      </c>
      <c r="Y3227" t="s">
        <v>16443</v>
      </c>
    </row>
    <row r="3228" spans="1:25" x14ac:dyDescent="0.25">
      <c r="A3228" t="str">
        <f>"1365771239"</f>
        <v>1365771239</v>
      </c>
      <c r="B3228" t="s">
        <v>640</v>
      </c>
      <c r="C3228" t="s">
        <v>663</v>
      </c>
      <c r="D3228" t="s">
        <v>16444</v>
      </c>
      <c r="E3228">
        <v>424033</v>
      </c>
      <c r="F3228" t="s">
        <v>1</v>
      </c>
      <c r="G3228" t="s">
        <v>2</v>
      </c>
      <c r="H3228" t="s">
        <v>4300</v>
      </c>
      <c r="I3228" t="s">
        <v>16445</v>
      </c>
      <c r="J3228" t="s">
        <v>16446</v>
      </c>
      <c r="P3228" t="s">
        <v>27</v>
      </c>
      <c r="Y3228" t="s">
        <v>16447</v>
      </c>
    </row>
    <row r="3229" spans="1:25" x14ac:dyDescent="0.25">
      <c r="A3229" t="str">
        <f>"1365895972"</f>
        <v>1365895972</v>
      </c>
      <c r="B3229" t="s">
        <v>2178</v>
      </c>
      <c r="C3229" t="s">
        <v>2179</v>
      </c>
      <c r="D3229" t="s">
        <v>16448</v>
      </c>
      <c r="E3229">
        <v>424039</v>
      </c>
      <c r="F3229" t="s">
        <v>1</v>
      </c>
      <c r="G3229" t="s">
        <v>2</v>
      </c>
      <c r="H3229" t="s">
        <v>16449</v>
      </c>
      <c r="I3229" t="s">
        <v>16450</v>
      </c>
      <c r="L3229" t="s">
        <v>10327</v>
      </c>
      <c r="M3229" t="s">
        <v>10328</v>
      </c>
      <c r="P3229" t="s">
        <v>16424</v>
      </c>
      <c r="Y3229" t="s">
        <v>16451</v>
      </c>
    </row>
    <row r="3230" spans="1:25" x14ac:dyDescent="0.25">
      <c r="A3230" t="str">
        <f>"1365939500"</f>
        <v>1365939500</v>
      </c>
      <c r="B3230" t="s">
        <v>224</v>
      </c>
      <c r="C3230" t="s">
        <v>3240</v>
      </c>
      <c r="D3230" t="s">
        <v>16452</v>
      </c>
      <c r="E3230">
        <v>424016</v>
      </c>
      <c r="F3230" t="s">
        <v>1</v>
      </c>
      <c r="G3230" t="s">
        <v>2</v>
      </c>
      <c r="H3230" t="s">
        <v>3703</v>
      </c>
      <c r="I3230" t="s">
        <v>16453</v>
      </c>
      <c r="J3230" t="s">
        <v>16454</v>
      </c>
      <c r="L3230" t="s">
        <v>16455</v>
      </c>
      <c r="M3230" t="s">
        <v>16456</v>
      </c>
      <c r="P3230" t="s">
        <v>2580</v>
      </c>
      <c r="Q3230" t="s">
        <v>16457</v>
      </c>
      <c r="Y3230" t="s">
        <v>16458</v>
      </c>
    </row>
    <row r="3231" spans="1:25" x14ac:dyDescent="0.25">
      <c r="A3231" t="str">
        <f>"1365942719"</f>
        <v>1365942719</v>
      </c>
      <c r="B3231" t="s">
        <v>456</v>
      </c>
      <c r="C3231" t="s">
        <v>4178</v>
      </c>
      <c r="D3231" t="s">
        <v>16459</v>
      </c>
      <c r="E3231">
        <v>424003</v>
      </c>
      <c r="F3231" t="s">
        <v>1</v>
      </c>
      <c r="G3231" t="s">
        <v>2</v>
      </c>
      <c r="H3231" t="s">
        <v>3647</v>
      </c>
      <c r="Y3231" t="s">
        <v>4732</v>
      </c>
    </row>
    <row r="3232" spans="1:25" x14ac:dyDescent="0.25">
      <c r="A3232" t="str">
        <f>"1365983163"</f>
        <v>1365983163</v>
      </c>
      <c r="B3232" t="s">
        <v>96</v>
      </c>
      <c r="C3232" t="s">
        <v>16462</v>
      </c>
      <c r="D3232" t="s">
        <v>13390</v>
      </c>
      <c r="E3232">
        <v>424000</v>
      </c>
      <c r="F3232" t="s">
        <v>1</v>
      </c>
      <c r="G3232" t="s">
        <v>2</v>
      </c>
      <c r="H3232" t="s">
        <v>1531</v>
      </c>
      <c r="I3232" t="s">
        <v>16460</v>
      </c>
      <c r="J3232" t="s">
        <v>16461</v>
      </c>
      <c r="L3232" t="s">
        <v>13392</v>
      </c>
      <c r="M3232" t="s">
        <v>13393</v>
      </c>
      <c r="P3232" t="s">
        <v>941</v>
      </c>
      <c r="Q3232" t="s">
        <v>13395</v>
      </c>
      <c r="Y3232" t="s">
        <v>16463</v>
      </c>
    </row>
    <row r="3233" spans="1:25" x14ac:dyDescent="0.25">
      <c r="A3233" t="str">
        <f>"1365990968"</f>
        <v>1365990968</v>
      </c>
      <c r="B3233" t="s">
        <v>123</v>
      </c>
      <c r="C3233" t="s">
        <v>196</v>
      </c>
      <c r="D3233" t="s">
        <v>16464</v>
      </c>
      <c r="E3233">
        <v>424000</v>
      </c>
      <c r="F3233" t="s">
        <v>1</v>
      </c>
      <c r="G3233" t="s">
        <v>2</v>
      </c>
      <c r="H3233" t="s">
        <v>211</v>
      </c>
      <c r="I3233" t="s">
        <v>16465</v>
      </c>
      <c r="P3233" t="s">
        <v>330</v>
      </c>
      <c r="Y3233" t="s">
        <v>4742</v>
      </c>
    </row>
    <row r="3234" spans="1:25" x14ac:dyDescent="0.25">
      <c r="A3234" t="str">
        <f>"1366112828"</f>
        <v>1366112828</v>
      </c>
      <c r="B3234" t="s">
        <v>110</v>
      </c>
      <c r="C3234" t="s">
        <v>784</v>
      </c>
      <c r="D3234" t="s">
        <v>1399</v>
      </c>
      <c r="E3234">
        <v>424000</v>
      </c>
      <c r="F3234" t="s">
        <v>1</v>
      </c>
      <c r="G3234" t="s">
        <v>2</v>
      </c>
      <c r="H3234" t="s">
        <v>92</v>
      </c>
      <c r="I3234" t="s">
        <v>16466</v>
      </c>
      <c r="L3234" t="s">
        <v>16467</v>
      </c>
      <c r="M3234" t="s">
        <v>6347</v>
      </c>
      <c r="P3234" t="s">
        <v>98</v>
      </c>
      <c r="Q3234" t="s">
        <v>16468</v>
      </c>
      <c r="T3234" t="s">
        <v>16469</v>
      </c>
      <c r="V3234" t="s">
        <v>16470</v>
      </c>
      <c r="Y3234" t="s">
        <v>16471</v>
      </c>
    </row>
    <row r="3235" spans="1:25" x14ac:dyDescent="0.25">
      <c r="A3235" t="str">
        <f>"1366129219"</f>
        <v>1366129219</v>
      </c>
      <c r="B3235" t="s">
        <v>930</v>
      </c>
      <c r="C3235" t="s">
        <v>16474</v>
      </c>
      <c r="D3235" t="s">
        <v>15643</v>
      </c>
      <c r="E3235">
        <v>424019</v>
      </c>
      <c r="F3235" t="s">
        <v>1</v>
      </c>
      <c r="G3235" t="s">
        <v>2</v>
      </c>
      <c r="H3235" t="s">
        <v>16472</v>
      </c>
      <c r="I3235" t="s">
        <v>16473</v>
      </c>
      <c r="P3235" t="s">
        <v>330</v>
      </c>
      <c r="Y3235" t="s">
        <v>16475</v>
      </c>
    </row>
    <row r="3236" spans="1:25" x14ac:dyDescent="0.25">
      <c r="A3236" t="str">
        <f>"1366170255"</f>
        <v>1366170255</v>
      </c>
      <c r="B3236" t="s">
        <v>290</v>
      </c>
      <c r="C3236" t="s">
        <v>2737</v>
      </c>
      <c r="D3236" t="s">
        <v>16476</v>
      </c>
      <c r="E3236">
        <v>424016</v>
      </c>
      <c r="F3236" t="s">
        <v>1</v>
      </c>
      <c r="G3236" t="s">
        <v>2</v>
      </c>
      <c r="H3236" t="s">
        <v>16477</v>
      </c>
      <c r="I3236" t="s">
        <v>16478</v>
      </c>
      <c r="J3236" t="s">
        <v>16479</v>
      </c>
      <c r="P3236" t="s">
        <v>5084</v>
      </c>
      <c r="Y3236" t="s">
        <v>16480</v>
      </c>
    </row>
    <row r="3237" spans="1:25" x14ac:dyDescent="0.25">
      <c r="A3237" t="str">
        <f>"1366171413"</f>
        <v>1366171413</v>
      </c>
      <c r="B3237" t="s">
        <v>430</v>
      </c>
      <c r="C3237" t="s">
        <v>940</v>
      </c>
      <c r="D3237" t="s">
        <v>16481</v>
      </c>
      <c r="E3237">
        <v>424038</v>
      </c>
      <c r="F3237" t="s">
        <v>1</v>
      </c>
      <c r="G3237" t="s">
        <v>2</v>
      </c>
      <c r="H3237" t="s">
        <v>16482</v>
      </c>
      <c r="J3237" t="s">
        <v>16483</v>
      </c>
      <c r="Y3237" t="s">
        <v>16484</v>
      </c>
    </row>
    <row r="3238" spans="1:25" x14ac:dyDescent="0.25">
      <c r="A3238" t="str">
        <f>"1366209024"</f>
        <v>1366209024</v>
      </c>
      <c r="B3238" t="s">
        <v>397</v>
      </c>
      <c r="C3238" t="s">
        <v>16489</v>
      </c>
      <c r="D3238" t="s">
        <v>16485</v>
      </c>
      <c r="E3238">
        <v>424006</v>
      </c>
      <c r="F3238" t="s">
        <v>1</v>
      </c>
      <c r="G3238" t="s">
        <v>2</v>
      </c>
      <c r="H3238" t="s">
        <v>1645</v>
      </c>
      <c r="I3238" t="s">
        <v>16486</v>
      </c>
      <c r="J3238" t="s">
        <v>16487</v>
      </c>
      <c r="K3238" t="s">
        <v>16488</v>
      </c>
      <c r="P3238" t="s">
        <v>1420</v>
      </c>
      <c r="Y3238" t="s">
        <v>4478</v>
      </c>
    </row>
    <row r="3239" spans="1:25" x14ac:dyDescent="0.25">
      <c r="A3239" t="str">
        <f>"1366572948"</f>
        <v>1366572948</v>
      </c>
      <c r="B3239" t="s">
        <v>96</v>
      </c>
      <c r="C3239" t="s">
        <v>893</v>
      </c>
      <c r="D3239" t="s">
        <v>16490</v>
      </c>
      <c r="E3239">
        <v>424000</v>
      </c>
      <c r="F3239" t="s">
        <v>1</v>
      </c>
      <c r="G3239" t="s">
        <v>2</v>
      </c>
      <c r="H3239" t="s">
        <v>92</v>
      </c>
      <c r="J3239" t="s">
        <v>16491</v>
      </c>
      <c r="P3239" t="s">
        <v>312</v>
      </c>
      <c r="Y3239" t="s">
        <v>16492</v>
      </c>
    </row>
    <row r="3240" spans="1:25" x14ac:dyDescent="0.25">
      <c r="A3240" t="str">
        <f>"1366601133"</f>
        <v>1366601133</v>
      </c>
      <c r="B3240" t="s">
        <v>930</v>
      </c>
      <c r="C3240" t="s">
        <v>16495</v>
      </c>
      <c r="D3240" t="s">
        <v>927</v>
      </c>
      <c r="E3240">
        <v>424008</v>
      </c>
      <c r="F3240" t="s">
        <v>1</v>
      </c>
      <c r="G3240" t="s">
        <v>2</v>
      </c>
      <c r="H3240" t="s">
        <v>2001</v>
      </c>
      <c r="I3240" t="s">
        <v>16493</v>
      </c>
      <c r="J3240" t="s">
        <v>16494</v>
      </c>
      <c r="P3240" t="s">
        <v>16496</v>
      </c>
      <c r="Y3240" t="s">
        <v>2005</v>
      </c>
    </row>
    <row r="3241" spans="1:25" x14ac:dyDescent="0.25">
      <c r="A3241" t="str">
        <f>"1366624109"</f>
        <v>1366624109</v>
      </c>
      <c r="B3241" t="s">
        <v>348</v>
      </c>
      <c r="C3241" t="s">
        <v>12325</v>
      </c>
      <c r="D3241" t="s">
        <v>16497</v>
      </c>
      <c r="F3241" t="s">
        <v>1</v>
      </c>
      <c r="G3241" t="s">
        <v>2</v>
      </c>
      <c r="H3241" t="s">
        <v>3984</v>
      </c>
      <c r="J3241" t="s">
        <v>16498</v>
      </c>
      <c r="P3241" t="s">
        <v>10416</v>
      </c>
      <c r="Y3241" t="s">
        <v>16276</v>
      </c>
    </row>
    <row r="3242" spans="1:25" x14ac:dyDescent="0.25">
      <c r="A3242" t="str">
        <f>"1366627501"</f>
        <v>1366627501</v>
      </c>
      <c r="B3242" t="s">
        <v>32</v>
      </c>
      <c r="C3242" t="s">
        <v>5809</v>
      </c>
      <c r="D3242" t="s">
        <v>16499</v>
      </c>
      <c r="E3242">
        <v>424007</v>
      </c>
      <c r="F3242" t="s">
        <v>1</v>
      </c>
      <c r="G3242" t="s">
        <v>2</v>
      </c>
      <c r="H3242" t="s">
        <v>16500</v>
      </c>
      <c r="I3242" t="s">
        <v>16501</v>
      </c>
      <c r="J3242" t="s">
        <v>16502</v>
      </c>
      <c r="P3242" t="s">
        <v>13898</v>
      </c>
      <c r="Y3242" t="s">
        <v>16503</v>
      </c>
    </row>
    <row r="3243" spans="1:25" x14ac:dyDescent="0.25">
      <c r="A3243" t="str">
        <f>"1366662055"</f>
        <v>1366662055</v>
      </c>
      <c r="B3243" t="s">
        <v>3652</v>
      </c>
      <c r="C3243" t="s">
        <v>16506</v>
      </c>
      <c r="D3243" t="s">
        <v>16504</v>
      </c>
      <c r="E3243">
        <v>424006</v>
      </c>
      <c r="F3243" t="s">
        <v>1</v>
      </c>
      <c r="G3243" t="s">
        <v>2</v>
      </c>
      <c r="H3243" t="s">
        <v>5726</v>
      </c>
      <c r="I3243" t="s">
        <v>16505</v>
      </c>
      <c r="P3243" t="s">
        <v>16507</v>
      </c>
      <c r="Y3243" t="s">
        <v>656</v>
      </c>
    </row>
    <row r="3244" spans="1:25" x14ac:dyDescent="0.25">
      <c r="A3244" t="str">
        <f>"1366930035"</f>
        <v>1366930035</v>
      </c>
      <c r="B3244" t="s">
        <v>462</v>
      </c>
      <c r="C3244" t="s">
        <v>1140</v>
      </c>
      <c r="D3244" t="s">
        <v>16508</v>
      </c>
      <c r="E3244">
        <v>424016</v>
      </c>
      <c r="F3244" t="s">
        <v>1</v>
      </c>
      <c r="G3244" t="s">
        <v>2</v>
      </c>
      <c r="H3244" t="s">
        <v>2637</v>
      </c>
      <c r="I3244" t="s">
        <v>16509</v>
      </c>
      <c r="J3244" t="s">
        <v>16510</v>
      </c>
      <c r="P3244" t="s">
        <v>20</v>
      </c>
      <c r="Y3244" t="s">
        <v>16336</v>
      </c>
    </row>
    <row r="3245" spans="1:25" x14ac:dyDescent="0.25">
      <c r="A3245" t="str">
        <f>"1366932404"</f>
        <v>1366932404</v>
      </c>
      <c r="B3245" t="s">
        <v>16429</v>
      </c>
      <c r="C3245" t="s">
        <v>16430</v>
      </c>
      <c r="D3245" t="s">
        <v>16511</v>
      </c>
      <c r="E3245">
        <v>424036</v>
      </c>
      <c r="F3245" t="s">
        <v>1</v>
      </c>
      <c r="G3245" t="s">
        <v>2</v>
      </c>
      <c r="H3245" t="s">
        <v>16512</v>
      </c>
      <c r="J3245" t="s">
        <v>16513</v>
      </c>
      <c r="P3245" t="s">
        <v>6710</v>
      </c>
      <c r="Y3245" t="s">
        <v>16514</v>
      </c>
    </row>
    <row r="3246" spans="1:25" x14ac:dyDescent="0.25">
      <c r="A3246" t="str">
        <f>"1367087235"</f>
        <v>1367087235</v>
      </c>
      <c r="B3246" t="s">
        <v>1758</v>
      </c>
      <c r="C3246" t="s">
        <v>7867</v>
      </c>
      <c r="D3246" t="s">
        <v>11003</v>
      </c>
      <c r="E3246">
        <v>424000</v>
      </c>
      <c r="F3246" t="s">
        <v>1</v>
      </c>
      <c r="G3246" t="s">
        <v>2</v>
      </c>
      <c r="H3246" t="s">
        <v>1531</v>
      </c>
      <c r="I3246" t="s">
        <v>11004</v>
      </c>
      <c r="P3246" t="s">
        <v>1404</v>
      </c>
      <c r="Y3246" t="s">
        <v>1707</v>
      </c>
    </row>
    <row r="3247" spans="1:25" x14ac:dyDescent="0.25">
      <c r="A3247" t="str">
        <f>"1367197088"</f>
        <v>1367197088</v>
      </c>
      <c r="B3247" t="s">
        <v>462</v>
      </c>
      <c r="C3247" t="s">
        <v>16517</v>
      </c>
      <c r="D3247" t="s">
        <v>16515</v>
      </c>
      <c r="E3247">
        <v>424007</v>
      </c>
      <c r="F3247" t="s">
        <v>1</v>
      </c>
      <c r="G3247" t="s">
        <v>2</v>
      </c>
      <c r="H3247" t="s">
        <v>4869</v>
      </c>
      <c r="I3247" t="s">
        <v>16516</v>
      </c>
      <c r="P3247" t="s">
        <v>20</v>
      </c>
      <c r="Y3247" t="s">
        <v>16518</v>
      </c>
    </row>
    <row r="3248" spans="1:25" x14ac:dyDescent="0.25">
      <c r="A3248" t="str">
        <f>"1367205177"</f>
        <v>1367205177</v>
      </c>
      <c r="B3248" t="s">
        <v>430</v>
      </c>
      <c r="C3248" t="s">
        <v>16521</v>
      </c>
      <c r="D3248" t="s">
        <v>16519</v>
      </c>
      <c r="E3248">
        <v>424007</v>
      </c>
      <c r="F3248" t="s">
        <v>1</v>
      </c>
      <c r="G3248" t="s">
        <v>2</v>
      </c>
      <c r="H3248" t="s">
        <v>1023</v>
      </c>
      <c r="J3248" t="s">
        <v>16520</v>
      </c>
      <c r="P3248" t="s">
        <v>16522</v>
      </c>
      <c r="Y3248" t="s">
        <v>16523</v>
      </c>
    </row>
    <row r="3249" spans="1:25" x14ac:dyDescent="0.25">
      <c r="A3249" t="str">
        <f>"1367301002"</f>
        <v>1367301002</v>
      </c>
      <c r="B3249" t="s">
        <v>888</v>
      </c>
      <c r="C3249" t="s">
        <v>2396</v>
      </c>
      <c r="D3249" t="s">
        <v>16524</v>
      </c>
      <c r="E3249">
        <v>424002</v>
      </c>
      <c r="F3249" t="s">
        <v>1</v>
      </c>
      <c r="G3249" t="s">
        <v>2</v>
      </c>
      <c r="H3249" t="s">
        <v>12740</v>
      </c>
      <c r="I3249" t="s">
        <v>16525</v>
      </c>
      <c r="L3249" t="s">
        <v>16526</v>
      </c>
      <c r="M3249" t="s">
        <v>16527</v>
      </c>
      <c r="P3249" t="s">
        <v>2438</v>
      </c>
      <c r="Q3249" t="s">
        <v>16528</v>
      </c>
      <c r="V3249" t="s">
        <v>16529</v>
      </c>
      <c r="Y3249" t="s">
        <v>16530</v>
      </c>
    </row>
    <row r="3250" spans="1:25" x14ac:dyDescent="0.25">
      <c r="A3250" t="str">
        <f>"1367413623"</f>
        <v>1367413623</v>
      </c>
      <c r="B3250" t="s">
        <v>430</v>
      </c>
      <c r="C3250" t="s">
        <v>940</v>
      </c>
      <c r="D3250" t="s">
        <v>16531</v>
      </c>
      <c r="E3250">
        <v>424918</v>
      </c>
      <c r="F3250" t="s">
        <v>1</v>
      </c>
      <c r="G3250" t="s">
        <v>2</v>
      </c>
      <c r="H3250" t="s">
        <v>629</v>
      </c>
      <c r="I3250" t="s">
        <v>16532</v>
      </c>
      <c r="L3250" t="s">
        <v>16533</v>
      </c>
      <c r="M3250" t="s">
        <v>16534</v>
      </c>
      <c r="P3250" t="s">
        <v>144</v>
      </c>
      <c r="Q3250" t="s">
        <v>16535</v>
      </c>
      <c r="Y3250" t="s">
        <v>16536</v>
      </c>
    </row>
    <row r="3251" spans="1:25" x14ac:dyDescent="0.25">
      <c r="A3251" t="str">
        <f>"1367542884"</f>
        <v>1367542884</v>
      </c>
      <c r="B3251" t="s">
        <v>3652</v>
      </c>
      <c r="C3251" t="s">
        <v>16541</v>
      </c>
      <c r="D3251" t="s">
        <v>16537</v>
      </c>
      <c r="E3251">
        <v>424008</v>
      </c>
      <c r="F3251" t="s">
        <v>1</v>
      </c>
      <c r="G3251" t="s">
        <v>2</v>
      </c>
      <c r="H3251" t="s">
        <v>11833</v>
      </c>
      <c r="I3251" t="s">
        <v>16538</v>
      </c>
      <c r="L3251" t="s">
        <v>16539</v>
      </c>
      <c r="M3251" t="s">
        <v>16540</v>
      </c>
      <c r="P3251" t="s">
        <v>27</v>
      </c>
      <c r="Y3251" t="s">
        <v>16542</v>
      </c>
    </row>
    <row r="3252" spans="1:25" x14ac:dyDescent="0.25">
      <c r="A3252" t="str">
        <f>"1367544872"</f>
        <v>1367544872</v>
      </c>
      <c r="B3252" t="s">
        <v>96</v>
      </c>
      <c r="C3252" t="s">
        <v>2285</v>
      </c>
      <c r="D3252" t="s">
        <v>16543</v>
      </c>
      <c r="E3252">
        <v>424038</v>
      </c>
      <c r="F3252" t="s">
        <v>1</v>
      </c>
      <c r="G3252" t="s">
        <v>2</v>
      </c>
      <c r="H3252" t="s">
        <v>7597</v>
      </c>
      <c r="I3252" t="s">
        <v>16544</v>
      </c>
      <c r="L3252" t="s">
        <v>16545</v>
      </c>
      <c r="M3252" t="s">
        <v>16546</v>
      </c>
      <c r="P3252" t="s">
        <v>98</v>
      </c>
      <c r="S3252" t="s">
        <v>16547</v>
      </c>
      <c r="T3252" t="s">
        <v>16548</v>
      </c>
      <c r="V3252" t="s">
        <v>16549</v>
      </c>
      <c r="Y3252" t="s">
        <v>16550</v>
      </c>
    </row>
    <row r="3253" spans="1:25" x14ac:dyDescent="0.25">
      <c r="A3253" t="str">
        <f>"1367580508"</f>
        <v>1367580508</v>
      </c>
      <c r="B3253" t="s">
        <v>978</v>
      </c>
      <c r="C3253" t="s">
        <v>14285</v>
      </c>
      <c r="D3253" t="s">
        <v>16551</v>
      </c>
      <c r="E3253">
        <v>424008</v>
      </c>
      <c r="F3253" t="s">
        <v>1</v>
      </c>
      <c r="G3253" t="s">
        <v>2</v>
      </c>
      <c r="H3253" t="s">
        <v>3774</v>
      </c>
      <c r="I3253" t="s">
        <v>16552</v>
      </c>
      <c r="M3253" t="s">
        <v>16553</v>
      </c>
      <c r="P3253" t="s">
        <v>216</v>
      </c>
      <c r="Y3253" t="s">
        <v>3777</v>
      </c>
    </row>
    <row r="3254" spans="1:25" x14ac:dyDescent="0.25">
      <c r="A3254" t="str">
        <f>"1367610971"</f>
        <v>1367610971</v>
      </c>
      <c r="B3254" t="s">
        <v>96</v>
      </c>
      <c r="C3254" t="s">
        <v>16554</v>
      </c>
      <c r="D3254" t="s">
        <v>11444</v>
      </c>
      <c r="E3254">
        <v>424000</v>
      </c>
      <c r="F3254" t="s">
        <v>1</v>
      </c>
      <c r="G3254" t="s">
        <v>2</v>
      </c>
      <c r="H3254" t="s">
        <v>1531</v>
      </c>
      <c r="J3254" t="s">
        <v>11445</v>
      </c>
      <c r="P3254" t="s">
        <v>941</v>
      </c>
      <c r="Y3254" t="s">
        <v>16555</v>
      </c>
    </row>
    <row r="3255" spans="1:25" x14ac:dyDescent="0.25">
      <c r="A3255" t="str">
        <f>"1367630642"</f>
        <v>1367630642</v>
      </c>
      <c r="B3255" t="s">
        <v>482</v>
      </c>
      <c r="C3255" t="s">
        <v>1765</v>
      </c>
      <c r="D3255" t="s">
        <v>16556</v>
      </c>
      <c r="E3255">
        <v>424006</v>
      </c>
      <c r="F3255" t="s">
        <v>1</v>
      </c>
      <c r="G3255" t="s">
        <v>2</v>
      </c>
      <c r="H3255" t="s">
        <v>478</v>
      </c>
      <c r="I3255" t="s">
        <v>16557</v>
      </c>
      <c r="L3255" t="s">
        <v>16558</v>
      </c>
      <c r="M3255" t="s">
        <v>16559</v>
      </c>
      <c r="P3255" t="s">
        <v>8911</v>
      </c>
      <c r="Y3255" t="s">
        <v>926</v>
      </c>
    </row>
    <row r="3256" spans="1:25" x14ac:dyDescent="0.25">
      <c r="A3256" t="str">
        <f>"1367650014"</f>
        <v>1367650014</v>
      </c>
      <c r="B3256" t="s">
        <v>290</v>
      </c>
      <c r="C3256" t="s">
        <v>16563</v>
      </c>
      <c r="D3256" t="s">
        <v>16560</v>
      </c>
      <c r="E3256">
        <v>424038</v>
      </c>
      <c r="F3256" t="s">
        <v>1</v>
      </c>
      <c r="G3256" t="s">
        <v>2</v>
      </c>
      <c r="H3256" t="s">
        <v>546</v>
      </c>
      <c r="I3256" t="s">
        <v>16561</v>
      </c>
      <c r="J3256" t="s">
        <v>16562</v>
      </c>
      <c r="P3256" t="s">
        <v>12308</v>
      </c>
      <c r="Y3256" t="s">
        <v>16564</v>
      </c>
    </row>
    <row r="3257" spans="1:25" x14ac:dyDescent="0.25">
      <c r="A3257" t="str">
        <f>"1367691163"</f>
        <v>1367691163</v>
      </c>
      <c r="B3257" t="s">
        <v>176</v>
      </c>
      <c r="C3257" t="s">
        <v>6380</v>
      </c>
      <c r="D3257" t="s">
        <v>16565</v>
      </c>
      <c r="E3257">
        <v>424004</v>
      </c>
      <c r="F3257" t="s">
        <v>1</v>
      </c>
      <c r="G3257" t="s">
        <v>2</v>
      </c>
      <c r="H3257" t="s">
        <v>3489</v>
      </c>
      <c r="I3257" t="s">
        <v>16566</v>
      </c>
      <c r="L3257" t="s">
        <v>16567</v>
      </c>
      <c r="M3257" t="s">
        <v>16568</v>
      </c>
      <c r="P3257" t="s">
        <v>340</v>
      </c>
      <c r="Q3257" t="s">
        <v>16569</v>
      </c>
      <c r="R3257" t="s">
        <v>16570</v>
      </c>
      <c r="T3257" t="s">
        <v>16571</v>
      </c>
      <c r="V3257" t="s">
        <v>16572</v>
      </c>
      <c r="Y3257" t="s">
        <v>16573</v>
      </c>
    </row>
    <row r="3258" spans="1:25" x14ac:dyDescent="0.25">
      <c r="A3258" t="str">
        <f>"1367695259"</f>
        <v>1367695259</v>
      </c>
      <c r="B3258" t="s">
        <v>48</v>
      </c>
      <c r="C3258" t="s">
        <v>11862</v>
      </c>
      <c r="D3258" t="s">
        <v>16574</v>
      </c>
      <c r="E3258">
        <v>424031</v>
      </c>
      <c r="F3258" t="s">
        <v>1</v>
      </c>
      <c r="G3258" t="s">
        <v>2</v>
      </c>
      <c r="H3258" t="s">
        <v>239</v>
      </c>
      <c r="I3258" t="s">
        <v>16575</v>
      </c>
      <c r="P3258" t="s">
        <v>16576</v>
      </c>
      <c r="Y3258" t="s">
        <v>16577</v>
      </c>
    </row>
    <row r="3259" spans="1:25" x14ac:dyDescent="0.25">
      <c r="A3259" t="str">
        <f>"1367798237"</f>
        <v>1367798237</v>
      </c>
      <c r="B3259" t="s">
        <v>1053</v>
      </c>
      <c r="C3259" t="s">
        <v>1927</v>
      </c>
      <c r="D3259" t="s">
        <v>5101</v>
      </c>
      <c r="E3259">
        <v>424000</v>
      </c>
      <c r="F3259" t="s">
        <v>1</v>
      </c>
      <c r="G3259" t="s">
        <v>2</v>
      </c>
      <c r="H3259" t="s">
        <v>3471</v>
      </c>
      <c r="I3259" t="s">
        <v>16578</v>
      </c>
      <c r="J3259" t="s">
        <v>16579</v>
      </c>
      <c r="P3259" t="s">
        <v>20</v>
      </c>
      <c r="Y3259" t="s">
        <v>13889</v>
      </c>
    </row>
    <row r="3260" spans="1:25" x14ac:dyDescent="0.25">
      <c r="A3260" t="str">
        <f>"1367855448"</f>
        <v>1367855448</v>
      </c>
      <c r="B3260" t="s">
        <v>224</v>
      </c>
      <c r="C3260" t="s">
        <v>4931</v>
      </c>
      <c r="D3260" t="s">
        <v>16580</v>
      </c>
      <c r="E3260">
        <v>424007</v>
      </c>
      <c r="F3260" t="s">
        <v>1</v>
      </c>
      <c r="G3260" t="s">
        <v>2</v>
      </c>
      <c r="H3260" t="s">
        <v>4869</v>
      </c>
      <c r="I3260" t="s">
        <v>16581</v>
      </c>
      <c r="L3260" t="s">
        <v>16582</v>
      </c>
      <c r="M3260" t="s">
        <v>16583</v>
      </c>
      <c r="P3260" t="s">
        <v>27</v>
      </c>
      <c r="Y3260" t="s">
        <v>5759</v>
      </c>
    </row>
    <row r="3261" spans="1:25" x14ac:dyDescent="0.25">
      <c r="A3261" t="str">
        <f>"1367881969"</f>
        <v>1367881969</v>
      </c>
      <c r="B3261" t="s">
        <v>379</v>
      </c>
      <c r="C3261" t="s">
        <v>4852</v>
      </c>
      <c r="D3261" t="s">
        <v>16584</v>
      </c>
      <c r="E3261">
        <v>424002</v>
      </c>
      <c r="F3261" t="s">
        <v>1</v>
      </c>
      <c r="G3261" t="s">
        <v>2</v>
      </c>
      <c r="H3261" t="s">
        <v>6502</v>
      </c>
      <c r="I3261" t="s">
        <v>16585</v>
      </c>
      <c r="P3261" t="s">
        <v>133</v>
      </c>
      <c r="Y3261" t="s">
        <v>16586</v>
      </c>
    </row>
    <row r="3262" spans="1:25" x14ac:dyDescent="0.25">
      <c r="A3262" t="str">
        <f>"1367918713"</f>
        <v>1367918713</v>
      </c>
      <c r="B3262" t="s">
        <v>841</v>
      </c>
      <c r="C3262" t="s">
        <v>16591</v>
      </c>
      <c r="D3262" t="s">
        <v>16587</v>
      </c>
      <c r="E3262">
        <v>424031</v>
      </c>
      <c r="F3262" t="s">
        <v>1</v>
      </c>
      <c r="G3262" t="s">
        <v>2</v>
      </c>
      <c r="H3262" t="s">
        <v>16588</v>
      </c>
      <c r="J3262" t="s">
        <v>16589</v>
      </c>
      <c r="L3262" t="s">
        <v>16590</v>
      </c>
      <c r="P3262" t="s">
        <v>8740</v>
      </c>
      <c r="Q3262" t="s">
        <v>16592</v>
      </c>
      <c r="Y3262" t="s">
        <v>16593</v>
      </c>
    </row>
    <row r="3263" spans="1:25" x14ac:dyDescent="0.25">
      <c r="A3263" t="str">
        <f>"1367928955"</f>
        <v>1367928955</v>
      </c>
      <c r="B3263" t="s">
        <v>1152</v>
      </c>
      <c r="C3263" t="s">
        <v>1152</v>
      </c>
      <c r="D3263" t="s">
        <v>16594</v>
      </c>
      <c r="E3263">
        <v>424000</v>
      </c>
      <c r="F3263" t="s">
        <v>1</v>
      </c>
      <c r="G3263" t="s">
        <v>2</v>
      </c>
      <c r="H3263" t="s">
        <v>837</v>
      </c>
      <c r="I3263" t="s">
        <v>16595</v>
      </c>
      <c r="J3263" t="s">
        <v>16596</v>
      </c>
      <c r="P3263" t="s">
        <v>4831</v>
      </c>
      <c r="Y3263" t="s">
        <v>2964</v>
      </c>
    </row>
    <row r="3264" spans="1:25" x14ac:dyDescent="0.25">
      <c r="A3264" t="str">
        <f>"1368199028"</f>
        <v>1368199028</v>
      </c>
      <c r="B3264" t="s">
        <v>18</v>
      </c>
      <c r="C3264" t="s">
        <v>16602</v>
      </c>
      <c r="D3264" t="s">
        <v>16597</v>
      </c>
      <c r="E3264">
        <v>424007</v>
      </c>
      <c r="F3264" t="s">
        <v>1</v>
      </c>
      <c r="G3264" t="s">
        <v>2</v>
      </c>
      <c r="H3264" t="s">
        <v>16598</v>
      </c>
      <c r="J3264" t="s">
        <v>16599</v>
      </c>
      <c r="L3264" t="s">
        <v>16600</v>
      </c>
      <c r="M3264" t="s">
        <v>16601</v>
      </c>
      <c r="P3264" t="s">
        <v>27</v>
      </c>
      <c r="Y3264" t="s">
        <v>16603</v>
      </c>
    </row>
    <row r="3265" spans="1:25" x14ac:dyDescent="0.25">
      <c r="A3265" t="str">
        <f>"1368199303"</f>
        <v>1368199303</v>
      </c>
      <c r="B3265" t="s">
        <v>319</v>
      </c>
      <c r="C3265" t="s">
        <v>320</v>
      </c>
      <c r="D3265" t="s">
        <v>16604</v>
      </c>
      <c r="E3265">
        <v>424036</v>
      </c>
      <c r="F3265" t="s">
        <v>1</v>
      </c>
      <c r="G3265" t="s">
        <v>2</v>
      </c>
      <c r="H3265" t="s">
        <v>7822</v>
      </c>
      <c r="I3265" t="s">
        <v>12908</v>
      </c>
      <c r="M3265" t="s">
        <v>12910</v>
      </c>
      <c r="P3265" t="s">
        <v>2561</v>
      </c>
      <c r="Y3265" t="s">
        <v>16605</v>
      </c>
    </row>
    <row r="3266" spans="1:25" x14ac:dyDescent="0.25">
      <c r="A3266" t="str">
        <f>"1368210362"</f>
        <v>1368210362</v>
      </c>
      <c r="B3266" t="s">
        <v>88</v>
      </c>
      <c r="C3266" t="s">
        <v>6593</v>
      </c>
      <c r="D3266" t="s">
        <v>16606</v>
      </c>
      <c r="E3266">
        <v>424031</v>
      </c>
      <c r="F3266" t="s">
        <v>1</v>
      </c>
      <c r="G3266" t="s">
        <v>2</v>
      </c>
      <c r="H3266" t="s">
        <v>13630</v>
      </c>
      <c r="I3266" t="s">
        <v>16607</v>
      </c>
      <c r="L3266" t="s">
        <v>16608</v>
      </c>
      <c r="P3266" t="s">
        <v>941</v>
      </c>
      <c r="Q3266" t="s">
        <v>16609</v>
      </c>
      <c r="V3266" t="s">
        <v>16610</v>
      </c>
      <c r="Y3266" t="s">
        <v>16611</v>
      </c>
    </row>
    <row r="3267" spans="1:25" x14ac:dyDescent="0.25">
      <c r="A3267" t="str">
        <f>"1368218899"</f>
        <v>1368218899</v>
      </c>
      <c r="B3267" t="s">
        <v>4888</v>
      </c>
      <c r="C3267" t="s">
        <v>16616</v>
      </c>
      <c r="D3267" t="s">
        <v>16612</v>
      </c>
      <c r="E3267">
        <v>424007</v>
      </c>
      <c r="F3267" t="s">
        <v>1</v>
      </c>
      <c r="G3267" t="s">
        <v>2</v>
      </c>
      <c r="H3267" t="s">
        <v>5647</v>
      </c>
      <c r="J3267" t="s">
        <v>16613</v>
      </c>
      <c r="L3267" t="s">
        <v>16614</v>
      </c>
      <c r="M3267" t="s">
        <v>16615</v>
      </c>
      <c r="P3267" t="s">
        <v>390</v>
      </c>
      <c r="Y3267" t="s">
        <v>12500</v>
      </c>
    </row>
    <row r="3268" spans="1:25" x14ac:dyDescent="0.25">
      <c r="A3268" t="str">
        <f>"1368273728"</f>
        <v>1368273728</v>
      </c>
      <c r="B3268" t="s">
        <v>447</v>
      </c>
      <c r="C3268" t="s">
        <v>16621</v>
      </c>
      <c r="D3268" t="s">
        <v>16617</v>
      </c>
      <c r="E3268">
        <v>424016</v>
      </c>
      <c r="F3268" t="s">
        <v>1</v>
      </c>
      <c r="G3268" t="s">
        <v>2</v>
      </c>
      <c r="H3268" t="s">
        <v>11290</v>
      </c>
      <c r="I3268" t="s">
        <v>16618</v>
      </c>
      <c r="L3268" t="s">
        <v>16619</v>
      </c>
      <c r="M3268" t="s">
        <v>16620</v>
      </c>
      <c r="P3268" t="s">
        <v>20</v>
      </c>
      <c r="Y3268" t="s">
        <v>16622</v>
      </c>
    </row>
    <row r="3269" spans="1:25" x14ac:dyDescent="0.25">
      <c r="A3269" t="str">
        <f>"1368312308"</f>
        <v>1368312308</v>
      </c>
      <c r="B3269" t="s">
        <v>290</v>
      </c>
      <c r="C3269" t="s">
        <v>11114</v>
      </c>
      <c r="D3269" t="s">
        <v>16623</v>
      </c>
      <c r="F3269" t="s">
        <v>1</v>
      </c>
      <c r="G3269" t="s">
        <v>2</v>
      </c>
      <c r="H3269" t="s">
        <v>2687</v>
      </c>
      <c r="I3269" t="s">
        <v>16624</v>
      </c>
      <c r="J3269" t="s">
        <v>16625</v>
      </c>
      <c r="P3269" t="s">
        <v>133</v>
      </c>
      <c r="Y3269" t="s">
        <v>2690</v>
      </c>
    </row>
    <row r="3270" spans="1:25" x14ac:dyDescent="0.25">
      <c r="A3270" t="str">
        <f>"1368321249"</f>
        <v>1368321249</v>
      </c>
      <c r="B3270" t="s">
        <v>2104</v>
      </c>
      <c r="C3270" t="s">
        <v>16628</v>
      </c>
      <c r="D3270" t="s">
        <v>16626</v>
      </c>
      <c r="E3270">
        <v>424028</v>
      </c>
      <c r="F3270" t="s">
        <v>1</v>
      </c>
      <c r="G3270" t="s">
        <v>2</v>
      </c>
      <c r="H3270" t="s">
        <v>3359</v>
      </c>
      <c r="I3270" t="s">
        <v>16627</v>
      </c>
      <c r="P3270" t="s">
        <v>330</v>
      </c>
      <c r="Y3270" t="s">
        <v>15441</v>
      </c>
    </row>
    <row r="3271" spans="1:25" x14ac:dyDescent="0.25">
      <c r="A3271" t="str">
        <f>"1368400591"</f>
        <v>1368400591</v>
      </c>
      <c r="B3271" t="s">
        <v>703</v>
      </c>
      <c r="C3271" t="s">
        <v>2129</v>
      </c>
      <c r="D3271" t="s">
        <v>7406</v>
      </c>
      <c r="E3271">
        <v>424003</v>
      </c>
      <c r="F3271" t="s">
        <v>1</v>
      </c>
      <c r="G3271" t="s">
        <v>2</v>
      </c>
      <c r="H3271" t="s">
        <v>5311</v>
      </c>
      <c r="I3271" t="s">
        <v>16629</v>
      </c>
      <c r="K3271" t="s">
        <v>16629</v>
      </c>
      <c r="P3271" t="s">
        <v>280</v>
      </c>
      <c r="Y3271" t="s">
        <v>10521</v>
      </c>
    </row>
    <row r="3272" spans="1:25" x14ac:dyDescent="0.25">
      <c r="A3272" t="str">
        <f>"1368409370"</f>
        <v>1368409370</v>
      </c>
      <c r="B3272" t="s">
        <v>5443</v>
      </c>
      <c r="C3272" t="s">
        <v>16635</v>
      </c>
      <c r="D3272" t="s">
        <v>16630</v>
      </c>
      <c r="E3272">
        <v>424006</v>
      </c>
      <c r="F3272" t="s">
        <v>1</v>
      </c>
      <c r="G3272" t="s">
        <v>2</v>
      </c>
      <c r="H3272" t="s">
        <v>10019</v>
      </c>
      <c r="I3272" t="s">
        <v>16631</v>
      </c>
      <c r="J3272" t="s">
        <v>16632</v>
      </c>
      <c r="L3272" t="s">
        <v>16633</v>
      </c>
      <c r="M3272" t="s">
        <v>16634</v>
      </c>
      <c r="P3272" t="s">
        <v>10296</v>
      </c>
      <c r="Q3272" t="s">
        <v>16636</v>
      </c>
      <c r="T3272" t="s">
        <v>16637</v>
      </c>
      <c r="Y3272" t="s">
        <v>16638</v>
      </c>
    </row>
    <row r="3273" spans="1:25" x14ac:dyDescent="0.25">
      <c r="A3273" t="str">
        <f>"1368457867"</f>
        <v>1368457867</v>
      </c>
      <c r="B3273" t="s">
        <v>574</v>
      </c>
      <c r="C3273" t="s">
        <v>646</v>
      </c>
      <c r="D3273" t="s">
        <v>5390</v>
      </c>
      <c r="E3273">
        <v>424007</v>
      </c>
      <c r="F3273" t="s">
        <v>1</v>
      </c>
      <c r="G3273" t="s">
        <v>2</v>
      </c>
      <c r="H3273" t="s">
        <v>13762</v>
      </c>
      <c r="I3273" t="s">
        <v>16639</v>
      </c>
      <c r="P3273" t="s">
        <v>330</v>
      </c>
      <c r="Y3273" t="s">
        <v>13765</v>
      </c>
    </row>
    <row r="3274" spans="1:25" x14ac:dyDescent="0.25">
      <c r="A3274" t="str">
        <f>"1368552613"</f>
        <v>1368552613</v>
      </c>
      <c r="B3274" t="s">
        <v>1493</v>
      </c>
      <c r="C3274" t="s">
        <v>2355</v>
      </c>
      <c r="D3274" t="s">
        <v>16640</v>
      </c>
      <c r="E3274">
        <v>424007</v>
      </c>
      <c r="F3274" t="s">
        <v>1</v>
      </c>
      <c r="G3274" t="s">
        <v>2</v>
      </c>
      <c r="H3274" t="s">
        <v>5647</v>
      </c>
      <c r="I3274" t="s">
        <v>16641</v>
      </c>
      <c r="P3274" t="s">
        <v>20</v>
      </c>
      <c r="Y3274" t="s">
        <v>12500</v>
      </c>
    </row>
    <row r="3275" spans="1:25" x14ac:dyDescent="0.25">
      <c r="A3275" t="str">
        <f>"1368612150"</f>
        <v>1368612150</v>
      </c>
      <c r="B3275" t="s">
        <v>687</v>
      </c>
      <c r="C3275" t="s">
        <v>10811</v>
      </c>
      <c r="D3275" t="s">
        <v>16642</v>
      </c>
      <c r="E3275">
        <v>424007</v>
      </c>
      <c r="F3275" t="s">
        <v>1</v>
      </c>
      <c r="G3275" t="s">
        <v>2</v>
      </c>
      <c r="H3275" t="s">
        <v>14490</v>
      </c>
      <c r="I3275" t="s">
        <v>16643</v>
      </c>
      <c r="P3275" t="s">
        <v>20</v>
      </c>
      <c r="Y3275" t="s">
        <v>14493</v>
      </c>
    </row>
    <row r="3276" spans="1:25" x14ac:dyDescent="0.25">
      <c r="A3276" t="str">
        <f>"1368615661"</f>
        <v>1368615661</v>
      </c>
      <c r="B3276" t="s">
        <v>669</v>
      </c>
      <c r="C3276" t="s">
        <v>2689</v>
      </c>
      <c r="D3276" t="s">
        <v>16644</v>
      </c>
      <c r="F3276" t="s">
        <v>1</v>
      </c>
      <c r="G3276" t="s">
        <v>2</v>
      </c>
      <c r="H3276" t="s">
        <v>16645</v>
      </c>
      <c r="I3276" t="s">
        <v>16646</v>
      </c>
      <c r="K3276" t="s">
        <v>16647</v>
      </c>
      <c r="P3276" t="s">
        <v>584</v>
      </c>
      <c r="Y3276" t="s">
        <v>16648</v>
      </c>
    </row>
    <row r="3277" spans="1:25" x14ac:dyDescent="0.25">
      <c r="A3277" t="str">
        <f>"1368768817"</f>
        <v>1368768817</v>
      </c>
      <c r="B3277" t="s">
        <v>96</v>
      </c>
      <c r="C3277" t="s">
        <v>16653</v>
      </c>
      <c r="D3277" t="s">
        <v>16649</v>
      </c>
      <c r="E3277">
        <v>424918</v>
      </c>
      <c r="F3277" t="s">
        <v>1</v>
      </c>
      <c r="G3277" t="s">
        <v>2</v>
      </c>
      <c r="H3277" t="s">
        <v>629</v>
      </c>
      <c r="J3277" t="s">
        <v>16650</v>
      </c>
      <c r="L3277" t="s">
        <v>16651</v>
      </c>
      <c r="M3277" t="s">
        <v>16652</v>
      </c>
      <c r="P3277" t="s">
        <v>630</v>
      </c>
      <c r="Y3277" t="s">
        <v>631</v>
      </c>
    </row>
    <row r="3278" spans="1:25" x14ac:dyDescent="0.25">
      <c r="A3278" t="str">
        <f>"1368822742"</f>
        <v>1368822742</v>
      </c>
      <c r="B3278" t="s">
        <v>1152</v>
      </c>
      <c r="C3278" t="s">
        <v>8523</v>
      </c>
      <c r="D3278" t="s">
        <v>16654</v>
      </c>
      <c r="E3278">
        <v>424039</v>
      </c>
      <c r="F3278" t="s">
        <v>1</v>
      </c>
      <c r="G3278" t="s">
        <v>2</v>
      </c>
      <c r="H3278" t="s">
        <v>7138</v>
      </c>
      <c r="J3278" t="s">
        <v>16655</v>
      </c>
      <c r="P3278" t="s">
        <v>330</v>
      </c>
      <c r="Y3278" t="s">
        <v>16656</v>
      </c>
    </row>
    <row r="3279" spans="1:25" x14ac:dyDescent="0.25">
      <c r="A3279" t="str">
        <f>"1368881963"</f>
        <v>1368881963</v>
      </c>
      <c r="B3279" t="s">
        <v>1573</v>
      </c>
      <c r="C3279" t="s">
        <v>16660</v>
      </c>
      <c r="D3279" t="s">
        <v>13738</v>
      </c>
      <c r="E3279">
        <v>424003</v>
      </c>
      <c r="F3279" t="s">
        <v>1</v>
      </c>
      <c r="G3279" t="s">
        <v>2</v>
      </c>
      <c r="H3279" t="s">
        <v>7888</v>
      </c>
      <c r="I3279" t="s">
        <v>16657</v>
      </c>
      <c r="J3279" t="s">
        <v>16658</v>
      </c>
      <c r="K3279" t="s">
        <v>16659</v>
      </c>
      <c r="L3279" t="s">
        <v>13741</v>
      </c>
      <c r="M3279" t="s">
        <v>13742</v>
      </c>
      <c r="P3279" t="s">
        <v>1027</v>
      </c>
      <c r="Q3279" t="s">
        <v>16661</v>
      </c>
      <c r="Y3279" t="s">
        <v>16662</v>
      </c>
    </row>
    <row r="3280" spans="1:25" x14ac:dyDescent="0.25">
      <c r="A3280" t="str">
        <f>"1368930515"</f>
        <v>1368930515</v>
      </c>
      <c r="B3280" t="s">
        <v>1611</v>
      </c>
      <c r="C3280" t="s">
        <v>16667</v>
      </c>
      <c r="D3280" t="s">
        <v>16663</v>
      </c>
      <c r="E3280">
        <v>424037</v>
      </c>
      <c r="F3280" t="s">
        <v>1</v>
      </c>
      <c r="G3280" t="s">
        <v>2</v>
      </c>
      <c r="H3280" t="s">
        <v>16664</v>
      </c>
      <c r="I3280" t="s">
        <v>16665</v>
      </c>
      <c r="M3280" t="s">
        <v>16666</v>
      </c>
      <c r="P3280" t="s">
        <v>2280</v>
      </c>
      <c r="Y3280" t="s">
        <v>16668</v>
      </c>
    </row>
    <row r="3281" spans="1:25" x14ac:dyDescent="0.25">
      <c r="A3281" t="str">
        <f>"1368974931"</f>
        <v>1368974931</v>
      </c>
      <c r="B3281" t="s">
        <v>417</v>
      </c>
      <c r="C3281" t="s">
        <v>6532</v>
      </c>
      <c r="D3281" t="s">
        <v>16669</v>
      </c>
      <c r="E3281">
        <v>424000</v>
      </c>
      <c r="F3281" t="s">
        <v>1</v>
      </c>
      <c r="G3281" t="s">
        <v>2</v>
      </c>
      <c r="H3281" t="s">
        <v>6782</v>
      </c>
      <c r="I3281" t="s">
        <v>16670</v>
      </c>
      <c r="M3281" t="s">
        <v>16671</v>
      </c>
      <c r="P3281" t="s">
        <v>16672</v>
      </c>
      <c r="Q3281" t="s">
        <v>16673</v>
      </c>
      <c r="Y3281" t="s">
        <v>16674</v>
      </c>
    </row>
    <row r="3282" spans="1:25" x14ac:dyDescent="0.25">
      <c r="A3282" t="str">
        <f>"1368981999"</f>
        <v>1368981999</v>
      </c>
      <c r="B3282" t="s">
        <v>1053</v>
      </c>
      <c r="C3282" t="s">
        <v>1927</v>
      </c>
      <c r="D3282" t="s">
        <v>16675</v>
      </c>
      <c r="E3282">
        <v>424032</v>
      </c>
      <c r="F3282" t="s">
        <v>1</v>
      </c>
      <c r="G3282" t="s">
        <v>2</v>
      </c>
      <c r="H3282" t="s">
        <v>4204</v>
      </c>
      <c r="I3282" t="s">
        <v>16676</v>
      </c>
      <c r="P3282" t="s">
        <v>280</v>
      </c>
      <c r="Y3282" t="s">
        <v>4211</v>
      </c>
    </row>
    <row r="3283" spans="1:25" x14ac:dyDescent="0.25">
      <c r="A3283" t="str">
        <f>"1369160467"</f>
        <v>1369160467</v>
      </c>
      <c r="B3283" t="s">
        <v>888</v>
      </c>
      <c r="C3283" t="s">
        <v>15845</v>
      </c>
      <c r="D3283" t="s">
        <v>16677</v>
      </c>
      <c r="F3283" t="s">
        <v>1</v>
      </c>
      <c r="G3283" t="s">
        <v>2</v>
      </c>
      <c r="H3283" t="s">
        <v>1600</v>
      </c>
      <c r="I3283" t="s">
        <v>16678</v>
      </c>
      <c r="L3283" t="s">
        <v>16679</v>
      </c>
      <c r="M3283" t="s">
        <v>16680</v>
      </c>
      <c r="P3283" t="s">
        <v>280</v>
      </c>
      <c r="Y3283" t="s">
        <v>16681</v>
      </c>
    </row>
    <row r="3284" spans="1:25" x14ac:dyDescent="0.25">
      <c r="A3284" t="str">
        <f>"1369161178"</f>
        <v>1369161178</v>
      </c>
      <c r="B3284" t="s">
        <v>3544</v>
      </c>
      <c r="C3284" t="s">
        <v>11303</v>
      </c>
      <c r="D3284" t="s">
        <v>16682</v>
      </c>
      <c r="E3284">
        <v>424002</v>
      </c>
      <c r="F3284" t="s">
        <v>1</v>
      </c>
      <c r="G3284" t="s">
        <v>2</v>
      </c>
      <c r="H3284" t="s">
        <v>6656</v>
      </c>
      <c r="I3284" t="s">
        <v>16683</v>
      </c>
      <c r="J3284" t="s">
        <v>16684</v>
      </c>
      <c r="P3284" t="s">
        <v>27</v>
      </c>
      <c r="Y3284" t="s">
        <v>11652</v>
      </c>
    </row>
    <row r="3285" spans="1:25" x14ac:dyDescent="0.25">
      <c r="A3285" t="str">
        <f>"1369206942"</f>
        <v>1369206942</v>
      </c>
      <c r="B3285" t="s">
        <v>738</v>
      </c>
      <c r="C3285" t="s">
        <v>2456</v>
      </c>
      <c r="D3285" t="s">
        <v>16685</v>
      </c>
      <c r="E3285">
        <v>424019</v>
      </c>
      <c r="F3285" t="s">
        <v>1</v>
      </c>
      <c r="G3285" t="s">
        <v>2</v>
      </c>
      <c r="H3285" t="s">
        <v>8974</v>
      </c>
      <c r="I3285" t="s">
        <v>16686</v>
      </c>
      <c r="J3285" t="s">
        <v>16687</v>
      </c>
      <c r="L3285" t="s">
        <v>16688</v>
      </c>
      <c r="P3285" t="s">
        <v>1441</v>
      </c>
      <c r="Q3285" t="s">
        <v>16689</v>
      </c>
      <c r="V3285" t="s">
        <v>16690</v>
      </c>
      <c r="Y3285" t="s">
        <v>16691</v>
      </c>
    </row>
    <row r="3286" spans="1:25" x14ac:dyDescent="0.25">
      <c r="A3286" t="str">
        <f>"1369210086"</f>
        <v>1369210086</v>
      </c>
      <c r="B3286" t="s">
        <v>25</v>
      </c>
      <c r="C3286" t="s">
        <v>15801</v>
      </c>
      <c r="D3286" t="s">
        <v>16692</v>
      </c>
      <c r="E3286">
        <v>424004</v>
      </c>
      <c r="F3286" t="s">
        <v>1</v>
      </c>
      <c r="G3286" t="s">
        <v>2</v>
      </c>
      <c r="H3286" t="s">
        <v>186</v>
      </c>
      <c r="I3286" t="s">
        <v>16693</v>
      </c>
      <c r="J3286" t="s">
        <v>16694</v>
      </c>
      <c r="P3286" t="s">
        <v>20</v>
      </c>
      <c r="Y3286" t="s">
        <v>190</v>
      </c>
    </row>
    <row r="3287" spans="1:25" x14ac:dyDescent="0.25">
      <c r="A3287" t="str">
        <f>"1369264704"</f>
        <v>1369264704</v>
      </c>
      <c r="B3287" t="s">
        <v>6478</v>
      </c>
      <c r="C3287" t="s">
        <v>16699</v>
      </c>
      <c r="D3287" t="s">
        <v>16695</v>
      </c>
      <c r="F3287" t="s">
        <v>1</v>
      </c>
      <c r="G3287" t="s">
        <v>2</v>
      </c>
      <c r="H3287" t="s">
        <v>16696</v>
      </c>
      <c r="I3287" t="s">
        <v>16697</v>
      </c>
      <c r="J3287" t="s">
        <v>16698</v>
      </c>
      <c r="P3287" t="s">
        <v>16700</v>
      </c>
      <c r="Y3287" t="s">
        <v>16701</v>
      </c>
    </row>
    <row r="3288" spans="1:25" x14ac:dyDescent="0.25">
      <c r="A3288" t="str">
        <f>"1369394834"</f>
        <v>1369394834</v>
      </c>
      <c r="B3288" t="s">
        <v>160</v>
      </c>
      <c r="C3288" t="s">
        <v>9976</v>
      </c>
      <c r="D3288" t="s">
        <v>16702</v>
      </c>
      <c r="E3288">
        <v>424033</v>
      </c>
      <c r="F3288" t="s">
        <v>1</v>
      </c>
      <c r="G3288" t="s">
        <v>2</v>
      </c>
      <c r="H3288" t="s">
        <v>16703</v>
      </c>
      <c r="I3288" t="s">
        <v>16704</v>
      </c>
      <c r="P3288" t="s">
        <v>280</v>
      </c>
      <c r="Y3288" t="s">
        <v>16705</v>
      </c>
    </row>
    <row r="3289" spans="1:25" x14ac:dyDescent="0.25">
      <c r="A3289" t="str">
        <f>"1369430827"</f>
        <v>1369430827</v>
      </c>
      <c r="B3289" t="s">
        <v>151</v>
      </c>
      <c r="C3289" t="s">
        <v>2522</v>
      </c>
      <c r="D3289" t="s">
        <v>16706</v>
      </c>
      <c r="E3289">
        <v>424039</v>
      </c>
      <c r="F3289" t="s">
        <v>1</v>
      </c>
      <c r="G3289" t="s">
        <v>2</v>
      </c>
      <c r="H3289" t="s">
        <v>148</v>
      </c>
      <c r="I3289" t="s">
        <v>16707</v>
      </c>
      <c r="L3289" t="s">
        <v>5579</v>
      </c>
      <c r="M3289" t="s">
        <v>2521</v>
      </c>
      <c r="P3289" t="s">
        <v>12390</v>
      </c>
      <c r="Y3289" t="s">
        <v>16708</v>
      </c>
    </row>
    <row r="3290" spans="1:25" x14ac:dyDescent="0.25">
      <c r="A3290" t="str">
        <f>"1369492419"</f>
        <v>1369492419</v>
      </c>
      <c r="B3290" t="s">
        <v>888</v>
      </c>
      <c r="C3290" t="s">
        <v>4712</v>
      </c>
      <c r="D3290" t="s">
        <v>16709</v>
      </c>
      <c r="F3290" t="s">
        <v>1</v>
      </c>
      <c r="G3290" t="s">
        <v>2</v>
      </c>
      <c r="H3290" t="s">
        <v>16710</v>
      </c>
      <c r="Y3290" t="s">
        <v>16711</v>
      </c>
    </row>
    <row r="3291" spans="1:25" x14ac:dyDescent="0.25">
      <c r="A3291" t="str">
        <f>"1369523528"</f>
        <v>1369523528</v>
      </c>
      <c r="B3291" t="s">
        <v>32</v>
      </c>
      <c r="C3291" t="s">
        <v>4125</v>
      </c>
      <c r="D3291" t="s">
        <v>16712</v>
      </c>
      <c r="E3291">
        <v>424031</v>
      </c>
      <c r="F3291" t="s">
        <v>1</v>
      </c>
      <c r="G3291" t="s">
        <v>2</v>
      </c>
      <c r="H3291" t="s">
        <v>239</v>
      </c>
      <c r="I3291" t="s">
        <v>16713</v>
      </c>
      <c r="P3291" t="s">
        <v>4796</v>
      </c>
      <c r="Y3291" t="s">
        <v>16714</v>
      </c>
    </row>
    <row r="3292" spans="1:25" x14ac:dyDescent="0.25">
      <c r="A3292" t="str">
        <f>"1369526773"</f>
        <v>1369526773</v>
      </c>
      <c r="B3292" t="s">
        <v>18</v>
      </c>
      <c r="C3292" t="s">
        <v>16718</v>
      </c>
      <c r="D3292" t="s">
        <v>16715</v>
      </c>
      <c r="F3292" t="s">
        <v>1</v>
      </c>
      <c r="G3292" t="s">
        <v>2</v>
      </c>
      <c r="H3292" t="s">
        <v>1508</v>
      </c>
      <c r="J3292" t="s">
        <v>8971</v>
      </c>
      <c r="L3292" t="s">
        <v>16716</v>
      </c>
      <c r="M3292" t="s">
        <v>16717</v>
      </c>
      <c r="P3292" t="s">
        <v>9</v>
      </c>
      <c r="Y3292" t="s">
        <v>16719</v>
      </c>
    </row>
    <row r="3293" spans="1:25" x14ac:dyDescent="0.25">
      <c r="A3293" t="str">
        <f>"1369552529"</f>
        <v>1369552529</v>
      </c>
      <c r="B3293" t="s">
        <v>96</v>
      </c>
      <c r="C3293" t="s">
        <v>659</v>
      </c>
      <c r="D3293" t="s">
        <v>16720</v>
      </c>
      <c r="E3293">
        <v>424918</v>
      </c>
      <c r="F3293" t="s">
        <v>1</v>
      </c>
      <c r="G3293" t="s">
        <v>2</v>
      </c>
      <c r="H3293" t="s">
        <v>629</v>
      </c>
      <c r="J3293" t="s">
        <v>16721</v>
      </c>
      <c r="P3293" t="s">
        <v>630</v>
      </c>
      <c r="Y3293" t="s">
        <v>1744</v>
      </c>
    </row>
    <row r="3294" spans="1:25" x14ac:dyDescent="0.25">
      <c r="A3294" t="str">
        <f>"1369572405"</f>
        <v>1369572405</v>
      </c>
      <c r="B3294" t="s">
        <v>1611</v>
      </c>
      <c r="C3294" t="s">
        <v>4172</v>
      </c>
      <c r="D3294" t="s">
        <v>16722</v>
      </c>
      <c r="E3294">
        <v>424037</v>
      </c>
      <c r="F3294" t="s">
        <v>1</v>
      </c>
      <c r="G3294" t="s">
        <v>2</v>
      </c>
      <c r="H3294" t="s">
        <v>16723</v>
      </c>
      <c r="I3294" t="s">
        <v>16724</v>
      </c>
      <c r="L3294" t="s">
        <v>16332</v>
      </c>
      <c r="M3294" t="s">
        <v>16333</v>
      </c>
      <c r="P3294" t="s">
        <v>330</v>
      </c>
      <c r="Y3294" t="s">
        <v>16725</v>
      </c>
    </row>
    <row r="3295" spans="1:25" x14ac:dyDescent="0.25">
      <c r="A3295" t="str">
        <f>"1369637820"</f>
        <v>1369637820</v>
      </c>
      <c r="B3295" t="s">
        <v>96</v>
      </c>
      <c r="C3295" t="s">
        <v>2285</v>
      </c>
      <c r="D3295" t="s">
        <v>13479</v>
      </c>
      <c r="E3295">
        <v>424002</v>
      </c>
      <c r="F3295" t="s">
        <v>1</v>
      </c>
      <c r="G3295" t="s">
        <v>2</v>
      </c>
      <c r="H3295" t="s">
        <v>3068</v>
      </c>
      <c r="J3295" t="s">
        <v>13480</v>
      </c>
      <c r="P3295" t="s">
        <v>630</v>
      </c>
      <c r="Y3295" t="s">
        <v>16726</v>
      </c>
    </row>
    <row r="3296" spans="1:25" x14ac:dyDescent="0.25">
      <c r="A3296" t="str">
        <f>"1369847960"</f>
        <v>1369847960</v>
      </c>
      <c r="B3296" t="s">
        <v>930</v>
      </c>
      <c r="C3296" t="s">
        <v>1096</v>
      </c>
      <c r="D3296" t="s">
        <v>16727</v>
      </c>
      <c r="E3296">
        <v>424016</v>
      </c>
      <c r="F3296" t="s">
        <v>1</v>
      </c>
      <c r="G3296" t="s">
        <v>2</v>
      </c>
      <c r="H3296" t="s">
        <v>4568</v>
      </c>
      <c r="I3296" t="s">
        <v>16728</v>
      </c>
      <c r="P3296" t="s">
        <v>6456</v>
      </c>
      <c r="Y3296" t="s">
        <v>4574</v>
      </c>
    </row>
    <row r="3297" spans="1:25" x14ac:dyDescent="0.25">
      <c r="A3297" t="str">
        <f>"1369991422"</f>
        <v>1369991422</v>
      </c>
      <c r="B3297" t="s">
        <v>96</v>
      </c>
      <c r="C3297" t="s">
        <v>893</v>
      </c>
      <c r="D3297" t="s">
        <v>16729</v>
      </c>
      <c r="E3297">
        <v>424004</v>
      </c>
      <c r="F3297" t="s">
        <v>1</v>
      </c>
      <c r="G3297" t="s">
        <v>2</v>
      </c>
      <c r="H3297" t="s">
        <v>186</v>
      </c>
      <c r="I3297" t="s">
        <v>16730</v>
      </c>
      <c r="P3297" t="s">
        <v>941</v>
      </c>
      <c r="Y3297" t="s">
        <v>190</v>
      </c>
    </row>
    <row r="3298" spans="1:25" x14ac:dyDescent="0.25">
      <c r="A3298" t="str">
        <f>"1370051456"</f>
        <v>1370051456</v>
      </c>
      <c r="B3298" t="s">
        <v>1493</v>
      </c>
      <c r="C3298" t="s">
        <v>1494</v>
      </c>
      <c r="D3298" t="s">
        <v>16731</v>
      </c>
      <c r="E3298">
        <v>424037</v>
      </c>
      <c r="F3298" t="s">
        <v>1</v>
      </c>
      <c r="G3298" t="s">
        <v>2</v>
      </c>
      <c r="H3298" t="s">
        <v>16732</v>
      </c>
      <c r="I3298" t="s">
        <v>16733</v>
      </c>
      <c r="J3298" t="s">
        <v>16734</v>
      </c>
      <c r="P3298" t="s">
        <v>280</v>
      </c>
      <c r="Y3298" t="s">
        <v>16735</v>
      </c>
    </row>
    <row r="3299" spans="1:25" x14ac:dyDescent="0.25">
      <c r="A3299" t="str">
        <f>"1370123165"</f>
        <v>1370123165</v>
      </c>
      <c r="B3299" t="s">
        <v>18</v>
      </c>
      <c r="C3299" t="s">
        <v>16738</v>
      </c>
      <c r="D3299" t="s">
        <v>16736</v>
      </c>
      <c r="E3299">
        <v>424031</v>
      </c>
      <c r="F3299" t="s">
        <v>1</v>
      </c>
      <c r="G3299" t="s">
        <v>2</v>
      </c>
      <c r="H3299" t="s">
        <v>413</v>
      </c>
      <c r="I3299" t="s">
        <v>16737</v>
      </c>
      <c r="P3299" t="s">
        <v>133</v>
      </c>
      <c r="Y3299" t="s">
        <v>1421</v>
      </c>
    </row>
    <row r="3300" spans="1:25" x14ac:dyDescent="0.25">
      <c r="A3300" t="str">
        <f>"1370144894"</f>
        <v>1370144894</v>
      </c>
      <c r="B3300" t="s">
        <v>1362</v>
      </c>
      <c r="C3300" t="s">
        <v>8728</v>
      </c>
      <c r="D3300" t="s">
        <v>16739</v>
      </c>
      <c r="E3300">
        <v>424038</v>
      </c>
      <c r="F3300" t="s">
        <v>1</v>
      </c>
      <c r="G3300" t="s">
        <v>2</v>
      </c>
      <c r="H3300" t="s">
        <v>3683</v>
      </c>
      <c r="I3300" t="s">
        <v>16740</v>
      </c>
      <c r="J3300" t="s">
        <v>16741</v>
      </c>
      <c r="P3300" t="s">
        <v>330</v>
      </c>
      <c r="Y3300" t="s">
        <v>16742</v>
      </c>
    </row>
    <row r="3301" spans="1:25" x14ac:dyDescent="0.25">
      <c r="A3301" t="str">
        <f>"1370198962"</f>
        <v>1370198962</v>
      </c>
      <c r="B3301" t="s">
        <v>151</v>
      </c>
      <c r="C3301" t="s">
        <v>151</v>
      </c>
      <c r="D3301" t="s">
        <v>16743</v>
      </c>
      <c r="E3301">
        <v>424038</v>
      </c>
      <c r="F3301" t="s">
        <v>1</v>
      </c>
      <c r="G3301" t="s">
        <v>2</v>
      </c>
      <c r="H3301" t="s">
        <v>762</v>
      </c>
      <c r="J3301" t="s">
        <v>16744</v>
      </c>
      <c r="P3301" t="s">
        <v>5084</v>
      </c>
      <c r="Y3301" t="s">
        <v>8820</v>
      </c>
    </row>
    <row r="3302" spans="1:25" x14ac:dyDescent="0.25">
      <c r="A3302" t="str">
        <f>"1370264053"</f>
        <v>1370264053</v>
      </c>
      <c r="B3302" t="s">
        <v>290</v>
      </c>
      <c r="C3302" t="s">
        <v>291</v>
      </c>
      <c r="D3302" t="s">
        <v>16745</v>
      </c>
      <c r="E3302">
        <v>424007</v>
      </c>
      <c r="F3302" t="s">
        <v>1</v>
      </c>
      <c r="G3302" t="s">
        <v>2</v>
      </c>
      <c r="H3302" t="s">
        <v>16746</v>
      </c>
      <c r="P3302" t="s">
        <v>330</v>
      </c>
      <c r="Y3302" t="s">
        <v>16747</v>
      </c>
    </row>
    <row r="3303" spans="1:25" x14ac:dyDescent="0.25">
      <c r="A3303" t="str">
        <f>"1370332867"</f>
        <v>1370332867</v>
      </c>
      <c r="B3303" t="s">
        <v>371</v>
      </c>
      <c r="C3303" t="s">
        <v>16751</v>
      </c>
      <c r="D3303" t="s">
        <v>16748</v>
      </c>
      <c r="E3303">
        <v>424003</v>
      </c>
      <c r="F3303" t="s">
        <v>1</v>
      </c>
      <c r="G3303" t="s">
        <v>2</v>
      </c>
      <c r="H3303" t="s">
        <v>16749</v>
      </c>
      <c r="J3303" t="s">
        <v>16750</v>
      </c>
      <c r="P3303" t="s">
        <v>10124</v>
      </c>
      <c r="Y3303" t="s">
        <v>16752</v>
      </c>
    </row>
    <row r="3304" spans="1:25" x14ac:dyDescent="0.25">
      <c r="A3304" t="str">
        <f>"1370348284"</f>
        <v>1370348284</v>
      </c>
      <c r="B3304" t="s">
        <v>18</v>
      </c>
      <c r="C3304" t="s">
        <v>143</v>
      </c>
      <c r="D3304" t="s">
        <v>16753</v>
      </c>
      <c r="E3304">
        <v>424913</v>
      </c>
      <c r="F3304" t="s">
        <v>1</v>
      </c>
      <c r="G3304" t="s">
        <v>2</v>
      </c>
      <c r="H3304" t="s">
        <v>1278</v>
      </c>
      <c r="I3304" t="s">
        <v>16754</v>
      </c>
      <c r="P3304" t="s">
        <v>1232</v>
      </c>
      <c r="Y3304" t="s">
        <v>1280</v>
      </c>
    </row>
    <row r="3305" spans="1:25" x14ac:dyDescent="0.25">
      <c r="A3305" t="str">
        <f>"1370361261"</f>
        <v>1370361261</v>
      </c>
      <c r="B3305" t="s">
        <v>371</v>
      </c>
      <c r="C3305" t="s">
        <v>16759</v>
      </c>
      <c r="D3305" t="s">
        <v>16755</v>
      </c>
      <c r="E3305">
        <v>424002</v>
      </c>
      <c r="F3305" t="s">
        <v>1</v>
      </c>
      <c r="G3305" t="s">
        <v>2</v>
      </c>
      <c r="H3305" t="s">
        <v>6079</v>
      </c>
      <c r="I3305" t="s">
        <v>16756</v>
      </c>
      <c r="L3305" t="s">
        <v>16757</v>
      </c>
      <c r="M3305" t="s">
        <v>16758</v>
      </c>
      <c r="P3305" t="s">
        <v>9</v>
      </c>
      <c r="Q3305" t="s">
        <v>16760</v>
      </c>
      <c r="T3305" t="s">
        <v>16761</v>
      </c>
      <c r="Y3305" t="s">
        <v>16762</v>
      </c>
    </row>
    <row r="3306" spans="1:25" x14ac:dyDescent="0.25">
      <c r="A3306" t="str">
        <f>"1370413295"</f>
        <v>1370413295</v>
      </c>
      <c r="B3306" t="s">
        <v>176</v>
      </c>
      <c r="C3306" t="s">
        <v>279</v>
      </c>
      <c r="D3306" t="s">
        <v>16763</v>
      </c>
      <c r="E3306">
        <v>424028</v>
      </c>
      <c r="F3306" t="s">
        <v>1</v>
      </c>
      <c r="G3306" t="s">
        <v>2</v>
      </c>
      <c r="H3306" t="s">
        <v>16764</v>
      </c>
      <c r="I3306" t="s">
        <v>16765</v>
      </c>
      <c r="P3306" t="s">
        <v>16766</v>
      </c>
      <c r="Y3306" t="s">
        <v>16767</v>
      </c>
    </row>
    <row r="3307" spans="1:25" x14ac:dyDescent="0.25">
      <c r="A3307" t="str">
        <f>"1370588354"</f>
        <v>1370588354</v>
      </c>
      <c r="B3307" t="s">
        <v>96</v>
      </c>
      <c r="C3307" t="s">
        <v>16772</v>
      </c>
      <c r="D3307" t="s">
        <v>16768</v>
      </c>
      <c r="E3307">
        <v>424000</v>
      </c>
      <c r="F3307" t="s">
        <v>1</v>
      </c>
      <c r="G3307" t="s">
        <v>2</v>
      </c>
      <c r="H3307" t="s">
        <v>4255</v>
      </c>
      <c r="I3307" t="s">
        <v>16769</v>
      </c>
      <c r="J3307" t="s">
        <v>16770</v>
      </c>
      <c r="L3307" t="s">
        <v>16771</v>
      </c>
      <c r="P3307" t="s">
        <v>16773</v>
      </c>
      <c r="Y3307" t="s">
        <v>9809</v>
      </c>
    </row>
    <row r="3308" spans="1:25" x14ac:dyDescent="0.25">
      <c r="A3308" t="str">
        <f>"1370750531"</f>
        <v>1370750531</v>
      </c>
      <c r="B3308" t="s">
        <v>553</v>
      </c>
      <c r="C3308" t="s">
        <v>3753</v>
      </c>
      <c r="D3308" t="s">
        <v>16774</v>
      </c>
      <c r="E3308">
        <v>424000</v>
      </c>
      <c r="F3308" t="s">
        <v>1</v>
      </c>
      <c r="G3308" t="s">
        <v>2</v>
      </c>
      <c r="H3308" t="s">
        <v>2239</v>
      </c>
      <c r="I3308" t="s">
        <v>16775</v>
      </c>
      <c r="J3308" t="s">
        <v>16776</v>
      </c>
      <c r="M3308" t="s">
        <v>16777</v>
      </c>
      <c r="P3308" t="s">
        <v>16778</v>
      </c>
      <c r="Y3308" t="s">
        <v>16779</v>
      </c>
    </row>
    <row r="3309" spans="1:25" x14ac:dyDescent="0.25">
      <c r="A3309" t="str">
        <f>"1370808061"</f>
        <v>1370808061</v>
      </c>
      <c r="B3309" t="s">
        <v>18</v>
      </c>
      <c r="C3309" t="s">
        <v>16783</v>
      </c>
      <c r="D3309" t="s">
        <v>16780</v>
      </c>
      <c r="E3309">
        <v>424003</v>
      </c>
      <c r="F3309" t="s">
        <v>1</v>
      </c>
      <c r="G3309" t="s">
        <v>2</v>
      </c>
      <c r="H3309" t="s">
        <v>5311</v>
      </c>
      <c r="I3309" t="s">
        <v>16781</v>
      </c>
      <c r="M3309" t="s">
        <v>16782</v>
      </c>
      <c r="P3309" t="s">
        <v>696</v>
      </c>
      <c r="Q3309" t="s">
        <v>16784</v>
      </c>
      <c r="Y3309" t="s">
        <v>16785</v>
      </c>
    </row>
    <row r="3310" spans="1:25" x14ac:dyDescent="0.25">
      <c r="A3310" t="str">
        <f>"1370932335"</f>
        <v>1370932335</v>
      </c>
      <c r="B3310" t="s">
        <v>703</v>
      </c>
      <c r="C3310" t="s">
        <v>2129</v>
      </c>
      <c r="D3310" t="s">
        <v>16786</v>
      </c>
      <c r="E3310">
        <v>424007</v>
      </c>
      <c r="F3310" t="s">
        <v>1</v>
      </c>
      <c r="G3310" t="s">
        <v>2</v>
      </c>
      <c r="H3310" t="s">
        <v>16787</v>
      </c>
      <c r="I3310" t="s">
        <v>16788</v>
      </c>
      <c r="P3310" t="s">
        <v>330</v>
      </c>
      <c r="Y3310" t="s">
        <v>16523</v>
      </c>
    </row>
    <row r="3311" spans="1:25" x14ac:dyDescent="0.25">
      <c r="A3311" t="str">
        <f>"1371011718"</f>
        <v>1371011718</v>
      </c>
      <c r="B3311" t="s">
        <v>18</v>
      </c>
      <c r="C3311" t="s">
        <v>6433</v>
      </c>
      <c r="D3311" t="s">
        <v>16789</v>
      </c>
      <c r="E3311">
        <v>424007</v>
      </c>
      <c r="F3311" t="s">
        <v>1</v>
      </c>
      <c r="G3311" t="s">
        <v>2</v>
      </c>
      <c r="H3311" t="s">
        <v>2358</v>
      </c>
      <c r="I3311" t="s">
        <v>16790</v>
      </c>
      <c r="L3311" t="s">
        <v>16791</v>
      </c>
      <c r="M3311" t="s">
        <v>16792</v>
      </c>
      <c r="P3311" t="s">
        <v>20</v>
      </c>
      <c r="Y3311" t="s">
        <v>16793</v>
      </c>
    </row>
    <row r="3312" spans="1:25" x14ac:dyDescent="0.25">
      <c r="A3312" t="str">
        <f>"1371099173"</f>
        <v>1371099173</v>
      </c>
      <c r="B3312" t="s">
        <v>96</v>
      </c>
      <c r="C3312" t="s">
        <v>2285</v>
      </c>
      <c r="D3312" t="s">
        <v>15072</v>
      </c>
      <c r="E3312">
        <v>424002</v>
      </c>
      <c r="F3312" t="s">
        <v>1</v>
      </c>
      <c r="G3312" t="s">
        <v>2</v>
      </c>
      <c r="H3312" t="s">
        <v>5692</v>
      </c>
      <c r="I3312" t="s">
        <v>16794</v>
      </c>
      <c r="M3312" t="s">
        <v>16795</v>
      </c>
      <c r="P3312" t="s">
        <v>112</v>
      </c>
      <c r="Y3312" t="s">
        <v>11243</v>
      </c>
    </row>
    <row r="3313" spans="1:25" x14ac:dyDescent="0.25">
      <c r="A3313" t="str">
        <f>"1371120156"</f>
        <v>1371120156</v>
      </c>
      <c r="B3313" t="s">
        <v>703</v>
      </c>
      <c r="C3313" t="s">
        <v>3518</v>
      </c>
      <c r="D3313" t="s">
        <v>16796</v>
      </c>
      <c r="E3313">
        <v>424006</v>
      </c>
      <c r="F3313" t="s">
        <v>1</v>
      </c>
      <c r="G3313" t="s">
        <v>2</v>
      </c>
      <c r="H3313" t="s">
        <v>928</v>
      </c>
      <c r="I3313" t="s">
        <v>16797</v>
      </c>
      <c r="J3313" t="s">
        <v>16798</v>
      </c>
      <c r="L3313" t="s">
        <v>16799</v>
      </c>
      <c r="M3313" t="s">
        <v>16800</v>
      </c>
      <c r="P3313" t="s">
        <v>20</v>
      </c>
      <c r="Y3313" t="s">
        <v>16801</v>
      </c>
    </row>
    <row r="3314" spans="1:25" x14ac:dyDescent="0.25">
      <c r="A3314" t="str">
        <f>"1371126542"</f>
        <v>1371126542</v>
      </c>
      <c r="B3314" t="s">
        <v>371</v>
      </c>
      <c r="C3314" t="s">
        <v>16806</v>
      </c>
      <c r="D3314" t="s">
        <v>16802</v>
      </c>
      <c r="E3314">
        <v>424002</v>
      </c>
      <c r="F3314" t="s">
        <v>1</v>
      </c>
      <c r="G3314" t="s">
        <v>2</v>
      </c>
      <c r="H3314" t="s">
        <v>11284</v>
      </c>
      <c r="I3314" t="s">
        <v>16803</v>
      </c>
      <c r="L3314" t="s">
        <v>16804</v>
      </c>
      <c r="M3314" t="s">
        <v>16805</v>
      </c>
      <c r="P3314" t="s">
        <v>9</v>
      </c>
      <c r="Y3314" t="s">
        <v>16807</v>
      </c>
    </row>
    <row r="3315" spans="1:25" x14ac:dyDescent="0.25">
      <c r="A3315" t="str">
        <f>"1371261570"</f>
        <v>1371261570</v>
      </c>
      <c r="B3315" t="s">
        <v>430</v>
      </c>
      <c r="C3315" t="s">
        <v>10138</v>
      </c>
      <c r="D3315" t="s">
        <v>5858</v>
      </c>
      <c r="E3315">
        <v>424038</v>
      </c>
      <c r="F3315" t="s">
        <v>1</v>
      </c>
      <c r="G3315" t="s">
        <v>2</v>
      </c>
      <c r="H3315" t="s">
        <v>16808</v>
      </c>
      <c r="J3315" t="s">
        <v>16809</v>
      </c>
      <c r="P3315" t="s">
        <v>2738</v>
      </c>
      <c r="Y3315" t="s">
        <v>16810</v>
      </c>
    </row>
    <row r="3316" spans="1:25" x14ac:dyDescent="0.25">
      <c r="A3316" t="str">
        <f>"1371307765"</f>
        <v>1371307765</v>
      </c>
      <c r="B3316" t="s">
        <v>32</v>
      </c>
      <c r="C3316" t="s">
        <v>182</v>
      </c>
      <c r="D3316" t="s">
        <v>7623</v>
      </c>
      <c r="E3316">
        <v>424033</v>
      </c>
      <c r="F3316" t="s">
        <v>1</v>
      </c>
      <c r="G3316" t="s">
        <v>2</v>
      </c>
      <c r="H3316" t="s">
        <v>1383</v>
      </c>
      <c r="I3316" t="s">
        <v>16811</v>
      </c>
      <c r="P3316" t="s">
        <v>6400</v>
      </c>
      <c r="Y3316" t="s">
        <v>1387</v>
      </c>
    </row>
    <row r="3317" spans="1:25" x14ac:dyDescent="0.25">
      <c r="A3317" t="str">
        <f>"1371411665"</f>
        <v>1371411665</v>
      </c>
      <c r="B3317" t="s">
        <v>16816</v>
      </c>
      <c r="C3317" t="s">
        <v>16817</v>
      </c>
      <c r="D3317" t="s">
        <v>16812</v>
      </c>
      <c r="E3317">
        <v>424008</v>
      </c>
      <c r="F3317" t="s">
        <v>1</v>
      </c>
      <c r="G3317" t="s">
        <v>2</v>
      </c>
      <c r="H3317" t="s">
        <v>16813</v>
      </c>
      <c r="I3317" t="s">
        <v>16814</v>
      </c>
      <c r="K3317" t="s">
        <v>16815</v>
      </c>
      <c r="P3317" t="s">
        <v>20</v>
      </c>
      <c r="Y3317" t="s">
        <v>16818</v>
      </c>
    </row>
    <row r="3318" spans="1:25" x14ac:dyDescent="0.25">
      <c r="A3318" t="str">
        <f>"1371525275"</f>
        <v>1371525275</v>
      </c>
      <c r="B3318" t="s">
        <v>930</v>
      </c>
      <c r="C3318" t="s">
        <v>16823</v>
      </c>
      <c r="D3318" t="s">
        <v>16819</v>
      </c>
      <c r="E3318">
        <v>424033</v>
      </c>
      <c r="F3318" t="s">
        <v>1</v>
      </c>
      <c r="G3318" t="s">
        <v>2</v>
      </c>
      <c r="H3318" t="s">
        <v>1383</v>
      </c>
      <c r="I3318" t="s">
        <v>16820</v>
      </c>
      <c r="J3318" t="s">
        <v>16821</v>
      </c>
      <c r="M3318" t="s">
        <v>16822</v>
      </c>
      <c r="P3318" t="s">
        <v>16824</v>
      </c>
      <c r="Q3318" t="s">
        <v>16825</v>
      </c>
      <c r="Y3318" t="s">
        <v>16826</v>
      </c>
    </row>
    <row r="3319" spans="1:25" x14ac:dyDescent="0.25">
      <c r="A3319" t="str">
        <f>"1371592962"</f>
        <v>1371592962</v>
      </c>
      <c r="B3319" t="s">
        <v>96</v>
      </c>
      <c r="C3319" t="s">
        <v>16462</v>
      </c>
      <c r="D3319" t="s">
        <v>16476</v>
      </c>
      <c r="E3319">
        <v>424918</v>
      </c>
      <c r="F3319" t="s">
        <v>1</v>
      </c>
      <c r="G3319" t="s">
        <v>2</v>
      </c>
      <c r="H3319" t="s">
        <v>629</v>
      </c>
      <c r="J3319" t="s">
        <v>16827</v>
      </c>
      <c r="P3319" t="s">
        <v>630</v>
      </c>
      <c r="Y3319" t="s">
        <v>16828</v>
      </c>
    </row>
    <row r="3320" spans="1:25" x14ac:dyDescent="0.25">
      <c r="A3320" t="str">
        <f>"1371634444"</f>
        <v>1371634444</v>
      </c>
      <c r="B3320" t="s">
        <v>1053</v>
      </c>
      <c r="C3320" t="s">
        <v>1799</v>
      </c>
      <c r="D3320" t="s">
        <v>16829</v>
      </c>
      <c r="E3320">
        <v>424003</v>
      </c>
      <c r="F3320" t="s">
        <v>1</v>
      </c>
      <c r="G3320" t="s">
        <v>2</v>
      </c>
      <c r="H3320" t="s">
        <v>8926</v>
      </c>
      <c r="I3320" t="s">
        <v>16830</v>
      </c>
      <c r="J3320" t="s">
        <v>16831</v>
      </c>
      <c r="P3320" t="s">
        <v>20</v>
      </c>
      <c r="Y3320" t="s">
        <v>8929</v>
      </c>
    </row>
    <row r="3321" spans="1:25" x14ac:dyDescent="0.25">
      <c r="A3321" t="str">
        <f>"1371737985"</f>
        <v>1371737985</v>
      </c>
      <c r="B3321" t="s">
        <v>1053</v>
      </c>
      <c r="C3321" t="s">
        <v>1927</v>
      </c>
      <c r="D3321" t="s">
        <v>15091</v>
      </c>
      <c r="F3321" t="s">
        <v>1</v>
      </c>
      <c r="G3321" t="s">
        <v>2</v>
      </c>
      <c r="H3321" t="s">
        <v>343</v>
      </c>
      <c r="I3321" t="s">
        <v>16832</v>
      </c>
      <c r="M3321" t="s">
        <v>15093</v>
      </c>
      <c r="P3321" t="s">
        <v>5575</v>
      </c>
      <c r="Y3321" t="s">
        <v>345</v>
      </c>
    </row>
    <row r="3322" spans="1:25" x14ac:dyDescent="0.25">
      <c r="A3322" t="str">
        <f>"1371812962"</f>
        <v>1371812962</v>
      </c>
      <c r="B3322" t="s">
        <v>1315</v>
      </c>
      <c r="C3322" t="s">
        <v>4274</v>
      </c>
      <c r="D3322" t="s">
        <v>16833</v>
      </c>
      <c r="E3322">
        <v>424031</v>
      </c>
      <c r="F3322" t="s">
        <v>1</v>
      </c>
      <c r="G3322" t="s">
        <v>2</v>
      </c>
      <c r="H3322" t="s">
        <v>8799</v>
      </c>
      <c r="I3322" t="s">
        <v>16834</v>
      </c>
      <c r="J3322" t="s">
        <v>16835</v>
      </c>
      <c r="L3322" t="s">
        <v>16836</v>
      </c>
      <c r="P3322" t="s">
        <v>280</v>
      </c>
      <c r="Y3322" t="s">
        <v>8803</v>
      </c>
    </row>
    <row r="3323" spans="1:25" x14ac:dyDescent="0.25">
      <c r="A3323" t="str">
        <f>"1371820684"</f>
        <v>1371820684</v>
      </c>
      <c r="B3323" t="s">
        <v>624</v>
      </c>
      <c r="C3323" t="s">
        <v>1637</v>
      </c>
      <c r="D3323" t="s">
        <v>16837</v>
      </c>
      <c r="E3323">
        <v>424004</v>
      </c>
      <c r="F3323" t="s">
        <v>1</v>
      </c>
      <c r="G3323" t="s">
        <v>2</v>
      </c>
      <c r="H3323" t="s">
        <v>1169</v>
      </c>
      <c r="I3323" t="s">
        <v>16838</v>
      </c>
      <c r="P3323" t="s">
        <v>330</v>
      </c>
      <c r="Y3323" t="s">
        <v>1178</v>
      </c>
    </row>
    <row r="3324" spans="1:25" x14ac:dyDescent="0.25">
      <c r="A3324" t="str">
        <f>"1371868147"</f>
        <v>1371868147</v>
      </c>
      <c r="B3324" t="s">
        <v>96</v>
      </c>
      <c r="C3324" t="s">
        <v>2285</v>
      </c>
      <c r="D3324" t="s">
        <v>16839</v>
      </c>
      <c r="E3324">
        <v>424004</v>
      </c>
      <c r="F3324" t="s">
        <v>1</v>
      </c>
      <c r="G3324" t="s">
        <v>2</v>
      </c>
      <c r="H3324" t="s">
        <v>3266</v>
      </c>
      <c r="J3324" t="s">
        <v>16840</v>
      </c>
      <c r="L3324" t="s">
        <v>7859</v>
      </c>
      <c r="M3324" t="s">
        <v>16841</v>
      </c>
      <c r="P3324" t="s">
        <v>941</v>
      </c>
      <c r="Q3324" t="s">
        <v>16842</v>
      </c>
      <c r="Y3324" t="s">
        <v>16843</v>
      </c>
    </row>
    <row r="3325" spans="1:25" x14ac:dyDescent="0.25">
      <c r="A3325" t="str">
        <f>"1371939192"</f>
        <v>1371939192</v>
      </c>
      <c r="B3325" t="s">
        <v>348</v>
      </c>
      <c r="C3325" t="s">
        <v>4366</v>
      </c>
      <c r="D3325" t="s">
        <v>16844</v>
      </c>
      <c r="E3325">
        <v>424016</v>
      </c>
      <c r="F3325" t="s">
        <v>1</v>
      </c>
      <c r="G3325" t="s">
        <v>2</v>
      </c>
      <c r="H3325" t="s">
        <v>673</v>
      </c>
      <c r="I3325" t="s">
        <v>16845</v>
      </c>
      <c r="P3325" t="s">
        <v>11801</v>
      </c>
      <c r="Y3325" t="s">
        <v>12593</v>
      </c>
    </row>
    <row r="3326" spans="1:25" x14ac:dyDescent="0.25">
      <c r="A3326" t="str">
        <f>"1372087731"</f>
        <v>1372087731</v>
      </c>
      <c r="B3326" t="s">
        <v>319</v>
      </c>
      <c r="C3326" t="s">
        <v>320</v>
      </c>
      <c r="D3326" t="s">
        <v>16846</v>
      </c>
      <c r="E3326">
        <v>424030</v>
      </c>
      <c r="F3326" t="s">
        <v>1</v>
      </c>
      <c r="G3326" t="s">
        <v>2</v>
      </c>
      <c r="H3326" t="s">
        <v>12562</v>
      </c>
      <c r="I3326" t="s">
        <v>16847</v>
      </c>
      <c r="L3326" t="s">
        <v>16848</v>
      </c>
      <c r="M3326" t="s">
        <v>16849</v>
      </c>
      <c r="P3326" t="s">
        <v>2561</v>
      </c>
      <c r="Q3326" t="s">
        <v>16850</v>
      </c>
      <c r="R3326" t="s">
        <v>16851</v>
      </c>
      <c r="T3326" t="s">
        <v>16852</v>
      </c>
      <c r="V3326" t="s">
        <v>16853</v>
      </c>
      <c r="Y3326" t="s">
        <v>16854</v>
      </c>
    </row>
    <row r="3327" spans="1:25" x14ac:dyDescent="0.25">
      <c r="A3327" t="str">
        <f>"1372119445"</f>
        <v>1372119445</v>
      </c>
      <c r="B3327" t="s">
        <v>456</v>
      </c>
      <c r="C3327" t="s">
        <v>14932</v>
      </c>
      <c r="D3327" t="s">
        <v>16855</v>
      </c>
      <c r="E3327">
        <v>424003</v>
      </c>
      <c r="F3327" t="s">
        <v>1</v>
      </c>
      <c r="G3327" t="s">
        <v>2</v>
      </c>
      <c r="H3327" t="s">
        <v>5773</v>
      </c>
      <c r="I3327" t="s">
        <v>16856</v>
      </c>
      <c r="L3327" t="s">
        <v>16857</v>
      </c>
      <c r="M3327" t="s">
        <v>16858</v>
      </c>
      <c r="P3327" t="s">
        <v>1514</v>
      </c>
      <c r="Q3327" t="s">
        <v>16859</v>
      </c>
      <c r="V3327" t="s">
        <v>16860</v>
      </c>
      <c r="Y3327" t="s">
        <v>5775</v>
      </c>
    </row>
    <row r="3328" spans="1:25" x14ac:dyDescent="0.25">
      <c r="A3328" t="str">
        <f>"1372124538"</f>
        <v>1372124538</v>
      </c>
      <c r="B3328" t="s">
        <v>3652</v>
      </c>
      <c r="C3328" t="s">
        <v>16863</v>
      </c>
      <c r="D3328" t="s">
        <v>16861</v>
      </c>
      <c r="E3328">
        <v>424005</v>
      </c>
      <c r="F3328" t="s">
        <v>1</v>
      </c>
      <c r="G3328" t="s">
        <v>2</v>
      </c>
      <c r="H3328" t="s">
        <v>1310</v>
      </c>
      <c r="I3328" t="s">
        <v>16862</v>
      </c>
      <c r="P3328" t="s">
        <v>280</v>
      </c>
      <c r="Y3328" t="s">
        <v>3926</v>
      </c>
    </row>
    <row r="3329" spans="1:25" x14ac:dyDescent="0.25">
      <c r="A3329" t="str">
        <f>"1372142410"</f>
        <v>1372142410</v>
      </c>
      <c r="B3329" t="s">
        <v>7</v>
      </c>
      <c r="C3329" t="s">
        <v>8238</v>
      </c>
      <c r="D3329" t="s">
        <v>16864</v>
      </c>
      <c r="E3329">
        <v>424003</v>
      </c>
      <c r="F3329" t="s">
        <v>1</v>
      </c>
      <c r="G3329" t="s">
        <v>2</v>
      </c>
      <c r="H3329" t="s">
        <v>6759</v>
      </c>
      <c r="I3329" t="s">
        <v>16865</v>
      </c>
      <c r="L3329" t="s">
        <v>16866</v>
      </c>
      <c r="M3329" t="s">
        <v>16867</v>
      </c>
      <c r="P3329" t="s">
        <v>642</v>
      </c>
      <c r="Y3329" t="s">
        <v>16868</v>
      </c>
    </row>
    <row r="3330" spans="1:25" x14ac:dyDescent="0.25">
      <c r="A3330" t="str">
        <f>"1372198653"</f>
        <v>1372198653</v>
      </c>
      <c r="B3330" t="s">
        <v>462</v>
      </c>
      <c r="C3330" t="s">
        <v>1140</v>
      </c>
      <c r="D3330" t="s">
        <v>16869</v>
      </c>
      <c r="E3330">
        <v>424003</v>
      </c>
      <c r="F3330" t="s">
        <v>1</v>
      </c>
      <c r="G3330" t="s">
        <v>2</v>
      </c>
      <c r="H3330" t="s">
        <v>2931</v>
      </c>
      <c r="I3330" t="s">
        <v>16870</v>
      </c>
      <c r="P3330" t="s">
        <v>16871</v>
      </c>
      <c r="Y3330" t="s">
        <v>4271</v>
      </c>
    </row>
    <row r="3331" spans="1:25" x14ac:dyDescent="0.25">
      <c r="A3331" t="str">
        <f>"1372237165"</f>
        <v>1372237165</v>
      </c>
      <c r="B3331" t="s">
        <v>176</v>
      </c>
      <c r="C3331" t="s">
        <v>250</v>
      </c>
      <c r="D3331" t="s">
        <v>16872</v>
      </c>
      <c r="E3331">
        <v>424000</v>
      </c>
      <c r="F3331" t="s">
        <v>1</v>
      </c>
      <c r="G3331" t="s">
        <v>2</v>
      </c>
      <c r="H3331" t="s">
        <v>1531</v>
      </c>
      <c r="I3331" t="s">
        <v>16873</v>
      </c>
      <c r="J3331" t="s">
        <v>16874</v>
      </c>
      <c r="L3331" t="s">
        <v>16875</v>
      </c>
      <c r="M3331" t="s">
        <v>16876</v>
      </c>
      <c r="P3331" t="s">
        <v>16184</v>
      </c>
      <c r="Q3331" t="s">
        <v>16877</v>
      </c>
      <c r="Y3331" t="s">
        <v>16878</v>
      </c>
    </row>
    <row r="3332" spans="1:25" x14ac:dyDescent="0.25">
      <c r="A3332" t="str">
        <f>"1372283083"</f>
        <v>1372283083</v>
      </c>
      <c r="B3332" t="s">
        <v>1053</v>
      </c>
      <c r="C3332" t="s">
        <v>16884</v>
      </c>
      <c r="D3332" t="s">
        <v>16879</v>
      </c>
      <c r="E3332">
        <v>424036</v>
      </c>
      <c r="F3332" t="s">
        <v>1</v>
      </c>
      <c r="G3332" t="s">
        <v>2</v>
      </c>
      <c r="H3332" t="s">
        <v>3126</v>
      </c>
      <c r="I3332" t="s">
        <v>16880</v>
      </c>
      <c r="K3332" t="s">
        <v>16881</v>
      </c>
      <c r="L3332" t="s">
        <v>16882</v>
      </c>
      <c r="M3332" t="s">
        <v>16883</v>
      </c>
      <c r="P3332" t="s">
        <v>20</v>
      </c>
      <c r="Y3332" t="s">
        <v>16885</v>
      </c>
    </row>
    <row r="3333" spans="1:25" x14ac:dyDescent="0.25">
      <c r="A3333" t="str">
        <f>"1372329400"</f>
        <v>1372329400</v>
      </c>
      <c r="B3333" t="s">
        <v>18</v>
      </c>
      <c r="C3333" t="s">
        <v>2593</v>
      </c>
      <c r="D3333" t="s">
        <v>16886</v>
      </c>
      <c r="E3333">
        <v>424040</v>
      </c>
      <c r="F3333" t="s">
        <v>1</v>
      </c>
      <c r="G3333" t="s">
        <v>2</v>
      </c>
      <c r="H3333" t="s">
        <v>7989</v>
      </c>
      <c r="I3333" t="s">
        <v>16887</v>
      </c>
      <c r="M3333" t="s">
        <v>16888</v>
      </c>
      <c r="P3333" t="s">
        <v>27</v>
      </c>
      <c r="Y3333" t="s">
        <v>16889</v>
      </c>
    </row>
    <row r="3334" spans="1:25" x14ac:dyDescent="0.25">
      <c r="A3334" t="str">
        <f>"1372376840"</f>
        <v>1372376840</v>
      </c>
      <c r="B3334" t="s">
        <v>1053</v>
      </c>
      <c r="C3334" t="s">
        <v>16895</v>
      </c>
      <c r="D3334" t="s">
        <v>3816</v>
      </c>
      <c r="E3334">
        <v>424003</v>
      </c>
      <c r="F3334" t="s">
        <v>1</v>
      </c>
      <c r="G3334" t="s">
        <v>2</v>
      </c>
      <c r="H3334" t="s">
        <v>16890</v>
      </c>
      <c r="I3334" t="s">
        <v>16891</v>
      </c>
      <c r="J3334" t="s">
        <v>16892</v>
      </c>
      <c r="L3334" t="s">
        <v>16893</v>
      </c>
      <c r="M3334" t="s">
        <v>16894</v>
      </c>
      <c r="P3334" t="s">
        <v>330</v>
      </c>
      <c r="Y3334" t="s">
        <v>16896</v>
      </c>
    </row>
    <row r="3335" spans="1:25" x14ac:dyDescent="0.25">
      <c r="A3335" t="str">
        <f>"1372388035"</f>
        <v>1372388035</v>
      </c>
      <c r="B3335" t="s">
        <v>574</v>
      </c>
      <c r="C3335" t="s">
        <v>646</v>
      </c>
      <c r="D3335" t="s">
        <v>16897</v>
      </c>
      <c r="F3335" t="s">
        <v>1</v>
      </c>
      <c r="G3335" t="s">
        <v>2</v>
      </c>
      <c r="H3335" t="s">
        <v>16898</v>
      </c>
      <c r="P3335" t="s">
        <v>4006</v>
      </c>
      <c r="Y3335" t="s">
        <v>16899</v>
      </c>
    </row>
    <row r="3336" spans="1:25" x14ac:dyDescent="0.25">
      <c r="A3336" t="str">
        <f>"1372391725"</f>
        <v>1372391725</v>
      </c>
      <c r="B3336" t="s">
        <v>553</v>
      </c>
      <c r="C3336" t="s">
        <v>554</v>
      </c>
      <c r="D3336" t="s">
        <v>13229</v>
      </c>
      <c r="E3336">
        <v>424037</v>
      </c>
      <c r="F3336" t="s">
        <v>1</v>
      </c>
      <c r="G3336" t="s">
        <v>2</v>
      </c>
      <c r="H3336" t="s">
        <v>3115</v>
      </c>
      <c r="I3336" t="s">
        <v>16900</v>
      </c>
      <c r="P3336" t="s">
        <v>941</v>
      </c>
      <c r="Y3336" t="s">
        <v>3117</v>
      </c>
    </row>
    <row r="3337" spans="1:25" x14ac:dyDescent="0.25">
      <c r="A3337" t="str">
        <f>"1372402711"</f>
        <v>1372402711</v>
      </c>
      <c r="B3337" t="s">
        <v>319</v>
      </c>
      <c r="C3337" t="s">
        <v>320</v>
      </c>
      <c r="D3337" t="s">
        <v>9839</v>
      </c>
      <c r="E3337">
        <v>424028</v>
      </c>
      <c r="F3337" t="s">
        <v>1</v>
      </c>
      <c r="G3337" t="s">
        <v>2</v>
      </c>
      <c r="H3337" t="s">
        <v>16901</v>
      </c>
      <c r="Y3337" t="s">
        <v>16902</v>
      </c>
    </row>
    <row r="3338" spans="1:25" x14ac:dyDescent="0.25">
      <c r="A3338" t="str">
        <f>"1372433715"</f>
        <v>1372433715</v>
      </c>
      <c r="B3338" t="s">
        <v>456</v>
      </c>
      <c r="C3338" t="s">
        <v>3549</v>
      </c>
      <c r="D3338" t="s">
        <v>16903</v>
      </c>
      <c r="E3338">
        <v>424037</v>
      </c>
      <c r="F3338" t="s">
        <v>1</v>
      </c>
      <c r="G3338" t="s">
        <v>2</v>
      </c>
      <c r="H3338" t="s">
        <v>13232</v>
      </c>
      <c r="J3338" t="s">
        <v>16904</v>
      </c>
      <c r="L3338" t="s">
        <v>16905</v>
      </c>
      <c r="P3338" t="s">
        <v>27</v>
      </c>
      <c r="Q3338" t="s">
        <v>16906</v>
      </c>
      <c r="Y3338" t="s">
        <v>16907</v>
      </c>
    </row>
    <row r="3339" spans="1:25" x14ac:dyDescent="0.25">
      <c r="A3339" t="str">
        <f>"1372531890"</f>
        <v>1372531890</v>
      </c>
      <c r="B3339" t="s">
        <v>352</v>
      </c>
      <c r="C3339" t="s">
        <v>353</v>
      </c>
      <c r="D3339" t="s">
        <v>16908</v>
      </c>
      <c r="E3339">
        <v>424004</v>
      </c>
      <c r="F3339" t="s">
        <v>1</v>
      </c>
      <c r="G3339" t="s">
        <v>2</v>
      </c>
      <c r="H3339" t="s">
        <v>16909</v>
      </c>
      <c r="I3339" t="s">
        <v>16910</v>
      </c>
      <c r="P3339" t="s">
        <v>16911</v>
      </c>
      <c r="Y3339" t="s">
        <v>16912</v>
      </c>
    </row>
    <row r="3340" spans="1:25" x14ac:dyDescent="0.25">
      <c r="A3340" t="str">
        <f>"1372551219"</f>
        <v>1372551219</v>
      </c>
      <c r="B3340" t="s">
        <v>188</v>
      </c>
      <c r="C3340" t="s">
        <v>189</v>
      </c>
      <c r="D3340" t="s">
        <v>15740</v>
      </c>
      <c r="E3340">
        <v>424006</v>
      </c>
      <c r="F3340" t="s">
        <v>1</v>
      </c>
      <c r="G3340" t="s">
        <v>2</v>
      </c>
      <c r="H3340" t="s">
        <v>1436</v>
      </c>
      <c r="I3340" t="s">
        <v>8483</v>
      </c>
      <c r="J3340" t="s">
        <v>16913</v>
      </c>
      <c r="P3340" t="s">
        <v>16914</v>
      </c>
      <c r="Y3340" t="s">
        <v>16915</v>
      </c>
    </row>
    <row r="3341" spans="1:25" x14ac:dyDescent="0.25">
      <c r="A3341" t="str">
        <f>"1372657993"</f>
        <v>1372657993</v>
      </c>
      <c r="B3341" t="s">
        <v>96</v>
      </c>
      <c r="C3341" t="s">
        <v>893</v>
      </c>
      <c r="D3341" t="s">
        <v>16916</v>
      </c>
      <c r="E3341">
        <v>424000</v>
      </c>
      <c r="F3341" t="s">
        <v>1</v>
      </c>
      <c r="G3341" t="s">
        <v>2</v>
      </c>
      <c r="H3341" t="s">
        <v>7049</v>
      </c>
      <c r="P3341" t="s">
        <v>330</v>
      </c>
      <c r="Y3341" t="s">
        <v>16917</v>
      </c>
    </row>
    <row r="3342" spans="1:25" x14ac:dyDescent="0.25">
      <c r="A3342" t="str">
        <f>"1372666745"</f>
        <v>1372666745</v>
      </c>
      <c r="B3342" t="s">
        <v>25</v>
      </c>
      <c r="C3342" t="s">
        <v>5632</v>
      </c>
      <c r="D3342" t="s">
        <v>15557</v>
      </c>
      <c r="F3342" t="s">
        <v>1</v>
      </c>
      <c r="G3342" t="s">
        <v>2</v>
      </c>
      <c r="H3342" t="s">
        <v>16918</v>
      </c>
      <c r="I3342" t="s">
        <v>16919</v>
      </c>
      <c r="L3342" t="s">
        <v>16920</v>
      </c>
      <c r="M3342" t="s">
        <v>16921</v>
      </c>
      <c r="P3342" t="s">
        <v>280</v>
      </c>
      <c r="Y3342" t="s">
        <v>16922</v>
      </c>
    </row>
    <row r="3343" spans="1:25" x14ac:dyDescent="0.25">
      <c r="A3343" t="str">
        <f>"1372813501"</f>
        <v>1372813501</v>
      </c>
      <c r="B3343" t="s">
        <v>25</v>
      </c>
      <c r="C3343" t="s">
        <v>59</v>
      </c>
      <c r="D3343" t="s">
        <v>16923</v>
      </c>
      <c r="E3343">
        <v>424004</v>
      </c>
      <c r="F3343" t="s">
        <v>1</v>
      </c>
      <c r="G3343" t="s">
        <v>2</v>
      </c>
      <c r="H3343" t="s">
        <v>351</v>
      </c>
      <c r="I3343" t="s">
        <v>16924</v>
      </c>
      <c r="P3343" t="s">
        <v>152</v>
      </c>
      <c r="Y3343" t="s">
        <v>354</v>
      </c>
    </row>
    <row r="3344" spans="1:25" x14ac:dyDescent="0.25">
      <c r="A3344" t="str">
        <f>"1372950450"</f>
        <v>1372950450</v>
      </c>
      <c r="B3344" t="s">
        <v>371</v>
      </c>
      <c r="C3344" t="s">
        <v>372</v>
      </c>
      <c r="D3344" t="s">
        <v>16925</v>
      </c>
      <c r="E3344">
        <v>424036</v>
      </c>
      <c r="F3344" t="s">
        <v>1</v>
      </c>
      <c r="G3344" t="s">
        <v>2</v>
      </c>
      <c r="H3344" t="s">
        <v>10750</v>
      </c>
      <c r="J3344" t="s">
        <v>16926</v>
      </c>
      <c r="P3344" t="s">
        <v>27</v>
      </c>
      <c r="Y3344" t="s">
        <v>10753</v>
      </c>
    </row>
    <row r="3345" spans="1:25" x14ac:dyDescent="0.25">
      <c r="A3345" t="str">
        <f>"1372960044"</f>
        <v>1372960044</v>
      </c>
      <c r="B3345" t="s">
        <v>32</v>
      </c>
      <c r="C3345" t="s">
        <v>40</v>
      </c>
      <c r="D3345" t="s">
        <v>16927</v>
      </c>
      <c r="E3345">
        <v>424038</v>
      </c>
      <c r="F3345" t="s">
        <v>1</v>
      </c>
      <c r="G3345" t="s">
        <v>2</v>
      </c>
      <c r="H3345" t="s">
        <v>386</v>
      </c>
      <c r="I3345" t="s">
        <v>16928</v>
      </c>
      <c r="P3345" t="s">
        <v>1514</v>
      </c>
      <c r="Y3345" t="s">
        <v>16929</v>
      </c>
    </row>
    <row r="3346" spans="1:25" x14ac:dyDescent="0.25">
      <c r="A3346" t="str">
        <f>"1372981273"</f>
        <v>1372981273</v>
      </c>
      <c r="B3346" t="s">
        <v>687</v>
      </c>
      <c r="C3346" t="s">
        <v>3552</v>
      </c>
      <c r="D3346" t="s">
        <v>16930</v>
      </c>
      <c r="E3346">
        <v>424036</v>
      </c>
      <c r="F3346" t="s">
        <v>1</v>
      </c>
      <c r="G3346" t="s">
        <v>2</v>
      </c>
      <c r="H3346" t="s">
        <v>16931</v>
      </c>
      <c r="I3346" t="s">
        <v>16932</v>
      </c>
      <c r="P3346" t="s">
        <v>1679</v>
      </c>
      <c r="Q3346" t="s">
        <v>16933</v>
      </c>
      <c r="Y3346" t="s">
        <v>16934</v>
      </c>
    </row>
    <row r="3347" spans="1:25" x14ac:dyDescent="0.25">
      <c r="A3347" t="str">
        <f>"1372995533"</f>
        <v>1372995533</v>
      </c>
      <c r="B3347" t="s">
        <v>1222</v>
      </c>
      <c r="C3347" t="s">
        <v>2114</v>
      </c>
      <c r="D3347" t="s">
        <v>16935</v>
      </c>
      <c r="E3347">
        <v>424007</v>
      </c>
      <c r="F3347" t="s">
        <v>1</v>
      </c>
      <c r="G3347" t="s">
        <v>2</v>
      </c>
      <c r="H3347" t="s">
        <v>5178</v>
      </c>
      <c r="I3347" t="s">
        <v>16936</v>
      </c>
      <c r="P3347" t="s">
        <v>260</v>
      </c>
      <c r="Y3347" t="s">
        <v>16937</v>
      </c>
    </row>
    <row r="3348" spans="1:25" x14ac:dyDescent="0.25">
      <c r="A3348" t="str">
        <f>"1373042255"</f>
        <v>1373042255</v>
      </c>
      <c r="B3348" t="s">
        <v>18</v>
      </c>
      <c r="C3348" t="s">
        <v>1419</v>
      </c>
      <c r="D3348" t="s">
        <v>16938</v>
      </c>
      <c r="E3348">
        <v>424008</v>
      </c>
      <c r="F3348" t="s">
        <v>1</v>
      </c>
      <c r="G3348" t="s">
        <v>2</v>
      </c>
      <c r="H3348" t="s">
        <v>2001</v>
      </c>
      <c r="I3348" t="s">
        <v>16939</v>
      </c>
      <c r="P3348" t="s">
        <v>1760</v>
      </c>
      <c r="Y3348" t="s">
        <v>2005</v>
      </c>
    </row>
    <row r="3349" spans="1:25" x14ac:dyDescent="0.25">
      <c r="A3349" t="str">
        <f>"1373148288"</f>
        <v>1373148288</v>
      </c>
      <c r="B3349" t="s">
        <v>96</v>
      </c>
      <c r="C3349" t="s">
        <v>507</v>
      </c>
      <c r="D3349" t="s">
        <v>10152</v>
      </c>
      <c r="E3349">
        <v>424036</v>
      </c>
      <c r="F3349" t="s">
        <v>1</v>
      </c>
      <c r="G3349" t="s">
        <v>2</v>
      </c>
      <c r="H3349" t="s">
        <v>7305</v>
      </c>
      <c r="I3349" t="s">
        <v>16940</v>
      </c>
      <c r="P3349" t="s">
        <v>7053</v>
      </c>
      <c r="Y3349" t="s">
        <v>7306</v>
      </c>
    </row>
    <row r="3350" spans="1:25" x14ac:dyDescent="0.25">
      <c r="A3350" t="str">
        <f>"1373209557"</f>
        <v>1373209557</v>
      </c>
      <c r="B3350" t="s">
        <v>96</v>
      </c>
      <c r="C3350" t="s">
        <v>695</v>
      </c>
      <c r="D3350" t="s">
        <v>16941</v>
      </c>
      <c r="E3350">
        <v>424033</v>
      </c>
      <c r="F3350" t="s">
        <v>1</v>
      </c>
      <c r="G3350" t="s">
        <v>2</v>
      </c>
      <c r="H3350" t="s">
        <v>4244</v>
      </c>
      <c r="I3350" t="s">
        <v>16942</v>
      </c>
      <c r="P3350" t="s">
        <v>458</v>
      </c>
      <c r="Y3350" t="s">
        <v>16943</v>
      </c>
    </row>
    <row r="3351" spans="1:25" x14ac:dyDescent="0.25">
      <c r="A3351" t="str">
        <f>"1373314688"</f>
        <v>1373314688</v>
      </c>
      <c r="B3351" t="s">
        <v>18</v>
      </c>
      <c r="C3351" t="s">
        <v>143</v>
      </c>
      <c r="D3351" t="s">
        <v>16944</v>
      </c>
      <c r="E3351">
        <v>424008</v>
      </c>
      <c r="F3351" t="s">
        <v>1</v>
      </c>
      <c r="G3351" t="s">
        <v>2</v>
      </c>
      <c r="H3351" t="s">
        <v>1031</v>
      </c>
      <c r="I3351" t="s">
        <v>16945</v>
      </c>
      <c r="P3351" t="s">
        <v>7543</v>
      </c>
      <c r="Y3351" t="s">
        <v>5039</v>
      </c>
    </row>
    <row r="3352" spans="1:25" x14ac:dyDescent="0.25">
      <c r="A3352" t="str">
        <f>"1373364208"</f>
        <v>1373364208</v>
      </c>
      <c r="B3352" t="s">
        <v>1152</v>
      </c>
      <c r="C3352" t="s">
        <v>16949</v>
      </c>
      <c r="D3352" t="s">
        <v>16946</v>
      </c>
      <c r="E3352">
        <v>424019</v>
      </c>
      <c r="F3352" t="s">
        <v>1</v>
      </c>
      <c r="G3352" t="s">
        <v>2</v>
      </c>
      <c r="H3352" t="s">
        <v>9271</v>
      </c>
      <c r="I3352" t="s">
        <v>16947</v>
      </c>
      <c r="J3352" t="s">
        <v>16948</v>
      </c>
      <c r="P3352" t="s">
        <v>2406</v>
      </c>
      <c r="Y3352" t="s">
        <v>16950</v>
      </c>
    </row>
    <row r="3353" spans="1:25" x14ac:dyDescent="0.25">
      <c r="A3353" t="str">
        <f>"1373472589"</f>
        <v>1373472589</v>
      </c>
      <c r="B3353" t="s">
        <v>96</v>
      </c>
      <c r="C3353" t="s">
        <v>893</v>
      </c>
      <c r="D3353" t="s">
        <v>16951</v>
      </c>
      <c r="E3353">
        <v>424000</v>
      </c>
      <c r="F3353" t="s">
        <v>1</v>
      </c>
      <c r="G3353" t="s">
        <v>2</v>
      </c>
      <c r="H3353" t="s">
        <v>92</v>
      </c>
      <c r="J3353" t="s">
        <v>16952</v>
      </c>
      <c r="P3353" t="s">
        <v>144</v>
      </c>
      <c r="Y3353" t="s">
        <v>16953</v>
      </c>
    </row>
    <row r="3354" spans="1:25" x14ac:dyDescent="0.25">
      <c r="A3354" t="str">
        <f>"1373519916"</f>
        <v>1373519916</v>
      </c>
      <c r="B3354" t="s">
        <v>2846</v>
      </c>
      <c r="C3354" t="s">
        <v>16956</v>
      </c>
      <c r="D3354" t="s">
        <v>16954</v>
      </c>
      <c r="E3354">
        <v>424037</v>
      </c>
      <c r="F3354" t="s">
        <v>1</v>
      </c>
      <c r="G3354" t="s">
        <v>2</v>
      </c>
      <c r="H3354" t="s">
        <v>1849</v>
      </c>
      <c r="I3354" t="s">
        <v>16955</v>
      </c>
      <c r="P3354" t="s">
        <v>2050</v>
      </c>
      <c r="Q3354" t="s">
        <v>16957</v>
      </c>
      <c r="Y3354" t="s">
        <v>16958</v>
      </c>
    </row>
    <row r="3355" spans="1:25" x14ac:dyDescent="0.25">
      <c r="A3355" t="str">
        <f>"1373635389"</f>
        <v>1373635389</v>
      </c>
      <c r="B3355" t="s">
        <v>88</v>
      </c>
      <c r="C3355" t="s">
        <v>6066</v>
      </c>
      <c r="D3355" t="s">
        <v>16959</v>
      </c>
      <c r="E3355">
        <v>424918</v>
      </c>
      <c r="F3355" t="s">
        <v>1</v>
      </c>
      <c r="G3355" t="s">
        <v>2</v>
      </c>
      <c r="H3355" t="s">
        <v>629</v>
      </c>
      <c r="I3355" t="s">
        <v>16960</v>
      </c>
      <c r="P3355" t="s">
        <v>630</v>
      </c>
      <c r="Y3355" t="s">
        <v>16961</v>
      </c>
    </row>
    <row r="3356" spans="1:25" x14ac:dyDescent="0.25">
      <c r="A3356" t="str">
        <f>"1373700589"</f>
        <v>1373700589</v>
      </c>
      <c r="B3356" t="s">
        <v>96</v>
      </c>
      <c r="C3356" t="s">
        <v>8808</v>
      </c>
      <c r="D3356" t="s">
        <v>16962</v>
      </c>
      <c r="E3356">
        <v>424006</v>
      </c>
      <c r="F3356" t="s">
        <v>1</v>
      </c>
      <c r="G3356" t="s">
        <v>2</v>
      </c>
      <c r="H3356" t="s">
        <v>492</v>
      </c>
      <c r="I3356" t="s">
        <v>16963</v>
      </c>
      <c r="J3356" t="s">
        <v>16964</v>
      </c>
      <c r="P3356" t="s">
        <v>941</v>
      </c>
      <c r="Y3356" t="s">
        <v>16965</v>
      </c>
    </row>
    <row r="3357" spans="1:25" x14ac:dyDescent="0.25">
      <c r="A3357" t="str">
        <f>"1373757590"</f>
        <v>1373757590</v>
      </c>
      <c r="B3357" t="s">
        <v>32</v>
      </c>
      <c r="C3357" t="s">
        <v>40</v>
      </c>
      <c r="D3357" t="s">
        <v>2107</v>
      </c>
      <c r="E3357">
        <v>424003</v>
      </c>
      <c r="F3357" t="s">
        <v>1</v>
      </c>
      <c r="G3357" t="s">
        <v>2</v>
      </c>
      <c r="H3357" t="s">
        <v>13303</v>
      </c>
      <c r="I3357" t="s">
        <v>16966</v>
      </c>
      <c r="P3357" t="s">
        <v>16967</v>
      </c>
      <c r="Y3357" t="s">
        <v>16968</v>
      </c>
    </row>
    <row r="3358" spans="1:25" x14ac:dyDescent="0.25">
      <c r="A3358" t="str">
        <f>"1373927952"</f>
        <v>1373927952</v>
      </c>
      <c r="B3358" t="s">
        <v>408</v>
      </c>
      <c r="C3358" t="s">
        <v>4591</v>
      </c>
      <c r="D3358" t="s">
        <v>16969</v>
      </c>
      <c r="E3358">
        <v>424008</v>
      </c>
      <c r="F3358" t="s">
        <v>1</v>
      </c>
      <c r="G3358" t="s">
        <v>2</v>
      </c>
      <c r="H3358" t="s">
        <v>1031</v>
      </c>
      <c r="I3358" t="s">
        <v>16970</v>
      </c>
      <c r="L3358" t="s">
        <v>16971</v>
      </c>
      <c r="M3358" t="s">
        <v>16972</v>
      </c>
      <c r="P3358" t="s">
        <v>16973</v>
      </c>
      <c r="Q3358" t="s">
        <v>16974</v>
      </c>
      <c r="R3358" t="s">
        <v>16975</v>
      </c>
      <c r="T3358" t="s">
        <v>16976</v>
      </c>
      <c r="V3358" t="s">
        <v>16977</v>
      </c>
      <c r="Y3358" t="s">
        <v>16978</v>
      </c>
    </row>
    <row r="3359" spans="1:25" x14ac:dyDescent="0.25">
      <c r="A3359" t="str">
        <f>"1374028228"</f>
        <v>1374028228</v>
      </c>
      <c r="B3359" t="s">
        <v>96</v>
      </c>
      <c r="C3359" t="s">
        <v>14551</v>
      </c>
      <c r="D3359" t="s">
        <v>657</v>
      </c>
      <c r="E3359">
        <v>424031</v>
      </c>
      <c r="F3359" t="s">
        <v>1</v>
      </c>
      <c r="G3359" t="s">
        <v>2</v>
      </c>
      <c r="H3359" t="s">
        <v>239</v>
      </c>
      <c r="I3359" t="s">
        <v>16979</v>
      </c>
      <c r="P3359" t="s">
        <v>7072</v>
      </c>
      <c r="V3359" t="s">
        <v>16980</v>
      </c>
      <c r="Y3359" t="s">
        <v>16981</v>
      </c>
    </row>
    <row r="3360" spans="1:25" x14ac:dyDescent="0.25">
      <c r="A3360" t="str">
        <f>"1374086157"</f>
        <v>1374086157</v>
      </c>
      <c r="B3360" t="s">
        <v>96</v>
      </c>
      <c r="C3360" t="s">
        <v>10313</v>
      </c>
      <c r="D3360" t="s">
        <v>16982</v>
      </c>
      <c r="E3360">
        <v>424002</v>
      </c>
      <c r="F3360" t="s">
        <v>1</v>
      </c>
      <c r="G3360" t="s">
        <v>2</v>
      </c>
      <c r="H3360" t="s">
        <v>11341</v>
      </c>
      <c r="J3360" t="s">
        <v>16983</v>
      </c>
      <c r="P3360" t="s">
        <v>112</v>
      </c>
      <c r="Y3360" t="s">
        <v>16984</v>
      </c>
    </row>
    <row r="3361" spans="1:25" x14ac:dyDescent="0.25">
      <c r="A3361" t="str">
        <f>"1374266229"</f>
        <v>1374266229</v>
      </c>
      <c r="B3361" t="s">
        <v>32</v>
      </c>
      <c r="C3361" t="s">
        <v>182</v>
      </c>
      <c r="D3361" t="s">
        <v>14938</v>
      </c>
      <c r="E3361">
        <v>424006</v>
      </c>
      <c r="F3361" t="s">
        <v>1</v>
      </c>
      <c r="G3361" t="s">
        <v>2</v>
      </c>
      <c r="H3361" t="s">
        <v>2649</v>
      </c>
      <c r="I3361" t="s">
        <v>16985</v>
      </c>
      <c r="P3361" t="s">
        <v>16986</v>
      </c>
      <c r="Y3361" t="s">
        <v>16987</v>
      </c>
    </row>
    <row r="3362" spans="1:25" x14ac:dyDescent="0.25">
      <c r="A3362" t="str">
        <f>"1374483631"</f>
        <v>1374483631</v>
      </c>
      <c r="B3362" t="s">
        <v>32</v>
      </c>
      <c r="C3362" t="s">
        <v>777</v>
      </c>
      <c r="D3362" t="s">
        <v>16476</v>
      </c>
      <c r="E3362">
        <v>424038</v>
      </c>
      <c r="F3362" t="s">
        <v>1</v>
      </c>
      <c r="G3362" t="s">
        <v>2</v>
      </c>
      <c r="H3362" t="s">
        <v>16988</v>
      </c>
      <c r="I3362" t="s">
        <v>16989</v>
      </c>
      <c r="P3362" t="s">
        <v>16990</v>
      </c>
      <c r="Y3362" t="s">
        <v>16991</v>
      </c>
    </row>
    <row r="3363" spans="1:25" x14ac:dyDescent="0.25">
      <c r="A3363" t="str">
        <f>"1374640216"</f>
        <v>1374640216</v>
      </c>
      <c r="B3363" t="s">
        <v>397</v>
      </c>
      <c r="C3363" t="s">
        <v>5148</v>
      </c>
      <c r="D3363" t="s">
        <v>16992</v>
      </c>
      <c r="E3363">
        <v>424020</v>
      </c>
      <c r="F3363" t="s">
        <v>1</v>
      </c>
      <c r="G3363" t="s">
        <v>2</v>
      </c>
      <c r="H3363" t="s">
        <v>1837</v>
      </c>
      <c r="I3363" t="s">
        <v>16993</v>
      </c>
      <c r="P3363" t="s">
        <v>2879</v>
      </c>
      <c r="Y3363" t="s">
        <v>4585</v>
      </c>
    </row>
    <row r="3364" spans="1:25" x14ac:dyDescent="0.25">
      <c r="A3364" t="str">
        <f>"1374661818"</f>
        <v>1374661818</v>
      </c>
      <c r="B3364" t="s">
        <v>18</v>
      </c>
      <c r="C3364" t="s">
        <v>9912</v>
      </c>
      <c r="D3364" t="s">
        <v>16994</v>
      </c>
      <c r="E3364">
        <v>424016</v>
      </c>
      <c r="F3364" t="s">
        <v>1</v>
      </c>
      <c r="G3364" t="s">
        <v>2</v>
      </c>
      <c r="H3364" t="s">
        <v>16995</v>
      </c>
      <c r="I3364" t="s">
        <v>16996</v>
      </c>
      <c r="P3364" t="s">
        <v>10133</v>
      </c>
      <c r="Y3364" t="s">
        <v>16997</v>
      </c>
    </row>
    <row r="3365" spans="1:25" x14ac:dyDescent="0.25">
      <c r="A3365" t="str">
        <f>"1374978692"</f>
        <v>1374978692</v>
      </c>
      <c r="B3365" t="s">
        <v>25</v>
      </c>
      <c r="C3365" t="s">
        <v>59</v>
      </c>
      <c r="D3365" t="s">
        <v>25</v>
      </c>
      <c r="E3365">
        <v>424038</v>
      </c>
      <c r="F3365" t="s">
        <v>1</v>
      </c>
      <c r="G3365" t="s">
        <v>2</v>
      </c>
      <c r="H3365" t="s">
        <v>546</v>
      </c>
      <c r="I3365" t="s">
        <v>5052</v>
      </c>
      <c r="J3365" t="s">
        <v>16998</v>
      </c>
      <c r="P3365" t="s">
        <v>133</v>
      </c>
      <c r="Y3365" t="s">
        <v>549</v>
      </c>
    </row>
    <row r="3366" spans="1:25" x14ac:dyDescent="0.25">
      <c r="A3366" t="str">
        <f>"1375003988"</f>
        <v>1375003988</v>
      </c>
      <c r="B3366" t="s">
        <v>640</v>
      </c>
      <c r="C3366" t="s">
        <v>663</v>
      </c>
      <c r="D3366" t="s">
        <v>16999</v>
      </c>
      <c r="E3366">
        <v>424038</v>
      </c>
      <c r="F3366" t="s">
        <v>1</v>
      </c>
      <c r="G3366" t="s">
        <v>2</v>
      </c>
      <c r="H3366" t="s">
        <v>11821</v>
      </c>
      <c r="I3366" t="s">
        <v>17000</v>
      </c>
      <c r="J3366" t="s">
        <v>17001</v>
      </c>
      <c r="P3366" t="s">
        <v>17002</v>
      </c>
      <c r="Y3366" t="s">
        <v>17003</v>
      </c>
    </row>
    <row r="3367" spans="1:25" x14ac:dyDescent="0.25">
      <c r="A3367" t="str">
        <f>"1375045253"</f>
        <v>1375045253</v>
      </c>
      <c r="B3367" t="s">
        <v>462</v>
      </c>
      <c r="C3367" t="s">
        <v>12544</v>
      </c>
      <c r="D3367" t="s">
        <v>17004</v>
      </c>
      <c r="E3367">
        <v>424005</v>
      </c>
      <c r="F3367" t="s">
        <v>1</v>
      </c>
      <c r="G3367" t="s">
        <v>2</v>
      </c>
      <c r="H3367" t="s">
        <v>5843</v>
      </c>
      <c r="J3367" t="s">
        <v>17005</v>
      </c>
      <c r="P3367" t="s">
        <v>390</v>
      </c>
      <c r="Y3367" t="s">
        <v>5844</v>
      </c>
    </row>
    <row r="3368" spans="1:25" x14ac:dyDescent="0.25">
      <c r="A3368" t="str">
        <f>"1375058793"</f>
        <v>1375058793</v>
      </c>
      <c r="B3368" t="s">
        <v>624</v>
      </c>
      <c r="C3368" t="s">
        <v>1637</v>
      </c>
      <c r="D3368" t="s">
        <v>17006</v>
      </c>
      <c r="F3368" t="s">
        <v>1</v>
      </c>
      <c r="G3368" t="s">
        <v>2</v>
      </c>
      <c r="H3368" t="s">
        <v>3696</v>
      </c>
      <c r="I3368" t="s">
        <v>17007</v>
      </c>
      <c r="K3368" t="s">
        <v>17007</v>
      </c>
      <c r="P3368" t="s">
        <v>20</v>
      </c>
      <c r="Y3368" t="s">
        <v>17008</v>
      </c>
    </row>
    <row r="3369" spans="1:25" x14ac:dyDescent="0.25">
      <c r="A3369" t="str">
        <f>"1375066144"</f>
        <v>1375066144</v>
      </c>
      <c r="B3369" t="s">
        <v>151</v>
      </c>
      <c r="C3369" t="s">
        <v>2522</v>
      </c>
      <c r="D3369" t="s">
        <v>17009</v>
      </c>
      <c r="E3369">
        <v>424002</v>
      </c>
      <c r="F3369" t="s">
        <v>1</v>
      </c>
      <c r="G3369" t="s">
        <v>2</v>
      </c>
      <c r="H3369" t="s">
        <v>5041</v>
      </c>
      <c r="I3369" t="s">
        <v>17010</v>
      </c>
      <c r="P3369" t="s">
        <v>869</v>
      </c>
      <c r="Y3369" t="s">
        <v>17011</v>
      </c>
    </row>
    <row r="3370" spans="1:25" x14ac:dyDescent="0.25">
      <c r="A3370" t="str">
        <f>"1375108526"</f>
        <v>1375108526</v>
      </c>
      <c r="B3370" t="s">
        <v>4027</v>
      </c>
      <c r="C3370" t="s">
        <v>17016</v>
      </c>
      <c r="D3370" t="s">
        <v>17012</v>
      </c>
      <c r="E3370">
        <v>424007</v>
      </c>
      <c r="F3370" t="s">
        <v>1</v>
      </c>
      <c r="G3370" t="s">
        <v>2</v>
      </c>
      <c r="H3370" t="s">
        <v>819</v>
      </c>
      <c r="I3370" t="s">
        <v>17013</v>
      </c>
      <c r="L3370" t="s">
        <v>17014</v>
      </c>
      <c r="M3370" t="s">
        <v>17015</v>
      </c>
      <c r="P3370" t="s">
        <v>4280</v>
      </c>
      <c r="Q3370" t="s">
        <v>17017</v>
      </c>
      <c r="Y3370" t="s">
        <v>17018</v>
      </c>
    </row>
    <row r="3371" spans="1:25" x14ac:dyDescent="0.25">
      <c r="A3371" t="str">
        <f>"1375129504"</f>
        <v>1375129504</v>
      </c>
      <c r="B3371" t="s">
        <v>703</v>
      </c>
      <c r="C3371" t="s">
        <v>2129</v>
      </c>
      <c r="D3371" t="s">
        <v>12843</v>
      </c>
      <c r="E3371">
        <v>424004</v>
      </c>
      <c r="F3371" t="s">
        <v>1</v>
      </c>
      <c r="G3371" t="s">
        <v>2</v>
      </c>
      <c r="H3371" t="s">
        <v>229</v>
      </c>
      <c r="J3371" t="s">
        <v>17019</v>
      </c>
      <c r="P3371" t="s">
        <v>133</v>
      </c>
      <c r="Y3371" t="s">
        <v>237</v>
      </c>
    </row>
    <row r="3372" spans="1:25" x14ac:dyDescent="0.25">
      <c r="A3372" t="str">
        <f>"1375178581"</f>
        <v>1375178581</v>
      </c>
      <c r="B3372" t="s">
        <v>18</v>
      </c>
      <c r="C3372" t="s">
        <v>17024</v>
      </c>
      <c r="D3372" t="s">
        <v>17020</v>
      </c>
      <c r="F3372" t="s">
        <v>1</v>
      </c>
      <c r="G3372" t="s">
        <v>2</v>
      </c>
      <c r="H3372" t="s">
        <v>14099</v>
      </c>
      <c r="J3372" t="s">
        <v>17021</v>
      </c>
      <c r="L3372" t="s">
        <v>17022</v>
      </c>
      <c r="M3372" t="s">
        <v>17023</v>
      </c>
      <c r="P3372" t="s">
        <v>280</v>
      </c>
      <c r="Y3372" t="s">
        <v>14102</v>
      </c>
    </row>
    <row r="3373" spans="1:25" x14ac:dyDescent="0.25">
      <c r="A3373" t="str">
        <f>"1375353669"</f>
        <v>1375353669</v>
      </c>
      <c r="B3373" t="s">
        <v>290</v>
      </c>
      <c r="C3373" t="s">
        <v>290</v>
      </c>
      <c r="D3373" t="s">
        <v>17025</v>
      </c>
      <c r="E3373">
        <v>424019</v>
      </c>
      <c r="F3373" t="s">
        <v>1</v>
      </c>
      <c r="G3373" t="s">
        <v>2</v>
      </c>
      <c r="H3373" t="s">
        <v>13204</v>
      </c>
      <c r="I3373" t="s">
        <v>17026</v>
      </c>
      <c r="J3373" t="s">
        <v>17027</v>
      </c>
      <c r="P3373" t="s">
        <v>2738</v>
      </c>
      <c r="Y3373" t="s">
        <v>17028</v>
      </c>
    </row>
    <row r="3374" spans="1:25" x14ac:dyDescent="0.25">
      <c r="A3374" t="str">
        <f>"1375388406"</f>
        <v>1375388406</v>
      </c>
      <c r="B3374" t="s">
        <v>160</v>
      </c>
      <c r="C3374" t="s">
        <v>1666</v>
      </c>
      <c r="D3374" t="s">
        <v>17029</v>
      </c>
      <c r="E3374">
        <v>424019</v>
      </c>
      <c r="F3374" t="s">
        <v>1</v>
      </c>
      <c r="G3374" t="s">
        <v>2</v>
      </c>
      <c r="H3374" t="s">
        <v>17030</v>
      </c>
      <c r="J3374" t="s">
        <v>17031</v>
      </c>
      <c r="P3374" t="s">
        <v>17032</v>
      </c>
      <c r="Y3374" t="s">
        <v>17033</v>
      </c>
    </row>
    <row r="3375" spans="1:25" x14ac:dyDescent="0.25">
      <c r="A3375" t="str">
        <f>"1375398469"</f>
        <v>1375398469</v>
      </c>
      <c r="B3375" t="s">
        <v>1573</v>
      </c>
      <c r="C3375" t="s">
        <v>7704</v>
      </c>
      <c r="D3375" t="s">
        <v>17034</v>
      </c>
      <c r="E3375">
        <v>424002</v>
      </c>
      <c r="F3375" t="s">
        <v>1</v>
      </c>
      <c r="G3375" t="s">
        <v>2</v>
      </c>
      <c r="H3375" t="s">
        <v>7367</v>
      </c>
      <c r="I3375" t="s">
        <v>17035</v>
      </c>
      <c r="P3375" t="s">
        <v>8655</v>
      </c>
      <c r="Y3375" t="s">
        <v>17036</v>
      </c>
    </row>
    <row r="3376" spans="1:25" x14ac:dyDescent="0.25">
      <c r="A3376" t="str">
        <f>"1375587241"</f>
        <v>1375587241</v>
      </c>
      <c r="B3376" t="s">
        <v>176</v>
      </c>
      <c r="C3376" t="s">
        <v>566</v>
      </c>
      <c r="D3376" t="s">
        <v>10260</v>
      </c>
      <c r="E3376">
        <v>424030</v>
      </c>
      <c r="F3376" t="s">
        <v>1</v>
      </c>
      <c r="G3376" t="s">
        <v>2</v>
      </c>
      <c r="H3376" t="s">
        <v>15539</v>
      </c>
      <c r="I3376" t="s">
        <v>17037</v>
      </c>
      <c r="P3376" t="s">
        <v>2457</v>
      </c>
      <c r="Y3376" t="s">
        <v>17038</v>
      </c>
    </row>
    <row r="3377" spans="1:25" x14ac:dyDescent="0.25">
      <c r="A3377" t="str">
        <f>"1375598019"</f>
        <v>1375598019</v>
      </c>
      <c r="B3377" t="s">
        <v>110</v>
      </c>
      <c r="C3377" t="s">
        <v>17042</v>
      </c>
      <c r="D3377" t="s">
        <v>17039</v>
      </c>
      <c r="E3377">
        <v>424006</v>
      </c>
      <c r="F3377" t="s">
        <v>1</v>
      </c>
      <c r="G3377" t="s">
        <v>2</v>
      </c>
      <c r="H3377" t="s">
        <v>751</v>
      </c>
      <c r="I3377" t="s">
        <v>17040</v>
      </c>
      <c r="K3377" t="s">
        <v>17041</v>
      </c>
      <c r="P3377" t="s">
        <v>280</v>
      </c>
      <c r="Y3377" t="s">
        <v>755</v>
      </c>
    </row>
    <row r="3378" spans="1:25" x14ac:dyDescent="0.25">
      <c r="A3378" t="str">
        <f>"1375615147"</f>
        <v>1375615147</v>
      </c>
      <c r="B3378" t="s">
        <v>18</v>
      </c>
      <c r="C3378" t="s">
        <v>2593</v>
      </c>
      <c r="D3378" t="s">
        <v>17043</v>
      </c>
      <c r="E3378">
        <v>424006</v>
      </c>
      <c r="F3378" t="s">
        <v>1</v>
      </c>
      <c r="G3378" t="s">
        <v>2</v>
      </c>
      <c r="H3378" t="s">
        <v>2825</v>
      </c>
      <c r="I3378" t="s">
        <v>17044</v>
      </c>
      <c r="J3378" t="s">
        <v>17045</v>
      </c>
      <c r="P3378" t="s">
        <v>216</v>
      </c>
      <c r="Y3378" t="s">
        <v>2832</v>
      </c>
    </row>
    <row r="3379" spans="1:25" x14ac:dyDescent="0.25">
      <c r="A3379" t="str">
        <f>"1375632252"</f>
        <v>1375632252</v>
      </c>
      <c r="B3379" t="s">
        <v>18</v>
      </c>
      <c r="C3379" t="s">
        <v>17050</v>
      </c>
      <c r="D3379" t="s">
        <v>17046</v>
      </c>
      <c r="E3379">
        <v>424003</v>
      </c>
      <c r="F3379" t="s">
        <v>1</v>
      </c>
      <c r="G3379" t="s">
        <v>2</v>
      </c>
      <c r="H3379" t="s">
        <v>7258</v>
      </c>
      <c r="J3379" t="s">
        <v>17047</v>
      </c>
      <c r="L3379" t="s">
        <v>17048</v>
      </c>
      <c r="M3379" t="s">
        <v>17049</v>
      </c>
      <c r="P3379" t="s">
        <v>152</v>
      </c>
      <c r="V3379" t="s">
        <v>17051</v>
      </c>
      <c r="Y3379" t="s">
        <v>17052</v>
      </c>
    </row>
    <row r="3380" spans="1:25" x14ac:dyDescent="0.25">
      <c r="A3380" t="str">
        <f>"1375655103"</f>
        <v>1375655103</v>
      </c>
      <c r="B3380" t="s">
        <v>151</v>
      </c>
      <c r="C3380" t="s">
        <v>151</v>
      </c>
      <c r="D3380" t="s">
        <v>151</v>
      </c>
      <c r="E3380">
        <v>424007</v>
      </c>
      <c r="F3380" t="s">
        <v>1</v>
      </c>
      <c r="G3380" t="s">
        <v>2</v>
      </c>
      <c r="H3380" t="s">
        <v>4751</v>
      </c>
      <c r="J3380" t="s">
        <v>17053</v>
      </c>
      <c r="P3380" t="s">
        <v>60</v>
      </c>
      <c r="Y3380" t="s">
        <v>4753</v>
      </c>
    </row>
    <row r="3381" spans="1:25" x14ac:dyDescent="0.25">
      <c r="A3381" t="str">
        <f>"1375671429"</f>
        <v>1375671429</v>
      </c>
      <c r="B3381" t="s">
        <v>519</v>
      </c>
      <c r="C3381" t="s">
        <v>17057</v>
      </c>
      <c r="D3381" t="s">
        <v>17054</v>
      </c>
      <c r="E3381">
        <v>424037</v>
      </c>
      <c r="F3381" t="s">
        <v>1</v>
      </c>
      <c r="G3381" t="s">
        <v>2</v>
      </c>
      <c r="H3381" t="s">
        <v>3216</v>
      </c>
      <c r="I3381" t="s">
        <v>17055</v>
      </c>
      <c r="M3381" t="s">
        <v>17056</v>
      </c>
      <c r="P3381" t="s">
        <v>17058</v>
      </c>
      <c r="Y3381" t="s">
        <v>17059</v>
      </c>
    </row>
    <row r="3382" spans="1:25" x14ac:dyDescent="0.25">
      <c r="A3382" t="str">
        <f>"1375922768"</f>
        <v>1375922768</v>
      </c>
      <c r="B3382" t="s">
        <v>290</v>
      </c>
      <c r="C3382" t="s">
        <v>290</v>
      </c>
      <c r="D3382" t="s">
        <v>17060</v>
      </c>
      <c r="E3382">
        <v>424032</v>
      </c>
      <c r="F3382" t="s">
        <v>1</v>
      </c>
      <c r="G3382" t="s">
        <v>2</v>
      </c>
      <c r="H3382" t="s">
        <v>6280</v>
      </c>
      <c r="I3382" t="s">
        <v>17061</v>
      </c>
      <c r="P3382" t="s">
        <v>2457</v>
      </c>
      <c r="Y3382" t="s">
        <v>17062</v>
      </c>
    </row>
    <row r="3383" spans="1:25" x14ac:dyDescent="0.25">
      <c r="A3383" t="str">
        <f>"1375932065"</f>
        <v>1375932065</v>
      </c>
      <c r="B3383" t="s">
        <v>25</v>
      </c>
      <c r="C3383" t="s">
        <v>17064</v>
      </c>
      <c r="D3383" t="s">
        <v>17063</v>
      </c>
      <c r="E3383">
        <v>424000</v>
      </c>
      <c r="F3383" t="s">
        <v>1</v>
      </c>
      <c r="G3383" t="s">
        <v>2</v>
      </c>
      <c r="H3383" t="s">
        <v>4255</v>
      </c>
      <c r="Y3383" t="s">
        <v>17065</v>
      </c>
    </row>
    <row r="3384" spans="1:25" x14ac:dyDescent="0.25">
      <c r="A3384" t="str">
        <f>"1375933102"</f>
        <v>1375933102</v>
      </c>
      <c r="B3384" t="s">
        <v>738</v>
      </c>
      <c r="C3384" t="s">
        <v>7441</v>
      </c>
      <c r="D3384" t="s">
        <v>17066</v>
      </c>
      <c r="E3384">
        <v>424007</v>
      </c>
      <c r="F3384" t="s">
        <v>1</v>
      </c>
      <c r="G3384" t="s">
        <v>2</v>
      </c>
      <c r="H3384" t="s">
        <v>1389</v>
      </c>
      <c r="I3384" t="s">
        <v>17067</v>
      </c>
      <c r="P3384" t="s">
        <v>17068</v>
      </c>
      <c r="Y3384" t="s">
        <v>4197</v>
      </c>
    </row>
    <row r="3385" spans="1:25" x14ac:dyDescent="0.25">
      <c r="A3385" t="str">
        <f>"1375992017"</f>
        <v>1375992017</v>
      </c>
      <c r="B3385" t="s">
        <v>160</v>
      </c>
      <c r="C3385" t="s">
        <v>1666</v>
      </c>
      <c r="D3385" t="s">
        <v>17069</v>
      </c>
      <c r="E3385">
        <v>424007</v>
      </c>
      <c r="F3385" t="s">
        <v>1</v>
      </c>
      <c r="G3385" t="s">
        <v>2</v>
      </c>
      <c r="H3385" t="s">
        <v>5281</v>
      </c>
      <c r="I3385" t="s">
        <v>17070</v>
      </c>
      <c r="J3385" t="s">
        <v>17071</v>
      </c>
      <c r="P3385" t="s">
        <v>17072</v>
      </c>
      <c r="Y3385" t="s">
        <v>16121</v>
      </c>
    </row>
    <row r="3386" spans="1:25" x14ac:dyDescent="0.25">
      <c r="A3386" t="str">
        <f>"1376054507"</f>
        <v>1376054507</v>
      </c>
      <c r="B3386" t="s">
        <v>160</v>
      </c>
      <c r="C3386" t="s">
        <v>1666</v>
      </c>
      <c r="D3386" t="s">
        <v>17073</v>
      </c>
      <c r="E3386">
        <v>424032</v>
      </c>
      <c r="F3386" t="s">
        <v>1</v>
      </c>
      <c r="G3386" t="s">
        <v>2</v>
      </c>
      <c r="H3386" t="s">
        <v>17074</v>
      </c>
      <c r="I3386" t="s">
        <v>17075</v>
      </c>
      <c r="P3386" t="s">
        <v>13017</v>
      </c>
      <c r="Y3386" t="s">
        <v>17076</v>
      </c>
    </row>
    <row r="3387" spans="1:25" x14ac:dyDescent="0.25">
      <c r="A3387" t="str">
        <f>"1376058469"</f>
        <v>1376058469</v>
      </c>
      <c r="B3387" t="s">
        <v>888</v>
      </c>
      <c r="C3387" t="s">
        <v>17081</v>
      </c>
      <c r="D3387" t="s">
        <v>17077</v>
      </c>
      <c r="E3387">
        <v>424039</v>
      </c>
      <c r="F3387" t="s">
        <v>1</v>
      </c>
      <c r="G3387" t="s">
        <v>2</v>
      </c>
      <c r="H3387" t="s">
        <v>5827</v>
      </c>
      <c r="J3387" t="s">
        <v>17078</v>
      </c>
      <c r="L3387" t="s">
        <v>17079</v>
      </c>
      <c r="M3387" t="s">
        <v>17080</v>
      </c>
      <c r="P3387" t="s">
        <v>17082</v>
      </c>
      <c r="Q3387" t="s">
        <v>17083</v>
      </c>
      <c r="Y3387" t="s">
        <v>17084</v>
      </c>
    </row>
    <row r="3388" spans="1:25" x14ac:dyDescent="0.25">
      <c r="A3388" t="str">
        <f>"1376072556"</f>
        <v>1376072556</v>
      </c>
      <c r="B3388" t="s">
        <v>160</v>
      </c>
      <c r="C3388" t="s">
        <v>9976</v>
      </c>
      <c r="D3388" t="s">
        <v>17085</v>
      </c>
      <c r="E3388">
        <v>424019</v>
      </c>
      <c r="F3388" t="s">
        <v>1</v>
      </c>
      <c r="G3388" t="s">
        <v>2</v>
      </c>
      <c r="H3388" t="s">
        <v>1497</v>
      </c>
      <c r="I3388" t="s">
        <v>17086</v>
      </c>
      <c r="P3388" t="s">
        <v>17087</v>
      </c>
      <c r="Y3388" t="s">
        <v>17088</v>
      </c>
    </row>
    <row r="3389" spans="1:25" x14ac:dyDescent="0.25">
      <c r="A3389" t="str">
        <f>"1376127361"</f>
        <v>1376127361</v>
      </c>
      <c r="B3389" t="s">
        <v>32</v>
      </c>
      <c r="C3389" t="s">
        <v>17095</v>
      </c>
      <c r="D3389" t="s">
        <v>17089</v>
      </c>
      <c r="E3389">
        <v>424005</v>
      </c>
      <c r="F3389" t="s">
        <v>1</v>
      </c>
      <c r="G3389" t="s">
        <v>2</v>
      </c>
      <c r="H3389" t="s">
        <v>17090</v>
      </c>
      <c r="I3389" t="s">
        <v>17091</v>
      </c>
      <c r="J3389" t="s">
        <v>17092</v>
      </c>
      <c r="L3389" t="s">
        <v>17093</v>
      </c>
      <c r="M3389" t="s">
        <v>17094</v>
      </c>
      <c r="P3389" t="s">
        <v>17096</v>
      </c>
      <c r="Y3389" t="s">
        <v>17097</v>
      </c>
    </row>
    <row r="3390" spans="1:25" x14ac:dyDescent="0.25">
      <c r="A3390" t="str">
        <f>"1376198992"</f>
        <v>1376198992</v>
      </c>
      <c r="B3390" t="s">
        <v>18</v>
      </c>
      <c r="C3390" t="s">
        <v>17103</v>
      </c>
      <c r="D3390" t="s">
        <v>17098</v>
      </c>
      <c r="E3390">
        <v>424038</v>
      </c>
      <c r="F3390" t="s">
        <v>1</v>
      </c>
      <c r="G3390" t="s">
        <v>2</v>
      </c>
      <c r="H3390" t="s">
        <v>12580</v>
      </c>
      <c r="I3390" t="s">
        <v>17099</v>
      </c>
      <c r="J3390" t="s">
        <v>17100</v>
      </c>
      <c r="L3390" t="s">
        <v>17101</v>
      </c>
      <c r="M3390" t="s">
        <v>17102</v>
      </c>
      <c r="P3390" t="s">
        <v>17104</v>
      </c>
      <c r="Q3390" t="s">
        <v>17105</v>
      </c>
      <c r="V3390" t="s">
        <v>17106</v>
      </c>
      <c r="Y3390" t="s">
        <v>17107</v>
      </c>
    </row>
    <row r="3391" spans="1:25" x14ac:dyDescent="0.25">
      <c r="A3391" t="str">
        <f>"1376222968"</f>
        <v>1376222968</v>
      </c>
      <c r="B3391" t="s">
        <v>1573</v>
      </c>
      <c r="C3391" t="s">
        <v>1753</v>
      </c>
      <c r="D3391" t="s">
        <v>17108</v>
      </c>
      <c r="E3391">
        <v>424002</v>
      </c>
      <c r="F3391" t="s">
        <v>1</v>
      </c>
      <c r="G3391" t="s">
        <v>2</v>
      </c>
      <c r="H3391" t="s">
        <v>2338</v>
      </c>
      <c r="P3391" t="s">
        <v>13820</v>
      </c>
      <c r="Y3391" t="s">
        <v>2954</v>
      </c>
    </row>
    <row r="3392" spans="1:25" x14ac:dyDescent="0.25">
      <c r="A3392" t="str">
        <f>"1376227446"</f>
        <v>1376227446</v>
      </c>
      <c r="B3392" t="s">
        <v>716</v>
      </c>
      <c r="C3392" t="s">
        <v>717</v>
      </c>
      <c r="D3392" t="s">
        <v>17109</v>
      </c>
      <c r="E3392">
        <v>424020</v>
      </c>
      <c r="F3392" t="s">
        <v>1</v>
      </c>
      <c r="G3392" t="s">
        <v>2</v>
      </c>
      <c r="H3392" t="s">
        <v>17110</v>
      </c>
      <c r="I3392" t="s">
        <v>17111</v>
      </c>
      <c r="L3392" t="s">
        <v>17112</v>
      </c>
      <c r="P3392" t="s">
        <v>330</v>
      </c>
      <c r="Y3392" t="s">
        <v>718</v>
      </c>
    </row>
    <row r="3393" spans="1:25" x14ac:dyDescent="0.25">
      <c r="A3393" t="str">
        <f>"1376357990"</f>
        <v>1376357990</v>
      </c>
      <c r="B3393" t="s">
        <v>352</v>
      </c>
      <c r="C3393" t="s">
        <v>17115</v>
      </c>
      <c r="D3393" t="s">
        <v>10059</v>
      </c>
      <c r="E3393">
        <v>424019</v>
      </c>
      <c r="F3393" t="s">
        <v>1</v>
      </c>
      <c r="G3393" t="s">
        <v>2</v>
      </c>
      <c r="H3393" t="s">
        <v>17113</v>
      </c>
      <c r="J3393" t="s">
        <v>17114</v>
      </c>
      <c r="P3393" t="s">
        <v>280</v>
      </c>
      <c r="Y3393" t="s">
        <v>17116</v>
      </c>
    </row>
    <row r="3394" spans="1:25" x14ac:dyDescent="0.25">
      <c r="A3394" t="str">
        <f>"1376426151"</f>
        <v>1376426151</v>
      </c>
      <c r="B3394" t="s">
        <v>1544</v>
      </c>
      <c r="C3394" t="s">
        <v>3596</v>
      </c>
      <c r="D3394" t="s">
        <v>17117</v>
      </c>
      <c r="E3394">
        <v>424003</v>
      </c>
      <c r="F3394" t="s">
        <v>1</v>
      </c>
      <c r="G3394" t="s">
        <v>2</v>
      </c>
      <c r="H3394" t="s">
        <v>10603</v>
      </c>
      <c r="I3394" t="s">
        <v>10604</v>
      </c>
      <c r="P3394" t="s">
        <v>152</v>
      </c>
      <c r="Y3394" t="s">
        <v>17118</v>
      </c>
    </row>
    <row r="3395" spans="1:25" x14ac:dyDescent="0.25">
      <c r="A3395" t="str">
        <f>"1376454803"</f>
        <v>1376454803</v>
      </c>
      <c r="B3395" t="s">
        <v>4495</v>
      </c>
      <c r="C3395" t="s">
        <v>17125</v>
      </c>
      <c r="D3395" t="s">
        <v>17119</v>
      </c>
      <c r="E3395">
        <v>424007</v>
      </c>
      <c r="F3395" t="s">
        <v>1</v>
      </c>
      <c r="G3395" t="s">
        <v>2</v>
      </c>
      <c r="H3395" t="s">
        <v>17120</v>
      </c>
      <c r="I3395" t="s">
        <v>17121</v>
      </c>
      <c r="K3395" t="s">
        <v>17122</v>
      </c>
      <c r="L3395" t="s">
        <v>17123</v>
      </c>
      <c r="M3395" t="s">
        <v>17124</v>
      </c>
      <c r="P3395" t="s">
        <v>280</v>
      </c>
      <c r="Y3395" t="s">
        <v>17126</v>
      </c>
    </row>
    <row r="3396" spans="1:25" x14ac:dyDescent="0.25">
      <c r="A3396" t="str">
        <f>"1376469846"</f>
        <v>1376469846</v>
      </c>
      <c r="B3396" t="s">
        <v>290</v>
      </c>
      <c r="C3396" t="s">
        <v>2737</v>
      </c>
      <c r="D3396" t="s">
        <v>17127</v>
      </c>
      <c r="E3396">
        <v>424037</v>
      </c>
      <c r="F3396" t="s">
        <v>1</v>
      </c>
      <c r="G3396" t="s">
        <v>2</v>
      </c>
      <c r="H3396" t="s">
        <v>3278</v>
      </c>
      <c r="Y3396" t="s">
        <v>17128</v>
      </c>
    </row>
    <row r="3397" spans="1:25" x14ac:dyDescent="0.25">
      <c r="A3397" t="str">
        <f>"1376499855"</f>
        <v>1376499855</v>
      </c>
      <c r="B3397" t="s">
        <v>224</v>
      </c>
      <c r="C3397" t="s">
        <v>3240</v>
      </c>
      <c r="D3397" t="s">
        <v>17129</v>
      </c>
      <c r="E3397">
        <v>424031</v>
      </c>
      <c r="F3397" t="s">
        <v>1</v>
      </c>
      <c r="G3397" t="s">
        <v>2</v>
      </c>
      <c r="H3397" t="s">
        <v>8799</v>
      </c>
      <c r="I3397" t="s">
        <v>17130</v>
      </c>
      <c r="J3397" t="s">
        <v>10662</v>
      </c>
      <c r="P3397" t="s">
        <v>5575</v>
      </c>
      <c r="Y3397" t="s">
        <v>17131</v>
      </c>
    </row>
    <row r="3398" spans="1:25" x14ac:dyDescent="0.25">
      <c r="A3398" t="str">
        <f>"1376556218"</f>
        <v>1376556218</v>
      </c>
      <c r="B3398" t="s">
        <v>18</v>
      </c>
      <c r="C3398" t="s">
        <v>17135</v>
      </c>
      <c r="D3398" t="s">
        <v>17132</v>
      </c>
      <c r="E3398">
        <v>424006</v>
      </c>
      <c r="F3398" t="s">
        <v>1</v>
      </c>
      <c r="G3398" t="s">
        <v>2</v>
      </c>
      <c r="H3398" t="s">
        <v>5726</v>
      </c>
      <c r="I3398" t="s">
        <v>17133</v>
      </c>
      <c r="J3398" t="s">
        <v>17134</v>
      </c>
      <c r="P3398" t="s">
        <v>2951</v>
      </c>
      <c r="Y3398" t="s">
        <v>656</v>
      </c>
    </row>
    <row r="3399" spans="1:25" x14ac:dyDescent="0.25">
      <c r="A3399" t="str">
        <f>"1376624538"</f>
        <v>1376624538</v>
      </c>
      <c r="B3399" t="s">
        <v>1053</v>
      </c>
      <c r="C3399" t="s">
        <v>11751</v>
      </c>
      <c r="D3399" t="s">
        <v>17136</v>
      </c>
      <c r="E3399">
        <v>424002</v>
      </c>
      <c r="F3399" t="s">
        <v>1</v>
      </c>
      <c r="G3399" t="s">
        <v>2</v>
      </c>
      <c r="H3399" t="s">
        <v>1190</v>
      </c>
      <c r="I3399" t="s">
        <v>17137</v>
      </c>
      <c r="P3399" t="s">
        <v>20</v>
      </c>
      <c r="Y3399" t="s">
        <v>1284</v>
      </c>
    </row>
    <row r="3400" spans="1:25" x14ac:dyDescent="0.25">
      <c r="A3400" t="str">
        <f>"1376686692"</f>
        <v>1376686692</v>
      </c>
      <c r="B3400" t="s">
        <v>96</v>
      </c>
      <c r="C3400" t="s">
        <v>507</v>
      </c>
      <c r="D3400" t="s">
        <v>13170</v>
      </c>
      <c r="E3400">
        <v>424000</v>
      </c>
      <c r="F3400" t="s">
        <v>1</v>
      </c>
      <c r="G3400" t="s">
        <v>2</v>
      </c>
      <c r="H3400" t="s">
        <v>92</v>
      </c>
      <c r="I3400" t="s">
        <v>17138</v>
      </c>
      <c r="P3400" t="s">
        <v>98</v>
      </c>
      <c r="Y3400" t="s">
        <v>17139</v>
      </c>
    </row>
    <row r="3401" spans="1:25" x14ac:dyDescent="0.25">
      <c r="A3401" t="str">
        <f>"1376788976"</f>
        <v>1376788976</v>
      </c>
      <c r="B3401" t="s">
        <v>687</v>
      </c>
      <c r="C3401" t="s">
        <v>17144</v>
      </c>
      <c r="D3401" t="s">
        <v>17140</v>
      </c>
      <c r="E3401">
        <v>424026</v>
      </c>
      <c r="F3401" t="s">
        <v>1</v>
      </c>
      <c r="G3401" t="s">
        <v>2</v>
      </c>
      <c r="H3401" t="s">
        <v>1095</v>
      </c>
      <c r="I3401" t="s">
        <v>17141</v>
      </c>
      <c r="J3401" t="s">
        <v>4921</v>
      </c>
      <c r="L3401" t="s">
        <v>17142</v>
      </c>
      <c r="M3401" t="s">
        <v>17143</v>
      </c>
      <c r="P3401" t="s">
        <v>2979</v>
      </c>
      <c r="Y3401" t="s">
        <v>1097</v>
      </c>
    </row>
    <row r="3402" spans="1:25" x14ac:dyDescent="0.25">
      <c r="A3402" t="str">
        <f>"1376856059"</f>
        <v>1376856059</v>
      </c>
      <c r="B3402" t="s">
        <v>2818</v>
      </c>
      <c r="C3402" t="s">
        <v>6466</v>
      </c>
      <c r="D3402" t="s">
        <v>17145</v>
      </c>
      <c r="E3402">
        <v>424031</v>
      </c>
      <c r="F3402" t="s">
        <v>1</v>
      </c>
      <c r="G3402" t="s">
        <v>2</v>
      </c>
      <c r="H3402" t="s">
        <v>887</v>
      </c>
      <c r="I3402" t="s">
        <v>17146</v>
      </c>
      <c r="J3402" t="s">
        <v>17147</v>
      </c>
      <c r="P3402" t="s">
        <v>152</v>
      </c>
      <c r="Y3402" t="s">
        <v>17148</v>
      </c>
    </row>
    <row r="3403" spans="1:25" x14ac:dyDescent="0.25">
      <c r="A3403" t="str">
        <f>"1376870035"</f>
        <v>1376870035</v>
      </c>
      <c r="B3403" t="s">
        <v>18</v>
      </c>
      <c r="C3403" t="s">
        <v>17154</v>
      </c>
      <c r="D3403" t="s">
        <v>17149</v>
      </c>
      <c r="F3403" t="s">
        <v>1</v>
      </c>
      <c r="G3403" t="s">
        <v>2</v>
      </c>
      <c r="H3403" t="s">
        <v>14782</v>
      </c>
      <c r="I3403" t="s">
        <v>17150</v>
      </c>
      <c r="J3403" t="s">
        <v>17151</v>
      </c>
      <c r="L3403" t="s">
        <v>17152</v>
      </c>
      <c r="M3403" t="s">
        <v>17153</v>
      </c>
      <c r="P3403" t="s">
        <v>2979</v>
      </c>
      <c r="Y3403" t="s">
        <v>17155</v>
      </c>
    </row>
    <row r="3404" spans="1:25" x14ac:dyDescent="0.25">
      <c r="A3404" t="str">
        <f>"1377019998"</f>
        <v>1377019998</v>
      </c>
      <c r="B3404" t="s">
        <v>1053</v>
      </c>
      <c r="C3404" t="s">
        <v>17158</v>
      </c>
      <c r="D3404" t="s">
        <v>17156</v>
      </c>
      <c r="E3404">
        <v>424006</v>
      </c>
      <c r="F3404" t="s">
        <v>1</v>
      </c>
      <c r="G3404" t="s">
        <v>2</v>
      </c>
      <c r="H3404" t="s">
        <v>4078</v>
      </c>
      <c r="J3404" t="s">
        <v>17157</v>
      </c>
      <c r="P3404" t="s">
        <v>27</v>
      </c>
      <c r="Y3404" t="s">
        <v>4080</v>
      </c>
    </row>
    <row r="3405" spans="1:25" x14ac:dyDescent="0.25">
      <c r="A3405" t="str">
        <f>"1377078279"</f>
        <v>1377078279</v>
      </c>
      <c r="B3405" t="s">
        <v>654</v>
      </c>
      <c r="C3405" t="s">
        <v>2974</v>
      </c>
      <c r="D3405" t="s">
        <v>17159</v>
      </c>
      <c r="E3405">
        <v>424031</v>
      </c>
      <c r="F3405" t="s">
        <v>1</v>
      </c>
      <c r="G3405" t="s">
        <v>2</v>
      </c>
      <c r="H3405" t="s">
        <v>1524</v>
      </c>
      <c r="I3405" t="s">
        <v>17160</v>
      </c>
      <c r="J3405" t="s">
        <v>17161</v>
      </c>
      <c r="P3405" t="s">
        <v>17162</v>
      </c>
      <c r="Y3405" t="s">
        <v>5358</v>
      </c>
    </row>
    <row r="3406" spans="1:25" x14ac:dyDescent="0.25">
      <c r="A3406" t="str">
        <f>"1377155965"</f>
        <v>1377155965</v>
      </c>
      <c r="B3406" t="s">
        <v>18</v>
      </c>
      <c r="C3406" t="s">
        <v>17164</v>
      </c>
      <c r="D3406" t="s">
        <v>17163</v>
      </c>
      <c r="E3406">
        <v>424004</v>
      </c>
      <c r="F3406" t="s">
        <v>1</v>
      </c>
      <c r="G3406" t="s">
        <v>2</v>
      </c>
      <c r="H3406" t="s">
        <v>4844</v>
      </c>
      <c r="P3406" t="s">
        <v>1433</v>
      </c>
      <c r="Y3406" t="s">
        <v>17165</v>
      </c>
    </row>
    <row r="3407" spans="1:25" x14ac:dyDescent="0.25">
      <c r="A3407" t="str">
        <f>"1377156879"</f>
        <v>1377156879</v>
      </c>
      <c r="B3407" t="s">
        <v>176</v>
      </c>
      <c r="C3407" t="s">
        <v>250</v>
      </c>
      <c r="D3407" t="s">
        <v>17166</v>
      </c>
      <c r="E3407">
        <v>424031</v>
      </c>
      <c r="F3407" t="s">
        <v>1</v>
      </c>
      <c r="G3407" t="s">
        <v>2</v>
      </c>
      <c r="H3407" t="s">
        <v>239</v>
      </c>
      <c r="I3407" t="s">
        <v>17167</v>
      </c>
      <c r="P3407" t="s">
        <v>696</v>
      </c>
      <c r="Y3407" t="s">
        <v>246</v>
      </c>
    </row>
    <row r="3408" spans="1:25" x14ac:dyDescent="0.25">
      <c r="A3408" t="str">
        <f>"1377163031"</f>
        <v>1377163031</v>
      </c>
      <c r="B3408" t="s">
        <v>888</v>
      </c>
      <c r="C3408" t="s">
        <v>6399</v>
      </c>
      <c r="D3408" t="s">
        <v>17168</v>
      </c>
      <c r="E3408">
        <v>424003</v>
      </c>
      <c r="F3408" t="s">
        <v>1</v>
      </c>
      <c r="G3408" t="s">
        <v>2</v>
      </c>
      <c r="H3408" t="s">
        <v>6518</v>
      </c>
      <c r="I3408" t="s">
        <v>17169</v>
      </c>
      <c r="J3408" t="s">
        <v>17170</v>
      </c>
      <c r="L3408" t="s">
        <v>3001</v>
      </c>
      <c r="M3408" t="s">
        <v>3002</v>
      </c>
      <c r="P3408" t="s">
        <v>4459</v>
      </c>
      <c r="Y3408" t="s">
        <v>17171</v>
      </c>
    </row>
    <row r="3409" spans="1:25" x14ac:dyDescent="0.25">
      <c r="A3409" t="str">
        <f>"1377189728"</f>
        <v>1377189728</v>
      </c>
      <c r="B3409" t="s">
        <v>151</v>
      </c>
      <c r="C3409" t="s">
        <v>151</v>
      </c>
      <c r="D3409" t="s">
        <v>17172</v>
      </c>
      <c r="F3409" t="s">
        <v>1</v>
      </c>
      <c r="G3409" t="s">
        <v>2</v>
      </c>
      <c r="H3409" t="s">
        <v>757</v>
      </c>
      <c r="I3409" t="s">
        <v>17173</v>
      </c>
      <c r="P3409" t="s">
        <v>869</v>
      </c>
      <c r="Y3409" t="s">
        <v>760</v>
      </c>
    </row>
    <row r="3410" spans="1:25" x14ac:dyDescent="0.25">
      <c r="A3410" t="str">
        <f>"1377201514"</f>
        <v>1377201514</v>
      </c>
      <c r="B3410" t="s">
        <v>348</v>
      </c>
      <c r="C3410" t="s">
        <v>4366</v>
      </c>
      <c r="D3410" t="s">
        <v>17174</v>
      </c>
      <c r="E3410">
        <v>424031</v>
      </c>
      <c r="F3410" t="s">
        <v>1</v>
      </c>
      <c r="G3410" t="s">
        <v>2</v>
      </c>
      <c r="H3410" t="s">
        <v>239</v>
      </c>
      <c r="I3410" t="s">
        <v>17175</v>
      </c>
      <c r="J3410" t="s">
        <v>17176</v>
      </c>
      <c r="P3410" t="s">
        <v>4064</v>
      </c>
      <c r="Y3410" t="s">
        <v>17177</v>
      </c>
    </row>
    <row r="3411" spans="1:25" x14ac:dyDescent="0.25">
      <c r="A3411" t="str">
        <f>"1377224449"</f>
        <v>1377224449</v>
      </c>
      <c r="B3411" t="s">
        <v>32</v>
      </c>
      <c r="C3411" t="s">
        <v>182</v>
      </c>
      <c r="D3411" t="s">
        <v>11860</v>
      </c>
      <c r="E3411">
        <v>424019</v>
      </c>
      <c r="F3411" t="s">
        <v>1</v>
      </c>
      <c r="G3411" t="s">
        <v>2</v>
      </c>
      <c r="H3411" t="s">
        <v>15506</v>
      </c>
      <c r="I3411" t="s">
        <v>17178</v>
      </c>
      <c r="P3411" t="s">
        <v>17179</v>
      </c>
      <c r="Y3411" t="s">
        <v>17180</v>
      </c>
    </row>
    <row r="3412" spans="1:25" x14ac:dyDescent="0.25">
      <c r="A3412" t="str">
        <f>"1377295716"</f>
        <v>1377295716</v>
      </c>
      <c r="B3412" t="s">
        <v>1758</v>
      </c>
      <c r="C3412" t="s">
        <v>5551</v>
      </c>
      <c r="D3412" t="s">
        <v>11003</v>
      </c>
      <c r="F3412" t="s">
        <v>1</v>
      </c>
      <c r="G3412" t="s">
        <v>2</v>
      </c>
      <c r="H3412" t="s">
        <v>5906</v>
      </c>
      <c r="J3412" t="s">
        <v>17181</v>
      </c>
      <c r="P3412" t="s">
        <v>17182</v>
      </c>
      <c r="Y3412" t="s">
        <v>5907</v>
      </c>
    </row>
    <row r="3413" spans="1:25" x14ac:dyDescent="0.25">
      <c r="A3413" t="str">
        <f>"1377324279"</f>
        <v>1377324279</v>
      </c>
      <c r="B3413" t="s">
        <v>930</v>
      </c>
      <c r="C3413" t="s">
        <v>17187</v>
      </c>
      <c r="D3413" t="s">
        <v>17183</v>
      </c>
      <c r="E3413">
        <v>424005</v>
      </c>
      <c r="F3413" t="s">
        <v>1</v>
      </c>
      <c r="G3413" t="s">
        <v>2</v>
      </c>
      <c r="H3413" t="s">
        <v>17184</v>
      </c>
      <c r="I3413" t="s">
        <v>17185</v>
      </c>
      <c r="L3413" t="s">
        <v>8198</v>
      </c>
      <c r="M3413" t="s">
        <v>17186</v>
      </c>
      <c r="P3413" t="s">
        <v>8372</v>
      </c>
      <c r="Q3413" t="s">
        <v>17188</v>
      </c>
      <c r="Y3413" t="s">
        <v>17189</v>
      </c>
    </row>
    <row r="3414" spans="1:25" x14ac:dyDescent="0.25">
      <c r="A3414" t="str">
        <f>"1377421219"</f>
        <v>1377421219</v>
      </c>
      <c r="B3414" t="s">
        <v>110</v>
      </c>
      <c r="C3414" t="s">
        <v>111</v>
      </c>
      <c r="D3414" t="s">
        <v>7218</v>
      </c>
      <c r="E3414">
        <v>424000</v>
      </c>
      <c r="F3414" t="s">
        <v>1</v>
      </c>
      <c r="G3414" t="s">
        <v>2</v>
      </c>
      <c r="H3414" t="s">
        <v>17190</v>
      </c>
      <c r="I3414" t="s">
        <v>17191</v>
      </c>
      <c r="L3414" t="s">
        <v>1118</v>
      </c>
      <c r="P3414" t="s">
        <v>1855</v>
      </c>
      <c r="Q3414" t="s">
        <v>1121</v>
      </c>
      <c r="Y3414" t="s">
        <v>17192</v>
      </c>
    </row>
    <row r="3415" spans="1:25" x14ac:dyDescent="0.25">
      <c r="A3415" t="str">
        <f>"1377472729"</f>
        <v>1377472729</v>
      </c>
      <c r="B3415" t="s">
        <v>243</v>
      </c>
      <c r="C3415" t="s">
        <v>2538</v>
      </c>
      <c r="D3415" t="s">
        <v>17193</v>
      </c>
      <c r="E3415">
        <v>424036</v>
      </c>
      <c r="F3415" t="s">
        <v>1</v>
      </c>
      <c r="G3415" t="s">
        <v>2</v>
      </c>
      <c r="H3415" t="s">
        <v>6072</v>
      </c>
      <c r="I3415" t="s">
        <v>17194</v>
      </c>
      <c r="L3415" t="s">
        <v>17195</v>
      </c>
      <c r="M3415" t="s">
        <v>17196</v>
      </c>
      <c r="P3415" t="s">
        <v>9</v>
      </c>
      <c r="Y3415" t="s">
        <v>17197</v>
      </c>
    </row>
    <row r="3416" spans="1:25" x14ac:dyDescent="0.25">
      <c r="A3416" t="str">
        <f>"1377577456"</f>
        <v>1377577456</v>
      </c>
      <c r="B3416" t="s">
        <v>131</v>
      </c>
      <c r="C3416" t="s">
        <v>3866</v>
      </c>
      <c r="D3416" t="s">
        <v>17198</v>
      </c>
      <c r="E3416">
        <v>424038</v>
      </c>
      <c r="F3416" t="s">
        <v>1</v>
      </c>
      <c r="G3416" t="s">
        <v>2</v>
      </c>
      <c r="H3416" t="s">
        <v>7597</v>
      </c>
      <c r="I3416" t="s">
        <v>17199</v>
      </c>
      <c r="L3416" t="s">
        <v>17200</v>
      </c>
      <c r="M3416" t="s">
        <v>17201</v>
      </c>
      <c r="P3416" t="s">
        <v>17202</v>
      </c>
      <c r="Q3416" t="s">
        <v>17203</v>
      </c>
      <c r="Y3416" t="s">
        <v>17204</v>
      </c>
    </row>
    <row r="3417" spans="1:25" x14ac:dyDescent="0.25">
      <c r="A3417" t="str">
        <f>"1377583728"</f>
        <v>1377583728</v>
      </c>
      <c r="B3417" t="s">
        <v>1222</v>
      </c>
      <c r="C3417" t="s">
        <v>2114</v>
      </c>
      <c r="D3417" t="s">
        <v>17205</v>
      </c>
      <c r="E3417">
        <v>424038</v>
      </c>
      <c r="F3417" t="s">
        <v>1</v>
      </c>
      <c r="G3417" t="s">
        <v>2</v>
      </c>
      <c r="H3417" t="s">
        <v>14471</v>
      </c>
      <c r="J3417" t="s">
        <v>17206</v>
      </c>
      <c r="P3417" t="s">
        <v>9213</v>
      </c>
      <c r="Y3417" t="s">
        <v>17207</v>
      </c>
    </row>
    <row r="3418" spans="1:25" x14ac:dyDescent="0.25">
      <c r="A3418" t="str">
        <f>"1377645723"</f>
        <v>1377645723</v>
      </c>
      <c r="B3418" t="s">
        <v>430</v>
      </c>
      <c r="C3418" t="s">
        <v>17210</v>
      </c>
      <c r="D3418" t="s">
        <v>17163</v>
      </c>
      <c r="E3418">
        <v>424003</v>
      </c>
      <c r="F3418" t="s">
        <v>1</v>
      </c>
      <c r="G3418" t="s">
        <v>2</v>
      </c>
      <c r="H3418" t="s">
        <v>3300</v>
      </c>
      <c r="I3418" t="s">
        <v>17208</v>
      </c>
      <c r="J3418" t="s">
        <v>17209</v>
      </c>
      <c r="P3418" t="s">
        <v>410</v>
      </c>
      <c r="Y3418" t="s">
        <v>17211</v>
      </c>
    </row>
    <row r="3419" spans="1:25" x14ac:dyDescent="0.25">
      <c r="A3419" t="str">
        <f>"1377681415"</f>
        <v>1377681415</v>
      </c>
      <c r="B3419" t="s">
        <v>18</v>
      </c>
      <c r="C3419" t="s">
        <v>143</v>
      </c>
      <c r="D3419" t="s">
        <v>17212</v>
      </c>
      <c r="E3419">
        <v>424019</v>
      </c>
      <c r="F3419" t="s">
        <v>1</v>
      </c>
      <c r="G3419" t="s">
        <v>2</v>
      </c>
      <c r="H3419" t="s">
        <v>1801</v>
      </c>
      <c r="I3419" t="s">
        <v>17213</v>
      </c>
      <c r="J3419" t="s">
        <v>17214</v>
      </c>
      <c r="M3419" t="s">
        <v>17215</v>
      </c>
      <c r="P3419" t="s">
        <v>2079</v>
      </c>
      <c r="Y3419" t="s">
        <v>1804</v>
      </c>
    </row>
    <row r="3420" spans="1:25" x14ac:dyDescent="0.25">
      <c r="A3420" t="str">
        <f>"1377774187"</f>
        <v>1377774187</v>
      </c>
      <c r="B3420" t="s">
        <v>160</v>
      </c>
      <c r="C3420" t="s">
        <v>2327</v>
      </c>
      <c r="D3420" t="s">
        <v>17216</v>
      </c>
      <c r="E3420">
        <v>424007</v>
      </c>
      <c r="F3420" t="s">
        <v>1</v>
      </c>
      <c r="G3420" t="s">
        <v>2</v>
      </c>
      <c r="H3420" t="s">
        <v>2454</v>
      </c>
      <c r="I3420" t="s">
        <v>17217</v>
      </c>
      <c r="L3420" t="s">
        <v>17218</v>
      </c>
      <c r="M3420" t="s">
        <v>17219</v>
      </c>
      <c r="P3420" t="s">
        <v>20</v>
      </c>
      <c r="Y3420" t="s">
        <v>17220</v>
      </c>
    </row>
    <row r="3421" spans="1:25" x14ac:dyDescent="0.25">
      <c r="A3421" t="str">
        <f>"1377800357"</f>
        <v>1377800357</v>
      </c>
      <c r="B3421" t="s">
        <v>88</v>
      </c>
      <c r="C3421" t="s">
        <v>6991</v>
      </c>
      <c r="D3421" t="s">
        <v>17221</v>
      </c>
      <c r="E3421">
        <v>424007</v>
      </c>
      <c r="F3421" t="s">
        <v>1</v>
      </c>
      <c r="G3421" t="s">
        <v>2</v>
      </c>
      <c r="H3421" t="s">
        <v>3243</v>
      </c>
      <c r="I3421" t="s">
        <v>17222</v>
      </c>
      <c r="L3421" t="s">
        <v>17223</v>
      </c>
      <c r="M3421" t="s">
        <v>17224</v>
      </c>
      <c r="P3421" t="s">
        <v>17225</v>
      </c>
      <c r="Y3421" t="s">
        <v>17226</v>
      </c>
    </row>
    <row r="3422" spans="1:25" x14ac:dyDescent="0.25">
      <c r="A3422" t="str">
        <f>"1377851613"</f>
        <v>1377851613</v>
      </c>
      <c r="B3422" t="s">
        <v>388</v>
      </c>
      <c r="C3422" t="s">
        <v>6019</v>
      </c>
      <c r="D3422" t="s">
        <v>7194</v>
      </c>
      <c r="E3422">
        <v>424003</v>
      </c>
      <c r="F3422" t="s">
        <v>1</v>
      </c>
      <c r="G3422" t="s">
        <v>2</v>
      </c>
      <c r="H3422" t="s">
        <v>10082</v>
      </c>
      <c r="I3422" t="s">
        <v>17227</v>
      </c>
      <c r="J3422" t="s">
        <v>17228</v>
      </c>
      <c r="P3422" t="s">
        <v>1027</v>
      </c>
      <c r="Y3422" t="s">
        <v>10084</v>
      </c>
    </row>
    <row r="3423" spans="1:25" x14ac:dyDescent="0.25">
      <c r="A3423" t="str">
        <f>"1377853506"</f>
        <v>1377853506</v>
      </c>
      <c r="B3423" t="s">
        <v>624</v>
      </c>
      <c r="C3423" t="s">
        <v>17234</v>
      </c>
      <c r="D3423" t="s">
        <v>17229</v>
      </c>
      <c r="F3423" t="s">
        <v>1</v>
      </c>
      <c r="G3423" t="s">
        <v>2</v>
      </c>
      <c r="H3423" t="s">
        <v>17230</v>
      </c>
      <c r="I3423" t="s">
        <v>17231</v>
      </c>
      <c r="L3423" t="s">
        <v>17232</v>
      </c>
      <c r="M3423" t="s">
        <v>17233</v>
      </c>
      <c r="P3423" t="s">
        <v>17235</v>
      </c>
      <c r="Y3423" t="s">
        <v>17236</v>
      </c>
    </row>
    <row r="3424" spans="1:25" x14ac:dyDescent="0.25">
      <c r="A3424" t="str">
        <f>"1377882600"</f>
        <v>1377882600</v>
      </c>
      <c r="B3424" t="s">
        <v>25</v>
      </c>
      <c r="C3424" t="s">
        <v>11919</v>
      </c>
      <c r="D3424" t="s">
        <v>17237</v>
      </c>
      <c r="E3424">
        <v>424038</v>
      </c>
      <c r="F3424" t="s">
        <v>1</v>
      </c>
      <c r="G3424" t="s">
        <v>2</v>
      </c>
      <c r="H3424" t="s">
        <v>12143</v>
      </c>
      <c r="J3424" t="s">
        <v>17238</v>
      </c>
      <c r="Y3424" t="s">
        <v>12145</v>
      </c>
    </row>
    <row r="3425" spans="1:25" x14ac:dyDescent="0.25">
      <c r="A3425" t="str">
        <f>"1377883641"</f>
        <v>1377883641</v>
      </c>
      <c r="B3425" t="s">
        <v>80</v>
      </c>
      <c r="C3425" t="s">
        <v>17244</v>
      </c>
      <c r="D3425" t="s">
        <v>17239</v>
      </c>
      <c r="E3425">
        <v>424002</v>
      </c>
      <c r="F3425" t="s">
        <v>1</v>
      </c>
      <c r="G3425" t="s">
        <v>2</v>
      </c>
      <c r="H3425" t="s">
        <v>1886</v>
      </c>
      <c r="I3425" t="s">
        <v>17240</v>
      </c>
      <c r="J3425" t="s">
        <v>17241</v>
      </c>
      <c r="L3425" t="s">
        <v>17242</v>
      </c>
      <c r="M3425" t="s">
        <v>17243</v>
      </c>
      <c r="P3425" t="s">
        <v>27</v>
      </c>
      <c r="Y3425" t="s">
        <v>17245</v>
      </c>
    </row>
    <row r="3426" spans="1:25" x14ac:dyDescent="0.25">
      <c r="A3426" t="str">
        <f>"1377980007"</f>
        <v>1377980007</v>
      </c>
      <c r="B3426" t="s">
        <v>456</v>
      </c>
      <c r="C3426" t="s">
        <v>17248</v>
      </c>
      <c r="D3426" t="s">
        <v>17246</v>
      </c>
      <c r="E3426">
        <v>424038</v>
      </c>
      <c r="F3426" t="s">
        <v>1</v>
      </c>
      <c r="G3426" t="s">
        <v>2</v>
      </c>
      <c r="H3426" t="s">
        <v>2741</v>
      </c>
      <c r="J3426" t="s">
        <v>17247</v>
      </c>
      <c r="P3426" t="s">
        <v>27</v>
      </c>
      <c r="Y3426" t="s">
        <v>17249</v>
      </c>
    </row>
    <row r="3427" spans="1:25" x14ac:dyDescent="0.25">
      <c r="A3427" t="str">
        <f>"1378036780"</f>
        <v>1378036780</v>
      </c>
      <c r="B3427" t="s">
        <v>1053</v>
      </c>
      <c r="C3427" t="s">
        <v>6947</v>
      </c>
      <c r="D3427" t="s">
        <v>17250</v>
      </c>
      <c r="E3427">
        <v>424031</v>
      </c>
      <c r="F3427" t="s">
        <v>1</v>
      </c>
      <c r="G3427" t="s">
        <v>2</v>
      </c>
      <c r="H3427" t="s">
        <v>4622</v>
      </c>
      <c r="I3427" t="s">
        <v>17251</v>
      </c>
      <c r="J3427" t="s">
        <v>17252</v>
      </c>
      <c r="L3427" t="s">
        <v>17253</v>
      </c>
      <c r="P3427" t="s">
        <v>27</v>
      </c>
      <c r="Y3427" t="s">
        <v>17254</v>
      </c>
    </row>
    <row r="3428" spans="1:25" x14ac:dyDescent="0.25">
      <c r="A3428" t="str">
        <f>"1378040308"</f>
        <v>1378040308</v>
      </c>
      <c r="B3428" t="s">
        <v>1053</v>
      </c>
      <c r="C3428" t="s">
        <v>1927</v>
      </c>
      <c r="D3428" t="s">
        <v>17255</v>
      </c>
      <c r="E3428">
        <v>424005</v>
      </c>
      <c r="F3428" t="s">
        <v>1</v>
      </c>
      <c r="G3428" t="s">
        <v>2</v>
      </c>
      <c r="H3428" t="s">
        <v>6843</v>
      </c>
      <c r="I3428" t="s">
        <v>17256</v>
      </c>
      <c r="P3428" t="s">
        <v>20</v>
      </c>
      <c r="Y3428" t="s">
        <v>17257</v>
      </c>
    </row>
    <row r="3429" spans="1:25" x14ac:dyDescent="0.25">
      <c r="A3429" t="str">
        <f>"1378112652"</f>
        <v>1378112652</v>
      </c>
      <c r="B3429" t="s">
        <v>803</v>
      </c>
      <c r="C3429" t="s">
        <v>17261</v>
      </c>
      <c r="D3429" t="s">
        <v>17258</v>
      </c>
      <c r="E3429">
        <v>424036</v>
      </c>
      <c r="F3429" t="s">
        <v>1</v>
      </c>
      <c r="G3429" t="s">
        <v>2</v>
      </c>
      <c r="H3429" t="s">
        <v>17259</v>
      </c>
      <c r="I3429" t="s">
        <v>17260</v>
      </c>
      <c r="P3429" t="s">
        <v>20</v>
      </c>
      <c r="Y3429" t="s">
        <v>17262</v>
      </c>
    </row>
    <row r="3430" spans="1:25" x14ac:dyDescent="0.25">
      <c r="A3430" t="str">
        <f>"1378185009"</f>
        <v>1378185009</v>
      </c>
      <c r="B3430" t="s">
        <v>888</v>
      </c>
      <c r="C3430" t="s">
        <v>4712</v>
      </c>
      <c r="D3430" t="s">
        <v>17263</v>
      </c>
      <c r="E3430">
        <v>424032</v>
      </c>
      <c r="F3430" t="s">
        <v>1</v>
      </c>
      <c r="G3430" t="s">
        <v>2</v>
      </c>
      <c r="H3430" t="s">
        <v>14413</v>
      </c>
      <c r="J3430" t="s">
        <v>17264</v>
      </c>
      <c r="P3430" t="s">
        <v>17265</v>
      </c>
      <c r="Y3430" t="s">
        <v>14417</v>
      </c>
    </row>
    <row r="3431" spans="1:25" x14ac:dyDescent="0.25">
      <c r="A3431" t="str">
        <f>"1378229421"</f>
        <v>1378229421</v>
      </c>
      <c r="B3431" t="s">
        <v>18</v>
      </c>
      <c r="C3431" t="s">
        <v>959</v>
      </c>
      <c r="D3431" t="s">
        <v>6684</v>
      </c>
      <c r="E3431">
        <v>424032</v>
      </c>
      <c r="F3431" t="s">
        <v>1</v>
      </c>
      <c r="G3431" t="s">
        <v>2</v>
      </c>
      <c r="H3431" t="s">
        <v>7410</v>
      </c>
      <c r="I3431" t="s">
        <v>17266</v>
      </c>
      <c r="K3431" t="s">
        <v>7412</v>
      </c>
      <c r="P3431" t="s">
        <v>20</v>
      </c>
      <c r="Y3431" t="s">
        <v>17267</v>
      </c>
    </row>
    <row r="3432" spans="1:25" x14ac:dyDescent="0.25">
      <c r="A3432" t="str">
        <f>"1378270034"</f>
        <v>1378270034</v>
      </c>
      <c r="B3432" t="s">
        <v>1152</v>
      </c>
      <c r="C3432" t="s">
        <v>10452</v>
      </c>
      <c r="D3432" t="s">
        <v>10452</v>
      </c>
      <c r="E3432">
        <v>424037</v>
      </c>
      <c r="F3432" t="s">
        <v>1</v>
      </c>
      <c r="G3432" t="s">
        <v>2</v>
      </c>
      <c r="H3432" t="s">
        <v>2680</v>
      </c>
      <c r="I3432" t="s">
        <v>17268</v>
      </c>
      <c r="P3432" t="s">
        <v>17269</v>
      </c>
      <c r="Y3432" t="s">
        <v>17270</v>
      </c>
    </row>
    <row r="3433" spans="1:25" x14ac:dyDescent="0.25">
      <c r="A3433" t="str">
        <f>"1378298455"</f>
        <v>1378298455</v>
      </c>
      <c r="B3433" t="s">
        <v>18</v>
      </c>
      <c r="C3433" t="s">
        <v>17274</v>
      </c>
      <c r="D3433" t="s">
        <v>17271</v>
      </c>
      <c r="E3433">
        <v>424019</v>
      </c>
      <c r="F3433" t="s">
        <v>1</v>
      </c>
      <c r="G3433" t="s">
        <v>2</v>
      </c>
      <c r="H3433" t="s">
        <v>17272</v>
      </c>
      <c r="I3433" t="s">
        <v>17273</v>
      </c>
      <c r="P3433" t="s">
        <v>5278</v>
      </c>
      <c r="Q3433" t="s">
        <v>17275</v>
      </c>
      <c r="Y3433" t="s">
        <v>17276</v>
      </c>
    </row>
    <row r="3434" spans="1:25" x14ac:dyDescent="0.25">
      <c r="A3434" t="str">
        <f>"1378458425"</f>
        <v>1378458425</v>
      </c>
      <c r="B3434" t="s">
        <v>160</v>
      </c>
      <c r="C3434" t="s">
        <v>1666</v>
      </c>
      <c r="D3434" t="s">
        <v>17277</v>
      </c>
      <c r="E3434">
        <v>424039</v>
      </c>
      <c r="F3434" t="s">
        <v>1</v>
      </c>
      <c r="G3434" t="s">
        <v>2</v>
      </c>
      <c r="H3434" t="s">
        <v>17278</v>
      </c>
      <c r="I3434" t="s">
        <v>17279</v>
      </c>
      <c r="P3434" t="s">
        <v>2923</v>
      </c>
      <c r="Y3434" t="s">
        <v>17280</v>
      </c>
    </row>
    <row r="3435" spans="1:25" x14ac:dyDescent="0.25">
      <c r="A3435" t="str">
        <f>"1378515281"</f>
        <v>1378515281</v>
      </c>
      <c r="B3435" t="s">
        <v>1053</v>
      </c>
      <c r="C3435" t="s">
        <v>1927</v>
      </c>
      <c r="D3435" t="s">
        <v>17281</v>
      </c>
      <c r="E3435">
        <v>424006</v>
      </c>
      <c r="F3435" t="s">
        <v>1</v>
      </c>
      <c r="G3435" t="s">
        <v>2</v>
      </c>
      <c r="H3435" t="s">
        <v>445</v>
      </c>
      <c r="I3435" t="s">
        <v>17282</v>
      </c>
      <c r="J3435" t="s">
        <v>17283</v>
      </c>
      <c r="P3435" t="s">
        <v>280</v>
      </c>
      <c r="Y3435" t="s">
        <v>8488</v>
      </c>
    </row>
    <row r="3436" spans="1:25" x14ac:dyDescent="0.25">
      <c r="A3436" t="str">
        <f>"1378527418"</f>
        <v>1378527418</v>
      </c>
      <c r="B3436" t="s">
        <v>32</v>
      </c>
      <c r="C3436" t="s">
        <v>182</v>
      </c>
      <c r="D3436" t="s">
        <v>17284</v>
      </c>
      <c r="E3436">
        <v>424000</v>
      </c>
      <c r="F3436" t="s">
        <v>1</v>
      </c>
      <c r="G3436" t="s">
        <v>2</v>
      </c>
      <c r="H3436" t="s">
        <v>3421</v>
      </c>
      <c r="P3436" t="s">
        <v>1760</v>
      </c>
      <c r="Y3436" t="s">
        <v>3425</v>
      </c>
    </row>
    <row r="3437" spans="1:25" x14ac:dyDescent="0.25">
      <c r="A3437" t="str">
        <f>"1378568198"</f>
        <v>1378568198</v>
      </c>
      <c r="B3437" t="s">
        <v>96</v>
      </c>
      <c r="C3437" t="s">
        <v>7293</v>
      </c>
      <c r="D3437" t="s">
        <v>17285</v>
      </c>
      <c r="E3437">
        <v>424030</v>
      </c>
      <c r="F3437" t="s">
        <v>1</v>
      </c>
      <c r="G3437" t="s">
        <v>2</v>
      </c>
      <c r="H3437" t="s">
        <v>10204</v>
      </c>
      <c r="J3437" t="s">
        <v>17286</v>
      </c>
      <c r="P3437" t="s">
        <v>17287</v>
      </c>
      <c r="Y3437" t="s">
        <v>17288</v>
      </c>
    </row>
    <row r="3438" spans="1:25" x14ac:dyDescent="0.25">
      <c r="A3438" t="str">
        <f>"1378568940"</f>
        <v>1378568940</v>
      </c>
      <c r="B3438" t="s">
        <v>88</v>
      </c>
      <c r="C3438" t="s">
        <v>8056</v>
      </c>
      <c r="D3438" t="s">
        <v>5805</v>
      </c>
      <c r="E3438">
        <v>424020</v>
      </c>
      <c r="F3438" t="s">
        <v>1</v>
      </c>
      <c r="G3438" t="s">
        <v>2</v>
      </c>
      <c r="H3438" t="s">
        <v>288</v>
      </c>
      <c r="I3438" t="s">
        <v>6591</v>
      </c>
      <c r="P3438" t="s">
        <v>1855</v>
      </c>
      <c r="Y3438" t="s">
        <v>17289</v>
      </c>
    </row>
    <row r="3439" spans="1:25" x14ac:dyDescent="0.25">
      <c r="A3439" t="str">
        <f>"1378664245"</f>
        <v>1378664245</v>
      </c>
      <c r="B3439" t="s">
        <v>32</v>
      </c>
      <c r="C3439" t="s">
        <v>777</v>
      </c>
      <c r="D3439" t="s">
        <v>17290</v>
      </c>
      <c r="E3439">
        <v>424038</v>
      </c>
      <c r="F3439" t="s">
        <v>1</v>
      </c>
      <c r="G3439" t="s">
        <v>2</v>
      </c>
      <c r="H3439" t="s">
        <v>9618</v>
      </c>
      <c r="P3439" t="s">
        <v>410</v>
      </c>
      <c r="Y3439" t="s">
        <v>17291</v>
      </c>
    </row>
    <row r="3440" spans="1:25" x14ac:dyDescent="0.25">
      <c r="A3440" t="str">
        <f>"1378858051"</f>
        <v>1378858051</v>
      </c>
      <c r="B3440" t="s">
        <v>32</v>
      </c>
      <c r="C3440" t="s">
        <v>182</v>
      </c>
      <c r="D3440" t="s">
        <v>17292</v>
      </c>
      <c r="E3440">
        <v>424005</v>
      </c>
      <c r="F3440" t="s">
        <v>1</v>
      </c>
      <c r="G3440" t="s">
        <v>2</v>
      </c>
      <c r="H3440" t="s">
        <v>17293</v>
      </c>
      <c r="I3440" t="s">
        <v>17294</v>
      </c>
      <c r="P3440" t="s">
        <v>1160</v>
      </c>
      <c r="Q3440" t="s">
        <v>17295</v>
      </c>
      <c r="Y3440" t="s">
        <v>17296</v>
      </c>
    </row>
    <row r="3441" spans="1:25" x14ac:dyDescent="0.25">
      <c r="A3441" t="str">
        <f>"1378900467"</f>
        <v>1378900467</v>
      </c>
      <c r="B3441" t="s">
        <v>32</v>
      </c>
      <c r="C3441" t="s">
        <v>33</v>
      </c>
      <c r="D3441" t="s">
        <v>17297</v>
      </c>
      <c r="E3441">
        <v>424007</v>
      </c>
      <c r="F3441" t="s">
        <v>1</v>
      </c>
      <c r="G3441" t="s">
        <v>2</v>
      </c>
      <c r="H3441" t="s">
        <v>5281</v>
      </c>
      <c r="I3441" t="s">
        <v>17298</v>
      </c>
      <c r="J3441" t="s">
        <v>17299</v>
      </c>
      <c r="P3441" t="s">
        <v>1855</v>
      </c>
      <c r="Y3441" t="s">
        <v>17300</v>
      </c>
    </row>
    <row r="3442" spans="1:25" x14ac:dyDescent="0.25">
      <c r="A3442" t="str">
        <f>"1378925910"</f>
        <v>1378925910</v>
      </c>
      <c r="B3442" t="s">
        <v>430</v>
      </c>
      <c r="C3442" t="s">
        <v>940</v>
      </c>
      <c r="D3442" t="s">
        <v>2022</v>
      </c>
      <c r="E3442">
        <v>424033</v>
      </c>
      <c r="F3442" t="s">
        <v>1</v>
      </c>
      <c r="G3442" t="s">
        <v>2</v>
      </c>
      <c r="H3442" t="s">
        <v>5738</v>
      </c>
      <c r="I3442" t="s">
        <v>17301</v>
      </c>
      <c r="L3442" t="s">
        <v>17302</v>
      </c>
      <c r="M3442" t="s">
        <v>17303</v>
      </c>
      <c r="P3442" t="s">
        <v>144</v>
      </c>
      <c r="Y3442" t="s">
        <v>17304</v>
      </c>
    </row>
    <row r="3443" spans="1:25" x14ac:dyDescent="0.25">
      <c r="A3443" t="str">
        <f>"1378930560"</f>
        <v>1378930560</v>
      </c>
      <c r="B3443" t="s">
        <v>654</v>
      </c>
      <c r="C3443" t="s">
        <v>2974</v>
      </c>
      <c r="D3443" t="s">
        <v>17305</v>
      </c>
      <c r="F3443" t="s">
        <v>1</v>
      </c>
      <c r="G3443" t="s">
        <v>2</v>
      </c>
      <c r="H3443" t="s">
        <v>1003</v>
      </c>
      <c r="I3443" t="s">
        <v>17306</v>
      </c>
      <c r="P3443" t="s">
        <v>152</v>
      </c>
      <c r="Y3443" t="s">
        <v>1006</v>
      </c>
    </row>
    <row r="3444" spans="1:25" x14ac:dyDescent="0.25">
      <c r="A3444" t="str">
        <f>"1378953298"</f>
        <v>1378953298</v>
      </c>
      <c r="B3444" t="s">
        <v>80</v>
      </c>
      <c r="C3444" t="s">
        <v>11414</v>
      </c>
      <c r="D3444" t="s">
        <v>17307</v>
      </c>
      <c r="E3444">
        <v>424006</v>
      </c>
      <c r="F3444" t="s">
        <v>1</v>
      </c>
      <c r="G3444" t="s">
        <v>2</v>
      </c>
      <c r="H3444" t="s">
        <v>11921</v>
      </c>
      <c r="I3444" t="s">
        <v>17308</v>
      </c>
      <c r="L3444" t="s">
        <v>17309</v>
      </c>
      <c r="M3444" t="s">
        <v>17310</v>
      </c>
      <c r="P3444" t="s">
        <v>3938</v>
      </c>
      <c r="Y3444" t="s">
        <v>17311</v>
      </c>
    </row>
    <row r="3445" spans="1:25" x14ac:dyDescent="0.25">
      <c r="A3445" t="str">
        <f>"1378993311"</f>
        <v>1378993311</v>
      </c>
      <c r="B3445" t="s">
        <v>2846</v>
      </c>
      <c r="C3445" t="s">
        <v>17312</v>
      </c>
      <c r="D3445" t="s">
        <v>17312</v>
      </c>
      <c r="E3445">
        <v>424007</v>
      </c>
      <c r="F3445" t="s">
        <v>1</v>
      </c>
      <c r="G3445" t="s">
        <v>2</v>
      </c>
      <c r="H3445" t="s">
        <v>11607</v>
      </c>
      <c r="I3445" t="s">
        <v>17313</v>
      </c>
      <c r="J3445" t="s">
        <v>17314</v>
      </c>
      <c r="P3445" t="s">
        <v>133</v>
      </c>
      <c r="Y3445" t="s">
        <v>12398</v>
      </c>
    </row>
    <row r="3446" spans="1:25" x14ac:dyDescent="0.25">
      <c r="A3446" t="str">
        <f>"1379230904"</f>
        <v>1379230904</v>
      </c>
      <c r="B3446" t="s">
        <v>447</v>
      </c>
      <c r="C3446" t="s">
        <v>5875</v>
      </c>
      <c r="D3446" t="s">
        <v>17315</v>
      </c>
      <c r="E3446">
        <v>424016</v>
      </c>
      <c r="F3446" t="s">
        <v>1</v>
      </c>
      <c r="G3446" t="s">
        <v>2</v>
      </c>
      <c r="H3446" t="s">
        <v>17316</v>
      </c>
      <c r="I3446" t="s">
        <v>17317</v>
      </c>
      <c r="K3446" t="s">
        <v>17318</v>
      </c>
      <c r="P3446" t="s">
        <v>27</v>
      </c>
      <c r="Y3446" t="s">
        <v>17319</v>
      </c>
    </row>
    <row r="3447" spans="1:25" x14ac:dyDescent="0.25">
      <c r="A3447" t="str">
        <f>"1379337956"</f>
        <v>1379337956</v>
      </c>
      <c r="B3447" t="s">
        <v>738</v>
      </c>
      <c r="C3447" t="s">
        <v>17323</v>
      </c>
      <c r="D3447" t="s">
        <v>17320</v>
      </c>
      <c r="E3447">
        <v>424002</v>
      </c>
      <c r="F3447" t="s">
        <v>1</v>
      </c>
      <c r="G3447" t="s">
        <v>2</v>
      </c>
      <c r="H3447" t="s">
        <v>1008</v>
      </c>
      <c r="I3447" t="s">
        <v>17321</v>
      </c>
      <c r="J3447" t="s">
        <v>17322</v>
      </c>
      <c r="L3447" t="s">
        <v>7859</v>
      </c>
      <c r="P3447" t="s">
        <v>410</v>
      </c>
      <c r="Y3447" t="s">
        <v>1010</v>
      </c>
    </row>
    <row r="3448" spans="1:25" x14ac:dyDescent="0.25">
      <c r="A3448" t="str">
        <f>"1379410956"</f>
        <v>1379410956</v>
      </c>
      <c r="B3448" t="s">
        <v>160</v>
      </c>
      <c r="C3448" t="s">
        <v>9976</v>
      </c>
      <c r="D3448" t="s">
        <v>17324</v>
      </c>
      <c r="E3448">
        <v>424000</v>
      </c>
      <c r="F3448" t="s">
        <v>1</v>
      </c>
      <c r="G3448" t="s">
        <v>2</v>
      </c>
      <c r="H3448" t="s">
        <v>17325</v>
      </c>
      <c r="I3448" t="s">
        <v>17326</v>
      </c>
      <c r="J3448" t="s">
        <v>17327</v>
      </c>
      <c r="P3448" t="s">
        <v>280</v>
      </c>
      <c r="Y3448" t="s">
        <v>17328</v>
      </c>
    </row>
    <row r="3449" spans="1:25" x14ac:dyDescent="0.25">
      <c r="A3449" t="str">
        <f>"1379414397"</f>
        <v>1379414397</v>
      </c>
      <c r="B3449" t="s">
        <v>1343</v>
      </c>
      <c r="C3449" t="s">
        <v>17333</v>
      </c>
      <c r="D3449" t="s">
        <v>17329</v>
      </c>
      <c r="E3449">
        <v>424038</v>
      </c>
      <c r="F3449" t="s">
        <v>1</v>
      </c>
      <c r="G3449" t="s">
        <v>2</v>
      </c>
      <c r="H3449" t="s">
        <v>7597</v>
      </c>
      <c r="I3449" t="s">
        <v>17330</v>
      </c>
      <c r="L3449" t="s">
        <v>17331</v>
      </c>
      <c r="M3449" t="s">
        <v>17332</v>
      </c>
      <c r="P3449" t="s">
        <v>1642</v>
      </c>
      <c r="Q3449" t="s">
        <v>17334</v>
      </c>
      <c r="T3449" t="s">
        <v>17335</v>
      </c>
      <c r="U3449" t="s">
        <v>17336</v>
      </c>
      <c r="V3449" t="s">
        <v>17337</v>
      </c>
      <c r="Y3449" t="s">
        <v>17338</v>
      </c>
    </row>
    <row r="3450" spans="1:25" x14ac:dyDescent="0.25">
      <c r="A3450" t="str">
        <f>"1379506811"</f>
        <v>1379506811</v>
      </c>
      <c r="B3450" t="s">
        <v>1053</v>
      </c>
      <c r="C3450" t="s">
        <v>17343</v>
      </c>
      <c r="D3450" t="s">
        <v>17339</v>
      </c>
      <c r="E3450">
        <v>424003</v>
      </c>
      <c r="F3450" t="s">
        <v>1</v>
      </c>
      <c r="G3450" t="s">
        <v>2</v>
      </c>
      <c r="H3450" t="s">
        <v>3459</v>
      </c>
      <c r="I3450" t="s">
        <v>17340</v>
      </c>
      <c r="L3450" t="s">
        <v>17341</v>
      </c>
      <c r="M3450" t="s">
        <v>17342</v>
      </c>
      <c r="P3450" t="s">
        <v>20</v>
      </c>
      <c r="Y3450" t="s">
        <v>17344</v>
      </c>
    </row>
    <row r="3451" spans="1:25" x14ac:dyDescent="0.25">
      <c r="A3451" t="str">
        <f>"1379626311"</f>
        <v>1379626311</v>
      </c>
      <c r="B3451" t="s">
        <v>123</v>
      </c>
      <c r="C3451" t="s">
        <v>731</v>
      </c>
      <c r="D3451" t="s">
        <v>17345</v>
      </c>
      <c r="E3451">
        <v>424038</v>
      </c>
      <c r="F3451" t="s">
        <v>1</v>
      </c>
      <c r="G3451" t="s">
        <v>2</v>
      </c>
      <c r="H3451" t="s">
        <v>17346</v>
      </c>
      <c r="I3451" t="s">
        <v>17347</v>
      </c>
      <c r="L3451" t="s">
        <v>946</v>
      </c>
      <c r="M3451" t="s">
        <v>17348</v>
      </c>
      <c r="P3451" t="s">
        <v>425</v>
      </c>
      <c r="Y3451" t="s">
        <v>17349</v>
      </c>
    </row>
    <row r="3452" spans="1:25" x14ac:dyDescent="0.25">
      <c r="A3452" t="str">
        <f>"1379667319"</f>
        <v>1379667319</v>
      </c>
      <c r="B3452" t="s">
        <v>1053</v>
      </c>
      <c r="C3452" t="s">
        <v>1927</v>
      </c>
      <c r="D3452" t="s">
        <v>17350</v>
      </c>
      <c r="E3452">
        <v>424006</v>
      </c>
      <c r="F3452" t="s">
        <v>1</v>
      </c>
      <c r="G3452" t="s">
        <v>2</v>
      </c>
      <c r="H3452" t="s">
        <v>2012</v>
      </c>
      <c r="I3452" t="s">
        <v>17351</v>
      </c>
      <c r="K3452" t="s">
        <v>17352</v>
      </c>
      <c r="P3452" t="s">
        <v>20</v>
      </c>
      <c r="Y3452" t="s">
        <v>17353</v>
      </c>
    </row>
    <row r="3453" spans="1:25" x14ac:dyDescent="0.25">
      <c r="A3453" t="str">
        <f>"1379892038"</f>
        <v>1379892038</v>
      </c>
      <c r="B3453" t="s">
        <v>96</v>
      </c>
      <c r="C3453" t="s">
        <v>2285</v>
      </c>
      <c r="D3453" t="s">
        <v>13479</v>
      </c>
      <c r="E3453">
        <v>424918</v>
      </c>
      <c r="F3453" t="s">
        <v>1</v>
      </c>
      <c r="G3453" t="s">
        <v>2</v>
      </c>
      <c r="H3453" t="s">
        <v>629</v>
      </c>
      <c r="J3453" t="s">
        <v>13480</v>
      </c>
      <c r="P3453" t="s">
        <v>630</v>
      </c>
      <c r="Y3453" t="s">
        <v>17354</v>
      </c>
    </row>
    <row r="3454" spans="1:25" x14ac:dyDescent="0.25">
      <c r="A3454" t="str">
        <f>"1379931152"</f>
        <v>1379931152</v>
      </c>
      <c r="B3454" t="s">
        <v>462</v>
      </c>
      <c r="C3454" t="s">
        <v>17357</v>
      </c>
      <c r="D3454" t="s">
        <v>17355</v>
      </c>
      <c r="E3454">
        <v>424002</v>
      </c>
      <c r="F3454" t="s">
        <v>1</v>
      </c>
      <c r="G3454" t="s">
        <v>2</v>
      </c>
      <c r="H3454" t="s">
        <v>12740</v>
      </c>
      <c r="I3454" t="s">
        <v>17356</v>
      </c>
      <c r="P3454" t="s">
        <v>17358</v>
      </c>
      <c r="Y3454" t="s">
        <v>17359</v>
      </c>
    </row>
    <row r="3455" spans="1:25" x14ac:dyDescent="0.25">
      <c r="A3455" t="str">
        <f>"1380089741"</f>
        <v>1380089741</v>
      </c>
      <c r="B3455" t="s">
        <v>1152</v>
      </c>
      <c r="C3455" t="s">
        <v>17363</v>
      </c>
      <c r="D3455" t="s">
        <v>17360</v>
      </c>
      <c r="E3455">
        <v>424020</v>
      </c>
      <c r="F3455" t="s">
        <v>1</v>
      </c>
      <c r="G3455" t="s">
        <v>2</v>
      </c>
      <c r="H3455" t="s">
        <v>17361</v>
      </c>
      <c r="I3455" t="s">
        <v>17362</v>
      </c>
      <c r="P3455" t="s">
        <v>3690</v>
      </c>
      <c r="Y3455" t="s">
        <v>17364</v>
      </c>
    </row>
    <row r="3456" spans="1:25" x14ac:dyDescent="0.25">
      <c r="A3456" t="str">
        <f>"1380149521"</f>
        <v>1380149521</v>
      </c>
      <c r="B3456" t="s">
        <v>151</v>
      </c>
      <c r="C3456" t="s">
        <v>151</v>
      </c>
      <c r="D3456" t="s">
        <v>17365</v>
      </c>
      <c r="E3456">
        <v>424000</v>
      </c>
      <c r="F3456" t="s">
        <v>1</v>
      </c>
      <c r="G3456" t="s">
        <v>2</v>
      </c>
      <c r="H3456" t="s">
        <v>837</v>
      </c>
      <c r="J3456" t="s">
        <v>17366</v>
      </c>
      <c r="P3456" t="s">
        <v>27</v>
      </c>
      <c r="Y3456" t="s">
        <v>2964</v>
      </c>
    </row>
    <row r="3457" spans="1:25" x14ac:dyDescent="0.25">
      <c r="A3457" t="str">
        <f>"1380194507"</f>
        <v>1380194507</v>
      </c>
      <c r="B3457" t="s">
        <v>123</v>
      </c>
      <c r="C3457" t="s">
        <v>10249</v>
      </c>
      <c r="D3457" t="s">
        <v>17367</v>
      </c>
      <c r="E3457">
        <v>424007</v>
      </c>
      <c r="F3457" t="s">
        <v>1</v>
      </c>
      <c r="G3457" t="s">
        <v>2</v>
      </c>
      <c r="H3457" t="s">
        <v>10411</v>
      </c>
      <c r="I3457" t="s">
        <v>17368</v>
      </c>
      <c r="P3457" t="s">
        <v>17369</v>
      </c>
      <c r="Y3457" t="s">
        <v>17370</v>
      </c>
    </row>
    <row r="3458" spans="1:25" x14ac:dyDescent="0.25">
      <c r="A3458" t="str">
        <f>"1380410246"</f>
        <v>1380410246</v>
      </c>
      <c r="B3458" t="s">
        <v>1053</v>
      </c>
      <c r="C3458" t="s">
        <v>1927</v>
      </c>
      <c r="D3458" t="s">
        <v>17371</v>
      </c>
      <c r="E3458">
        <v>424007</v>
      </c>
      <c r="F3458" t="s">
        <v>1</v>
      </c>
      <c r="G3458" t="s">
        <v>2</v>
      </c>
      <c r="H3458" t="s">
        <v>220</v>
      </c>
      <c r="I3458" t="s">
        <v>17372</v>
      </c>
      <c r="P3458" t="s">
        <v>17373</v>
      </c>
      <c r="Y3458" t="s">
        <v>227</v>
      </c>
    </row>
    <row r="3459" spans="1:25" x14ac:dyDescent="0.25">
      <c r="A3459" t="str">
        <f>"1380517458"</f>
        <v>1380517458</v>
      </c>
      <c r="B3459" t="s">
        <v>1475</v>
      </c>
      <c r="C3459" t="s">
        <v>17380</v>
      </c>
      <c r="D3459" t="s">
        <v>17374</v>
      </c>
      <c r="E3459">
        <v>424039</v>
      </c>
      <c r="F3459" t="s">
        <v>1</v>
      </c>
      <c r="G3459" t="s">
        <v>2</v>
      </c>
      <c r="H3459" t="s">
        <v>17375</v>
      </c>
      <c r="I3459" t="s">
        <v>17376</v>
      </c>
      <c r="J3459" t="s">
        <v>17377</v>
      </c>
      <c r="L3459" t="s">
        <v>17378</v>
      </c>
      <c r="M3459" t="s">
        <v>17379</v>
      </c>
      <c r="P3459" t="s">
        <v>4487</v>
      </c>
      <c r="Y3459" t="s">
        <v>17381</v>
      </c>
    </row>
    <row r="3460" spans="1:25" x14ac:dyDescent="0.25">
      <c r="A3460" t="str">
        <f>"1380517530"</f>
        <v>1380517530</v>
      </c>
      <c r="B3460" t="s">
        <v>96</v>
      </c>
      <c r="C3460" t="s">
        <v>507</v>
      </c>
      <c r="D3460" t="s">
        <v>10481</v>
      </c>
      <c r="E3460">
        <v>424002</v>
      </c>
      <c r="F3460" t="s">
        <v>1</v>
      </c>
      <c r="G3460" t="s">
        <v>2</v>
      </c>
      <c r="H3460" t="s">
        <v>12337</v>
      </c>
      <c r="I3460" t="s">
        <v>17382</v>
      </c>
      <c r="P3460" t="s">
        <v>941</v>
      </c>
      <c r="Y3460" t="s">
        <v>17383</v>
      </c>
    </row>
    <row r="3461" spans="1:25" x14ac:dyDescent="0.25">
      <c r="A3461" t="str">
        <f>"1380542540"</f>
        <v>1380542540</v>
      </c>
      <c r="B3461" t="s">
        <v>624</v>
      </c>
      <c r="C3461" t="s">
        <v>17385</v>
      </c>
      <c r="D3461" t="s">
        <v>1340</v>
      </c>
      <c r="E3461">
        <v>424008</v>
      </c>
      <c r="F3461" t="s">
        <v>1</v>
      </c>
      <c r="G3461" t="s">
        <v>2</v>
      </c>
      <c r="H3461" t="s">
        <v>10128</v>
      </c>
      <c r="I3461" t="s">
        <v>17384</v>
      </c>
      <c r="P3461" t="s">
        <v>2580</v>
      </c>
      <c r="Y3461" t="s">
        <v>17386</v>
      </c>
    </row>
    <row r="3462" spans="1:25" x14ac:dyDescent="0.25">
      <c r="A3462" t="str">
        <f>"1380690138"</f>
        <v>1380690138</v>
      </c>
      <c r="B3462" t="s">
        <v>930</v>
      </c>
      <c r="C3462" t="s">
        <v>11882</v>
      </c>
      <c r="D3462" t="s">
        <v>17387</v>
      </c>
      <c r="E3462">
        <v>424026</v>
      </c>
      <c r="F3462" t="s">
        <v>1</v>
      </c>
      <c r="G3462" t="s">
        <v>2</v>
      </c>
      <c r="H3462" t="s">
        <v>4779</v>
      </c>
      <c r="I3462" t="s">
        <v>17388</v>
      </c>
      <c r="J3462" t="s">
        <v>17389</v>
      </c>
      <c r="P3462" t="s">
        <v>17390</v>
      </c>
      <c r="Y3462" t="s">
        <v>17391</v>
      </c>
    </row>
    <row r="3463" spans="1:25" x14ac:dyDescent="0.25">
      <c r="A3463" t="str">
        <f>"1380721722"</f>
        <v>1380721722</v>
      </c>
      <c r="B3463" t="s">
        <v>348</v>
      </c>
      <c r="C3463" t="s">
        <v>4366</v>
      </c>
      <c r="D3463" t="s">
        <v>17392</v>
      </c>
      <c r="E3463">
        <v>424028</v>
      </c>
      <c r="F3463" t="s">
        <v>1</v>
      </c>
      <c r="G3463" t="s">
        <v>2</v>
      </c>
      <c r="H3463" t="s">
        <v>17393</v>
      </c>
      <c r="P3463" t="s">
        <v>1760</v>
      </c>
      <c r="Y3463" t="s">
        <v>17394</v>
      </c>
    </row>
    <row r="3464" spans="1:25" x14ac:dyDescent="0.25">
      <c r="A3464" t="str">
        <f>"1380722733"</f>
        <v>1380722733</v>
      </c>
      <c r="B3464" t="s">
        <v>408</v>
      </c>
      <c r="C3464" t="s">
        <v>409</v>
      </c>
      <c r="D3464" t="s">
        <v>17395</v>
      </c>
      <c r="E3464">
        <v>424000</v>
      </c>
      <c r="F3464" t="s">
        <v>1</v>
      </c>
      <c r="G3464" t="s">
        <v>2</v>
      </c>
      <c r="H3464" t="s">
        <v>4098</v>
      </c>
      <c r="Y3464" t="s">
        <v>17396</v>
      </c>
    </row>
    <row r="3465" spans="1:25" x14ac:dyDescent="0.25">
      <c r="A3465" t="str">
        <f>"1380746972"</f>
        <v>1380746972</v>
      </c>
      <c r="B3465" t="s">
        <v>624</v>
      </c>
      <c r="C3465" t="s">
        <v>1637</v>
      </c>
      <c r="D3465" t="s">
        <v>1637</v>
      </c>
      <c r="E3465">
        <v>424007</v>
      </c>
      <c r="F3465" t="s">
        <v>1</v>
      </c>
      <c r="G3465" t="s">
        <v>2</v>
      </c>
      <c r="H3465" t="s">
        <v>7196</v>
      </c>
      <c r="J3465" t="s">
        <v>17397</v>
      </c>
      <c r="P3465" t="s">
        <v>280</v>
      </c>
      <c r="Y3465" t="s">
        <v>7199</v>
      </c>
    </row>
    <row r="3466" spans="1:25" x14ac:dyDescent="0.25">
      <c r="A3466" t="str">
        <f>"1380750777"</f>
        <v>1380750777</v>
      </c>
      <c r="B3466" t="s">
        <v>1053</v>
      </c>
      <c r="C3466" t="s">
        <v>14298</v>
      </c>
      <c r="D3466" t="s">
        <v>14298</v>
      </c>
      <c r="E3466">
        <v>424039</v>
      </c>
      <c r="F3466" t="s">
        <v>1</v>
      </c>
      <c r="G3466" t="s">
        <v>2</v>
      </c>
      <c r="H3466" t="s">
        <v>17398</v>
      </c>
      <c r="J3466" t="s">
        <v>17399</v>
      </c>
      <c r="P3466" t="s">
        <v>216</v>
      </c>
      <c r="Y3466" t="s">
        <v>14454</v>
      </c>
    </row>
    <row r="3467" spans="1:25" x14ac:dyDescent="0.25">
      <c r="A3467" t="str">
        <f>"1380801771"</f>
        <v>1380801771</v>
      </c>
      <c r="B3467" t="s">
        <v>352</v>
      </c>
      <c r="C3467" t="s">
        <v>353</v>
      </c>
      <c r="D3467" t="s">
        <v>17400</v>
      </c>
      <c r="E3467">
        <v>424003</v>
      </c>
      <c r="F3467" t="s">
        <v>1</v>
      </c>
      <c r="G3467" t="s">
        <v>2</v>
      </c>
      <c r="H3467" t="s">
        <v>17401</v>
      </c>
      <c r="I3467" t="s">
        <v>17402</v>
      </c>
      <c r="P3467" t="s">
        <v>330</v>
      </c>
      <c r="Y3467" t="s">
        <v>17403</v>
      </c>
    </row>
    <row r="3468" spans="1:25" x14ac:dyDescent="0.25">
      <c r="A3468" t="str">
        <f>"1380840990"</f>
        <v>1380840990</v>
      </c>
      <c r="B3468" t="s">
        <v>18</v>
      </c>
      <c r="C3468" t="s">
        <v>17406</v>
      </c>
      <c r="D3468" t="s">
        <v>17404</v>
      </c>
      <c r="F3468" t="s">
        <v>1</v>
      </c>
      <c r="G3468" t="s">
        <v>2</v>
      </c>
      <c r="H3468" t="s">
        <v>9077</v>
      </c>
      <c r="I3468" t="s">
        <v>17405</v>
      </c>
      <c r="Y3468" t="s">
        <v>15398</v>
      </c>
    </row>
    <row r="3469" spans="1:25" x14ac:dyDescent="0.25">
      <c r="A3469" t="str">
        <f>"1380995893"</f>
        <v>1380995893</v>
      </c>
      <c r="B3469" t="s">
        <v>160</v>
      </c>
      <c r="C3469" t="s">
        <v>1666</v>
      </c>
      <c r="D3469" t="s">
        <v>17407</v>
      </c>
      <c r="E3469">
        <v>424019</v>
      </c>
      <c r="F3469" t="s">
        <v>1</v>
      </c>
      <c r="G3469" t="s">
        <v>2</v>
      </c>
      <c r="H3469" t="s">
        <v>17408</v>
      </c>
      <c r="I3469" t="s">
        <v>17409</v>
      </c>
      <c r="J3469" t="s">
        <v>17410</v>
      </c>
      <c r="P3469" t="s">
        <v>280</v>
      </c>
      <c r="Y3469" t="s">
        <v>17411</v>
      </c>
    </row>
    <row r="3470" spans="1:25" x14ac:dyDescent="0.25">
      <c r="A3470" t="str">
        <f>"1381056755"</f>
        <v>1381056755</v>
      </c>
      <c r="B3470" t="s">
        <v>738</v>
      </c>
      <c r="C3470" t="s">
        <v>1463</v>
      </c>
      <c r="D3470" t="s">
        <v>17412</v>
      </c>
      <c r="E3470">
        <v>424006</v>
      </c>
      <c r="F3470" t="s">
        <v>1</v>
      </c>
      <c r="G3470" t="s">
        <v>2</v>
      </c>
      <c r="H3470" t="s">
        <v>17413</v>
      </c>
      <c r="I3470" t="s">
        <v>17414</v>
      </c>
      <c r="J3470" t="s">
        <v>17415</v>
      </c>
      <c r="L3470" t="s">
        <v>17416</v>
      </c>
      <c r="M3470" t="s">
        <v>17417</v>
      </c>
      <c r="P3470" t="s">
        <v>7390</v>
      </c>
      <c r="Y3470" t="s">
        <v>17418</v>
      </c>
    </row>
    <row r="3471" spans="1:25" x14ac:dyDescent="0.25">
      <c r="A3471" t="str">
        <f>"1381234564"</f>
        <v>1381234564</v>
      </c>
      <c r="B3471" t="s">
        <v>151</v>
      </c>
      <c r="C3471" t="s">
        <v>151</v>
      </c>
      <c r="D3471" t="s">
        <v>17419</v>
      </c>
      <c r="E3471">
        <v>424016</v>
      </c>
      <c r="F3471" t="s">
        <v>1</v>
      </c>
      <c r="G3471" t="s">
        <v>2</v>
      </c>
      <c r="H3471" t="s">
        <v>17420</v>
      </c>
      <c r="I3471" t="s">
        <v>17421</v>
      </c>
      <c r="J3471" t="s">
        <v>17422</v>
      </c>
      <c r="P3471" t="s">
        <v>3822</v>
      </c>
      <c r="Y3471" t="s">
        <v>17423</v>
      </c>
    </row>
    <row r="3472" spans="1:25" x14ac:dyDescent="0.25">
      <c r="A3472" t="str">
        <f>"1381335579"</f>
        <v>1381335579</v>
      </c>
      <c r="B3472" t="s">
        <v>12698</v>
      </c>
      <c r="C3472" t="s">
        <v>12699</v>
      </c>
      <c r="D3472" t="s">
        <v>12696</v>
      </c>
      <c r="E3472">
        <v>424002</v>
      </c>
      <c r="F3472" t="s">
        <v>1</v>
      </c>
      <c r="G3472" t="s">
        <v>2</v>
      </c>
      <c r="H3472" t="s">
        <v>17424</v>
      </c>
      <c r="I3472" t="s">
        <v>17425</v>
      </c>
      <c r="P3472" t="s">
        <v>11831</v>
      </c>
      <c r="Y3472" t="s">
        <v>17426</v>
      </c>
    </row>
    <row r="3473" spans="1:25" x14ac:dyDescent="0.25">
      <c r="A3473" t="str">
        <f>"1381386932"</f>
        <v>1381386932</v>
      </c>
      <c r="B3473" t="s">
        <v>88</v>
      </c>
      <c r="C3473" t="s">
        <v>17429</v>
      </c>
      <c r="D3473" t="s">
        <v>17427</v>
      </c>
      <c r="E3473">
        <v>424000</v>
      </c>
      <c r="F3473" t="s">
        <v>1</v>
      </c>
      <c r="G3473" t="s">
        <v>2</v>
      </c>
      <c r="H3473" t="s">
        <v>2671</v>
      </c>
      <c r="J3473" t="s">
        <v>17428</v>
      </c>
      <c r="P3473" t="s">
        <v>17430</v>
      </c>
      <c r="Y3473" t="s">
        <v>17431</v>
      </c>
    </row>
    <row r="3474" spans="1:25" x14ac:dyDescent="0.25">
      <c r="A3474" t="str">
        <f>"1381426920"</f>
        <v>1381426920</v>
      </c>
      <c r="B3474" t="s">
        <v>1758</v>
      </c>
      <c r="C3474" t="s">
        <v>13934</v>
      </c>
      <c r="D3474" t="s">
        <v>9508</v>
      </c>
      <c r="E3474">
        <v>424031</v>
      </c>
      <c r="F3474" t="s">
        <v>1</v>
      </c>
      <c r="G3474" t="s">
        <v>2</v>
      </c>
      <c r="H3474" t="s">
        <v>4606</v>
      </c>
      <c r="J3474" t="s">
        <v>17432</v>
      </c>
      <c r="L3474" t="s">
        <v>17433</v>
      </c>
      <c r="M3474" t="s">
        <v>17434</v>
      </c>
      <c r="P3474" t="s">
        <v>17435</v>
      </c>
      <c r="Y3474" t="s">
        <v>17436</v>
      </c>
    </row>
    <row r="3475" spans="1:25" x14ac:dyDescent="0.25">
      <c r="A3475" t="str">
        <f>"1381507154"</f>
        <v>1381507154</v>
      </c>
      <c r="B3475" t="s">
        <v>96</v>
      </c>
      <c r="C3475" t="s">
        <v>507</v>
      </c>
      <c r="D3475" t="s">
        <v>17437</v>
      </c>
      <c r="E3475">
        <v>424002</v>
      </c>
      <c r="F3475" t="s">
        <v>1</v>
      </c>
      <c r="G3475" t="s">
        <v>2</v>
      </c>
      <c r="H3475" t="s">
        <v>3141</v>
      </c>
      <c r="I3475" t="s">
        <v>17438</v>
      </c>
      <c r="P3475" t="s">
        <v>1213</v>
      </c>
      <c r="Y3475" t="s">
        <v>17439</v>
      </c>
    </row>
    <row r="3476" spans="1:25" x14ac:dyDescent="0.25">
      <c r="A3476" t="str">
        <f>"1381510313"</f>
        <v>1381510313</v>
      </c>
      <c r="B3476" t="s">
        <v>160</v>
      </c>
      <c r="C3476" t="s">
        <v>9976</v>
      </c>
      <c r="D3476" t="s">
        <v>17440</v>
      </c>
      <c r="E3476">
        <v>424038</v>
      </c>
      <c r="F3476" t="s">
        <v>1</v>
      </c>
      <c r="G3476" t="s">
        <v>2</v>
      </c>
      <c r="H3476" t="s">
        <v>5183</v>
      </c>
      <c r="I3476" t="s">
        <v>17441</v>
      </c>
      <c r="J3476" t="s">
        <v>17442</v>
      </c>
      <c r="P3476" t="s">
        <v>280</v>
      </c>
      <c r="Y3476" t="s">
        <v>5185</v>
      </c>
    </row>
    <row r="3477" spans="1:25" x14ac:dyDescent="0.25">
      <c r="A3477" t="str">
        <f>"1381542342"</f>
        <v>1381542342</v>
      </c>
      <c r="B3477" t="s">
        <v>3573</v>
      </c>
      <c r="C3477" t="s">
        <v>5816</v>
      </c>
      <c r="D3477" t="s">
        <v>17443</v>
      </c>
      <c r="E3477">
        <v>424000</v>
      </c>
      <c r="F3477" t="s">
        <v>1</v>
      </c>
      <c r="G3477" t="s">
        <v>2</v>
      </c>
      <c r="H3477" t="s">
        <v>4492</v>
      </c>
      <c r="I3477" t="s">
        <v>17444</v>
      </c>
      <c r="P3477" t="s">
        <v>6236</v>
      </c>
      <c r="Y3477" t="s">
        <v>4497</v>
      </c>
    </row>
    <row r="3478" spans="1:25" x14ac:dyDescent="0.25">
      <c r="A3478" t="str">
        <f>"1381739973"</f>
        <v>1381739973</v>
      </c>
      <c r="B3478" t="s">
        <v>1152</v>
      </c>
      <c r="C3478" t="s">
        <v>4926</v>
      </c>
      <c r="D3478" t="s">
        <v>17445</v>
      </c>
      <c r="E3478">
        <v>424019</v>
      </c>
      <c r="F3478" t="s">
        <v>1</v>
      </c>
      <c r="G3478" t="s">
        <v>2</v>
      </c>
      <c r="H3478" t="s">
        <v>1801</v>
      </c>
      <c r="P3478" t="s">
        <v>17446</v>
      </c>
      <c r="Y3478" t="s">
        <v>1804</v>
      </c>
    </row>
    <row r="3479" spans="1:25" x14ac:dyDescent="0.25">
      <c r="A3479" t="str">
        <f>"1381781002"</f>
        <v>1381781002</v>
      </c>
      <c r="B3479" t="s">
        <v>32</v>
      </c>
      <c r="C3479" t="s">
        <v>40</v>
      </c>
      <c r="D3479" t="s">
        <v>17447</v>
      </c>
      <c r="E3479">
        <v>424036</v>
      </c>
      <c r="F3479" t="s">
        <v>1</v>
      </c>
      <c r="G3479" t="s">
        <v>2</v>
      </c>
      <c r="H3479" t="s">
        <v>12444</v>
      </c>
      <c r="I3479" t="s">
        <v>17448</v>
      </c>
      <c r="P3479" t="s">
        <v>5278</v>
      </c>
      <c r="Y3479" t="s">
        <v>17449</v>
      </c>
    </row>
    <row r="3480" spans="1:25" x14ac:dyDescent="0.25">
      <c r="A3480" t="str">
        <f>"1381892971"</f>
        <v>1381892971</v>
      </c>
      <c r="B3480" t="s">
        <v>574</v>
      </c>
      <c r="C3480" t="s">
        <v>646</v>
      </c>
      <c r="D3480" t="s">
        <v>17450</v>
      </c>
      <c r="E3480">
        <v>424037</v>
      </c>
      <c r="F3480" t="s">
        <v>1</v>
      </c>
      <c r="G3480" t="s">
        <v>2</v>
      </c>
      <c r="H3480" t="s">
        <v>9738</v>
      </c>
      <c r="I3480" t="s">
        <v>17451</v>
      </c>
      <c r="P3480" t="s">
        <v>216</v>
      </c>
      <c r="Y3480" t="s">
        <v>17452</v>
      </c>
    </row>
    <row r="3481" spans="1:25" x14ac:dyDescent="0.25">
      <c r="A3481" t="str">
        <f>"1382077036"</f>
        <v>1382077036</v>
      </c>
      <c r="B3481" t="s">
        <v>25</v>
      </c>
      <c r="C3481" t="s">
        <v>59</v>
      </c>
      <c r="D3481" t="s">
        <v>11210</v>
      </c>
      <c r="E3481">
        <v>424038</v>
      </c>
      <c r="F3481" t="s">
        <v>1</v>
      </c>
      <c r="G3481" t="s">
        <v>2</v>
      </c>
      <c r="H3481" t="s">
        <v>9618</v>
      </c>
      <c r="J3481" t="s">
        <v>17453</v>
      </c>
      <c r="P3481" t="s">
        <v>330</v>
      </c>
      <c r="Y3481" t="s">
        <v>9627</v>
      </c>
    </row>
    <row r="3482" spans="1:25" x14ac:dyDescent="0.25">
      <c r="A3482" t="str">
        <f>"1382214248"</f>
        <v>1382214248</v>
      </c>
      <c r="B3482" t="s">
        <v>151</v>
      </c>
      <c r="C3482" t="s">
        <v>9277</v>
      </c>
      <c r="D3482" t="s">
        <v>17454</v>
      </c>
      <c r="F3482" t="s">
        <v>1</v>
      </c>
      <c r="G3482" t="s">
        <v>2</v>
      </c>
      <c r="H3482" t="s">
        <v>3984</v>
      </c>
      <c r="J3482" t="s">
        <v>17455</v>
      </c>
      <c r="P3482" t="s">
        <v>3456</v>
      </c>
      <c r="Y3482" t="s">
        <v>4409</v>
      </c>
    </row>
    <row r="3483" spans="1:25" x14ac:dyDescent="0.25">
      <c r="A3483" t="str">
        <f>"1382274525"</f>
        <v>1382274525</v>
      </c>
      <c r="B3483" t="s">
        <v>176</v>
      </c>
      <c r="C3483" t="s">
        <v>17458</v>
      </c>
      <c r="D3483" t="s">
        <v>17456</v>
      </c>
      <c r="E3483">
        <v>424037</v>
      </c>
      <c r="F3483" t="s">
        <v>1</v>
      </c>
      <c r="G3483" t="s">
        <v>2</v>
      </c>
      <c r="H3483" t="s">
        <v>9738</v>
      </c>
      <c r="I3483" t="s">
        <v>17457</v>
      </c>
      <c r="P3483" t="s">
        <v>330</v>
      </c>
      <c r="Y3483" t="s">
        <v>17459</v>
      </c>
    </row>
    <row r="3484" spans="1:25" x14ac:dyDescent="0.25">
      <c r="A3484" t="str">
        <f>"1382344632"</f>
        <v>1382344632</v>
      </c>
      <c r="B3484" t="s">
        <v>18</v>
      </c>
      <c r="C3484" t="s">
        <v>17465</v>
      </c>
      <c r="D3484" t="s">
        <v>17460</v>
      </c>
      <c r="E3484">
        <v>424004</v>
      </c>
      <c r="F3484" t="s">
        <v>1</v>
      </c>
      <c r="G3484" t="s">
        <v>2</v>
      </c>
      <c r="H3484" t="s">
        <v>17461</v>
      </c>
      <c r="I3484" t="s">
        <v>17462</v>
      </c>
      <c r="L3484" t="s">
        <v>17463</v>
      </c>
      <c r="M3484" t="s">
        <v>17464</v>
      </c>
      <c r="P3484" t="s">
        <v>1071</v>
      </c>
      <c r="Y3484" t="s">
        <v>17466</v>
      </c>
    </row>
    <row r="3485" spans="1:25" x14ac:dyDescent="0.25">
      <c r="A3485" t="str">
        <f>"1382417845"</f>
        <v>1382417845</v>
      </c>
      <c r="B3485" t="s">
        <v>123</v>
      </c>
      <c r="C3485" t="s">
        <v>10769</v>
      </c>
      <c r="D3485" t="s">
        <v>17467</v>
      </c>
      <c r="E3485">
        <v>424030</v>
      </c>
      <c r="F3485" t="s">
        <v>1</v>
      </c>
      <c r="G3485" t="s">
        <v>2</v>
      </c>
      <c r="H3485" t="s">
        <v>440</v>
      </c>
      <c r="I3485" t="s">
        <v>17468</v>
      </c>
      <c r="M3485" t="s">
        <v>17469</v>
      </c>
      <c r="P3485" t="s">
        <v>17470</v>
      </c>
      <c r="Y3485" t="s">
        <v>17471</v>
      </c>
    </row>
    <row r="3486" spans="1:25" x14ac:dyDescent="0.25">
      <c r="A3486" t="str">
        <f>"1382549941"</f>
        <v>1382549941</v>
      </c>
      <c r="B3486" t="s">
        <v>574</v>
      </c>
      <c r="C3486" t="s">
        <v>14016</v>
      </c>
      <c r="D3486" t="s">
        <v>17472</v>
      </c>
      <c r="E3486">
        <v>424028</v>
      </c>
      <c r="F3486" t="s">
        <v>1</v>
      </c>
      <c r="G3486" t="s">
        <v>2</v>
      </c>
      <c r="H3486" t="s">
        <v>1969</v>
      </c>
      <c r="P3486" t="s">
        <v>216</v>
      </c>
      <c r="Y3486" t="s">
        <v>17473</v>
      </c>
    </row>
    <row r="3487" spans="1:25" x14ac:dyDescent="0.25">
      <c r="A3487" t="str">
        <f>"1382564411"</f>
        <v>1382564411</v>
      </c>
      <c r="B3487" t="s">
        <v>290</v>
      </c>
      <c r="C3487" t="s">
        <v>290</v>
      </c>
      <c r="D3487" t="s">
        <v>17474</v>
      </c>
      <c r="E3487">
        <v>424000</v>
      </c>
      <c r="F3487" t="s">
        <v>1</v>
      </c>
      <c r="G3487" t="s">
        <v>2</v>
      </c>
      <c r="H3487" t="s">
        <v>2311</v>
      </c>
      <c r="I3487" t="s">
        <v>17475</v>
      </c>
      <c r="P3487" t="s">
        <v>17476</v>
      </c>
      <c r="Q3487" t="s">
        <v>17477</v>
      </c>
      <c r="Y3487" t="s">
        <v>17478</v>
      </c>
    </row>
    <row r="3488" spans="1:25" x14ac:dyDescent="0.25">
      <c r="A3488" t="str">
        <f>"1382570175"</f>
        <v>1382570175</v>
      </c>
      <c r="B3488" t="s">
        <v>160</v>
      </c>
      <c r="C3488" t="s">
        <v>1666</v>
      </c>
      <c r="D3488" t="s">
        <v>17479</v>
      </c>
      <c r="E3488">
        <v>424003</v>
      </c>
      <c r="F3488" t="s">
        <v>1</v>
      </c>
      <c r="G3488" t="s">
        <v>2</v>
      </c>
      <c r="H3488" t="s">
        <v>9203</v>
      </c>
      <c r="I3488" t="s">
        <v>17480</v>
      </c>
      <c r="P3488" t="s">
        <v>20</v>
      </c>
      <c r="Y3488" t="s">
        <v>9206</v>
      </c>
    </row>
    <row r="3489" spans="1:25" x14ac:dyDescent="0.25">
      <c r="A3489" t="str">
        <f>"1382590594"</f>
        <v>1382590594</v>
      </c>
      <c r="B3489" t="s">
        <v>574</v>
      </c>
      <c r="C3489" t="s">
        <v>14016</v>
      </c>
      <c r="D3489" t="s">
        <v>17481</v>
      </c>
      <c r="E3489">
        <v>424004</v>
      </c>
      <c r="F3489" t="s">
        <v>1</v>
      </c>
      <c r="G3489" t="s">
        <v>2</v>
      </c>
      <c r="H3489" t="s">
        <v>906</v>
      </c>
      <c r="P3489" t="s">
        <v>17482</v>
      </c>
      <c r="Y3489" t="s">
        <v>17483</v>
      </c>
    </row>
    <row r="3490" spans="1:25" x14ac:dyDescent="0.25">
      <c r="A3490" t="str">
        <f>"1382624562"</f>
        <v>1382624562</v>
      </c>
      <c r="B3490" t="s">
        <v>32</v>
      </c>
      <c r="C3490" t="s">
        <v>777</v>
      </c>
      <c r="D3490" t="s">
        <v>17484</v>
      </c>
      <c r="E3490">
        <v>424006</v>
      </c>
      <c r="F3490" t="s">
        <v>1</v>
      </c>
      <c r="G3490" t="s">
        <v>2</v>
      </c>
      <c r="H3490" t="s">
        <v>4587</v>
      </c>
      <c r="I3490" t="s">
        <v>17485</v>
      </c>
      <c r="P3490" t="s">
        <v>17486</v>
      </c>
      <c r="Y3490" t="s">
        <v>17487</v>
      </c>
    </row>
    <row r="3491" spans="1:25" x14ac:dyDescent="0.25">
      <c r="A3491" t="str">
        <f>"1382719893"</f>
        <v>1382719893</v>
      </c>
      <c r="B3491" t="s">
        <v>3008</v>
      </c>
      <c r="C3491" t="s">
        <v>15744</v>
      </c>
      <c r="D3491" t="s">
        <v>8957</v>
      </c>
      <c r="E3491">
        <v>424037</v>
      </c>
      <c r="F3491" t="s">
        <v>1</v>
      </c>
      <c r="G3491" t="s">
        <v>2</v>
      </c>
      <c r="H3491" t="s">
        <v>1116</v>
      </c>
      <c r="I3491" t="s">
        <v>17488</v>
      </c>
      <c r="P3491" t="s">
        <v>60</v>
      </c>
      <c r="Y3491" t="s">
        <v>11769</v>
      </c>
    </row>
    <row r="3492" spans="1:25" x14ac:dyDescent="0.25">
      <c r="A3492" t="str">
        <f>"1382797488"</f>
        <v>1382797488</v>
      </c>
      <c r="B3492" t="s">
        <v>1475</v>
      </c>
      <c r="C3492" t="s">
        <v>1476</v>
      </c>
      <c r="D3492" t="s">
        <v>17489</v>
      </c>
      <c r="E3492">
        <v>424002</v>
      </c>
      <c r="F3492" t="s">
        <v>1</v>
      </c>
      <c r="G3492" t="s">
        <v>2</v>
      </c>
      <c r="H3492" t="s">
        <v>3421</v>
      </c>
      <c r="P3492" t="s">
        <v>1760</v>
      </c>
      <c r="Y3492" t="s">
        <v>17490</v>
      </c>
    </row>
    <row r="3493" spans="1:25" x14ac:dyDescent="0.25">
      <c r="A3493" t="str">
        <f>"1382815520"</f>
        <v>1382815520</v>
      </c>
      <c r="B3493" t="s">
        <v>371</v>
      </c>
      <c r="C3493" t="s">
        <v>17494</v>
      </c>
      <c r="D3493" t="s">
        <v>17491</v>
      </c>
      <c r="E3493">
        <v>424006</v>
      </c>
      <c r="F3493" t="s">
        <v>1</v>
      </c>
      <c r="G3493" t="s">
        <v>2</v>
      </c>
      <c r="H3493" t="s">
        <v>5846</v>
      </c>
      <c r="I3493" t="s">
        <v>17492</v>
      </c>
      <c r="J3493" t="s">
        <v>17493</v>
      </c>
      <c r="P3493" t="s">
        <v>4848</v>
      </c>
      <c r="Y3493" t="s">
        <v>17495</v>
      </c>
    </row>
    <row r="3494" spans="1:25" x14ac:dyDescent="0.25">
      <c r="A3494" t="str">
        <f>"1382816726"</f>
        <v>1382816726</v>
      </c>
      <c r="B3494" t="s">
        <v>1053</v>
      </c>
      <c r="C3494" t="s">
        <v>1927</v>
      </c>
      <c r="D3494" t="s">
        <v>17496</v>
      </c>
      <c r="E3494">
        <v>424003</v>
      </c>
      <c r="F3494" t="s">
        <v>1</v>
      </c>
      <c r="G3494" t="s">
        <v>2</v>
      </c>
      <c r="H3494" t="s">
        <v>17497</v>
      </c>
      <c r="I3494" t="s">
        <v>17498</v>
      </c>
      <c r="L3494" t="s">
        <v>597</v>
      </c>
      <c r="M3494" t="s">
        <v>17499</v>
      </c>
      <c r="P3494" t="s">
        <v>20</v>
      </c>
      <c r="Y3494" t="s">
        <v>17500</v>
      </c>
    </row>
    <row r="3495" spans="1:25" x14ac:dyDescent="0.25">
      <c r="A3495" t="str">
        <f>"1382820003"</f>
        <v>1382820003</v>
      </c>
      <c r="B3495" t="s">
        <v>482</v>
      </c>
      <c r="C3495" t="s">
        <v>483</v>
      </c>
      <c r="D3495" t="s">
        <v>17501</v>
      </c>
      <c r="E3495">
        <v>424006</v>
      </c>
      <c r="F3495" t="s">
        <v>1</v>
      </c>
      <c r="G3495" t="s">
        <v>2</v>
      </c>
      <c r="H3495" t="s">
        <v>478</v>
      </c>
      <c r="I3495" t="s">
        <v>17502</v>
      </c>
      <c r="L3495" t="s">
        <v>17503</v>
      </c>
      <c r="M3495" t="s">
        <v>17504</v>
      </c>
      <c r="P3495" t="s">
        <v>27</v>
      </c>
      <c r="Q3495" t="s">
        <v>17505</v>
      </c>
      <c r="R3495" t="s">
        <v>17506</v>
      </c>
      <c r="T3495" t="s">
        <v>17507</v>
      </c>
      <c r="V3495" t="s">
        <v>17508</v>
      </c>
      <c r="Y3495" t="s">
        <v>17509</v>
      </c>
    </row>
    <row r="3496" spans="1:25" x14ac:dyDescent="0.25">
      <c r="A3496" t="str">
        <f>"1382825717"</f>
        <v>1382825717</v>
      </c>
      <c r="B3496" t="s">
        <v>1611</v>
      </c>
      <c r="C3496" t="s">
        <v>4172</v>
      </c>
      <c r="D3496" t="s">
        <v>17510</v>
      </c>
      <c r="E3496">
        <v>424006</v>
      </c>
      <c r="F3496" t="s">
        <v>1</v>
      </c>
      <c r="G3496" t="s">
        <v>2</v>
      </c>
      <c r="H3496" t="s">
        <v>17511</v>
      </c>
      <c r="I3496" t="s">
        <v>17512</v>
      </c>
      <c r="L3496" t="s">
        <v>16332</v>
      </c>
      <c r="M3496" t="s">
        <v>16333</v>
      </c>
      <c r="P3496" t="s">
        <v>12687</v>
      </c>
      <c r="Y3496" t="s">
        <v>17513</v>
      </c>
    </row>
    <row r="3497" spans="1:25" x14ac:dyDescent="0.25">
      <c r="A3497" t="str">
        <f>"1383008038"</f>
        <v>1383008038</v>
      </c>
      <c r="B3497" t="s">
        <v>930</v>
      </c>
      <c r="C3497" t="s">
        <v>11044</v>
      </c>
      <c r="D3497" t="s">
        <v>17514</v>
      </c>
      <c r="E3497">
        <v>424019</v>
      </c>
      <c r="F3497" t="s">
        <v>1</v>
      </c>
      <c r="G3497" t="s">
        <v>2</v>
      </c>
      <c r="H3497" t="s">
        <v>13705</v>
      </c>
      <c r="I3497" t="s">
        <v>17515</v>
      </c>
      <c r="J3497" t="s">
        <v>17516</v>
      </c>
      <c r="P3497" t="s">
        <v>330</v>
      </c>
      <c r="Y3497" t="s">
        <v>17517</v>
      </c>
    </row>
    <row r="3498" spans="1:25" x14ac:dyDescent="0.25">
      <c r="A3498" t="str">
        <f>"1383033688"</f>
        <v>1383033688</v>
      </c>
      <c r="B3498" t="s">
        <v>417</v>
      </c>
      <c r="C3498" t="s">
        <v>418</v>
      </c>
      <c r="D3498" t="s">
        <v>417</v>
      </c>
      <c r="E3498">
        <v>424038</v>
      </c>
      <c r="F3498" t="s">
        <v>1</v>
      </c>
      <c r="G3498" t="s">
        <v>2</v>
      </c>
      <c r="H3498" t="s">
        <v>10766</v>
      </c>
      <c r="I3498" t="s">
        <v>17518</v>
      </c>
      <c r="P3498" t="s">
        <v>4459</v>
      </c>
      <c r="Y3498" t="s">
        <v>17519</v>
      </c>
    </row>
    <row r="3499" spans="1:25" x14ac:dyDescent="0.25">
      <c r="A3499" t="str">
        <f>"1383217112"</f>
        <v>1383217112</v>
      </c>
      <c r="B3499" t="s">
        <v>3008</v>
      </c>
      <c r="C3499" t="s">
        <v>15481</v>
      </c>
      <c r="D3499" t="s">
        <v>17520</v>
      </c>
      <c r="E3499">
        <v>424003</v>
      </c>
      <c r="F3499" t="s">
        <v>1</v>
      </c>
      <c r="G3499" t="s">
        <v>2</v>
      </c>
      <c r="H3499" t="s">
        <v>3459</v>
      </c>
      <c r="P3499" t="s">
        <v>14762</v>
      </c>
      <c r="Y3499" t="s">
        <v>17521</v>
      </c>
    </row>
    <row r="3500" spans="1:25" x14ac:dyDescent="0.25">
      <c r="A3500" t="str">
        <f>"1383222471"</f>
        <v>1383222471</v>
      </c>
      <c r="B3500" t="s">
        <v>32</v>
      </c>
      <c r="C3500" t="s">
        <v>17524</v>
      </c>
      <c r="D3500" t="s">
        <v>17522</v>
      </c>
      <c r="E3500">
        <v>424008</v>
      </c>
      <c r="F3500" t="s">
        <v>1</v>
      </c>
      <c r="G3500" t="s">
        <v>2</v>
      </c>
      <c r="H3500" t="s">
        <v>1031</v>
      </c>
      <c r="I3500" t="s">
        <v>17523</v>
      </c>
      <c r="P3500" t="s">
        <v>410</v>
      </c>
      <c r="Y3500" t="s">
        <v>17525</v>
      </c>
    </row>
    <row r="3501" spans="1:25" x14ac:dyDescent="0.25">
      <c r="A3501" t="str">
        <f>"1383234086"</f>
        <v>1383234086</v>
      </c>
      <c r="B3501" t="s">
        <v>4084</v>
      </c>
      <c r="C3501" t="s">
        <v>7951</v>
      </c>
      <c r="D3501" t="s">
        <v>17526</v>
      </c>
      <c r="F3501" t="s">
        <v>1</v>
      </c>
      <c r="G3501" t="s">
        <v>2</v>
      </c>
      <c r="H3501" t="s">
        <v>17527</v>
      </c>
      <c r="I3501" t="s">
        <v>17528</v>
      </c>
      <c r="J3501" t="s">
        <v>17529</v>
      </c>
      <c r="P3501" t="s">
        <v>647</v>
      </c>
      <c r="Q3501" t="s">
        <v>17530</v>
      </c>
      <c r="Y3501" t="s">
        <v>17531</v>
      </c>
    </row>
    <row r="3502" spans="1:25" x14ac:dyDescent="0.25">
      <c r="A3502" t="str">
        <f>"1383313137"</f>
        <v>1383313137</v>
      </c>
      <c r="B3502" t="s">
        <v>18</v>
      </c>
      <c r="C3502" t="s">
        <v>4522</v>
      </c>
      <c r="D3502" t="s">
        <v>17532</v>
      </c>
      <c r="F3502" t="s">
        <v>1</v>
      </c>
      <c r="G3502" t="s">
        <v>2</v>
      </c>
      <c r="H3502" t="s">
        <v>3711</v>
      </c>
      <c r="P3502" t="s">
        <v>17533</v>
      </c>
      <c r="Y3502" t="s">
        <v>8340</v>
      </c>
    </row>
    <row r="3503" spans="1:25" x14ac:dyDescent="0.25">
      <c r="A3503" t="str">
        <f>"1383400921"</f>
        <v>1383400921</v>
      </c>
      <c r="B3503" t="s">
        <v>32</v>
      </c>
      <c r="C3503" t="s">
        <v>182</v>
      </c>
      <c r="D3503" t="s">
        <v>17534</v>
      </c>
      <c r="E3503">
        <v>424004</v>
      </c>
      <c r="F3503" t="s">
        <v>1</v>
      </c>
      <c r="G3503" t="s">
        <v>2</v>
      </c>
      <c r="H3503" t="s">
        <v>3489</v>
      </c>
      <c r="I3503" t="s">
        <v>17535</v>
      </c>
      <c r="P3503" t="s">
        <v>216</v>
      </c>
      <c r="Y3503" t="s">
        <v>17536</v>
      </c>
    </row>
    <row r="3504" spans="1:25" x14ac:dyDescent="0.25">
      <c r="A3504" t="str">
        <f>"1383478469"</f>
        <v>1383478469</v>
      </c>
      <c r="B3504" t="s">
        <v>654</v>
      </c>
      <c r="C3504" t="s">
        <v>17540</v>
      </c>
      <c r="D3504" t="s">
        <v>17537</v>
      </c>
      <c r="F3504" t="s">
        <v>1</v>
      </c>
      <c r="G3504" t="s">
        <v>2</v>
      </c>
      <c r="H3504" t="s">
        <v>757</v>
      </c>
      <c r="I3504" t="s">
        <v>17538</v>
      </c>
      <c r="L3504" t="s">
        <v>17539</v>
      </c>
      <c r="P3504" t="s">
        <v>27</v>
      </c>
      <c r="Q3504" t="s">
        <v>17541</v>
      </c>
      <c r="S3504" t="s">
        <v>17542</v>
      </c>
      <c r="U3504" t="s">
        <v>17543</v>
      </c>
      <c r="V3504" t="s">
        <v>17544</v>
      </c>
      <c r="Y3504" t="s">
        <v>760</v>
      </c>
    </row>
    <row r="3505" spans="1:25" x14ac:dyDescent="0.25">
      <c r="A3505" t="str">
        <f>"1383486396"</f>
        <v>1383486396</v>
      </c>
      <c r="B3505" t="s">
        <v>18</v>
      </c>
      <c r="C3505" t="s">
        <v>17547</v>
      </c>
      <c r="D3505" t="s">
        <v>17545</v>
      </c>
      <c r="E3505">
        <v>424036</v>
      </c>
      <c r="F3505" t="s">
        <v>1</v>
      </c>
      <c r="G3505" t="s">
        <v>2</v>
      </c>
      <c r="H3505" t="s">
        <v>6403</v>
      </c>
      <c r="I3505" t="s">
        <v>17546</v>
      </c>
      <c r="P3505" t="s">
        <v>3938</v>
      </c>
      <c r="Y3505" t="s">
        <v>9757</v>
      </c>
    </row>
    <row r="3506" spans="1:25" x14ac:dyDescent="0.25">
      <c r="A3506" t="str">
        <f>"1383558056"</f>
        <v>1383558056</v>
      </c>
      <c r="B3506" t="s">
        <v>18</v>
      </c>
      <c r="C3506" t="s">
        <v>17550</v>
      </c>
      <c r="D3506" t="s">
        <v>17548</v>
      </c>
      <c r="E3506">
        <v>424006</v>
      </c>
      <c r="F3506" t="s">
        <v>1</v>
      </c>
      <c r="G3506" t="s">
        <v>2</v>
      </c>
      <c r="H3506" t="s">
        <v>14949</v>
      </c>
      <c r="J3506" t="s">
        <v>17549</v>
      </c>
      <c r="P3506" t="s">
        <v>390</v>
      </c>
      <c r="Y3506" t="s">
        <v>13598</v>
      </c>
    </row>
    <row r="3507" spans="1:25" x14ac:dyDescent="0.25">
      <c r="A3507" t="str">
        <f>"1383612204"</f>
        <v>1383612204</v>
      </c>
      <c r="B3507" t="s">
        <v>1053</v>
      </c>
      <c r="C3507" t="s">
        <v>17555</v>
      </c>
      <c r="D3507" t="s">
        <v>17551</v>
      </c>
      <c r="E3507">
        <v>424006</v>
      </c>
      <c r="F3507" t="s">
        <v>1</v>
      </c>
      <c r="G3507" t="s">
        <v>2</v>
      </c>
      <c r="H3507" t="s">
        <v>2825</v>
      </c>
      <c r="I3507" t="s">
        <v>17552</v>
      </c>
      <c r="L3507" t="s">
        <v>17553</v>
      </c>
      <c r="M3507" t="s">
        <v>17554</v>
      </c>
      <c r="P3507" t="s">
        <v>11090</v>
      </c>
      <c r="Q3507" t="s">
        <v>17556</v>
      </c>
      <c r="V3507" t="s">
        <v>17557</v>
      </c>
      <c r="Y3507" t="s">
        <v>17558</v>
      </c>
    </row>
    <row r="3508" spans="1:25" x14ac:dyDescent="0.25">
      <c r="A3508" t="str">
        <f>"1383652704"</f>
        <v>1383652704</v>
      </c>
      <c r="B3508" t="s">
        <v>738</v>
      </c>
      <c r="C3508" t="s">
        <v>17561</v>
      </c>
      <c r="D3508" t="s">
        <v>17559</v>
      </c>
      <c r="E3508">
        <v>424004</v>
      </c>
      <c r="F3508" t="s">
        <v>1</v>
      </c>
      <c r="G3508" t="s">
        <v>2</v>
      </c>
      <c r="H3508" t="s">
        <v>7224</v>
      </c>
      <c r="I3508" t="s">
        <v>17560</v>
      </c>
      <c r="P3508" t="s">
        <v>17562</v>
      </c>
      <c r="Y3508" t="s">
        <v>11992</v>
      </c>
    </row>
    <row r="3509" spans="1:25" x14ac:dyDescent="0.25">
      <c r="A3509" t="str">
        <f>"1383721337"</f>
        <v>1383721337</v>
      </c>
      <c r="B3509" t="s">
        <v>352</v>
      </c>
      <c r="C3509" t="s">
        <v>3028</v>
      </c>
      <c r="D3509" t="s">
        <v>17563</v>
      </c>
      <c r="E3509">
        <v>424006</v>
      </c>
      <c r="F3509" t="s">
        <v>1</v>
      </c>
      <c r="G3509" t="s">
        <v>2</v>
      </c>
      <c r="H3509" t="s">
        <v>1012</v>
      </c>
      <c r="I3509" t="s">
        <v>17564</v>
      </c>
      <c r="L3509" t="s">
        <v>17565</v>
      </c>
      <c r="M3509" t="s">
        <v>17566</v>
      </c>
      <c r="P3509" t="s">
        <v>4126</v>
      </c>
      <c r="Q3509" t="s">
        <v>17567</v>
      </c>
      <c r="V3509" t="s">
        <v>17568</v>
      </c>
      <c r="Y3509" t="s">
        <v>1016</v>
      </c>
    </row>
    <row r="3510" spans="1:25" x14ac:dyDescent="0.25">
      <c r="A3510" t="str">
        <f>"1383766461"</f>
        <v>1383766461</v>
      </c>
      <c r="B3510" t="s">
        <v>1053</v>
      </c>
      <c r="C3510" t="s">
        <v>1927</v>
      </c>
      <c r="D3510" t="s">
        <v>17569</v>
      </c>
      <c r="E3510">
        <v>424007</v>
      </c>
      <c r="F3510" t="s">
        <v>1</v>
      </c>
      <c r="G3510" t="s">
        <v>2</v>
      </c>
      <c r="H3510" t="s">
        <v>17570</v>
      </c>
      <c r="I3510" t="s">
        <v>17571</v>
      </c>
      <c r="L3510" t="s">
        <v>17572</v>
      </c>
      <c r="M3510" t="s">
        <v>17573</v>
      </c>
      <c r="P3510" t="s">
        <v>20</v>
      </c>
      <c r="Y3510" t="s">
        <v>17574</v>
      </c>
    </row>
    <row r="3511" spans="1:25" x14ac:dyDescent="0.25">
      <c r="A3511" t="str">
        <f>"1383938935"</f>
        <v>1383938935</v>
      </c>
      <c r="B3511" t="s">
        <v>160</v>
      </c>
      <c r="C3511" t="s">
        <v>1666</v>
      </c>
      <c r="D3511" t="s">
        <v>12625</v>
      </c>
      <c r="E3511">
        <v>424039</v>
      </c>
      <c r="F3511" t="s">
        <v>1</v>
      </c>
      <c r="G3511" t="s">
        <v>2</v>
      </c>
      <c r="H3511" t="s">
        <v>17575</v>
      </c>
      <c r="I3511" t="s">
        <v>17576</v>
      </c>
      <c r="Y3511" t="s">
        <v>17577</v>
      </c>
    </row>
    <row r="3512" spans="1:25" x14ac:dyDescent="0.25">
      <c r="A3512" t="str">
        <f>"1383962915"</f>
        <v>1383962915</v>
      </c>
      <c r="B3512" t="s">
        <v>553</v>
      </c>
      <c r="C3512" t="s">
        <v>1534</v>
      </c>
      <c r="D3512" t="s">
        <v>1530</v>
      </c>
      <c r="E3512">
        <v>424036</v>
      </c>
      <c r="F3512" t="s">
        <v>1</v>
      </c>
      <c r="G3512" t="s">
        <v>2</v>
      </c>
      <c r="H3512" t="s">
        <v>2291</v>
      </c>
      <c r="I3512" t="s">
        <v>17578</v>
      </c>
      <c r="P3512" t="s">
        <v>17579</v>
      </c>
      <c r="Y3512" t="s">
        <v>17580</v>
      </c>
    </row>
    <row r="3513" spans="1:25" x14ac:dyDescent="0.25">
      <c r="A3513" t="str">
        <f>"1384033121"</f>
        <v>1384033121</v>
      </c>
      <c r="B3513" t="s">
        <v>3652</v>
      </c>
      <c r="C3513" t="s">
        <v>17586</v>
      </c>
      <c r="D3513" t="s">
        <v>17581</v>
      </c>
      <c r="E3513">
        <v>424007</v>
      </c>
      <c r="F3513" t="s">
        <v>1</v>
      </c>
      <c r="G3513" t="s">
        <v>2</v>
      </c>
      <c r="H3513" t="s">
        <v>9406</v>
      </c>
      <c r="I3513" t="s">
        <v>17582</v>
      </c>
      <c r="J3513" t="s">
        <v>17583</v>
      </c>
      <c r="L3513" t="s">
        <v>17584</v>
      </c>
      <c r="M3513" t="s">
        <v>17585</v>
      </c>
      <c r="P3513" t="s">
        <v>20</v>
      </c>
      <c r="Y3513" t="s">
        <v>17587</v>
      </c>
    </row>
    <row r="3514" spans="1:25" x14ac:dyDescent="0.25">
      <c r="A3514" t="str">
        <f>"1384075145"</f>
        <v>1384075145</v>
      </c>
      <c r="B3514" t="s">
        <v>67</v>
      </c>
      <c r="C3514" t="s">
        <v>269</v>
      </c>
      <c r="D3514" t="s">
        <v>9285</v>
      </c>
      <c r="E3514">
        <v>424019</v>
      </c>
      <c r="F3514" t="s">
        <v>1</v>
      </c>
      <c r="G3514" t="s">
        <v>2</v>
      </c>
      <c r="H3514" t="s">
        <v>7785</v>
      </c>
      <c r="I3514" t="s">
        <v>17588</v>
      </c>
      <c r="L3514" t="s">
        <v>9287</v>
      </c>
      <c r="M3514" t="s">
        <v>17589</v>
      </c>
      <c r="P3514" t="s">
        <v>98</v>
      </c>
      <c r="Q3514" t="s">
        <v>9291</v>
      </c>
      <c r="T3514" t="s">
        <v>9293</v>
      </c>
      <c r="V3514" t="s">
        <v>9294</v>
      </c>
      <c r="Y3514" t="s">
        <v>17590</v>
      </c>
    </row>
    <row r="3515" spans="1:25" x14ac:dyDescent="0.25">
      <c r="A3515" t="str">
        <f>"1384081336"</f>
        <v>1384081336</v>
      </c>
      <c r="B3515" t="s">
        <v>151</v>
      </c>
      <c r="C3515" t="s">
        <v>151</v>
      </c>
      <c r="D3515" t="s">
        <v>17591</v>
      </c>
      <c r="E3515">
        <v>424008</v>
      </c>
      <c r="F3515" t="s">
        <v>1</v>
      </c>
      <c r="G3515" t="s">
        <v>2</v>
      </c>
      <c r="H3515" t="s">
        <v>1031</v>
      </c>
      <c r="J3515" t="s">
        <v>17592</v>
      </c>
      <c r="P3515" t="s">
        <v>152</v>
      </c>
      <c r="Y3515" t="s">
        <v>5039</v>
      </c>
    </row>
    <row r="3516" spans="1:25" x14ac:dyDescent="0.25">
      <c r="A3516" t="str">
        <f>"1384130917"</f>
        <v>1384130917</v>
      </c>
      <c r="B3516" t="s">
        <v>1053</v>
      </c>
      <c r="C3516" t="s">
        <v>1927</v>
      </c>
      <c r="D3516" t="s">
        <v>17593</v>
      </c>
      <c r="E3516">
        <v>424030</v>
      </c>
      <c r="F3516" t="s">
        <v>1</v>
      </c>
      <c r="G3516" t="s">
        <v>2</v>
      </c>
      <c r="H3516" t="s">
        <v>12562</v>
      </c>
      <c r="J3516" t="s">
        <v>17594</v>
      </c>
      <c r="Y3516" t="s">
        <v>17595</v>
      </c>
    </row>
    <row r="3517" spans="1:25" x14ac:dyDescent="0.25">
      <c r="A3517" t="str">
        <f>"1384147723"</f>
        <v>1384147723</v>
      </c>
      <c r="B3517" t="s">
        <v>352</v>
      </c>
      <c r="C3517" t="s">
        <v>17597</v>
      </c>
      <c r="D3517" t="s">
        <v>17596</v>
      </c>
      <c r="E3517">
        <v>424008</v>
      </c>
      <c r="F3517" t="s">
        <v>1</v>
      </c>
      <c r="G3517" t="s">
        <v>2</v>
      </c>
      <c r="H3517" t="s">
        <v>1031</v>
      </c>
      <c r="P3517" t="s">
        <v>216</v>
      </c>
      <c r="Q3517" t="s">
        <v>17598</v>
      </c>
      <c r="Y3517" t="s">
        <v>5039</v>
      </c>
    </row>
    <row r="3518" spans="1:25" x14ac:dyDescent="0.25">
      <c r="A3518" t="str">
        <f>"1384207990"</f>
        <v>1384207990</v>
      </c>
      <c r="B3518" t="s">
        <v>319</v>
      </c>
      <c r="C3518" t="s">
        <v>320</v>
      </c>
      <c r="D3518" t="s">
        <v>7723</v>
      </c>
      <c r="E3518">
        <v>424032</v>
      </c>
      <c r="F3518" t="s">
        <v>1</v>
      </c>
      <c r="G3518" t="s">
        <v>2</v>
      </c>
      <c r="H3518" t="s">
        <v>17599</v>
      </c>
      <c r="I3518" t="s">
        <v>17600</v>
      </c>
      <c r="P3518" t="s">
        <v>17601</v>
      </c>
      <c r="Y3518" t="s">
        <v>17602</v>
      </c>
    </row>
    <row r="3519" spans="1:25" x14ac:dyDescent="0.25">
      <c r="A3519" t="str">
        <f>"1384221481"</f>
        <v>1384221481</v>
      </c>
      <c r="B3519" t="s">
        <v>1152</v>
      </c>
      <c r="C3519" t="s">
        <v>17605</v>
      </c>
      <c r="D3519" t="s">
        <v>17603</v>
      </c>
      <c r="E3519">
        <v>424033</v>
      </c>
      <c r="F3519" t="s">
        <v>1</v>
      </c>
      <c r="G3519" t="s">
        <v>2</v>
      </c>
      <c r="H3519" t="s">
        <v>5738</v>
      </c>
      <c r="I3519" t="s">
        <v>17604</v>
      </c>
      <c r="P3519" t="s">
        <v>20</v>
      </c>
      <c r="Y3519" t="s">
        <v>8649</v>
      </c>
    </row>
    <row r="3520" spans="1:25" x14ac:dyDescent="0.25">
      <c r="A3520" t="str">
        <f>"1384266111"</f>
        <v>1384266111</v>
      </c>
      <c r="B3520" t="s">
        <v>176</v>
      </c>
      <c r="C3520" t="s">
        <v>4741</v>
      </c>
      <c r="D3520" t="s">
        <v>17606</v>
      </c>
      <c r="E3520">
        <v>424003</v>
      </c>
      <c r="F3520" t="s">
        <v>1</v>
      </c>
      <c r="G3520" t="s">
        <v>2</v>
      </c>
      <c r="H3520" t="s">
        <v>775</v>
      </c>
      <c r="J3520" t="s">
        <v>17607</v>
      </c>
      <c r="P3520" t="s">
        <v>17608</v>
      </c>
      <c r="Y3520" t="s">
        <v>6686</v>
      </c>
    </row>
    <row r="3521" spans="1:25" x14ac:dyDescent="0.25">
      <c r="A3521" t="str">
        <f>"1384334075"</f>
        <v>1384334075</v>
      </c>
      <c r="B3521" t="s">
        <v>117</v>
      </c>
      <c r="C3521" t="s">
        <v>6850</v>
      </c>
      <c r="D3521" t="s">
        <v>6850</v>
      </c>
      <c r="E3521">
        <v>424004</v>
      </c>
      <c r="F3521" t="s">
        <v>1</v>
      </c>
      <c r="G3521" t="s">
        <v>2</v>
      </c>
      <c r="H3521" t="s">
        <v>7224</v>
      </c>
      <c r="I3521" t="s">
        <v>17609</v>
      </c>
      <c r="J3521" t="s">
        <v>17610</v>
      </c>
      <c r="L3521" t="s">
        <v>17611</v>
      </c>
      <c r="M3521" t="s">
        <v>17612</v>
      </c>
      <c r="P3521" t="s">
        <v>330</v>
      </c>
      <c r="T3521" t="s">
        <v>17613</v>
      </c>
      <c r="V3521" t="s">
        <v>17614</v>
      </c>
      <c r="Y3521" t="s">
        <v>17615</v>
      </c>
    </row>
    <row r="3522" spans="1:25" x14ac:dyDescent="0.25">
      <c r="A3522" t="str">
        <f>"1384341819"</f>
        <v>1384341819</v>
      </c>
      <c r="B3522" t="s">
        <v>3094</v>
      </c>
      <c r="C3522" t="s">
        <v>3095</v>
      </c>
      <c r="D3522" t="s">
        <v>17616</v>
      </c>
      <c r="E3522">
        <v>424008</v>
      </c>
      <c r="F3522" t="s">
        <v>1</v>
      </c>
      <c r="G3522" t="s">
        <v>2</v>
      </c>
      <c r="H3522" t="s">
        <v>12163</v>
      </c>
      <c r="I3522" t="s">
        <v>17617</v>
      </c>
      <c r="L3522" t="s">
        <v>17618</v>
      </c>
      <c r="M3522" t="s">
        <v>17619</v>
      </c>
      <c r="P3522" t="s">
        <v>280</v>
      </c>
      <c r="Q3522" t="s">
        <v>17620</v>
      </c>
      <c r="Y3522" t="s">
        <v>17621</v>
      </c>
    </row>
    <row r="3523" spans="1:25" x14ac:dyDescent="0.25">
      <c r="A3523" t="str">
        <f>"1384405201"</f>
        <v>1384405201</v>
      </c>
      <c r="B3523" t="s">
        <v>930</v>
      </c>
      <c r="C3523" t="s">
        <v>14185</v>
      </c>
      <c r="D3523" t="s">
        <v>17622</v>
      </c>
      <c r="F3523" t="s">
        <v>1</v>
      </c>
      <c r="G3523" t="s">
        <v>2</v>
      </c>
      <c r="H3523" t="s">
        <v>3711</v>
      </c>
      <c r="I3523" t="s">
        <v>17623</v>
      </c>
      <c r="J3523" t="s">
        <v>17624</v>
      </c>
      <c r="P3523" t="s">
        <v>11204</v>
      </c>
      <c r="Y3523" t="s">
        <v>3715</v>
      </c>
    </row>
    <row r="3524" spans="1:25" x14ac:dyDescent="0.25">
      <c r="A3524" t="str">
        <f>"1384531344"</f>
        <v>1384531344</v>
      </c>
      <c r="B3524" t="s">
        <v>430</v>
      </c>
      <c r="C3524" t="s">
        <v>2431</v>
      </c>
      <c r="D3524" t="s">
        <v>17625</v>
      </c>
      <c r="E3524">
        <v>424033</v>
      </c>
      <c r="F3524" t="s">
        <v>1</v>
      </c>
      <c r="G3524" t="s">
        <v>2</v>
      </c>
      <c r="H3524" t="s">
        <v>76</v>
      </c>
      <c r="J3524" t="s">
        <v>17626</v>
      </c>
      <c r="P3524" t="s">
        <v>630</v>
      </c>
      <c r="Q3524" t="s">
        <v>17627</v>
      </c>
      <c r="V3524" t="s">
        <v>17628</v>
      </c>
      <c r="Y3524" t="s">
        <v>17629</v>
      </c>
    </row>
    <row r="3525" spans="1:25" x14ac:dyDescent="0.25">
      <c r="A3525" t="str">
        <f>"1384788904"</f>
        <v>1384788904</v>
      </c>
      <c r="B3525" t="s">
        <v>25</v>
      </c>
      <c r="C3525" t="s">
        <v>59</v>
      </c>
      <c r="D3525" t="s">
        <v>17630</v>
      </c>
      <c r="E3525">
        <v>424031</v>
      </c>
      <c r="F3525" t="s">
        <v>1</v>
      </c>
      <c r="G3525" t="s">
        <v>2</v>
      </c>
      <c r="H3525" t="s">
        <v>2353</v>
      </c>
      <c r="I3525" t="s">
        <v>17631</v>
      </c>
      <c r="P3525" t="s">
        <v>1160</v>
      </c>
      <c r="Y3525" t="s">
        <v>2356</v>
      </c>
    </row>
    <row r="3526" spans="1:25" x14ac:dyDescent="0.25">
      <c r="A3526" t="str">
        <f>"1384810205"</f>
        <v>1384810205</v>
      </c>
      <c r="B3526" t="s">
        <v>462</v>
      </c>
      <c r="C3526" t="s">
        <v>17636</v>
      </c>
      <c r="D3526" t="s">
        <v>17632</v>
      </c>
      <c r="E3526">
        <v>424038</v>
      </c>
      <c r="F3526" t="s">
        <v>1</v>
      </c>
      <c r="G3526" t="s">
        <v>2</v>
      </c>
      <c r="H3526" t="s">
        <v>16988</v>
      </c>
      <c r="I3526" t="s">
        <v>17633</v>
      </c>
      <c r="J3526" t="s">
        <v>17634</v>
      </c>
      <c r="L3526" t="s">
        <v>17635</v>
      </c>
      <c r="P3526" t="s">
        <v>13898</v>
      </c>
      <c r="Q3526" t="s">
        <v>17637</v>
      </c>
      <c r="Y3526" t="s">
        <v>17638</v>
      </c>
    </row>
    <row r="3527" spans="1:25" x14ac:dyDescent="0.25">
      <c r="A3527" t="str">
        <f>"1384811537"</f>
        <v>1384811537</v>
      </c>
      <c r="B3527" t="s">
        <v>151</v>
      </c>
      <c r="C3527" t="s">
        <v>2522</v>
      </c>
      <c r="D3527" t="s">
        <v>17639</v>
      </c>
      <c r="E3527">
        <v>424000</v>
      </c>
      <c r="F3527" t="s">
        <v>1</v>
      </c>
      <c r="G3527" t="s">
        <v>2</v>
      </c>
      <c r="H3527" t="s">
        <v>1746</v>
      </c>
      <c r="I3527" t="s">
        <v>17640</v>
      </c>
      <c r="L3527" t="s">
        <v>5579</v>
      </c>
      <c r="M3527" t="s">
        <v>2521</v>
      </c>
      <c r="P3527" t="s">
        <v>17641</v>
      </c>
      <c r="Y3527" t="s">
        <v>17642</v>
      </c>
    </row>
    <row r="3528" spans="1:25" x14ac:dyDescent="0.25">
      <c r="A3528" t="str">
        <f>"1384973334"</f>
        <v>1384973334</v>
      </c>
      <c r="B3528" t="s">
        <v>1475</v>
      </c>
      <c r="C3528" t="s">
        <v>1476</v>
      </c>
      <c r="D3528" t="s">
        <v>17643</v>
      </c>
      <c r="E3528">
        <v>424039</v>
      </c>
      <c r="F3528" t="s">
        <v>1</v>
      </c>
      <c r="G3528" t="s">
        <v>2</v>
      </c>
      <c r="H3528" t="s">
        <v>13958</v>
      </c>
      <c r="I3528" t="s">
        <v>17644</v>
      </c>
      <c r="P3528" t="s">
        <v>7262</v>
      </c>
      <c r="Y3528" t="s">
        <v>17645</v>
      </c>
    </row>
    <row r="3529" spans="1:25" x14ac:dyDescent="0.25">
      <c r="A3529" t="str">
        <f>"1385111728"</f>
        <v>1385111728</v>
      </c>
      <c r="B3529" t="s">
        <v>3094</v>
      </c>
      <c r="C3529" t="s">
        <v>3095</v>
      </c>
      <c r="D3529" t="s">
        <v>17646</v>
      </c>
      <c r="E3529">
        <v>424031</v>
      </c>
      <c r="F3529" t="s">
        <v>1</v>
      </c>
      <c r="G3529" t="s">
        <v>2</v>
      </c>
      <c r="H3529" t="s">
        <v>17647</v>
      </c>
      <c r="I3529" t="s">
        <v>17648</v>
      </c>
      <c r="L3529" t="s">
        <v>17649</v>
      </c>
      <c r="M3529" t="s">
        <v>17650</v>
      </c>
      <c r="Q3529" t="s">
        <v>17651</v>
      </c>
      <c r="Y3529" t="s">
        <v>17652</v>
      </c>
    </row>
    <row r="3530" spans="1:25" x14ac:dyDescent="0.25">
      <c r="A3530" t="str">
        <f>"1385117409"</f>
        <v>1385117409</v>
      </c>
      <c r="B3530" t="s">
        <v>96</v>
      </c>
      <c r="C3530" t="s">
        <v>659</v>
      </c>
      <c r="D3530" t="s">
        <v>6102</v>
      </c>
      <c r="E3530">
        <v>424000</v>
      </c>
      <c r="F3530" t="s">
        <v>1</v>
      </c>
      <c r="G3530" t="s">
        <v>2</v>
      </c>
      <c r="H3530" t="s">
        <v>1531</v>
      </c>
      <c r="P3530" t="s">
        <v>13001</v>
      </c>
      <c r="Y3530" t="s">
        <v>17653</v>
      </c>
    </row>
    <row r="3531" spans="1:25" x14ac:dyDescent="0.25">
      <c r="A3531" t="str">
        <f>"1385481235"</f>
        <v>1385481235</v>
      </c>
      <c r="B3531" t="s">
        <v>654</v>
      </c>
      <c r="C3531" t="s">
        <v>2195</v>
      </c>
      <c r="D3531" t="s">
        <v>17654</v>
      </c>
      <c r="E3531">
        <v>424026</v>
      </c>
      <c r="F3531" t="s">
        <v>1</v>
      </c>
      <c r="G3531" t="s">
        <v>2</v>
      </c>
      <c r="H3531" t="s">
        <v>17655</v>
      </c>
      <c r="I3531" t="s">
        <v>17656</v>
      </c>
      <c r="K3531" t="s">
        <v>17657</v>
      </c>
      <c r="L3531" t="s">
        <v>17658</v>
      </c>
      <c r="M3531" t="s">
        <v>17659</v>
      </c>
      <c r="P3531" t="s">
        <v>17660</v>
      </c>
      <c r="Y3531" t="s">
        <v>17661</v>
      </c>
    </row>
    <row r="3532" spans="1:25" x14ac:dyDescent="0.25">
      <c r="A3532" t="str">
        <f>"1385575487"</f>
        <v>1385575487</v>
      </c>
      <c r="B3532" t="s">
        <v>574</v>
      </c>
      <c r="C3532" t="s">
        <v>646</v>
      </c>
      <c r="D3532" t="s">
        <v>17662</v>
      </c>
      <c r="E3532">
        <v>424033</v>
      </c>
      <c r="F3532" t="s">
        <v>1</v>
      </c>
      <c r="G3532" t="s">
        <v>2</v>
      </c>
      <c r="H3532" t="s">
        <v>1383</v>
      </c>
      <c r="I3532" t="s">
        <v>17663</v>
      </c>
      <c r="J3532" t="s">
        <v>17664</v>
      </c>
      <c r="P3532" t="s">
        <v>9840</v>
      </c>
      <c r="Y3532" t="s">
        <v>17665</v>
      </c>
    </row>
    <row r="3533" spans="1:25" x14ac:dyDescent="0.25">
      <c r="A3533" t="str">
        <f>"1385602197"</f>
        <v>1385602197</v>
      </c>
      <c r="B3533" t="s">
        <v>430</v>
      </c>
      <c r="C3533" t="s">
        <v>612</v>
      </c>
      <c r="D3533" t="s">
        <v>9923</v>
      </c>
      <c r="E3533">
        <v>424028</v>
      </c>
      <c r="F3533" t="s">
        <v>1</v>
      </c>
      <c r="G3533" t="s">
        <v>2</v>
      </c>
      <c r="H3533" t="s">
        <v>2076</v>
      </c>
      <c r="I3533" t="s">
        <v>17666</v>
      </c>
      <c r="L3533" t="s">
        <v>610</v>
      </c>
      <c r="M3533" t="s">
        <v>611</v>
      </c>
      <c r="P3533" t="s">
        <v>216</v>
      </c>
      <c r="Y3533" t="s">
        <v>17667</v>
      </c>
    </row>
    <row r="3534" spans="1:25" x14ac:dyDescent="0.25">
      <c r="A3534" t="str">
        <f>"1385640195"</f>
        <v>1385640195</v>
      </c>
      <c r="B3534" t="s">
        <v>530</v>
      </c>
      <c r="C3534" t="s">
        <v>531</v>
      </c>
      <c r="D3534" t="s">
        <v>17668</v>
      </c>
      <c r="E3534">
        <v>424007</v>
      </c>
      <c r="F3534" t="s">
        <v>1</v>
      </c>
      <c r="G3534" t="s">
        <v>2</v>
      </c>
      <c r="H3534" t="s">
        <v>5178</v>
      </c>
      <c r="I3534" t="s">
        <v>17669</v>
      </c>
      <c r="P3534" t="s">
        <v>869</v>
      </c>
      <c r="Y3534" t="s">
        <v>17670</v>
      </c>
    </row>
    <row r="3535" spans="1:25" x14ac:dyDescent="0.25">
      <c r="A3535" t="str">
        <f>"1385645786"</f>
        <v>1385645786</v>
      </c>
      <c r="B3535" t="s">
        <v>624</v>
      </c>
      <c r="C3535" t="s">
        <v>17673</v>
      </c>
      <c r="D3535" t="s">
        <v>17671</v>
      </c>
      <c r="E3535">
        <v>424031</v>
      </c>
      <c r="F3535" t="s">
        <v>1</v>
      </c>
      <c r="G3535" t="s">
        <v>2</v>
      </c>
      <c r="H3535" t="s">
        <v>8799</v>
      </c>
      <c r="I3535" t="s">
        <v>17672</v>
      </c>
      <c r="P3535" t="s">
        <v>152</v>
      </c>
      <c r="Y3535" t="s">
        <v>8803</v>
      </c>
    </row>
    <row r="3536" spans="1:25" x14ac:dyDescent="0.25">
      <c r="A3536" t="str">
        <f>"1385660769"</f>
        <v>1385660769</v>
      </c>
      <c r="B3536" t="s">
        <v>160</v>
      </c>
      <c r="C3536" t="s">
        <v>1666</v>
      </c>
      <c r="D3536" t="s">
        <v>17674</v>
      </c>
      <c r="E3536">
        <v>424038</v>
      </c>
      <c r="F3536" t="s">
        <v>1</v>
      </c>
      <c r="G3536" t="s">
        <v>2</v>
      </c>
      <c r="H3536" t="s">
        <v>10772</v>
      </c>
      <c r="P3536" t="s">
        <v>17675</v>
      </c>
      <c r="Y3536" t="s">
        <v>10776</v>
      </c>
    </row>
    <row r="3537" spans="1:25" x14ac:dyDescent="0.25">
      <c r="A3537" t="str">
        <f>"1385933768"</f>
        <v>1385933768</v>
      </c>
      <c r="B3537" t="s">
        <v>624</v>
      </c>
      <c r="C3537" t="s">
        <v>1637</v>
      </c>
      <c r="D3537" t="s">
        <v>17676</v>
      </c>
      <c r="E3537">
        <v>424006</v>
      </c>
      <c r="F3537" t="s">
        <v>1</v>
      </c>
      <c r="G3537" t="s">
        <v>2</v>
      </c>
      <c r="H3537" t="s">
        <v>11927</v>
      </c>
      <c r="I3537" t="s">
        <v>17677</v>
      </c>
      <c r="K3537" t="s">
        <v>11929</v>
      </c>
      <c r="L3537" t="s">
        <v>597</v>
      </c>
      <c r="M3537" t="s">
        <v>11930</v>
      </c>
      <c r="P3537" t="s">
        <v>280</v>
      </c>
      <c r="Y3537" t="s">
        <v>11932</v>
      </c>
    </row>
    <row r="3538" spans="1:25" x14ac:dyDescent="0.25">
      <c r="A3538" t="str">
        <f>"1385971551"</f>
        <v>1385971551</v>
      </c>
      <c r="B3538" t="s">
        <v>574</v>
      </c>
      <c r="C3538" t="s">
        <v>646</v>
      </c>
      <c r="D3538" t="s">
        <v>13019</v>
      </c>
      <c r="E3538">
        <v>424019</v>
      </c>
      <c r="F3538" t="s">
        <v>1</v>
      </c>
      <c r="G3538" t="s">
        <v>2</v>
      </c>
      <c r="H3538" t="s">
        <v>17678</v>
      </c>
      <c r="P3538" t="s">
        <v>60</v>
      </c>
      <c r="Y3538" t="s">
        <v>17679</v>
      </c>
    </row>
    <row r="3539" spans="1:25" x14ac:dyDescent="0.25">
      <c r="A3539" t="str">
        <f>"1386026334"</f>
        <v>1386026334</v>
      </c>
      <c r="B3539" t="s">
        <v>243</v>
      </c>
      <c r="C3539" t="s">
        <v>2538</v>
      </c>
      <c r="D3539" t="s">
        <v>17680</v>
      </c>
      <c r="E3539">
        <v>424037</v>
      </c>
      <c r="F3539" t="s">
        <v>1</v>
      </c>
      <c r="G3539" t="s">
        <v>2</v>
      </c>
      <c r="H3539" t="s">
        <v>17681</v>
      </c>
      <c r="I3539" t="s">
        <v>17682</v>
      </c>
      <c r="L3539" t="s">
        <v>17683</v>
      </c>
      <c r="M3539" t="s">
        <v>17684</v>
      </c>
      <c r="P3539" t="s">
        <v>27</v>
      </c>
      <c r="Q3539" t="s">
        <v>17685</v>
      </c>
      <c r="S3539" t="s">
        <v>17686</v>
      </c>
      <c r="T3539" t="s">
        <v>17687</v>
      </c>
      <c r="Y3539" t="s">
        <v>17688</v>
      </c>
    </row>
    <row r="3540" spans="1:25" x14ac:dyDescent="0.25">
      <c r="A3540" t="str">
        <f>"1386070933"</f>
        <v>1386070933</v>
      </c>
      <c r="B3540" t="s">
        <v>1391</v>
      </c>
      <c r="C3540" t="s">
        <v>11572</v>
      </c>
      <c r="D3540" t="s">
        <v>17689</v>
      </c>
      <c r="E3540">
        <v>424003</v>
      </c>
      <c r="F3540" t="s">
        <v>1</v>
      </c>
      <c r="G3540" t="s">
        <v>2</v>
      </c>
      <c r="H3540" t="s">
        <v>15783</v>
      </c>
      <c r="I3540" t="s">
        <v>17690</v>
      </c>
      <c r="J3540" t="s">
        <v>17691</v>
      </c>
      <c r="P3540" t="s">
        <v>27</v>
      </c>
      <c r="Y3540" t="s">
        <v>17692</v>
      </c>
    </row>
    <row r="3541" spans="1:25" x14ac:dyDescent="0.25">
      <c r="A3541" t="str">
        <f>"1386184270"</f>
        <v>1386184270</v>
      </c>
      <c r="B3541" t="s">
        <v>123</v>
      </c>
      <c r="C3541" t="s">
        <v>17698</v>
      </c>
      <c r="D3541" t="s">
        <v>17693</v>
      </c>
      <c r="E3541">
        <v>424020</v>
      </c>
      <c r="F3541" t="s">
        <v>1</v>
      </c>
      <c r="G3541" t="s">
        <v>2</v>
      </c>
      <c r="H3541" t="s">
        <v>17694</v>
      </c>
      <c r="I3541" t="s">
        <v>17695</v>
      </c>
      <c r="L3541" t="s">
        <v>17696</v>
      </c>
      <c r="M3541" t="s">
        <v>17697</v>
      </c>
      <c r="P3541" t="s">
        <v>17699</v>
      </c>
      <c r="Q3541" t="s">
        <v>17700</v>
      </c>
      <c r="Y3541" t="s">
        <v>17701</v>
      </c>
    </row>
    <row r="3542" spans="1:25" x14ac:dyDescent="0.25">
      <c r="A3542" t="str">
        <f>"1386188088"</f>
        <v>1386188088</v>
      </c>
      <c r="B3542" t="s">
        <v>371</v>
      </c>
      <c r="C3542" t="s">
        <v>372</v>
      </c>
      <c r="D3542" t="s">
        <v>17702</v>
      </c>
      <c r="E3542">
        <v>424006</v>
      </c>
      <c r="F3542" t="s">
        <v>1</v>
      </c>
      <c r="G3542" t="s">
        <v>2</v>
      </c>
      <c r="H3542" t="s">
        <v>4821</v>
      </c>
      <c r="P3542" t="s">
        <v>330</v>
      </c>
      <c r="Y3542" t="s">
        <v>4825</v>
      </c>
    </row>
    <row r="3543" spans="1:25" x14ac:dyDescent="0.25">
      <c r="A3543" t="str">
        <f>"1386261776"</f>
        <v>1386261776</v>
      </c>
      <c r="B3543" t="s">
        <v>624</v>
      </c>
      <c r="C3543" t="s">
        <v>17706</v>
      </c>
      <c r="D3543" t="s">
        <v>17703</v>
      </c>
      <c r="E3543">
        <v>424039</v>
      </c>
      <c r="F3543" t="s">
        <v>1</v>
      </c>
      <c r="G3543" t="s">
        <v>2</v>
      </c>
      <c r="H3543" t="s">
        <v>17704</v>
      </c>
      <c r="I3543" t="s">
        <v>17705</v>
      </c>
      <c r="P3543" t="s">
        <v>2839</v>
      </c>
      <c r="Y3543" t="s">
        <v>17707</v>
      </c>
    </row>
    <row r="3544" spans="1:25" x14ac:dyDescent="0.25">
      <c r="A3544" t="str">
        <f>"1386386187"</f>
        <v>1386386187</v>
      </c>
      <c r="B3544" t="s">
        <v>32</v>
      </c>
      <c r="C3544" t="s">
        <v>40</v>
      </c>
      <c r="D3544" t="s">
        <v>17708</v>
      </c>
      <c r="E3544">
        <v>424007</v>
      </c>
      <c r="F3544" t="s">
        <v>1</v>
      </c>
      <c r="G3544" t="s">
        <v>2</v>
      </c>
      <c r="H3544" t="s">
        <v>4411</v>
      </c>
      <c r="I3544" t="s">
        <v>17709</v>
      </c>
      <c r="P3544" t="s">
        <v>1404</v>
      </c>
      <c r="Y3544" t="s">
        <v>17710</v>
      </c>
    </row>
    <row r="3545" spans="1:25" x14ac:dyDescent="0.25">
      <c r="A3545" t="str">
        <f>"1386411978"</f>
        <v>1386411978</v>
      </c>
      <c r="B3545" t="s">
        <v>80</v>
      </c>
      <c r="C3545" t="s">
        <v>14246</v>
      </c>
      <c r="D3545" t="s">
        <v>17711</v>
      </c>
      <c r="F3545" t="s">
        <v>1</v>
      </c>
      <c r="G3545" t="s">
        <v>2</v>
      </c>
      <c r="H3545" t="s">
        <v>343</v>
      </c>
      <c r="I3545" t="s">
        <v>17712</v>
      </c>
      <c r="P3545" t="s">
        <v>2050</v>
      </c>
      <c r="Y3545" t="s">
        <v>17713</v>
      </c>
    </row>
    <row r="3546" spans="1:25" x14ac:dyDescent="0.25">
      <c r="A3546" t="str">
        <f>"1386533444"</f>
        <v>1386533444</v>
      </c>
      <c r="B3546" t="s">
        <v>110</v>
      </c>
      <c r="C3546" t="s">
        <v>17718</v>
      </c>
      <c r="D3546" t="s">
        <v>17714</v>
      </c>
      <c r="E3546">
        <v>424037</v>
      </c>
      <c r="F3546" t="s">
        <v>1</v>
      </c>
      <c r="G3546" t="s">
        <v>2</v>
      </c>
      <c r="H3546" t="s">
        <v>1849</v>
      </c>
      <c r="I3546" t="s">
        <v>17715</v>
      </c>
      <c r="L3546" t="s">
        <v>17716</v>
      </c>
      <c r="M3546" t="s">
        <v>17717</v>
      </c>
      <c r="P3546" t="s">
        <v>17719</v>
      </c>
      <c r="Q3546" t="s">
        <v>17720</v>
      </c>
      <c r="Y3546" t="s">
        <v>17721</v>
      </c>
    </row>
    <row r="3547" spans="1:25" x14ac:dyDescent="0.25">
      <c r="A3547" t="str">
        <f>"1386541198"</f>
        <v>1386541198</v>
      </c>
      <c r="B3547" t="s">
        <v>348</v>
      </c>
      <c r="C3547" t="s">
        <v>4366</v>
      </c>
      <c r="D3547" t="s">
        <v>17722</v>
      </c>
      <c r="E3547">
        <v>424000</v>
      </c>
      <c r="F3547" t="s">
        <v>1</v>
      </c>
      <c r="G3547" t="s">
        <v>2</v>
      </c>
      <c r="H3547" t="s">
        <v>1531</v>
      </c>
      <c r="I3547" t="s">
        <v>17723</v>
      </c>
      <c r="J3547" t="s">
        <v>17724</v>
      </c>
      <c r="P3547" t="s">
        <v>17725</v>
      </c>
      <c r="Y3547" t="s">
        <v>17726</v>
      </c>
    </row>
    <row r="3548" spans="1:25" x14ac:dyDescent="0.25">
      <c r="A3548" t="str">
        <f>"1386589019"</f>
        <v>1386589019</v>
      </c>
      <c r="B3548" t="s">
        <v>978</v>
      </c>
      <c r="C3548" t="s">
        <v>17731</v>
      </c>
      <c r="D3548" t="s">
        <v>17727</v>
      </c>
      <c r="E3548">
        <v>424038</v>
      </c>
      <c r="F3548" t="s">
        <v>1</v>
      </c>
      <c r="G3548" t="s">
        <v>2</v>
      </c>
      <c r="H3548" t="s">
        <v>16808</v>
      </c>
      <c r="I3548" t="s">
        <v>17728</v>
      </c>
      <c r="J3548" t="s">
        <v>17729</v>
      </c>
      <c r="M3548" t="s">
        <v>17730</v>
      </c>
      <c r="P3548" t="s">
        <v>1404</v>
      </c>
      <c r="Y3548" t="s">
        <v>17732</v>
      </c>
    </row>
    <row r="3549" spans="1:25" x14ac:dyDescent="0.25">
      <c r="A3549" t="str">
        <f>"1387002789"</f>
        <v>1387002789</v>
      </c>
      <c r="B3549" t="s">
        <v>160</v>
      </c>
      <c r="C3549" t="s">
        <v>1666</v>
      </c>
      <c r="D3549" t="s">
        <v>17733</v>
      </c>
      <c r="E3549">
        <v>424031</v>
      </c>
      <c r="F3549" t="s">
        <v>1</v>
      </c>
      <c r="G3549" t="s">
        <v>2</v>
      </c>
      <c r="H3549" t="s">
        <v>4622</v>
      </c>
      <c r="I3549" t="s">
        <v>17734</v>
      </c>
      <c r="P3549" t="s">
        <v>280</v>
      </c>
      <c r="Y3549" t="s">
        <v>7838</v>
      </c>
    </row>
    <row r="3550" spans="1:25" x14ac:dyDescent="0.25">
      <c r="A3550" t="str">
        <f>"1387012034"</f>
        <v>1387012034</v>
      </c>
      <c r="B3550" t="s">
        <v>123</v>
      </c>
      <c r="C3550" t="s">
        <v>424</v>
      </c>
      <c r="D3550" t="s">
        <v>17735</v>
      </c>
      <c r="E3550">
        <v>424005</v>
      </c>
      <c r="F3550" t="s">
        <v>1</v>
      </c>
      <c r="G3550" t="s">
        <v>2</v>
      </c>
      <c r="H3550" t="s">
        <v>17736</v>
      </c>
      <c r="I3550" t="s">
        <v>17737</v>
      </c>
      <c r="L3550" t="s">
        <v>17738</v>
      </c>
      <c r="P3550" t="s">
        <v>425</v>
      </c>
      <c r="Y3550" t="s">
        <v>17739</v>
      </c>
    </row>
    <row r="3551" spans="1:25" x14ac:dyDescent="0.25">
      <c r="A3551" t="str">
        <f>"1387027740"</f>
        <v>1387027740</v>
      </c>
      <c r="B3551" t="s">
        <v>2846</v>
      </c>
      <c r="C3551" t="s">
        <v>17743</v>
      </c>
      <c r="D3551" t="s">
        <v>17740</v>
      </c>
      <c r="E3551">
        <v>424000</v>
      </c>
      <c r="F3551" t="s">
        <v>1</v>
      </c>
      <c r="G3551" t="s">
        <v>2</v>
      </c>
      <c r="H3551" t="s">
        <v>92</v>
      </c>
      <c r="I3551" t="s">
        <v>17741</v>
      </c>
      <c r="J3551" t="s">
        <v>17742</v>
      </c>
      <c r="P3551" t="s">
        <v>471</v>
      </c>
      <c r="Q3551" t="s">
        <v>17744</v>
      </c>
      <c r="Y3551" t="s">
        <v>17139</v>
      </c>
    </row>
    <row r="3552" spans="1:25" x14ac:dyDescent="0.25">
      <c r="A3552" t="str">
        <f>"1387083309"</f>
        <v>1387083309</v>
      </c>
      <c r="B3552" t="s">
        <v>7</v>
      </c>
      <c r="C3552" t="s">
        <v>17749</v>
      </c>
      <c r="D3552" t="s">
        <v>17745</v>
      </c>
      <c r="E3552">
        <v>424038</v>
      </c>
      <c r="F3552" t="s">
        <v>1</v>
      </c>
      <c r="G3552" t="s">
        <v>2</v>
      </c>
      <c r="H3552" t="s">
        <v>17746</v>
      </c>
      <c r="J3552" t="s">
        <v>17747</v>
      </c>
      <c r="M3552" t="s">
        <v>17748</v>
      </c>
      <c r="P3552" t="s">
        <v>216</v>
      </c>
      <c r="Y3552" t="s">
        <v>17750</v>
      </c>
    </row>
    <row r="3553" spans="1:25" x14ac:dyDescent="0.25">
      <c r="A3553" t="str">
        <f>"1387096075"</f>
        <v>1387096075</v>
      </c>
      <c r="B3553" t="s">
        <v>1262</v>
      </c>
      <c r="C3553" t="s">
        <v>3998</v>
      </c>
      <c r="D3553" t="s">
        <v>17751</v>
      </c>
      <c r="E3553">
        <v>424003</v>
      </c>
      <c r="F3553" t="s">
        <v>1</v>
      </c>
      <c r="G3553" t="s">
        <v>2</v>
      </c>
      <c r="H3553" t="s">
        <v>17752</v>
      </c>
      <c r="I3553" t="s">
        <v>17753</v>
      </c>
      <c r="P3553" t="s">
        <v>20</v>
      </c>
      <c r="Y3553" t="s">
        <v>17754</v>
      </c>
    </row>
    <row r="3554" spans="1:25" x14ac:dyDescent="0.25">
      <c r="A3554" t="str">
        <f>"1387108388"</f>
        <v>1387108388</v>
      </c>
      <c r="B3554" t="s">
        <v>160</v>
      </c>
      <c r="C3554" t="s">
        <v>1666</v>
      </c>
      <c r="D3554" t="s">
        <v>17755</v>
      </c>
      <c r="E3554">
        <v>424037</v>
      </c>
      <c r="F3554" t="s">
        <v>1</v>
      </c>
      <c r="G3554" t="s">
        <v>2</v>
      </c>
      <c r="H3554" t="s">
        <v>17756</v>
      </c>
      <c r="I3554" t="s">
        <v>17757</v>
      </c>
      <c r="P3554" t="s">
        <v>17758</v>
      </c>
      <c r="Y3554" t="s">
        <v>17759</v>
      </c>
    </row>
    <row r="3555" spans="1:25" x14ac:dyDescent="0.25">
      <c r="A3555" t="str">
        <f>"1387133873"</f>
        <v>1387133873</v>
      </c>
      <c r="B3555" t="s">
        <v>80</v>
      </c>
      <c r="C3555" t="s">
        <v>11414</v>
      </c>
      <c r="D3555" t="s">
        <v>17760</v>
      </c>
      <c r="E3555">
        <v>424006</v>
      </c>
      <c r="F3555" t="s">
        <v>1</v>
      </c>
      <c r="G3555" t="s">
        <v>2</v>
      </c>
      <c r="H3555" t="s">
        <v>9851</v>
      </c>
      <c r="I3555" t="s">
        <v>17761</v>
      </c>
      <c r="J3555" t="s">
        <v>17762</v>
      </c>
      <c r="K3555" t="s">
        <v>17763</v>
      </c>
      <c r="L3555" t="s">
        <v>17764</v>
      </c>
      <c r="P3555" t="s">
        <v>11415</v>
      </c>
      <c r="Y3555" t="s">
        <v>17765</v>
      </c>
    </row>
    <row r="3556" spans="1:25" x14ac:dyDescent="0.25">
      <c r="A3556" t="str">
        <f>"1387135459"</f>
        <v>1387135459</v>
      </c>
      <c r="B3556" t="s">
        <v>930</v>
      </c>
      <c r="C3556" t="s">
        <v>10263</v>
      </c>
      <c r="D3556" t="s">
        <v>17766</v>
      </c>
      <c r="F3556" t="s">
        <v>1</v>
      </c>
      <c r="G3556" t="s">
        <v>2</v>
      </c>
      <c r="H3556" t="s">
        <v>17767</v>
      </c>
      <c r="I3556" t="s">
        <v>17768</v>
      </c>
      <c r="P3556" t="s">
        <v>330</v>
      </c>
      <c r="Y3556" t="s">
        <v>17769</v>
      </c>
    </row>
    <row r="3557" spans="1:25" x14ac:dyDescent="0.25">
      <c r="A3557" t="str">
        <f>"1387150451"</f>
        <v>1387150451</v>
      </c>
      <c r="B3557" t="s">
        <v>379</v>
      </c>
      <c r="C3557" t="s">
        <v>4908</v>
      </c>
      <c r="D3557" t="s">
        <v>17770</v>
      </c>
      <c r="E3557">
        <v>424020</v>
      </c>
      <c r="F3557" t="s">
        <v>1</v>
      </c>
      <c r="G3557" t="s">
        <v>2</v>
      </c>
      <c r="H3557" t="s">
        <v>8702</v>
      </c>
      <c r="I3557" t="s">
        <v>17771</v>
      </c>
      <c r="L3557" t="s">
        <v>17772</v>
      </c>
      <c r="M3557" t="s">
        <v>17773</v>
      </c>
      <c r="P3557" t="s">
        <v>17774</v>
      </c>
      <c r="Y3557" t="s">
        <v>13655</v>
      </c>
    </row>
    <row r="3558" spans="1:25" x14ac:dyDescent="0.25">
      <c r="A3558" t="str">
        <f>"1387187221"</f>
        <v>1387187221</v>
      </c>
      <c r="B3558" t="s">
        <v>574</v>
      </c>
      <c r="C3558" t="s">
        <v>11976</v>
      </c>
      <c r="D3558" t="s">
        <v>17775</v>
      </c>
      <c r="E3558">
        <v>424008</v>
      </c>
      <c r="F3558" t="s">
        <v>1</v>
      </c>
      <c r="G3558" t="s">
        <v>2</v>
      </c>
      <c r="H3558" t="s">
        <v>11833</v>
      </c>
      <c r="J3558" t="s">
        <v>17776</v>
      </c>
      <c r="P3558" t="s">
        <v>280</v>
      </c>
      <c r="Y3558" t="s">
        <v>16542</v>
      </c>
    </row>
    <row r="3559" spans="1:25" x14ac:dyDescent="0.25">
      <c r="A3559" t="str">
        <f>"1387262717"</f>
        <v>1387262717</v>
      </c>
      <c r="B3559" t="s">
        <v>417</v>
      </c>
      <c r="C3559" t="s">
        <v>418</v>
      </c>
      <c r="D3559" t="s">
        <v>417</v>
      </c>
      <c r="E3559">
        <v>424032</v>
      </c>
      <c r="F3559" t="s">
        <v>1</v>
      </c>
      <c r="G3559" t="s">
        <v>2</v>
      </c>
      <c r="H3559" t="s">
        <v>7724</v>
      </c>
      <c r="I3559" t="s">
        <v>17777</v>
      </c>
      <c r="J3559" t="s">
        <v>17778</v>
      </c>
      <c r="L3559" t="s">
        <v>17779</v>
      </c>
      <c r="M3559" t="s">
        <v>17780</v>
      </c>
      <c r="P3559" t="s">
        <v>381</v>
      </c>
      <c r="Y3559" t="s">
        <v>17781</v>
      </c>
    </row>
    <row r="3560" spans="1:25" x14ac:dyDescent="0.25">
      <c r="A3560" t="str">
        <f>"1387356280"</f>
        <v>1387356280</v>
      </c>
      <c r="B3560" t="s">
        <v>18</v>
      </c>
      <c r="C3560" t="s">
        <v>17785</v>
      </c>
      <c r="D3560" t="s">
        <v>17782</v>
      </c>
      <c r="E3560">
        <v>424006</v>
      </c>
      <c r="F3560" t="s">
        <v>1</v>
      </c>
      <c r="G3560" t="s">
        <v>2</v>
      </c>
      <c r="H3560" t="s">
        <v>492</v>
      </c>
      <c r="J3560" t="s">
        <v>17783</v>
      </c>
      <c r="M3560" t="s">
        <v>17784</v>
      </c>
      <c r="P3560" t="s">
        <v>5459</v>
      </c>
      <c r="Q3560" t="s">
        <v>17786</v>
      </c>
      <c r="Y3560" t="s">
        <v>17787</v>
      </c>
    </row>
    <row r="3561" spans="1:25" x14ac:dyDescent="0.25">
      <c r="A3561" t="str">
        <f>"1387392193"</f>
        <v>1387392193</v>
      </c>
      <c r="B3561" t="s">
        <v>1475</v>
      </c>
      <c r="C3561" t="s">
        <v>1476</v>
      </c>
      <c r="D3561" t="s">
        <v>17788</v>
      </c>
      <c r="E3561">
        <v>424039</v>
      </c>
      <c r="F3561" t="s">
        <v>1</v>
      </c>
      <c r="G3561" t="s">
        <v>2</v>
      </c>
      <c r="H3561" t="s">
        <v>5827</v>
      </c>
      <c r="I3561" t="s">
        <v>17789</v>
      </c>
      <c r="P3561" t="s">
        <v>941</v>
      </c>
      <c r="Y3561" t="s">
        <v>17790</v>
      </c>
    </row>
    <row r="3562" spans="1:25" x14ac:dyDescent="0.25">
      <c r="A3562" t="str">
        <f>"1387536525"</f>
        <v>1387536525</v>
      </c>
      <c r="B3562" t="s">
        <v>1222</v>
      </c>
      <c r="C3562" t="s">
        <v>17795</v>
      </c>
      <c r="D3562" t="s">
        <v>17791</v>
      </c>
      <c r="F3562" t="s">
        <v>1</v>
      </c>
      <c r="G3562" t="s">
        <v>2</v>
      </c>
      <c r="H3562" t="s">
        <v>7547</v>
      </c>
      <c r="J3562" t="s">
        <v>17792</v>
      </c>
      <c r="L3562" t="s">
        <v>17793</v>
      </c>
      <c r="M3562" t="s">
        <v>17794</v>
      </c>
      <c r="P3562" t="s">
        <v>2457</v>
      </c>
      <c r="Q3562" t="s">
        <v>17796</v>
      </c>
      <c r="V3562" t="s">
        <v>17797</v>
      </c>
      <c r="Y3562" t="s">
        <v>17798</v>
      </c>
    </row>
    <row r="3563" spans="1:25" x14ac:dyDescent="0.25">
      <c r="A3563" t="str">
        <f>"1387612722"</f>
        <v>1387612722</v>
      </c>
      <c r="B3563" t="s">
        <v>397</v>
      </c>
      <c r="C3563" t="s">
        <v>11502</v>
      </c>
      <c r="D3563" t="s">
        <v>17799</v>
      </c>
      <c r="E3563">
        <v>424007</v>
      </c>
      <c r="F3563" t="s">
        <v>1</v>
      </c>
      <c r="G3563" t="s">
        <v>2</v>
      </c>
      <c r="H3563" t="s">
        <v>3243</v>
      </c>
      <c r="I3563" t="s">
        <v>17800</v>
      </c>
      <c r="P3563" t="s">
        <v>2280</v>
      </c>
      <c r="Y3563" t="s">
        <v>3249</v>
      </c>
    </row>
    <row r="3564" spans="1:25" x14ac:dyDescent="0.25">
      <c r="A3564" t="str">
        <f>"1387619067"</f>
        <v>1387619067</v>
      </c>
      <c r="B3564" t="s">
        <v>654</v>
      </c>
      <c r="C3564" t="s">
        <v>17804</v>
      </c>
      <c r="D3564" t="s">
        <v>17801</v>
      </c>
      <c r="E3564">
        <v>424007</v>
      </c>
      <c r="F3564" t="s">
        <v>1</v>
      </c>
      <c r="G3564" t="s">
        <v>2</v>
      </c>
      <c r="H3564" t="s">
        <v>14570</v>
      </c>
      <c r="I3564" t="s">
        <v>15472</v>
      </c>
      <c r="J3564" t="s">
        <v>17802</v>
      </c>
      <c r="L3564" t="s">
        <v>17803</v>
      </c>
      <c r="P3564" t="s">
        <v>4831</v>
      </c>
      <c r="Q3564" t="s">
        <v>17805</v>
      </c>
      <c r="Y3564" t="s">
        <v>14573</v>
      </c>
    </row>
    <row r="3565" spans="1:25" x14ac:dyDescent="0.25">
      <c r="A3565" t="str">
        <f>"1387631482"</f>
        <v>1387631482</v>
      </c>
      <c r="B3565" t="s">
        <v>32</v>
      </c>
      <c r="C3565" t="s">
        <v>40</v>
      </c>
      <c r="D3565" t="s">
        <v>17806</v>
      </c>
      <c r="E3565">
        <v>424033</v>
      </c>
      <c r="F3565" t="s">
        <v>1</v>
      </c>
      <c r="G3565" t="s">
        <v>2</v>
      </c>
      <c r="H3565" t="s">
        <v>4536</v>
      </c>
      <c r="I3565" t="s">
        <v>17807</v>
      </c>
      <c r="J3565" t="s">
        <v>17808</v>
      </c>
      <c r="P3565" t="s">
        <v>17809</v>
      </c>
      <c r="Y3565" t="s">
        <v>17810</v>
      </c>
    </row>
    <row r="3566" spans="1:25" x14ac:dyDescent="0.25">
      <c r="A3566" t="str">
        <f>"1387644341"</f>
        <v>1387644341</v>
      </c>
      <c r="B3566" t="s">
        <v>7</v>
      </c>
      <c r="C3566" t="s">
        <v>17814</v>
      </c>
      <c r="D3566" t="s">
        <v>17811</v>
      </c>
      <c r="F3566" t="s">
        <v>1</v>
      </c>
      <c r="G3566" t="s">
        <v>2</v>
      </c>
      <c r="H3566" t="s">
        <v>3984</v>
      </c>
      <c r="I3566" t="s">
        <v>17812</v>
      </c>
      <c r="J3566" t="s">
        <v>17813</v>
      </c>
      <c r="P3566" t="s">
        <v>2296</v>
      </c>
      <c r="Y3566" t="s">
        <v>17815</v>
      </c>
    </row>
    <row r="3567" spans="1:25" x14ac:dyDescent="0.25">
      <c r="A3567" t="str">
        <f>"1387675186"</f>
        <v>1387675186</v>
      </c>
      <c r="B3567" t="s">
        <v>160</v>
      </c>
      <c r="C3567" t="s">
        <v>1666</v>
      </c>
      <c r="D3567" t="s">
        <v>17816</v>
      </c>
      <c r="E3567">
        <v>424020</v>
      </c>
      <c r="F3567" t="s">
        <v>1</v>
      </c>
      <c r="G3567" t="s">
        <v>2</v>
      </c>
      <c r="H3567" t="s">
        <v>6886</v>
      </c>
      <c r="I3567" t="s">
        <v>17817</v>
      </c>
      <c r="P3567" t="s">
        <v>17818</v>
      </c>
      <c r="Y3567" t="s">
        <v>17819</v>
      </c>
    </row>
    <row r="3568" spans="1:25" x14ac:dyDescent="0.25">
      <c r="A3568" t="str">
        <f>"1387688559"</f>
        <v>1387688559</v>
      </c>
      <c r="B3568" t="s">
        <v>624</v>
      </c>
      <c r="C3568" t="s">
        <v>17822</v>
      </c>
      <c r="D3568" t="s">
        <v>17820</v>
      </c>
      <c r="E3568">
        <v>424031</v>
      </c>
      <c r="F3568" t="s">
        <v>1</v>
      </c>
      <c r="G3568" t="s">
        <v>2</v>
      </c>
      <c r="H3568" t="s">
        <v>8799</v>
      </c>
      <c r="I3568" t="s">
        <v>17821</v>
      </c>
      <c r="K3568" t="s">
        <v>17821</v>
      </c>
      <c r="P3568" t="s">
        <v>152</v>
      </c>
      <c r="Y3568" t="s">
        <v>17823</v>
      </c>
    </row>
    <row r="3569" spans="1:25" x14ac:dyDescent="0.25">
      <c r="A3569" t="str">
        <f>"1387861315"</f>
        <v>1387861315</v>
      </c>
      <c r="B3569" t="s">
        <v>2062</v>
      </c>
      <c r="C3569" t="s">
        <v>2063</v>
      </c>
      <c r="D3569" t="s">
        <v>17824</v>
      </c>
      <c r="E3569">
        <v>424004</v>
      </c>
      <c r="F3569" t="s">
        <v>1</v>
      </c>
      <c r="G3569" t="s">
        <v>2</v>
      </c>
      <c r="H3569" t="s">
        <v>2133</v>
      </c>
      <c r="I3569" t="s">
        <v>17825</v>
      </c>
      <c r="L3569" t="s">
        <v>17826</v>
      </c>
      <c r="M3569" t="s">
        <v>17827</v>
      </c>
      <c r="P3569" t="s">
        <v>17828</v>
      </c>
      <c r="Q3569" t="s">
        <v>17829</v>
      </c>
      <c r="T3569" t="s">
        <v>17830</v>
      </c>
      <c r="Y3569" t="s">
        <v>17831</v>
      </c>
    </row>
    <row r="3570" spans="1:25" x14ac:dyDescent="0.25">
      <c r="A3570" t="str">
        <f>"1387925860"</f>
        <v>1387925860</v>
      </c>
      <c r="B3570" t="s">
        <v>1053</v>
      </c>
      <c r="C3570" t="s">
        <v>1799</v>
      </c>
      <c r="D3570" t="s">
        <v>17832</v>
      </c>
      <c r="F3570" t="s">
        <v>1</v>
      </c>
      <c r="G3570" t="s">
        <v>2</v>
      </c>
      <c r="H3570" t="s">
        <v>17833</v>
      </c>
      <c r="J3570" t="s">
        <v>17834</v>
      </c>
      <c r="Y3570" t="s">
        <v>17835</v>
      </c>
    </row>
    <row r="3571" spans="1:25" x14ac:dyDescent="0.25">
      <c r="A3571" t="str">
        <f>"1387938332"</f>
        <v>1387938332</v>
      </c>
      <c r="B3571" t="s">
        <v>290</v>
      </c>
      <c r="C3571" t="s">
        <v>290</v>
      </c>
      <c r="D3571" t="s">
        <v>13563</v>
      </c>
      <c r="E3571">
        <v>424007</v>
      </c>
      <c r="F3571" t="s">
        <v>1</v>
      </c>
      <c r="G3571" t="s">
        <v>2</v>
      </c>
      <c r="H3571" t="s">
        <v>15418</v>
      </c>
      <c r="I3571" t="s">
        <v>17836</v>
      </c>
      <c r="L3571" t="s">
        <v>13565</v>
      </c>
      <c r="M3571" t="s">
        <v>13566</v>
      </c>
      <c r="P3571" t="s">
        <v>3734</v>
      </c>
      <c r="Q3571" t="s">
        <v>13567</v>
      </c>
      <c r="V3571" t="s">
        <v>13568</v>
      </c>
      <c r="Y3571" t="s">
        <v>17837</v>
      </c>
    </row>
    <row r="3572" spans="1:25" x14ac:dyDescent="0.25">
      <c r="A3572" t="str">
        <f>"1388010858"</f>
        <v>1388010858</v>
      </c>
      <c r="B3572" t="s">
        <v>176</v>
      </c>
      <c r="C3572" t="s">
        <v>250</v>
      </c>
      <c r="D3572" t="s">
        <v>17838</v>
      </c>
      <c r="E3572">
        <v>424008</v>
      </c>
      <c r="F3572" t="s">
        <v>1</v>
      </c>
      <c r="G3572" t="s">
        <v>2</v>
      </c>
      <c r="H3572" t="s">
        <v>1012</v>
      </c>
      <c r="I3572" t="s">
        <v>17839</v>
      </c>
      <c r="J3572" t="s">
        <v>17840</v>
      </c>
      <c r="P3572" t="s">
        <v>1160</v>
      </c>
      <c r="Y3572" t="s">
        <v>1016</v>
      </c>
    </row>
    <row r="3573" spans="1:25" x14ac:dyDescent="0.25">
      <c r="A3573" t="str">
        <f>"1388024810"</f>
        <v>1388024810</v>
      </c>
      <c r="B3573" t="s">
        <v>624</v>
      </c>
      <c r="C3573" t="s">
        <v>1637</v>
      </c>
      <c r="D3573" t="s">
        <v>17841</v>
      </c>
      <c r="E3573">
        <v>424032</v>
      </c>
      <c r="F3573" t="s">
        <v>1</v>
      </c>
      <c r="G3573" t="s">
        <v>2</v>
      </c>
      <c r="H3573" t="s">
        <v>17842</v>
      </c>
      <c r="I3573" t="s">
        <v>17843</v>
      </c>
      <c r="P3573" t="s">
        <v>280</v>
      </c>
      <c r="Y3573" t="s">
        <v>17844</v>
      </c>
    </row>
    <row r="3574" spans="1:25" x14ac:dyDescent="0.25">
      <c r="A3574" t="str">
        <f>"1388057720"</f>
        <v>1388057720</v>
      </c>
      <c r="B3574" t="s">
        <v>348</v>
      </c>
      <c r="C3574" t="s">
        <v>4366</v>
      </c>
      <c r="D3574" t="s">
        <v>17845</v>
      </c>
      <c r="E3574">
        <v>424007</v>
      </c>
      <c r="F3574" t="s">
        <v>1</v>
      </c>
      <c r="G3574" t="s">
        <v>2</v>
      </c>
      <c r="H3574" t="s">
        <v>3119</v>
      </c>
      <c r="I3574" t="s">
        <v>17846</v>
      </c>
      <c r="J3574" t="s">
        <v>17847</v>
      </c>
      <c r="P3574" t="s">
        <v>280</v>
      </c>
      <c r="Y3574" t="s">
        <v>6812</v>
      </c>
    </row>
    <row r="3575" spans="1:25" x14ac:dyDescent="0.25">
      <c r="A3575" t="str">
        <f>"1388117535"</f>
        <v>1388117535</v>
      </c>
      <c r="B3575" t="s">
        <v>930</v>
      </c>
      <c r="C3575" t="s">
        <v>17853</v>
      </c>
      <c r="D3575" t="s">
        <v>17848</v>
      </c>
      <c r="E3575">
        <v>424007</v>
      </c>
      <c r="F3575" t="s">
        <v>1</v>
      </c>
      <c r="G3575" t="s">
        <v>2</v>
      </c>
      <c r="H3575" t="s">
        <v>17849</v>
      </c>
      <c r="I3575" t="s">
        <v>17850</v>
      </c>
      <c r="L3575" t="s">
        <v>17851</v>
      </c>
      <c r="M3575" t="s">
        <v>17852</v>
      </c>
      <c r="P3575" t="s">
        <v>4671</v>
      </c>
      <c r="Q3575" t="s">
        <v>17854</v>
      </c>
      <c r="Y3575" t="s">
        <v>17855</v>
      </c>
    </row>
    <row r="3576" spans="1:25" x14ac:dyDescent="0.25">
      <c r="A3576" t="str">
        <f>"1388143524"</f>
        <v>1388143524</v>
      </c>
      <c r="B3576" t="s">
        <v>243</v>
      </c>
      <c r="C3576" t="s">
        <v>1914</v>
      </c>
      <c r="D3576" t="s">
        <v>17856</v>
      </c>
      <c r="F3576" t="s">
        <v>1</v>
      </c>
      <c r="G3576" t="s">
        <v>2</v>
      </c>
      <c r="H3576" t="s">
        <v>1508</v>
      </c>
      <c r="I3576" t="s">
        <v>17857</v>
      </c>
      <c r="L3576" t="s">
        <v>17858</v>
      </c>
      <c r="M3576" t="s">
        <v>17859</v>
      </c>
      <c r="P3576" t="s">
        <v>390</v>
      </c>
      <c r="Q3576" t="s">
        <v>17860</v>
      </c>
      <c r="T3576" t="s">
        <v>17861</v>
      </c>
      <c r="V3576" t="s">
        <v>17862</v>
      </c>
      <c r="Y3576" t="s">
        <v>17863</v>
      </c>
    </row>
    <row r="3577" spans="1:25" x14ac:dyDescent="0.25">
      <c r="A3577" t="str">
        <f>"1388361191"</f>
        <v>1388361191</v>
      </c>
      <c r="B3577" t="s">
        <v>18</v>
      </c>
      <c r="C3577" t="s">
        <v>5273</v>
      </c>
      <c r="D3577" t="s">
        <v>17864</v>
      </c>
      <c r="E3577">
        <v>424008</v>
      </c>
      <c r="F3577" t="s">
        <v>1</v>
      </c>
      <c r="G3577" t="s">
        <v>2</v>
      </c>
      <c r="H3577" t="s">
        <v>11833</v>
      </c>
      <c r="I3577" t="s">
        <v>17865</v>
      </c>
      <c r="P3577" t="s">
        <v>280</v>
      </c>
      <c r="Y3577" t="s">
        <v>16542</v>
      </c>
    </row>
    <row r="3578" spans="1:25" x14ac:dyDescent="0.25">
      <c r="A3578" t="str">
        <f>"1388426351"</f>
        <v>1388426351</v>
      </c>
      <c r="B3578" t="s">
        <v>123</v>
      </c>
      <c r="C3578" t="s">
        <v>196</v>
      </c>
      <c r="D3578" t="s">
        <v>17866</v>
      </c>
      <c r="E3578">
        <v>424007</v>
      </c>
      <c r="F3578" t="s">
        <v>1</v>
      </c>
      <c r="G3578" t="s">
        <v>2</v>
      </c>
      <c r="H3578" t="s">
        <v>17867</v>
      </c>
      <c r="I3578" t="s">
        <v>17868</v>
      </c>
      <c r="P3578" t="s">
        <v>17869</v>
      </c>
      <c r="Y3578" t="s">
        <v>17870</v>
      </c>
    </row>
    <row r="3579" spans="1:25" x14ac:dyDescent="0.25">
      <c r="A3579" t="str">
        <f>"1388505172"</f>
        <v>1388505172</v>
      </c>
      <c r="B3579" t="s">
        <v>110</v>
      </c>
      <c r="C3579" t="s">
        <v>5755</v>
      </c>
      <c r="D3579" t="s">
        <v>17871</v>
      </c>
      <c r="E3579">
        <v>424038</v>
      </c>
      <c r="F3579" t="s">
        <v>1</v>
      </c>
      <c r="G3579" t="s">
        <v>2</v>
      </c>
      <c r="H3579" t="s">
        <v>6550</v>
      </c>
      <c r="I3579" t="s">
        <v>17872</v>
      </c>
      <c r="J3579" t="s">
        <v>17873</v>
      </c>
      <c r="M3579" t="s">
        <v>17874</v>
      </c>
      <c r="P3579" t="s">
        <v>340</v>
      </c>
      <c r="Y3579" t="s">
        <v>17875</v>
      </c>
    </row>
    <row r="3580" spans="1:25" x14ac:dyDescent="0.25">
      <c r="A3580" t="str">
        <f>"1388534461"</f>
        <v>1388534461</v>
      </c>
      <c r="B3580" t="s">
        <v>1053</v>
      </c>
      <c r="C3580" t="s">
        <v>1927</v>
      </c>
      <c r="D3580" t="s">
        <v>17876</v>
      </c>
      <c r="E3580">
        <v>424016</v>
      </c>
      <c r="F3580" t="s">
        <v>1</v>
      </c>
      <c r="G3580" t="s">
        <v>2</v>
      </c>
      <c r="H3580" t="s">
        <v>17877</v>
      </c>
      <c r="J3580" t="s">
        <v>17878</v>
      </c>
      <c r="P3580" t="s">
        <v>390</v>
      </c>
      <c r="Y3580" t="s">
        <v>17879</v>
      </c>
    </row>
    <row r="3581" spans="1:25" x14ac:dyDescent="0.25">
      <c r="A3581" t="str">
        <f>"1388552249"</f>
        <v>1388552249</v>
      </c>
      <c r="B3581" t="s">
        <v>1078</v>
      </c>
      <c r="C3581" t="s">
        <v>17881</v>
      </c>
      <c r="D3581" t="s">
        <v>1815</v>
      </c>
      <c r="E3581">
        <v>424006</v>
      </c>
      <c r="F3581" t="s">
        <v>1</v>
      </c>
      <c r="G3581" t="s">
        <v>2</v>
      </c>
      <c r="H3581" t="s">
        <v>2775</v>
      </c>
      <c r="I3581" t="s">
        <v>17880</v>
      </c>
      <c r="P3581" t="s">
        <v>17882</v>
      </c>
      <c r="Y3581" t="s">
        <v>2779</v>
      </c>
    </row>
    <row r="3582" spans="1:25" x14ac:dyDescent="0.25">
      <c r="A3582" t="str">
        <f>"1388838572"</f>
        <v>1388838572</v>
      </c>
      <c r="B3582" t="s">
        <v>482</v>
      </c>
      <c r="C3582" t="s">
        <v>483</v>
      </c>
      <c r="D3582" t="s">
        <v>17883</v>
      </c>
      <c r="E3582">
        <v>424000</v>
      </c>
      <c r="F3582" t="s">
        <v>1</v>
      </c>
      <c r="G3582" t="s">
        <v>2</v>
      </c>
      <c r="H3582" t="s">
        <v>1531</v>
      </c>
      <c r="I3582" t="s">
        <v>17884</v>
      </c>
      <c r="P3582" t="s">
        <v>17885</v>
      </c>
      <c r="Y3582" t="s">
        <v>17886</v>
      </c>
    </row>
    <row r="3583" spans="1:25" x14ac:dyDescent="0.25">
      <c r="A3583" t="str">
        <f>"1388953787"</f>
        <v>1388953787</v>
      </c>
      <c r="B3583" t="s">
        <v>319</v>
      </c>
      <c r="C3583" t="s">
        <v>320</v>
      </c>
      <c r="D3583" t="s">
        <v>17887</v>
      </c>
      <c r="E3583">
        <v>424039</v>
      </c>
      <c r="F3583" t="s">
        <v>1</v>
      </c>
      <c r="G3583" t="s">
        <v>2</v>
      </c>
      <c r="H3583" t="s">
        <v>17888</v>
      </c>
      <c r="J3583" t="s">
        <v>17889</v>
      </c>
      <c r="L3583" t="s">
        <v>17890</v>
      </c>
      <c r="M3583" t="s">
        <v>17891</v>
      </c>
      <c r="P3583" t="s">
        <v>17892</v>
      </c>
      <c r="Q3583" t="s">
        <v>17893</v>
      </c>
      <c r="S3583" t="s">
        <v>17894</v>
      </c>
      <c r="Y3583" t="s">
        <v>17895</v>
      </c>
    </row>
    <row r="3584" spans="1:25" x14ac:dyDescent="0.25">
      <c r="A3584" t="str">
        <f>"1388967496"</f>
        <v>1388967496</v>
      </c>
      <c r="B3584" t="s">
        <v>160</v>
      </c>
      <c r="C3584" t="s">
        <v>1666</v>
      </c>
      <c r="D3584" t="s">
        <v>17896</v>
      </c>
      <c r="E3584">
        <v>424003</v>
      </c>
      <c r="F3584" t="s">
        <v>1</v>
      </c>
      <c r="G3584" t="s">
        <v>2</v>
      </c>
      <c r="H3584" t="s">
        <v>16749</v>
      </c>
      <c r="I3584" t="s">
        <v>17897</v>
      </c>
      <c r="P3584" t="s">
        <v>17898</v>
      </c>
      <c r="Y3584" t="s">
        <v>17899</v>
      </c>
    </row>
    <row r="3585" spans="1:25" x14ac:dyDescent="0.25">
      <c r="A3585" t="str">
        <f>"1388989017"</f>
        <v>1388989017</v>
      </c>
      <c r="B3585" t="s">
        <v>319</v>
      </c>
      <c r="C3585" t="s">
        <v>320</v>
      </c>
      <c r="D3585" t="s">
        <v>2556</v>
      </c>
      <c r="E3585">
        <v>424028</v>
      </c>
      <c r="F3585" t="s">
        <v>1</v>
      </c>
      <c r="G3585" t="s">
        <v>2</v>
      </c>
      <c r="H3585" t="s">
        <v>3318</v>
      </c>
      <c r="I3585" t="s">
        <v>17900</v>
      </c>
      <c r="L3585" t="s">
        <v>2559</v>
      </c>
      <c r="M3585" t="s">
        <v>17901</v>
      </c>
      <c r="P3585" t="s">
        <v>5723</v>
      </c>
      <c r="Y3585" t="s">
        <v>17902</v>
      </c>
    </row>
    <row r="3586" spans="1:25" x14ac:dyDescent="0.25">
      <c r="A3586" t="str">
        <f>"1389011840"</f>
        <v>1389011840</v>
      </c>
      <c r="B3586" t="s">
        <v>456</v>
      </c>
      <c r="C3586" t="s">
        <v>17904</v>
      </c>
      <c r="D3586" t="s">
        <v>17903</v>
      </c>
      <c r="E3586">
        <v>424031</v>
      </c>
      <c r="F3586" t="s">
        <v>1</v>
      </c>
      <c r="G3586" t="s">
        <v>2</v>
      </c>
      <c r="H3586" t="s">
        <v>4622</v>
      </c>
      <c r="P3586" t="s">
        <v>2438</v>
      </c>
      <c r="Y3586" t="s">
        <v>7838</v>
      </c>
    </row>
    <row r="3587" spans="1:25" x14ac:dyDescent="0.25">
      <c r="A3587" t="str">
        <f>"1389034508"</f>
        <v>1389034508</v>
      </c>
      <c r="B3587" t="s">
        <v>1230</v>
      </c>
      <c r="C3587" t="s">
        <v>2526</v>
      </c>
      <c r="D3587" t="s">
        <v>17905</v>
      </c>
      <c r="E3587">
        <v>424031</v>
      </c>
      <c r="F3587" t="s">
        <v>1</v>
      </c>
      <c r="G3587" t="s">
        <v>2</v>
      </c>
      <c r="H3587" t="s">
        <v>17906</v>
      </c>
      <c r="I3587" t="s">
        <v>17907</v>
      </c>
      <c r="J3587" t="s">
        <v>17908</v>
      </c>
      <c r="L3587" t="s">
        <v>17909</v>
      </c>
      <c r="P3587" t="s">
        <v>27</v>
      </c>
      <c r="Q3587" t="s">
        <v>17910</v>
      </c>
      <c r="Y3587" t="s">
        <v>17911</v>
      </c>
    </row>
    <row r="3588" spans="1:25" x14ac:dyDescent="0.25">
      <c r="A3588" t="str">
        <f>"1389046524"</f>
        <v>1389046524</v>
      </c>
      <c r="B3588" t="s">
        <v>32</v>
      </c>
      <c r="C3588" t="s">
        <v>40</v>
      </c>
      <c r="D3588" t="s">
        <v>1530</v>
      </c>
      <c r="E3588">
        <v>424038</v>
      </c>
      <c r="F3588" t="s">
        <v>1</v>
      </c>
      <c r="G3588" t="s">
        <v>2</v>
      </c>
      <c r="H3588" t="s">
        <v>762</v>
      </c>
      <c r="I3588" t="s">
        <v>17912</v>
      </c>
      <c r="P3588" t="s">
        <v>11074</v>
      </c>
      <c r="Y3588" t="s">
        <v>17913</v>
      </c>
    </row>
    <row r="3589" spans="1:25" x14ac:dyDescent="0.25">
      <c r="A3589" t="str">
        <f>"1389049323"</f>
        <v>1389049323</v>
      </c>
      <c r="B3589" t="s">
        <v>417</v>
      </c>
      <c r="C3589" t="s">
        <v>418</v>
      </c>
      <c r="D3589" t="s">
        <v>17914</v>
      </c>
      <c r="E3589">
        <v>424004</v>
      </c>
      <c r="F3589" t="s">
        <v>1</v>
      </c>
      <c r="G3589" t="s">
        <v>2</v>
      </c>
      <c r="H3589" t="s">
        <v>186</v>
      </c>
      <c r="I3589" t="s">
        <v>17915</v>
      </c>
      <c r="L3589" t="s">
        <v>17916</v>
      </c>
      <c r="M3589" t="s">
        <v>17917</v>
      </c>
      <c r="P3589" t="s">
        <v>10331</v>
      </c>
      <c r="Y3589" t="s">
        <v>190</v>
      </c>
    </row>
    <row r="3590" spans="1:25" x14ac:dyDescent="0.25">
      <c r="A3590" t="str">
        <f>"1389160345"</f>
        <v>1389160345</v>
      </c>
      <c r="B3590" t="s">
        <v>96</v>
      </c>
      <c r="C3590" t="s">
        <v>659</v>
      </c>
      <c r="D3590" t="s">
        <v>17918</v>
      </c>
      <c r="E3590">
        <v>424000</v>
      </c>
      <c r="F3590" t="s">
        <v>1</v>
      </c>
      <c r="G3590" t="s">
        <v>2</v>
      </c>
      <c r="H3590" t="s">
        <v>7049</v>
      </c>
      <c r="I3590" t="s">
        <v>17919</v>
      </c>
      <c r="P3590" t="s">
        <v>471</v>
      </c>
      <c r="Y3590" t="s">
        <v>17920</v>
      </c>
    </row>
    <row r="3591" spans="1:25" x14ac:dyDescent="0.25">
      <c r="A3591" t="str">
        <f>"1389163731"</f>
        <v>1389163731</v>
      </c>
      <c r="B3591" t="s">
        <v>462</v>
      </c>
      <c r="C3591" t="s">
        <v>1140</v>
      </c>
      <c r="D3591" t="s">
        <v>17921</v>
      </c>
      <c r="F3591" t="s">
        <v>1</v>
      </c>
      <c r="G3591" t="s">
        <v>2</v>
      </c>
      <c r="H3591" t="s">
        <v>757</v>
      </c>
      <c r="I3591" t="s">
        <v>17922</v>
      </c>
      <c r="K3591" t="s">
        <v>17923</v>
      </c>
      <c r="P3591" t="s">
        <v>20</v>
      </c>
      <c r="Y3591" t="s">
        <v>760</v>
      </c>
    </row>
    <row r="3592" spans="1:25" x14ac:dyDescent="0.25">
      <c r="A3592" t="str">
        <f>"1389163811"</f>
        <v>1389163811</v>
      </c>
      <c r="B3592" t="s">
        <v>1053</v>
      </c>
      <c r="C3592" t="s">
        <v>1799</v>
      </c>
      <c r="D3592" t="s">
        <v>1799</v>
      </c>
      <c r="E3592">
        <v>424040</v>
      </c>
      <c r="F3592" t="s">
        <v>1</v>
      </c>
      <c r="G3592" t="s">
        <v>2</v>
      </c>
      <c r="H3592" t="s">
        <v>7989</v>
      </c>
      <c r="J3592" t="s">
        <v>17924</v>
      </c>
      <c r="P3592" t="s">
        <v>216</v>
      </c>
      <c r="Y3592" t="s">
        <v>11906</v>
      </c>
    </row>
    <row r="3593" spans="1:25" x14ac:dyDescent="0.25">
      <c r="A3593" t="str">
        <f>"1389223265"</f>
        <v>1389223265</v>
      </c>
      <c r="B3593" t="s">
        <v>243</v>
      </c>
      <c r="C3593" t="s">
        <v>2538</v>
      </c>
      <c r="D3593" t="s">
        <v>17925</v>
      </c>
      <c r="F3593" t="s">
        <v>1</v>
      </c>
      <c r="G3593" t="s">
        <v>2</v>
      </c>
      <c r="H3593" t="s">
        <v>2770</v>
      </c>
      <c r="J3593" t="s">
        <v>17926</v>
      </c>
      <c r="P3593" t="s">
        <v>27</v>
      </c>
      <c r="Y3593" t="s">
        <v>119</v>
      </c>
    </row>
    <row r="3594" spans="1:25" x14ac:dyDescent="0.25">
      <c r="A3594" t="str">
        <f>"1389403276"</f>
        <v>1389403276</v>
      </c>
      <c r="B3594" t="s">
        <v>151</v>
      </c>
      <c r="C3594" t="s">
        <v>151</v>
      </c>
      <c r="D3594" t="s">
        <v>17927</v>
      </c>
      <c r="E3594">
        <v>424031</v>
      </c>
      <c r="F3594" t="s">
        <v>1</v>
      </c>
      <c r="G3594" t="s">
        <v>2</v>
      </c>
      <c r="H3594" t="s">
        <v>1900</v>
      </c>
      <c r="I3594" t="s">
        <v>17928</v>
      </c>
      <c r="J3594" t="s">
        <v>17929</v>
      </c>
      <c r="P3594" t="s">
        <v>1855</v>
      </c>
      <c r="Y3594" t="s">
        <v>17930</v>
      </c>
    </row>
    <row r="3595" spans="1:25" x14ac:dyDescent="0.25">
      <c r="A3595" t="str">
        <f>"1389418731"</f>
        <v>1389418731</v>
      </c>
      <c r="B3595" t="s">
        <v>7</v>
      </c>
      <c r="C3595" t="s">
        <v>9893</v>
      </c>
      <c r="D3595" t="s">
        <v>17931</v>
      </c>
      <c r="E3595">
        <v>424031</v>
      </c>
      <c r="F3595" t="s">
        <v>1</v>
      </c>
      <c r="G3595" t="s">
        <v>2</v>
      </c>
      <c r="H3595" t="s">
        <v>17932</v>
      </c>
      <c r="I3595" t="s">
        <v>17933</v>
      </c>
      <c r="P3595" t="s">
        <v>1642</v>
      </c>
      <c r="Y3595" t="s">
        <v>1421</v>
      </c>
    </row>
    <row r="3596" spans="1:25" x14ac:dyDescent="0.25">
      <c r="A3596" t="str">
        <f>"1389431175"</f>
        <v>1389431175</v>
      </c>
      <c r="B3596" t="s">
        <v>96</v>
      </c>
      <c r="C3596" t="s">
        <v>893</v>
      </c>
      <c r="D3596" t="s">
        <v>17934</v>
      </c>
      <c r="E3596">
        <v>424918</v>
      </c>
      <c r="F3596" t="s">
        <v>1</v>
      </c>
      <c r="G3596" t="s">
        <v>2</v>
      </c>
      <c r="H3596" t="s">
        <v>629</v>
      </c>
      <c r="P3596" t="s">
        <v>630</v>
      </c>
      <c r="Y3596" t="s">
        <v>1744</v>
      </c>
    </row>
    <row r="3597" spans="1:25" x14ac:dyDescent="0.25">
      <c r="A3597" t="str">
        <f>"1389513337"</f>
        <v>1389513337</v>
      </c>
      <c r="B3597" t="s">
        <v>18</v>
      </c>
      <c r="C3597" t="s">
        <v>17937</v>
      </c>
      <c r="D3597" t="s">
        <v>17935</v>
      </c>
      <c r="E3597">
        <v>424006</v>
      </c>
      <c r="F3597" t="s">
        <v>1</v>
      </c>
      <c r="G3597" t="s">
        <v>2</v>
      </c>
      <c r="H3597" t="s">
        <v>3436</v>
      </c>
      <c r="J3597" t="s">
        <v>17936</v>
      </c>
      <c r="P3597" t="s">
        <v>17938</v>
      </c>
      <c r="Y3597" t="s">
        <v>17939</v>
      </c>
    </row>
    <row r="3598" spans="1:25" x14ac:dyDescent="0.25">
      <c r="A3598" t="str">
        <f>"1389520885"</f>
        <v>1389520885</v>
      </c>
      <c r="B3598" t="s">
        <v>18</v>
      </c>
      <c r="C3598" t="s">
        <v>17943</v>
      </c>
      <c r="D3598" t="s">
        <v>17940</v>
      </c>
      <c r="E3598">
        <v>424028</v>
      </c>
      <c r="F3598" t="s">
        <v>1</v>
      </c>
      <c r="G3598" t="s">
        <v>2</v>
      </c>
      <c r="H3598" t="s">
        <v>1260</v>
      </c>
      <c r="I3598" t="s">
        <v>17941</v>
      </c>
      <c r="J3598" t="s">
        <v>17942</v>
      </c>
      <c r="P3598" t="s">
        <v>280</v>
      </c>
      <c r="Y3598" t="s">
        <v>1264</v>
      </c>
    </row>
    <row r="3599" spans="1:25" x14ac:dyDescent="0.25">
      <c r="A3599" t="str">
        <f>"1389633107"</f>
        <v>1389633107</v>
      </c>
      <c r="B3599" t="s">
        <v>88</v>
      </c>
      <c r="C3599" t="s">
        <v>17949</v>
      </c>
      <c r="D3599" t="s">
        <v>17944</v>
      </c>
      <c r="E3599">
        <v>424039</v>
      </c>
      <c r="F3599" t="s">
        <v>1</v>
      </c>
      <c r="G3599" t="s">
        <v>2</v>
      </c>
      <c r="H3599" t="s">
        <v>5827</v>
      </c>
      <c r="I3599" t="s">
        <v>17945</v>
      </c>
      <c r="J3599" t="s">
        <v>17946</v>
      </c>
      <c r="L3599" t="s">
        <v>17947</v>
      </c>
      <c r="M3599" t="s">
        <v>17948</v>
      </c>
      <c r="P3599" t="s">
        <v>941</v>
      </c>
      <c r="Y3599" t="s">
        <v>17950</v>
      </c>
    </row>
    <row r="3600" spans="1:25" x14ac:dyDescent="0.25">
      <c r="A3600" t="str">
        <f>"1389865519"</f>
        <v>1389865519</v>
      </c>
      <c r="B3600" t="s">
        <v>151</v>
      </c>
      <c r="C3600" t="s">
        <v>9277</v>
      </c>
      <c r="D3600" t="s">
        <v>17951</v>
      </c>
      <c r="E3600">
        <v>424002</v>
      </c>
      <c r="F3600" t="s">
        <v>1</v>
      </c>
      <c r="G3600" t="s">
        <v>2</v>
      </c>
      <c r="H3600" t="s">
        <v>662</v>
      </c>
      <c r="I3600" t="s">
        <v>17952</v>
      </c>
      <c r="J3600" t="s">
        <v>17953</v>
      </c>
      <c r="P3600" t="s">
        <v>27</v>
      </c>
      <c r="Y3600" t="s">
        <v>3342</v>
      </c>
    </row>
    <row r="3601" spans="1:25" x14ac:dyDescent="0.25">
      <c r="A3601" t="str">
        <f>"1389910919"</f>
        <v>1389910919</v>
      </c>
      <c r="B3601" t="s">
        <v>408</v>
      </c>
      <c r="C3601" t="s">
        <v>4591</v>
      </c>
      <c r="D3601" t="s">
        <v>17954</v>
      </c>
      <c r="E3601">
        <v>424019</v>
      </c>
      <c r="F3601" t="s">
        <v>1</v>
      </c>
      <c r="G3601" t="s">
        <v>2</v>
      </c>
      <c r="H3601" t="s">
        <v>9271</v>
      </c>
      <c r="I3601" t="s">
        <v>17955</v>
      </c>
      <c r="P3601" t="s">
        <v>5829</v>
      </c>
      <c r="Y3601" t="s">
        <v>17956</v>
      </c>
    </row>
    <row r="3602" spans="1:25" x14ac:dyDescent="0.25">
      <c r="A3602" t="str">
        <f>"1390183282"</f>
        <v>1390183282</v>
      </c>
      <c r="B3602" t="s">
        <v>462</v>
      </c>
      <c r="C3602" t="s">
        <v>11230</v>
      </c>
      <c r="D3602" t="s">
        <v>17957</v>
      </c>
      <c r="E3602">
        <v>424008</v>
      </c>
      <c r="F3602" t="s">
        <v>1</v>
      </c>
      <c r="G3602" t="s">
        <v>2</v>
      </c>
      <c r="H3602" t="s">
        <v>17958</v>
      </c>
      <c r="I3602" t="s">
        <v>17959</v>
      </c>
      <c r="J3602" t="s">
        <v>17960</v>
      </c>
      <c r="K3602" t="s">
        <v>17961</v>
      </c>
      <c r="L3602" t="s">
        <v>17962</v>
      </c>
      <c r="M3602" t="s">
        <v>17963</v>
      </c>
      <c r="P3602" t="s">
        <v>27</v>
      </c>
      <c r="T3602" t="s">
        <v>17964</v>
      </c>
      <c r="Y3602" t="s">
        <v>17965</v>
      </c>
    </row>
    <row r="3603" spans="1:25" x14ac:dyDescent="0.25">
      <c r="A3603" t="str">
        <f>"1390184337"</f>
        <v>1390184337</v>
      </c>
      <c r="B3603" t="s">
        <v>624</v>
      </c>
      <c r="C3603" t="s">
        <v>1637</v>
      </c>
      <c r="D3603" t="s">
        <v>17966</v>
      </c>
      <c r="E3603">
        <v>424031</v>
      </c>
      <c r="F3603" t="s">
        <v>1</v>
      </c>
      <c r="G3603" t="s">
        <v>2</v>
      </c>
      <c r="H3603" t="s">
        <v>9012</v>
      </c>
      <c r="I3603" t="s">
        <v>17967</v>
      </c>
      <c r="P3603" t="s">
        <v>2580</v>
      </c>
      <c r="Y3603" t="s">
        <v>17968</v>
      </c>
    </row>
    <row r="3604" spans="1:25" x14ac:dyDescent="0.25">
      <c r="A3604" t="str">
        <f>"1390233784"</f>
        <v>1390233784</v>
      </c>
      <c r="B3604" t="s">
        <v>1222</v>
      </c>
      <c r="C3604" t="s">
        <v>2114</v>
      </c>
      <c r="D3604" t="s">
        <v>17969</v>
      </c>
      <c r="E3604">
        <v>424003</v>
      </c>
      <c r="F3604" t="s">
        <v>1</v>
      </c>
      <c r="G3604" t="s">
        <v>2</v>
      </c>
      <c r="H3604" t="s">
        <v>5311</v>
      </c>
      <c r="I3604" t="s">
        <v>17970</v>
      </c>
      <c r="P3604" t="s">
        <v>17971</v>
      </c>
      <c r="Y3604" t="s">
        <v>17972</v>
      </c>
    </row>
    <row r="3605" spans="1:25" x14ac:dyDescent="0.25">
      <c r="A3605" t="str">
        <f>"1390320189"</f>
        <v>1390320189</v>
      </c>
      <c r="B3605" t="s">
        <v>482</v>
      </c>
      <c r="C3605" t="s">
        <v>483</v>
      </c>
      <c r="D3605" t="s">
        <v>17973</v>
      </c>
      <c r="E3605">
        <v>424031</v>
      </c>
      <c r="F3605" t="s">
        <v>1</v>
      </c>
      <c r="G3605" t="s">
        <v>2</v>
      </c>
      <c r="H3605" t="s">
        <v>239</v>
      </c>
      <c r="I3605" t="s">
        <v>17974</v>
      </c>
      <c r="P3605" t="s">
        <v>27</v>
      </c>
      <c r="Y3605" t="s">
        <v>246</v>
      </c>
    </row>
    <row r="3606" spans="1:25" x14ac:dyDescent="0.25">
      <c r="A3606" t="str">
        <f>"1390375772"</f>
        <v>1390375772</v>
      </c>
      <c r="B3606" t="s">
        <v>3094</v>
      </c>
      <c r="C3606" t="s">
        <v>6522</v>
      </c>
      <c r="D3606" t="s">
        <v>17975</v>
      </c>
      <c r="E3606">
        <v>424000</v>
      </c>
      <c r="F3606" t="s">
        <v>1</v>
      </c>
      <c r="G3606" t="s">
        <v>2</v>
      </c>
      <c r="H3606" t="s">
        <v>2547</v>
      </c>
      <c r="I3606" t="s">
        <v>17976</v>
      </c>
      <c r="L3606" t="s">
        <v>17977</v>
      </c>
      <c r="M3606" t="s">
        <v>17978</v>
      </c>
      <c r="P3606" t="s">
        <v>280</v>
      </c>
      <c r="Q3606" t="s">
        <v>17979</v>
      </c>
      <c r="T3606" t="s">
        <v>17980</v>
      </c>
      <c r="V3606" t="s">
        <v>17981</v>
      </c>
      <c r="Y3606" t="s">
        <v>17982</v>
      </c>
    </row>
    <row r="3607" spans="1:25" x14ac:dyDescent="0.25">
      <c r="A3607" t="str">
        <f>"1390492977"</f>
        <v>1390492977</v>
      </c>
      <c r="B3607" t="s">
        <v>1053</v>
      </c>
      <c r="C3607" t="s">
        <v>10510</v>
      </c>
      <c r="D3607" t="s">
        <v>17983</v>
      </c>
      <c r="E3607">
        <v>424006</v>
      </c>
      <c r="F3607" t="s">
        <v>1</v>
      </c>
      <c r="G3607" t="s">
        <v>2</v>
      </c>
      <c r="H3607" t="s">
        <v>6133</v>
      </c>
      <c r="I3607" t="s">
        <v>17984</v>
      </c>
      <c r="P3607" t="s">
        <v>458</v>
      </c>
      <c r="Y3607" t="s">
        <v>17985</v>
      </c>
    </row>
    <row r="3608" spans="1:25" x14ac:dyDescent="0.25">
      <c r="A3608" t="str">
        <f>"1390561313"</f>
        <v>1390561313</v>
      </c>
      <c r="B3608" t="s">
        <v>328</v>
      </c>
      <c r="C3608" t="s">
        <v>1920</v>
      </c>
      <c r="D3608" t="s">
        <v>16994</v>
      </c>
      <c r="E3608">
        <v>424032</v>
      </c>
      <c r="F3608" t="s">
        <v>1</v>
      </c>
      <c r="G3608" t="s">
        <v>2</v>
      </c>
      <c r="H3608" t="s">
        <v>325</v>
      </c>
      <c r="I3608" t="s">
        <v>17986</v>
      </c>
      <c r="P3608" t="s">
        <v>260</v>
      </c>
      <c r="Y3608" t="s">
        <v>331</v>
      </c>
    </row>
    <row r="3609" spans="1:25" x14ac:dyDescent="0.25">
      <c r="A3609" t="str">
        <f>"1390607782"</f>
        <v>1390607782</v>
      </c>
      <c r="B3609" t="s">
        <v>284</v>
      </c>
      <c r="C3609" t="s">
        <v>711</v>
      </c>
      <c r="D3609" t="s">
        <v>17987</v>
      </c>
      <c r="E3609">
        <v>424007</v>
      </c>
      <c r="F3609" t="s">
        <v>1</v>
      </c>
      <c r="G3609" t="s">
        <v>2</v>
      </c>
      <c r="H3609" t="s">
        <v>7113</v>
      </c>
      <c r="I3609" t="s">
        <v>17988</v>
      </c>
      <c r="P3609" t="s">
        <v>5396</v>
      </c>
      <c r="Y3609" t="s">
        <v>7116</v>
      </c>
    </row>
    <row r="3610" spans="1:25" x14ac:dyDescent="0.25">
      <c r="A3610" t="str">
        <f>"1390710186"</f>
        <v>1390710186</v>
      </c>
      <c r="B3610" t="s">
        <v>123</v>
      </c>
      <c r="C3610" t="s">
        <v>424</v>
      </c>
      <c r="D3610" t="s">
        <v>4514</v>
      </c>
      <c r="E3610">
        <v>424002</v>
      </c>
      <c r="F3610" t="s">
        <v>1</v>
      </c>
      <c r="G3610" t="s">
        <v>2</v>
      </c>
      <c r="H3610" t="s">
        <v>3098</v>
      </c>
      <c r="I3610" t="s">
        <v>17989</v>
      </c>
      <c r="P3610" t="s">
        <v>425</v>
      </c>
      <c r="Y3610" t="s">
        <v>17990</v>
      </c>
    </row>
    <row r="3611" spans="1:25" x14ac:dyDescent="0.25">
      <c r="A3611" t="str">
        <f>"1390761695"</f>
        <v>1390761695</v>
      </c>
      <c r="B3611" t="s">
        <v>284</v>
      </c>
      <c r="C3611" t="s">
        <v>2462</v>
      </c>
      <c r="D3611" t="s">
        <v>17991</v>
      </c>
      <c r="F3611" t="s">
        <v>1</v>
      </c>
      <c r="G3611" t="s">
        <v>2</v>
      </c>
      <c r="H3611" t="s">
        <v>3165</v>
      </c>
      <c r="I3611" t="s">
        <v>17992</v>
      </c>
      <c r="P3611" t="s">
        <v>330</v>
      </c>
      <c r="Y3611" t="s">
        <v>17993</v>
      </c>
    </row>
    <row r="3612" spans="1:25" x14ac:dyDescent="0.25">
      <c r="A3612" t="str">
        <f>"1390847714"</f>
        <v>1390847714</v>
      </c>
      <c r="B3612" t="s">
        <v>18</v>
      </c>
      <c r="C3612" t="s">
        <v>143</v>
      </c>
      <c r="D3612" t="s">
        <v>17994</v>
      </c>
      <c r="E3612">
        <v>424003</v>
      </c>
      <c r="F3612" t="s">
        <v>1</v>
      </c>
      <c r="G3612" t="s">
        <v>2</v>
      </c>
      <c r="H3612" t="s">
        <v>8926</v>
      </c>
      <c r="I3612" t="s">
        <v>17995</v>
      </c>
      <c r="M3612" t="s">
        <v>17996</v>
      </c>
      <c r="P3612" t="s">
        <v>20</v>
      </c>
      <c r="Y3612" t="s">
        <v>17997</v>
      </c>
    </row>
    <row r="3613" spans="1:25" x14ac:dyDescent="0.25">
      <c r="A3613" t="str">
        <f>"1391024833"</f>
        <v>1391024833</v>
      </c>
      <c r="B3613" t="s">
        <v>7</v>
      </c>
      <c r="C3613" t="s">
        <v>9397</v>
      </c>
      <c r="D3613" t="s">
        <v>17998</v>
      </c>
      <c r="E3613">
        <v>424006</v>
      </c>
      <c r="F3613" t="s">
        <v>1</v>
      </c>
      <c r="G3613" t="s">
        <v>2</v>
      </c>
      <c r="H3613" t="s">
        <v>17999</v>
      </c>
      <c r="I3613" t="s">
        <v>18000</v>
      </c>
      <c r="L3613" t="s">
        <v>18001</v>
      </c>
      <c r="M3613" t="s">
        <v>18002</v>
      </c>
      <c r="P3613" t="s">
        <v>11727</v>
      </c>
      <c r="Y3613" t="s">
        <v>18003</v>
      </c>
    </row>
    <row r="3614" spans="1:25" x14ac:dyDescent="0.25">
      <c r="A3614" t="str">
        <f>"1391077659"</f>
        <v>1391077659</v>
      </c>
      <c r="B3614" t="s">
        <v>1315</v>
      </c>
      <c r="C3614" t="s">
        <v>18010</v>
      </c>
      <c r="D3614" t="s">
        <v>18004</v>
      </c>
      <c r="E3614">
        <v>424006</v>
      </c>
      <c r="F3614" t="s">
        <v>1</v>
      </c>
      <c r="G3614" t="s">
        <v>2</v>
      </c>
      <c r="H3614" t="s">
        <v>18005</v>
      </c>
      <c r="I3614" t="s">
        <v>18006</v>
      </c>
      <c r="J3614" t="s">
        <v>18007</v>
      </c>
      <c r="L3614" t="s">
        <v>18008</v>
      </c>
      <c r="M3614" t="s">
        <v>18009</v>
      </c>
      <c r="P3614" t="s">
        <v>27</v>
      </c>
      <c r="Y3614" t="s">
        <v>18011</v>
      </c>
    </row>
    <row r="3615" spans="1:25" x14ac:dyDescent="0.25">
      <c r="A3615" t="str">
        <f>"1391091347"</f>
        <v>1391091347</v>
      </c>
      <c r="B3615" t="s">
        <v>1493</v>
      </c>
      <c r="C3615" t="s">
        <v>1494</v>
      </c>
      <c r="D3615" t="s">
        <v>18012</v>
      </c>
      <c r="F3615" t="s">
        <v>1</v>
      </c>
      <c r="G3615" t="s">
        <v>2</v>
      </c>
      <c r="H3615" t="s">
        <v>1600</v>
      </c>
      <c r="I3615" t="s">
        <v>18013</v>
      </c>
      <c r="K3615" t="s">
        <v>18014</v>
      </c>
      <c r="P3615" t="s">
        <v>27</v>
      </c>
      <c r="Y3615" t="s">
        <v>2417</v>
      </c>
    </row>
    <row r="3616" spans="1:25" x14ac:dyDescent="0.25">
      <c r="A3616" t="str">
        <f>"1391092914"</f>
        <v>1391092914</v>
      </c>
      <c r="B3616" t="s">
        <v>18</v>
      </c>
      <c r="C3616" t="s">
        <v>4522</v>
      </c>
      <c r="D3616" t="s">
        <v>18</v>
      </c>
      <c r="F3616" t="s">
        <v>1</v>
      </c>
      <c r="G3616" t="s">
        <v>2</v>
      </c>
      <c r="H3616" t="s">
        <v>4957</v>
      </c>
      <c r="P3616" t="s">
        <v>390</v>
      </c>
      <c r="Y3616" t="s">
        <v>18015</v>
      </c>
    </row>
    <row r="3617" spans="1:25" x14ac:dyDescent="0.25">
      <c r="A3617" t="str">
        <f>"1391093253"</f>
        <v>1391093253</v>
      </c>
      <c r="B3617" t="s">
        <v>703</v>
      </c>
      <c r="C3617" t="s">
        <v>2129</v>
      </c>
      <c r="D3617" t="s">
        <v>2129</v>
      </c>
      <c r="F3617" t="s">
        <v>1</v>
      </c>
      <c r="G3617" t="s">
        <v>2</v>
      </c>
      <c r="H3617" t="s">
        <v>2745</v>
      </c>
      <c r="J3617" t="s">
        <v>18016</v>
      </c>
      <c r="P3617" t="s">
        <v>9</v>
      </c>
      <c r="Y3617" t="s">
        <v>2751</v>
      </c>
    </row>
    <row r="3618" spans="1:25" x14ac:dyDescent="0.25">
      <c r="A3618" t="str">
        <f>"1391288423"</f>
        <v>1391288423</v>
      </c>
      <c r="B3618" t="s">
        <v>430</v>
      </c>
      <c r="C3618" t="s">
        <v>940</v>
      </c>
      <c r="D3618" t="s">
        <v>18017</v>
      </c>
      <c r="E3618">
        <v>424008</v>
      </c>
      <c r="F3618" t="s">
        <v>1</v>
      </c>
      <c r="G3618" t="s">
        <v>2</v>
      </c>
      <c r="H3618" t="s">
        <v>18018</v>
      </c>
      <c r="I3618" t="s">
        <v>18019</v>
      </c>
      <c r="P3618" t="s">
        <v>18020</v>
      </c>
      <c r="Y3618" t="s">
        <v>18021</v>
      </c>
    </row>
    <row r="3619" spans="1:25" x14ac:dyDescent="0.25">
      <c r="A3619" t="str">
        <f>"1391412982"</f>
        <v>1391412982</v>
      </c>
      <c r="B3619" t="s">
        <v>669</v>
      </c>
      <c r="C3619" t="s">
        <v>18026</v>
      </c>
      <c r="D3619" t="s">
        <v>18022</v>
      </c>
      <c r="E3619">
        <v>424003</v>
      </c>
      <c r="F3619" t="s">
        <v>1</v>
      </c>
      <c r="G3619" t="s">
        <v>2</v>
      </c>
      <c r="H3619" t="s">
        <v>2465</v>
      </c>
      <c r="I3619" t="s">
        <v>18023</v>
      </c>
      <c r="L3619" t="s">
        <v>18024</v>
      </c>
      <c r="M3619" t="s">
        <v>18025</v>
      </c>
      <c r="P3619" t="s">
        <v>27</v>
      </c>
      <c r="Q3619" t="s">
        <v>18027</v>
      </c>
      <c r="T3619" t="s">
        <v>18028</v>
      </c>
      <c r="Y3619" t="s">
        <v>2469</v>
      </c>
    </row>
    <row r="3620" spans="1:25" x14ac:dyDescent="0.25">
      <c r="A3620" t="str">
        <f>"1391541326"</f>
        <v>1391541326</v>
      </c>
      <c r="B3620" t="s">
        <v>18</v>
      </c>
      <c r="C3620" t="s">
        <v>18034</v>
      </c>
      <c r="D3620" t="s">
        <v>18029</v>
      </c>
      <c r="E3620">
        <v>424002</v>
      </c>
      <c r="F3620" t="s">
        <v>1</v>
      </c>
      <c r="G3620" t="s">
        <v>2</v>
      </c>
      <c r="H3620" t="s">
        <v>5692</v>
      </c>
      <c r="I3620" t="s">
        <v>18030</v>
      </c>
      <c r="J3620" t="s">
        <v>18031</v>
      </c>
      <c r="L3620" t="s">
        <v>18032</v>
      </c>
      <c r="M3620" t="s">
        <v>18033</v>
      </c>
      <c r="P3620" t="s">
        <v>18035</v>
      </c>
      <c r="Q3620" t="s">
        <v>18036</v>
      </c>
      <c r="Y3620" t="s">
        <v>18037</v>
      </c>
    </row>
    <row r="3621" spans="1:25" x14ac:dyDescent="0.25">
      <c r="A3621" t="str">
        <f>"1391565787"</f>
        <v>1391565787</v>
      </c>
      <c r="B3621" t="s">
        <v>538</v>
      </c>
      <c r="C3621" t="s">
        <v>3633</v>
      </c>
      <c r="D3621" t="s">
        <v>18038</v>
      </c>
      <c r="E3621">
        <v>424002</v>
      </c>
      <c r="F3621" t="s">
        <v>1</v>
      </c>
      <c r="G3621" t="s">
        <v>2</v>
      </c>
      <c r="H3621" t="s">
        <v>18039</v>
      </c>
      <c r="I3621" t="s">
        <v>18040</v>
      </c>
      <c r="L3621" t="s">
        <v>18041</v>
      </c>
      <c r="M3621" t="s">
        <v>18042</v>
      </c>
      <c r="P3621" t="s">
        <v>280</v>
      </c>
      <c r="Q3621" t="s">
        <v>18043</v>
      </c>
      <c r="Y3621" t="s">
        <v>18044</v>
      </c>
    </row>
    <row r="3622" spans="1:25" x14ac:dyDescent="0.25">
      <c r="A3622" t="str">
        <f>"1391647723"</f>
        <v>1391647723</v>
      </c>
      <c r="B3622" t="s">
        <v>574</v>
      </c>
      <c r="C3622" t="s">
        <v>18049</v>
      </c>
      <c r="D3622" t="s">
        <v>18045</v>
      </c>
      <c r="E3622">
        <v>424007</v>
      </c>
      <c r="F3622" t="s">
        <v>1</v>
      </c>
      <c r="G3622" t="s">
        <v>2</v>
      </c>
      <c r="H3622" t="s">
        <v>2168</v>
      </c>
      <c r="I3622" t="s">
        <v>18046</v>
      </c>
      <c r="L3622" t="s">
        <v>18047</v>
      </c>
      <c r="M3622" t="s">
        <v>18048</v>
      </c>
      <c r="P3622" t="s">
        <v>18050</v>
      </c>
      <c r="Q3622" t="s">
        <v>18051</v>
      </c>
      <c r="Y3622" t="s">
        <v>18052</v>
      </c>
    </row>
    <row r="3623" spans="1:25" x14ac:dyDescent="0.25">
      <c r="A3623" t="str">
        <f>"1391690276"</f>
        <v>1391690276</v>
      </c>
      <c r="B3623" t="s">
        <v>1343</v>
      </c>
      <c r="C3623" t="s">
        <v>18058</v>
      </c>
      <c r="D3623" t="s">
        <v>18053</v>
      </c>
      <c r="E3623">
        <v>424032</v>
      </c>
      <c r="F3623" t="s">
        <v>1</v>
      </c>
      <c r="G3623" t="s">
        <v>2</v>
      </c>
      <c r="H3623" t="s">
        <v>2972</v>
      </c>
      <c r="I3623" t="s">
        <v>18054</v>
      </c>
      <c r="J3623" t="s">
        <v>18055</v>
      </c>
      <c r="L3623" t="s">
        <v>18056</v>
      </c>
      <c r="M3623" t="s">
        <v>18057</v>
      </c>
      <c r="P3623" t="s">
        <v>9</v>
      </c>
      <c r="Q3623" t="s">
        <v>18059</v>
      </c>
      <c r="T3623" t="s">
        <v>18060</v>
      </c>
      <c r="U3623" t="s">
        <v>18061</v>
      </c>
      <c r="V3623" t="s">
        <v>18062</v>
      </c>
      <c r="Y3623" t="s">
        <v>2975</v>
      </c>
    </row>
    <row r="3624" spans="1:25" x14ac:dyDescent="0.25">
      <c r="A3624" t="str">
        <f>"1391785445"</f>
        <v>1391785445</v>
      </c>
      <c r="B3624" t="s">
        <v>160</v>
      </c>
      <c r="C3624" t="s">
        <v>9976</v>
      </c>
      <c r="D3624" t="s">
        <v>18063</v>
      </c>
      <c r="E3624">
        <v>424006</v>
      </c>
      <c r="F3624" t="s">
        <v>1</v>
      </c>
      <c r="G3624" t="s">
        <v>2</v>
      </c>
      <c r="H3624" t="s">
        <v>830</v>
      </c>
      <c r="I3624" t="s">
        <v>18064</v>
      </c>
      <c r="P3624" t="s">
        <v>18065</v>
      </c>
      <c r="Y3624" t="s">
        <v>3830</v>
      </c>
    </row>
    <row r="3625" spans="1:25" x14ac:dyDescent="0.25">
      <c r="A3625" t="str">
        <f>"1391821823"</f>
        <v>1391821823</v>
      </c>
      <c r="B3625" t="s">
        <v>18</v>
      </c>
      <c r="C3625" t="s">
        <v>18071</v>
      </c>
      <c r="D3625" t="s">
        <v>18066</v>
      </c>
      <c r="E3625">
        <v>424031</v>
      </c>
      <c r="F3625" t="s">
        <v>1</v>
      </c>
      <c r="G3625" t="s">
        <v>2</v>
      </c>
      <c r="H3625" t="s">
        <v>5057</v>
      </c>
      <c r="I3625" t="s">
        <v>18067</v>
      </c>
      <c r="J3625" t="s">
        <v>18068</v>
      </c>
      <c r="L3625" t="s">
        <v>18069</v>
      </c>
      <c r="M3625" t="s">
        <v>18070</v>
      </c>
      <c r="P3625" t="s">
        <v>152</v>
      </c>
      <c r="Q3625" t="s">
        <v>18072</v>
      </c>
      <c r="T3625" t="s">
        <v>18073</v>
      </c>
      <c r="V3625" t="s">
        <v>18074</v>
      </c>
      <c r="Y3625" t="s">
        <v>5062</v>
      </c>
    </row>
    <row r="3626" spans="1:25" x14ac:dyDescent="0.25">
      <c r="A3626" t="str">
        <f>"1391855787"</f>
        <v>1391855787</v>
      </c>
      <c r="B3626" t="s">
        <v>80</v>
      </c>
      <c r="C3626" t="s">
        <v>18079</v>
      </c>
      <c r="D3626" t="s">
        <v>18075</v>
      </c>
      <c r="E3626">
        <v>424004</v>
      </c>
      <c r="F3626" t="s">
        <v>1</v>
      </c>
      <c r="G3626" t="s">
        <v>2</v>
      </c>
      <c r="H3626" t="s">
        <v>186</v>
      </c>
      <c r="I3626" t="s">
        <v>18076</v>
      </c>
      <c r="L3626" t="s">
        <v>18077</v>
      </c>
      <c r="M3626" t="s">
        <v>18078</v>
      </c>
      <c r="P3626" t="s">
        <v>5649</v>
      </c>
      <c r="Q3626" t="s">
        <v>18080</v>
      </c>
      <c r="Y3626" t="s">
        <v>190</v>
      </c>
    </row>
    <row r="3627" spans="1:25" x14ac:dyDescent="0.25">
      <c r="A3627" t="str">
        <f>"1391985928"</f>
        <v>1391985928</v>
      </c>
      <c r="B3627" t="s">
        <v>930</v>
      </c>
      <c r="C3627" t="s">
        <v>1096</v>
      </c>
      <c r="D3627" t="s">
        <v>18081</v>
      </c>
      <c r="E3627">
        <v>424005</v>
      </c>
      <c r="F3627" t="s">
        <v>1</v>
      </c>
      <c r="G3627" t="s">
        <v>2</v>
      </c>
      <c r="H3627" t="s">
        <v>18082</v>
      </c>
      <c r="I3627" t="s">
        <v>18083</v>
      </c>
      <c r="P3627" t="s">
        <v>245</v>
      </c>
      <c r="Y3627" t="s">
        <v>18084</v>
      </c>
    </row>
    <row r="3628" spans="1:25" x14ac:dyDescent="0.25">
      <c r="A3628" t="str">
        <f>"1392043284"</f>
        <v>1392043284</v>
      </c>
      <c r="B3628" t="s">
        <v>574</v>
      </c>
      <c r="C3628" t="s">
        <v>11976</v>
      </c>
      <c r="D3628" t="s">
        <v>574</v>
      </c>
      <c r="E3628">
        <v>424007</v>
      </c>
      <c r="F3628" t="s">
        <v>1</v>
      </c>
      <c r="G3628" t="s">
        <v>2</v>
      </c>
      <c r="H3628" t="s">
        <v>3243</v>
      </c>
      <c r="I3628" t="s">
        <v>18085</v>
      </c>
      <c r="P3628" t="s">
        <v>27</v>
      </c>
      <c r="Y3628" t="s">
        <v>3249</v>
      </c>
    </row>
    <row r="3629" spans="1:25" x14ac:dyDescent="0.25">
      <c r="A3629" t="str">
        <f>"1392145167"</f>
        <v>1392145167</v>
      </c>
      <c r="B3629" t="s">
        <v>18</v>
      </c>
      <c r="C3629" t="s">
        <v>18091</v>
      </c>
      <c r="D3629" t="s">
        <v>18086</v>
      </c>
      <c r="E3629">
        <v>424008</v>
      </c>
      <c r="F3629" t="s">
        <v>1</v>
      </c>
      <c r="G3629" t="s">
        <v>2</v>
      </c>
      <c r="H3629" t="s">
        <v>18087</v>
      </c>
      <c r="I3629" t="s">
        <v>18088</v>
      </c>
      <c r="L3629" t="s">
        <v>18089</v>
      </c>
      <c r="M3629" t="s">
        <v>18090</v>
      </c>
      <c r="P3629" t="s">
        <v>20</v>
      </c>
      <c r="Y3629" t="s">
        <v>18092</v>
      </c>
    </row>
    <row r="3630" spans="1:25" x14ac:dyDescent="0.25">
      <c r="A3630" t="str">
        <f>"1392151393"</f>
        <v>1392151393</v>
      </c>
      <c r="B3630" t="s">
        <v>1352</v>
      </c>
      <c r="C3630" t="s">
        <v>2093</v>
      </c>
      <c r="D3630" t="s">
        <v>2093</v>
      </c>
      <c r="E3630">
        <v>424037</v>
      </c>
      <c r="F3630" t="s">
        <v>1</v>
      </c>
      <c r="G3630" t="s">
        <v>2</v>
      </c>
      <c r="H3630" t="s">
        <v>18093</v>
      </c>
      <c r="J3630" t="s">
        <v>18094</v>
      </c>
      <c r="P3630" t="s">
        <v>312</v>
      </c>
      <c r="Y3630" t="s">
        <v>18095</v>
      </c>
    </row>
    <row r="3631" spans="1:25" x14ac:dyDescent="0.25">
      <c r="A3631" t="str">
        <f>"1392163902"</f>
        <v>1392163902</v>
      </c>
      <c r="B3631" t="s">
        <v>1053</v>
      </c>
      <c r="C3631" t="s">
        <v>1927</v>
      </c>
      <c r="D3631" t="s">
        <v>1927</v>
      </c>
      <c r="E3631">
        <v>424032</v>
      </c>
      <c r="F3631" t="s">
        <v>1</v>
      </c>
      <c r="G3631" t="s">
        <v>2</v>
      </c>
      <c r="H3631" t="s">
        <v>11081</v>
      </c>
      <c r="J3631" t="s">
        <v>18096</v>
      </c>
      <c r="P3631" t="s">
        <v>280</v>
      </c>
      <c r="Y3631" t="s">
        <v>11084</v>
      </c>
    </row>
    <row r="3632" spans="1:25" x14ac:dyDescent="0.25">
      <c r="A3632" t="str">
        <f>"1392203773"</f>
        <v>1392203773</v>
      </c>
      <c r="B3632" t="s">
        <v>348</v>
      </c>
      <c r="C3632" t="s">
        <v>4366</v>
      </c>
      <c r="D3632" t="s">
        <v>18097</v>
      </c>
      <c r="E3632">
        <v>424006</v>
      </c>
      <c r="F3632" t="s">
        <v>1</v>
      </c>
      <c r="G3632" t="s">
        <v>2</v>
      </c>
      <c r="H3632" t="s">
        <v>445</v>
      </c>
      <c r="J3632" t="s">
        <v>18098</v>
      </c>
      <c r="P3632" t="s">
        <v>4280</v>
      </c>
      <c r="Y3632" t="s">
        <v>449</v>
      </c>
    </row>
    <row r="3633" spans="1:25" x14ac:dyDescent="0.25">
      <c r="A3633" t="str">
        <f>"1392231573"</f>
        <v>1392231573</v>
      </c>
      <c r="B3633" t="s">
        <v>888</v>
      </c>
      <c r="C3633" t="s">
        <v>1947</v>
      </c>
      <c r="D3633" t="s">
        <v>18099</v>
      </c>
      <c r="E3633">
        <v>424005</v>
      </c>
      <c r="F3633" t="s">
        <v>1</v>
      </c>
      <c r="G3633" t="s">
        <v>2</v>
      </c>
      <c r="H3633" t="s">
        <v>18100</v>
      </c>
      <c r="I3633" t="s">
        <v>18101</v>
      </c>
      <c r="L3633" t="s">
        <v>14587</v>
      </c>
      <c r="M3633" t="s">
        <v>18102</v>
      </c>
      <c r="P3633" t="s">
        <v>280</v>
      </c>
      <c r="Q3633" t="s">
        <v>14589</v>
      </c>
      <c r="S3633" t="s">
        <v>18103</v>
      </c>
      <c r="U3633" t="s">
        <v>18104</v>
      </c>
      <c r="Y3633" t="s">
        <v>18105</v>
      </c>
    </row>
    <row r="3634" spans="1:25" x14ac:dyDescent="0.25">
      <c r="A3634" t="str">
        <f>"1392241541"</f>
        <v>1392241541</v>
      </c>
      <c r="B3634" t="s">
        <v>553</v>
      </c>
      <c r="C3634" t="s">
        <v>18107</v>
      </c>
      <c r="D3634" t="s">
        <v>18106</v>
      </c>
      <c r="E3634">
        <v>424031</v>
      </c>
      <c r="F3634" t="s">
        <v>1</v>
      </c>
      <c r="G3634" t="s">
        <v>2</v>
      </c>
      <c r="H3634" t="s">
        <v>1524</v>
      </c>
      <c r="P3634" t="s">
        <v>3822</v>
      </c>
      <c r="Y3634" t="s">
        <v>5358</v>
      </c>
    </row>
    <row r="3635" spans="1:25" x14ac:dyDescent="0.25">
      <c r="A3635" t="str">
        <f>"1392309149"</f>
        <v>1392309149</v>
      </c>
      <c r="B3635" t="s">
        <v>80</v>
      </c>
      <c r="C3635" t="s">
        <v>18111</v>
      </c>
      <c r="D3635" t="s">
        <v>18108</v>
      </c>
      <c r="E3635">
        <v>424006</v>
      </c>
      <c r="F3635" t="s">
        <v>1</v>
      </c>
      <c r="G3635" t="s">
        <v>2</v>
      </c>
      <c r="H3635" t="s">
        <v>18109</v>
      </c>
      <c r="I3635" t="s">
        <v>18110</v>
      </c>
      <c r="P3635" t="s">
        <v>2457</v>
      </c>
      <c r="Q3635" t="s">
        <v>18112</v>
      </c>
      <c r="Y3635" t="s">
        <v>18113</v>
      </c>
    </row>
    <row r="3636" spans="1:25" x14ac:dyDescent="0.25">
      <c r="A3636" t="str">
        <f>"1392382639"</f>
        <v>1392382639</v>
      </c>
      <c r="B3636" t="s">
        <v>930</v>
      </c>
      <c r="C3636" t="s">
        <v>6070</v>
      </c>
      <c r="D3636" t="s">
        <v>11700</v>
      </c>
      <c r="E3636">
        <v>424019</v>
      </c>
      <c r="F3636" t="s">
        <v>1</v>
      </c>
      <c r="G3636" t="s">
        <v>2</v>
      </c>
      <c r="H3636" t="s">
        <v>18114</v>
      </c>
      <c r="I3636" t="s">
        <v>18115</v>
      </c>
      <c r="J3636" t="s">
        <v>18116</v>
      </c>
      <c r="P3636" t="s">
        <v>330</v>
      </c>
      <c r="Y3636" t="s">
        <v>18117</v>
      </c>
    </row>
    <row r="3637" spans="1:25" x14ac:dyDescent="0.25">
      <c r="A3637" t="str">
        <f>"1392388170"</f>
        <v>1392388170</v>
      </c>
      <c r="B3637" t="s">
        <v>25</v>
      </c>
      <c r="C3637" t="s">
        <v>18120</v>
      </c>
      <c r="D3637" t="s">
        <v>18118</v>
      </c>
      <c r="E3637">
        <v>424020</v>
      </c>
      <c r="F3637" t="s">
        <v>1</v>
      </c>
      <c r="G3637" t="s">
        <v>2</v>
      </c>
      <c r="H3637" t="s">
        <v>4181</v>
      </c>
      <c r="J3637" t="s">
        <v>18119</v>
      </c>
      <c r="P3637" t="s">
        <v>27</v>
      </c>
      <c r="Y3637" t="s">
        <v>4183</v>
      </c>
    </row>
    <row r="3638" spans="1:25" x14ac:dyDescent="0.25">
      <c r="A3638" t="str">
        <f>"1392392902"</f>
        <v>1392392902</v>
      </c>
      <c r="B3638" t="s">
        <v>397</v>
      </c>
      <c r="C3638" t="s">
        <v>13209</v>
      </c>
      <c r="D3638" t="s">
        <v>13207</v>
      </c>
      <c r="E3638">
        <v>424037</v>
      </c>
      <c r="F3638" t="s">
        <v>1</v>
      </c>
      <c r="G3638" t="s">
        <v>2</v>
      </c>
      <c r="H3638" t="s">
        <v>15241</v>
      </c>
      <c r="I3638" t="s">
        <v>18121</v>
      </c>
      <c r="J3638" t="s">
        <v>18122</v>
      </c>
      <c r="K3638" t="s">
        <v>18123</v>
      </c>
      <c r="P3638" t="s">
        <v>2362</v>
      </c>
      <c r="Y3638" t="s">
        <v>18124</v>
      </c>
    </row>
    <row r="3639" spans="1:25" x14ac:dyDescent="0.25">
      <c r="A3639" t="str">
        <f>"1392464665"</f>
        <v>1392464665</v>
      </c>
      <c r="B3639" t="s">
        <v>2062</v>
      </c>
      <c r="C3639" t="s">
        <v>18126</v>
      </c>
      <c r="D3639" t="s">
        <v>4776</v>
      </c>
      <c r="E3639">
        <v>424003</v>
      </c>
      <c r="F3639" t="s">
        <v>1</v>
      </c>
      <c r="G3639" t="s">
        <v>2</v>
      </c>
      <c r="H3639" t="s">
        <v>5311</v>
      </c>
      <c r="J3639" t="s">
        <v>18125</v>
      </c>
      <c r="P3639" t="s">
        <v>18127</v>
      </c>
      <c r="Y3639" t="s">
        <v>10521</v>
      </c>
    </row>
    <row r="3640" spans="1:25" x14ac:dyDescent="0.25">
      <c r="A3640" t="str">
        <f>"1392564163"</f>
        <v>1392564163</v>
      </c>
      <c r="B3640" t="s">
        <v>25</v>
      </c>
      <c r="C3640" t="s">
        <v>59</v>
      </c>
      <c r="D3640" t="s">
        <v>18128</v>
      </c>
      <c r="E3640">
        <v>424004</v>
      </c>
      <c r="F3640" t="s">
        <v>1</v>
      </c>
      <c r="G3640" t="s">
        <v>2</v>
      </c>
      <c r="H3640" t="s">
        <v>186</v>
      </c>
      <c r="I3640" t="s">
        <v>18129</v>
      </c>
      <c r="P3640" t="s">
        <v>330</v>
      </c>
      <c r="Y3640" t="s">
        <v>18130</v>
      </c>
    </row>
    <row r="3641" spans="1:25" x14ac:dyDescent="0.25">
      <c r="A3641" t="str">
        <f>"1392627174"</f>
        <v>1392627174</v>
      </c>
      <c r="B3641" t="s">
        <v>2846</v>
      </c>
      <c r="C3641" t="s">
        <v>18131</v>
      </c>
      <c r="D3641" t="s">
        <v>17991</v>
      </c>
      <c r="E3641">
        <v>424003</v>
      </c>
      <c r="F3641" t="s">
        <v>1</v>
      </c>
      <c r="G3641" t="s">
        <v>2</v>
      </c>
      <c r="H3641" t="s">
        <v>14928</v>
      </c>
      <c r="P3641" t="s">
        <v>2731</v>
      </c>
      <c r="Y3641" t="s">
        <v>18132</v>
      </c>
    </row>
    <row r="3642" spans="1:25" x14ac:dyDescent="0.25">
      <c r="A3642" t="str">
        <f>"1392723900"</f>
        <v>1392723900</v>
      </c>
      <c r="B3642" t="s">
        <v>290</v>
      </c>
      <c r="C3642" t="s">
        <v>290</v>
      </c>
      <c r="D3642" t="s">
        <v>18133</v>
      </c>
      <c r="E3642">
        <v>424002</v>
      </c>
      <c r="F3642" t="s">
        <v>1</v>
      </c>
      <c r="G3642" t="s">
        <v>2</v>
      </c>
      <c r="H3642" t="s">
        <v>18134</v>
      </c>
      <c r="P3642" t="s">
        <v>10083</v>
      </c>
      <c r="Y3642" t="s">
        <v>18135</v>
      </c>
    </row>
    <row r="3643" spans="1:25" x14ac:dyDescent="0.25">
      <c r="A3643" t="str">
        <f>"1392785064"</f>
        <v>1392785064</v>
      </c>
      <c r="B3643" t="s">
        <v>18</v>
      </c>
      <c r="C3643" t="s">
        <v>2593</v>
      </c>
      <c r="D3643" t="s">
        <v>18136</v>
      </c>
      <c r="E3643">
        <v>424003</v>
      </c>
      <c r="F3643" t="s">
        <v>1</v>
      </c>
      <c r="G3643" t="s">
        <v>2</v>
      </c>
      <c r="H3643" t="s">
        <v>2465</v>
      </c>
      <c r="I3643" t="s">
        <v>18137</v>
      </c>
      <c r="P3643" t="s">
        <v>260</v>
      </c>
      <c r="Y3643" t="s">
        <v>2469</v>
      </c>
    </row>
    <row r="3644" spans="1:25" x14ac:dyDescent="0.25">
      <c r="A3644" t="str">
        <f>"1392790314"</f>
        <v>1392790314</v>
      </c>
      <c r="B3644" t="s">
        <v>1262</v>
      </c>
      <c r="C3644" t="s">
        <v>1263</v>
      </c>
      <c r="D3644" t="s">
        <v>18138</v>
      </c>
      <c r="E3644">
        <v>424000</v>
      </c>
      <c r="F3644" t="s">
        <v>1</v>
      </c>
      <c r="G3644" t="s">
        <v>2</v>
      </c>
      <c r="H3644" t="s">
        <v>4492</v>
      </c>
      <c r="I3644" t="s">
        <v>18139</v>
      </c>
      <c r="P3644" t="s">
        <v>1035</v>
      </c>
      <c r="Y3644" t="s">
        <v>4497</v>
      </c>
    </row>
    <row r="3645" spans="1:25" x14ac:dyDescent="0.25">
      <c r="A3645" t="str">
        <f>"1392815625"</f>
        <v>1392815625</v>
      </c>
      <c r="B3645" t="s">
        <v>1046</v>
      </c>
      <c r="C3645" t="s">
        <v>2695</v>
      </c>
      <c r="D3645" t="s">
        <v>18140</v>
      </c>
      <c r="E3645">
        <v>424038</v>
      </c>
      <c r="F3645" t="s">
        <v>1</v>
      </c>
      <c r="G3645" t="s">
        <v>2</v>
      </c>
      <c r="H3645" t="s">
        <v>13095</v>
      </c>
      <c r="I3645" t="s">
        <v>18141</v>
      </c>
      <c r="P3645" t="s">
        <v>330</v>
      </c>
      <c r="Y3645" t="s">
        <v>18142</v>
      </c>
    </row>
    <row r="3646" spans="1:25" x14ac:dyDescent="0.25">
      <c r="A3646" t="str">
        <f>"1392841036"</f>
        <v>1392841036</v>
      </c>
      <c r="B3646" t="s">
        <v>703</v>
      </c>
      <c r="C3646" t="s">
        <v>2129</v>
      </c>
      <c r="D3646" t="s">
        <v>18143</v>
      </c>
      <c r="E3646">
        <v>424038</v>
      </c>
      <c r="F3646" t="s">
        <v>1</v>
      </c>
      <c r="G3646" t="s">
        <v>2</v>
      </c>
      <c r="H3646" t="s">
        <v>5779</v>
      </c>
      <c r="I3646" t="s">
        <v>18144</v>
      </c>
      <c r="J3646" t="s">
        <v>18145</v>
      </c>
      <c r="P3646" t="s">
        <v>216</v>
      </c>
      <c r="Y3646" t="s">
        <v>5780</v>
      </c>
    </row>
    <row r="3647" spans="1:25" x14ac:dyDescent="0.25">
      <c r="A3647" t="str">
        <f>"1392976398"</f>
        <v>1392976398</v>
      </c>
      <c r="B3647" t="s">
        <v>1475</v>
      </c>
      <c r="C3647" t="s">
        <v>1476</v>
      </c>
      <c r="D3647" t="s">
        <v>18146</v>
      </c>
      <c r="E3647">
        <v>424007</v>
      </c>
      <c r="F3647" t="s">
        <v>1</v>
      </c>
      <c r="G3647" t="s">
        <v>2</v>
      </c>
      <c r="H3647" t="s">
        <v>4321</v>
      </c>
      <c r="I3647" t="s">
        <v>18147</v>
      </c>
      <c r="P3647" t="s">
        <v>10416</v>
      </c>
      <c r="Y3647" t="s">
        <v>18148</v>
      </c>
    </row>
    <row r="3648" spans="1:25" x14ac:dyDescent="0.25">
      <c r="A3648" t="str">
        <f>"1392995977"</f>
        <v>1392995977</v>
      </c>
      <c r="B3648" t="s">
        <v>1152</v>
      </c>
      <c r="C3648" t="s">
        <v>18153</v>
      </c>
      <c r="D3648" t="s">
        <v>18149</v>
      </c>
      <c r="E3648">
        <v>424037</v>
      </c>
      <c r="F3648" t="s">
        <v>1</v>
      </c>
      <c r="G3648" t="s">
        <v>2</v>
      </c>
      <c r="H3648" t="s">
        <v>18150</v>
      </c>
      <c r="I3648" t="s">
        <v>18151</v>
      </c>
      <c r="M3648" t="s">
        <v>18152</v>
      </c>
      <c r="P3648" t="s">
        <v>1027</v>
      </c>
      <c r="Q3648" t="s">
        <v>18154</v>
      </c>
      <c r="Y3648" t="s">
        <v>18155</v>
      </c>
    </row>
    <row r="3649" spans="1:25" x14ac:dyDescent="0.25">
      <c r="A3649" t="str">
        <f>"1393034687"</f>
        <v>1393034687</v>
      </c>
      <c r="B3649" t="s">
        <v>1053</v>
      </c>
      <c r="C3649" t="s">
        <v>11751</v>
      </c>
      <c r="D3649" t="s">
        <v>18156</v>
      </c>
      <c r="E3649">
        <v>424003</v>
      </c>
      <c r="F3649" t="s">
        <v>1</v>
      </c>
      <c r="G3649" t="s">
        <v>2</v>
      </c>
      <c r="H3649" t="s">
        <v>734</v>
      </c>
      <c r="I3649" t="s">
        <v>18157</v>
      </c>
      <c r="K3649" t="s">
        <v>18158</v>
      </c>
      <c r="P3649" t="s">
        <v>20</v>
      </c>
      <c r="Y3649" t="s">
        <v>8273</v>
      </c>
    </row>
    <row r="3650" spans="1:25" x14ac:dyDescent="0.25">
      <c r="A3650" t="str">
        <f>"1393081360"</f>
        <v>1393081360</v>
      </c>
      <c r="B3650" t="s">
        <v>290</v>
      </c>
      <c r="C3650" t="s">
        <v>290</v>
      </c>
      <c r="D3650" t="s">
        <v>18159</v>
      </c>
      <c r="E3650">
        <v>424006</v>
      </c>
      <c r="F3650" t="s">
        <v>1</v>
      </c>
      <c r="G3650" t="s">
        <v>2</v>
      </c>
      <c r="H3650" t="s">
        <v>13758</v>
      </c>
      <c r="P3650" t="s">
        <v>60</v>
      </c>
      <c r="Y3650" t="s">
        <v>18160</v>
      </c>
    </row>
    <row r="3651" spans="1:25" x14ac:dyDescent="0.25">
      <c r="A3651" t="str">
        <f>"1393102314"</f>
        <v>1393102314</v>
      </c>
      <c r="B3651" t="s">
        <v>430</v>
      </c>
      <c r="C3651" t="s">
        <v>13663</v>
      </c>
      <c r="D3651" t="s">
        <v>18161</v>
      </c>
      <c r="E3651">
        <v>424033</v>
      </c>
      <c r="F3651" t="s">
        <v>1</v>
      </c>
      <c r="G3651" t="s">
        <v>2</v>
      </c>
      <c r="H3651" t="s">
        <v>18162</v>
      </c>
      <c r="I3651" t="s">
        <v>18163</v>
      </c>
      <c r="P3651" t="s">
        <v>280</v>
      </c>
      <c r="Y3651" t="s">
        <v>18164</v>
      </c>
    </row>
    <row r="3652" spans="1:25" x14ac:dyDescent="0.25">
      <c r="A3652" t="str">
        <f>"1393217353"</f>
        <v>1393217353</v>
      </c>
      <c r="B3652" t="s">
        <v>352</v>
      </c>
      <c r="C3652" t="s">
        <v>353</v>
      </c>
      <c r="D3652" t="s">
        <v>18165</v>
      </c>
      <c r="E3652">
        <v>424037</v>
      </c>
      <c r="F3652" t="s">
        <v>1</v>
      </c>
      <c r="G3652" t="s">
        <v>2</v>
      </c>
      <c r="H3652" t="s">
        <v>9342</v>
      </c>
      <c r="P3652" t="s">
        <v>27</v>
      </c>
      <c r="Y3652" t="s">
        <v>9347</v>
      </c>
    </row>
    <row r="3653" spans="1:25" x14ac:dyDescent="0.25">
      <c r="A3653" t="str">
        <f>"1393220860"</f>
        <v>1393220860</v>
      </c>
      <c r="B3653" t="s">
        <v>430</v>
      </c>
      <c r="C3653" t="s">
        <v>18171</v>
      </c>
      <c r="D3653" t="s">
        <v>18166</v>
      </c>
      <c r="E3653">
        <v>424002</v>
      </c>
      <c r="F3653" t="s">
        <v>1</v>
      </c>
      <c r="G3653" t="s">
        <v>2</v>
      </c>
      <c r="H3653" t="s">
        <v>18167</v>
      </c>
      <c r="I3653" t="s">
        <v>18168</v>
      </c>
      <c r="L3653" t="s">
        <v>18169</v>
      </c>
      <c r="M3653" t="s">
        <v>18170</v>
      </c>
      <c r="P3653" t="s">
        <v>144</v>
      </c>
      <c r="Q3653" t="s">
        <v>18172</v>
      </c>
      <c r="Y3653" t="s">
        <v>18173</v>
      </c>
    </row>
    <row r="3654" spans="1:25" x14ac:dyDescent="0.25">
      <c r="A3654" t="str">
        <f>"1393299360"</f>
        <v>1393299360</v>
      </c>
      <c r="B3654" t="s">
        <v>1046</v>
      </c>
      <c r="C3654" t="s">
        <v>3497</v>
      </c>
      <c r="D3654" t="s">
        <v>18174</v>
      </c>
      <c r="E3654">
        <v>424039</v>
      </c>
      <c r="F3654" t="s">
        <v>1</v>
      </c>
      <c r="G3654" t="s">
        <v>2</v>
      </c>
      <c r="H3654" t="s">
        <v>18175</v>
      </c>
      <c r="I3654" t="s">
        <v>18176</v>
      </c>
      <c r="P3654" t="s">
        <v>330</v>
      </c>
      <c r="Y3654" t="s">
        <v>18177</v>
      </c>
    </row>
    <row r="3655" spans="1:25" x14ac:dyDescent="0.25">
      <c r="A3655" t="str">
        <f>"1393355275"</f>
        <v>1393355275</v>
      </c>
      <c r="B3655" t="s">
        <v>574</v>
      </c>
      <c r="C3655" t="s">
        <v>9802</v>
      </c>
      <c r="D3655" t="s">
        <v>18178</v>
      </c>
      <c r="E3655">
        <v>424002</v>
      </c>
      <c r="F3655" t="s">
        <v>1</v>
      </c>
      <c r="G3655" t="s">
        <v>2</v>
      </c>
      <c r="H3655" t="s">
        <v>2260</v>
      </c>
      <c r="P3655" t="s">
        <v>216</v>
      </c>
      <c r="Y3655" t="s">
        <v>18179</v>
      </c>
    </row>
    <row r="3656" spans="1:25" x14ac:dyDescent="0.25">
      <c r="A3656" t="str">
        <f>"1393452433"</f>
        <v>1393452433</v>
      </c>
      <c r="B3656" t="s">
        <v>3094</v>
      </c>
      <c r="C3656" t="s">
        <v>3095</v>
      </c>
      <c r="D3656" t="s">
        <v>18180</v>
      </c>
      <c r="E3656">
        <v>424020</v>
      </c>
      <c r="F3656" t="s">
        <v>1</v>
      </c>
      <c r="G3656" t="s">
        <v>2</v>
      </c>
      <c r="H3656" t="s">
        <v>13938</v>
      </c>
      <c r="I3656" t="s">
        <v>18181</v>
      </c>
      <c r="L3656" t="s">
        <v>18182</v>
      </c>
      <c r="M3656" t="s">
        <v>18183</v>
      </c>
      <c r="P3656" t="s">
        <v>18184</v>
      </c>
      <c r="Q3656" t="s">
        <v>18185</v>
      </c>
      <c r="Y3656" t="s">
        <v>18186</v>
      </c>
    </row>
    <row r="3657" spans="1:25" x14ac:dyDescent="0.25">
      <c r="A3657" t="str">
        <f>"1393498437"</f>
        <v>1393498437</v>
      </c>
      <c r="B3657" t="s">
        <v>18</v>
      </c>
      <c r="C3657" t="s">
        <v>6433</v>
      </c>
      <c r="D3657" t="s">
        <v>18187</v>
      </c>
      <c r="F3657" t="s">
        <v>1</v>
      </c>
      <c r="G3657" t="s">
        <v>2</v>
      </c>
      <c r="H3657" t="s">
        <v>18188</v>
      </c>
      <c r="I3657" t="s">
        <v>18189</v>
      </c>
      <c r="J3657" t="s">
        <v>18190</v>
      </c>
      <c r="P3657" t="s">
        <v>280</v>
      </c>
      <c r="Y3657" t="s">
        <v>4917</v>
      </c>
    </row>
    <row r="3658" spans="1:25" x14ac:dyDescent="0.25">
      <c r="A3658" t="str">
        <f>"1393509086"</f>
        <v>1393509086</v>
      </c>
      <c r="B3658" t="s">
        <v>110</v>
      </c>
      <c r="C3658" t="s">
        <v>18195</v>
      </c>
      <c r="D3658" t="s">
        <v>18191</v>
      </c>
      <c r="F3658" t="s">
        <v>1</v>
      </c>
      <c r="G3658" t="s">
        <v>2</v>
      </c>
      <c r="H3658" t="s">
        <v>1508</v>
      </c>
      <c r="I3658" t="s">
        <v>18192</v>
      </c>
      <c r="L3658" t="s">
        <v>18193</v>
      </c>
      <c r="M3658" t="s">
        <v>18194</v>
      </c>
      <c r="Y3658" t="s">
        <v>10196</v>
      </c>
    </row>
    <row r="3659" spans="1:25" x14ac:dyDescent="0.25">
      <c r="A3659" t="str">
        <f>"1393517377"</f>
        <v>1393517377</v>
      </c>
      <c r="B3659" t="s">
        <v>3094</v>
      </c>
      <c r="C3659" t="s">
        <v>3095</v>
      </c>
      <c r="D3659" t="s">
        <v>18196</v>
      </c>
      <c r="E3659">
        <v>424036</v>
      </c>
      <c r="F3659" t="s">
        <v>1</v>
      </c>
      <c r="G3659" t="s">
        <v>2</v>
      </c>
      <c r="H3659" t="s">
        <v>18197</v>
      </c>
      <c r="I3659" t="s">
        <v>18198</v>
      </c>
      <c r="L3659" t="s">
        <v>18199</v>
      </c>
      <c r="M3659" t="s">
        <v>18200</v>
      </c>
      <c r="P3659" t="s">
        <v>10632</v>
      </c>
      <c r="Q3659" t="s">
        <v>18201</v>
      </c>
      <c r="T3659" t="s">
        <v>18202</v>
      </c>
      <c r="Y3659" t="s">
        <v>18203</v>
      </c>
    </row>
    <row r="3660" spans="1:25" x14ac:dyDescent="0.25">
      <c r="A3660" t="str">
        <f>"1393722405"</f>
        <v>1393722405</v>
      </c>
      <c r="B3660" t="s">
        <v>1323</v>
      </c>
      <c r="C3660" t="s">
        <v>18208</v>
      </c>
      <c r="D3660" t="s">
        <v>18204</v>
      </c>
      <c r="E3660">
        <v>424031</v>
      </c>
      <c r="F3660" t="s">
        <v>1</v>
      </c>
      <c r="G3660" t="s">
        <v>2</v>
      </c>
      <c r="H3660" t="s">
        <v>18205</v>
      </c>
      <c r="I3660" t="s">
        <v>18206</v>
      </c>
      <c r="L3660" t="s">
        <v>4465</v>
      </c>
      <c r="M3660" t="s">
        <v>18207</v>
      </c>
      <c r="P3660" t="s">
        <v>1505</v>
      </c>
      <c r="Q3660" t="s">
        <v>13845</v>
      </c>
      <c r="T3660" t="s">
        <v>13846</v>
      </c>
      <c r="Y3660" t="s">
        <v>18209</v>
      </c>
    </row>
    <row r="3661" spans="1:25" x14ac:dyDescent="0.25">
      <c r="A3661" t="str">
        <f>"1393727280"</f>
        <v>1393727280</v>
      </c>
      <c r="B3661" t="s">
        <v>96</v>
      </c>
      <c r="C3661" t="s">
        <v>893</v>
      </c>
      <c r="D3661" t="s">
        <v>18210</v>
      </c>
      <c r="E3661">
        <v>424000</v>
      </c>
      <c r="F3661" t="s">
        <v>1</v>
      </c>
      <c r="G3661" t="s">
        <v>2</v>
      </c>
      <c r="H3661" t="s">
        <v>92</v>
      </c>
      <c r="P3661" t="s">
        <v>2738</v>
      </c>
      <c r="Y3661" t="s">
        <v>18211</v>
      </c>
    </row>
    <row r="3662" spans="1:25" x14ac:dyDescent="0.25">
      <c r="A3662" t="str">
        <f>"1393807936"</f>
        <v>1393807936</v>
      </c>
      <c r="B3662" t="s">
        <v>888</v>
      </c>
      <c r="C3662" t="s">
        <v>18214</v>
      </c>
      <c r="D3662" t="s">
        <v>18212</v>
      </c>
      <c r="E3662">
        <v>424008</v>
      </c>
      <c r="F3662" t="s">
        <v>1</v>
      </c>
      <c r="G3662" t="s">
        <v>2</v>
      </c>
      <c r="H3662" t="s">
        <v>3812</v>
      </c>
      <c r="I3662" t="s">
        <v>18213</v>
      </c>
      <c r="P3662" t="s">
        <v>18215</v>
      </c>
      <c r="Y3662" t="s">
        <v>18216</v>
      </c>
    </row>
    <row r="3663" spans="1:25" x14ac:dyDescent="0.25">
      <c r="A3663" t="str">
        <f>"1393826724"</f>
        <v>1393826724</v>
      </c>
      <c r="B3663" t="s">
        <v>1544</v>
      </c>
      <c r="C3663" t="s">
        <v>1545</v>
      </c>
      <c r="D3663" t="s">
        <v>18217</v>
      </c>
      <c r="E3663">
        <v>424002</v>
      </c>
      <c r="F3663" t="s">
        <v>1</v>
      </c>
      <c r="G3663" t="s">
        <v>2</v>
      </c>
      <c r="H3663" t="s">
        <v>18218</v>
      </c>
      <c r="I3663" t="s">
        <v>18219</v>
      </c>
      <c r="P3663" t="s">
        <v>4543</v>
      </c>
      <c r="Y3663" t="s">
        <v>18220</v>
      </c>
    </row>
    <row r="3664" spans="1:25" x14ac:dyDescent="0.25">
      <c r="A3664" t="str">
        <f>"1393847150"</f>
        <v>1393847150</v>
      </c>
      <c r="B3664" t="s">
        <v>123</v>
      </c>
      <c r="C3664" t="s">
        <v>196</v>
      </c>
      <c r="D3664" t="s">
        <v>18221</v>
      </c>
      <c r="E3664">
        <v>424006</v>
      </c>
      <c r="F3664" t="s">
        <v>1</v>
      </c>
      <c r="G3664" t="s">
        <v>2</v>
      </c>
      <c r="H3664" t="s">
        <v>2966</v>
      </c>
      <c r="I3664" t="s">
        <v>18222</v>
      </c>
      <c r="J3664" t="s">
        <v>18223</v>
      </c>
      <c r="P3664" t="s">
        <v>13820</v>
      </c>
      <c r="Y3664" t="s">
        <v>2970</v>
      </c>
    </row>
    <row r="3665" spans="1:25" x14ac:dyDescent="0.25">
      <c r="A3665" t="str">
        <f>"1393950691"</f>
        <v>1393950691</v>
      </c>
      <c r="B3665" t="s">
        <v>388</v>
      </c>
      <c r="C3665" t="s">
        <v>4731</v>
      </c>
      <c r="D3665" t="s">
        <v>18224</v>
      </c>
      <c r="E3665">
        <v>424006</v>
      </c>
      <c r="F3665" t="s">
        <v>1</v>
      </c>
      <c r="G3665" t="s">
        <v>2</v>
      </c>
      <c r="H3665" t="s">
        <v>2012</v>
      </c>
      <c r="I3665" t="s">
        <v>18225</v>
      </c>
      <c r="L3665" t="s">
        <v>18226</v>
      </c>
      <c r="M3665" t="s">
        <v>18227</v>
      </c>
      <c r="P3665" t="s">
        <v>20</v>
      </c>
      <c r="Y3665" t="s">
        <v>18228</v>
      </c>
    </row>
    <row r="3666" spans="1:25" x14ac:dyDescent="0.25">
      <c r="A3666" t="str">
        <f>"1394039383"</f>
        <v>1394039383</v>
      </c>
      <c r="B3666" t="s">
        <v>284</v>
      </c>
      <c r="C3666" t="s">
        <v>18233</v>
      </c>
      <c r="D3666" t="s">
        <v>18229</v>
      </c>
      <c r="E3666">
        <v>424007</v>
      </c>
      <c r="F3666" t="s">
        <v>1</v>
      </c>
      <c r="G3666" t="s">
        <v>2</v>
      </c>
      <c r="H3666" t="s">
        <v>220</v>
      </c>
      <c r="I3666" t="s">
        <v>18230</v>
      </c>
      <c r="L3666" t="s">
        <v>18231</v>
      </c>
      <c r="M3666" t="s">
        <v>18232</v>
      </c>
      <c r="P3666" t="s">
        <v>20</v>
      </c>
      <c r="Y3666" t="s">
        <v>18234</v>
      </c>
    </row>
    <row r="3667" spans="1:25" x14ac:dyDescent="0.25">
      <c r="A3667" t="str">
        <f>"1394077383"</f>
        <v>1394077383</v>
      </c>
      <c r="B3667" t="s">
        <v>32</v>
      </c>
      <c r="C3667" t="s">
        <v>182</v>
      </c>
      <c r="D3667" t="s">
        <v>18235</v>
      </c>
      <c r="E3667">
        <v>424003</v>
      </c>
      <c r="F3667" t="s">
        <v>1</v>
      </c>
      <c r="G3667" t="s">
        <v>2</v>
      </c>
      <c r="H3667" t="s">
        <v>7258</v>
      </c>
      <c r="P3667" t="s">
        <v>2079</v>
      </c>
      <c r="Y3667" t="s">
        <v>18236</v>
      </c>
    </row>
    <row r="3668" spans="1:25" x14ac:dyDescent="0.25">
      <c r="A3668" t="str">
        <f>"1394082961"</f>
        <v>1394082961</v>
      </c>
      <c r="B3668" t="s">
        <v>96</v>
      </c>
      <c r="C3668" t="s">
        <v>2285</v>
      </c>
      <c r="D3668" t="s">
        <v>18237</v>
      </c>
      <c r="E3668">
        <v>424000</v>
      </c>
      <c r="F3668" t="s">
        <v>1</v>
      </c>
      <c r="G3668" t="s">
        <v>2</v>
      </c>
      <c r="H3668" t="s">
        <v>1531</v>
      </c>
      <c r="J3668" t="s">
        <v>18238</v>
      </c>
      <c r="P3668" t="s">
        <v>941</v>
      </c>
      <c r="Y3668" t="s">
        <v>4373</v>
      </c>
    </row>
    <row r="3669" spans="1:25" x14ac:dyDescent="0.25">
      <c r="A3669" t="str">
        <f>"1394102540"</f>
        <v>1394102540</v>
      </c>
      <c r="B3669" t="s">
        <v>640</v>
      </c>
      <c r="C3669" t="s">
        <v>663</v>
      </c>
      <c r="D3669" t="s">
        <v>18239</v>
      </c>
      <c r="E3669">
        <v>424003</v>
      </c>
      <c r="F3669" t="s">
        <v>1</v>
      </c>
      <c r="G3669" t="s">
        <v>2</v>
      </c>
      <c r="H3669" t="s">
        <v>1725</v>
      </c>
      <c r="J3669" t="s">
        <v>18240</v>
      </c>
      <c r="L3669" t="s">
        <v>18241</v>
      </c>
      <c r="M3669" t="s">
        <v>18242</v>
      </c>
      <c r="P3669" t="s">
        <v>18243</v>
      </c>
      <c r="Q3669" t="s">
        <v>18244</v>
      </c>
      <c r="Y3669" t="s">
        <v>18245</v>
      </c>
    </row>
    <row r="3670" spans="1:25" x14ac:dyDescent="0.25">
      <c r="A3670" t="str">
        <f>"1394115649"</f>
        <v>1394115649</v>
      </c>
      <c r="B3670" t="s">
        <v>624</v>
      </c>
      <c r="C3670" t="s">
        <v>1637</v>
      </c>
      <c r="D3670" t="s">
        <v>18246</v>
      </c>
      <c r="E3670">
        <v>424037</v>
      </c>
      <c r="F3670" t="s">
        <v>1</v>
      </c>
      <c r="G3670" t="s">
        <v>2</v>
      </c>
      <c r="H3670" t="s">
        <v>18247</v>
      </c>
      <c r="J3670" t="s">
        <v>18248</v>
      </c>
      <c r="P3670" t="s">
        <v>152</v>
      </c>
      <c r="Y3670" t="s">
        <v>18249</v>
      </c>
    </row>
    <row r="3671" spans="1:25" x14ac:dyDescent="0.25">
      <c r="A3671" t="str">
        <f>"1394129974"</f>
        <v>1394129974</v>
      </c>
      <c r="B3671" t="s">
        <v>1152</v>
      </c>
      <c r="C3671" t="s">
        <v>18252</v>
      </c>
      <c r="D3671" t="s">
        <v>18250</v>
      </c>
      <c r="E3671">
        <v>424031</v>
      </c>
      <c r="F3671" t="s">
        <v>1</v>
      </c>
      <c r="G3671" t="s">
        <v>2</v>
      </c>
      <c r="H3671" t="s">
        <v>12438</v>
      </c>
      <c r="I3671" t="s">
        <v>18251</v>
      </c>
      <c r="L3671" t="s">
        <v>14671</v>
      </c>
      <c r="M3671" t="s">
        <v>14672</v>
      </c>
      <c r="P3671" t="s">
        <v>2084</v>
      </c>
      <c r="Y3671" t="s">
        <v>12440</v>
      </c>
    </row>
    <row r="3672" spans="1:25" x14ac:dyDescent="0.25">
      <c r="A3672" t="str">
        <f>"1394155438"</f>
        <v>1394155438</v>
      </c>
      <c r="B3672" t="s">
        <v>1758</v>
      </c>
      <c r="C3672" t="s">
        <v>4609</v>
      </c>
      <c r="D3672" t="s">
        <v>18253</v>
      </c>
      <c r="E3672">
        <v>424038</v>
      </c>
      <c r="F3672" t="s">
        <v>1</v>
      </c>
      <c r="G3672" t="s">
        <v>2</v>
      </c>
      <c r="H3672" t="s">
        <v>386</v>
      </c>
      <c r="I3672" t="s">
        <v>18254</v>
      </c>
      <c r="L3672" t="s">
        <v>18255</v>
      </c>
      <c r="M3672" t="s">
        <v>18256</v>
      </c>
      <c r="P3672" t="s">
        <v>2738</v>
      </c>
      <c r="Q3672" t="s">
        <v>18257</v>
      </c>
      <c r="Y3672" t="s">
        <v>1723</v>
      </c>
    </row>
    <row r="3673" spans="1:25" x14ac:dyDescent="0.25">
      <c r="A3673" t="str">
        <f>"1394207047"</f>
        <v>1394207047</v>
      </c>
      <c r="B3673" t="s">
        <v>790</v>
      </c>
      <c r="C3673" t="s">
        <v>18261</v>
      </c>
      <c r="D3673" t="s">
        <v>18258</v>
      </c>
      <c r="E3673">
        <v>424038</v>
      </c>
      <c r="F3673" t="s">
        <v>1</v>
      </c>
      <c r="G3673" t="s">
        <v>2</v>
      </c>
      <c r="H3673" t="s">
        <v>14471</v>
      </c>
      <c r="I3673" t="s">
        <v>18259</v>
      </c>
      <c r="J3673" t="s">
        <v>18260</v>
      </c>
      <c r="P3673" t="s">
        <v>2951</v>
      </c>
      <c r="Y3673" t="s">
        <v>18262</v>
      </c>
    </row>
    <row r="3674" spans="1:25" x14ac:dyDescent="0.25">
      <c r="A3674" t="str">
        <f>"1394243448"</f>
        <v>1394243448</v>
      </c>
      <c r="B3674" t="s">
        <v>352</v>
      </c>
      <c r="C3674" t="s">
        <v>353</v>
      </c>
      <c r="D3674" t="s">
        <v>18263</v>
      </c>
      <c r="E3674">
        <v>424037</v>
      </c>
      <c r="F3674" t="s">
        <v>1</v>
      </c>
      <c r="G3674" t="s">
        <v>2</v>
      </c>
      <c r="H3674" t="s">
        <v>1849</v>
      </c>
      <c r="I3674" t="s">
        <v>18264</v>
      </c>
      <c r="J3674" t="s">
        <v>18265</v>
      </c>
      <c r="P3674" t="s">
        <v>6236</v>
      </c>
      <c r="Y3674" t="s">
        <v>12620</v>
      </c>
    </row>
    <row r="3675" spans="1:25" x14ac:dyDescent="0.25">
      <c r="A3675" t="str">
        <f>"1394247938"</f>
        <v>1394247938</v>
      </c>
      <c r="B3675" t="s">
        <v>1475</v>
      </c>
      <c r="C3675" t="s">
        <v>1476</v>
      </c>
      <c r="D3675" t="s">
        <v>18266</v>
      </c>
      <c r="E3675">
        <v>424002</v>
      </c>
      <c r="F3675" t="s">
        <v>1</v>
      </c>
      <c r="G3675" t="s">
        <v>2</v>
      </c>
      <c r="H3675" t="s">
        <v>11341</v>
      </c>
      <c r="P3675" t="s">
        <v>216</v>
      </c>
      <c r="Y3675" t="s">
        <v>18267</v>
      </c>
    </row>
    <row r="3676" spans="1:25" x14ac:dyDescent="0.25">
      <c r="A3676" t="str">
        <f>"1394259788"</f>
        <v>1394259788</v>
      </c>
      <c r="B3676" t="s">
        <v>18</v>
      </c>
      <c r="C3676" t="s">
        <v>12269</v>
      </c>
      <c r="D3676" t="s">
        <v>18268</v>
      </c>
      <c r="E3676">
        <v>424006</v>
      </c>
      <c r="F3676" t="s">
        <v>1</v>
      </c>
      <c r="G3676" t="s">
        <v>2</v>
      </c>
      <c r="H3676" t="s">
        <v>18269</v>
      </c>
      <c r="I3676" t="s">
        <v>18270</v>
      </c>
      <c r="P3676" t="s">
        <v>280</v>
      </c>
      <c r="Y3676" t="s">
        <v>18271</v>
      </c>
    </row>
    <row r="3677" spans="1:25" x14ac:dyDescent="0.25">
      <c r="A3677" t="str">
        <f>"1394353868"</f>
        <v>1394353868</v>
      </c>
      <c r="B3677" t="s">
        <v>176</v>
      </c>
      <c r="C3677" t="s">
        <v>4741</v>
      </c>
      <c r="D3677" t="s">
        <v>18272</v>
      </c>
      <c r="E3677">
        <v>424003</v>
      </c>
      <c r="F3677" t="s">
        <v>1</v>
      </c>
      <c r="G3677" t="s">
        <v>2</v>
      </c>
      <c r="H3677" t="s">
        <v>6194</v>
      </c>
      <c r="I3677" t="s">
        <v>18273</v>
      </c>
      <c r="J3677" t="s">
        <v>18274</v>
      </c>
      <c r="P3677" t="s">
        <v>18275</v>
      </c>
      <c r="Y3677" t="s">
        <v>10233</v>
      </c>
    </row>
    <row r="3678" spans="1:25" x14ac:dyDescent="0.25">
      <c r="A3678" t="str">
        <f>"1394398186"</f>
        <v>1394398186</v>
      </c>
      <c r="B3678" t="s">
        <v>1152</v>
      </c>
      <c r="C3678" t="s">
        <v>1385</v>
      </c>
      <c r="D3678" t="s">
        <v>1382</v>
      </c>
      <c r="E3678">
        <v>424030</v>
      </c>
      <c r="F3678" t="s">
        <v>1</v>
      </c>
      <c r="G3678" t="s">
        <v>2</v>
      </c>
      <c r="H3678" t="s">
        <v>10204</v>
      </c>
      <c r="I3678" t="s">
        <v>18276</v>
      </c>
      <c r="J3678" t="s">
        <v>18277</v>
      </c>
      <c r="P3678" t="s">
        <v>18278</v>
      </c>
      <c r="Y3678" t="s">
        <v>18279</v>
      </c>
    </row>
    <row r="3679" spans="1:25" x14ac:dyDescent="0.25">
      <c r="A3679" t="str">
        <f>"1394463702"</f>
        <v>1394463702</v>
      </c>
      <c r="B3679" t="s">
        <v>123</v>
      </c>
      <c r="C3679" t="s">
        <v>424</v>
      </c>
      <c r="D3679" t="s">
        <v>18280</v>
      </c>
      <c r="E3679">
        <v>424037</v>
      </c>
      <c r="F3679" t="s">
        <v>1</v>
      </c>
      <c r="G3679" t="s">
        <v>2</v>
      </c>
      <c r="H3679" t="s">
        <v>18281</v>
      </c>
      <c r="I3679" t="s">
        <v>18282</v>
      </c>
      <c r="L3679" t="s">
        <v>18283</v>
      </c>
      <c r="M3679" t="s">
        <v>18284</v>
      </c>
      <c r="P3679" t="s">
        <v>425</v>
      </c>
      <c r="Q3679" t="s">
        <v>18285</v>
      </c>
      <c r="Y3679" t="s">
        <v>18286</v>
      </c>
    </row>
    <row r="3680" spans="1:25" x14ac:dyDescent="0.25">
      <c r="A3680" t="str">
        <f>"1394487615"</f>
        <v>1394487615</v>
      </c>
      <c r="B3680" t="s">
        <v>654</v>
      </c>
      <c r="C3680" t="s">
        <v>2974</v>
      </c>
      <c r="D3680" t="s">
        <v>18287</v>
      </c>
      <c r="E3680">
        <v>424031</v>
      </c>
      <c r="F3680" t="s">
        <v>1</v>
      </c>
      <c r="G3680" t="s">
        <v>2</v>
      </c>
      <c r="H3680" t="s">
        <v>9156</v>
      </c>
      <c r="P3680" t="s">
        <v>27</v>
      </c>
      <c r="Y3680" t="s">
        <v>18288</v>
      </c>
    </row>
    <row r="3681" spans="1:25" x14ac:dyDescent="0.25">
      <c r="A3681" t="str">
        <f>"1394550868"</f>
        <v>1394550868</v>
      </c>
      <c r="B3681" t="s">
        <v>538</v>
      </c>
      <c r="C3681" t="s">
        <v>539</v>
      </c>
      <c r="D3681" t="s">
        <v>18289</v>
      </c>
      <c r="E3681">
        <v>424028</v>
      </c>
      <c r="F3681" t="s">
        <v>1</v>
      </c>
      <c r="G3681" t="s">
        <v>2</v>
      </c>
      <c r="H3681" t="s">
        <v>3628</v>
      </c>
      <c r="I3681" t="s">
        <v>18290</v>
      </c>
      <c r="P3681" t="s">
        <v>280</v>
      </c>
      <c r="Y3681" t="s">
        <v>6934</v>
      </c>
    </row>
    <row r="3682" spans="1:25" x14ac:dyDescent="0.25">
      <c r="A3682" t="str">
        <f>"1394643689"</f>
        <v>1394643689</v>
      </c>
      <c r="B3682" t="s">
        <v>151</v>
      </c>
      <c r="C3682" t="s">
        <v>1034</v>
      </c>
      <c r="D3682" t="s">
        <v>18291</v>
      </c>
      <c r="E3682">
        <v>424002</v>
      </c>
      <c r="F3682" t="s">
        <v>1</v>
      </c>
      <c r="G3682" t="s">
        <v>2</v>
      </c>
      <c r="H3682" t="s">
        <v>7234</v>
      </c>
      <c r="J3682" t="s">
        <v>18292</v>
      </c>
      <c r="P3682" t="s">
        <v>27</v>
      </c>
      <c r="Y3682" t="s">
        <v>18293</v>
      </c>
    </row>
    <row r="3683" spans="1:25" x14ac:dyDescent="0.25">
      <c r="A3683" t="str">
        <f>"1394718840"</f>
        <v>1394718840</v>
      </c>
      <c r="B3683" t="s">
        <v>4084</v>
      </c>
      <c r="C3683" t="s">
        <v>7951</v>
      </c>
      <c r="D3683" t="s">
        <v>18294</v>
      </c>
      <c r="E3683">
        <v>424002</v>
      </c>
      <c r="F3683" t="s">
        <v>1</v>
      </c>
      <c r="G3683" t="s">
        <v>2</v>
      </c>
      <c r="H3683" t="s">
        <v>18295</v>
      </c>
      <c r="I3683" t="s">
        <v>18296</v>
      </c>
      <c r="M3683" t="s">
        <v>18297</v>
      </c>
      <c r="P3683" t="s">
        <v>18298</v>
      </c>
      <c r="Y3683" t="s">
        <v>18299</v>
      </c>
    </row>
    <row r="3684" spans="1:25" x14ac:dyDescent="0.25">
      <c r="A3684" t="str">
        <f>"1394752268"</f>
        <v>1394752268</v>
      </c>
      <c r="B3684" t="s">
        <v>25</v>
      </c>
      <c r="C3684" t="s">
        <v>59</v>
      </c>
      <c r="D3684" t="s">
        <v>18300</v>
      </c>
      <c r="E3684">
        <v>424039</v>
      </c>
      <c r="F3684" t="s">
        <v>1</v>
      </c>
      <c r="G3684" t="s">
        <v>2</v>
      </c>
      <c r="H3684" t="s">
        <v>148</v>
      </c>
      <c r="I3684" t="s">
        <v>18301</v>
      </c>
      <c r="P3684" t="s">
        <v>11831</v>
      </c>
      <c r="Y3684" t="s">
        <v>18302</v>
      </c>
    </row>
    <row r="3685" spans="1:25" x14ac:dyDescent="0.25">
      <c r="A3685" t="str">
        <f>"1394961424"</f>
        <v>1394961424</v>
      </c>
      <c r="B3685" t="s">
        <v>151</v>
      </c>
      <c r="C3685" t="s">
        <v>18306</v>
      </c>
      <c r="D3685" t="s">
        <v>18303</v>
      </c>
      <c r="E3685">
        <v>424031</v>
      </c>
      <c r="F3685" t="s">
        <v>1</v>
      </c>
      <c r="G3685" t="s">
        <v>2</v>
      </c>
      <c r="H3685" t="s">
        <v>239</v>
      </c>
      <c r="I3685" t="s">
        <v>18304</v>
      </c>
      <c r="J3685" t="s">
        <v>18305</v>
      </c>
      <c r="P3685" t="s">
        <v>330</v>
      </c>
      <c r="Y3685" t="s">
        <v>246</v>
      </c>
    </row>
    <row r="3686" spans="1:25" x14ac:dyDescent="0.25">
      <c r="A3686" t="str">
        <f>"1394979153"</f>
        <v>1394979153</v>
      </c>
      <c r="B3686" t="s">
        <v>482</v>
      </c>
      <c r="C3686" t="s">
        <v>483</v>
      </c>
      <c r="D3686" t="s">
        <v>18307</v>
      </c>
      <c r="E3686">
        <v>424031</v>
      </c>
      <c r="F3686" t="s">
        <v>1</v>
      </c>
      <c r="G3686" t="s">
        <v>2</v>
      </c>
      <c r="H3686" t="s">
        <v>9156</v>
      </c>
      <c r="I3686" t="s">
        <v>18308</v>
      </c>
      <c r="L3686" t="s">
        <v>18309</v>
      </c>
      <c r="M3686" t="s">
        <v>18310</v>
      </c>
      <c r="P3686" t="s">
        <v>689</v>
      </c>
      <c r="Y3686" t="s">
        <v>18288</v>
      </c>
    </row>
    <row r="3687" spans="1:25" x14ac:dyDescent="0.25">
      <c r="A3687" t="str">
        <f>"1395056149"</f>
        <v>1395056149</v>
      </c>
      <c r="B3687" t="s">
        <v>96</v>
      </c>
      <c r="C3687" t="s">
        <v>2285</v>
      </c>
      <c r="D3687" t="s">
        <v>18311</v>
      </c>
      <c r="E3687">
        <v>424031</v>
      </c>
      <c r="F3687" t="s">
        <v>1</v>
      </c>
      <c r="G3687" t="s">
        <v>2</v>
      </c>
      <c r="H3687" t="s">
        <v>239</v>
      </c>
      <c r="I3687" t="s">
        <v>18312</v>
      </c>
      <c r="P3687" t="s">
        <v>2050</v>
      </c>
      <c r="Y3687" t="s">
        <v>246</v>
      </c>
    </row>
    <row r="3688" spans="1:25" x14ac:dyDescent="0.25">
      <c r="A3688" t="str">
        <f>"1395206676"</f>
        <v>1395206676</v>
      </c>
      <c r="B3688" t="s">
        <v>1152</v>
      </c>
      <c r="C3688" t="s">
        <v>2222</v>
      </c>
      <c r="D3688" t="s">
        <v>4535</v>
      </c>
      <c r="E3688">
        <v>424002</v>
      </c>
      <c r="F3688" t="s">
        <v>1</v>
      </c>
      <c r="G3688" t="s">
        <v>2</v>
      </c>
      <c r="H3688" t="s">
        <v>662</v>
      </c>
      <c r="I3688" t="s">
        <v>18313</v>
      </c>
      <c r="P3688" t="s">
        <v>112</v>
      </c>
      <c r="Y3688" t="s">
        <v>18314</v>
      </c>
    </row>
    <row r="3689" spans="1:25" x14ac:dyDescent="0.25">
      <c r="A3689" t="str">
        <f>"1395295024"</f>
        <v>1395295024</v>
      </c>
      <c r="B3689" t="s">
        <v>18</v>
      </c>
      <c r="C3689" t="s">
        <v>2171</v>
      </c>
      <c r="D3689" t="s">
        <v>18315</v>
      </c>
      <c r="E3689">
        <v>424007</v>
      </c>
      <c r="F3689" t="s">
        <v>1</v>
      </c>
      <c r="G3689" t="s">
        <v>2</v>
      </c>
      <c r="H3689" t="s">
        <v>819</v>
      </c>
      <c r="I3689" t="s">
        <v>18316</v>
      </c>
      <c r="P3689" t="s">
        <v>4848</v>
      </c>
      <c r="Y3689" t="s">
        <v>13419</v>
      </c>
    </row>
    <row r="3690" spans="1:25" x14ac:dyDescent="0.25">
      <c r="A3690" t="str">
        <f>"1395304658"</f>
        <v>1395304658</v>
      </c>
      <c r="B3690" t="s">
        <v>3008</v>
      </c>
      <c r="C3690" t="s">
        <v>18319</v>
      </c>
      <c r="D3690" t="s">
        <v>18317</v>
      </c>
      <c r="E3690">
        <v>424028</v>
      </c>
      <c r="F3690" t="s">
        <v>1</v>
      </c>
      <c r="G3690" t="s">
        <v>2</v>
      </c>
      <c r="H3690" t="s">
        <v>3359</v>
      </c>
      <c r="I3690" t="s">
        <v>18318</v>
      </c>
      <c r="P3690" t="s">
        <v>362</v>
      </c>
      <c r="Y3690" t="s">
        <v>18320</v>
      </c>
    </row>
    <row r="3691" spans="1:25" x14ac:dyDescent="0.25">
      <c r="A3691" t="str">
        <f>"1395349604"</f>
        <v>1395349604</v>
      </c>
      <c r="B3691" t="s">
        <v>18</v>
      </c>
      <c r="C3691" t="s">
        <v>18324</v>
      </c>
      <c r="D3691" t="s">
        <v>18321</v>
      </c>
      <c r="E3691">
        <v>424000</v>
      </c>
      <c r="F3691" t="s">
        <v>1</v>
      </c>
      <c r="G3691" t="s">
        <v>2</v>
      </c>
      <c r="H3691" t="s">
        <v>2671</v>
      </c>
      <c r="I3691" t="s">
        <v>18322</v>
      </c>
      <c r="L3691" t="s">
        <v>18323</v>
      </c>
      <c r="P3691" t="s">
        <v>2050</v>
      </c>
      <c r="Y3691" t="s">
        <v>18325</v>
      </c>
    </row>
    <row r="3692" spans="1:25" x14ac:dyDescent="0.25">
      <c r="A3692" t="str">
        <f>"1395564287"</f>
        <v>1395564287</v>
      </c>
      <c r="B3692" t="s">
        <v>110</v>
      </c>
      <c r="C3692" t="s">
        <v>5755</v>
      </c>
      <c r="D3692" t="s">
        <v>18326</v>
      </c>
      <c r="E3692">
        <v>424038</v>
      </c>
      <c r="F3692" t="s">
        <v>1</v>
      </c>
      <c r="G3692" t="s">
        <v>2</v>
      </c>
      <c r="H3692" t="s">
        <v>2103</v>
      </c>
      <c r="I3692" t="s">
        <v>18327</v>
      </c>
      <c r="J3692" t="s">
        <v>18328</v>
      </c>
      <c r="P3692" t="s">
        <v>1232</v>
      </c>
      <c r="Y3692" t="s">
        <v>2323</v>
      </c>
    </row>
    <row r="3693" spans="1:25" x14ac:dyDescent="0.25">
      <c r="A3693" t="str">
        <f>"1395577675"</f>
        <v>1395577675</v>
      </c>
      <c r="B3693" t="s">
        <v>462</v>
      </c>
      <c r="C3693" t="s">
        <v>1140</v>
      </c>
      <c r="D3693" t="s">
        <v>18329</v>
      </c>
      <c r="E3693">
        <v>424007</v>
      </c>
      <c r="F3693" t="s">
        <v>1</v>
      </c>
      <c r="G3693" t="s">
        <v>2</v>
      </c>
      <c r="H3693" t="s">
        <v>1319</v>
      </c>
      <c r="I3693" t="s">
        <v>18330</v>
      </c>
      <c r="P3693" t="s">
        <v>20</v>
      </c>
      <c r="Y3693" t="s">
        <v>18331</v>
      </c>
    </row>
    <row r="3694" spans="1:25" x14ac:dyDescent="0.25">
      <c r="A3694" t="str">
        <f>"1395606663"</f>
        <v>1395606663</v>
      </c>
      <c r="B3694" t="s">
        <v>88</v>
      </c>
      <c r="C3694" t="s">
        <v>18334</v>
      </c>
      <c r="D3694" t="s">
        <v>18332</v>
      </c>
      <c r="E3694">
        <v>424000</v>
      </c>
      <c r="F3694" t="s">
        <v>1</v>
      </c>
      <c r="G3694" t="s">
        <v>2</v>
      </c>
      <c r="H3694" t="s">
        <v>9927</v>
      </c>
      <c r="I3694" t="s">
        <v>18333</v>
      </c>
      <c r="P3694" t="s">
        <v>133</v>
      </c>
      <c r="Y3694" t="s">
        <v>18335</v>
      </c>
    </row>
    <row r="3695" spans="1:25" x14ac:dyDescent="0.25">
      <c r="A3695" t="str">
        <f>"1395762923"</f>
        <v>1395762923</v>
      </c>
      <c r="B3695" t="s">
        <v>233</v>
      </c>
      <c r="C3695" t="s">
        <v>1897</v>
      </c>
      <c r="D3695" t="s">
        <v>18336</v>
      </c>
      <c r="E3695">
        <v>424003</v>
      </c>
      <c r="F3695" t="s">
        <v>1</v>
      </c>
      <c r="G3695" t="s">
        <v>2</v>
      </c>
      <c r="H3695" t="s">
        <v>3077</v>
      </c>
      <c r="I3695" t="s">
        <v>18337</v>
      </c>
      <c r="J3695" t="s">
        <v>18338</v>
      </c>
      <c r="P3695" t="s">
        <v>2580</v>
      </c>
      <c r="Y3695" t="s">
        <v>18339</v>
      </c>
    </row>
    <row r="3696" spans="1:25" x14ac:dyDescent="0.25">
      <c r="A3696" t="str">
        <f>"1395939041"</f>
        <v>1395939041</v>
      </c>
      <c r="B3696" t="s">
        <v>80</v>
      </c>
      <c r="C3696" t="s">
        <v>14246</v>
      </c>
      <c r="D3696" t="s">
        <v>13980</v>
      </c>
      <c r="E3696">
        <v>424000</v>
      </c>
      <c r="F3696" t="s">
        <v>1</v>
      </c>
      <c r="G3696" t="s">
        <v>2</v>
      </c>
      <c r="H3696" t="s">
        <v>128</v>
      </c>
      <c r="J3696" t="s">
        <v>18340</v>
      </c>
      <c r="P3696" t="s">
        <v>18341</v>
      </c>
      <c r="Y3696" t="s">
        <v>5640</v>
      </c>
    </row>
    <row r="3697" spans="1:25" x14ac:dyDescent="0.25">
      <c r="A3697" t="str">
        <f>"1396007455"</f>
        <v>1396007455</v>
      </c>
      <c r="B3697" t="s">
        <v>110</v>
      </c>
      <c r="C3697" t="s">
        <v>111</v>
      </c>
      <c r="D3697" t="s">
        <v>4989</v>
      </c>
      <c r="E3697">
        <v>424005</v>
      </c>
      <c r="F3697" t="s">
        <v>1</v>
      </c>
      <c r="G3697" t="s">
        <v>2</v>
      </c>
      <c r="H3697" t="s">
        <v>1298</v>
      </c>
      <c r="I3697" t="s">
        <v>18342</v>
      </c>
      <c r="P3697" t="s">
        <v>7125</v>
      </c>
      <c r="Y3697" t="s">
        <v>18343</v>
      </c>
    </row>
    <row r="3698" spans="1:25" x14ac:dyDescent="0.25">
      <c r="A3698" t="str">
        <f>"1396065341"</f>
        <v>1396065341</v>
      </c>
      <c r="B3698" t="s">
        <v>482</v>
      </c>
      <c r="C3698" t="s">
        <v>13472</v>
      </c>
      <c r="D3698" t="s">
        <v>18344</v>
      </c>
      <c r="E3698">
        <v>424000</v>
      </c>
      <c r="F3698" t="s">
        <v>1</v>
      </c>
      <c r="G3698" t="s">
        <v>2</v>
      </c>
      <c r="H3698" t="s">
        <v>18345</v>
      </c>
      <c r="I3698" t="s">
        <v>18346</v>
      </c>
      <c r="L3698" t="s">
        <v>18347</v>
      </c>
      <c r="M3698" t="s">
        <v>18348</v>
      </c>
      <c r="P3698" t="s">
        <v>27</v>
      </c>
      <c r="Q3698" t="s">
        <v>18349</v>
      </c>
      <c r="R3698" t="s">
        <v>18350</v>
      </c>
      <c r="T3698" t="s">
        <v>18351</v>
      </c>
      <c r="U3698" t="s">
        <v>18352</v>
      </c>
      <c r="V3698" t="s">
        <v>18353</v>
      </c>
      <c r="Y3698" t="s">
        <v>18354</v>
      </c>
    </row>
    <row r="3699" spans="1:25" x14ac:dyDescent="0.25">
      <c r="A3699" t="str">
        <f>"1396093926"</f>
        <v>1396093926</v>
      </c>
      <c r="B3699" t="s">
        <v>4084</v>
      </c>
      <c r="C3699" t="s">
        <v>7951</v>
      </c>
      <c r="D3699" t="s">
        <v>18355</v>
      </c>
      <c r="E3699">
        <v>424031</v>
      </c>
      <c r="F3699" t="s">
        <v>1</v>
      </c>
      <c r="G3699" t="s">
        <v>2</v>
      </c>
      <c r="H3699" t="s">
        <v>18356</v>
      </c>
      <c r="Y3699" t="s">
        <v>18357</v>
      </c>
    </row>
    <row r="3700" spans="1:25" x14ac:dyDescent="0.25">
      <c r="A3700" t="str">
        <f>"1396283221"</f>
        <v>1396283221</v>
      </c>
      <c r="B3700" t="s">
        <v>123</v>
      </c>
      <c r="C3700" t="s">
        <v>424</v>
      </c>
      <c r="D3700" t="s">
        <v>18358</v>
      </c>
      <c r="E3700">
        <v>424038</v>
      </c>
      <c r="F3700" t="s">
        <v>1</v>
      </c>
      <c r="G3700" t="s">
        <v>2</v>
      </c>
      <c r="H3700" t="s">
        <v>386</v>
      </c>
      <c r="I3700" t="s">
        <v>18359</v>
      </c>
      <c r="J3700" t="s">
        <v>18360</v>
      </c>
      <c r="P3700" t="s">
        <v>18361</v>
      </c>
      <c r="Y3700" t="s">
        <v>18362</v>
      </c>
    </row>
    <row r="3701" spans="1:25" x14ac:dyDescent="0.25">
      <c r="A3701" t="str">
        <f>"1396337175"</f>
        <v>1396337175</v>
      </c>
      <c r="B3701" t="s">
        <v>4084</v>
      </c>
      <c r="C3701" t="s">
        <v>7951</v>
      </c>
      <c r="D3701" t="s">
        <v>18363</v>
      </c>
      <c r="E3701">
        <v>424006</v>
      </c>
      <c r="F3701" t="s">
        <v>1</v>
      </c>
      <c r="G3701" t="s">
        <v>2</v>
      </c>
      <c r="H3701" t="s">
        <v>2441</v>
      </c>
      <c r="I3701" t="s">
        <v>18364</v>
      </c>
      <c r="M3701" t="s">
        <v>18365</v>
      </c>
      <c r="P3701" t="s">
        <v>312</v>
      </c>
      <c r="Y3701" t="s">
        <v>18366</v>
      </c>
    </row>
    <row r="3702" spans="1:25" x14ac:dyDescent="0.25">
      <c r="A3702" t="str">
        <f>"1396408686"</f>
        <v>1396408686</v>
      </c>
      <c r="B3702" t="s">
        <v>352</v>
      </c>
      <c r="C3702" t="s">
        <v>18368</v>
      </c>
      <c r="D3702" t="s">
        <v>3025</v>
      </c>
      <c r="E3702">
        <v>424003</v>
      </c>
      <c r="F3702" t="s">
        <v>1</v>
      </c>
      <c r="G3702" t="s">
        <v>2</v>
      </c>
      <c r="H3702" t="s">
        <v>2518</v>
      </c>
      <c r="I3702" t="s">
        <v>18367</v>
      </c>
      <c r="P3702" t="s">
        <v>20</v>
      </c>
      <c r="Y3702" t="s">
        <v>2523</v>
      </c>
    </row>
    <row r="3703" spans="1:25" x14ac:dyDescent="0.25">
      <c r="A3703" t="str">
        <f>"1396611962"</f>
        <v>1396611962</v>
      </c>
      <c r="B3703" t="s">
        <v>591</v>
      </c>
      <c r="C3703" t="s">
        <v>4824</v>
      </c>
      <c r="D3703" t="s">
        <v>18369</v>
      </c>
      <c r="E3703">
        <v>424038</v>
      </c>
      <c r="F3703" t="s">
        <v>1</v>
      </c>
      <c r="G3703" t="s">
        <v>2</v>
      </c>
      <c r="H3703" t="s">
        <v>18370</v>
      </c>
      <c r="I3703" t="s">
        <v>18371</v>
      </c>
      <c r="P3703" t="s">
        <v>2923</v>
      </c>
      <c r="Y3703" t="s">
        <v>18372</v>
      </c>
    </row>
    <row r="3704" spans="1:25" x14ac:dyDescent="0.25">
      <c r="A3704" t="str">
        <f>"1396725606"</f>
        <v>1396725606</v>
      </c>
      <c r="B3704" t="s">
        <v>3008</v>
      </c>
      <c r="C3704" t="s">
        <v>15744</v>
      </c>
      <c r="D3704" t="s">
        <v>18373</v>
      </c>
      <c r="E3704">
        <v>424007</v>
      </c>
      <c r="F3704" t="s">
        <v>1</v>
      </c>
      <c r="G3704" t="s">
        <v>2</v>
      </c>
      <c r="H3704" t="s">
        <v>220</v>
      </c>
      <c r="I3704" t="s">
        <v>18374</v>
      </c>
      <c r="P3704" t="s">
        <v>10133</v>
      </c>
      <c r="Y3704" t="s">
        <v>227</v>
      </c>
    </row>
    <row r="3705" spans="1:25" x14ac:dyDescent="0.25">
      <c r="A3705" t="str">
        <f>"1396793165"</f>
        <v>1396793165</v>
      </c>
      <c r="B3705" t="s">
        <v>18</v>
      </c>
      <c r="C3705" t="s">
        <v>18378</v>
      </c>
      <c r="D3705" t="s">
        <v>18375</v>
      </c>
      <c r="F3705" t="s">
        <v>1</v>
      </c>
      <c r="G3705" t="s">
        <v>2</v>
      </c>
      <c r="H3705" t="s">
        <v>10011</v>
      </c>
      <c r="I3705" t="s">
        <v>18376</v>
      </c>
      <c r="J3705" t="s">
        <v>18377</v>
      </c>
      <c r="L3705" t="s">
        <v>14440</v>
      </c>
      <c r="P3705" t="s">
        <v>27</v>
      </c>
      <c r="Y3705" t="s">
        <v>18379</v>
      </c>
    </row>
    <row r="3706" spans="1:25" x14ac:dyDescent="0.25">
      <c r="A3706" t="str">
        <f>"1396850109"</f>
        <v>1396850109</v>
      </c>
      <c r="B3706" t="s">
        <v>1046</v>
      </c>
      <c r="C3706" t="s">
        <v>3497</v>
      </c>
      <c r="D3706" t="s">
        <v>15643</v>
      </c>
      <c r="E3706">
        <v>424019</v>
      </c>
      <c r="F3706" t="s">
        <v>1</v>
      </c>
      <c r="G3706" t="s">
        <v>2</v>
      </c>
      <c r="H3706" t="s">
        <v>16472</v>
      </c>
      <c r="I3706" t="s">
        <v>18380</v>
      </c>
      <c r="P3706" t="s">
        <v>330</v>
      </c>
      <c r="Y3706" t="s">
        <v>18381</v>
      </c>
    </row>
    <row r="3707" spans="1:25" x14ac:dyDescent="0.25">
      <c r="A3707" t="str">
        <f>"1396852009"</f>
        <v>1396852009</v>
      </c>
      <c r="B3707" t="s">
        <v>18386</v>
      </c>
      <c r="C3707" t="s">
        <v>18387</v>
      </c>
      <c r="D3707" t="s">
        <v>18382</v>
      </c>
      <c r="E3707">
        <v>424000</v>
      </c>
      <c r="F3707" t="s">
        <v>1</v>
      </c>
      <c r="G3707" t="s">
        <v>2</v>
      </c>
      <c r="H3707" t="s">
        <v>9103</v>
      </c>
      <c r="I3707" t="s">
        <v>18383</v>
      </c>
      <c r="L3707" t="s">
        <v>18384</v>
      </c>
      <c r="M3707" t="s">
        <v>18385</v>
      </c>
      <c r="P3707" t="s">
        <v>2839</v>
      </c>
      <c r="Y3707" t="s">
        <v>9106</v>
      </c>
    </row>
    <row r="3708" spans="1:25" x14ac:dyDescent="0.25">
      <c r="A3708" t="str">
        <f>"1396955573"</f>
        <v>1396955573</v>
      </c>
      <c r="B3708" t="s">
        <v>123</v>
      </c>
      <c r="C3708" t="s">
        <v>424</v>
      </c>
      <c r="D3708" t="s">
        <v>18388</v>
      </c>
      <c r="E3708">
        <v>424038</v>
      </c>
      <c r="F3708" t="s">
        <v>1</v>
      </c>
      <c r="G3708" t="s">
        <v>2</v>
      </c>
      <c r="H3708" t="s">
        <v>18389</v>
      </c>
      <c r="I3708" t="s">
        <v>18390</v>
      </c>
      <c r="L3708" t="s">
        <v>3631</v>
      </c>
      <c r="P3708" t="s">
        <v>425</v>
      </c>
      <c r="Y3708" t="s">
        <v>18391</v>
      </c>
    </row>
    <row r="3709" spans="1:25" x14ac:dyDescent="0.25">
      <c r="A3709" t="str">
        <f>"1397253122"</f>
        <v>1397253122</v>
      </c>
      <c r="B3709" t="s">
        <v>482</v>
      </c>
      <c r="C3709" t="s">
        <v>9754</v>
      </c>
      <c r="D3709" t="s">
        <v>18392</v>
      </c>
      <c r="F3709" t="s">
        <v>1</v>
      </c>
      <c r="G3709" t="s">
        <v>2</v>
      </c>
      <c r="H3709" t="s">
        <v>15700</v>
      </c>
      <c r="I3709" t="s">
        <v>18393</v>
      </c>
      <c r="P3709" t="s">
        <v>27</v>
      </c>
      <c r="Y3709" t="s">
        <v>18394</v>
      </c>
    </row>
    <row r="3710" spans="1:25" x14ac:dyDescent="0.25">
      <c r="A3710" t="str">
        <f>"1397299728"</f>
        <v>1397299728</v>
      </c>
      <c r="B3710" t="s">
        <v>1262</v>
      </c>
      <c r="C3710" t="s">
        <v>18398</v>
      </c>
      <c r="D3710" t="s">
        <v>12461</v>
      </c>
      <c r="E3710">
        <v>424033</v>
      </c>
      <c r="F3710" t="s">
        <v>1</v>
      </c>
      <c r="G3710" t="s">
        <v>2</v>
      </c>
      <c r="H3710" t="s">
        <v>5916</v>
      </c>
      <c r="I3710" t="s">
        <v>18395</v>
      </c>
      <c r="L3710" t="s">
        <v>18396</v>
      </c>
      <c r="M3710" t="s">
        <v>18397</v>
      </c>
      <c r="P3710" t="s">
        <v>27</v>
      </c>
      <c r="Y3710" t="s">
        <v>5918</v>
      </c>
    </row>
    <row r="3711" spans="1:25" x14ac:dyDescent="0.25">
      <c r="A3711" t="str">
        <f>"1397351171"</f>
        <v>1397351171</v>
      </c>
      <c r="B3711" t="s">
        <v>1053</v>
      </c>
      <c r="C3711" t="s">
        <v>18402</v>
      </c>
      <c r="D3711" t="s">
        <v>18399</v>
      </c>
      <c r="E3711">
        <v>424006</v>
      </c>
      <c r="F3711" t="s">
        <v>1</v>
      </c>
      <c r="G3711" t="s">
        <v>2</v>
      </c>
      <c r="H3711" t="s">
        <v>2012</v>
      </c>
      <c r="I3711" t="s">
        <v>18400</v>
      </c>
      <c r="J3711" t="s">
        <v>18401</v>
      </c>
      <c r="P3711" t="s">
        <v>18403</v>
      </c>
      <c r="Y3711" t="s">
        <v>2016</v>
      </c>
    </row>
    <row r="3712" spans="1:25" x14ac:dyDescent="0.25">
      <c r="A3712" t="str">
        <f>"1397438294"</f>
        <v>1397438294</v>
      </c>
      <c r="B3712" t="s">
        <v>456</v>
      </c>
      <c r="C3712" t="s">
        <v>18409</v>
      </c>
      <c r="D3712" t="s">
        <v>18404</v>
      </c>
      <c r="E3712">
        <v>424007</v>
      </c>
      <c r="F3712" t="s">
        <v>1</v>
      </c>
      <c r="G3712" t="s">
        <v>2</v>
      </c>
      <c r="H3712" t="s">
        <v>18405</v>
      </c>
      <c r="I3712" t="s">
        <v>18406</v>
      </c>
      <c r="L3712" t="s">
        <v>18407</v>
      </c>
      <c r="M3712" t="s">
        <v>18408</v>
      </c>
      <c r="P3712" t="s">
        <v>18410</v>
      </c>
      <c r="Y3712" t="s">
        <v>16603</v>
      </c>
    </row>
    <row r="3713" spans="1:25" x14ac:dyDescent="0.25">
      <c r="A3713" t="str">
        <f>"1397563482"</f>
        <v>1397563482</v>
      </c>
      <c r="B3713" t="s">
        <v>3700</v>
      </c>
      <c r="C3713" t="s">
        <v>4023</v>
      </c>
      <c r="D3713" t="s">
        <v>18411</v>
      </c>
      <c r="E3713">
        <v>424019</v>
      </c>
      <c r="F3713" t="s">
        <v>1</v>
      </c>
      <c r="G3713" t="s">
        <v>2</v>
      </c>
      <c r="H3713" t="s">
        <v>9271</v>
      </c>
      <c r="I3713" t="s">
        <v>18412</v>
      </c>
      <c r="P3713" t="s">
        <v>330</v>
      </c>
      <c r="Y3713" t="s">
        <v>18413</v>
      </c>
    </row>
    <row r="3714" spans="1:25" x14ac:dyDescent="0.25">
      <c r="A3714" t="str">
        <f>"1397603614"</f>
        <v>1397603614</v>
      </c>
      <c r="B3714" t="s">
        <v>32</v>
      </c>
      <c r="C3714" t="s">
        <v>182</v>
      </c>
      <c r="D3714" t="s">
        <v>18414</v>
      </c>
      <c r="E3714">
        <v>424008</v>
      </c>
      <c r="F3714" t="s">
        <v>1</v>
      </c>
      <c r="G3714" t="s">
        <v>2</v>
      </c>
      <c r="H3714" t="s">
        <v>18415</v>
      </c>
      <c r="P3714" t="s">
        <v>18416</v>
      </c>
      <c r="Q3714" t="s">
        <v>18417</v>
      </c>
      <c r="Y3714" t="s">
        <v>18418</v>
      </c>
    </row>
    <row r="3715" spans="1:25" x14ac:dyDescent="0.25">
      <c r="A3715" t="str">
        <f>"1397640116"</f>
        <v>1397640116</v>
      </c>
      <c r="B3715" t="s">
        <v>151</v>
      </c>
      <c r="C3715" t="s">
        <v>18424</v>
      </c>
      <c r="D3715" t="s">
        <v>18419</v>
      </c>
      <c r="E3715">
        <v>424031</v>
      </c>
      <c r="F3715" t="s">
        <v>1</v>
      </c>
      <c r="G3715" t="s">
        <v>2</v>
      </c>
      <c r="H3715" t="s">
        <v>239</v>
      </c>
      <c r="I3715" t="s">
        <v>18420</v>
      </c>
      <c r="J3715" t="s">
        <v>18421</v>
      </c>
      <c r="L3715" t="s">
        <v>18422</v>
      </c>
      <c r="M3715" t="s">
        <v>18423</v>
      </c>
      <c r="P3715" t="s">
        <v>260</v>
      </c>
      <c r="Y3715" t="s">
        <v>246</v>
      </c>
    </row>
    <row r="3716" spans="1:25" x14ac:dyDescent="0.25">
      <c r="A3716" t="str">
        <f>"1397714621"</f>
        <v>1397714621</v>
      </c>
      <c r="B3716" t="s">
        <v>1352</v>
      </c>
      <c r="C3716" t="s">
        <v>1353</v>
      </c>
      <c r="D3716" t="s">
        <v>18425</v>
      </c>
      <c r="E3716">
        <v>424019</v>
      </c>
      <c r="F3716" t="s">
        <v>1</v>
      </c>
      <c r="G3716" t="s">
        <v>2</v>
      </c>
      <c r="H3716" t="s">
        <v>7785</v>
      </c>
      <c r="I3716" t="s">
        <v>18426</v>
      </c>
      <c r="P3716" t="s">
        <v>98</v>
      </c>
      <c r="Y3716" t="s">
        <v>18427</v>
      </c>
    </row>
    <row r="3717" spans="1:25" x14ac:dyDescent="0.25">
      <c r="A3717" t="str">
        <f>"1397761808"</f>
        <v>1397761808</v>
      </c>
      <c r="B3717" t="s">
        <v>1758</v>
      </c>
      <c r="C3717" t="s">
        <v>7867</v>
      </c>
      <c r="D3717" t="s">
        <v>18428</v>
      </c>
      <c r="E3717">
        <v>424016</v>
      </c>
      <c r="F3717" t="s">
        <v>1</v>
      </c>
      <c r="G3717" t="s">
        <v>2</v>
      </c>
      <c r="H3717" t="s">
        <v>18429</v>
      </c>
      <c r="J3717" t="s">
        <v>18430</v>
      </c>
      <c r="P3717" t="s">
        <v>1760</v>
      </c>
      <c r="Y3717" t="s">
        <v>18431</v>
      </c>
    </row>
    <row r="3718" spans="1:25" x14ac:dyDescent="0.25">
      <c r="A3718" t="str">
        <f>"1397804971"</f>
        <v>1397804971</v>
      </c>
      <c r="B3718" t="s">
        <v>3573</v>
      </c>
      <c r="C3718" t="s">
        <v>5816</v>
      </c>
      <c r="D3718" t="s">
        <v>18432</v>
      </c>
      <c r="E3718">
        <v>424006</v>
      </c>
      <c r="F3718" t="s">
        <v>1</v>
      </c>
      <c r="G3718" t="s">
        <v>2</v>
      </c>
      <c r="H3718" t="s">
        <v>478</v>
      </c>
      <c r="I3718" t="s">
        <v>18433</v>
      </c>
      <c r="J3718" t="s">
        <v>18434</v>
      </c>
      <c r="L3718" t="s">
        <v>18435</v>
      </c>
      <c r="M3718" t="s">
        <v>18436</v>
      </c>
      <c r="P3718" t="s">
        <v>458</v>
      </c>
      <c r="Y3718" t="s">
        <v>926</v>
      </c>
    </row>
    <row r="3719" spans="1:25" x14ac:dyDescent="0.25">
      <c r="A3719" t="str">
        <f>"1397809863"</f>
        <v>1397809863</v>
      </c>
      <c r="B3719" t="s">
        <v>123</v>
      </c>
      <c r="C3719" t="s">
        <v>18438</v>
      </c>
      <c r="D3719" t="s">
        <v>13583</v>
      </c>
      <c r="E3719">
        <v>424003</v>
      </c>
      <c r="F3719" t="s">
        <v>1</v>
      </c>
      <c r="G3719" t="s">
        <v>2</v>
      </c>
      <c r="H3719" t="s">
        <v>775</v>
      </c>
      <c r="J3719" t="s">
        <v>18437</v>
      </c>
      <c r="P3719" t="s">
        <v>216</v>
      </c>
      <c r="Y3719" t="s">
        <v>6686</v>
      </c>
    </row>
    <row r="3720" spans="1:25" x14ac:dyDescent="0.25">
      <c r="A3720" t="str">
        <f>"1397909042"</f>
        <v>1397909042</v>
      </c>
      <c r="B3720" t="s">
        <v>1552</v>
      </c>
      <c r="C3720" t="s">
        <v>18441</v>
      </c>
      <c r="D3720" t="s">
        <v>18439</v>
      </c>
      <c r="E3720">
        <v>424006</v>
      </c>
      <c r="F3720" t="s">
        <v>1</v>
      </c>
      <c r="G3720" t="s">
        <v>2</v>
      </c>
      <c r="H3720" t="s">
        <v>1645</v>
      </c>
      <c r="I3720" t="s">
        <v>18440</v>
      </c>
      <c r="Y3720" t="s">
        <v>4478</v>
      </c>
    </row>
    <row r="3721" spans="1:25" x14ac:dyDescent="0.25">
      <c r="A3721" t="str">
        <f>"1397941266"</f>
        <v>1397941266</v>
      </c>
      <c r="B3721" t="s">
        <v>176</v>
      </c>
      <c r="C3721" t="s">
        <v>4741</v>
      </c>
      <c r="D3721" t="s">
        <v>17866</v>
      </c>
      <c r="E3721">
        <v>424037</v>
      </c>
      <c r="F3721" t="s">
        <v>1</v>
      </c>
      <c r="G3721" t="s">
        <v>2</v>
      </c>
      <c r="H3721" t="s">
        <v>18442</v>
      </c>
      <c r="I3721" t="s">
        <v>18443</v>
      </c>
      <c r="P3721" t="s">
        <v>18444</v>
      </c>
      <c r="Y3721" t="s">
        <v>18445</v>
      </c>
    </row>
    <row r="3722" spans="1:25" x14ac:dyDescent="0.25">
      <c r="A3722" t="str">
        <f>"1397941662"</f>
        <v>1397941662</v>
      </c>
      <c r="B3722" t="s">
        <v>18</v>
      </c>
      <c r="C3722" t="s">
        <v>2171</v>
      </c>
      <c r="D3722" t="s">
        <v>18446</v>
      </c>
      <c r="E3722">
        <v>424006</v>
      </c>
      <c r="F3722" t="s">
        <v>1</v>
      </c>
      <c r="G3722" t="s">
        <v>2</v>
      </c>
      <c r="H3722" t="s">
        <v>751</v>
      </c>
      <c r="I3722" t="s">
        <v>18447</v>
      </c>
      <c r="J3722" t="s">
        <v>18448</v>
      </c>
      <c r="P3722" t="s">
        <v>1160</v>
      </c>
      <c r="Y3722" t="s">
        <v>755</v>
      </c>
    </row>
    <row r="3723" spans="1:25" x14ac:dyDescent="0.25">
      <c r="A3723" t="str">
        <f>"1397968122"</f>
        <v>1397968122</v>
      </c>
      <c r="B3723" t="s">
        <v>417</v>
      </c>
      <c r="C3723" t="s">
        <v>418</v>
      </c>
      <c r="D3723" t="s">
        <v>18449</v>
      </c>
      <c r="E3723">
        <v>424000</v>
      </c>
      <c r="F3723" t="s">
        <v>1</v>
      </c>
      <c r="G3723" t="s">
        <v>2</v>
      </c>
      <c r="H3723" t="s">
        <v>3471</v>
      </c>
      <c r="I3723" t="s">
        <v>18450</v>
      </c>
      <c r="L3723" t="s">
        <v>18451</v>
      </c>
      <c r="M3723" t="s">
        <v>18452</v>
      </c>
      <c r="P3723" t="s">
        <v>381</v>
      </c>
      <c r="Y3723" t="s">
        <v>18453</v>
      </c>
    </row>
    <row r="3724" spans="1:25" x14ac:dyDescent="0.25">
      <c r="A3724" t="str">
        <f>"1398048885"</f>
        <v>1398048885</v>
      </c>
      <c r="B3724" t="s">
        <v>88</v>
      </c>
      <c r="C3724" t="s">
        <v>8056</v>
      </c>
      <c r="D3724" t="s">
        <v>18454</v>
      </c>
      <c r="E3724">
        <v>424002</v>
      </c>
      <c r="F3724" t="s">
        <v>1</v>
      </c>
      <c r="G3724" t="s">
        <v>2</v>
      </c>
      <c r="H3724" t="s">
        <v>744</v>
      </c>
      <c r="J3724" t="s">
        <v>18455</v>
      </c>
      <c r="P3724" t="s">
        <v>748</v>
      </c>
      <c r="Y3724" t="s">
        <v>749</v>
      </c>
    </row>
    <row r="3725" spans="1:25" x14ac:dyDescent="0.25">
      <c r="A3725" t="str">
        <f>"1398049708"</f>
        <v>1398049708</v>
      </c>
      <c r="B3725" t="s">
        <v>797</v>
      </c>
      <c r="C3725" t="s">
        <v>5123</v>
      </c>
      <c r="D3725" t="s">
        <v>18456</v>
      </c>
      <c r="E3725">
        <v>424004</v>
      </c>
      <c r="F3725" t="s">
        <v>1</v>
      </c>
      <c r="G3725" t="s">
        <v>2</v>
      </c>
      <c r="H3725" t="s">
        <v>3489</v>
      </c>
      <c r="I3725" t="s">
        <v>18457</v>
      </c>
      <c r="P3725" t="s">
        <v>18458</v>
      </c>
      <c r="Y3725" t="s">
        <v>18459</v>
      </c>
    </row>
    <row r="3726" spans="1:25" x14ac:dyDescent="0.25">
      <c r="A3726" t="str">
        <f>"1398049855"</f>
        <v>1398049855</v>
      </c>
      <c r="B3726" t="s">
        <v>1573</v>
      </c>
      <c r="C3726" t="s">
        <v>11913</v>
      </c>
      <c r="D3726" t="s">
        <v>18460</v>
      </c>
      <c r="E3726">
        <v>424007</v>
      </c>
      <c r="F3726" t="s">
        <v>1</v>
      </c>
      <c r="G3726" t="s">
        <v>2</v>
      </c>
      <c r="H3726" t="s">
        <v>6794</v>
      </c>
      <c r="I3726" t="s">
        <v>18461</v>
      </c>
      <c r="P3726" t="s">
        <v>280</v>
      </c>
      <c r="Y3726" t="s">
        <v>18462</v>
      </c>
    </row>
    <row r="3727" spans="1:25" x14ac:dyDescent="0.25">
      <c r="A3727" t="str">
        <f>"1398123415"</f>
        <v>1398123415</v>
      </c>
      <c r="B3727" t="s">
        <v>123</v>
      </c>
      <c r="C3727" t="s">
        <v>18438</v>
      </c>
      <c r="D3727" t="s">
        <v>18463</v>
      </c>
      <c r="E3727">
        <v>424007</v>
      </c>
      <c r="F3727" t="s">
        <v>1</v>
      </c>
      <c r="G3727" t="s">
        <v>2</v>
      </c>
      <c r="H3727" t="s">
        <v>1319</v>
      </c>
      <c r="I3727" t="s">
        <v>18464</v>
      </c>
      <c r="P3727" t="s">
        <v>1760</v>
      </c>
      <c r="Y3727" t="s">
        <v>18465</v>
      </c>
    </row>
    <row r="3728" spans="1:25" x14ac:dyDescent="0.25">
      <c r="A3728" t="str">
        <f>"1398151037"</f>
        <v>1398151037</v>
      </c>
      <c r="B3728" t="s">
        <v>7</v>
      </c>
      <c r="C3728" t="s">
        <v>8238</v>
      </c>
      <c r="D3728" t="s">
        <v>18466</v>
      </c>
      <c r="E3728">
        <v>424028</v>
      </c>
      <c r="F3728" t="s">
        <v>1</v>
      </c>
      <c r="G3728" t="s">
        <v>2</v>
      </c>
      <c r="H3728" t="s">
        <v>18467</v>
      </c>
      <c r="I3728" t="s">
        <v>18468</v>
      </c>
      <c r="M3728" t="s">
        <v>18469</v>
      </c>
      <c r="P3728" t="s">
        <v>27</v>
      </c>
      <c r="Y3728" t="s">
        <v>18470</v>
      </c>
    </row>
    <row r="3729" spans="1:25" x14ac:dyDescent="0.25">
      <c r="A3729" t="str">
        <f>"1398159866"</f>
        <v>1398159866</v>
      </c>
      <c r="B3729" t="s">
        <v>417</v>
      </c>
      <c r="C3729" t="s">
        <v>418</v>
      </c>
      <c r="D3729" t="s">
        <v>18471</v>
      </c>
      <c r="E3729">
        <v>424033</v>
      </c>
      <c r="F3729" t="s">
        <v>1</v>
      </c>
      <c r="G3729" t="s">
        <v>2</v>
      </c>
      <c r="H3729" t="s">
        <v>18472</v>
      </c>
      <c r="I3729" t="s">
        <v>18473</v>
      </c>
      <c r="L3729" t="s">
        <v>18474</v>
      </c>
      <c r="M3729" t="s">
        <v>18475</v>
      </c>
      <c r="P3729" t="s">
        <v>18476</v>
      </c>
      <c r="Q3729" t="s">
        <v>18477</v>
      </c>
      <c r="T3729" t="s">
        <v>18478</v>
      </c>
      <c r="V3729" t="s">
        <v>18479</v>
      </c>
      <c r="Y3729" t="s">
        <v>18480</v>
      </c>
    </row>
    <row r="3730" spans="1:25" x14ac:dyDescent="0.25">
      <c r="A3730" t="str">
        <f>"1398269597"</f>
        <v>1398269597</v>
      </c>
      <c r="B3730" t="s">
        <v>1222</v>
      </c>
      <c r="C3730" t="s">
        <v>2114</v>
      </c>
      <c r="D3730" t="s">
        <v>18481</v>
      </c>
      <c r="E3730">
        <v>424033</v>
      </c>
      <c r="F3730" t="s">
        <v>1</v>
      </c>
      <c r="G3730" t="s">
        <v>2</v>
      </c>
      <c r="H3730" t="s">
        <v>4244</v>
      </c>
      <c r="I3730" t="s">
        <v>18482</v>
      </c>
      <c r="P3730" t="s">
        <v>330</v>
      </c>
      <c r="Y3730" t="s">
        <v>11374</v>
      </c>
    </row>
    <row r="3731" spans="1:25" x14ac:dyDescent="0.25">
      <c r="A3731" t="str">
        <f>"1398360900"</f>
        <v>1398360900</v>
      </c>
      <c r="B3731" t="s">
        <v>18</v>
      </c>
      <c r="C3731" t="s">
        <v>1419</v>
      </c>
      <c r="D3731" t="s">
        <v>5691</v>
      </c>
      <c r="E3731">
        <v>424008</v>
      </c>
      <c r="F3731" t="s">
        <v>1</v>
      </c>
      <c r="G3731" t="s">
        <v>2</v>
      </c>
      <c r="H3731" t="s">
        <v>18483</v>
      </c>
      <c r="I3731" t="s">
        <v>18484</v>
      </c>
      <c r="L3731" t="s">
        <v>5694</v>
      </c>
      <c r="M3731" t="s">
        <v>5695</v>
      </c>
      <c r="P3731" t="s">
        <v>27</v>
      </c>
      <c r="Q3731" t="s">
        <v>5696</v>
      </c>
      <c r="Y3731" t="s">
        <v>18485</v>
      </c>
    </row>
    <row r="3732" spans="1:25" x14ac:dyDescent="0.25">
      <c r="A3732" t="str">
        <f>"1398391332"</f>
        <v>1398391332</v>
      </c>
      <c r="B3732" t="s">
        <v>151</v>
      </c>
      <c r="C3732" t="s">
        <v>1034</v>
      </c>
      <c r="D3732" t="s">
        <v>18486</v>
      </c>
      <c r="F3732" t="s">
        <v>1</v>
      </c>
      <c r="G3732" t="s">
        <v>2</v>
      </c>
      <c r="H3732" t="s">
        <v>2018</v>
      </c>
      <c r="I3732" t="s">
        <v>18487</v>
      </c>
      <c r="J3732" t="s">
        <v>18488</v>
      </c>
      <c r="P3732" t="s">
        <v>2020</v>
      </c>
      <c r="Y3732" t="s">
        <v>18489</v>
      </c>
    </row>
    <row r="3733" spans="1:25" x14ac:dyDescent="0.25">
      <c r="A3733" t="str">
        <f>"1398429294"</f>
        <v>1398429294</v>
      </c>
      <c r="B3733" t="s">
        <v>430</v>
      </c>
      <c r="C3733" t="s">
        <v>940</v>
      </c>
      <c r="D3733" t="s">
        <v>18490</v>
      </c>
      <c r="E3733">
        <v>424028</v>
      </c>
      <c r="F3733" t="s">
        <v>1</v>
      </c>
      <c r="G3733" t="s">
        <v>2</v>
      </c>
      <c r="H3733" t="s">
        <v>3628</v>
      </c>
      <c r="I3733" t="s">
        <v>18491</v>
      </c>
      <c r="P3733" t="s">
        <v>2561</v>
      </c>
      <c r="Y3733" t="s">
        <v>6934</v>
      </c>
    </row>
    <row r="3734" spans="1:25" x14ac:dyDescent="0.25">
      <c r="A3734" t="str">
        <f>"1398456280"</f>
        <v>1398456280</v>
      </c>
      <c r="B3734" t="s">
        <v>2178</v>
      </c>
      <c r="C3734" t="s">
        <v>2179</v>
      </c>
      <c r="D3734" t="s">
        <v>18492</v>
      </c>
      <c r="E3734">
        <v>424007</v>
      </c>
      <c r="F3734" t="s">
        <v>1</v>
      </c>
      <c r="G3734" t="s">
        <v>2</v>
      </c>
      <c r="H3734" t="s">
        <v>11589</v>
      </c>
      <c r="I3734" t="s">
        <v>18493</v>
      </c>
      <c r="P3734" t="s">
        <v>14945</v>
      </c>
      <c r="Y3734" t="s">
        <v>18494</v>
      </c>
    </row>
    <row r="3735" spans="1:25" x14ac:dyDescent="0.25">
      <c r="A3735" t="str">
        <f>"1398491698"</f>
        <v>1398491698</v>
      </c>
      <c r="B3735" t="s">
        <v>290</v>
      </c>
      <c r="C3735" t="s">
        <v>290</v>
      </c>
      <c r="D3735" t="s">
        <v>18495</v>
      </c>
      <c r="E3735">
        <v>424006</v>
      </c>
      <c r="F3735" t="s">
        <v>1</v>
      </c>
      <c r="G3735" t="s">
        <v>2</v>
      </c>
      <c r="H3735" t="s">
        <v>5886</v>
      </c>
      <c r="I3735" t="s">
        <v>18496</v>
      </c>
      <c r="P3735" t="s">
        <v>2513</v>
      </c>
      <c r="Y3735" t="s">
        <v>18497</v>
      </c>
    </row>
    <row r="3736" spans="1:25" x14ac:dyDescent="0.25">
      <c r="A3736" t="str">
        <f>"1398537723"</f>
        <v>1398537723</v>
      </c>
      <c r="B3736" t="s">
        <v>3700</v>
      </c>
      <c r="C3736" t="s">
        <v>18500</v>
      </c>
      <c r="D3736" t="s">
        <v>18498</v>
      </c>
      <c r="E3736">
        <v>424002</v>
      </c>
      <c r="F3736" t="s">
        <v>1</v>
      </c>
      <c r="G3736" t="s">
        <v>2</v>
      </c>
      <c r="H3736" t="s">
        <v>2507</v>
      </c>
      <c r="I3736" t="s">
        <v>18499</v>
      </c>
      <c r="P3736" t="s">
        <v>330</v>
      </c>
      <c r="Y3736" t="s">
        <v>18501</v>
      </c>
    </row>
    <row r="3737" spans="1:25" x14ac:dyDescent="0.25">
      <c r="A3737" t="str">
        <f>"1398686480"</f>
        <v>1398686480</v>
      </c>
      <c r="B3737" t="s">
        <v>574</v>
      </c>
      <c r="C3737" t="s">
        <v>3332</v>
      </c>
      <c r="D3737" t="s">
        <v>18502</v>
      </c>
      <c r="E3737">
        <v>424038</v>
      </c>
      <c r="F3737" t="s">
        <v>1</v>
      </c>
      <c r="G3737" t="s">
        <v>2</v>
      </c>
      <c r="H3737" t="s">
        <v>14026</v>
      </c>
      <c r="L3737" t="s">
        <v>18503</v>
      </c>
      <c r="M3737" t="s">
        <v>18504</v>
      </c>
      <c r="P3737" t="s">
        <v>18505</v>
      </c>
      <c r="Q3737" t="s">
        <v>18506</v>
      </c>
      <c r="R3737" t="s">
        <v>18507</v>
      </c>
      <c r="T3737" t="s">
        <v>18508</v>
      </c>
      <c r="V3737" t="s">
        <v>18509</v>
      </c>
      <c r="Y3737" t="s">
        <v>18510</v>
      </c>
    </row>
    <row r="3738" spans="1:25" x14ac:dyDescent="0.25">
      <c r="A3738" t="str">
        <f>"1398758729"</f>
        <v>1398758729</v>
      </c>
      <c r="B3738" t="s">
        <v>32</v>
      </c>
      <c r="C3738" t="s">
        <v>40</v>
      </c>
      <c r="D3738" t="s">
        <v>18511</v>
      </c>
      <c r="E3738">
        <v>424033</v>
      </c>
      <c r="F3738" t="s">
        <v>1</v>
      </c>
      <c r="G3738" t="s">
        <v>2</v>
      </c>
      <c r="H3738" t="s">
        <v>4357</v>
      </c>
      <c r="I3738" t="s">
        <v>18512</v>
      </c>
      <c r="P3738" t="s">
        <v>2731</v>
      </c>
      <c r="Y3738" t="s">
        <v>9977</v>
      </c>
    </row>
    <row r="3739" spans="1:25" x14ac:dyDescent="0.25">
      <c r="A3739" t="str">
        <f>"1398846800"</f>
        <v>1398846800</v>
      </c>
      <c r="B3739" t="s">
        <v>348</v>
      </c>
      <c r="C3739" t="s">
        <v>4252</v>
      </c>
      <c r="D3739" t="s">
        <v>18513</v>
      </c>
      <c r="E3739">
        <v>424003</v>
      </c>
      <c r="F3739" t="s">
        <v>1</v>
      </c>
      <c r="G3739" t="s">
        <v>2</v>
      </c>
      <c r="H3739" t="s">
        <v>3459</v>
      </c>
      <c r="I3739" t="s">
        <v>18514</v>
      </c>
      <c r="P3739" t="s">
        <v>27</v>
      </c>
      <c r="Y3739" t="s">
        <v>17344</v>
      </c>
    </row>
    <row r="3740" spans="1:25" x14ac:dyDescent="0.25">
      <c r="A3740" t="str">
        <f>"1398972292"</f>
        <v>1398972292</v>
      </c>
      <c r="B3740" t="s">
        <v>703</v>
      </c>
      <c r="C3740" t="s">
        <v>2129</v>
      </c>
      <c r="D3740" t="s">
        <v>18515</v>
      </c>
      <c r="E3740">
        <v>424026</v>
      </c>
      <c r="F3740" t="s">
        <v>1</v>
      </c>
      <c r="G3740" t="s">
        <v>2</v>
      </c>
      <c r="H3740" t="s">
        <v>6605</v>
      </c>
      <c r="I3740" t="s">
        <v>18516</v>
      </c>
      <c r="P3740" t="s">
        <v>17660</v>
      </c>
      <c r="Y3740" t="s">
        <v>6611</v>
      </c>
    </row>
    <row r="3741" spans="1:25" x14ac:dyDescent="0.25">
      <c r="A3741" t="str">
        <f>"1398985910"</f>
        <v>1398985910</v>
      </c>
      <c r="B3741" t="s">
        <v>1152</v>
      </c>
      <c r="C3741" t="s">
        <v>1152</v>
      </c>
      <c r="D3741" t="s">
        <v>1302</v>
      </c>
      <c r="E3741">
        <v>424000</v>
      </c>
      <c r="F3741" t="s">
        <v>1</v>
      </c>
      <c r="G3741" t="s">
        <v>2</v>
      </c>
      <c r="H3741" t="s">
        <v>837</v>
      </c>
      <c r="I3741" t="s">
        <v>16595</v>
      </c>
      <c r="M3741" t="s">
        <v>18517</v>
      </c>
      <c r="P3741" t="s">
        <v>2050</v>
      </c>
      <c r="Y3741" t="s">
        <v>2964</v>
      </c>
    </row>
    <row r="3742" spans="1:25" x14ac:dyDescent="0.25">
      <c r="A3742" t="str">
        <f>"1399033865"</f>
        <v>1399033865</v>
      </c>
      <c r="B3742" t="s">
        <v>18</v>
      </c>
      <c r="C3742" t="s">
        <v>18521</v>
      </c>
      <c r="D3742" t="s">
        <v>18518</v>
      </c>
      <c r="E3742">
        <v>424006</v>
      </c>
      <c r="F3742" t="s">
        <v>1</v>
      </c>
      <c r="G3742" t="s">
        <v>2</v>
      </c>
      <c r="H3742" t="s">
        <v>2012</v>
      </c>
      <c r="I3742" t="s">
        <v>18519</v>
      </c>
      <c r="M3742" t="s">
        <v>18520</v>
      </c>
      <c r="P3742" t="s">
        <v>20</v>
      </c>
      <c r="Y3742" t="s">
        <v>2016</v>
      </c>
    </row>
    <row r="3743" spans="1:25" x14ac:dyDescent="0.25">
      <c r="A3743" t="str">
        <f>"1399059522"</f>
        <v>1399059522</v>
      </c>
      <c r="B3743" t="s">
        <v>482</v>
      </c>
      <c r="C3743" t="s">
        <v>9754</v>
      </c>
      <c r="D3743" t="s">
        <v>18522</v>
      </c>
      <c r="E3743">
        <v>424004</v>
      </c>
      <c r="F3743" t="s">
        <v>1</v>
      </c>
      <c r="G3743" t="s">
        <v>2</v>
      </c>
      <c r="H3743" t="s">
        <v>8326</v>
      </c>
      <c r="I3743" t="s">
        <v>18523</v>
      </c>
      <c r="L3743" t="s">
        <v>18524</v>
      </c>
      <c r="M3743" t="s">
        <v>18525</v>
      </c>
      <c r="P3743" t="s">
        <v>27</v>
      </c>
      <c r="Q3743" t="s">
        <v>18526</v>
      </c>
      <c r="T3743" t="s">
        <v>18527</v>
      </c>
      <c r="V3743" t="s">
        <v>18528</v>
      </c>
      <c r="Y3743" t="s">
        <v>18529</v>
      </c>
    </row>
    <row r="3744" spans="1:25" x14ac:dyDescent="0.25">
      <c r="A3744" t="str">
        <f>"1399193151"</f>
        <v>1399193151</v>
      </c>
      <c r="B3744" t="s">
        <v>1391</v>
      </c>
      <c r="C3744" t="s">
        <v>1392</v>
      </c>
      <c r="D3744" t="s">
        <v>10573</v>
      </c>
      <c r="E3744">
        <v>424003</v>
      </c>
      <c r="F3744" t="s">
        <v>1</v>
      </c>
      <c r="G3744" t="s">
        <v>2</v>
      </c>
      <c r="H3744" t="s">
        <v>12674</v>
      </c>
      <c r="I3744" t="s">
        <v>18530</v>
      </c>
      <c r="L3744" t="s">
        <v>16920</v>
      </c>
      <c r="M3744" t="s">
        <v>18531</v>
      </c>
      <c r="P3744" t="s">
        <v>20</v>
      </c>
      <c r="Y3744" t="s">
        <v>18532</v>
      </c>
    </row>
    <row r="3745" spans="1:25" x14ac:dyDescent="0.25">
      <c r="A3745" t="str">
        <f>"1399394540"</f>
        <v>1399394540</v>
      </c>
      <c r="B3745" t="s">
        <v>32</v>
      </c>
      <c r="C3745" t="s">
        <v>18535</v>
      </c>
      <c r="D3745" t="s">
        <v>18533</v>
      </c>
      <c r="E3745">
        <v>424038</v>
      </c>
      <c r="F3745" t="s">
        <v>1</v>
      </c>
      <c r="G3745" t="s">
        <v>2</v>
      </c>
      <c r="H3745" t="s">
        <v>2614</v>
      </c>
      <c r="J3745" t="s">
        <v>18534</v>
      </c>
      <c r="P3745" t="s">
        <v>1213</v>
      </c>
      <c r="Y3745" t="s">
        <v>18536</v>
      </c>
    </row>
    <row r="3746" spans="1:25" x14ac:dyDescent="0.25">
      <c r="A3746" t="str">
        <f>"1399436292"</f>
        <v>1399436292</v>
      </c>
      <c r="B3746" t="s">
        <v>8011</v>
      </c>
      <c r="C3746" t="s">
        <v>18538</v>
      </c>
      <c r="D3746" t="s">
        <v>1815</v>
      </c>
      <c r="E3746">
        <v>424032</v>
      </c>
      <c r="F3746" t="s">
        <v>1</v>
      </c>
      <c r="G3746" t="s">
        <v>2</v>
      </c>
      <c r="H3746" t="s">
        <v>11081</v>
      </c>
      <c r="J3746" t="s">
        <v>18537</v>
      </c>
      <c r="P3746" t="s">
        <v>2438</v>
      </c>
      <c r="Y3746" t="s">
        <v>18539</v>
      </c>
    </row>
    <row r="3747" spans="1:25" x14ac:dyDescent="0.25">
      <c r="A3747" t="str">
        <f>"1399491519"</f>
        <v>1399491519</v>
      </c>
      <c r="B3747" t="s">
        <v>462</v>
      </c>
      <c r="C3747" t="s">
        <v>1140</v>
      </c>
      <c r="D3747" t="s">
        <v>18540</v>
      </c>
      <c r="E3747">
        <v>424030</v>
      </c>
      <c r="F3747" t="s">
        <v>1</v>
      </c>
      <c r="G3747" t="s">
        <v>2</v>
      </c>
      <c r="H3747" t="s">
        <v>18541</v>
      </c>
      <c r="J3747" t="s">
        <v>18542</v>
      </c>
      <c r="P3747" t="s">
        <v>340</v>
      </c>
      <c r="Y3747" t="s">
        <v>18543</v>
      </c>
    </row>
    <row r="3748" spans="1:25" x14ac:dyDescent="0.25">
      <c r="A3748" t="str">
        <f>"1399589570"</f>
        <v>1399589570</v>
      </c>
      <c r="B3748" t="s">
        <v>1053</v>
      </c>
      <c r="C3748" t="s">
        <v>1927</v>
      </c>
      <c r="D3748" t="s">
        <v>18544</v>
      </c>
      <c r="E3748">
        <v>424028</v>
      </c>
      <c r="F3748" t="s">
        <v>1</v>
      </c>
      <c r="G3748" t="s">
        <v>2</v>
      </c>
      <c r="H3748" t="s">
        <v>3237</v>
      </c>
      <c r="I3748" t="s">
        <v>3239</v>
      </c>
      <c r="P3748" t="s">
        <v>280</v>
      </c>
      <c r="Y3748" t="s">
        <v>3241</v>
      </c>
    </row>
    <row r="3749" spans="1:25" x14ac:dyDescent="0.25">
      <c r="A3749" t="str">
        <f>"1399633591"</f>
        <v>1399633591</v>
      </c>
      <c r="B3749" t="s">
        <v>1053</v>
      </c>
      <c r="C3749" t="s">
        <v>5528</v>
      </c>
      <c r="D3749" t="s">
        <v>18545</v>
      </c>
      <c r="E3749">
        <v>424004</v>
      </c>
      <c r="F3749" t="s">
        <v>1</v>
      </c>
      <c r="G3749" t="s">
        <v>2</v>
      </c>
      <c r="H3749" t="s">
        <v>351</v>
      </c>
      <c r="I3749" t="s">
        <v>18546</v>
      </c>
      <c r="L3749" t="s">
        <v>18547</v>
      </c>
      <c r="M3749" t="s">
        <v>18548</v>
      </c>
      <c r="P3749" t="s">
        <v>18549</v>
      </c>
      <c r="Q3749" t="s">
        <v>18550</v>
      </c>
      <c r="V3749" t="s">
        <v>18551</v>
      </c>
      <c r="Y3749" t="s">
        <v>18552</v>
      </c>
    </row>
    <row r="3750" spans="1:25" x14ac:dyDescent="0.25">
      <c r="A3750" t="str">
        <f>"1399644095"</f>
        <v>1399644095</v>
      </c>
      <c r="B3750" t="s">
        <v>123</v>
      </c>
      <c r="C3750" t="s">
        <v>196</v>
      </c>
      <c r="D3750" t="s">
        <v>18553</v>
      </c>
      <c r="E3750">
        <v>424007</v>
      </c>
      <c r="F3750" t="s">
        <v>1</v>
      </c>
      <c r="G3750" t="s">
        <v>2</v>
      </c>
      <c r="H3750" t="s">
        <v>18554</v>
      </c>
      <c r="I3750" t="s">
        <v>18555</v>
      </c>
      <c r="P3750" t="s">
        <v>330</v>
      </c>
      <c r="Y3750" t="s">
        <v>18556</v>
      </c>
    </row>
    <row r="3751" spans="1:25" x14ac:dyDescent="0.25">
      <c r="A3751" t="str">
        <f>"1399692213"</f>
        <v>1399692213</v>
      </c>
      <c r="B3751" t="s">
        <v>176</v>
      </c>
      <c r="C3751" t="s">
        <v>2838</v>
      </c>
      <c r="D3751" t="s">
        <v>18557</v>
      </c>
      <c r="F3751" t="s">
        <v>1</v>
      </c>
      <c r="G3751" t="s">
        <v>2</v>
      </c>
      <c r="H3751" t="s">
        <v>8822</v>
      </c>
      <c r="I3751" t="s">
        <v>18558</v>
      </c>
      <c r="J3751" t="s">
        <v>18559</v>
      </c>
      <c r="P3751" t="s">
        <v>3690</v>
      </c>
      <c r="Y3751" t="s">
        <v>10557</v>
      </c>
    </row>
    <row r="3752" spans="1:25" x14ac:dyDescent="0.25">
      <c r="A3752" t="str">
        <f>"1399718600"</f>
        <v>1399718600</v>
      </c>
      <c r="B3752" t="s">
        <v>18</v>
      </c>
      <c r="C3752" t="s">
        <v>18564</v>
      </c>
      <c r="D3752" t="s">
        <v>18560</v>
      </c>
      <c r="E3752">
        <v>424003</v>
      </c>
      <c r="F3752" t="s">
        <v>1</v>
      </c>
      <c r="G3752" t="s">
        <v>2</v>
      </c>
      <c r="H3752" t="s">
        <v>2518</v>
      </c>
      <c r="I3752" t="s">
        <v>18561</v>
      </c>
      <c r="L3752" t="s">
        <v>18562</v>
      </c>
      <c r="M3752" t="s">
        <v>18563</v>
      </c>
      <c r="P3752" t="s">
        <v>280</v>
      </c>
      <c r="Q3752" t="s">
        <v>18565</v>
      </c>
      <c r="V3752" t="s">
        <v>18566</v>
      </c>
      <c r="Y3752" t="s">
        <v>2523</v>
      </c>
    </row>
    <row r="3753" spans="1:25" x14ac:dyDescent="0.25">
      <c r="A3753" t="str">
        <f>"1399743227"</f>
        <v>1399743227</v>
      </c>
      <c r="B3753" t="s">
        <v>18</v>
      </c>
      <c r="C3753" t="s">
        <v>143</v>
      </c>
      <c r="D3753" t="s">
        <v>18567</v>
      </c>
      <c r="E3753">
        <v>424006</v>
      </c>
      <c r="F3753" t="s">
        <v>1</v>
      </c>
      <c r="G3753" t="s">
        <v>2</v>
      </c>
      <c r="H3753" t="s">
        <v>2012</v>
      </c>
      <c r="I3753" t="s">
        <v>18568</v>
      </c>
      <c r="J3753" t="s">
        <v>18569</v>
      </c>
      <c r="L3753" t="s">
        <v>18570</v>
      </c>
      <c r="M3753" t="s">
        <v>18571</v>
      </c>
      <c r="P3753" t="s">
        <v>280</v>
      </c>
      <c r="Q3753" t="s">
        <v>18572</v>
      </c>
      <c r="Y3753" t="s">
        <v>18573</v>
      </c>
    </row>
    <row r="3754" spans="1:25" x14ac:dyDescent="0.25">
      <c r="A3754" t="str">
        <f>"1399758880"</f>
        <v>1399758880</v>
      </c>
      <c r="B3754" t="s">
        <v>160</v>
      </c>
      <c r="C3754" t="s">
        <v>9976</v>
      </c>
      <c r="D3754" t="s">
        <v>18574</v>
      </c>
      <c r="E3754">
        <v>424037</v>
      </c>
      <c r="F3754" t="s">
        <v>1</v>
      </c>
      <c r="G3754" t="s">
        <v>2</v>
      </c>
      <c r="H3754" t="s">
        <v>15696</v>
      </c>
      <c r="J3754" t="s">
        <v>18575</v>
      </c>
      <c r="P3754" t="s">
        <v>18576</v>
      </c>
      <c r="Y3754" t="s">
        <v>15698</v>
      </c>
    </row>
    <row r="3755" spans="1:25" x14ac:dyDescent="0.25">
      <c r="A3755" t="str">
        <f>"1399804370"</f>
        <v>1399804370</v>
      </c>
      <c r="B3755" t="s">
        <v>348</v>
      </c>
      <c r="C3755" t="s">
        <v>4366</v>
      </c>
      <c r="D3755" t="s">
        <v>18577</v>
      </c>
      <c r="E3755">
        <v>424007</v>
      </c>
      <c r="F3755" t="s">
        <v>1</v>
      </c>
      <c r="G3755" t="s">
        <v>2</v>
      </c>
      <c r="H3755" t="s">
        <v>1654</v>
      </c>
      <c r="I3755" t="s">
        <v>18578</v>
      </c>
      <c r="J3755" t="s">
        <v>18579</v>
      </c>
      <c r="L3755" t="s">
        <v>14193</v>
      </c>
      <c r="M3755" t="s">
        <v>14194</v>
      </c>
      <c r="P3755" t="s">
        <v>458</v>
      </c>
      <c r="Y3755" t="s">
        <v>18580</v>
      </c>
    </row>
    <row r="3756" spans="1:25" x14ac:dyDescent="0.25">
      <c r="A3756" t="str">
        <f>"1399808734"</f>
        <v>1399808734</v>
      </c>
      <c r="B3756" t="s">
        <v>669</v>
      </c>
      <c r="C3756" t="s">
        <v>2689</v>
      </c>
      <c r="D3756" t="s">
        <v>18581</v>
      </c>
      <c r="E3756">
        <v>424007</v>
      </c>
      <c r="F3756" t="s">
        <v>1</v>
      </c>
      <c r="G3756" t="s">
        <v>2</v>
      </c>
      <c r="H3756" t="s">
        <v>18582</v>
      </c>
      <c r="I3756" t="s">
        <v>18583</v>
      </c>
      <c r="K3756" t="s">
        <v>18584</v>
      </c>
      <c r="M3756" t="s">
        <v>18585</v>
      </c>
      <c r="P3756" t="s">
        <v>20</v>
      </c>
      <c r="Y3756" t="s">
        <v>18586</v>
      </c>
    </row>
    <row r="3757" spans="1:25" x14ac:dyDescent="0.25">
      <c r="A3757" t="str">
        <f>"1399835454"</f>
        <v>1399835454</v>
      </c>
      <c r="B3757" t="s">
        <v>8117</v>
      </c>
      <c r="C3757" t="s">
        <v>8118</v>
      </c>
      <c r="D3757" t="s">
        <v>18587</v>
      </c>
      <c r="F3757" t="s">
        <v>1</v>
      </c>
      <c r="G3757" t="s">
        <v>2</v>
      </c>
      <c r="H3757" t="s">
        <v>6353</v>
      </c>
      <c r="J3757" t="s">
        <v>18588</v>
      </c>
      <c r="P3757" t="s">
        <v>11646</v>
      </c>
      <c r="Y3757" t="s">
        <v>13239</v>
      </c>
    </row>
    <row r="3758" spans="1:25" x14ac:dyDescent="0.25">
      <c r="A3758" t="str">
        <f>"1399839876"</f>
        <v>1399839876</v>
      </c>
      <c r="B3758" t="s">
        <v>18</v>
      </c>
      <c r="C3758" t="s">
        <v>143</v>
      </c>
      <c r="D3758" t="s">
        <v>18589</v>
      </c>
      <c r="E3758">
        <v>424007</v>
      </c>
      <c r="F3758" t="s">
        <v>1</v>
      </c>
      <c r="G3758" t="s">
        <v>2</v>
      </c>
      <c r="H3758" t="s">
        <v>5178</v>
      </c>
      <c r="I3758" t="s">
        <v>18590</v>
      </c>
      <c r="J3758" t="s">
        <v>18591</v>
      </c>
      <c r="L3758" t="s">
        <v>18592</v>
      </c>
      <c r="M3758" t="s">
        <v>18593</v>
      </c>
      <c r="P3758" t="s">
        <v>1404</v>
      </c>
      <c r="Y3758" t="s">
        <v>18594</v>
      </c>
    </row>
    <row r="3759" spans="1:25" x14ac:dyDescent="0.25">
      <c r="A3759" t="str">
        <f>"1399851147"</f>
        <v>1399851147</v>
      </c>
      <c r="B3759" t="s">
        <v>462</v>
      </c>
      <c r="C3759" t="s">
        <v>1140</v>
      </c>
      <c r="D3759" t="s">
        <v>18595</v>
      </c>
      <c r="E3759">
        <v>424004</v>
      </c>
      <c r="F3759" t="s">
        <v>1</v>
      </c>
      <c r="G3759" t="s">
        <v>2</v>
      </c>
      <c r="H3759" t="s">
        <v>186</v>
      </c>
      <c r="I3759" t="s">
        <v>18596</v>
      </c>
      <c r="K3759" t="s">
        <v>18597</v>
      </c>
      <c r="Y3759" t="s">
        <v>190</v>
      </c>
    </row>
    <row r="3760" spans="1:25" x14ac:dyDescent="0.25">
      <c r="A3760" t="str">
        <f>"1399901630"</f>
        <v>1399901630</v>
      </c>
      <c r="B3760" t="s">
        <v>25</v>
      </c>
      <c r="C3760" t="s">
        <v>59</v>
      </c>
      <c r="D3760" t="s">
        <v>11538</v>
      </c>
      <c r="E3760">
        <v>424007</v>
      </c>
      <c r="F3760" t="s">
        <v>1</v>
      </c>
      <c r="G3760" t="s">
        <v>2</v>
      </c>
      <c r="H3760" t="s">
        <v>1566</v>
      </c>
      <c r="I3760" t="s">
        <v>18598</v>
      </c>
      <c r="J3760" t="s">
        <v>18599</v>
      </c>
      <c r="P3760" t="s">
        <v>18600</v>
      </c>
      <c r="Y3760" t="s">
        <v>2882</v>
      </c>
    </row>
    <row r="3761" spans="1:25" x14ac:dyDescent="0.25">
      <c r="A3761" t="str">
        <f>"1400157243"</f>
        <v>1400157243</v>
      </c>
      <c r="B3761" t="s">
        <v>1152</v>
      </c>
      <c r="C3761" t="s">
        <v>18605</v>
      </c>
      <c r="D3761" t="s">
        <v>18601</v>
      </c>
      <c r="E3761">
        <v>424003</v>
      </c>
      <c r="F3761" t="s">
        <v>1</v>
      </c>
      <c r="G3761" t="s">
        <v>2</v>
      </c>
      <c r="H3761" t="s">
        <v>16890</v>
      </c>
      <c r="I3761" t="s">
        <v>18602</v>
      </c>
      <c r="L3761" t="s">
        <v>18603</v>
      </c>
      <c r="M3761" t="s">
        <v>18604</v>
      </c>
      <c r="P3761" t="s">
        <v>5278</v>
      </c>
      <c r="Q3761" t="s">
        <v>18606</v>
      </c>
      <c r="Y3761" t="s">
        <v>18607</v>
      </c>
    </row>
    <row r="3762" spans="1:25" x14ac:dyDescent="0.25">
      <c r="A3762" t="str">
        <f>"1400260893"</f>
        <v>1400260893</v>
      </c>
      <c r="B3762" t="s">
        <v>110</v>
      </c>
      <c r="C3762" t="s">
        <v>111</v>
      </c>
      <c r="D3762" t="s">
        <v>780</v>
      </c>
      <c r="E3762">
        <v>424000</v>
      </c>
      <c r="F3762" t="s">
        <v>1</v>
      </c>
      <c r="G3762" t="s">
        <v>2</v>
      </c>
      <c r="H3762" t="s">
        <v>18608</v>
      </c>
      <c r="I3762" t="s">
        <v>18609</v>
      </c>
      <c r="P3762" t="s">
        <v>1619</v>
      </c>
      <c r="Y3762" t="s">
        <v>18610</v>
      </c>
    </row>
    <row r="3763" spans="1:25" x14ac:dyDescent="0.25">
      <c r="A3763" t="str">
        <f>"1400300936"</f>
        <v>1400300936</v>
      </c>
      <c r="B3763" t="s">
        <v>930</v>
      </c>
      <c r="C3763" t="s">
        <v>1940</v>
      </c>
      <c r="D3763" t="s">
        <v>11232</v>
      </c>
      <c r="E3763">
        <v>424037</v>
      </c>
      <c r="F3763" t="s">
        <v>1</v>
      </c>
      <c r="G3763" t="s">
        <v>2</v>
      </c>
      <c r="H3763" t="s">
        <v>18611</v>
      </c>
      <c r="I3763" t="s">
        <v>18612</v>
      </c>
      <c r="P3763" t="s">
        <v>20</v>
      </c>
      <c r="Y3763" t="s">
        <v>18613</v>
      </c>
    </row>
    <row r="3764" spans="1:25" x14ac:dyDescent="0.25">
      <c r="A3764" t="str">
        <f>"1400412205"</f>
        <v>1400412205</v>
      </c>
      <c r="B3764" t="s">
        <v>930</v>
      </c>
      <c r="C3764" t="s">
        <v>15966</v>
      </c>
      <c r="D3764" t="s">
        <v>18614</v>
      </c>
      <c r="E3764">
        <v>424032</v>
      </c>
      <c r="F3764" t="s">
        <v>1</v>
      </c>
      <c r="G3764" t="s">
        <v>2</v>
      </c>
      <c r="H3764" t="s">
        <v>18615</v>
      </c>
      <c r="J3764" t="s">
        <v>18616</v>
      </c>
      <c r="P3764" t="s">
        <v>10946</v>
      </c>
      <c r="Y3764" t="s">
        <v>18617</v>
      </c>
    </row>
    <row r="3765" spans="1:25" x14ac:dyDescent="0.25">
      <c r="A3765" t="str">
        <f>"1400452470"</f>
        <v>1400452470</v>
      </c>
      <c r="B3765" t="s">
        <v>1544</v>
      </c>
      <c r="C3765" t="s">
        <v>3596</v>
      </c>
      <c r="D3765" t="s">
        <v>18618</v>
      </c>
      <c r="E3765">
        <v>424007</v>
      </c>
      <c r="F3765" t="s">
        <v>1</v>
      </c>
      <c r="G3765" t="s">
        <v>2</v>
      </c>
      <c r="H3765" t="s">
        <v>4869</v>
      </c>
      <c r="P3765" t="s">
        <v>869</v>
      </c>
      <c r="Y3765" t="s">
        <v>16518</v>
      </c>
    </row>
    <row r="3766" spans="1:25" x14ac:dyDescent="0.25">
      <c r="A3766" t="str">
        <f>"1400725912"</f>
        <v>1400725912</v>
      </c>
      <c r="B3766" t="s">
        <v>640</v>
      </c>
      <c r="C3766" t="s">
        <v>18622</v>
      </c>
      <c r="D3766" t="s">
        <v>18619</v>
      </c>
      <c r="E3766">
        <v>424031</v>
      </c>
      <c r="F3766" t="s">
        <v>1</v>
      </c>
      <c r="G3766" t="s">
        <v>2</v>
      </c>
      <c r="H3766" t="s">
        <v>1273</v>
      </c>
      <c r="I3766" t="s">
        <v>18620</v>
      </c>
      <c r="L3766" t="s">
        <v>6034</v>
      </c>
      <c r="M3766" t="s">
        <v>18621</v>
      </c>
      <c r="P3766" t="s">
        <v>18623</v>
      </c>
      <c r="Q3766" t="s">
        <v>6036</v>
      </c>
      <c r="T3766" t="s">
        <v>18624</v>
      </c>
      <c r="Y3766" t="s">
        <v>1276</v>
      </c>
    </row>
    <row r="3767" spans="1:25" x14ac:dyDescent="0.25">
      <c r="A3767" t="str">
        <f>"1400803962"</f>
        <v>1400803962</v>
      </c>
      <c r="B3767" t="s">
        <v>519</v>
      </c>
      <c r="C3767" t="s">
        <v>583</v>
      </c>
      <c r="D3767" t="s">
        <v>18625</v>
      </c>
      <c r="E3767">
        <v>424002</v>
      </c>
      <c r="F3767" t="s">
        <v>1</v>
      </c>
      <c r="G3767" t="s">
        <v>2</v>
      </c>
      <c r="H3767" t="s">
        <v>18626</v>
      </c>
      <c r="I3767" t="s">
        <v>18627</v>
      </c>
      <c r="P3767" t="s">
        <v>18628</v>
      </c>
      <c r="Y3767" t="s">
        <v>18629</v>
      </c>
    </row>
    <row r="3768" spans="1:25" x14ac:dyDescent="0.25">
      <c r="A3768" t="str">
        <f>"1400972706"</f>
        <v>1400972706</v>
      </c>
      <c r="B3768" t="s">
        <v>7</v>
      </c>
      <c r="C3768" t="s">
        <v>18635</v>
      </c>
      <c r="D3768" t="s">
        <v>18630</v>
      </c>
      <c r="E3768">
        <v>424002</v>
      </c>
      <c r="F3768" t="s">
        <v>1</v>
      </c>
      <c r="G3768" t="s">
        <v>2</v>
      </c>
      <c r="H3768" t="s">
        <v>57</v>
      </c>
      <c r="I3768" t="s">
        <v>18631</v>
      </c>
      <c r="J3768" t="s">
        <v>18632</v>
      </c>
      <c r="L3768" t="s">
        <v>18633</v>
      </c>
      <c r="M3768" t="s">
        <v>18634</v>
      </c>
      <c r="P3768" t="s">
        <v>27</v>
      </c>
      <c r="Y3768" t="s">
        <v>3783</v>
      </c>
    </row>
    <row r="3769" spans="1:25" x14ac:dyDescent="0.25">
      <c r="A3769" t="str">
        <f>"1400974415"</f>
        <v>1400974415</v>
      </c>
      <c r="B3769" t="s">
        <v>930</v>
      </c>
      <c r="C3769" t="s">
        <v>18640</v>
      </c>
      <c r="D3769" t="s">
        <v>18636</v>
      </c>
      <c r="E3769">
        <v>424031</v>
      </c>
      <c r="F3769" t="s">
        <v>1</v>
      </c>
      <c r="G3769" t="s">
        <v>2</v>
      </c>
      <c r="H3769" t="s">
        <v>18637</v>
      </c>
      <c r="I3769" t="s">
        <v>18638</v>
      </c>
      <c r="J3769" t="s">
        <v>18639</v>
      </c>
      <c r="L3769" t="s">
        <v>14148</v>
      </c>
      <c r="P3769" t="s">
        <v>15510</v>
      </c>
      <c r="Q3769" t="s">
        <v>18641</v>
      </c>
      <c r="Y3769" t="s">
        <v>18642</v>
      </c>
    </row>
    <row r="3770" spans="1:25" x14ac:dyDescent="0.25">
      <c r="A3770" t="str">
        <f>"1401060901"</f>
        <v>1401060901</v>
      </c>
      <c r="B3770" t="s">
        <v>430</v>
      </c>
      <c r="C3770" t="s">
        <v>940</v>
      </c>
      <c r="D3770" t="s">
        <v>15773</v>
      </c>
      <c r="E3770">
        <v>424007</v>
      </c>
      <c r="F3770" t="s">
        <v>1</v>
      </c>
      <c r="G3770" t="s">
        <v>2</v>
      </c>
      <c r="H3770" t="s">
        <v>18643</v>
      </c>
      <c r="J3770" t="s">
        <v>18644</v>
      </c>
      <c r="P3770" t="s">
        <v>18645</v>
      </c>
      <c r="Y3770" t="s">
        <v>18646</v>
      </c>
    </row>
    <row r="3771" spans="1:25" x14ac:dyDescent="0.25">
      <c r="A3771" t="str">
        <f>"1401151973"</f>
        <v>1401151973</v>
      </c>
      <c r="B3771" t="s">
        <v>553</v>
      </c>
      <c r="C3771" t="s">
        <v>11806</v>
      </c>
      <c r="D3771" t="s">
        <v>18647</v>
      </c>
      <c r="E3771">
        <v>424008</v>
      </c>
      <c r="F3771" t="s">
        <v>1</v>
      </c>
      <c r="G3771" t="s">
        <v>2</v>
      </c>
      <c r="H3771" t="s">
        <v>4857</v>
      </c>
      <c r="I3771" t="s">
        <v>18648</v>
      </c>
      <c r="J3771" t="s">
        <v>18649</v>
      </c>
      <c r="L3771" t="s">
        <v>18650</v>
      </c>
      <c r="P3771" t="s">
        <v>20</v>
      </c>
      <c r="V3771" t="s">
        <v>18651</v>
      </c>
      <c r="Y3771" t="s">
        <v>18652</v>
      </c>
    </row>
    <row r="3772" spans="1:25" x14ac:dyDescent="0.25">
      <c r="A3772" t="str">
        <f>"1401259679"</f>
        <v>1401259679</v>
      </c>
      <c r="B3772" t="s">
        <v>3700</v>
      </c>
      <c r="C3772" t="s">
        <v>4023</v>
      </c>
      <c r="D3772" t="s">
        <v>18653</v>
      </c>
      <c r="E3772">
        <v>424002</v>
      </c>
      <c r="F3772" t="s">
        <v>1</v>
      </c>
      <c r="G3772" t="s">
        <v>2</v>
      </c>
      <c r="H3772" t="s">
        <v>6656</v>
      </c>
      <c r="I3772" t="s">
        <v>18654</v>
      </c>
      <c r="J3772" t="s">
        <v>18655</v>
      </c>
      <c r="P3772" t="s">
        <v>2079</v>
      </c>
      <c r="Y3772" t="s">
        <v>18656</v>
      </c>
    </row>
    <row r="3773" spans="1:25" x14ac:dyDescent="0.25">
      <c r="A3773" t="str">
        <f>"1401316347"</f>
        <v>1401316347</v>
      </c>
      <c r="B3773" t="s">
        <v>176</v>
      </c>
      <c r="C3773" t="s">
        <v>250</v>
      </c>
      <c r="D3773" t="s">
        <v>18657</v>
      </c>
      <c r="E3773">
        <v>424028</v>
      </c>
      <c r="F3773" t="s">
        <v>1</v>
      </c>
      <c r="G3773" t="s">
        <v>2</v>
      </c>
      <c r="H3773" t="s">
        <v>3628</v>
      </c>
      <c r="I3773" t="s">
        <v>18658</v>
      </c>
      <c r="P3773" t="s">
        <v>18659</v>
      </c>
      <c r="Y3773" t="s">
        <v>6934</v>
      </c>
    </row>
    <row r="3774" spans="1:25" x14ac:dyDescent="0.25">
      <c r="A3774" t="str">
        <f>"1401343578"</f>
        <v>1401343578</v>
      </c>
      <c r="B3774" t="s">
        <v>13538</v>
      </c>
      <c r="C3774" t="s">
        <v>13539</v>
      </c>
      <c r="D3774" t="s">
        <v>18660</v>
      </c>
      <c r="E3774">
        <v>424007</v>
      </c>
      <c r="F3774" t="s">
        <v>1</v>
      </c>
      <c r="G3774" t="s">
        <v>2</v>
      </c>
      <c r="H3774" t="s">
        <v>1566</v>
      </c>
      <c r="I3774" t="s">
        <v>18661</v>
      </c>
      <c r="J3774" t="s">
        <v>18662</v>
      </c>
      <c r="K3774" t="s">
        <v>18661</v>
      </c>
      <c r="M3774" t="s">
        <v>18663</v>
      </c>
      <c r="P3774" t="s">
        <v>18664</v>
      </c>
      <c r="Y3774" t="s">
        <v>2882</v>
      </c>
    </row>
    <row r="3775" spans="1:25" x14ac:dyDescent="0.25">
      <c r="A3775" t="str">
        <f>"1401433784"</f>
        <v>1401433784</v>
      </c>
      <c r="B3775" t="s">
        <v>88</v>
      </c>
      <c r="C3775" t="s">
        <v>8056</v>
      </c>
      <c r="D3775" t="s">
        <v>5805</v>
      </c>
      <c r="E3775">
        <v>424000</v>
      </c>
      <c r="F3775" t="s">
        <v>1</v>
      </c>
      <c r="G3775" t="s">
        <v>2</v>
      </c>
      <c r="H3775" t="s">
        <v>1531</v>
      </c>
      <c r="I3775" t="s">
        <v>18665</v>
      </c>
      <c r="P3775" t="s">
        <v>1855</v>
      </c>
      <c r="Y3775" t="s">
        <v>18666</v>
      </c>
    </row>
    <row r="3776" spans="1:25" x14ac:dyDescent="0.25">
      <c r="A3776" t="str">
        <f>"1401463147"</f>
        <v>1401463147</v>
      </c>
      <c r="B3776" t="s">
        <v>290</v>
      </c>
      <c r="C3776" t="s">
        <v>18670</v>
      </c>
      <c r="D3776" t="s">
        <v>18667</v>
      </c>
      <c r="E3776">
        <v>424038</v>
      </c>
      <c r="F3776" t="s">
        <v>1</v>
      </c>
      <c r="G3776" t="s">
        <v>2</v>
      </c>
      <c r="H3776" t="s">
        <v>9865</v>
      </c>
      <c r="J3776" t="s">
        <v>18668</v>
      </c>
      <c r="M3776" t="s">
        <v>18669</v>
      </c>
      <c r="P3776" t="s">
        <v>18671</v>
      </c>
      <c r="Q3776" t="s">
        <v>18672</v>
      </c>
      <c r="Y3776" t="s">
        <v>18673</v>
      </c>
    </row>
    <row r="3777" spans="1:25" x14ac:dyDescent="0.25">
      <c r="A3777" t="str">
        <f>"1401499707"</f>
        <v>1401499707</v>
      </c>
      <c r="B3777" t="s">
        <v>32</v>
      </c>
      <c r="C3777" t="s">
        <v>182</v>
      </c>
      <c r="D3777" t="s">
        <v>18674</v>
      </c>
      <c r="E3777">
        <v>424002</v>
      </c>
      <c r="F3777" t="s">
        <v>1</v>
      </c>
      <c r="G3777" t="s">
        <v>2</v>
      </c>
      <c r="H3777" t="s">
        <v>3141</v>
      </c>
      <c r="P3777" t="s">
        <v>8655</v>
      </c>
      <c r="Y3777" t="s">
        <v>18675</v>
      </c>
    </row>
    <row r="3778" spans="1:25" x14ac:dyDescent="0.25">
      <c r="A3778" t="str">
        <f>"1401607256"</f>
        <v>1401607256</v>
      </c>
      <c r="B3778" t="s">
        <v>388</v>
      </c>
      <c r="C3778" t="s">
        <v>18679</v>
      </c>
      <c r="D3778" t="s">
        <v>18676</v>
      </c>
      <c r="E3778">
        <v>424036</v>
      </c>
      <c r="F3778" t="s">
        <v>1</v>
      </c>
      <c r="G3778" t="s">
        <v>2</v>
      </c>
      <c r="H3778" t="s">
        <v>6072</v>
      </c>
      <c r="I3778" t="s">
        <v>18677</v>
      </c>
      <c r="L3778" t="s">
        <v>18678</v>
      </c>
      <c r="P3778" t="s">
        <v>2839</v>
      </c>
      <c r="Y3778" t="s">
        <v>17197</v>
      </c>
    </row>
    <row r="3779" spans="1:25" x14ac:dyDescent="0.25">
      <c r="A3779" t="str">
        <f>"1401659494"</f>
        <v>1401659494</v>
      </c>
      <c r="B3779" t="s">
        <v>841</v>
      </c>
      <c r="C3779" t="s">
        <v>18682</v>
      </c>
      <c r="D3779" t="s">
        <v>18680</v>
      </c>
      <c r="E3779">
        <v>424000</v>
      </c>
      <c r="F3779" t="s">
        <v>1</v>
      </c>
      <c r="G3779" t="s">
        <v>2</v>
      </c>
      <c r="H3779" t="s">
        <v>265</v>
      </c>
      <c r="I3779" t="s">
        <v>18681</v>
      </c>
      <c r="P3779" t="s">
        <v>133</v>
      </c>
      <c r="Y3779" t="s">
        <v>11205</v>
      </c>
    </row>
    <row r="3780" spans="1:25" x14ac:dyDescent="0.25">
      <c r="A3780" t="str">
        <f>"1401719087"</f>
        <v>1401719087</v>
      </c>
      <c r="B3780" t="s">
        <v>4084</v>
      </c>
      <c r="C3780" t="s">
        <v>7951</v>
      </c>
      <c r="D3780" t="s">
        <v>18683</v>
      </c>
      <c r="E3780">
        <v>424007</v>
      </c>
      <c r="F3780" t="s">
        <v>1</v>
      </c>
      <c r="G3780" t="s">
        <v>2</v>
      </c>
      <c r="H3780" t="s">
        <v>5281</v>
      </c>
      <c r="I3780" t="s">
        <v>18684</v>
      </c>
      <c r="J3780" t="s">
        <v>18685</v>
      </c>
      <c r="Q3780" t="s">
        <v>18686</v>
      </c>
      <c r="Y3780" t="s">
        <v>18687</v>
      </c>
    </row>
    <row r="3781" spans="1:25" x14ac:dyDescent="0.25">
      <c r="A3781" t="str">
        <f>"1401846572"</f>
        <v>1401846572</v>
      </c>
      <c r="B3781" t="s">
        <v>123</v>
      </c>
      <c r="C3781" t="s">
        <v>424</v>
      </c>
      <c r="D3781" t="s">
        <v>18688</v>
      </c>
      <c r="E3781">
        <v>424002</v>
      </c>
      <c r="F3781" t="s">
        <v>1</v>
      </c>
      <c r="G3781" t="s">
        <v>2</v>
      </c>
      <c r="H3781" t="s">
        <v>18689</v>
      </c>
      <c r="I3781" t="s">
        <v>18690</v>
      </c>
      <c r="L3781" t="s">
        <v>18691</v>
      </c>
      <c r="M3781" t="s">
        <v>18692</v>
      </c>
      <c r="P3781" t="s">
        <v>425</v>
      </c>
      <c r="Y3781" t="s">
        <v>18693</v>
      </c>
    </row>
    <row r="3782" spans="1:25" x14ac:dyDescent="0.25">
      <c r="A3782" t="str">
        <f>"1401857449"</f>
        <v>1401857449</v>
      </c>
      <c r="B3782" t="s">
        <v>519</v>
      </c>
      <c r="C3782" t="s">
        <v>13130</v>
      </c>
      <c r="D3782" t="s">
        <v>18694</v>
      </c>
      <c r="E3782">
        <v>424004</v>
      </c>
      <c r="F3782" t="s">
        <v>1</v>
      </c>
      <c r="G3782" t="s">
        <v>2</v>
      </c>
      <c r="H3782" t="s">
        <v>229</v>
      </c>
      <c r="I3782" t="s">
        <v>18695</v>
      </c>
      <c r="Y3782" t="s">
        <v>237</v>
      </c>
    </row>
    <row r="3783" spans="1:25" x14ac:dyDescent="0.25">
      <c r="A3783" t="str">
        <f>"1401997215"</f>
        <v>1401997215</v>
      </c>
      <c r="B3783" t="s">
        <v>7</v>
      </c>
      <c r="C3783" t="s">
        <v>14013</v>
      </c>
      <c r="D3783" t="s">
        <v>18696</v>
      </c>
      <c r="E3783">
        <v>424031</v>
      </c>
      <c r="F3783" t="s">
        <v>1</v>
      </c>
      <c r="G3783" t="s">
        <v>2</v>
      </c>
      <c r="H3783" t="s">
        <v>1524</v>
      </c>
      <c r="J3783" t="s">
        <v>18697</v>
      </c>
      <c r="P3783" t="s">
        <v>260</v>
      </c>
      <c r="Y3783" t="s">
        <v>5358</v>
      </c>
    </row>
    <row r="3784" spans="1:25" x14ac:dyDescent="0.25">
      <c r="A3784" t="str">
        <f>"1402010051"</f>
        <v>1402010051</v>
      </c>
      <c r="B3784" t="s">
        <v>160</v>
      </c>
      <c r="C3784" t="s">
        <v>9976</v>
      </c>
      <c r="D3784" t="s">
        <v>18698</v>
      </c>
      <c r="E3784">
        <v>424002</v>
      </c>
      <c r="F3784" t="s">
        <v>1</v>
      </c>
      <c r="G3784" t="s">
        <v>2</v>
      </c>
      <c r="H3784" t="s">
        <v>7234</v>
      </c>
      <c r="I3784" t="s">
        <v>18699</v>
      </c>
      <c r="J3784" t="s">
        <v>18700</v>
      </c>
      <c r="P3784" t="s">
        <v>330</v>
      </c>
      <c r="Y3784" t="s">
        <v>18701</v>
      </c>
    </row>
    <row r="3785" spans="1:25" x14ac:dyDescent="0.25">
      <c r="A3785" t="str">
        <f>"1402108972"</f>
        <v>1402108972</v>
      </c>
      <c r="B3785" t="s">
        <v>1025</v>
      </c>
      <c r="C3785" t="s">
        <v>18705</v>
      </c>
      <c r="D3785" t="s">
        <v>18702</v>
      </c>
      <c r="E3785">
        <v>424007</v>
      </c>
      <c r="F3785" t="s">
        <v>1</v>
      </c>
      <c r="G3785" t="s">
        <v>2</v>
      </c>
      <c r="H3785" t="s">
        <v>1566</v>
      </c>
      <c r="I3785" t="s">
        <v>18703</v>
      </c>
      <c r="J3785" t="s">
        <v>18704</v>
      </c>
      <c r="P3785" t="s">
        <v>18706</v>
      </c>
      <c r="Y3785" t="s">
        <v>2882</v>
      </c>
    </row>
    <row r="3786" spans="1:25" x14ac:dyDescent="0.25">
      <c r="A3786" t="str">
        <f>"1402145902"</f>
        <v>1402145902</v>
      </c>
      <c r="B3786" t="s">
        <v>538</v>
      </c>
      <c r="C3786" t="s">
        <v>539</v>
      </c>
      <c r="D3786" t="s">
        <v>18707</v>
      </c>
      <c r="E3786">
        <v>424039</v>
      </c>
      <c r="F3786" t="s">
        <v>1</v>
      </c>
      <c r="G3786" t="s">
        <v>2</v>
      </c>
      <c r="H3786" t="s">
        <v>18708</v>
      </c>
      <c r="I3786" t="s">
        <v>18709</v>
      </c>
      <c r="K3786" t="s">
        <v>18710</v>
      </c>
      <c r="L3786" t="s">
        <v>18711</v>
      </c>
      <c r="M3786" t="s">
        <v>18712</v>
      </c>
      <c r="P3786" t="s">
        <v>1232</v>
      </c>
      <c r="Q3786" t="s">
        <v>18713</v>
      </c>
      <c r="Y3786" t="s">
        <v>18714</v>
      </c>
    </row>
    <row r="3787" spans="1:25" x14ac:dyDescent="0.25">
      <c r="A3787" t="str">
        <f>"1402215795"</f>
        <v>1402215795</v>
      </c>
      <c r="B3787" t="s">
        <v>1573</v>
      </c>
      <c r="C3787" t="s">
        <v>18717</v>
      </c>
      <c r="D3787" t="s">
        <v>18715</v>
      </c>
      <c r="E3787">
        <v>424918</v>
      </c>
      <c r="F3787" t="s">
        <v>1</v>
      </c>
      <c r="G3787" t="s">
        <v>2</v>
      </c>
      <c r="H3787" t="s">
        <v>629</v>
      </c>
      <c r="J3787" t="s">
        <v>18716</v>
      </c>
      <c r="P3787" t="s">
        <v>18341</v>
      </c>
      <c r="Y3787" t="s">
        <v>18718</v>
      </c>
    </row>
    <row r="3788" spans="1:25" x14ac:dyDescent="0.25">
      <c r="A3788" t="str">
        <f>"1402269323"</f>
        <v>1402269323</v>
      </c>
      <c r="B3788" t="s">
        <v>430</v>
      </c>
      <c r="C3788" t="s">
        <v>18722</v>
      </c>
      <c r="D3788" t="s">
        <v>18719</v>
      </c>
      <c r="E3788">
        <v>424038</v>
      </c>
      <c r="F3788" t="s">
        <v>1</v>
      </c>
      <c r="G3788" t="s">
        <v>2</v>
      </c>
      <c r="H3788" t="s">
        <v>10766</v>
      </c>
      <c r="J3788" t="s">
        <v>18720</v>
      </c>
      <c r="L3788" t="s">
        <v>2127</v>
      </c>
      <c r="M3788" t="s">
        <v>18721</v>
      </c>
      <c r="P3788" t="s">
        <v>152</v>
      </c>
      <c r="Y3788" t="s">
        <v>18723</v>
      </c>
    </row>
    <row r="3789" spans="1:25" x14ac:dyDescent="0.25">
      <c r="A3789" t="str">
        <f>"1402374220"</f>
        <v>1402374220</v>
      </c>
      <c r="B3789" t="s">
        <v>574</v>
      </c>
      <c r="C3789" t="s">
        <v>646</v>
      </c>
      <c r="D3789" t="s">
        <v>18724</v>
      </c>
      <c r="E3789">
        <v>424002</v>
      </c>
      <c r="F3789" t="s">
        <v>1</v>
      </c>
      <c r="G3789" t="s">
        <v>2</v>
      </c>
      <c r="H3789" t="s">
        <v>12740</v>
      </c>
      <c r="I3789" t="s">
        <v>18725</v>
      </c>
      <c r="P3789" t="s">
        <v>18726</v>
      </c>
      <c r="Y3789" t="s">
        <v>12744</v>
      </c>
    </row>
    <row r="3790" spans="1:25" x14ac:dyDescent="0.25">
      <c r="A3790" t="str">
        <f>"1402573841"</f>
        <v>1402573841</v>
      </c>
      <c r="B3790" t="s">
        <v>25</v>
      </c>
      <c r="C3790" t="s">
        <v>18732</v>
      </c>
      <c r="D3790" t="s">
        <v>18727</v>
      </c>
      <c r="E3790">
        <v>424020</v>
      </c>
      <c r="F3790" t="s">
        <v>1</v>
      </c>
      <c r="G3790" t="s">
        <v>2</v>
      </c>
      <c r="H3790" t="s">
        <v>9442</v>
      </c>
      <c r="I3790" t="s">
        <v>18728</v>
      </c>
      <c r="J3790" t="s">
        <v>18729</v>
      </c>
      <c r="L3790" t="s">
        <v>18730</v>
      </c>
      <c r="M3790" t="s">
        <v>18731</v>
      </c>
      <c r="P3790" t="s">
        <v>340</v>
      </c>
      <c r="Q3790" t="s">
        <v>18733</v>
      </c>
      <c r="V3790" t="s">
        <v>18734</v>
      </c>
      <c r="Y3790" t="s">
        <v>18735</v>
      </c>
    </row>
    <row r="3791" spans="1:25" x14ac:dyDescent="0.25">
      <c r="A3791" t="str">
        <f>"1402633746"</f>
        <v>1402633746</v>
      </c>
      <c r="B3791" t="s">
        <v>716</v>
      </c>
      <c r="C3791" t="s">
        <v>717</v>
      </c>
      <c r="D3791" t="s">
        <v>717</v>
      </c>
      <c r="E3791">
        <v>424002</v>
      </c>
      <c r="F3791" t="s">
        <v>1</v>
      </c>
      <c r="G3791" t="s">
        <v>2</v>
      </c>
      <c r="H3791" t="s">
        <v>6502</v>
      </c>
      <c r="I3791" t="s">
        <v>18736</v>
      </c>
      <c r="P3791" t="s">
        <v>330</v>
      </c>
      <c r="Y3791" t="s">
        <v>18737</v>
      </c>
    </row>
    <row r="3792" spans="1:25" x14ac:dyDescent="0.25">
      <c r="A3792" t="str">
        <f>"1402657469"</f>
        <v>1402657469</v>
      </c>
      <c r="B3792" t="s">
        <v>7312</v>
      </c>
      <c r="C3792" t="s">
        <v>18741</v>
      </c>
      <c r="D3792" t="s">
        <v>18738</v>
      </c>
      <c r="E3792">
        <v>424002</v>
      </c>
      <c r="F3792" t="s">
        <v>1</v>
      </c>
      <c r="G3792" t="s">
        <v>2</v>
      </c>
      <c r="H3792" t="s">
        <v>5998</v>
      </c>
      <c r="I3792" t="s">
        <v>18739</v>
      </c>
      <c r="J3792" t="s">
        <v>18740</v>
      </c>
      <c r="L3792" t="s">
        <v>11732</v>
      </c>
      <c r="M3792" t="s">
        <v>11733</v>
      </c>
      <c r="P3792" t="s">
        <v>1760</v>
      </c>
      <c r="Q3792" t="s">
        <v>11734</v>
      </c>
      <c r="V3792" t="s">
        <v>11736</v>
      </c>
      <c r="Y3792" t="s">
        <v>18742</v>
      </c>
    </row>
    <row r="3793" spans="1:25" x14ac:dyDescent="0.25">
      <c r="A3793" t="str">
        <f>"1402708282"</f>
        <v>1402708282</v>
      </c>
      <c r="B3793" t="s">
        <v>117</v>
      </c>
      <c r="C3793" t="s">
        <v>873</v>
      </c>
      <c r="D3793" t="s">
        <v>870</v>
      </c>
      <c r="E3793">
        <v>424028</v>
      </c>
      <c r="F3793" t="s">
        <v>1</v>
      </c>
      <c r="G3793" t="s">
        <v>2</v>
      </c>
      <c r="H3793" t="s">
        <v>13799</v>
      </c>
      <c r="I3793" t="s">
        <v>18743</v>
      </c>
      <c r="L3793" t="s">
        <v>18744</v>
      </c>
      <c r="P3793" t="s">
        <v>330</v>
      </c>
      <c r="Y3793" t="s">
        <v>18745</v>
      </c>
    </row>
    <row r="3794" spans="1:25" x14ac:dyDescent="0.25">
      <c r="A3794" t="str">
        <f>"1402739926"</f>
        <v>1402739926</v>
      </c>
      <c r="B3794" t="s">
        <v>18</v>
      </c>
      <c r="C3794" t="s">
        <v>4522</v>
      </c>
      <c r="D3794" t="s">
        <v>18746</v>
      </c>
      <c r="E3794">
        <v>424038</v>
      </c>
      <c r="F3794" t="s">
        <v>1</v>
      </c>
      <c r="G3794" t="s">
        <v>2</v>
      </c>
      <c r="H3794" t="s">
        <v>1366</v>
      </c>
      <c r="I3794" t="s">
        <v>18747</v>
      </c>
      <c r="P3794" t="s">
        <v>10150</v>
      </c>
      <c r="Y3794" t="s">
        <v>18748</v>
      </c>
    </row>
    <row r="3795" spans="1:25" x14ac:dyDescent="0.25">
      <c r="A3795" t="str">
        <f>"1402748151"</f>
        <v>1402748151</v>
      </c>
      <c r="B3795" t="s">
        <v>25</v>
      </c>
      <c r="C3795" t="s">
        <v>59</v>
      </c>
      <c r="D3795" t="s">
        <v>18749</v>
      </c>
      <c r="E3795">
        <v>424007</v>
      </c>
      <c r="F3795" t="s">
        <v>1</v>
      </c>
      <c r="G3795" t="s">
        <v>2</v>
      </c>
      <c r="H3795" t="s">
        <v>1992</v>
      </c>
      <c r="J3795" t="s">
        <v>18750</v>
      </c>
      <c r="P3795" t="s">
        <v>3799</v>
      </c>
      <c r="Y3795" t="s">
        <v>18751</v>
      </c>
    </row>
    <row r="3796" spans="1:25" x14ac:dyDescent="0.25">
      <c r="A3796" t="str">
        <f>"1402811531"</f>
        <v>1402811531</v>
      </c>
      <c r="B3796" t="s">
        <v>176</v>
      </c>
      <c r="C3796" t="s">
        <v>18755</v>
      </c>
      <c r="D3796" t="s">
        <v>18752</v>
      </c>
      <c r="E3796">
        <v>424003</v>
      </c>
      <c r="F3796" t="s">
        <v>1</v>
      </c>
      <c r="G3796" t="s">
        <v>2</v>
      </c>
      <c r="H3796" t="s">
        <v>12674</v>
      </c>
      <c r="I3796" t="s">
        <v>18753</v>
      </c>
      <c r="J3796" t="s">
        <v>18754</v>
      </c>
      <c r="P3796" t="s">
        <v>8673</v>
      </c>
      <c r="Y3796" t="s">
        <v>18532</v>
      </c>
    </row>
    <row r="3797" spans="1:25" x14ac:dyDescent="0.25">
      <c r="A3797" t="str">
        <f>"1402831103"</f>
        <v>1402831103</v>
      </c>
      <c r="B3797" t="s">
        <v>1152</v>
      </c>
      <c r="C3797" t="s">
        <v>1153</v>
      </c>
      <c r="D3797" t="s">
        <v>10280</v>
      </c>
      <c r="E3797">
        <v>424005</v>
      </c>
      <c r="F3797" t="s">
        <v>1</v>
      </c>
      <c r="G3797" t="s">
        <v>2</v>
      </c>
      <c r="H3797" t="s">
        <v>18756</v>
      </c>
      <c r="I3797" t="s">
        <v>10282</v>
      </c>
      <c r="M3797" t="s">
        <v>10284</v>
      </c>
      <c r="Q3797" t="s">
        <v>10286</v>
      </c>
      <c r="R3797" t="s">
        <v>10287</v>
      </c>
      <c r="S3797" t="s">
        <v>10288</v>
      </c>
      <c r="T3797" t="s">
        <v>10289</v>
      </c>
      <c r="U3797" t="s">
        <v>10290</v>
      </c>
      <c r="V3797" t="s">
        <v>10291</v>
      </c>
      <c r="Y3797" t="s">
        <v>18757</v>
      </c>
    </row>
    <row r="3798" spans="1:25" x14ac:dyDescent="0.25">
      <c r="A3798" t="str">
        <f>"1402865106"</f>
        <v>1402865106</v>
      </c>
      <c r="B3798" t="s">
        <v>348</v>
      </c>
      <c r="C3798" t="s">
        <v>18759</v>
      </c>
      <c r="D3798" t="s">
        <v>18758</v>
      </c>
      <c r="E3798">
        <v>424016</v>
      </c>
      <c r="F3798" t="s">
        <v>1</v>
      </c>
      <c r="G3798" t="s">
        <v>2</v>
      </c>
      <c r="H3798" t="s">
        <v>848</v>
      </c>
      <c r="I3798" t="s">
        <v>17421</v>
      </c>
      <c r="P3798" t="s">
        <v>3822</v>
      </c>
      <c r="Q3798" t="s">
        <v>18760</v>
      </c>
      <c r="Y3798" t="s">
        <v>18761</v>
      </c>
    </row>
    <row r="3799" spans="1:25" x14ac:dyDescent="0.25">
      <c r="A3799" t="str">
        <f>"1402919498"</f>
        <v>1402919498</v>
      </c>
      <c r="B3799" t="s">
        <v>1152</v>
      </c>
      <c r="C3799" t="s">
        <v>18764</v>
      </c>
      <c r="D3799" t="s">
        <v>18762</v>
      </c>
      <c r="E3799">
        <v>424005</v>
      </c>
      <c r="F3799" t="s">
        <v>1</v>
      </c>
      <c r="G3799" t="s">
        <v>2</v>
      </c>
      <c r="H3799" t="s">
        <v>18756</v>
      </c>
      <c r="I3799" t="s">
        <v>18763</v>
      </c>
      <c r="P3799" t="s">
        <v>312</v>
      </c>
      <c r="Y3799" t="s">
        <v>18765</v>
      </c>
    </row>
    <row r="3800" spans="1:25" x14ac:dyDescent="0.25">
      <c r="A3800" t="str">
        <f>"1403035633"</f>
        <v>1403035633</v>
      </c>
      <c r="B3800" t="s">
        <v>687</v>
      </c>
      <c r="C3800" t="s">
        <v>5413</v>
      </c>
      <c r="D3800" t="s">
        <v>18766</v>
      </c>
      <c r="F3800" t="s">
        <v>1</v>
      </c>
      <c r="G3800" t="s">
        <v>2</v>
      </c>
      <c r="H3800" t="s">
        <v>1600</v>
      </c>
      <c r="I3800" t="s">
        <v>18767</v>
      </c>
      <c r="P3800" t="s">
        <v>27</v>
      </c>
      <c r="Y3800" t="s">
        <v>18768</v>
      </c>
    </row>
    <row r="3801" spans="1:25" x14ac:dyDescent="0.25">
      <c r="A3801" t="str">
        <f>"1403071161"</f>
        <v>1403071161</v>
      </c>
      <c r="B3801" t="s">
        <v>379</v>
      </c>
      <c r="C3801" t="s">
        <v>766</v>
      </c>
      <c r="D3801" t="s">
        <v>18769</v>
      </c>
      <c r="E3801">
        <v>424036</v>
      </c>
      <c r="F3801" t="s">
        <v>1</v>
      </c>
      <c r="G3801" t="s">
        <v>2</v>
      </c>
      <c r="H3801" t="s">
        <v>14976</v>
      </c>
      <c r="I3801" t="s">
        <v>18770</v>
      </c>
      <c r="J3801" t="s">
        <v>18771</v>
      </c>
      <c r="L3801" t="s">
        <v>18772</v>
      </c>
      <c r="M3801" t="s">
        <v>18773</v>
      </c>
      <c r="P3801" t="s">
        <v>9</v>
      </c>
      <c r="Q3801" t="s">
        <v>18774</v>
      </c>
      <c r="Y3801" t="s">
        <v>18775</v>
      </c>
    </row>
    <row r="3802" spans="1:25" x14ac:dyDescent="0.25">
      <c r="A3802" t="str">
        <f>"1403071988"</f>
        <v>1403071988</v>
      </c>
      <c r="B3802" t="s">
        <v>1391</v>
      </c>
      <c r="C3802" t="s">
        <v>18778</v>
      </c>
      <c r="D3802" t="s">
        <v>18776</v>
      </c>
      <c r="E3802">
        <v>424038</v>
      </c>
      <c r="F3802" t="s">
        <v>1</v>
      </c>
      <c r="G3802" t="s">
        <v>2</v>
      </c>
      <c r="H3802" t="s">
        <v>2103</v>
      </c>
      <c r="I3802" t="s">
        <v>18777</v>
      </c>
      <c r="P3802" t="s">
        <v>20</v>
      </c>
      <c r="Y3802" t="s">
        <v>2323</v>
      </c>
    </row>
    <row r="3803" spans="1:25" x14ac:dyDescent="0.25">
      <c r="A3803" t="str">
        <f>"1403095065"</f>
        <v>1403095065</v>
      </c>
      <c r="B3803" t="s">
        <v>151</v>
      </c>
      <c r="C3803" t="s">
        <v>151</v>
      </c>
      <c r="D3803" t="s">
        <v>18779</v>
      </c>
      <c r="E3803">
        <v>424002</v>
      </c>
      <c r="F3803" t="s">
        <v>1</v>
      </c>
      <c r="G3803" t="s">
        <v>2</v>
      </c>
      <c r="H3803" t="s">
        <v>570</v>
      </c>
      <c r="I3803" t="s">
        <v>18780</v>
      </c>
      <c r="J3803" t="s">
        <v>18781</v>
      </c>
      <c r="P3803" t="s">
        <v>27</v>
      </c>
      <c r="Y3803" t="s">
        <v>18782</v>
      </c>
    </row>
    <row r="3804" spans="1:25" x14ac:dyDescent="0.25">
      <c r="A3804" t="str">
        <f>"1403279705"</f>
        <v>1403279705</v>
      </c>
      <c r="B3804" t="s">
        <v>1053</v>
      </c>
      <c r="C3804" t="s">
        <v>1927</v>
      </c>
      <c r="D3804" t="s">
        <v>18783</v>
      </c>
      <c r="F3804" t="s">
        <v>1</v>
      </c>
      <c r="G3804" t="s">
        <v>2</v>
      </c>
      <c r="H3804" t="s">
        <v>343</v>
      </c>
      <c r="I3804" t="s">
        <v>18784</v>
      </c>
      <c r="P3804" t="s">
        <v>6236</v>
      </c>
      <c r="Y3804" t="s">
        <v>345</v>
      </c>
    </row>
    <row r="3805" spans="1:25" x14ac:dyDescent="0.25">
      <c r="A3805" t="str">
        <f>"1403284107"</f>
        <v>1403284107</v>
      </c>
      <c r="B3805" t="s">
        <v>430</v>
      </c>
      <c r="C3805" t="s">
        <v>940</v>
      </c>
      <c r="D3805" t="s">
        <v>18785</v>
      </c>
      <c r="E3805">
        <v>424038</v>
      </c>
      <c r="F3805" t="s">
        <v>1</v>
      </c>
      <c r="G3805" t="s">
        <v>2</v>
      </c>
      <c r="H3805" t="s">
        <v>10766</v>
      </c>
      <c r="P3805" t="s">
        <v>330</v>
      </c>
      <c r="Y3805" t="s">
        <v>18786</v>
      </c>
    </row>
    <row r="3806" spans="1:25" x14ac:dyDescent="0.25">
      <c r="A3806" t="str">
        <f>"1403312276"</f>
        <v>1403312276</v>
      </c>
      <c r="B3806" t="s">
        <v>469</v>
      </c>
      <c r="C3806" t="s">
        <v>18789</v>
      </c>
      <c r="D3806" t="s">
        <v>18787</v>
      </c>
      <c r="E3806">
        <v>424002</v>
      </c>
      <c r="F3806" t="s">
        <v>1</v>
      </c>
      <c r="G3806" t="s">
        <v>2</v>
      </c>
      <c r="H3806" t="s">
        <v>744</v>
      </c>
      <c r="I3806" t="s">
        <v>18788</v>
      </c>
      <c r="P3806" t="s">
        <v>2738</v>
      </c>
      <c r="Q3806" t="s">
        <v>18790</v>
      </c>
      <c r="Y3806" t="s">
        <v>18791</v>
      </c>
    </row>
    <row r="3807" spans="1:25" x14ac:dyDescent="0.25">
      <c r="A3807" t="str">
        <f>"1403338764"</f>
        <v>1403338764</v>
      </c>
      <c r="B3807" t="s">
        <v>348</v>
      </c>
      <c r="C3807" t="s">
        <v>18793</v>
      </c>
      <c r="D3807" t="s">
        <v>15659</v>
      </c>
      <c r="E3807">
        <v>424002</v>
      </c>
      <c r="F3807" t="s">
        <v>1</v>
      </c>
      <c r="G3807" t="s">
        <v>2</v>
      </c>
      <c r="H3807" t="s">
        <v>2260</v>
      </c>
      <c r="I3807" t="s">
        <v>18792</v>
      </c>
      <c r="P3807" t="s">
        <v>399</v>
      </c>
      <c r="Y3807" t="s">
        <v>18794</v>
      </c>
    </row>
    <row r="3808" spans="1:25" x14ac:dyDescent="0.25">
      <c r="A3808" t="str">
        <f>"1403342375"</f>
        <v>1403342375</v>
      </c>
      <c r="B3808" t="s">
        <v>456</v>
      </c>
      <c r="C3808" t="s">
        <v>2773</v>
      </c>
      <c r="D3808" t="s">
        <v>18795</v>
      </c>
      <c r="E3808">
        <v>424003</v>
      </c>
      <c r="F3808" t="s">
        <v>1</v>
      </c>
      <c r="G3808" t="s">
        <v>2</v>
      </c>
      <c r="H3808" t="s">
        <v>734</v>
      </c>
      <c r="I3808" t="s">
        <v>18796</v>
      </c>
      <c r="J3808" t="s">
        <v>18797</v>
      </c>
      <c r="L3808" t="s">
        <v>18798</v>
      </c>
      <c r="M3808" t="s">
        <v>18799</v>
      </c>
      <c r="P3808" t="s">
        <v>20</v>
      </c>
      <c r="Y3808" t="s">
        <v>8273</v>
      </c>
    </row>
    <row r="3809" spans="1:25" x14ac:dyDescent="0.25">
      <c r="A3809" t="str">
        <f>"1403416764"</f>
        <v>1403416764</v>
      </c>
      <c r="B3809" t="s">
        <v>888</v>
      </c>
      <c r="C3809" t="s">
        <v>18803</v>
      </c>
      <c r="D3809" t="s">
        <v>6596</v>
      </c>
      <c r="E3809">
        <v>424020</v>
      </c>
      <c r="F3809" t="s">
        <v>1</v>
      </c>
      <c r="G3809" t="s">
        <v>2</v>
      </c>
      <c r="H3809" t="s">
        <v>10825</v>
      </c>
      <c r="I3809" t="s">
        <v>18800</v>
      </c>
      <c r="L3809" t="s">
        <v>18801</v>
      </c>
      <c r="M3809" t="s">
        <v>18802</v>
      </c>
      <c r="P3809" t="s">
        <v>27</v>
      </c>
      <c r="Y3809" t="s">
        <v>18804</v>
      </c>
    </row>
    <row r="3810" spans="1:25" x14ac:dyDescent="0.25">
      <c r="A3810" t="str">
        <f>"1403549658"</f>
        <v>1403549658</v>
      </c>
      <c r="B3810" t="s">
        <v>18</v>
      </c>
      <c r="C3810" t="s">
        <v>18809</v>
      </c>
      <c r="D3810" t="s">
        <v>18805</v>
      </c>
      <c r="E3810">
        <v>424006</v>
      </c>
      <c r="F3810" t="s">
        <v>1</v>
      </c>
      <c r="G3810" t="s">
        <v>2</v>
      </c>
      <c r="H3810" t="s">
        <v>18806</v>
      </c>
      <c r="I3810" t="s">
        <v>18807</v>
      </c>
      <c r="L3810" t="s">
        <v>18808</v>
      </c>
      <c r="P3810" t="s">
        <v>8994</v>
      </c>
      <c r="Q3810" t="s">
        <v>18810</v>
      </c>
      <c r="Y3810" t="s">
        <v>18811</v>
      </c>
    </row>
    <row r="3811" spans="1:25" x14ac:dyDescent="0.25">
      <c r="A3811" t="str">
        <f>"1403569246"</f>
        <v>1403569246</v>
      </c>
      <c r="B3811" t="s">
        <v>2178</v>
      </c>
      <c r="C3811" t="s">
        <v>2179</v>
      </c>
      <c r="D3811" t="s">
        <v>18812</v>
      </c>
      <c r="E3811">
        <v>424016</v>
      </c>
      <c r="F3811" t="s">
        <v>1</v>
      </c>
      <c r="G3811" t="s">
        <v>2</v>
      </c>
      <c r="H3811" t="s">
        <v>18813</v>
      </c>
      <c r="I3811" t="s">
        <v>18814</v>
      </c>
      <c r="P3811" t="s">
        <v>18815</v>
      </c>
      <c r="Y3811" t="s">
        <v>18816</v>
      </c>
    </row>
    <row r="3812" spans="1:25" x14ac:dyDescent="0.25">
      <c r="A3812" t="str">
        <f>"1403659916"</f>
        <v>1403659916</v>
      </c>
      <c r="B3812" t="s">
        <v>160</v>
      </c>
      <c r="C3812" t="s">
        <v>1666</v>
      </c>
      <c r="D3812" t="s">
        <v>18817</v>
      </c>
      <c r="E3812">
        <v>424020</v>
      </c>
      <c r="F3812" t="s">
        <v>1</v>
      </c>
      <c r="G3812" t="s">
        <v>2</v>
      </c>
      <c r="H3812" t="s">
        <v>3565</v>
      </c>
      <c r="I3812" t="s">
        <v>18818</v>
      </c>
      <c r="P3812" t="s">
        <v>18819</v>
      </c>
      <c r="Y3812" t="s">
        <v>9278</v>
      </c>
    </row>
    <row r="3813" spans="1:25" x14ac:dyDescent="0.25">
      <c r="A3813" t="str">
        <f>"1403673892"</f>
        <v>1403673892</v>
      </c>
      <c r="B3813" t="s">
        <v>624</v>
      </c>
      <c r="C3813" t="s">
        <v>1637</v>
      </c>
      <c r="D3813" t="s">
        <v>18820</v>
      </c>
      <c r="E3813">
        <v>424004</v>
      </c>
      <c r="F3813" t="s">
        <v>1</v>
      </c>
      <c r="G3813" t="s">
        <v>2</v>
      </c>
      <c r="H3813" t="s">
        <v>1169</v>
      </c>
      <c r="I3813" t="s">
        <v>18821</v>
      </c>
      <c r="K3813" t="s">
        <v>18822</v>
      </c>
      <c r="Y3813" t="s">
        <v>1178</v>
      </c>
    </row>
    <row r="3814" spans="1:25" x14ac:dyDescent="0.25">
      <c r="A3814" t="str">
        <f>"1403703864"</f>
        <v>1403703864</v>
      </c>
      <c r="B3814" t="s">
        <v>290</v>
      </c>
      <c r="C3814" t="s">
        <v>11114</v>
      </c>
      <c r="D3814" t="s">
        <v>18823</v>
      </c>
      <c r="E3814">
        <v>424002</v>
      </c>
      <c r="F3814" t="s">
        <v>1</v>
      </c>
      <c r="G3814" t="s">
        <v>2</v>
      </c>
      <c r="H3814" t="s">
        <v>5162</v>
      </c>
      <c r="J3814" t="s">
        <v>18824</v>
      </c>
      <c r="P3814" t="s">
        <v>312</v>
      </c>
      <c r="Y3814" t="s">
        <v>18825</v>
      </c>
    </row>
    <row r="3815" spans="1:25" x14ac:dyDescent="0.25">
      <c r="A3815" t="str">
        <f>"1403712759"</f>
        <v>1403712759</v>
      </c>
      <c r="B3815" t="s">
        <v>176</v>
      </c>
      <c r="C3815" t="s">
        <v>177</v>
      </c>
      <c r="D3815" t="s">
        <v>1297</v>
      </c>
      <c r="E3815">
        <v>424006</v>
      </c>
      <c r="F3815" t="s">
        <v>1</v>
      </c>
      <c r="G3815" t="s">
        <v>2</v>
      </c>
      <c r="H3815" t="s">
        <v>14949</v>
      </c>
      <c r="J3815" t="s">
        <v>18826</v>
      </c>
      <c r="L3815" t="s">
        <v>18827</v>
      </c>
      <c r="M3815" t="s">
        <v>18828</v>
      </c>
      <c r="P3815" t="s">
        <v>330</v>
      </c>
      <c r="Q3815" t="s">
        <v>18829</v>
      </c>
      <c r="T3815" t="s">
        <v>18830</v>
      </c>
      <c r="Y3815" t="s">
        <v>18831</v>
      </c>
    </row>
    <row r="3816" spans="1:25" x14ac:dyDescent="0.25">
      <c r="A3816" t="str">
        <f>"1403921422"</f>
        <v>1403921422</v>
      </c>
      <c r="B3816" t="s">
        <v>703</v>
      </c>
      <c r="C3816" t="s">
        <v>2129</v>
      </c>
      <c r="D3816" t="s">
        <v>4269</v>
      </c>
      <c r="E3816">
        <v>424020</v>
      </c>
      <c r="F3816" t="s">
        <v>1</v>
      </c>
      <c r="G3816" t="s">
        <v>2</v>
      </c>
      <c r="H3816" t="s">
        <v>23</v>
      </c>
      <c r="J3816" t="s">
        <v>18832</v>
      </c>
      <c r="Y3816" t="s">
        <v>6162</v>
      </c>
    </row>
    <row r="3817" spans="1:25" x14ac:dyDescent="0.25">
      <c r="A3817" t="str">
        <f>"1403983298"</f>
        <v>1403983298</v>
      </c>
      <c r="B3817" t="s">
        <v>334</v>
      </c>
      <c r="C3817" t="s">
        <v>18837</v>
      </c>
      <c r="D3817" t="s">
        <v>18833</v>
      </c>
      <c r="E3817">
        <v>424033</v>
      </c>
      <c r="F3817" t="s">
        <v>1</v>
      </c>
      <c r="G3817" t="s">
        <v>2</v>
      </c>
      <c r="H3817" t="s">
        <v>4300</v>
      </c>
      <c r="I3817" t="s">
        <v>18834</v>
      </c>
      <c r="L3817" t="s">
        <v>18835</v>
      </c>
      <c r="M3817" t="s">
        <v>18836</v>
      </c>
      <c r="P3817" t="s">
        <v>27</v>
      </c>
      <c r="S3817" t="s">
        <v>18838</v>
      </c>
      <c r="T3817" t="s">
        <v>18839</v>
      </c>
      <c r="Y3817" t="s">
        <v>18840</v>
      </c>
    </row>
    <row r="3818" spans="1:25" x14ac:dyDescent="0.25">
      <c r="A3818" t="str">
        <f>"1404018528"</f>
        <v>1404018528</v>
      </c>
      <c r="B3818" t="s">
        <v>462</v>
      </c>
      <c r="C3818" t="s">
        <v>1140</v>
      </c>
      <c r="D3818" t="s">
        <v>18841</v>
      </c>
      <c r="E3818">
        <v>424004</v>
      </c>
      <c r="F3818" t="s">
        <v>1</v>
      </c>
      <c r="G3818" t="s">
        <v>2</v>
      </c>
      <c r="H3818" t="s">
        <v>18842</v>
      </c>
      <c r="J3818" t="s">
        <v>18843</v>
      </c>
      <c r="P3818" t="s">
        <v>330</v>
      </c>
      <c r="Y3818" t="s">
        <v>18844</v>
      </c>
    </row>
    <row r="3819" spans="1:25" x14ac:dyDescent="0.25">
      <c r="A3819" t="str">
        <f>"1404028686"</f>
        <v>1404028686</v>
      </c>
      <c r="B3819" t="s">
        <v>18</v>
      </c>
      <c r="C3819" t="s">
        <v>6222</v>
      </c>
      <c r="D3819" t="s">
        <v>18845</v>
      </c>
      <c r="E3819">
        <v>424004</v>
      </c>
      <c r="F3819" t="s">
        <v>1</v>
      </c>
      <c r="G3819" t="s">
        <v>2</v>
      </c>
      <c r="H3819" t="s">
        <v>14351</v>
      </c>
      <c r="I3819" t="s">
        <v>18846</v>
      </c>
      <c r="P3819" t="s">
        <v>6456</v>
      </c>
      <c r="Y3819" t="s">
        <v>18847</v>
      </c>
    </row>
    <row r="3820" spans="1:25" x14ac:dyDescent="0.25">
      <c r="A3820" t="str">
        <f>"1404080311"</f>
        <v>1404080311</v>
      </c>
      <c r="B3820" t="s">
        <v>408</v>
      </c>
      <c r="C3820" t="s">
        <v>409</v>
      </c>
      <c r="D3820" t="s">
        <v>18848</v>
      </c>
      <c r="E3820">
        <v>424000</v>
      </c>
      <c r="F3820" t="s">
        <v>1</v>
      </c>
      <c r="G3820" t="s">
        <v>2</v>
      </c>
      <c r="H3820" t="s">
        <v>3749</v>
      </c>
      <c r="I3820" t="s">
        <v>18849</v>
      </c>
      <c r="P3820" t="s">
        <v>18850</v>
      </c>
      <c r="Y3820" t="s">
        <v>18851</v>
      </c>
    </row>
    <row r="3821" spans="1:25" x14ac:dyDescent="0.25">
      <c r="A3821" t="str">
        <f>"1404085511"</f>
        <v>1404085511</v>
      </c>
      <c r="B3821" t="s">
        <v>160</v>
      </c>
      <c r="C3821" t="s">
        <v>9976</v>
      </c>
      <c r="D3821" t="s">
        <v>18852</v>
      </c>
      <c r="E3821">
        <v>424004</v>
      </c>
      <c r="F3821" t="s">
        <v>1</v>
      </c>
      <c r="G3821" t="s">
        <v>2</v>
      </c>
      <c r="H3821" t="s">
        <v>3489</v>
      </c>
      <c r="I3821" t="s">
        <v>18853</v>
      </c>
      <c r="J3821" t="s">
        <v>18854</v>
      </c>
      <c r="P3821" t="s">
        <v>10063</v>
      </c>
      <c r="Y3821" t="s">
        <v>8402</v>
      </c>
    </row>
    <row r="3822" spans="1:25" x14ac:dyDescent="0.25">
      <c r="A3822" t="str">
        <f>"1404118863"</f>
        <v>1404118863</v>
      </c>
      <c r="B3822" t="s">
        <v>1362</v>
      </c>
      <c r="C3822" t="s">
        <v>8728</v>
      </c>
      <c r="D3822" t="s">
        <v>18855</v>
      </c>
      <c r="E3822">
        <v>424002</v>
      </c>
      <c r="F3822" t="s">
        <v>1</v>
      </c>
      <c r="G3822" t="s">
        <v>2</v>
      </c>
      <c r="H3822" t="s">
        <v>57</v>
      </c>
      <c r="I3822" t="s">
        <v>18856</v>
      </c>
      <c r="J3822" t="s">
        <v>18857</v>
      </c>
      <c r="P3822" t="s">
        <v>7891</v>
      </c>
      <c r="Y3822" t="s">
        <v>18858</v>
      </c>
    </row>
    <row r="3823" spans="1:25" x14ac:dyDescent="0.25">
      <c r="A3823" t="str">
        <f>"1404197562"</f>
        <v>1404197562</v>
      </c>
      <c r="B3823" t="s">
        <v>388</v>
      </c>
      <c r="C3823" t="s">
        <v>7194</v>
      </c>
      <c r="D3823" t="s">
        <v>18859</v>
      </c>
      <c r="E3823">
        <v>424020</v>
      </c>
      <c r="F3823" t="s">
        <v>1</v>
      </c>
      <c r="G3823" t="s">
        <v>2</v>
      </c>
      <c r="H3823" t="s">
        <v>18860</v>
      </c>
      <c r="J3823" t="s">
        <v>18861</v>
      </c>
      <c r="P3823" t="s">
        <v>799</v>
      </c>
      <c r="Y3823" t="s">
        <v>18862</v>
      </c>
    </row>
    <row r="3824" spans="1:25" x14ac:dyDescent="0.25">
      <c r="A3824" t="str">
        <f>"1404285950"</f>
        <v>1404285950</v>
      </c>
      <c r="B3824" t="s">
        <v>574</v>
      </c>
      <c r="C3824" t="s">
        <v>14269</v>
      </c>
      <c r="D3824" t="s">
        <v>13636</v>
      </c>
      <c r="E3824">
        <v>424004</v>
      </c>
      <c r="F3824" t="s">
        <v>1</v>
      </c>
      <c r="G3824" t="s">
        <v>2</v>
      </c>
      <c r="H3824" t="s">
        <v>229</v>
      </c>
      <c r="I3824" t="s">
        <v>18863</v>
      </c>
      <c r="M3824" t="s">
        <v>18864</v>
      </c>
      <c r="P3824" t="s">
        <v>27</v>
      </c>
      <c r="Y3824" t="s">
        <v>237</v>
      </c>
    </row>
    <row r="3825" spans="1:25" x14ac:dyDescent="0.25">
      <c r="A3825" t="str">
        <f>"1404302708"</f>
        <v>1404302708</v>
      </c>
      <c r="B3825" t="s">
        <v>371</v>
      </c>
      <c r="C3825" t="s">
        <v>18870</v>
      </c>
      <c r="D3825" t="s">
        <v>18865</v>
      </c>
      <c r="E3825">
        <v>424033</v>
      </c>
      <c r="F3825" t="s">
        <v>1</v>
      </c>
      <c r="G3825" t="s">
        <v>2</v>
      </c>
      <c r="H3825" t="s">
        <v>2342</v>
      </c>
      <c r="I3825" t="s">
        <v>18866</v>
      </c>
      <c r="J3825" t="s">
        <v>18867</v>
      </c>
      <c r="L3825" t="s">
        <v>18868</v>
      </c>
      <c r="M3825" t="s">
        <v>18869</v>
      </c>
      <c r="P3825" t="s">
        <v>27</v>
      </c>
      <c r="Y3825" t="s">
        <v>18871</v>
      </c>
    </row>
    <row r="3826" spans="1:25" x14ac:dyDescent="0.25">
      <c r="A3826" t="str">
        <f>"1404308343"</f>
        <v>1404308343</v>
      </c>
      <c r="B3826" t="s">
        <v>624</v>
      </c>
      <c r="C3826" t="s">
        <v>18874</v>
      </c>
      <c r="D3826" t="s">
        <v>11266</v>
      </c>
      <c r="E3826">
        <v>424038</v>
      </c>
      <c r="F3826" t="s">
        <v>1</v>
      </c>
      <c r="G3826" t="s">
        <v>2</v>
      </c>
      <c r="H3826" t="s">
        <v>2103</v>
      </c>
      <c r="I3826" t="s">
        <v>18872</v>
      </c>
      <c r="K3826" t="s">
        <v>18873</v>
      </c>
      <c r="L3826" t="s">
        <v>11269</v>
      </c>
      <c r="M3826" t="s">
        <v>11270</v>
      </c>
      <c r="P3826" t="s">
        <v>458</v>
      </c>
      <c r="Y3826" t="s">
        <v>18875</v>
      </c>
    </row>
    <row r="3827" spans="1:25" x14ac:dyDescent="0.25">
      <c r="A3827" t="str">
        <f>"1404539738"</f>
        <v>1404539738</v>
      </c>
      <c r="B3827" t="s">
        <v>7</v>
      </c>
      <c r="C3827" t="s">
        <v>13296</v>
      </c>
      <c r="D3827" t="s">
        <v>18876</v>
      </c>
      <c r="E3827">
        <v>424031</v>
      </c>
      <c r="F3827" t="s">
        <v>1</v>
      </c>
      <c r="G3827" t="s">
        <v>2</v>
      </c>
      <c r="H3827" t="s">
        <v>239</v>
      </c>
      <c r="I3827" t="s">
        <v>18877</v>
      </c>
      <c r="J3827" t="s">
        <v>18878</v>
      </c>
      <c r="P3827" t="s">
        <v>27</v>
      </c>
      <c r="Y3827" t="s">
        <v>246</v>
      </c>
    </row>
    <row r="3828" spans="1:25" x14ac:dyDescent="0.25">
      <c r="A3828" t="str">
        <f>"1404632809"</f>
        <v>1404632809</v>
      </c>
      <c r="B3828" t="s">
        <v>18</v>
      </c>
      <c r="C3828" t="s">
        <v>18881</v>
      </c>
      <c r="D3828" t="s">
        <v>18879</v>
      </c>
      <c r="E3828">
        <v>424031</v>
      </c>
      <c r="F3828" t="s">
        <v>1</v>
      </c>
      <c r="G3828" t="s">
        <v>2</v>
      </c>
      <c r="H3828" t="s">
        <v>1524</v>
      </c>
      <c r="J3828" t="s">
        <v>18880</v>
      </c>
      <c r="P3828" t="s">
        <v>18882</v>
      </c>
      <c r="Y3828" t="s">
        <v>5358</v>
      </c>
    </row>
    <row r="3829" spans="1:25" x14ac:dyDescent="0.25">
      <c r="A3829" t="str">
        <f>"1404635626"</f>
        <v>1404635626</v>
      </c>
      <c r="B3829" t="s">
        <v>1299</v>
      </c>
      <c r="C3829" t="s">
        <v>1504</v>
      </c>
      <c r="D3829" t="s">
        <v>3297</v>
      </c>
      <c r="E3829">
        <v>424007</v>
      </c>
      <c r="F3829" t="s">
        <v>1</v>
      </c>
      <c r="G3829" t="s">
        <v>2</v>
      </c>
      <c r="H3829" t="s">
        <v>8148</v>
      </c>
      <c r="J3829" t="s">
        <v>18883</v>
      </c>
      <c r="P3829" t="s">
        <v>330</v>
      </c>
      <c r="Y3829" t="s">
        <v>18884</v>
      </c>
    </row>
    <row r="3830" spans="1:25" x14ac:dyDescent="0.25">
      <c r="A3830" t="str">
        <f>"1404806203"</f>
        <v>1404806203</v>
      </c>
      <c r="B3830" t="s">
        <v>32</v>
      </c>
      <c r="C3830" t="s">
        <v>18888</v>
      </c>
      <c r="D3830" t="s">
        <v>18885</v>
      </c>
      <c r="E3830">
        <v>424003</v>
      </c>
      <c r="F3830" t="s">
        <v>1</v>
      </c>
      <c r="G3830" t="s">
        <v>2</v>
      </c>
      <c r="H3830" t="s">
        <v>5325</v>
      </c>
      <c r="I3830" t="s">
        <v>18886</v>
      </c>
      <c r="J3830" t="s">
        <v>18887</v>
      </c>
      <c r="P3830" t="s">
        <v>18889</v>
      </c>
      <c r="Y3830" t="s">
        <v>18890</v>
      </c>
    </row>
    <row r="3831" spans="1:25" x14ac:dyDescent="0.25">
      <c r="A3831" t="str">
        <f>"1404846073"</f>
        <v>1404846073</v>
      </c>
      <c r="B3831" t="s">
        <v>1053</v>
      </c>
      <c r="C3831" t="s">
        <v>18895</v>
      </c>
      <c r="D3831" t="s">
        <v>18891</v>
      </c>
      <c r="F3831" t="s">
        <v>1</v>
      </c>
      <c r="G3831" t="s">
        <v>2</v>
      </c>
      <c r="H3831" t="s">
        <v>9610</v>
      </c>
      <c r="J3831" t="s">
        <v>18892</v>
      </c>
      <c r="L3831" t="s">
        <v>18893</v>
      </c>
      <c r="M3831" t="s">
        <v>18894</v>
      </c>
      <c r="P3831" t="s">
        <v>9840</v>
      </c>
      <c r="Y3831" t="s">
        <v>18896</v>
      </c>
    </row>
    <row r="3832" spans="1:25" x14ac:dyDescent="0.25">
      <c r="A3832" t="str">
        <f>"1404862681"</f>
        <v>1404862681</v>
      </c>
      <c r="B3832" t="s">
        <v>348</v>
      </c>
      <c r="C3832" t="s">
        <v>4366</v>
      </c>
      <c r="D3832" t="s">
        <v>18897</v>
      </c>
      <c r="F3832" t="s">
        <v>1</v>
      </c>
      <c r="G3832" t="s">
        <v>2</v>
      </c>
      <c r="H3832" t="s">
        <v>757</v>
      </c>
      <c r="P3832" t="s">
        <v>5459</v>
      </c>
      <c r="Y3832" t="s">
        <v>760</v>
      </c>
    </row>
    <row r="3833" spans="1:25" x14ac:dyDescent="0.25">
      <c r="A3833" t="str">
        <f>"1404926837"</f>
        <v>1404926837</v>
      </c>
      <c r="B3833" t="s">
        <v>151</v>
      </c>
      <c r="C3833" t="s">
        <v>18902</v>
      </c>
      <c r="D3833" t="s">
        <v>18898</v>
      </c>
      <c r="E3833">
        <v>424020</v>
      </c>
      <c r="F3833" t="s">
        <v>1</v>
      </c>
      <c r="G3833" t="s">
        <v>2</v>
      </c>
      <c r="H3833" t="s">
        <v>18899</v>
      </c>
      <c r="I3833" t="s">
        <v>18900</v>
      </c>
      <c r="M3833" t="s">
        <v>18901</v>
      </c>
      <c r="P3833" t="s">
        <v>27</v>
      </c>
      <c r="Y3833" t="s">
        <v>18903</v>
      </c>
    </row>
    <row r="3834" spans="1:25" x14ac:dyDescent="0.25">
      <c r="A3834" t="str">
        <f>"1405535619"</f>
        <v>1405535619</v>
      </c>
      <c r="B3834" t="s">
        <v>797</v>
      </c>
      <c r="C3834" t="s">
        <v>5123</v>
      </c>
      <c r="D3834" t="s">
        <v>18904</v>
      </c>
      <c r="E3834">
        <v>424020</v>
      </c>
      <c r="F3834" t="s">
        <v>1</v>
      </c>
      <c r="G3834" t="s">
        <v>2</v>
      </c>
      <c r="H3834" t="s">
        <v>23</v>
      </c>
      <c r="P3834" t="s">
        <v>1027</v>
      </c>
      <c r="Y3834" t="s">
        <v>18905</v>
      </c>
    </row>
    <row r="3835" spans="1:25" x14ac:dyDescent="0.25">
      <c r="A3835" t="str">
        <f>"1405890811"</f>
        <v>1405890811</v>
      </c>
      <c r="B3835" t="s">
        <v>3573</v>
      </c>
      <c r="C3835" t="s">
        <v>5816</v>
      </c>
      <c r="D3835" t="s">
        <v>18906</v>
      </c>
      <c r="E3835">
        <v>424033</v>
      </c>
      <c r="F3835" t="s">
        <v>1</v>
      </c>
      <c r="G3835" t="s">
        <v>2</v>
      </c>
      <c r="H3835" t="s">
        <v>14856</v>
      </c>
      <c r="J3835" t="s">
        <v>18907</v>
      </c>
      <c r="P3835" t="s">
        <v>330</v>
      </c>
      <c r="Y3835" t="s">
        <v>14858</v>
      </c>
    </row>
    <row r="3836" spans="1:25" x14ac:dyDescent="0.25">
      <c r="A3836" t="str">
        <f>"1406286742"</f>
        <v>1406286742</v>
      </c>
      <c r="B3836" t="s">
        <v>379</v>
      </c>
      <c r="C3836" t="s">
        <v>380</v>
      </c>
      <c r="D3836" t="s">
        <v>18908</v>
      </c>
      <c r="E3836">
        <v>424000</v>
      </c>
      <c r="F3836" t="s">
        <v>1</v>
      </c>
      <c r="G3836" t="s">
        <v>2</v>
      </c>
      <c r="H3836" t="s">
        <v>5942</v>
      </c>
      <c r="I3836" t="s">
        <v>18909</v>
      </c>
      <c r="P3836" t="s">
        <v>18910</v>
      </c>
      <c r="Y3836" t="s">
        <v>5944</v>
      </c>
    </row>
    <row r="3837" spans="1:25" x14ac:dyDescent="0.25">
      <c r="A3837" t="str">
        <f>"1406406484"</f>
        <v>1406406484</v>
      </c>
      <c r="B3837" t="s">
        <v>224</v>
      </c>
      <c r="C3837" t="s">
        <v>3240</v>
      </c>
      <c r="D3837" t="s">
        <v>18911</v>
      </c>
      <c r="E3837">
        <v>424007</v>
      </c>
      <c r="F3837" t="s">
        <v>1</v>
      </c>
      <c r="G3837" t="s">
        <v>2</v>
      </c>
      <c r="H3837" t="s">
        <v>1085</v>
      </c>
      <c r="J3837" t="s">
        <v>18912</v>
      </c>
      <c r="P3837" t="s">
        <v>330</v>
      </c>
      <c r="Y3837" t="s">
        <v>1412</v>
      </c>
    </row>
    <row r="3838" spans="1:25" x14ac:dyDescent="0.25">
      <c r="A3838" t="str">
        <f>"1406954457"</f>
        <v>1406954457</v>
      </c>
      <c r="B3838" t="s">
        <v>553</v>
      </c>
      <c r="C3838" t="s">
        <v>554</v>
      </c>
      <c r="D3838" t="s">
        <v>18913</v>
      </c>
      <c r="E3838">
        <v>424004</v>
      </c>
      <c r="F3838" t="s">
        <v>1</v>
      </c>
      <c r="G3838" t="s">
        <v>2</v>
      </c>
      <c r="H3838" t="s">
        <v>3489</v>
      </c>
      <c r="J3838" t="s">
        <v>18914</v>
      </c>
      <c r="P3838" t="s">
        <v>340</v>
      </c>
      <c r="Y3838" t="s">
        <v>8402</v>
      </c>
    </row>
    <row r="3839" spans="1:25" x14ac:dyDescent="0.25">
      <c r="A3839" t="str">
        <f>"1407585616"</f>
        <v>1407585616</v>
      </c>
      <c r="B3839" t="s">
        <v>456</v>
      </c>
      <c r="C3839" t="s">
        <v>18919</v>
      </c>
      <c r="D3839" t="s">
        <v>18915</v>
      </c>
      <c r="E3839">
        <v>424033</v>
      </c>
      <c r="F3839" t="s">
        <v>1</v>
      </c>
      <c r="G3839" t="s">
        <v>2</v>
      </c>
      <c r="H3839" t="s">
        <v>14856</v>
      </c>
      <c r="I3839" t="s">
        <v>18916</v>
      </c>
      <c r="L3839" t="s">
        <v>18917</v>
      </c>
      <c r="M3839" t="s">
        <v>18918</v>
      </c>
      <c r="P3839" t="s">
        <v>27</v>
      </c>
      <c r="Q3839" t="s">
        <v>18920</v>
      </c>
      <c r="Y3839" t="s">
        <v>18921</v>
      </c>
    </row>
    <row r="3840" spans="1:25" x14ac:dyDescent="0.25">
      <c r="A3840" t="str">
        <f>"1407891915"</f>
        <v>1407891915</v>
      </c>
      <c r="B3840" t="s">
        <v>797</v>
      </c>
      <c r="C3840" t="s">
        <v>5123</v>
      </c>
      <c r="D3840" t="s">
        <v>18922</v>
      </c>
      <c r="E3840">
        <v>424031</v>
      </c>
      <c r="F3840" t="s">
        <v>1</v>
      </c>
      <c r="G3840" t="s">
        <v>2</v>
      </c>
      <c r="H3840" t="s">
        <v>18923</v>
      </c>
      <c r="I3840" t="s">
        <v>18924</v>
      </c>
      <c r="L3840" t="s">
        <v>18925</v>
      </c>
      <c r="M3840" t="s">
        <v>18926</v>
      </c>
      <c r="P3840" t="s">
        <v>941</v>
      </c>
      <c r="T3840" t="s">
        <v>18927</v>
      </c>
      <c r="Y3840" t="s">
        <v>18928</v>
      </c>
    </row>
    <row r="3841" spans="1:25" x14ac:dyDescent="0.25">
      <c r="A3841" t="str">
        <f>"1408370716"</f>
        <v>1408370716</v>
      </c>
      <c r="B3841" t="s">
        <v>462</v>
      </c>
      <c r="C3841" t="s">
        <v>5618</v>
      </c>
      <c r="D3841" t="s">
        <v>18929</v>
      </c>
      <c r="F3841" t="s">
        <v>1</v>
      </c>
      <c r="G3841" t="s">
        <v>2</v>
      </c>
      <c r="H3841" t="s">
        <v>2745</v>
      </c>
      <c r="I3841" t="s">
        <v>18930</v>
      </c>
      <c r="P3841" t="s">
        <v>1120</v>
      </c>
      <c r="Y3841" t="s">
        <v>2751</v>
      </c>
    </row>
    <row r="3842" spans="1:25" x14ac:dyDescent="0.25">
      <c r="A3842" t="str">
        <f>"1408597611"</f>
        <v>1408597611</v>
      </c>
      <c r="B3842" t="s">
        <v>1053</v>
      </c>
      <c r="C3842" t="s">
        <v>1927</v>
      </c>
      <c r="D3842" t="s">
        <v>18931</v>
      </c>
      <c r="E3842">
        <v>424038</v>
      </c>
      <c r="F3842" t="s">
        <v>1</v>
      </c>
      <c r="G3842" t="s">
        <v>2</v>
      </c>
      <c r="H3842" t="s">
        <v>17746</v>
      </c>
      <c r="J3842" t="s">
        <v>18932</v>
      </c>
      <c r="P3842" t="s">
        <v>330</v>
      </c>
      <c r="Y3842" t="s">
        <v>18933</v>
      </c>
    </row>
    <row r="3843" spans="1:25" x14ac:dyDescent="0.25">
      <c r="A3843" t="str">
        <f>"1408808406"</f>
        <v>1408808406</v>
      </c>
      <c r="B3843" t="s">
        <v>574</v>
      </c>
      <c r="C3843" t="s">
        <v>18939</v>
      </c>
      <c r="D3843" t="s">
        <v>18934</v>
      </c>
      <c r="E3843">
        <v>424006</v>
      </c>
      <c r="F3843" t="s">
        <v>1</v>
      </c>
      <c r="G3843" t="s">
        <v>2</v>
      </c>
      <c r="H3843" t="s">
        <v>18935</v>
      </c>
      <c r="I3843" t="s">
        <v>18936</v>
      </c>
      <c r="L3843" t="s">
        <v>18937</v>
      </c>
      <c r="M3843" t="s">
        <v>18938</v>
      </c>
      <c r="P3843" t="s">
        <v>10285</v>
      </c>
      <c r="Q3843" t="s">
        <v>18940</v>
      </c>
      <c r="R3843" t="s">
        <v>18941</v>
      </c>
      <c r="S3843" t="s">
        <v>18942</v>
      </c>
      <c r="T3843" t="s">
        <v>18943</v>
      </c>
      <c r="V3843" t="s">
        <v>18944</v>
      </c>
      <c r="Y3843" t="s">
        <v>18945</v>
      </c>
    </row>
    <row r="3844" spans="1:25" x14ac:dyDescent="0.25">
      <c r="A3844" t="str">
        <f>"1409946693"</f>
        <v>1409946693</v>
      </c>
      <c r="B3844" t="s">
        <v>3200</v>
      </c>
      <c r="C3844" t="s">
        <v>18948</v>
      </c>
      <c r="D3844" t="s">
        <v>18946</v>
      </c>
      <c r="E3844">
        <v>424002</v>
      </c>
      <c r="F3844" t="s">
        <v>1</v>
      </c>
      <c r="G3844" t="s">
        <v>2</v>
      </c>
      <c r="H3844" t="s">
        <v>744</v>
      </c>
      <c r="I3844" t="s">
        <v>18947</v>
      </c>
      <c r="P3844" t="s">
        <v>748</v>
      </c>
      <c r="Y3844" t="s">
        <v>18949</v>
      </c>
    </row>
    <row r="3845" spans="1:25" x14ac:dyDescent="0.25">
      <c r="A3845" t="str">
        <f>"1410292561"</f>
        <v>1410292561</v>
      </c>
      <c r="B3845" t="s">
        <v>18</v>
      </c>
      <c r="C3845" t="s">
        <v>9025</v>
      </c>
      <c r="D3845" t="s">
        <v>18950</v>
      </c>
      <c r="E3845">
        <v>424006</v>
      </c>
      <c r="F3845" t="s">
        <v>1</v>
      </c>
      <c r="G3845" t="s">
        <v>2</v>
      </c>
      <c r="H3845" t="s">
        <v>1645</v>
      </c>
      <c r="J3845" t="s">
        <v>18951</v>
      </c>
      <c r="P3845" t="s">
        <v>330</v>
      </c>
      <c r="Y3845" t="s">
        <v>16303</v>
      </c>
    </row>
    <row r="3846" spans="1:25" x14ac:dyDescent="0.25">
      <c r="A3846" t="str">
        <f>"1410511456"</f>
        <v>1410511456</v>
      </c>
      <c r="B3846" t="s">
        <v>348</v>
      </c>
      <c r="C3846" t="s">
        <v>4366</v>
      </c>
      <c r="D3846" t="s">
        <v>18952</v>
      </c>
      <c r="E3846">
        <v>424016</v>
      </c>
      <c r="F3846" t="s">
        <v>1</v>
      </c>
      <c r="G3846" t="s">
        <v>2</v>
      </c>
      <c r="H3846" t="s">
        <v>5561</v>
      </c>
      <c r="I3846" t="s">
        <v>18953</v>
      </c>
      <c r="J3846" t="s">
        <v>18954</v>
      </c>
      <c r="P3846" t="s">
        <v>3379</v>
      </c>
      <c r="Y3846" t="s">
        <v>5567</v>
      </c>
    </row>
    <row r="3847" spans="1:25" x14ac:dyDescent="0.25">
      <c r="A3847" t="str">
        <f>"1411057052"</f>
        <v>1411057052</v>
      </c>
      <c r="B3847" t="s">
        <v>290</v>
      </c>
      <c r="C3847" t="s">
        <v>290</v>
      </c>
      <c r="D3847" t="s">
        <v>18955</v>
      </c>
      <c r="E3847">
        <v>424037</v>
      </c>
      <c r="F3847" t="s">
        <v>1</v>
      </c>
      <c r="G3847" t="s">
        <v>2</v>
      </c>
      <c r="H3847" t="s">
        <v>2370</v>
      </c>
      <c r="I3847" t="s">
        <v>18956</v>
      </c>
      <c r="J3847" t="s">
        <v>18957</v>
      </c>
      <c r="P3847" t="s">
        <v>13820</v>
      </c>
      <c r="Y3847" t="s">
        <v>18958</v>
      </c>
    </row>
    <row r="3848" spans="1:25" x14ac:dyDescent="0.25">
      <c r="A3848" t="str">
        <f>"1411269266"</f>
        <v>1411269266</v>
      </c>
      <c r="B3848" t="s">
        <v>3700</v>
      </c>
      <c r="C3848" t="s">
        <v>4023</v>
      </c>
      <c r="D3848" t="s">
        <v>8943</v>
      </c>
      <c r="E3848">
        <v>424038</v>
      </c>
      <c r="F3848" t="s">
        <v>1</v>
      </c>
      <c r="G3848" t="s">
        <v>2</v>
      </c>
      <c r="H3848" t="s">
        <v>2614</v>
      </c>
      <c r="P3848" t="s">
        <v>2050</v>
      </c>
      <c r="Y3848" t="s">
        <v>18959</v>
      </c>
    </row>
    <row r="3849" spans="1:25" x14ac:dyDescent="0.25">
      <c r="A3849" t="str">
        <f>"1411694616"</f>
        <v>1411694616</v>
      </c>
      <c r="B3849" t="s">
        <v>334</v>
      </c>
      <c r="C3849" t="s">
        <v>18964</v>
      </c>
      <c r="D3849" t="s">
        <v>18960</v>
      </c>
      <c r="E3849">
        <v>424006</v>
      </c>
      <c r="F3849" t="s">
        <v>1</v>
      </c>
      <c r="G3849" t="s">
        <v>2</v>
      </c>
      <c r="H3849" t="s">
        <v>1923</v>
      </c>
      <c r="I3849" t="s">
        <v>18961</v>
      </c>
      <c r="L3849" t="s">
        <v>18962</v>
      </c>
      <c r="M3849" t="s">
        <v>18963</v>
      </c>
      <c r="P3849" t="s">
        <v>18965</v>
      </c>
      <c r="Q3849" t="s">
        <v>18966</v>
      </c>
      <c r="Y3849" t="s">
        <v>1928</v>
      </c>
    </row>
    <row r="3850" spans="1:25" x14ac:dyDescent="0.25">
      <c r="A3850" t="str">
        <f>"1412193265"</f>
        <v>1412193265</v>
      </c>
      <c r="B3850" t="s">
        <v>417</v>
      </c>
      <c r="C3850" t="s">
        <v>18970</v>
      </c>
      <c r="D3850" t="s">
        <v>18967</v>
      </c>
      <c r="E3850">
        <v>424033</v>
      </c>
      <c r="F3850" t="s">
        <v>1</v>
      </c>
      <c r="G3850" t="s">
        <v>2</v>
      </c>
      <c r="H3850" t="s">
        <v>4300</v>
      </c>
      <c r="I3850" t="s">
        <v>18968</v>
      </c>
      <c r="J3850" t="s">
        <v>18969</v>
      </c>
      <c r="P3850" t="s">
        <v>1027</v>
      </c>
      <c r="Y3850" t="s">
        <v>18971</v>
      </c>
    </row>
    <row r="3851" spans="1:25" x14ac:dyDescent="0.25">
      <c r="A3851" t="str">
        <f>"1412210543"</f>
        <v>1412210543</v>
      </c>
      <c r="B3851" t="s">
        <v>978</v>
      </c>
      <c r="C3851" t="s">
        <v>7568</v>
      </c>
      <c r="D3851" t="s">
        <v>18972</v>
      </c>
      <c r="E3851">
        <v>424031</v>
      </c>
      <c r="F3851" t="s">
        <v>1</v>
      </c>
      <c r="G3851" t="s">
        <v>2</v>
      </c>
      <c r="H3851" t="s">
        <v>239</v>
      </c>
      <c r="J3851" t="s">
        <v>18973</v>
      </c>
      <c r="M3851" t="s">
        <v>18974</v>
      </c>
      <c r="P3851" t="s">
        <v>18975</v>
      </c>
      <c r="Y3851" t="s">
        <v>246</v>
      </c>
    </row>
    <row r="3852" spans="1:25" x14ac:dyDescent="0.25">
      <c r="A3852" t="str">
        <f>"1413227782"</f>
        <v>1413227782</v>
      </c>
      <c r="B3852" t="s">
        <v>151</v>
      </c>
      <c r="C3852" t="s">
        <v>151</v>
      </c>
      <c r="D3852" t="s">
        <v>18976</v>
      </c>
      <c r="E3852">
        <v>424020</v>
      </c>
      <c r="F3852" t="s">
        <v>1</v>
      </c>
      <c r="G3852" t="s">
        <v>2</v>
      </c>
      <c r="H3852" t="s">
        <v>12801</v>
      </c>
      <c r="I3852" t="s">
        <v>18977</v>
      </c>
      <c r="J3852" t="s">
        <v>18978</v>
      </c>
      <c r="L3852" t="s">
        <v>46</v>
      </c>
      <c r="M3852" t="s">
        <v>12804</v>
      </c>
      <c r="P3852" t="s">
        <v>27</v>
      </c>
      <c r="Y3852" t="s">
        <v>18979</v>
      </c>
    </row>
    <row r="3853" spans="1:25" x14ac:dyDescent="0.25">
      <c r="A3853" t="str">
        <f>"1414011214"</f>
        <v>1414011214</v>
      </c>
      <c r="B3853" t="s">
        <v>417</v>
      </c>
      <c r="C3853" t="s">
        <v>418</v>
      </c>
      <c r="D3853" t="s">
        <v>18980</v>
      </c>
      <c r="E3853">
        <v>424003</v>
      </c>
      <c r="F3853" t="s">
        <v>1</v>
      </c>
      <c r="G3853" t="s">
        <v>2</v>
      </c>
      <c r="H3853" t="s">
        <v>18981</v>
      </c>
      <c r="I3853" t="s">
        <v>18982</v>
      </c>
      <c r="L3853" t="s">
        <v>18983</v>
      </c>
      <c r="M3853" t="s">
        <v>18984</v>
      </c>
      <c r="P3853" t="s">
        <v>18985</v>
      </c>
      <c r="Y3853" t="s">
        <v>18986</v>
      </c>
    </row>
    <row r="3854" spans="1:25" x14ac:dyDescent="0.25">
      <c r="A3854" t="str">
        <f>"1414989911"</f>
        <v>1414989911</v>
      </c>
      <c r="B3854" t="s">
        <v>18</v>
      </c>
      <c r="C3854" t="s">
        <v>959</v>
      </c>
      <c r="D3854" t="s">
        <v>18876</v>
      </c>
      <c r="E3854">
        <v>424003</v>
      </c>
      <c r="F3854" t="s">
        <v>1</v>
      </c>
      <c r="G3854" t="s">
        <v>2</v>
      </c>
      <c r="H3854" t="s">
        <v>5311</v>
      </c>
      <c r="I3854" t="s">
        <v>18987</v>
      </c>
      <c r="P3854" t="s">
        <v>11801</v>
      </c>
      <c r="Y3854" t="s">
        <v>10521</v>
      </c>
    </row>
    <row r="3855" spans="1:25" x14ac:dyDescent="0.25">
      <c r="A3855" t="str">
        <f>"1415692569"</f>
        <v>1415692569</v>
      </c>
      <c r="B3855" t="s">
        <v>430</v>
      </c>
      <c r="C3855" t="s">
        <v>18993</v>
      </c>
      <c r="D3855" t="s">
        <v>18988</v>
      </c>
      <c r="E3855">
        <v>424031</v>
      </c>
      <c r="F3855" t="s">
        <v>1</v>
      </c>
      <c r="G3855" t="s">
        <v>2</v>
      </c>
      <c r="H3855" t="s">
        <v>2353</v>
      </c>
      <c r="I3855" t="s">
        <v>18989</v>
      </c>
      <c r="J3855" t="s">
        <v>18990</v>
      </c>
      <c r="L3855" t="s">
        <v>18991</v>
      </c>
      <c r="M3855" t="s">
        <v>18992</v>
      </c>
      <c r="P3855" t="s">
        <v>799</v>
      </c>
      <c r="Q3855" t="s">
        <v>18994</v>
      </c>
      <c r="Y3855" t="s">
        <v>2356</v>
      </c>
    </row>
    <row r="3856" spans="1:25" x14ac:dyDescent="0.25">
      <c r="A3856" t="str">
        <f>"1416447086"</f>
        <v>1416447086</v>
      </c>
      <c r="B3856" t="s">
        <v>18</v>
      </c>
      <c r="C3856" t="s">
        <v>5273</v>
      </c>
      <c r="D3856" t="s">
        <v>18995</v>
      </c>
      <c r="E3856">
        <v>424006</v>
      </c>
      <c r="F3856" t="s">
        <v>1</v>
      </c>
      <c r="G3856" t="s">
        <v>2</v>
      </c>
      <c r="H3856" t="s">
        <v>2012</v>
      </c>
      <c r="I3856" t="s">
        <v>18996</v>
      </c>
      <c r="L3856" t="s">
        <v>18997</v>
      </c>
      <c r="M3856" t="s">
        <v>18998</v>
      </c>
      <c r="P3856" t="s">
        <v>4848</v>
      </c>
      <c r="Y3856" t="s">
        <v>2016</v>
      </c>
    </row>
    <row r="3857" spans="1:25" x14ac:dyDescent="0.25">
      <c r="A3857" t="str">
        <f>"1416503860"</f>
        <v>1416503860</v>
      </c>
      <c r="B3857" t="s">
        <v>1152</v>
      </c>
      <c r="C3857" t="s">
        <v>1385</v>
      </c>
      <c r="D3857" t="s">
        <v>18999</v>
      </c>
      <c r="E3857">
        <v>424004</v>
      </c>
      <c r="F3857" t="s">
        <v>1</v>
      </c>
      <c r="G3857" t="s">
        <v>2</v>
      </c>
      <c r="H3857" t="s">
        <v>351</v>
      </c>
      <c r="I3857" t="s">
        <v>19000</v>
      </c>
      <c r="J3857" t="s">
        <v>19001</v>
      </c>
      <c r="P3857" t="s">
        <v>340</v>
      </c>
      <c r="Y3857" t="s">
        <v>354</v>
      </c>
    </row>
    <row r="3858" spans="1:25" x14ac:dyDescent="0.25">
      <c r="A3858" t="str">
        <f>"1416700917"</f>
        <v>1416700917</v>
      </c>
      <c r="B3858" t="s">
        <v>978</v>
      </c>
      <c r="C3858" t="s">
        <v>7568</v>
      </c>
      <c r="D3858" t="s">
        <v>19002</v>
      </c>
      <c r="E3858">
        <v>424002</v>
      </c>
      <c r="F3858" t="s">
        <v>1</v>
      </c>
      <c r="G3858" t="s">
        <v>2</v>
      </c>
      <c r="H3858" t="s">
        <v>6656</v>
      </c>
      <c r="I3858" t="s">
        <v>19003</v>
      </c>
      <c r="J3858" t="s">
        <v>19004</v>
      </c>
      <c r="L3858" t="s">
        <v>19005</v>
      </c>
      <c r="P3858" t="s">
        <v>19006</v>
      </c>
      <c r="Q3858" t="s">
        <v>19007</v>
      </c>
      <c r="V3858" t="s">
        <v>19008</v>
      </c>
      <c r="Y3858" t="s">
        <v>11652</v>
      </c>
    </row>
    <row r="3859" spans="1:25" x14ac:dyDescent="0.25">
      <c r="A3859" t="str">
        <f>"1417225069"</f>
        <v>1417225069</v>
      </c>
      <c r="B3859" t="s">
        <v>290</v>
      </c>
      <c r="C3859" t="s">
        <v>16169</v>
      </c>
      <c r="D3859" t="s">
        <v>19009</v>
      </c>
      <c r="E3859">
        <v>424000</v>
      </c>
      <c r="F3859" t="s">
        <v>1</v>
      </c>
      <c r="G3859" t="s">
        <v>2</v>
      </c>
      <c r="H3859" t="s">
        <v>5615</v>
      </c>
      <c r="I3859" t="s">
        <v>19010</v>
      </c>
      <c r="J3859" t="s">
        <v>19011</v>
      </c>
      <c r="L3859" t="s">
        <v>19012</v>
      </c>
      <c r="P3859" t="s">
        <v>1642</v>
      </c>
      <c r="Q3859" t="s">
        <v>19013</v>
      </c>
      <c r="Y3859" t="s">
        <v>19014</v>
      </c>
    </row>
    <row r="3860" spans="1:25" x14ac:dyDescent="0.25">
      <c r="A3860" t="str">
        <f>"1417514554"</f>
        <v>1417514554</v>
      </c>
      <c r="B3860" t="s">
        <v>151</v>
      </c>
      <c r="C3860" t="s">
        <v>151</v>
      </c>
      <c r="D3860" t="s">
        <v>19015</v>
      </c>
      <c r="E3860">
        <v>424039</v>
      </c>
      <c r="F3860" t="s">
        <v>1</v>
      </c>
      <c r="G3860" t="s">
        <v>2</v>
      </c>
      <c r="H3860" t="s">
        <v>19016</v>
      </c>
      <c r="Y3860" t="s">
        <v>19017</v>
      </c>
    </row>
    <row r="3861" spans="1:25" x14ac:dyDescent="0.25">
      <c r="A3861" t="str">
        <f>"1417651278"</f>
        <v>1417651278</v>
      </c>
      <c r="B3861" t="s">
        <v>96</v>
      </c>
      <c r="C3861" t="s">
        <v>8808</v>
      </c>
      <c r="D3861" t="s">
        <v>19018</v>
      </c>
      <c r="E3861">
        <v>424000</v>
      </c>
      <c r="F3861" t="s">
        <v>1</v>
      </c>
      <c r="G3861" t="s">
        <v>2</v>
      </c>
      <c r="H3861" t="s">
        <v>1473</v>
      </c>
      <c r="I3861" t="s">
        <v>19019</v>
      </c>
      <c r="P3861" t="s">
        <v>2315</v>
      </c>
      <c r="Y3861" t="s">
        <v>19020</v>
      </c>
    </row>
    <row r="3862" spans="1:25" x14ac:dyDescent="0.25">
      <c r="A3862" t="str">
        <f>"1417924133"</f>
        <v>1417924133</v>
      </c>
      <c r="B3862" t="s">
        <v>18</v>
      </c>
      <c r="C3862" t="s">
        <v>143</v>
      </c>
      <c r="D3862" t="s">
        <v>19021</v>
      </c>
      <c r="E3862">
        <v>424005</v>
      </c>
      <c r="F3862" t="s">
        <v>1</v>
      </c>
      <c r="G3862" t="s">
        <v>2</v>
      </c>
      <c r="H3862" t="s">
        <v>1310</v>
      </c>
      <c r="I3862" t="s">
        <v>19022</v>
      </c>
      <c r="J3862" t="s">
        <v>19023</v>
      </c>
      <c r="L3862" t="s">
        <v>19024</v>
      </c>
      <c r="M3862" t="s">
        <v>19025</v>
      </c>
      <c r="P3862" t="s">
        <v>152</v>
      </c>
      <c r="Y3862" t="s">
        <v>3926</v>
      </c>
    </row>
    <row r="3863" spans="1:25" x14ac:dyDescent="0.25">
      <c r="A3863" t="str">
        <f>"1418474208"</f>
        <v>1418474208</v>
      </c>
      <c r="B3863" t="s">
        <v>2601</v>
      </c>
      <c r="C3863" t="s">
        <v>5375</v>
      </c>
      <c r="D3863" t="s">
        <v>16352</v>
      </c>
      <c r="E3863">
        <v>424007</v>
      </c>
      <c r="F3863" t="s">
        <v>1</v>
      </c>
      <c r="G3863" t="s">
        <v>2</v>
      </c>
      <c r="H3863" t="s">
        <v>5178</v>
      </c>
      <c r="P3863" t="s">
        <v>2731</v>
      </c>
      <c r="Y3863" t="s">
        <v>19026</v>
      </c>
    </row>
    <row r="3864" spans="1:25" x14ac:dyDescent="0.25">
      <c r="A3864" t="str">
        <f>"1418512630"</f>
        <v>1418512630</v>
      </c>
      <c r="B3864" t="s">
        <v>797</v>
      </c>
      <c r="C3864" t="s">
        <v>19029</v>
      </c>
      <c r="D3864" t="s">
        <v>19027</v>
      </c>
      <c r="E3864">
        <v>424038</v>
      </c>
      <c r="F3864" t="s">
        <v>1</v>
      </c>
      <c r="G3864" t="s">
        <v>2</v>
      </c>
      <c r="H3864" t="s">
        <v>2741</v>
      </c>
      <c r="I3864" t="s">
        <v>19028</v>
      </c>
      <c r="P3864" t="s">
        <v>7980</v>
      </c>
      <c r="Y3864" t="s">
        <v>19030</v>
      </c>
    </row>
    <row r="3865" spans="1:25" x14ac:dyDescent="0.25">
      <c r="A3865" t="str">
        <f>"1419089346"</f>
        <v>1419089346</v>
      </c>
      <c r="B3865" t="s">
        <v>687</v>
      </c>
      <c r="C3865" t="s">
        <v>19034</v>
      </c>
      <c r="D3865" t="s">
        <v>19031</v>
      </c>
      <c r="E3865">
        <v>424030</v>
      </c>
      <c r="F3865" t="s">
        <v>1</v>
      </c>
      <c r="G3865" t="s">
        <v>2</v>
      </c>
      <c r="H3865" t="s">
        <v>15539</v>
      </c>
      <c r="J3865" t="s">
        <v>19032</v>
      </c>
      <c r="L3865" t="s">
        <v>19033</v>
      </c>
      <c r="P3865" t="s">
        <v>27</v>
      </c>
      <c r="Y3865" t="s">
        <v>19035</v>
      </c>
    </row>
    <row r="3866" spans="1:25" x14ac:dyDescent="0.25">
      <c r="A3866" t="str">
        <f>"1419165597"</f>
        <v>1419165597</v>
      </c>
      <c r="B3866" t="s">
        <v>32</v>
      </c>
      <c r="C3866" t="s">
        <v>2996</v>
      </c>
      <c r="D3866" t="s">
        <v>4989</v>
      </c>
      <c r="E3866">
        <v>424016</v>
      </c>
      <c r="F3866" t="s">
        <v>1</v>
      </c>
      <c r="G3866" t="s">
        <v>2</v>
      </c>
      <c r="H3866" t="s">
        <v>848</v>
      </c>
      <c r="P3866" t="s">
        <v>330</v>
      </c>
      <c r="Y3866" t="s">
        <v>855</v>
      </c>
    </row>
    <row r="3867" spans="1:25" x14ac:dyDescent="0.25">
      <c r="A3867" t="str">
        <f>"1419630379"</f>
        <v>1419630379</v>
      </c>
      <c r="B3867" t="s">
        <v>978</v>
      </c>
      <c r="C3867" t="s">
        <v>7568</v>
      </c>
      <c r="D3867" t="s">
        <v>19036</v>
      </c>
      <c r="E3867">
        <v>424007</v>
      </c>
      <c r="F3867" t="s">
        <v>1</v>
      </c>
      <c r="G3867" t="s">
        <v>2</v>
      </c>
      <c r="H3867" t="s">
        <v>819</v>
      </c>
      <c r="I3867" t="s">
        <v>19037</v>
      </c>
      <c r="J3867" t="s">
        <v>19038</v>
      </c>
      <c r="M3867" t="s">
        <v>19039</v>
      </c>
      <c r="P3867" t="s">
        <v>19040</v>
      </c>
      <c r="Y3867" t="s">
        <v>821</v>
      </c>
    </row>
    <row r="3868" spans="1:25" x14ac:dyDescent="0.25">
      <c r="A3868" t="str">
        <f>"1420358854"</f>
        <v>1420358854</v>
      </c>
      <c r="B3868" t="s">
        <v>176</v>
      </c>
      <c r="C3868" t="s">
        <v>566</v>
      </c>
      <c r="D3868" t="s">
        <v>19041</v>
      </c>
      <c r="E3868">
        <v>424007</v>
      </c>
      <c r="F3868" t="s">
        <v>1</v>
      </c>
      <c r="G3868" t="s">
        <v>2</v>
      </c>
      <c r="H3868" t="s">
        <v>19042</v>
      </c>
      <c r="I3868" t="s">
        <v>19043</v>
      </c>
      <c r="L3868" t="s">
        <v>19044</v>
      </c>
      <c r="M3868" t="s">
        <v>19045</v>
      </c>
      <c r="P3868" t="s">
        <v>330</v>
      </c>
      <c r="Q3868" t="s">
        <v>19046</v>
      </c>
      <c r="V3868" t="s">
        <v>19047</v>
      </c>
      <c r="Y3868" t="s">
        <v>19048</v>
      </c>
    </row>
    <row r="3869" spans="1:25" x14ac:dyDescent="0.25">
      <c r="A3869" t="str">
        <f>"1420413247"</f>
        <v>1420413247</v>
      </c>
      <c r="B3869" t="s">
        <v>1053</v>
      </c>
      <c r="C3869" t="s">
        <v>19053</v>
      </c>
      <c r="D3869" t="s">
        <v>19049</v>
      </c>
      <c r="E3869">
        <v>424026</v>
      </c>
      <c r="F3869" t="s">
        <v>1</v>
      </c>
      <c r="G3869" t="s">
        <v>2</v>
      </c>
      <c r="H3869" t="s">
        <v>7964</v>
      </c>
      <c r="I3869" t="s">
        <v>19050</v>
      </c>
      <c r="J3869" t="s">
        <v>19051</v>
      </c>
      <c r="L3869" t="s">
        <v>19052</v>
      </c>
      <c r="P3869" t="s">
        <v>390</v>
      </c>
      <c r="Y3869" t="s">
        <v>6422</v>
      </c>
    </row>
    <row r="3870" spans="1:25" x14ac:dyDescent="0.25">
      <c r="A3870" t="str">
        <f>"1420514951"</f>
        <v>1420514951</v>
      </c>
      <c r="B3870" t="s">
        <v>188</v>
      </c>
      <c r="C3870" t="s">
        <v>19059</v>
      </c>
      <c r="D3870" t="s">
        <v>19054</v>
      </c>
      <c r="E3870">
        <v>424006</v>
      </c>
      <c r="F3870" t="s">
        <v>1</v>
      </c>
      <c r="G3870" t="s">
        <v>2</v>
      </c>
      <c r="H3870" t="s">
        <v>19055</v>
      </c>
      <c r="I3870" t="s">
        <v>19056</v>
      </c>
      <c r="L3870" t="s">
        <v>19057</v>
      </c>
      <c r="M3870" t="s">
        <v>19058</v>
      </c>
      <c r="P3870" t="s">
        <v>5892</v>
      </c>
      <c r="Y3870" t="s">
        <v>19060</v>
      </c>
    </row>
    <row r="3871" spans="1:25" x14ac:dyDescent="0.25">
      <c r="A3871" t="str">
        <f>"1420913286"</f>
        <v>1420913286</v>
      </c>
      <c r="B3871" t="s">
        <v>1552</v>
      </c>
      <c r="C3871" t="s">
        <v>1552</v>
      </c>
      <c r="D3871" t="s">
        <v>19061</v>
      </c>
      <c r="E3871">
        <v>424006</v>
      </c>
      <c r="F3871" t="s">
        <v>1</v>
      </c>
      <c r="G3871" t="s">
        <v>2</v>
      </c>
      <c r="H3871" t="s">
        <v>17413</v>
      </c>
      <c r="I3871" t="s">
        <v>19062</v>
      </c>
      <c r="P3871" t="s">
        <v>3670</v>
      </c>
      <c r="Y3871" t="s">
        <v>19063</v>
      </c>
    </row>
    <row r="3872" spans="1:25" x14ac:dyDescent="0.25">
      <c r="A3872" t="str">
        <f>"1421625787"</f>
        <v>1421625787</v>
      </c>
      <c r="B3872" t="s">
        <v>123</v>
      </c>
      <c r="C3872" t="s">
        <v>424</v>
      </c>
      <c r="D3872" t="s">
        <v>19064</v>
      </c>
      <c r="E3872">
        <v>424019</v>
      </c>
      <c r="F3872" t="s">
        <v>1</v>
      </c>
      <c r="G3872" t="s">
        <v>2</v>
      </c>
      <c r="H3872" t="s">
        <v>12420</v>
      </c>
      <c r="J3872" t="s">
        <v>19065</v>
      </c>
      <c r="P3872" t="s">
        <v>19066</v>
      </c>
      <c r="Y3872" t="s">
        <v>19067</v>
      </c>
    </row>
    <row r="3873" spans="1:25" x14ac:dyDescent="0.25">
      <c r="A3873" t="str">
        <f>"1422205875"</f>
        <v>1422205875</v>
      </c>
      <c r="B3873" t="s">
        <v>18</v>
      </c>
      <c r="C3873" t="s">
        <v>19070</v>
      </c>
      <c r="D3873" t="s">
        <v>19068</v>
      </c>
      <c r="E3873">
        <v>424038</v>
      </c>
      <c r="F3873" t="s">
        <v>1</v>
      </c>
      <c r="G3873" t="s">
        <v>2</v>
      </c>
      <c r="H3873" t="s">
        <v>9164</v>
      </c>
      <c r="I3873" t="s">
        <v>19069</v>
      </c>
      <c r="P3873" t="s">
        <v>3393</v>
      </c>
      <c r="Q3873" t="s">
        <v>19071</v>
      </c>
      <c r="Y3873" t="s">
        <v>19072</v>
      </c>
    </row>
    <row r="3874" spans="1:25" x14ac:dyDescent="0.25">
      <c r="A3874" t="str">
        <f>"1422316148"</f>
        <v>1422316148</v>
      </c>
      <c r="B3874" t="s">
        <v>1152</v>
      </c>
      <c r="C3874" t="s">
        <v>1153</v>
      </c>
      <c r="D3874" t="s">
        <v>2418</v>
      </c>
      <c r="E3874">
        <v>424002</v>
      </c>
      <c r="F3874" t="s">
        <v>1</v>
      </c>
      <c r="G3874" t="s">
        <v>2</v>
      </c>
      <c r="H3874" t="s">
        <v>1395</v>
      </c>
      <c r="I3874" t="s">
        <v>19073</v>
      </c>
      <c r="L3874" t="s">
        <v>2420</v>
      </c>
      <c r="M3874" t="s">
        <v>2421</v>
      </c>
      <c r="P3874" t="s">
        <v>330</v>
      </c>
      <c r="Q3874" t="s">
        <v>2422</v>
      </c>
      <c r="R3874" t="s">
        <v>19074</v>
      </c>
      <c r="S3874" t="s">
        <v>19075</v>
      </c>
      <c r="T3874" t="s">
        <v>2425</v>
      </c>
      <c r="Y3874" t="s">
        <v>19076</v>
      </c>
    </row>
    <row r="3875" spans="1:25" x14ac:dyDescent="0.25">
      <c r="A3875" t="str">
        <f>"1423431660"</f>
        <v>1423431660</v>
      </c>
      <c r="B3875" t="s">
        <v>18</v>
      </c>
      <c r="C3875" t="s">
        <v>12269</v>
      </c>
      <c r="D3875" t="s">
        <v>3816</v>
      </c>
      <c r="E3875">
        <v>424016</v>
      </c>
      <c r="F3875" t="s">
        <v>1</v>
      </c>
      <c r="G3875" t="s">
        <v>2</v>
      </c>
      <c r="H3875" t="s">
        <v>12286</v>
      </c>
      <c r="J3875" t="s">
        <v>19077</v>
      </c>
      <c r="P3875" t="s">
        <v>280</v>
      </c>
      <c r="Y3875" t="s">
        <v>10401</v>
      </c>
    </row>
    <row r="3876" spans="1:25" x14ac:dyDescent="0.25">
      <c r="A3876" t="str">
        <f>"1425408508"</f>
        <v>1425408508</v>
      </c>
      <c r="B3876" t="s">
        <v>716</v>
      </c>
      <c r="C3876" t="s">
        <v>717</v>
      </c>
      <c r="D3876" t="s">
        <v>19078</v>
      </c>
      <c r="E3876">
        <v>424038</v>
      </c>
      <c r="F3876" t="s">
        <v>1</v>
      </c>
      <c r="G3876" t="s">
        <v>2</v>
      </c>
      <c r="H3876" t="s">
        <v>1038</v>
      </c>
      <c r="I3876" t="s">
        <v>19079</v>
      </c>
      <c r="P3876" t="s">
        <v>330</v>
      </c>
      <c r="Y3876" t="s">
        <v>1040</v>
      </c>
    </row>
    <row r="3877" spans="1:25" x14ac:dyDescent="0.25">
      <c r="A3877" t="str">
        <f>"1425659578"</f>
        <v>1425659578</v>
      </c>
      <c r="B3877" t="s">
        <v>32</v>
      </c>
      <c r="C3877" t="s">
        <v>777</v>
      </c>
      <c r="D3877" t="s">
        <v>19080</v>
      </c>
      <c r="E3877">
        <v>424007</v>
      </c>
      <c r="F3877" t="s">
        <v>1</v>
      </c>
      <c r="G3877" t="s">
        <v>2</v>
      </c>
      <c r="H3877" t="s">
        <v>11776</v>
      </c>
      <c r="P3877" t="s">
        <v>1404</v>
      </c>
      <c r="Y3877" t="s">
        <v>19081</v>
      </c>
    </row>
    <row r="3878" spans="1:25" x14ac:dyDescent="0.25">
      <c r="A3878" t="str">
        <f>"1426275824"</f>
        <v>1426275824</v>
      </c>
      <c r="B3878" t="s">
        <v>3573</v>
      </c>
      <c r="C3878" t="s">
        <v>19084</v>
      </c>
      <c r="D3878" t="s">
        <v>19082</v>
      </c>
      <c r="E3878">
        <v>424002</v>
      </c>
      <c r="F3878" t="s">
        <v>1</v>
      </c>
      <c r="G3878" t="s">
        <v>2</v>
      </c>
      <c r="H3878" t="s">
        <v>744</v>
      </c>
      <c r="J3878" t="s">
        <v>19083</v>
      </c>
      <c r="P3878" t="s">
        <v>312</v>
      </c>
      <c r="Y3878" t="s">
        <v>749</v>
      </c>
    </row>
    <row r="3879" spans="1:25" x14ac:dyDescent="0.25">
      <c r="A3879" t="str">
        <f>"1427288082"</f>
        <v>1427288082</v>
      </c>
      <c r="B3879" t="s">
        <v>978</v>
      </c>
      <c r="C3879" t="s">
        <v>19087</v>
      </c>
      <c r="D3879" t="s">
        <v>8307</v>
      </c>
      <c r="E3879">
        <v>424002</v>
      </c>
      <c r="F3879" t="s">
        <v>1</v>
      </c>
      <c r="G3879" t="s">
        <v>2</v>
      </c>
      <c r="H3879" t="s">
        <v>3098</v>
      </c>
      <c r="I3879" t="s">
        <v>19085</v>
      </c>
      <c r="J3879" t="s">
        <v>19086</v>
      </c>
      <c r="L3879" t="s">
        <v>8309</v>
      </c>
      <c r="M3879" t="s">
        <v>8310</v>
      </c>
      <c r="P3879" t="s">
        <v>3379</v>
      </c>
      <c r="R3879" t="s">
        <v>19088</v>
      </c>
      <c r="S3879" t="s">
        <v>19089</v>
      </c>
      <c r="U3879" t="s">
        <v>19090</v>
      </c>
      <c r="Y3879" t="s">
        <v>19091</v>
      </c>
    </row>
    <row r="3880" spans="1:25" x14ac:dyDescent="0.25">
      <c r="A3880" t="str">
        <f>"1427483866"</f>
        <v>1427483866</v>
      </c>
      <c r="B3880" t="s">
        <v>3573</v>
      </c>
      <c r="C3880" t="s">
        <v>5816</v>
      </c>
      <c r="D3880" t="s">
        <v>19092</v>
      </c>
      <c r="F3880" t="s">
        <v>1</v>
      </c>
      <c r="G3880" t="s">
        <v>2</v>
      </c>
      <c r="H3880" t="s">
        <v>3984</v>
      </c>
      <c r="J3880" t="s">
        <v>19093</v>
      </c>
      <c r="P3880" t="s">
        <v>27</v>
      </c>
      <c r="Y3880" t="s">
        <v>4409</v>
      </c>
    </row>
    <row r="3881" spans="1:25" x14ac:dyDescent="0.25">
      <c r="A3881" t="str">
        <f>"1427552415"</f>
        <v>1427552415</v>
      </c>
      <c r="B3881" t="s">
        <v>348</v>
      </c>
      <c r="C3881" t="s">
        <v>4366</v>
      </c>
      <c r="D3881" t="s">
        <v>19094</v>
      </c>
      <c r="E3881">
        <v>424038</v>
      </c>
      <c r="F3881" t="s">
        <v>1</v>
      </c>
      <c r="G3881" t="s">
        <v>2</v>
      </c>
      <c r="H3881" t="s">
        <v>16183</v>
      </c>
      <c r="I3881" t="s">
        <v>19095</v>
      </c>
      <c r="P3881" t="s">
        <v>941</v>
      </c>
      <c r="Y3881" t="s">
        <v>19096</v>
      </c>
    </row>
    <row r="3882" spans="1:25" x14ac:dyDescent="0.25">
      <c r="A3882" t="str">
        <f>"1427620720"</f>
        <v>1427620720</v>
      </c>
      <c r="B3882" t="s">
        <v>7312</v>
      </c>
      <c r="C3882" t="s">
        <v>19100</v>
      </c>
      <c r="D3882" t="s">
        <v>19097</v>
      </c>
      <c r="E3882">
        <v>424002</v>
      </c>
      <c r="F3882" t="s">
        <v>1</v>
      </c>
      <c r="G3882" t="s">
        <v>2</v>
      </c>
      <c r="H3882" t="s">
        <v>19098</v>
      </c>
      <c r="J3882" t="s">
        <v>19099</v>
      </c>
      <c r="P3882" t="s">
        <v>330</v>
      </c>
      <c r="Y3882" t="s">
        <v>19101</v>
      </c>
    </row>
    <row r="3883" spans="1:25" x14ac:dyDescent="0.25">
      <c r="A3883" t="str">
        <f>"1428016659"</f>
        <v>1428016659</v>
      </c>
      <c r="B3883" t="s">
        <v>1552</v>
      </c>
      <c r="C3883" t="s">
        <v>1553</v>
      </c>
      <c r="D3883" t="s">
        <v>1552</v>
      </c>
      <c r="E3883">
        <v>424038</v>
      </c>
      <c r="F3883" t="s">
        <v>1</v>
      </c>
      <c r="G3883" t="s">
        <v>2</v>
      </c>
      <c r="H3883" t="s">
        <v>19102</v>
      </c>
      <c r="I3883" t="s">
        <v>19103</v>
      </c>
      <c r="P3883" t="s">
        <v>3670</v>
      </c>
      <c r="Y3883" t="s">
        <v>19104</v>
      </c>
    </row>
    <row r="3884" spans="1:25" x14ac:dyDescent="0.25">
      <c r="A3884" t="str">
        <f>"1428085084"</f>
        <v>1428085084</v>
      </c>
      <c r="B3884" t="s">
        <v>430</v>
      </c>
      <c r="C3884" t="s">
        <v>10138</v>
      </c>
      <c r="D3884" t="s">
        <v>19105</v>
      </c>
      <c r="E3884">
        <v>424031</v>
      </c>
      <c r="F3884" t="s">
        <v>1</v>
      </c>
      <c r="G3884" t="s">
        <v>2</v>
      </c>
      <c r="H3884" t="s">
        <v>3962</v>
      </c>
      <c r="I3884" t="s">
        <v>19106</v>
      </c>
      <c r="J3884" t="s">
        <v>19107</v>
      </c>
      <c r="P3884" t="s">
        <v>2738</v>
      </c>
      <c r="Y3884" t="s">
        <v>19108</v>
      </c>
    </row>
    <row r="3885" spans="1:25" x14ac:dyDescent="0.25">
      <c r="A3885" t="str">
        <f>"1428228170"</f>
        <v>1428228170</v>
      </c>
      <c r="B3885" t="s">
        <v>224</v>
      </c>
      <c r="C3885" t="s">
        <v>4931</v>
      </c>
      <c r="D3885" t="s">
        <v>19109</v>
      </c>
      <c r="E3885">
        <v>424007</v>
      </c>
      <c r="F3885" t="s">
        <v>1</v>
      </c>
      <c r="G3885" t="s">
        <v>2</v>
      </c>
      <c r="H3885" t="s">
        <v>10252</v>
      </c>
      <c r="I3885" t="s">
        <v>19110</v>
      </c>
      <c r="L3885" t="s">
        <v>19111</v>
      </c>
      <c r="M3885" t="s">
        <v>19112</v>
      </c>
      <c r="P3885" t="s">
        <v>27</v>
      </c>
      <c r="Y3885" t="s">
        <v>10258</v>
      </c>
    </row>
    <row r="3886" spans="1:25" x14ac:dyDescent="0.25">
      <c r="A3886" t="str">
        <f>"1428902587"</f>
        <v>1428902587</v>
      </c>
      <c r="B3886" t="s">
        <v>1552</v>
      </c>
      <c r="C3886" t="s">
        <v>5112</v>
      </c>
      <c r="D3886" t="s">
        <v>19113</v>
      </c>
      <c r="E3886">
        <v>424031</v>
      </c>
      <c r="F3886" t="s">
        <v>1</v>
      </c>
      <c r="G3886" t="s">
        <v>2</v>
      </c>
      <c r="H3886" t="s">
        <v>10141</v>
      </c>
      <c r="I3886" t="s">
        <v>19114</v>
      </c>
      <c r="L3886" t="s">
        <v>19115</v>
      </c>
      <c r="M3886" t="s">
        <v>19116</v>
      </c>
      <c r="P3886" t="s">
        <v>2658</v>
      </c>
      <c r="Y3886" t="s">
        <v>19117</v>
      </c>
    </row>
    <row r="3887" spans="1:25" x14ac:dyDescent="0.25">
      <c r="A3887" t="str">
        <f>"1429202066"</f>
        <v>1429202066</v>
      </c>
      <c r="B3887" t="s">
        <v>88</v>
      </c>
      <c r="C3887" t="s">
        <v>2829</v>
      </c>
      <c r="D3887" t="s">
        <v>2824</v>
      </c>
      <c r="E3887">
        <v>424004</v>
      </c>
      <c r="F3887" t="s">
        <v>1</v>
      </c>
      <c r="G3887" t="s">
        <v>2</v>
      </c>
      <c r="H3887" t="s">
        <v>19118</v>
      </c>
      <c r="J3887" t="s">
        <v>2826</v>
      </c>
      <c r="L3887" t="s">
        <v>2827</v>
      </c>
      <c r="M3887" t="s">
        <v>2828</v>
      </c>
      <c r="P3887" t="s">
        <v>19119</v>
      </c>
      <c r="Y3887" t="s">
        <v>19120</v>
      </c>
    </row>
    <row r="3888" spans="1:25" x14ac:dyDescent="0.25">
      <c r="A3888" t="str">
        <f>"1429263849"</f>
        <v>1429263849</v>
      </c>
      <c r="B3888" t="s">
        <v>176</v>
      </c>
      <c r="C3888" t="s">
        <v>4741</v>
      </c>
      <c r="D3888" t="s">
        <v>11048</v>
      </c>
      <c r="E3888">
        <v>424003</v>
      </c>
      <c r="F3888" t="s">
        <v>1</v>
      </c>
      <c r="G3888" t="s">
        <v>2</v>
      </c>
      <c r="H3888" t="s">
        <v>1042</v>
      </c>
      <c r="I3888" t="s">
        <v>19121</v>
      </c>
      <c r="P3888" t="s">
        <v>19122</v>
      </c>
      <c r="Y3888" t="s">
        <v>11321</v>
      </c>
    </row>
    <row r="3889" spans="1:25" x14ac:dyDescent="0.25">
      <c r="A3889" t="str">
        <f>"1429592628"</f>
        <v>1429592628</v>
      </c>
      <c r="B3889" t="s">
        <v>1046</v>
      </c>
      <c r="C3889" t="s">
        <v>2695</v>
      </c>
      <c r="D3889" t="s">
        <v>19123</v>
      </c>
      <c r="E3889">
        <v>424006</v>
      </c>
      <c r="F3889" t="s">
        <v>1</v>
      </c>
      <c r="G3889" t="s">
        <v>2</v>
      </c>
      <c r="H3889" t="s">
        <v>19124</v>
      </c>
      <c r="I3889" t="s">
        <v>19125</v>
      </c>
      <c r="P3889" t="s">
        <v>330</v>
      </c>
      <c r="Y3889" t="s">
        <v>19126</v>
      </c>
    </row>
    <row r="3890" spans="1:25" x14ac:dyDescent="0.25">
      <c r="A3890" t="str">
        <f>"1429821646"</f>
        <v>1429821646</v>
      </c>
      <c r="B3890" t="s">
        <v>348</v>
      </c>
      <c r="C3890" t="s">
        <v>5728</v>
      </c>
      <c r="D3890" t="s">
        <v>19127</v>
      </c>
      <c r="E3890">
        <v>424000</v>
      </c>
      <c r="F3890" t="s">
        <v>1</v>
      </c>
      <c r="G3890" t="s">
        <v>2</v>
      </c>
      <c r="H3890" t="s">
        <v>2202</v>
      </c>
      <c r="I3890" t="s">
        <v>19128</v>
      </c>
      <c r="J3890" t="s">
        <v>19129</v>
      </c>
      <c r="P3890" t="s">
        <v>2050</v>
      </c>
      <c r="Y3890" t="s">
        <v>2204</v>
      </c>
    </row>
    <row r="3891" spans="1:25" x14ac:dyDescent="0.25">
      <c r="A3891" t="str">
        <f>"1430471708"</f>
        <v>1430471708</v>
      </c>
      <c r="B3891" t="s">
        <v>7312</v>
      </c>
      <c r="C3891" t="s">
        <v>19097</v>
      </c>
      <c r="D3891" t="s">
        <v>19130</v>
      </c>
      <c r="E3891">
        <v>424004</v>
      </c>
      <c r="F3891" t="s">
        <v>1</v>
      </c>
      <c r="G3891" t="s">
        <v>2</v>
      </c>
      <c r="H3891" t="s">
        <v>3489</v>
      </c>
      <c r="I3891" t="s">
        <v>19131</v>
      </c>
      <c r="P3891" t="s">
        <v>340</v>
      </c>
      <c r="Y3891" t="s">
        <v>8402</v>
      </c>
    </row>
    <row r="3892" spans="1:25" x14ac:dyDescent="0.25">
      <c r="A3892" t="str">
        <f>"1430910086"</f>
        <v>1430910086</v>
      </c>
      <c r="B3892" t="s">
        <v>96</v>
      </c>
      <c r="C3892" t="s">
        <v>893</v>
      </c>
      <c r="D3892" t="s">
        <v>19132</v>
      </c>
      <c r="E3892">
        <v>424038</v>
      </c>
      <c r="F3892" t="s">
        <v>1</v>
      </c>
      <c r="G3892" t="s">
        <v>2</v>
      </c>
      <c r="H3892" t="s">
        <v>7597</v>
      </c>
      <c r="P3892" t="s">
        <v>1642</v>
      </c>
      <c r="Y3892" t="s">
        <v>16150</v>
      </c>
    </row>
    <row r="3893" spans="1:25" x14ac:dyDescent="0.25">
      <c r="A3893" t="str">
        <f>"1431010539"</f>
        <v>1431010539</v>
      </c>
      <c r="B3893" t="s">
        <v>18</v>
      </c>
      <c r="C3893" t="s">
        <v>12269</v>
      </c>
      <c r="D3893" t="s">
        <v>19133</v>
      </c>
      <c r="E3893">
        <v>424006</v>
      </c>
      <c r="F3893" t="s">
        <v>1</v>
      </c>
      <c r="G3893" t="s">
        <v>2</v>
      </c>
      <c r="H3893" t="s">
        <v>751</v>
      </c>
      <c r="J3893" t="s">
        <v>19134</v>
      </c>
      <c r="P3893" t="s">
        <v>27</v>
      </c>
      <c r="Y3893" t="s">
        <v>755</v>
      </c>
    </row>
    <row r="3894" spans="1:25" x14ac:dyDescent="0.25">
      <c r="A3894" t="str">
        <f>"1432330280"</f>
        <v>1432330280</v>
      </c>
      <c r="B3894" t="s">
        <v>7</v>
      </c>
      <c r="C3894" t="s">
        <v>5559</v>
      </c>
      <c r="D3894" t="s">
        <v>18876</v>
      </c>
      <c r="E3894">
        <v>424004</v>
      </c>
      <c r="F3894" t="s">
        <v>1</v>
      </c>
      <c r="G3894" t="s">
        <v>2</v>
      </c>
      <c r="H3894" t="s">
        <v>5197</v>
      </c>
      <c r="I3894" t="s">
        <v>19135</v>
      </c>
      <c r="P3894" t="s">
        <v>27</v>
      </c>
      <c r="Y3894" t="s">
        <v>5200</v>
      </c>
    </row>
    <row r="3895" spans="1:25" x14ac:dyDescent="0.25">
      <c r="A3895" t="str">
        <f>"1432400983"</f>
        <v>1432400983</v>
      </c>
      <c r="B3895" t="s">
        <v>1299</v>
      </c>
      <c r="C3895" t="s">
        <v>1504</v>
      </c>
      <c r="D3895" t="s">
        <v>19136</v>
      </c>
      <c r="E3895">
        <v>424016</v>
      </c>
      <c r="F3895" t="s">
        <v>1</v>
      </c>
      <c r="G3895" t="s">
        <v>2</v>
      </c>
      <c r="H3895" t="s">
        <v>848</v>
      </c>
      <c r="J3895" t="s">
        <v>19137</v>
      </c>
      <c r="P3895" t="s">
        <v>2738</v>
      </c>
      <c r="Y3895" t="s">
        <v>855</v>
      </c>
    </row>
    <row r="3896" spans="1:25" x14ac:dyDescent="0.25">
      <c r="A3896" t="str">
        <f>"1432731848"</f>
        <v>1432731848</v>
      </c>
      <c r="B3896" t="s">
        <v>430</v>
      </c>
      <c r="C3896" t="s">
        <v>2683</v>
      </c>
      <c r="D3896" t="s">
        <v>19138</v>
      </c>
      <c r="F3896" t="s">
        <v>1</v>
      </c>
      <c r="G3896" t="s">
        <v>2</v>
      </c>
      <c r="H3896" t="s">
        <v>19139</v>
      </c>
      <c r="I3896" t="s">
        <v>19140</v>
      </c>
      <c r="L3896" t="s">
        <v>19141</v>
      </c>
      <c r="M3896" t="s">
        <v>19142</v>
      </c>
      <c r="P3896" t="s">
        <v>330</v>
      </c>
      <c r="Q3896" t="s">
        <v>19143</v>
      </c>
      <c r="V3896" t="s">
        <v>19144</v>
      </c>
      <c r="Y3896" t="s">
        <v>19145</v>
      </c>
    </row>
    <row r="3897" spans="1:25" x14ac:dyDescent="0.25">
      <c r="A3897" t="str">
        <f>"1432837306"</f>
        <v>1432837306</v>
      </c>
      <c r="B3897" t="s">
        <v>25</v>
      </c>
      <c r="C3897" t="s">
        <v>13425</v>
      </c>
      <c r="D3897" t="s">
        <v>19146</v>
      </c>
      <c r="E3897">
        <v>424020</v>
      </c>
      <c r="F3897" t="s">
        <v>1</v>
      </c>
      <c r="G3897" t="s">
        <v>2</v>
      </c>
      <c r="H3897" t="s">
        <v>1837</v>
      </c>
      <c r="Y3897" t="s">
        <v>19147</v>
      </c>
    </row>
    <row r="3898" spans="1:25" x14ac:dyDescent="0.25">
      <c r="A3898" t="str">
        <f>"1433245474"</f>
        <v>1433245474</v>
      </c>
      <c r="B3898" t="s">
        <v>1152</v>
      </c>
      <c r="C3898" t="s">
        <v>2124</v>
      </c>
      <c r="D3898" t="s">
        <v>19148</v>
      </c>
      <c r="E3898">
        <v>424000</v>
      </c>
      <c r="F3898" t="s">
        <v>1</v>
      </c>
      <c r="G3898" t="s">
        <v>2</v>
      </c>
      <c r="H3898" t="s">
        <v>3454</v>
      </c>
      <c r="J3898" t="s">
        <v>19149</v>
      </c>
      <c r="P3898" t="s">
        <v>19150</v>
      </c>
      <c r="Y3898" t="s">
        <v>1634</v>
      </c>
    </row>
    <row r="3899" spans="1:25" x14ac:dyDescent="0.25">
      <c r="A3899" t="str">
        <f>"1433942261"</f>
        <v>1433942261</v>
      </c>
      <c r="B3899" t="s">
        <v>348</v>
      </c>
      <c r="C3899" t="s">
        <v>9150</v>
      </c>
      <c r="D3899" t="s">
        <v>19151</v>
      </c>
      <c r="E3899">
        <v>424002</v>
      </c>
      <c r="F3899" t="s">
        <v>1</v>
      </c>
      <c r="G3899" t="s">
        <v>2</v>
      </c>
      <c r="H3899" t="s">
        <v>19152</v>
      </c>
      <c r="I3899" t="s">
        <v>19153</v>
      </c>
      <c r="L3899" t="s">
        <v>19154</v>
      </c>
      <c r="M3899" t="s">
        <v>19155</v>
      </c>
      <c r="P3899" t="s">
        <v>2731</v>
      </c>
      <c r="Q3899" t="s">
        <v>19156</v>
      </c>
      <c r="T3899" t="s">
        <v>19157</v>
      </c>
      <c r="V3899" t="s">
        <v>19158</v>
      </c>
      <c r="Y3899" t="s">
        <v>19159</v>
      </c>
    </row>
    <row r="3900" spans="1:25" x14ac:dyDescent="0.25">
      <c r="A3900" t="str">
        <f>"1434507711"</f>
        <v>1434507711</v>
      </c>
      <c r="B3900" t="s">
        <v>1343</v>
      </c>
      <c r="C3900" t="s">
        <v>13544</v>
      </c>
      <c r="D3900" t="s">
        <v>19160</v>
      </c>
      <c r="E3900">
        <v>424000</v>
      </c>
      <c r="F3900" t="s">
        <v>1</v>
      </c>
      <c r="G3900" t="s">
        <v>2</v>
      </c>
      <c r="H3900" t="s">
        <v>1531</v>
      </c>
      <c r="J3900" t="s">
        <v>19161</v>
      </c>
      <c r="L3900" t="s">
        <v>19162</v>
      </c>
      <c r="P3900" t="s">
        <v>941</v>
      </c>
      <c r="Q3900" t="s">
        <v>19163</v>
      </c>
      <c r="Y3900" t="s">
        <v>19164</v>
      </c>
    </row>
    <row r="3901" spans="1:25" x14ac:dyDescent="0.25">
      <c r="A3901" t="str">
        <f>"1434881677"</f>
        <v>1434881677</v>
      </c>
      <c r="B3901" t="s">
        <v>1152</v>
      </c>
      <c r="C3901" t="s">
        <v>1153</v>
      </c>
      <c r="D3901" t="s">
        <v>19165</v>
      </c>
      <c r="E3901">
        <v>424000</v>
      </c>
      <c r="F3901" t="s">
        <v>1</v>
      </c>
      <c r="G3901" t="s">
        <v>2</v>
      </c>
      <c r="H3901" t="s">
        <v>17190</v>
      </c>
      <c r="I3901" t="s">
        <v>19166</v>
      </c>
      <c r="L3901" t="s">
        <v>19167</v>
      </c>
      <c r="M3901" t="s">
        <v>19168</v>
      </c>
      <c r="P3901" t="s">
        <v>458</v>
      </c>
      <c r="Q3901" t="s">
        <v>19169</v>
      </c>
      <c r="S3901" t="s">
        <v>19170</v>
      </c>
      <c r="T3901" t="s">
        <v>19171</v>
      </c>
      <c r="Y3901" t="s">
        <v>19172</v>
      </c>
    </row>
    <row r="3902" spans="1:25" x14ac:dyDescent="0.25">
      <c r="A3902" t="str">
        <f>"1435698198"</f>
        <v>1435698198</v>
      </c>
      <c r="B3902" t="s">
        <v>151</v>
      </c>
      <c r="C3902" t="s">
        <v>1034</v>
      </c>
      <c r="D3902" t="s">
        <v>19173</v>
      </c>
      <c r="E3902">
        <v>424002</v>
      </c>
      <c r="F3902" t="s">
        <v>1</v>
      </c>
      <c r="G3902" t="s">
        <v>2</v>
      </c>
      <c r="H3902" t="s">
        <v>7367</v>
      </c>
      <c r="I3902" t="s">
        <v>19174</v>
      </c>
      <c r="J3902" t="s">
        <v>19175</v>
      </c>
      <c r="P3902" t="s">
        <v>27</v>
      </c>
      <c r="Q3902" t="s">
        <v>19176</v>
      </c>
      <c r="Y3902" t="s">
        <v>19177</v>
      </c>
    </row>
    <row r="3903" spans="1:25" x14ac:dyDescent="0.25">
      <c r="A3903" t="str">
        <f>"1436440438"</f>
        <v>1436440438</v>
      </c>
      <c r="B3903" t="s">
        <v>348</v>
      </c>
      <c r="C3903" t="s">
        <v>4366</v>
      </c>
      <c r="D3903" t="s">
        <v>19178</v>
      </c>
      <c r="E3903">
        <v>424037</v>
      </c>
      <c r="F3903" t="s">
        <v>1</v>
      </c>
      <c r="G3903" t="s">
        <v>2</v>
      </c>
      <c r="H3903" t="s">
        <v>18247</v>
      </c>
      <c r="I3903" t="s">
        <v>19179</v>
      </c>
      <c r="P3903" t="s">
        <v>19180</v>
      </c>
      <c r="Y3903" t="s">
        <v>19181</v>
      </c>
    </row>
    <row r="3904" spans="1:25" x14ac:dyDescent="0.25">
      <c r="A3904" t="str">
        <f>"1436521539"</f>
        <v>1436521539</v>
      </c>
      <c r="B3904" t="s">
        <v>48</v>
      </c>
      <c r="C3904" t="s">
        <v>19185</v>
      </c>
      <c r="D3904" t="s">
        <v>19182</v>
      </c>
      <c r="E3904">
        <v>424007</v>
      </c>
      <c r="F3904" t="s">
        <v>1</v>
      </c>
      <c r="G3904" t="s">
        <v>2</v>
      </c>
      <c r="H3904" t="s">
        <v>5647</v>
      </c>
      <c r="I3904" t="s">
        <v>19183</v>
      </c>
      <c r="L3904" t="s">
        <v>15279</v>
      </c>
      <c r="M3904" t="s">
        <v>19184</v>
      </c>
      <c r="P3904" t="s">
        <v>19186</v>
      </c>
      <c r="Q3904" t="s">
        <v>19187</v>
      </c>
      <c r="V3904" t="s">
        <v>19188</v>
      </c>
      <c r="Y3904" t="s">
        <v>19189</v>
      </c>
    </row>
    <row r="3905" spans="1:25" x14ac:dyDescent="0.25">
      <c r="A3905" t="str">
        <f>"1437019442"</f>
        <v>1437019442</v>
      </c>
      <c r="B3905" t="s">
        <v>624</v>
      </c>
      <c r="C3905" t="s">
        <v>1637</v>
      </c>
      <c r="D3905" t="s">
        <v>19190</v>
      </c>
      <c r="E3905">
        <v>424004</v>
      </c>
      <c r="F3905" t="s">
        <v>1</v>
      </c>
      <c r="G3905" t="s">
        <v>2</v>
      </c>
      <c r="H3905" t="s">
        <v>17461</v>
      </c>
      <c r="I3905" t="s">
        <v>19191</v>
      </c>
      <c r="J3905" t="s">
        <v>19192</v>
      </c>
      <c r="P3905" t="s">
        <v>19193</v>
      </c>
      <c r="Y3905" t="s">
        <v>19194</v>
      </c>
    </row>
    <row r="3906" spans="1:25" x14ac:dyDescent="0.25">
      <c r="A3906" t="str">
        <f>"1437475755"</f>
        <v>1437475755</v>
      </c>
      <c r="B3906" t="s">
        <v>930</v>
      </c>
      <c r="C3906" t="s">
        <v>6070</v>
      </c>
      <c r="D3906" t="s">
        <v>6070</v>
      </c>
      <c r="E3906">
        <v>424007</v>
      </c>
      <c r="F3906" t="s">
        <v>1</v>
      </c>
      <c r="G3906" t="s">
        <v>2</v>
      </c>
      <c r="H3906" t="s">
        <v>19195</v>
      </c>
      <c r="I3906" t="s">
        <v>19196</v>
      </c>
      <c r="J3906" t="s">
        <v>19197</v>
      </c>
      <c r="P3906" t="s">
        <v>330</v>
      </c>
      <c r="Y3906" t="s">
        <v>19198</v>
      </c>
    </row>
    <row r="3907" spans="1:25" x14ac:dyDescent="0.25">
      <c r="A3907" t="str">
        <f>"1437511267"</f>
        <v>1437511267</v>
      </c>
      <c r="B3907" t="s">
        <v>1152</v>
      </c>
      <c r="C3907" t="s">
        <v>1159</v>
      </c>
      <c r="D3907" t="s">
        <v>19199</v>
      </c>
      <c r="E3907">
        <v>424032</v>
      </c>
      <c r="F3907" t="s">
        <v>1</v>
      </c>
      <c r="G3907" t="s">
        <v>2</v>
      </c>
      <c r="H3907" t="s">
        <v>6675</v>
      </c>
      <c r="I3907" t="s">
        <v>19200</v>
      </c>
      <c r="J3907" t="s">
        <v>17873</v>
      </c>
      <c r="P3907" t="s">
        <v>1027</v>
      </c>
      <c r="Y3907" t="s">
        <v>19201</v>
      </c>
    </row>
    <row r="3908" spans="1:25" x14ac:dyDescent="0.25">
      <c r="A3908" t="str">
        <f>"1437892537"</f>
        <v>1437892537</v>
      </c>
      <c r="B3908" t="s">
        <v>1493</v>
      </c>
      <c r="C3908" t="s">
        <v>2355</v>
      </c>
      <c r="D3908" t="s">
        <v>19202</v>
      </c>
      <c r="E3908">
        <v>424038</v>
      </c>
      <c r="F3908" t="s">
        <v>1</v>
      </c>
      <c r="G3908" t="s">
        <v>2</v>
      </c>
      <c r="H3908" t="s">
        <v>16988</v>
      </c>
      <c r="I3908" t="s">
        <v>19203</v>
      </c>
      <c r="L3908" t="s">
        <v>19204</v>
      </c>
      <c r="M3908" t="s">
        <v>19205</v>
      </c>
      <c r="P3908" t="s">
        <v>152</v>
      </c>
      <c r="Y3908" t="s">
        <v>19206</v>
      </c>
    </row>
    <row r="3909" spans="1:25" x14ac:dyDescent="0.25">
      <c r="A3909" t="str">
        <f>"1438240969"</f>
        <v>1438240969</v>
      </c>
      <c r="B3909" t="s">
        <v>1053</v>
      </c>
      <c r="C3909" t="s">
        <v>11751</v>
      </c>
      <c r="D3909" t="s">
        <v>19207</v>
      </c>
      <c r="F3909" t="s">
        <v>1</v>
      </c>
      <c r="G3909" t="s">
        <v>2</v>
      </c>
      <c r="H3909" t="s">
        <v>3984</v>
      </c>
      <c r="I3909" t="s">
        <v>19208</v>
      </c>
      <c r="J3909" t="s">
        <v>19209</v>
      </c>
      <c r="P3909" t="s">
        <v>2951</v>
      </c>
      <c r="Y3909" t="s">
        <v>4409</v>
      </c>
    </row>
    <row r="3910" spans="1:25" x14ac:dyDescent="0.25">
      <c r="A3910" t="str">
        <f>"1438430056"</f>
        <v>1438430056</v>
      </c>
      <c r="B3910" t="s">
        <v>3200</v>
      </c>
      <c r="C3910" t="s">
        <v>18948</v>
      </c>
      <c r="D3910" t="s">
        <v>19210</v>
      </c>
      <c r="E3910">
        <v>424002</v>
      </c>
      <c r="F3910" t="s">
        <v>1</v>
      </c>
      <c r="G3910" t="s">
        <v>2</v>
      </c>
      <c r="H3910" t="s">
        <v>19211</v>
      </c>
      <c r="I3910" t="s">
        <v>19212</v>
      </c>
      <c r="J3910" t="s">
        <v>19213</v>
      </c>
      <c r="P3910" t="s">
        <v>19214</v>
      </c>
      <c r="Y3910" t="s">
        <v>19215</v>
      </c>
    </row>
    <row r="3911" spans="1:25" x14ac:dyDescent="0.25">
      <c r="A3911" t="str">
        <f>"1439312849"</f>
        <v>1439312849</v>
      </c>
      <c r="B3911" t="s">
        <v>319</v>
      </c>
      <c r="C3911" t="s">
        <v>320</v>
      </c>
      <c r="D3911" t="s">
        <v>19216</v>
      </c>
      <c r="E3911">
        <v>424038</v>
      </c>
      <c r="F3911" t="s">
        <v>1</v>
      </c>
      <c r="G3911" t="s">
        <v>2</v>
      </c>
      <c r="H3911" t="s">
        <v>7597</v>
      </c>
      <c r="I3911" t="s">
        <v>19217</v>
      </c>
      <c r="L3911" t="s">
        <v>19218</v>
      </c>
      <c r="M3911" t="s">
        <v>19219</v>
      </c>
      <c r="P3911" t="s">
        <v>1642</v>
      </c>
      <c r="Q3911" t="s">
        <v>19220</v>
      </c>
      <c r="R3911" t="s">
        <v>19221</v>
      </c>
      <c r="S3911" t="s">
        <v>19222</v>
      </c>
      <c r="T3911" t="s">
        <v>19223</v>
      </c>
      <c r="U3911" t="s">
        <v>19224</v>
      </c>
      <c r="V3911" t="s">
        <v>19225</v>
      </c>
      <c r="Y3911" t="s">
        <v>19226</v>
      </c>
    </row>
    <row r="3912" spans="1:25" x14ac:dyDescent="0.25">
      <c r="A3912" t="str">
        <f>"1439812721"</f>
        <v>1439812721</v>
      </c>
      <c r="B3912" t="s">
        <v>797</v>
      </c>
      <c r="C3912" t="s">
        <v>5123</v>
      </c>
      <c r="D3912" t="s">
        <v>19227</v>
      </c>
      <c r="E3912">
        <v>424020</v>
      </c>
      <c r="F3912" t="s">
        <v>1</v>
      </c>
      <c r="G3912" t="s">
        <v>2</v>
      </c>
      <c r="H3912" t="s">
        <v>14474</v>
      </c>
      <c r="J3912" t="s">
        <v>19228</v>
      </c>
      <c r="P3912" t="s">
        <v>1679</v>
      </c>
      <c r="Y3912" t="s">
        <v>14476</v>
      </c>
    </row>
    <row r="3913" spans="1:25" x14ac:dyDescent="0.25">
      <c r="A3913" t="str">
        <f>"1440346198"</f>
        <v>1440346198</v>
      </c>
      <c r="B3913" t="s">
        <v>1352</v>
      </c>
      <c r="C3913" t="s">
        <v>1353</v>
      </c>
      <c r="D3913" t="s">
        <v>19229</v>
      </c>
      <c r="E3913">
        <v>424038</v>
      </c>
      <c r="F3913" t="s">
        <v>1</v>
      </c>
      <c r="G3913" t="s">
        <v>2</v>
      </c>
      <c r="H3913" t="s">
        <v>12580</v>
      </c>
      <c r="I3913" t="s">
        <v>19230</v>
      </c>
      <c r="J3913" t="s">
        <v>19231</v>
      </c>
      <c r="P3913" t="s">
        <v>19232</v>
      </c>
      <c r="Y3913" t="s">
        <v>12586</v>
      </c>
    </row>
    <row r="3914" spans="1:25" x14ac:dyDescent="0.25">
      <c r="A3914" t="str">
        <f>"1440864110"</f>
        <v>1440864110</v>
      </c>
      <c r="B3914" t="s">
        <v>18</v>
      </c>
      <c r="C3914" t="s">
        <v>959</v>
      </c>
      <c r="D3914" t="s">
        <v>19233</v>
      </c>
      <c r="E3914">
        <v>424036</v>
      </c>
      <c r="F3914" t="s">
        <v>1</v>
      </c>
      <c r="G3914" t="s">
        <v>2</v>
      </c>
      <c r="H3914" t="s">
        <v>2291</v>
      </c>
      <c r="I3914" t="s">
        <v>19234</v>
      </c>
      <c r="L3914" t="s">
        <v>19235</v>
      </c>
      <c r="M3914" t="s">
        <v>19236</v>
      </c>
      <c r="P3914" t="s">
        <v>17269</v>
      </c>
      <c r="Y3914" t="s">
        <v>2872</v>
      </c>
    </row>
    <row r="3915" spans="1:25" x14ac:dyDescent="0.25">
      <c r="A3915" t="str">
        <f>"1441996515"</f>
        <v>1441996515</v>
      </c>
      <c r="B3915" t="s">
        <v>1552</v>
      </c>
      <c r="C3915" t="s">
        <v>1552</v>
      </c>
      <c r="D3915" t="s">
        <v>15830</v>
      </c>
      <c r="E3915">
        <v>424000</v>
      </c>
      <c r="F3915" t="s">
        <v>1</v>
      </c>
      <c r="G3915" t="s">
        <v>2</v>
      </c>
      <c r="H3915" t="s">
        <v>2202</v>
      </c>
      <c r="I3915" t="s">
        <v>19237</v>
      </c>
      <c r="P3915" t="s">
        <v>5483</v>
      </c>
      <c r="Y3915" t="s">
        <v>19238</v>
      </c>
    </row>
    <row r="3916" spans="1:25" x14ac:dyDescent="0.25">
      <c r="A3916" t="str">
        <f>"1442228339"</f>
        <v>1442228339</v>
      </c>
      <c r="B3916" t="s">
        <v>48</v>
      </c>
      <c r="C3916" t="s">
        <v>19241</v>
      </c>
      <c r="D3916" t="s">
        <v>19239</v>
      </c>
      <c r="E3916">
        <v>424030</v>
      </c>
      <c r="F3916" t="s">
        <v>1</v>
      </c>
      <c r="G3916" t="s">
        <v>2</v>
      </c>
      <c r="H3916" t="s">
        <v>440</v>
      </c>
      <c r="J3916" t="s">
        <v>19240</v>
      </c>
      <c r="P3916" t="s">
        <v>2280</v>
      </c>
      <c r="Y3916" t="s">
        <v>4115</v>
      </c>
    </row>
    <row r="3917" spans="1:25" x14ac:dyDescent="0.25">
      <c r="A3917" t="str">
        <f>"1442472737"</f>
        <v>1442472737</v>
      </c>
      <c r="B3917" t="s">
        <v>640</v>
      </c>
      <c r="C3917" t="s">
        <v>19247</v>
      </c>
      <c r="D3917" t="s">
        <v>19242</v>
      </c>
      <c r="E3917">
        <v>424020</v>
      </c>
      <c r="F3917" t="s">
        <v>1</v>
      </c>
      <c r="G3917" t="s">
        <v>2</v>
      </c>
      <c r="H3917" t="s">
        <v>19243</v>
      </c>
      <c r="I3917" t="s">
        <v>19244</v>
      </c>
      <c r="L3917" t="s">
        <v>19245</v>
      </c>
      <c r="M3917" t="s">
        <v>19246</v>
      </c>
      <c r="P3917" t="s">
        <v>1270</v>
      </c>
      <c r="Y3917" t="s">
        <v>19248</v>
      </c>
    </row>
    <row r="3918" spans="1:25" x14ac:dyDescent="0.25">
      <c r="A3918" t="str">
        <f>"1443347933"</f>
        <v>1443347933</v>
      </c>
      <c r="B3918" t="s">
        <v>160</v>
      </c>
      <c r="C3918" t="s">
        <v>19253</v>
      </c>
      <c r="D3918" t="s">
        <v>19249</v>
      </c>
      <c r="E3918">
        <v>424020</v>
      </c>
      <c r="F3918" t="s">
        <v>1</v>
      </c>
      <c r="G3918" t="s">
        <v>2</v>
      </c>
      <c r="H3918" t="s">
        <v>23</v>
      </c>
      <c r="I3918" t="s">
        <v>19250</v>
      </c>
      <c r="L3918" t="s">
        <v>19251</v>
      </c>
      <c r="M3918" t="s">
        <v>19252</v>
      </c>
      <c r="P3918" t="s">
        <v>330</v>
      </c>
      <c r="Q3918" t="s">
        <v>19254</v>
      </c>
      <c r="S3918" t="s">
        <v>19255</v>
      </c>
      <c r="V3918" t="s">
        <v>19256</v>
      </c>
      <c r="Y3918" t="s">
        <v>19257</v>
      </c>
    </row>
    <row r="3919" spans="1:25" x14ac:dyDescent="0.25">
      <c r="A3919" t="str">
        <f>"1444313098"</f>
        <v>1444313098</v>
      </c>
      <c r="B3919" t="s">
        <v>930</v>
      </c>
      <c r="C3919" t="s">
        <v>10263</v>
      </c>
      <c r="D3919" t="s">
        <v>19258</v>
      </c>
      <c r="F3919" t="s">
        <v>1</v>
      </c>
      <c r="G3919" t="s">
        <v>2</v>
      </c>
      <c r="H3919" t="s">
        <v>19259</v>
      </c>
      <c r="P3919" t="s">
        <v>133</v>
      </c>
      <c r="Y3919" t="s">
        <v>19260</v>
      </c>
    </row>
    <row r="3920" spans="1:25" x14ac:dyDescent="0.25">
      <c r="A3920" t="str">
        <f>"1444740574"</f>
        <v>1444740574</v>
      </c>
      <c r="B3920" t="s">
        <v>519</v>
      </c>
      <c r="C3920" t="s">
        <v>19264</v>
      </c>
      <c r="D3920" t="s">
        <v>13560</v>
      </c>
      <c r="E3920">
        <v>424033</v>
      </c>
      <c r="F3920" t="s">
        <v>1</v>
      </c>
      <c r="G3920" t="s">
        <v>2</v>
      </c>
      <c r="H3920" t="s">
        <v>19261</v>
      </c>
      <c r="I3920" t="s">
        <v>19262</v>
      </c>
      <c r="J3920" t="s">
        <v>19263</v>
      </c>
      <c r="P3920" t="s">
        <v>19265</v>
      </c>
      <c r="Y3920" t="s">
        <v>19266</v>
      </c>
    </row>
    <row r="3921" spans="1:25" x14ac:dyDescent="0.25">
      <c r="A3921" t="str">
        <f>"1444856439"</f>
        <v>1444856439</v>
      </c>
      <c r="B3921" t="s">
        <v>519</v>
      </c>
      <c r="C3921" t="s">
        <v>19269</v>
      </c>
      <c r="D3921" t="s">
        <v>19267</v>
      </c>
      <c r="E3921">
        <v>424031</v>
      </c>
      <c r="F3921" t="s">
        <v>1</v>
      </c>
      <c r="G3921" t="s">
        <v>2</v>
      </c>
      <c r="H3921" t="s">
        <v>14920</v>
      </c>
      <c r="I3921" t="s">
        <v>19268</v>
      </c>
      <c r="P3921" t="s">
        <v>6400</v>
      </c>
      <c r="Y3921" t="s">
        <v>19270</v>
      </c>
    </row>
    <row r="3922" spans="1:25" x14ac:dyDescent="0.25">
      <c r="A3922" t="str">
        <f>"1445000342"</f>
        <v>1445000342</v>
      </c>
      <c r="B3922" t="s">
        <v>18</v>
      </c>
      <c r="C3922" t="s">
        <v>2593</v>
      </c>
      <c r="D3922" t="s">
        <v>19271</v>
      </c>
      <c r="E3922">
        <v>424016</v>
      </c>
      <c r="F3922" t="s">
        <v>1</v>
      </c>
      <c r="G3922" t="s">
        <v>2</v>
      </c>
      <c r="H3922" t="s">
        <v>19272</v>
      </c>
      <c r="P3922" t="s">
        <v>330</v>
      </c>
      <c r="Y3922" t="s">
        <v>19273</v>
      </c>
    </row>
    <row r="3923" spans="1:25" x14ac:dyDescent="0.25">
      <c r="A3923" t="str">
        <f>"1445255438"</f>
        <v>1445255438</v>
      </c>
      <c r="B3923" t="s">
        <v>176</v>
      </c>
      <c r="C3923" t="s">
        <v>566</v>
      </c>
      <c r="D3923" t="s">
        <v>19274</v>
      </c>
      <c r="E3923">
        <v>424032</v>
      </c>
      <c r="F3923" t="s">
        <v>1</v>
      </c>
      <c r="G3923" t="s">
        <v>2</v>
      </c>
      <c r="H3923" t="s">
        <v>4910</v>
      </c>
      <c r="I3923" t="s">
        <v>19275</v>
      </c>
      <c r="J3923" t="s">
        <v>19276</v>
      </c>
      <c r="P3923" t="s">
        <v>330</v>
      </c>
      <c r="Q3923" t="s">
        <v>19277</v>
      </c>
      <c r="Y3923" t="s">
        <v>19278</v>
      </c>
    </row>
    <row r="3924" spans="1:25" x14ac:dyDescent="0.25">
      <c r="A3924" t="str">
        <f>"1445431319"</f>
        <v>1445431319</v>
      </c>
      <c r="B3924" t="s">
        <v>96</v>
      </c>
      <c r="C3924" t="s">
        <v>19281</v>
      </c>
      <c r="D3924" t="s">
        <v>19279</v>
      </c>
      <c r="E3924">
        <v>424000</v>
      </c>
      <c r="F3924" t="s">
        <v>1</v>
      </c>
      <c r="G3924" t="s">
        <v>2</v>
      </c>
      <c r="H3924" t="s">
        <v>7049</v>
      </c>
      <c r="I3924" t="s">
        <v>19280</v>
      </c>
      <c r="L3924" t="s">
        <v>11137</v>
      </c>
      <c r="P3924" t="s">
        <v>471</v>
      </c>
      <c r="Y3924" t="s">
        <v>19282</v>
      </c>
    </row>
    <row r="3925" spans="1:25" x14ac:dyDescent="0.25">
      <c r="A3925" t="str">
        <f>"1446617788"</f>
        <v>1446617788</v>
      </c>
      <c r="B3925" t="s">
        <v>123</v>
      </c>
      <c r="C3925" t="s">
        <v>196</v>
      </c>
      <c r="D3925" t="s">
        <v>19283</v>
      </c>
      <c r="E3925">
        <v>424005</v>
      </c>
      <c r="F3925" t="s">
        <v>1</v>
      </c>
      <c r="G3925" t="s">
        <v>2</v>
      </c>
      <c r="H3925" t="s">
        <v>2988</v>
      </c>
      <c r="J3925" t="s">
        <v>19284</v>
      </c>
      <c r="P3925" t="s">
        <v>19285</v>
      </c>
      <c r="Y3925" t="s">
        <v>19286</v>
      </c>
    </row>
    <row r="3926" spans="1:25" x14ac:dyDescent="0.25">
      <c r="A3926" t="str">
        <f>"1448452068"</f>
        <v>1448452068</v>
      </c>
      <c r="B3926" t="s">
        <v>151</v>
      </c>
      <c r="C3926" t="s">
        <v>151</v>
      </c>
      <c r="D3926" t="s">
        <v>19287</v>
      </c>
      <c r="E3926">
        <v>424037</v>
      </c>
      <c r="F3926" t="s">
        <v>1</v>
      </c>
      <c r="G3926" t="s">
        <v>2</v>
      </c>
      <c r="H3926" t="s">
        <v>315</v>
      </c>
      <c r="J3926" t="s">
        <v>19288</v>
      </c>
      <c r="P3926" t="s">
        <v>152</v>
      </c>
      <c r="Y3926" t="s">
        <v>7715</v>
      </c>
    </row>
    <row r="3927" spans="1:25" x14ac:dyDescent="0.25">
      <c r="A3927" t="str">
        <f>"1449386733"</f>
        <v>1449386733</v>
      </c>
      <c r="B3927" t="s">
        <v>7</v>
      </c>
      <c r="C3927" t="s">
        <v>19294</v>
      </c>
      <c r="D3927" t="s">
        <v>19289</v>
      </c>
      <c r="E3927">
        <v>424019</v>
      </c>
      <c r="F3927" t="s">
        <v>1</v>
      </c>
      <c r="G3927" t="s">
        <v>2</v>
      </c>
      <c r="H3927" t="s">
        <v>19290</v>
      </c>
      <c r="I3927" t="s">
        <v>19291</v>
      </c>
      <c r="J3927" t="s">
        <v>19292</v>
      </c>
      <c r="L3927" t="s">
        <v>19293</v>
      </c>
      <c r="P3927" t="s">
        <v>27</v>
      </c>
      <c r="Q3927" t="s">
        <v>19295</v>
      </c>
      <c r="S3927" t="s">
        <v>19296</v>
      </c>
      <c r="T3927" t="s">
        <v>19297</v>
      </c>
      <c r="Y3927" t="s">
        <v>19298</v>
      </c>
    </row>
    <row r="3928" spans="1:25" x14ac:dyDescent="0.25">
      <c r="A3928" t="str">
        <f>"1449748342"</f>
        <v>1449748342</v>
      </c>
      <c r="B3928" t="s">
        <v>790</v>
      </c>
      <c r="C3928" t="s">
        <v>4693</v>
      </c>
      <c r="D3928" t="s">
        <v>19299</v>
      </c>
      <c r="E3928">
        <v>424020</v>
      </c>
      <c r="F3928" t="s">
        <v>1</v>
      </c>
      <c r="G3928" t="s">
        <v>2</v>
      </c>
      <c r="H3928" t="s">
        <v>14474</v>
      </c>
      <c r="I3928" t="s">
        <v>19300</v>
      </c>
      <c r="P3928" t="s">
        <v>1027</v>
      </c>
      <c r="Y3928" t="s">
        <v>19301</v>
      </c>
    </row>
    <row r="3929" spans="1:25" x14ac:dyDescent="0.25">
      <c r="A3929" t="str">
        <f>"1450310242"</f>
        <v>1450310242</v>
      </c>
      <c r="B3929" t="s">
        <v>88</v>
      </c>
      <c r="C3929" t="s">
        <v>19306</v>
      </c>
      <c r="D3929" t="s">
        <v>19302</v>
      </c>
      <c r="E3929">
        <v>424004</v>
      </c>
      <c r="F3929" t="s">
        <v>1</v>
      </c>
      <c r="G3929" t="s">
        <v>2</v>
      </c>
      <c r="H3929" t="s">
        <v>906</v>
      </c>
      <c r="I3929" t="s">
        <v>19303</v>
      </c>
      <c r="L3929" t="s">
        <v>19304</v>
      </c>
      <c r="M3929" t="s">
        <v>19305</v>
      </c>
      <c r="P3929" t="s">
        <v>330</v>
      </c>
      <c r="Y3929" t="s">
        <v>7005</v>
      </c>
    </row>
    <row r="3930" spans="1:25" x14ac:dyDescent="0.25">
      <c r="A3930" t="str">
        <f>"1450576262"</f>
        <v>1450576262</v>
      </c>
      <c r="B3930" t="s">
        <v>88</v>
      </c>
      <c r="C3930" t="s">
        <v>8056</v>
      </c>
      <c r="D3930" t="s">
        <v>19307</v>
      </c>
      <c r="E3930">
        <v>424008</v>
      </c>
      <c r="F3930" t="s">
        <v>1</v>
      </c>
      <c r="G3930" t="s">
        <v>2</v>
      </c>
      <c r="H3930" t="s">
        <v>1031</v>
      </c>
      <c r="J3930" t="s">
        <v>19308</v>
      </c>
      <c r="P3930" t="s">
        <v>312</v>
      </c>
      <c r="Y3930" t="s">
        <v>19309</v>
      </c>
    </row>
    <row r="3931" spans="1:25" x14ac:dyDescent="0.25">
      <c r="A3931" t="str">
        <f>"1451972545"</f>
        <v>1451972545</v>
      </c>
      <c r="B3931" t="s">
        <v>151</v>
      </c>
      <c r="C3931" t="s">
        <v>1034</v>
      </c>
      <c r="D3931" t="s">
        <v>19310</v>
      </c>
      <c r="E3931">
        <v>424031</v>
      </c>
      <c r="F3931" t="s">
        <v>1</v>
      </c>
      <c r="G3931" t="s">
        <v>2</v>
      </c>
      <c r="H3931" t="s">
        <v>4158</v>
      </c>
      <c r="J3931" t="s">
        <v>19311</v>
      </c>
      <c r="P3931" t="s">
        <v>152</v>
      </c>
      <c r="Y3931" t="s">
        <v>19312</v>
      </c>
    </row>
    <row r="3932" spans="1:25" x14ac:dyDescent="0.25">
      <c r="A3932" t="str">
        <f>"1452422980"</f>
        <v>1452422980</v>
      </c>
      <c r="B3932" t="s">
        <v>624</v>
      </c>
      <c r="C3932" t="s">
        <v>19315</v>
      </c>
      <c r="D3932" t="s">
        <v>6915</v>
      </c>
      <c r="E3932">
        <v>424016</v>
      </c>
      <c r="F3932" t="s">
        <v>1</v>
      </c>
      <c r="G3932" t="s">
        <v>2</v>
      </c>
      <c r="H3932" t="s">
        <v>848</v>
      </c>
      <c r="I3932" t="s">
        <v>19313</v>
      </c>
      <c r="K3932" t="s">
        <v>19314</v>
      </c>
      <c r="P3932" t="s">
        <v>152</v>
      </c>
      <c r="Y3932" t="s">
        <v>855</v>
      </c>
    </row>
    <row r="3933" spans="1:25" x14ac:dyDescent="0.25">
      <c r="A3933" t="str">
        <f>"1452517153"</f>
        <v>1452517153</v>
      </c>
      <c r="B3933" t="s">
        <v>151</v>
      </c>
      <c r="C3933" t="s">
        <v>151</v>
      </c>
      <c r="D3933" t="s">
        <v>19316</v>
      </c>
      <c r="E3933">
        <v>424031</v>
      </c>
      <c r="F3933" t="s">
        <v>1</v>
      </c>
      <c r="G3933" t="s">
        <v>2</v>
      </c>
      <c r="H3933" t="s">
        <v>4158</v>
      </c>
      <c r="I3933" t="s">
        <v>19317</v>
      </c>
      <c r="P3933" t="s">
        <v>152</v>
      </c>
      <c r="Y3933" t="s">
        <v>19318</v>
      </c>
    </row>
    <row r="3934" spans="1:25" x14ac:dyDescent="0.25">
      <c r="A3934" t="str">
        <f>"1452815787"</f>
        <v>1452815787</v>
      </c>
      <c r="B3934" t="s">
        <v>1611</v>
      </c>
      <c r="C3934" t="s">
        <v>19320</v>
      </c>
      <c r="D3934" t="s">
        <v>14981</v>
      </c>
      <c r="E3934">
        <v>424037</v>
      </c>
      <c r="F3934" t="s">
        <v>1</v>
      </c>
      <c r="G3934" t="s">
        <v>2</v>
      </c>
      <c r="H3934" t="s">
        <v>315</v>
      </c>
      <c r="I3934" t="s">
        <v>19319</v>
      </c>
      <c r="M3934" t="s">
        <v>14983</v>
      </c>
      <c r="P3934" t="s">
        <v>19321</v>
      </c>
      <c r="Q3934" t="s">
        <v>19322</v>
      </c>
      <c r="V3934" t="s">
        <v>19323</v>
      </c>
      <c r="Y3934" t="s">
        <v>19324</v>
      </c>
    </row>
    <row r="3935" spans="1:25" x14ac:dyDescent="0.25">
      <c r="A3935" t="str">
        <f>"1453274866"</f>
        <v>1453274866</v>
      </c>
      <c r="B3935" t="s">
        <v>151</v>
      </c>
      <c r="C3935" t="s">
        <v>1034</v>
      </c>
      <c r="D3935" t="s">
        <v>19325</v>
      </c>
      <c r="F3935" t="s">
        <v>1</v>
      </c>
      <c r="G3935" t="s">
        <v>2</v>
      </c>
      <c r="H3935" t="s">
        <v>757</v>
      </c>
      <c r="I3935" t="s">
        <v>19326</v>
      </c>
      <c r="J3935" t="s">
        <v>19327</v>
      </c>
      <c r="L3935" t="s">
        <v>19328</v>
      </c>
      <c r="M3935" t="s">
        <v>19329</v>
      </c>
      <c r="P3935" t="s">
        <v>2438</v>
      </c>
      <c r="Q3935" t="s">
        <v>19330</v>
      </c>
      <c r="S3935" t="s">
        <v>19331</v>
      </c>
      <c r="Y3935" t="s">
        <v>760</v>
      </c>
    </row>
    <row r="3936" spans="1:25" x14ac:dyDescent="0.25">
      <c r="A3936" t="str">
        <f>"1453281808"</f>
        <v>1453281808</v>
      </c>
      <c r="B3936" t="s">
        <v>379</v>
      </c>
      <c r="C3936" t="s">
        <v>380</v>
      </c>
      <c r="D3936" t="s">
        <v>8393</v>
      </c>
      <c r="E3936">
        <v>424000</v>
      </c>
      <c r="F3936" t="s">
        <v>1</v>
      </c>
      <c r="G3936" t="s">
        <v>2</v>
      </c>
      <c r="H3936" t="s">
        <v>333</v>
      </c>
      <c r="I3936" t="s">
        <v>19332</v>
      </c>
      <c r="L3936" t="s">
        <v>8395</v>
      </c>
      <c r="M3936" t="s">
        <v>8396</v>
      </c>
      <c r="P3936" t="s">
        <v>19333</v>
      </c>
      <c r="Q3936" t="s">
        <v>8412</v>
      </c>
      <c r="R3936" t="s">
        <v>8399</v>
      </c>
      <c r="S3936" t="s">
        <v>8400</v>
      </c>
      <c r="T3936" t="s">
        <v>8401</v>
      </c>
      <c r="Y3936" t="s">
        <v>335</v>
      </c>
    </row>
    <row r="3937" spans="1:25" x14ac:dyDescent="0.25">
      <c r="A3937" t="str">
        <f>"1456206398"</f>
        <v>1456206398</v>
      </c>
      <c r="B3937" t="s">
        <v>18</v>
      </c>
      <c r="C3937" t="s">
        <v>19337</v>
      </c>
      <c r="D3937" t="s">
        <v>19334</v>
      </c>
      <c r="E3937">
        <v>424016</v>
      </c>
      <c r="F3937" t="s">
        <v>1</v>
      </c>
      <c r="G3937" t="s">
        <v>2</v>
      </c>
      <c r="H3937" t="s">
        <v>19335</v>
      </c>
      <c r="I3937" t="s">
        <v>19336</v>
      </c>
      <c r="P3937" t="s">
        <v>2438</v>
      </c>
      <c r="Q3937" t="s">
        <v>19338</v>
      </c>
      <c r="Y3937" t="s">
        <v>19339</v>
      </c>
    </row>
    <row r="3938" spans="1:25" x14ac:dyDescent="0.25">
      <c r="A3938" t="str">
        <f>"1457209802"</f>
        <v>1457209802</v>
      </c>
      <c r="B3938" t="s">
        <v>1053</v>
      </c>
      <c r="C3938" t="s">
        <v>19342</v>
      </c>
      <c r="D3938" t="s">
        <v>19340</v>
      </c>
      <c r="E3938">
        <v>424037</v>
      </c>
      <c r="F3938" t="s">
        <v>1</v>
      </c>
      <c r="G3938" t="s">
        <v>2</v>
      </c>
      <c r="H3938" t="s">
        <v>14956</v>
      </c>
      <c r="J3938" t="s">
        <v>19341</v>
      </c>
      <c r="P3938" t="s">
        <v>152</v>
      </c>
      <c r="Y3938" t="s">
        <v>19343</v>
      </c>
    </row>
    <row r="3939" spans="1:25" x14ac:dyDescent="0.25">
      <c r="A3939" t="str">
        <f>"1457661775"</f>
        <v>1457661775</v>
      </c>
      <c r="B3939" t="s">
        <v>67</v>
      </c>
      <c r="C3939" t="s">
        <v>19348</v>
      </c>
      <c r="D3939" t="s">
        <v>19344</v>
      </c>
      <c r="E3939">
        <v>424006</v>
      </c>
      <c r="F3939" t="s">
        <v>1</v>
      </c>
      <c r="G3939" t="s">
        <v>2</v>
      </c>
      <c r="H3939" t="s">
        <v>10247</v>
      </c>
      <c r="I3939" t="s">
        <v>19345</v>
      </c>
      <c r="L3939" t="s">
        <v>19346</v>
      </c>
      <c r="M3939" t="s">
        <v>19347</v>
      </c>
      <c r="P3939" t="s">
        <v>2923</v>
      </c>
      <c r="Q3939" t="s">
        <v>19349</v>
      </c>
      <c r="T3939" t="s">
        <v>19350</v>
      </c>
      <c r="V3939" t="s">
        <v>19351</v>
      </c>
      <c r="Y3939" t="s">
        <v>19352</v>
      </c>
    </row>
    <row r="3940" spans="1:25" x14ac:dyDescent="0.25">
      <c r="A3940" t="str">
        <f>"1457944051"</f>
        <v>1457944051</v>
      </c>
      <c r="B3940" t="s">
        <v>348</v>
      </c>
      <c r="C3940" t="s">
        <v>4366</v>
      </c>
      <c r="D3940" t="s">
        <v>5728</v>
      </c>
      <c r="E3940">
        <v>424016</v>
      </c>
      <c r="F3940" t="s">
        <v>1</v>
      </c>
      <c r="G3940" t="s">
        <v>2</v>
      </c>
      <c r="H3940" t="s">
        <v>3344</v>
      </c>
      <c r="J3940" t="s">
        <v>19353</v>
      </c>
      <c r="P3940" t="s">
        <v>19354</v>
      </c>
      <c r="Y3940" t="s">
        <v>3350</v>
      </c>
    </row>
    <row r="3941" spans="1:25" x14ac:dyDescent="0.25">
      <c r="A3941" t="str">
        <f>"1458267623"</f>
        <v>1458267623</v>
      </c>
      <c r="B3941" t="s">
        <v>640</v>
      </c>
      <c r="C3941" t="s">
        <v>2857</v>
      </c>
      <c r="D3941" t="s">
        <v>19355</v>
      </c>
      <c r="E3941">
        <v>424003</v>
      </c>
      <c r="F3941" t="s">
        <v>1</v>
      </c>
      <c r="G3941" t="s">
        <v>2</v>
      </c>
      <c r="H3941" t="s">
        <v>12674</v>
      </c>
      <c r="I3941" t="s">
        <v>19356</v>
      </c>
      <c r="P3941" t="s">
        <v>2280</v>
      </c>
      <c r="Y3941" t="s">
        <v>19357</v>
      </c>
    </row>
    <row r="3942" spans="1:25" x14ac:dyDescent="0.25">
      <c r="A3942" t="str">
        <f>"1458412021"</f>
        <v>1458412021</v>
      </c>
      <c r="B3942" t="s">
        <v>348</v>
      </c>
      <c r="C3942" t="s">
        <v>5728</v>
      </c>
      <c r="D3942" t="s">
        <v>19358</v>
      </c>
      <c r="E3942">
        <v>424000</v>
      </c>
      <c r="F3942" t="s">
        <v>1</v>
      </c>
      <c r="G3942" t="s">
        <v>2</v>
      </c>
      <c r="H3942" t="s">
        <v>10803</v>
      </c>
      <c r="J3942" t="s">
        <v>19359</v>
      </c>
      <c r="P3942" t="s">
        <v>19360</v>
      </c>
      <c r="Y3942" t="s">
        <v>10805</v>
      </c>
    </row>
    <row r="3943" spans="1:25" x14ac:dyDescent="0.25">
      <c r="A3943" t="str">
        <f>"1459375103"</f>
        <v>1459375103</v>
      </c>
      <c r="B3943" t="s">
        <v>469</v>
      </c>
      <c r="C3943" t="s">
        <v>19365</v>
      </c>
      <c r="D3943" t="s">
        <v>19361</v>
      </c>
      <c r="E3943">
        <v>424038</v>
      </c>
      <c r="F3943" t="s">
        <v>1</v>
      </c>
      <c r="G3943" t="s">
        <v>2</v>
      </c>
      <c r="H3943" t="s">
        <v>19362</v>
      </c>
      <c r="I3943" t="s">
        <v>19363</v>
      </c>
      <c r="L3943" t="s">
        <v>19364</v>
      </c>
      <c r="P3943" t="s">
        <v>1642</v>
      </c>
      <c r="Q3943" t="s">
        <v>19366</v>
      </c>
      <c r="Y3943" t="s">
        <v>19367</v>
      </c>
    </row>
    <row r="3944" spans="1:25" x14ac:dyDescent="0.25">
      <c r="A3944" t="str">
        <f>"1459690993"</f>
        <v>1459690993</v>
      </c>
      <c r="B3944" t="s">
        <v>553</v>
      </c>
      <c r="C3944" t="s">
        <v>19370</v>
      </c>
      <c r="D3944" t="s">
        <v>19368</v>
      </c>
      <c r="F3944" t="s">
        <v>1</v>
      </c>
      <c r="G3944" t="s">
        <v>2</v>
      </c>
      <c r="H3944" t="s">
        <v>3984</v>
      </c>
      <c r="J3944" t="s">
        <v>19369</v>
      </c>
      <c r="L3944" t="s">
        <v>3752</v>
      </c>
      <c r="M3944" t="s">
        <v>13776</v>
      </c>
      <c r="P3944" t="s">
        <v>689</v>
      </c>
      <c r="Q3944" t="s">
        <v>13778</v>
      </c>
      <c r="Y3944" t="s">
        <v>4409</v>
      </c>
    </row>
    <row r="3945" spans="1:25" x14ac:dyDescent="0.25">
      <c r="A3945" t="str">
        <f>"1461298241"</f>
        <v>1461298241</v>
      </c>
      <c r="B3945" t="s">
        <v>790</v>
      </c>
      <c r="C3945" t="s">
        <v>4583</v>
      </c>
      <c r="D3945" t="s">
        <v>19371</v>
      </c>
      <c r="E3945">
        <v>424000</v>
      </c>
      <c r="F3945" t="s">
        <v>1</v>
      </c>
      <c r="G3945" t="s">
        <v>2</v>
      </c>
      <c r="H3945" t="s">
        <v>1531</v>
      </c>
      <c r="J3945" t="s">
        <v>19372</v>
      </c>
      <c r="L3945" t="s">
        <v>19373</v>
      </c>
      <c r="P3945" t="s">
        <v>1027</v>
      </c>
      <c r="Q3945" t="s">
        <v>19374</v>
      </c>
      <c r="Y3945" t="s">
        <v>19375</v>
      </c>
    </row>
    <row r="3946" spans="1:25" x14ac:dyDescent="0.25">
      <c r="A3946" t="str">
        <f>"1461304990"</f>
        <v>1461304990</v>
      </c>
      <c r="B3946" t="s">
        <v>1352</v>
      </c>
      <c r="C3946" t="s">
        <v>1353</v>
      </c>
      <c r="D3946" t="s">
        <v>19376</v>
      </c>
      <c r="E3946">
        <v>424000</v>
      </c>
      <c r="F3946" t="s">
        <v>1</v>
      </c>
      <c r="G3946" t="s">
        <v>2</v>
      </c>
      <c r="H3946" t="s">
        <v>1531</v>
      </c>
      <c r="I3946" t="s">
        <v>19377</v>
      </c>
      <c r="J3946" t="s">
        <v>19378</v>
      </c>
      <c r="L3946" t="s">
        <v>19379</v>
      </c>
      <c r="M3946" t="s">
        <v>19380</v>
      </c>
      <c r="P3946" t="s">
        <v>133</v>
      </c>
      <c r="Q3946" t="s">
        <v>19381</v>
      </c>
      <c r="U3946" t="s">
        <v>19382</v>
      </c>
      <c r="Y3946" t="s">
        <v>19383</v>
      </c>
    </row>
    <row r="3947" spans="1:25" x14ac:dyDescent="0.25">
      <c r="A3947" t="str">
        <f>"1461346711"</f>
        <v>1461346711</v>
      </c>
      <c r="B3947" t="s">
        <v>32</v>
      </c>
      <c r="C3947" t="s">
        <v>777</v>
      </c>
      <c r="D3947" t="s">
        <v>10532</v>
      </c>
      <c r="E3947">
        <v>424006</v>
      </c>
      <c r="F3947" t="s">
        <v>1</v>
      </c>
      <c r="G3947" t="s">
        <v>2</v>
      </c>
      <c r="H3947" t="s">
        <v>1890</v>
      </c>
      <c r="P3947" t="s">
        <v>19384</v>
      </c>
      <c r="Y3947" t="s">
        <v>19385</v>
      </c>
    </row>
    <row r="3948" spans="1:25" x14ac:dyDescent="0.25">
      <c r="A3948" t="str">
        <f>"1461348157"</f>
        <v>1461348157</v>
      </c>
      <c r="B3948" t="s">
        <v>123</v>
      </c>
      <c r="C3948" t="s">
        <v>196</v>
      </c>
      <c r="D3948" t="s">
        <v>19386</v>
      </c>
      <c r="E3948">
        <v>424000</v>
      </c>
      <c r="F3948" t="s">
        <v>1</v>
      </c>
      <c r="G3948" t="s">
        <v>2</v>
      </c>
      <c r="H3948" t="s">
        <v>2202</v>
      </c>
      <c r="I3948" t="s">
        <v>19387</v>
      </c>
      <c r="J3948" t="s">
        <v>19388</v>
      </c>
      <c r="P3948" t="s">
        <v>19389</v>
      </c>
      <c r="Y3948" t="s">
        <v>2204</v>
      </c>
    </row>
    <row r="3949" spans="1:25" x14ac:dyDescent="0.25">
      <c r="A3949" t="str">
        <f>"1461510877"</f>
        <v>1461510877</v>
      </c>
      <c r="B3949" t="s">
        <v>1061</v>
      </c>
      <c r="C3949" t="s">
        <v>1062</v>
      </c>
      <c r="D3949" t="s">
        <v>19390</v>
      </c>
      <c r="E3949">
        <v>424006</v>
      </c>
      <c r="F3949" t="s">
        <v>1</v>
      </c>
      <c r="G3949" t="s">
        <v>2</v>
      </c>
      <c r="H3949" t="s">
        <v>1890</v>
      </c>
      <c r="J3949" t="s">
        <v>19391</v>
      </c>
      <c r="P3949" t="s">
        <v>19392</v>
      </c>
      <c r="Y3949" t="s">
        <v>1893</v>
      </c>
    </row>
    <row r="3950" spans="1:25" x14ac:dyDescent="0.25">
      <c r="A3950" t="str">
        <f>"1462381772"</f>
        <v>1462381772</v>
      </c>
      <c r="B3950" t="s">
        <v>290</v>
      </c>
      <c r="C3950" t="s">
        <v>290</v>
      </c>
      <c r="D3950" t="s">
        <v>10573</v>
      </c>
      <c r="E3950">
        <v>424007</v>
      </c>
      <c r="F3950" t="s">
        <v>1</v>
      </c>
      <c r="G3950" t="s">
        <v>2</v>
      </c>
      <c r="H3950" t="s">
        <v>19042</v>
      </c>
      <c r="I3950" t="s">
        <v>19393</v>
      </c>
      <c r="J3950" t="s">
        <v>19394</v>
      </c>
      <c r="P3950" t="s">
        <v>19395</v>
      </c>
      <c r="Q3950" t="s">
        <v>19396</v>
      </c>
      <c r="Y3950" t="s">
        <v>19397</v>
      </c>
    </row>
    <row r="3951" spans="1:25" x14ac:dyDescent="0.25">
      <c r="A3951" t="str">
        <f>"1462899943"</f>
        <v>1462899943</v>
      </c>
      <c r="B3951" t="s">
        <v>1061</v>
      </c>
      <c r="C3951" t="s">
        <v>1062</v>
      </c>
      <c r="D3951" t="s">
        <v>19398</v>
      </c>
      <c r="E3951">
        <v>424003</v>
      </c>
      <c r="F3951" t="s">
        <v>1</v>
      </c>
      <c r="G3951" t="s">
        <v>2</v>
      </c>
      <c r="H3951" t="s">
        <v>1725</v>
      </c>
      <c r="P3951" t="s">
        <v>330</v>
      </c>
      <c r="Y3951" t="s">
        <v>3999</v>
      </c>
    </row>
    <row r="3952" spans="1:25" x14ac:dyDescent="0.25">
      <c r="A3952" t="str">
        <f>"1463404584"</f>
        <v>1463404584</v>
      </c>
      <c r="B3952" t="s">
        <v>462</v>
      </c>
      <c r="C3952" t="s">
        <v>5618</v>
      </c>
      <c r="D3952" t="s">
        <v>19399</v>
      </c>
      <c r="E3952">
        <v>424002</v>
      </c>
      <c r="F3952" t="s">
        <v>1</v>
      </c>
      <c r="G3952" t="s">
        <v>2</v>
      </c>
      <c r="H3952" t="s">
        <v>6656</v>
      </c>
      <c r="I3952" t="s">
        <v>19400</v>
      </c>
      <c r="P3952" t="s">
        <v>7125</v>
      </c>
      <c r="Y3952" t="s">
        <v>11652</v>
      </c>
    </row>
    <row r="3953" spans="1:25" x14ac:dyDescent="0.25">
      <c r="A3953" t="str">
        <f>"1463743732"</f>
        <v>1463743732</v>
      </c>
      <c r="B3953" t="s">
        <v>519</v>
      </c>
      <c r="C3953" t="s">
        <v>19403</v>
      </c>
      <c r="D3953" t="s">
        <v>19401</v>
      </c>
      <c r="E3953">
        <v>424039</v>
      </c>
      <c r="F3953" t="s">
        <v>1</v>
      </c>
      <c r="G3953" t="s">
        <v>2</v>
      </c>
      <c r="H3953" t="s">
        <v>5195</v>
      </c>
      <c r="I3953" t="s">
        <v>19402</v>
      </c>
      <c r="P3953" t="s">
        <v>4998</v>
      </c>
      <c r="Y3953" t="s">
        <v>19404</v>
      </c>
    </row>
    <row r="3954" spans="1:25" x14ac:dyDescent="0.25">
      <c r="A3954" t="str">
        <f>"1463933924"</f>
        <v>1463933924</v>
      </c>
      <c r="B3954" t="s">
        <v>978</v>
      </c>
      <c r="C3954" t="s">
        <v>1659</v>
      </c>
      <c r="D3954" t="s">
        <v>19405</v>
      </c>
      <c r="F3954" t="s">
        <v>1</v>
      </c>
      <c r="G3954" t="s">
        <v>2</v>
      </c>
      <c r="H3954" t="s">
        <v>19406</v>
      </c>
      <c r="I3954" t="s">
        <v>19407</v>
      </c>
      <c r="L3954" t="s">
        <v>19408</v>
      </c>
      <c r="M3954" t="s">
        <v>19409</v>
      </c>
      <c r="P3954" t="s">
        <v>19410</v>
      </c>
      <c r="Y3954" t="s">
        <v>19411</v>
      </c>
    </row>
    <row r="3955" spans="1:25" x14ac:dyDescent="0.25">
      <c r="A3955" t="str">
        <f>"1463956716"</f>
        <v>1463956716</v>
      </c>
      <c r="B3955" t="s">
        <v>456</v>
      </c>
      <c r="C3955" t="s">
        <v>19416</v>
      </c>
      <c r="D3955" t="s">
        <v>19412</v>
      </c>
      <c r="E3955">
        <v>424003</v>
      </c>
      <c r="F3955" t="s">
        <v>1</v>
      </c>
      <c r="G3955" t="s">
        <v>2</v>
      </c>
      <c r="H3955" t="s">
        <v>19413</v>
      </c>
      <c r="J3955" t="s">
        <v>19414</v>
      </c>
      <c r="M3955" t="s">
        <v>19415</v>
      </c>
      <c r="P3955" t="s">
        <v>4671</v>
      </c>
      <c r="Q3955" t="s">
        <v>19417</v>
      </c>
      <c r="Y3955" t="s">
        <v>19418</v>
      </c>
    </row>
    <row r="3956" spans="1:25" x14ac:dyDescent="0.25">
      <c r="A3956" t="str">
        <f>"1464069927"</f>
        <v>1464069927</v>
      </c>
      <c r="B3956" t="s">
        <v>151</v>
      </c>
      <c r="C3956" t="s">
        <v>151</v>
      </c>
      <c r="D3956" t="s">
        <v>19419</v>
      </c>
      <c r="E3956">
        <v>424006</v>
      </c>
      <c r="F3956" t="s">
        <v>1</v>
      </c>
      <c r="G3956" t="s">
        <v>2</v>
      </c>
      <c r="H3956" t="s">
        <v>4587</v>
      </c>
      <c r="I3956" t="s">
        <v>19420</v>
      </c>
      <c r="J3956" t="s">
        <v>19421</v>
      </c>
      <c r="P3956" t="s">
        <v>330</v>
      </c>
      <c r="Y3956" t="s">
        <v>19422</v>
      </c>
    </row>
    <row r="3957" spans="1:25" x14ac:dyDescent="0.25">
      <c r="A3957" t="str">
        <f>"1464082504"</f>
        <v>1464082504</v>
      </c>
      <c r="B3957" t="s">
        <v>703</v>
      </c>
      <c r="C3957" t="s">
        <v>2129</v>
      </c>
      <c r="D3957" t="s">
        <v>10670</v>
      </c>
      <c r="E3957">
        <v>424028</v>
      </c>
      <c r="F3957" t="s">
        <v>1</v>
      </c>
      <c r="G3957" t="s">
        <v>2</v>
      </c>
      <c r="H3957" t="s">
        <v>19423</v>
      </c>
      <c r="J3957" t="s">
        <v>19424</v>
      </c>
      <c r="P3957" t="s">
        <v>280</v>
      </c>
      <c r="Y3957" t="s">
        <v>19425</v>
      </c>
    </row>
    <row r="3958" spans="1:25" x14ac:dyDescent="0.25">
      <c r="A3958" t="str">
        <f>"1465228860"</f>
        <v>1465228860</v>
      </c>
      <c r="B3958" t="s">
        <v>379</v>
      </c>
      <c r="C3958" t="s">
        <v>2661</v>
      </c>
      <c r="D3958" t="s">
        <v>7983</v>
      </c>
      <c r="F3958" t="s">
        <v>1</v>
      </c>
      <c r="G3958" t="s">
        <v>2</v>
      </c>
      <c r="H3958" t="s">
        <v>19426</v>
      </c>
      <c r="J3958" t="s">
        <v>19427</v>
      </c>
      <c r="P3958" t="s">
        <v>27</v>
      </c>
      <c r="Y3958" t="s">
        <v>19428</v>
      </c>
    </row>
    <row r="3959" spans="1:25" x14ac:dyDescent="0.25">
      <c r="A3959" t="str">
        <f>"1465489360"</f>
        <v>1465489360</v>
      </c>
      <c r="B3959" t="s">
        <v>13560</v>
      </c>
      <c r="C3959" t="s">
        <v>19433</v>
      </c>
      <c r="D3959" t="s">
        <v>19429</v>
      </c>
      <c r="E3959">
        <v>424033</v>
      </c>
      <c r="F3959" t="s">
        <v>1</v>
      </c>
      <c r="G3959" t="s">
        <v>2</v>
      </c>
      <c r="H3959" t="s">
        <v>11628</v>
      </c>
      <c r="I3959" t="s">
        <v>19430</v>
      </c>
      <c r="K3959" t="s">
        <v>19431</v>
      </c>
      <c r="L3959" t="s">
        <v>10032</v>
      </c>
      <c r="M3959" t="s">
        <v>19432</v>
      </c>
      <c r="P3959" t="s">
        <v>19434</v>
      </c>
      <c r="Y3959" t="s">
        <v>19435</v>
      </c>
    </row>
    <row r="3960" spans="1:25" x14ac:dyDescent="0.25">
      <c r="A3960" t="str">
        <f>"1465507453"</f>
        <v>1465507453</v>
      </c>
      <c r="B3960" t="s">
        <v>1053</v>
      </c>
      <c r="C3960" t="s">
        <v>19438</v>
      </c>
      <c r="D3960" t="s">
        <v>19436</v>
      </c>
      <c r="E3960">
        <v>424004</v>
      </c>
      <c r="F3960" t="s">
        <v>1</v>
      </c>
      <c r="G3960" t="s">
        <v>2</v>
      </c>
      <c r="H3960" t="s">
        <v>8326</v>
      </c>
      <c r="I3960" t="s">
        <v>19437</v>
      </c>
      <c r="P3960" t="s">
        <v>19439</v>
      </c>
      <c r="Y3960" t="s">
        <v>19440</v>
      </c>
    </row>
    <row r="3961" spans="1:25" x14ac:dyDescent="0.25">
      <c r="A3961" t="str">
        <f>"1465569285"</f>
        <v>1465569285</v>
      </c>
      <c r="B3961" t="s">
        <v>1152</v>
      </c>
      <c r="C3961" t="s">
        <v>4926</v>
      </c>
      <c r="D3961" t="s">
        <v>19441</v>
      </c>
      <c r="E3961">
        <v>424000</v>
      </c>
      <c r="F3961" t="s">
        <v>1</v>
      </c>
      <c r="G3961" t="s">
        <v>2</v>
      </c>
      <c r="H3961" t="s">
        <v>265</v>
      </c>
      <c r="P3961" t="s">
        <v>14394</v>
      </c>
      <c r="Y3961" t="s">
        <v>11205</v>
      </c>
    </row>
    <row r="3962" spans="1:25" x14ac:dyDescent="0.25">
      <c r="A3962" t="str">
        <f>"1466132082"</f>
        <v>1466132082</v>
      </c>
      <c r="B3962" t="s">
        <v>978</v>
      </c>
      <c r="C3962" t="s">
        <v>7568</v>
      </c>
      <c r="D3962" t="s">
        <v>19442</v>
      </c>
      <c r="E3962">
        <v>424006</v>
      </c>
      <c r="F3962" t="s">
        <v>1</v>
      </c>
      <c r="G3962" t="s">
        <v>2</v>
      </c>
      <c r="H3962" t="s">
        <v>1923</v>
      </c>
      <c r="I3962" t="s">
        <v>19443</v>
      </c>
      <c r="J3962" t="s">
        <v>19444</v>
      </c>
      <c r="M3962" t="s">
        <v>19445</v>
      </c>
      <c r="P3962" t="s">
        <v>19446</v>
      </c>
      <c r="Y3962" t="s">
        <v>19447</v>
      </c>
    </row>
    <row r="3963" spans="1:25" x14ac:dyDescent="0.25">
      <c r="A3963" t="str">
        <f>"1466377977"</f>
        <v>1466377977</v>
      </c>
      <c r="B3963" t="s">
        <v>703</v>
      </c>
      <c r="C3963" t="s">
        <v>19451</v>
      </c>
      <c r="D3963" t="s">
        <v>19448</v>
      </c>
      <c r="E3963">
        <v>424007</v>
      </c>
      <c r="F3963" t="s">
        <v>1</v>
      </c>
      <c r="G3963" t="s">
        <v>2</v>
      </c>
      <c r="H3963" t="s">
        <v>1566</v>
      </c>
      <c r="J3963" t="s">
        <v>19449</v>
      </c>
      <c r="L3963" t="s">
        <v>19450</v>
      </c>
      <c r="P3963" t="s">
        <v>5575</v>
      </c>
      <c r="Q3963" t="s">
        <v>19452</v>
      </c>
      <c r="S3963" t="s">
        <v>19453</v>
      </c>
      <c r="T3963" t="s">
        <v>19454</v>
      </c>
      <c r="Y3963" t="s">
        <v>2882</v>
      </c>
    </row>
    <row r="3964" spans="1:25" x14ac:dyDescent="0.25">
      <c r="A3964" t="str">
        <f>"1466524122"</f>
        <v>1466524122</v>
      </c>
      <c r="B3964" t="s">
        <v>430</v>
      </c>
      <c r="C3964" t="s">
        <v>19460</v>
      </c>
      <c r="D3964" t="s">
        <v>19455</v>
      </c>
      <c r="E3964">
        <v>424004</v>
      </c>
      <c r="F3964" t="s">
        <v>1</v>
      </c>
      <c r="G3964" t="s">
        <v>2</v>
      </c>
      <c r="H3964" t="s">
        <v>19456</v>
      </c>
      <c r="I3964" t="s">
        <v>19457</v>
      </c>
      <c r="L3964" t="s">
        <v>19458</v>
      </c>
      <c r="M3964" t="s">
        <v>19459</v>
      </c>
      <c r="P3964" t="s">
        <v>19461</v>
      </c>
      <c r="Q3964" t="s">
        <v>19462</v>
      </c>
      <c r="T3964" t="s">
        <v>19463</v>
      </c>
      <c r="U3964" t="s">
        <v>19464</v>
      </c>
      <c r="Y3964" t="s">
        <v>19465</v>
      </c>
    </row>
    <row r="3965" spans="1:25" x14ac:dyDescent="0.25">
      <c r="A3965" t="str">
        <f>"1466751967"</f>
        <v>1466751967</v>
      </c>
      <c r="B3965" t="s">
        <v>379</v>
      </c>
      <c r="C3965" t="s">
        <v>4852</v>
      </c>
      <c r="D3965" t="s">
        <v>10857</v>
      </c>
      <c r="E3965">
        <v>424036</v>
      </c>
      <c r="F3965" t="s">
        <v>1</v>
      </c>
      <c r="G3965" t="s">
        <v>2</v>
      </c>
      <c r="H3965" t="s">
        <v>2291</v>
      </c>
      <c r="I3965" t="s">
        <v>19466</v>
      </c>
      <c r="K3965" t="s">
        <v>19466</v>
      </c>
      <c r="P3965" t="s">
        <v>1027</v>
      </c>
      <c r="Y3965" t="s">
        <v>2872</v>
      </c>
    </row>
    <row r="3966" spans="1:25" x14ac:dyDescent="0.25">
      <c r="A3966" t="str">
        <f>"1466833761"</f>
        <v>1466833761</v>
      </c>
      <c r="B3966" t="s">
        <v>319</v>
      </c>
      <c r="C3966" t="s">
        <v>19472</v>
      </c>
      <c r="D3966" t="s">
        <v>19467</v>
      </c>
      <c r="F3966" t="s">
        <v>1</v>
      </c>
      <c r="G3966" t="s">
        <v>2</v>
      </c>
      <c r="H3966" t="s">
        <v>19468</v>
      </c>
      <c r="J3966" t="s">
        <v>19469</v>
      </c>
      <c r="L3966" t="s">
        <v>19470</v>
      </c>
      <c r="M3966" t="s">
        <v>19471</v>
      </c>
      <c r="P3966" t="s">
        <v>15040</v>
      </c>
      <c r="Q3966" t="s">
        <v>19473</v>
      </c>
      <c r="R3966" t="s">
        <v>19474</v>
      </c>
      <c r="T3966" t="s">
        <v>19475</v>
      </c>
      <c r="V3966" t="s">
        <v>19476</v>
      </c>
      <c r="Y3966" t="s">
        <v>3029</v>
      </c>
    </row>
    <row r="3967" spans="1:25" x14ac:dyDescent="0.25">
      <c r="A3967" t="str">
        <f>"1466919119"</f>
        <v>1466919119</v>
      </c>
      <c r="B3967" t="s">
        <v>88</v>
      </c>
      <c r="C3967" t="s">
        <v>8056</v>
      </c>
      <c r="D3967" t="s">
        <v>19477</v>
      </c>
      <c r="E3967">
        <v>424019</v>
      </c>
      <c r="F3967" t="s">
        <v>1</v>
      </c>
      <c r="G3967" t="s">
        <v>2</v>
      </c>
      <c r="H3967" t="s">
        <v>1467</v>
      </c>
      <c r="J3967" t="s">
        <v>19478</v>
      </c>
      <c r="M3967" t="s">
        <v>19479</v>
      </c>
      <c r="P3967" t="s">
        <v>19480</v>
      </c>
      <c r="Y3967" t="s">
        <v>1630</v>
      </c>
    </row>
    <row r="3968" spans="1:25" x14ac:dyDescent="0.25">
      <c r="A3968" t="str">
        <f>"1468029775"</f>
        <v>1468029775</v>
      </c>
      <c r="B3968" t="s">
        <v>1152</v>
      </c>
      <c r="C3968" t="s">
        <v>1152</v>
      </c>
      <c r="D3968" t="s">
        <v>19481</v>
      </c>
      <c r="E3968">
        <v>424006</v>
      </c>
      <c r="F3968" t="s">
        <v>1</v>
      </c>
      <c r="G3968" t="s">
        <v>2</v>
      </c>
      <c r="H3968" t="s">
        <v>478</v>
      </c>
      <c r="I3968" t="s">
        <v>19482</v>
      </c>
      <c r="J3968" t="s">
        <v>19483</v>
      </c>
      <c r="P3968" t="s">
        <v>330</v>
      </c>
      <c r="Y3968" t="s">
        <v>926</v>
      </c>
    </row>
    <row r="3969" spans="1:25" x14ac:dyDescent="0.25">
      <c r="A3969" t="str">
        <f>"1468122816"</f>
        <v>1468122816</v>
      </c>
      <c r="B3969" t="s">
        <v>224</v>
      </c>
      <c r="C3969" t="s">
        <v>225</v>
      </c>
      <c r="D3969" t="s">
        <v>19484</v>
      </c>
      <c r="E3969">
        <v>424003</v>
      </c>
      <c r="F3969" t="s">
        <v>1</v>
      </c>
      <c r="G3969" t="s">
        <v>2</v>
      </c>
      <c r="H3969" t="s">
        <v>2465</v>
      </c>
      <c r="J3969" t="s">
        <v>19485</v>
      </c>
      <c r="L3969" t="s">
        <v>19486</v>
      </c>
      <c r="M3969" t="s">
        <v>19487</v>
      </c>
      <c r="P3969" t="s">
        <v>280</v>
      </c>
      <c r="Y3969" t="s">
        <v>2469</v>
      </c>
    </row>
    <row r="3970" spans="1:25" x14ac:dyDescent="0.25">
      <c r="A3970" t="str">
        <f>"1469027023"</f>
        <v>1469027023</v>
      </c>
      <c r="B3970" t="s">
        <v>930</v>
      </c>
      <c r="C3970" t="s">
        <v>10263</v>
      </c>
      <c r="D3970" t="s">
        <v>10263</v>
      </c>
      <c r="E3970">
        <v>424019</v>
      </c>
      <c r="F3970" t="s">
        <v>1</v>
      </c>
      <c r="G3970" t="s">
        <v>2</v>
      </c>
      <c r="H3970" t="s">
        <v>19488</v>
      </c>
      <c r="I3970" t="s">
        <v>19489</v>
      </c>
      <c r="P3970" t="s">
        <v>2457</v>
      </c>
      <c r="Q3970" t="s">
        <v>19490</v>
      </c>
      <c r="Y3970" t="s">
        <v>19491</v>
      </c>
    </row>
    <row r="3971" spans="1:25" x14ac:dyDescent="0.25">
      <c r="A3971" t="str">
        <f>"1469851260"</f>
        <v>1469851260</v>
      </c>
      <c r="B3971" t="s">
        <v>888</v>
      </c>
      <c r="C3971" t="s">
        <v>7389</v>
      </c>
      <c r="D3971" t="s">
        <v>19492</v>
      </c>
      <c r="E3971">
        <v>424002</v>
      </c>
      <c r="F3971" t="s">
        <v>1</v>
      </c>
      <c r="G3971" t="s">
        <v>2</v>
      </c>
      <c r="H3971" t="s">
        <v>14242</v>
      </c>
      <c r="I3971" t="s">
        <v>19493</v>
      </c>
      <c r="J3971" t="s">
        <v>19494</v>
      </c>
      <c r="P3971" t="s">
        <v>19495</v>
      </c>
      <c r="Q3971" t="s">
        <v>19496</v>
      </c>
      <c r="Y3971" t="s">
        <v>19497</v>
      </c>
    </row>
    <row r="3972" spans="1:25" x14ac:dyDescent="0.25">
      <c r="A3972" t="str">
        <f>"1470279304"</f>
        <v>1470279304</v>
      </c>
      <c r="B3972" t="s">
        <v>32</v>
      </c>
      <c r="C3972" t="s">
        <v>15493</v>
      </c>
      <c r="D3972" t="s">
        <v>19498</v>
      </c>
      <c r="F3972" t="s">
        <v>1</v>
      </c>
      <c r="G3972" t="s">
        <v>2</v>
      </c>
      <c r="H3972" t="s">
        <v>19499</v>
      </c>
      <c r="I3972" t="s">
        <v>19500</v>
      </c>
      <c r="P3972" t="s">
        <v>144</v>
      </c>
      <c r="Q3972" t="s">
        <v>19501</v>
      </c>
      <c r="Y3972" t="s">
        <v>19502</v>
      </c>
    </row>
    <row r="3973" spans="1:25" x14ac:dyDescent="0.25">
      <c r="A3973" t="str">
        <f>"1470306863"</f>
        <v>1470306863</v>
      </c>
      <c r="B3973" t="s">
        <v>123</v>
      </c>
      <c r="C3973" t="s">
        <v>196</v>
      </c>
      <c r="D3973" t="s">
        <v>19503</v>
      </c>
      <c r="E3973">
        <v>424033</v>
      </c>
      <c r="F3973" t="s">
        <v>1</v>
      </c>
      <c r="G3973" t="s">
        <v>2</v>
      </c>
      <c r="H3973" t="s">
        <v>1383</v>
      </c>
      <c r="I3973" t="s">
        <v>19504</v>
      </c>
      <c r="P3973" t="s">
        <v>1035</v>
      </c>
      <c r="Y3973" t="s">
        <v>1387</v>
      </c>
    </row>
    <row r="3974" spans="1:25" x14ac:dyDescent="0.25">
      <c r="A3974" t="str">
        <f>"1470961920"</f>
        <v>1470961920</v>
      </c>
      <c r="B3974" t="s">
        <v>18</v>
      </c>
      <c r="C3974" t="s">
        <v>19509</v>
      </c>
      <c r="D3974" t="s">
        <v>19505</v>
      </c>
      <c r="E3974">
        <v>424006</v>
      </c>
      <c r="F3974" t="s">
        <v>1</v>
      </c>
      <c r="G3974" t="s">
        <v>2</v>
      </c>
      <c r="H3974" t="s">
        <v>1436</v>
      </c>
      <c r="I3974" t="s">
        <v>19506</v>
      </c>
      <c r="L3974" t="s">
        <v>19507</v>
      </c>
      <c r="M3974" t="s">
        <v>19508</v>
      </c>
      <c r="P3974" t="s">
        <v>19510</v>
      </c>
      <c r="T3974" t="s">
        <v>19511</v>
      </c>
      <c r="Y3974" t="s">
        <v>19512</v>
      </c>
    </row>
    <row r="3975" spans="1:25" x14ac:dyDescent="0.25">
      <c r="A3975" t="str">
        <f>"1472351863"</f>
        <v>1472351863</v>
      </c>
      <c r="B3975" t="s">
        <v>978</v>
      </c>
      <c r="C3975" t="s">
        <v>1659</v>
      </c>
      <c r="D3975" t="s">
        <v>19513</v>
      </c>
      <c r="E3975">
        <v>424031</v>
      </c>
      <c r="F3975" t="s">
        <v>1</v>
      </c>
      <c r="G3975" t="s">
        <v>2</v>
      </c>
      <c r="H3975" t="s">
        <v>19514</v>
      </c>
      <c r="I3975" t="s">
        <v>19515</v>
      </c>
      <c r="K3975" t="s">
        <v>19516</v>
      </c>
      <c r="P3975" t="s">
        <v>280</v>
      </c>
      <c r="Y3975" t="s">
        <v>19517</v>
      </c>
    </row>
    <row r="3976" spans="1:25" x14ac:dyDescent="0.25">
      <c r="A3976" t="str">
        <f>"1472459611"</f>
        <v>1472459611</v>
      </c>
      <c r="B3976" t="s">
        <v>2846</v>
      </c>
      <c r="C3976" t="s">
        <v>19520</v>
      </c>
      <c r="D3976" t="s">
        <v>19518</v>
      </c>
      <c r="E3976">
        <v>424026</v>
      </c>
      <c r="F3976" t="s">
        <v>1</v>
      </c>
      <c r="G3976" t="s">
        <v>2</v>
      </c>
      <c r="H3976" t="s">
        <v>7964</v>
      </c>
      <c r="J3976" t="s">
        <v>19519</v>
      </c>
      <c r="P3976" t="s">
        <v>1232</v>
      </c>
      <c r="Y3976" t="s">
        <v>19521</v>
      </c>
    </row>
    <row r="3977" spans="1:25" x14ac:dyDescent="0.25">
      <c r="A3977" t="str">
        <f>"1472636407"</f>
        <v>1472636407</v>
      </c>
      <c r="B3977" t="s">
        <v>80</v>
      </c>
      <c r="C3977" t="s">
        <v>3295</v>
      </c>
      <c r="D3977" t="s">
        <v>19522</v>
      </c>
      <c r="E3977">
        <v>424006</v>
      </c>
      <c r="F3977" t="s">
        <v>1</v>
      </c>
      <c r="G3977" t="s">
        <v>2</v>
      </c>
      <c r="H3977" t="s">
        <v>445</v>
      </c>
      <c r="J3977" t="s">
        <v>19523</v>
      </c>
      <c r="L3977" t="s">
        <v>19524</v>
      </c>
      <c r="M3977" t="s">
        <v>19525</v>
      </c>
      <c r="P3977" t="s">
        <v>19526</v>
      </c>
      <c r="Y3977" t="s">
        <v>8488</v>
      </c>
    </row>
    <row r="3978" spans="1:25" x14ac:dyDescent="0.25">
      <c r="A3978" t="str">
        <f>"1472806268"</f>
        <v>1472806268</v>
      </c>
      <c r="B3978" t="s">
        <v>348</v>
      </c>
      <c r="C3978" t="s">
        <v>19530</v>
      </c>
      <c r="D3978" t="s">
        <v>19527</v>
      </c>
      <c r="E3978">
        <v>424003</v>
      </c>
      <c r="F3978" t="s">
        <v>1</v>
      </c>
      <c r="G3978" t="s">
        <v>2</v>
      </c>
      <c r="H3978" t="s">
        <v>19528</v>
      </c>
      <c r="I3978" t="s">
        <v>19529</v>
      </c>
      <c r="P3978" t="s">
        <v>6400</v>
      </c>
      <c r="Y3978" t="s">
        <v>19531</v>
      </c>
    </row>
    <row r="3979" spans="1:25" x14ac:dyDescent="0.25">
      <c r="A3979" t="str">
        <f>"1473454808"</f>
        <v>1473454808</v>
      </c>
      <c r="B3979" t="s">
        <v>553</v>
      </c>
      <c r="C3979" t="s">
        <v>554</v>
      </c>
      <c r="D3979" t="s">
        <v>19532</v>
      </c>
      <c r="E3979">
        <v>424039</v>
      </c>
      <c r="F3979" t="s">
        <v>1</v>
      </c>
      <c r="G3979" t="s">
        <v>2</v>
      </c>
      <c r="H3979" t="s">
        <v>19533</v>
      </c>
      <c r="I3979" t="s">
        <v>19534</v>
      </c>
      <c r="P3979" t="s">
        <v>1160</v>
      </c>
      <c r="Y3979" t="s">
        <v>19535</v>
      </c>
    </row>
    <row r="3980" spans="1:25" x14ac:dyDescent="0.25">
      <c r="A3980" t="str">
        <f>"1473685989"</f>
        <v>1473685989</v>
      </c>
      <c r="B3980" t="s">
        <v>1152</v>
      </c>
      <c r="C3980" t="s">
        <v>19539</v>
      </c>
      <c r="D3980" t="s">
        <v>19536</v>
      </c>
      <c r="E3980">
        <v>424000</v>
      </c>
      <c r="F3980" t="s">
        <v>1</v>
      </c>
      <c r="G3980" t="s">
        <v>2</v>
      </c>
      <c r="H3980" t="s">
        <v>3421</v>
      </c>
      <c r="I3980" t="s">
        <v>19537</v>
      </c>
      <c r="M3980" t="s">
        <v>19538</v>
      </c>
      <c r="P3980" t="s">
        <v>330</v>
      </c>
      <c r="Y3980" t="s">
        <v>3425</v>
      </c>
    </row>
    <row r="3981" spans="1:25" x14ac:dyDescent="0.25">
      <c r="A3981" t="str">
        <f>"1473906986"</f>
        <v>1473906986</v>
      </c>
      <c r="B3981" t="s">
        <v>18</v>
      </c>
      <c r="C3981" t="s">
        <v>19545</v>
      </c>
      <c r="D3981" t="s">
        <v>19540</v>
      </c>
      <c r="E3981">
        <v>424006</v>
      </c>
      <c r="F3981" t="s">
        <v>1</v>
      </c>
      <c r="G3981" t="s">
        <v>2</v>
      </c>
      <c r="H3981" t="s">
        <v>11761</v>
      </c>
      <c r="I3981" t="s">
        <v>19541</v>
      </c>
      <c r="J3981" t="s">
        <v>19542</v>
      </c>
      <c r="L3981" t="s">
        <v>19543</v>
      </c>
      <c r="M3981" t="s">
        <v>19544</v>
      </c>
      <c r="P3981" t="s">
        <v>20</v>
      </c>
      <c r="Q3981" t="s">
        <v>19546</v>
      </c>
      <c r="V3981" t="s">
        <v>19547</v>
      </c>
      <c r="Y3981" t="s">
        <v>19548</v>
      </c>
    </row>
    <row r="3982" spans="1:25" x14ac:dyDescent="0.25">
      <c r="A3982" t="str">
        <f>"1476007224"</f>
        <v>1476007224</v>
      </c>
      <c r="B3982" t="s">
        <v>1053</v>
      </c>
      <c r="C3982" t="s">
        <v>5092</v>
      </c>
      <c r="D3982" t="s">
        <v>19549</v>
      </c>
      <c r="E3982">
        <v>424028</v>
      </c>
      <c r="F3982" t="s">
        <v>1</v>
      </c>
      <c r="G3982" t="s">
        <v>2</v>
      </c>
      <c r="H3982" t="s">
        <v>19550</v>
      </c>
      <c r="J3982" t="s">
        <v>19551</v>
      </c>
      <c r="P3982" t="s">
        <v>330</v>
      </c>
      <c r="Y3982" t="s">
        <v>19552</v>
      </c>
    </row>
    <row r="3983" spans="1:25" x14ac:dyDescent="0.25">
      <c r="A3983" t="str">
        <f>"1476586789"</f>
        <v>1476586789</v>
      </c>
      <c r="B3983" t="s">
        <v>18</v>
      </c>
      <c r="C3983" t="s">
        <v>17135</v>
      </c>
      <c r="D3983" t="s">
        <v>19553</v>
      </c>
      <c r="E3983">
        <v>424003</v>
      </c>
      <c r="F3983" t="s">
        <v>1</v>
      </c>
      <c r="G3983" t="s">
        <v>2</v>
      </c>
      <c r="H3983" t="s">
        <v>2518</v>
      </c>
      <c r="I3983" t="s">
        <v>19554</v>
      </c>
      <c r="L3983" t="s">
        <v>19555</v>
      </c>
      <c r="M3983" t="s">
        <v>19556</v>
      </c>
      <c r="P3983" t="s">
        <v>340</v>
      </c>
      <c r="T3983" t="s">
        <v>19557</v>
      </c>
      <c r="Y3983" t="s">
        <v>19558</v>
      </c>
    </row>
    <row r="3984" spans="1:25" x14ac:dyDescent="0.25">
      <c r="A3984" t="str">
        <f>"1476711962"</f>
        <v>1476711962</v>
      </c>
      <c r="B3984" t="s">
        <v>716</v>
      </c>
      <c r="C3984" t="s">
        <v>717</v>
      </c>
      <c r="D3984" t="s">
        <v>19559</v>
      </c>
      <c r="E3984">
        <v>424031</v>
      </c>
      <c r="F3984" t="s">
        <v>1</v>
      </c>
      <c r="G3984" t="s">
        <v>2</v>
      </c>
      <c r="H3984" t="s">
        <v>4622</v>
      </c>
      <c r="I3984" t="s">
        <v>19560</v>
      </c>
      <c r="L3984" t="s">
        <v>19561</v>
      </c>
      <c r="M3984" t="s">
        <v>19562</v>
      </c>
      <c r="P3984" t="s">
        <v>19563</v>
      </c>
      <c r="Q3984" t="s">
        <v>19564</v>
      </c>
      <c r="R3984" t="s">
        <v>19565</v>
      </c>
      <c r="T3984" t="s">
        <v>19566</v>
      </c>
      <c r="Y3984" t="s">
        <v>7838</v>
      </c>
    </row>
    <row r="3985" spans="1:25" x14ac:dyDescent="0.25">
      <c r="A3985" t="str">
        <f>"1476734614"</f>
        <v>1476734614</v>
      </c>
      <c r="B3985" t="s">
        <v>716</v>
      </c>
      <c r="C3985" t="s">
        <v>717</v>
      </c>
      <c r="D3985" t="s">
        <v>19567</v>
      </c>
      <c r="E3985">
        <v>424028</v>
      </c>
      <c r="F3985" t="s">
        <v>1</v>
      </c>
      <c r="G3985" t="s">
        <v>2</v>
      </c>
      <c r="H3985" t="s">
        <v>3628</v>
      </c>
      <c r="I3985" t="s">
        <v>19568</v>
      </c>
      <c r="P3985" t="s">
        <v>330</v>
      </c>
      <c r="Y3985" t="s">
        <v>6934</v>
      </c>
    </row>
    <row r="3986" spans="1:25" x14ac:dyDescent="0.25">
      <c r="A3986" t="str">
        <f>"1477612874"</f>
        <v>1477612874</v>
      </c>
      <c r="B3986" t="s">
        <v>290</v>
      </c>
      <c r="C3986" t="s">
        <v>290</v>
      </c>
      <c r="D3986" t="s">
        <v>19569</v>
      </c>
      <c r="E3986">
        <v>424038</v>
      </c>
      <c r="F3986" t="s">
        <v>1</v>
      </c>
      <c r="G3986" t="s">
        <v>2</v>
      </c>
      <c r="H3986" t="s">
        <v>16808</v>
      </c>
      <c r="I3986" t="s">
        <v>19570</v>
      </c>
      <c r="J3986" t="s">
        <v>19571</v>
      </c>
      <c r="L3986" t="s">
        <v>19572</v>
      </c>
      <c r="P3986" t="s">
        <v>19573</v>
      </c>
      <c r="Y3986" t="s">
        <v>19574</v>
      </c>
    </row>
    <row r="3987" spans="1:25" x14ac:dyDescent="0.25">
      <c r="A3987" t="str">
        <f>"1477667814"</f>
        <v>1477667814</v>
      </c>
      <c r="B3987" t="s">
        <v>3573</v>
      </c>
      <c r="C3987" t="s">
        <v>19579</v>
      </c>
      <c r="D3987" t="s">
        <v>19575</v>
      </c>
      <c r="E3987">
        <v>424006</v>
      </c>
      <c r="F3987" t="s">
        <v>1</v>
      </c>
      <c r="G3987" t="s">
        <v>2</v>
      </c>
      <c r="H3987" t="s">
        <v>478</v>
      </c>
      <c r="I3987" t="s">
        <v>19576</v>
      </c>
      <c r="L3987" t="s">
        <v>19577</v>
      </c>
      <c r="M3987" t="s">
        <v>19578</v>
      </c>
      <c r="P3987" t="s">
        <v>260</v>
      </c>
      <c r="Q3987" t="s">
        <v>19580</v>
      </c>
      <c r="Y3987" t="s">
        <v>19581</v>
      </c>
    </row>
    <row r="3988" spans="1:25" x14ac:dyDescent="0.25">
      <c r="A3988" t="str">
        <f>"1478575148"</f>
        <v>1478575148</v>
      </c>
      <c r="B3988" t="s">
        <v>456</v>
      </c>
      <c r="C3988" t="s">
        <v>19586</v>
      </c>
      <c r="D3988" t="s">
        <v>19582</v>
      </c>
      <c r="E3988">
        <v>424007</v>
      </c>
      <c r="F3988" t="s">
        <v>1</v>
      </c>
      <c r="G3988" t="s">
        <v>2</v>
      </c>
      <c r="H3988" t="s">
        <v>13918</v>
      </c>
      <c r="J3988" t="s">
        <v>19583</v>
      </c>
      <c r="L3988" t="s">
        <v>19584</v>
      </c>
      <c r="M3988" t="s">
        <v>19585</v>
      </c>
      <c r="P3988" t="s">
        <v>216</v>
      </c>
      <c r="Q3988" t="s">
        <v>19587</v>
      </c>
      <c r="R3988" t="s">
        <v>19588</v>
      </c>
      <c r="S3988" t="s">
        <v>19589</v>
      </c>
      <c r="T3988" t="s">
        <v>19590</v>
      </c>
      <c r="V3988" t="s">
        <v>19591</v>
      </c>
      <c r="Y3988" t="s">
        <v>19592</v>
      </c>
    </row>
    <row r="3989" spans="1:25" x14ac:dyDescent="0.25">
      <c r="A3989" t="str">
        <f>"1478813815"</f>
        <v>1478813815</v>
      </c>
      <c r="B3989" t="s">
        <v>32</v>
      </c>
      <c r="C3989" t="s">
        <v>182</v>
      </c>
      <c r="D3989" t="s">
        <v>19593</v>
      </c>
      <c r="E3989">
        <v>424006</v>
      </c>
      <c r="F3989" t="s">
        <v>1</v>
      </c>
      <c r="G3989" t="s">
        <v>2</v>
      </c>
      <c r="H3989" t="s">
        <v>1483</v>
      </c>
      <c r="I3989" t="s">
        <v>19594</v>
      </c>
      <c r="J3989" t="s">
        <v>19595</v>
      </c>
      <c r="P3989" t="s">
        <v>2315</v>
      </c>
      <c r="Y3989" t="s">
        <v>19596</v>
      </c>
    </row>
    <row r="3990" spans="1:25" x14ac:dyDescent="0.25">
      <c r="A3990" t="str">
        <f>"1479224990"</f>
        <v>1479224990</v>
      </c>
      <c r="B3990" t="s">
        <v>4027</v>
      </c>
      <c r="C3990" t="s">
        <v>19602</v>
      </c>
      <c r="D3990" t="s">
        <v>19597</v>
      </c>
      <c r="E3990">
        <v>424000</v>
      </c>
      <c r="F3990" t="s">
        <v>1</v>
      </c>
      <c r="G3990" t="s">
        <v>2</v>
      </c>
      <c r="H3990" t="s">
        <v>4648</v>
      </c>
      <c r="I3990" t="s">
        <v>19598</v>
      </c>
      <c r="J3990" t="s">
        <v>19599</v>
      </c>
      <c r="L3990" t="s">
        <v>19600</v>
      </c>
      <c r="M3990" t="s">
        <v>19601</v>
      </c>
      <c r="P3990" t="s">
        <v>8504</v>
      </c>
      <c r="Q3990" t="s">
        <v>19603</v>
      </c>
      <c r="V3990" t="s">
        <v>19604</v>
      </c>
      <c r="Y3990" t="s">
        <v>19605</v>
      </c>
    </row>
    <row r="3991" spans="1:25" x14ac:dyDescent="0.25">
      <c r="A3991" t="str">
        <f>"1480151457"</f>
        <v>1480151457</v>
      </c>
      <c r="B3991" t="s">
        <v>1552</v>
      </c>
      <c r="C3991" t="s">
        <v>1552</v>
      </c>
      <c r="D3991" t="s">
        <v>1957</v>
      </c>
      <c r="E3991">
        <v>424037</v>
      </c>
      <c r="F3991" t="s">
        <v>1</v>
      </c>
      <c r="G3991" t="s">
        <v>2</v>
      </c>
      <c r="H3991" t="s">
        <v>19606</v>
      </c>
      <c r="I3991" t="s">
        <v>19607</v>
      </c>
      <c r="L3991" t="s">
        <v>1960</v>
      </c>
      <c r="M3991" t="s">
        <v>1961</v>
      </c>
      <c r="P3991" t="s">
        <v>19608</v>
      </c>
      <c r="Y3991" t="s">
        <v>19609</v>
      </c>
    </row>
    <row r="3992" spans="1:25" x14ac:dyDescent="0.25">
      <c r="A3992" t="str">
        <f>"1481140559"</f>
        <v>1481140559</v>
      </c>
      <c r="B3992" t="s">
        <v>352</v>
      </c>
      <c r="C3992" t="s">
        <v>19616</v>
      </c>
      <c r="D3992" t="s">
        <v>19610</v>
      </c>
      <c r="E3992">
        <v>424031</v>
      </c>
      <c r="F3992" t="s">
        <v>1</v>
      </c>
      <c r="G3992" t="s">
        <v>2</v>
      </c>
      <c r="H3992" t="s">
        <v>19611</v>
      </c>
      <c r="I3992" t="s">
        <v>19612</v>
      </c>
      <c r="J3992" t="s">
        <v>19613</v>
      </c>
      <c r="L3992" t="s">
        <v>19614</v>
      </c>
      <c r="M3992" t="s">
        <v>19615</v>
      </c>
      <c r="P3992" t="s">
        <v>2050</v>
      </c>
      <c r="Q3992" t="s">
        <v>19617</v>
      </c>
      <c r="Y3992" t="s">
        <v>19618</v>
      </c>
    </row>
    <row r="3993" spans="1:25" x14ac:dyDescent="0.25">
      <c r="A3993" t="str">
        <f>"1481272191"</f>
        <v>1481272191</v>
      </c>
      <c r="B3993" t="s">
        <v>371</v>
      </c>
      <c r="C3993" t="s">
        <v>372</v>
      </c>
      <c r="D3993" t="s">
        <v>19619</v>
      </c>
      <c r="E3993">
        <v>424031</v>
      </c>
      <c r="F3993" t="s">
        <v>1</v>
      </c>
      <c r="G3993" t="s">
        <v>2</v>
      </c>
      <c r="H3993" t="s">
        <v>239</v>
      </c>
      <c r="J3993" t="s">
        <v>19620</v>
      </c>
      <c r="P3993" t="s">
        <v>19621</v>
      </c>
      <c r="Y3993" t="s">
        <v>246</v>
      </c>
    </row>
    <row r="3994" spans="1:25" x14ac:dyDescent="0.25">
      <c r="A3994" t="str">
        <f>"1481584725"</f>
        <v>1481584725</v>
      </c>
      <c r="B3994" t="s">
        <v>2790</v>
      </c>
      <c r="C3994" t="s">
        <v>3744</v>
      </c>
      <c r="D3994" t="s">
        <v>19622</v>
      </c>
      <c r="E3994">
        <v>424033</v>
      </c>
      <c r="F3994" t="s">
        <v>1</v>
      </c>
      <c r="G3994" t="s">
        <v>2</v>
      </c>
      <c r="H3994" t="s">
        <v>19623</v>
      </c>
      <c r="I3994" t="s">
        <v>19624</v>
      </c>
      <c r="L3994" t="s">
        <v>11788</v>
      </c>
      <c r="M3994" t="s">
        <v>19625</v>
      </c>
      <c r="P3994" t="s">
        <v>4073</v>
      </c>
      <c r="Q3994" t="s">
        <v>19626</v>
      </c>
      <c r="Y3994" t="s">
        <v>19627</v>
      </c>
    </row>
    <row r="3995" spans="1:25" x14ac:dyDescent="0.25">
      <c r="A3995" t="str">
        <f>"1481863703"</f>
        <v>1481863703</v>
      </c>
      <c r="B3995" t="s">
        <v>25</v>
      </c>
      <c r="C3995" t="s">
        <v>1005</v>
      </c>
      <c r="D3995" t="s">
        <v>19628</v>
      </c>
      <c r="E3995">
        <v>424006</v>
      </c>
      <c r="F3995" t="s">
        <v>1</v>
      </c>
      <c r="G3995" t="s">
        <v>2</v>
      </c>
      <c r="H3995" t="s">
        <v>8622</v>
      </c>
      <c r="I3995" t="s">
        <v>19629</v>
      </c>
      <c r="P3995" t="s">
        <v>260</v>
      </c>
      <c r="Y3995" t="s">
        <v>8866</v>
      </c>
    </row>
    <row r="3996" spans="1:25" x14ac:dyDescent="0.25">
      <c r="A3996" t="str">
        <f>"1483900691"</f>
        <v>1483900691</v>
      </c>
      <c r="B3996" t="s">
        <v>284</v>
      </c>
      <c r="C3996" t="s">
        <v>2462</v>
      </c>
      <c r="D3996" t="s">
        <v>19630</v>
      </c>
      <c r="E3996">
        <v>424004</v>
      </c>
      <c r="F3996" t="s">
        <v>1</v>
      </c>
      <c r="G3996" t="s">
        <v>2</v>
      </c>
      <c r="H3996" t="s">
        <v>351</v>
      </c>
      <c r="I3996" t="s">
        <v>19631</v>
      </c>
      <c r="P3996" t="s">
        <v>330</v>
      </c>
      <c r="Y3996" t="s">
        <v>354</v>
      </c>
    </row>
    <row r="3997" spans="1:25" x14ac:dyDescent="0.25">
      <c r="A3997" t="str">
        <f>"1484291483"</f>
        <v>1484291483</v>
      </c>
      <c r="B3997" t="s">
        <v>930</v>
      </c>
      <c r="C3997" t="s">
        <v>11882</v>
      </c>
      <c r="D3997" t="s">
        <v>19632</v>
      </c>
      <c r="E3997">
        <v>424002</v>
      </c>
      <c r="F3997" t="s">
        <v>1</v>
      </c>
      <c r="G3997" t="s">
        <v>2</v>
      </c>
      <c r="H3997" t="s">
        <v>19633</v>
      </c>
      <c r="I3997" t="s">
        <v>19634</v>
      </c>
      <c r="L3997" t="s">
        <v>2127</v>
      </c>
      <c r="M3997" t="s">
        <v>19635</v>
      </c>
      <c r="P3997" t="s">
        <v>330</v>
      </c>
      <c r="Q3997" t="s">
        <v>19636</v>
      </c>
      <c r="V3997" t="s">
        <v>19637</v>
      </c>
      <c r="Y3997" t="s">
        <v>19638</v>
      </c>
    </row>
    <row r="3998" spans="1:25" x14ac:dyDescent="0.25">
      <c r="A3998" t="str">
        <f>"1484620951"</f>
        <v>1484620951</v>
      </c>
      <c r="B3998" t="s">
        <v>654</v>
      </c>
      <c r="C3998" t="s">
        <v>2195</v>
      </c>
      <c r="D3998" t="s">
        <v>19639</v>
      </c>
      <c r="E3998">
        <v>424006</v>
      </c>
      <c r="F3998" t="s">
        <v>1</v>
      </c>
      <c r="G3998" t="s">
        <v>2</v>
      </c>
      <c r="H3998" t="s">
        <v>4821</v>
      </c>
      <c r="I3998" t="s">
        <v>19640</v>
      </c>
      <c r="P3998" t="s">
        <v>20</v>
      </c>
      <c r="Y3998" t="s">
        <v>7394</v>
      </c>
    </row>
    <row r="3999" spans="1:25" x14ac:dyDescent="0.25">
      <c r="A3999" t="str">
        <f>"1484686900"</f>
        <v>1484686900</v>
      </c>
      <c r="B3999" t="s">
        <v>1152</v>
      </c>
      <c r="C3999" t="s">
        <v>19644</v>
      </c>
      <c r="D3999" t="s">
        <v>19641</v>
      </c>
      <c r="E3999">
        <v>424031</v>
      </c>
      <c r="F3999" t="s">
        <v>1</v>
      </c>
      <c r="G3999" t="s">
        <v>2</v>
      </c>
      <c r="H3999" t="s">
        <v>239</v>
      </c>
      <c r="J3999" t="s">
        <v>19642</v>
      </c>
      <c r="M3999" t="s">
        <v>19643</v>
      </c>
      <c r="P3999" t="s">
        <v>19645</v>
      </c>
      <c r="Q3999" t="s">
        <v>19646</v>
      </c>
      <c r="V3999" t="s">
        <v>19647</v>
      </c>
      <c r="Y3999" t="s">
        <v>246</v>
      </c>
    </row>
    <row r="4000" spans="1:25" x14ac:dyDescent="0.25">
      <c r="A4000" t="str">
        <f>"1484998376"</f>
        <v>1484998376</v>
      </c>
      <c r="B4000" t="s">
        <v>2790</v>
      </c>
      <c r="C4000" t="s">
        <v>3528</v>
      </c>
      <c r="D4000" t="s">
        <v>19648</v>
      </c>
      <c r="E4000">
        <v>424000</v>
      </c>
      <c r="F4000" t="s">
        <v>1</v>
      </c>
      <c r="G4000" t="s">
        <v>2</v>
      </c>
      <c r="H4000" t="s">
        <v>3465</v>
      </c>
      <c r="I4000" t="s">
        <v>19649</v>
      </c>
      <c r="J4000" t="s">
        <v>19650</v>
      </c>
      <c r="L4000" t="s">
        <v>19651</v>
      </c>
      <c r="P4000" t="s">
        <v>9</v>
      </c>
      <c r="Y4000" t="s">
        <v>19652</v>
      </c>
    </row>
    <row r="4001" spans="1:25" x14ac:dyDescent="0.25">
      <c r="A4001" t="str">
        <f>"1485125770"</f>
        <v>1485125770</v>
      </c>
      <c r="B4001" t="s">
        <v>1222</v>
      </c>
      <c r="C4001" t="s">
        <v>1971</v>
      </c>
      <c r="D4001" t="s">
        <v>19653</v>
      </c>
      <c r="E4001">
        <v>424038</v>
      </c>
      <c r="F4001" t="s">
        <v>1</v>
      </c>
      <c r="G4001" t="s">
        <v>2</v>
      </c>
      <c r="H4001" t="s">
        <v>1366</v>
      </c>
      <c r="J4001" t="s">
        <v>19654</v>
      </c>
      <c r="P4001" t="s">
        <v>330</v>
      </c>
      <c r="Y4001" t="s">
        <v>7381</v>
      </c>
    </row>
    <row r="4002" spans="1:25" x14ac:dyDescent="0.25">
      <c r="A4002" t="str">
        <f>"1485896379"</f>
        <v>1485896379</v>
      </c>
      <c r="B4002" t="s">
        <v>32</v>
      </c>
      <c r="C4002" t="s">
        <v>182</v>
      </c>
      <c r="D4002" t="s">
        <v>19655</v>
      </c>
      <c r="E4002">
        <v>424028</v>
      </c>
      <c r="F4002" t="s">
        <v>1</v>
      </c>
      <c r="G4002" t="s">
        <v>2</v>
      </c>
      <c r="H4002" t="s">
        <v>18467</v>
      </c>
      <c r="P4002" t="s">
        <v>2406</v>
      </c>
      <c r="Y4002" t="s">
        <v>19656</v>
      </c>
    </row>
    <row r="4003" spans="1:25" x14ac:dyDescent="0.25">
      <c r="A4003" t="str">
        <f>"1486515445"</f>
        <v>1486515445</v>
      </c>
      <c r="B4003" t="s">
        <v>18</v>
      </c>
      <c r="C4003" t="s">
        <v>19661</v>
      </c>
      <c r="D4003" t="s">
        <v>115</v>
      </c>
      <c r="E4003">
        <v>424016</v>
      </c>
      <c r="F4003" t="s">
        <v>1</v>
      </c>
      <c r="G4003" t="s">
        <v>2</v>
      </c>
      <c r="H4003" t="s">
        <v>3344</v>
      </c>
      <c r="I4003" t="s">
        <v>19657</v>
      </c>
      <c r="J4003" t="s">
        <v>19658</v>
      </c>
      <c r="L4003" t="s">
        <v>19659</v>
      </c>
      <c r="M4003" t="s">
        <v>19660</v>
      </c>
      <c r="P4003" t="s">
        <v>5575</v>
      </c>
      <c r="Y4003" t="s">
        <v>9983</v>
      </c>
    </row>
    <row r="4004" spans="1:25" x14ac:dyDescent="0.25">
      <c r="A4004" t="str">
        <f>"1487212452"</f>
        <v>1487212452</v>
      </c>
      <c r="B4004" t="s">
        <v>80</v>
      </c>
      <c r="C4004" t="s">
        <v>14246</v>
      </c>
      <c r="D4004" t="s">
        <v>19662</v>
      </c>
      <c r="E4004">
        <v>424038</v>
      </c>
      <c r="F4004" t="s">
        <v>1</v>
      </c>
      <c r="G4004" t="s">
        <v>2</v>
      </c>
      <c r="H4004" t="s">
        <v>10766</v>
      </c>
      <c r="I4004" t="s">
        <v>19663</v>
      </c>
      <c r="L4004" t="s">
        <v>5486</v>
      </c>
      <c r="P4004" t="s">
        <v>5488</v>
      </c>
      <c r="Q4004" t="s">
        <v>5489</v>
      </c>
      <c r="Y4004" t="s">
        <v>19664</v>
      </c>
    </row>
    <row r="4005" spans="1:25" x14ac:dyDescent="0.25">
      <c r="A4005" t="str">
        <f>"1487407430"</f>
        <v>1487407430</v>
      </c>
      <c r="B4005" t="s">
        <v>978</v>
      </c>
      <c r="C4005" t="s">
        <v>7568</v>
      </c>
      <c r="D4005" t="s">
        <v>19665</v>
      </c>
      <c r="F4005" t="s">
        <v>1</v>
      </c>
      <c r="G4005" t="s">
        <v>2</v>
      </c>
      <c r="H4005" t="s">
        <v>19666</v>
      </c>
      <c r="I4005" t="s">
        <v>19667</v>
      </c>
      <c r="M4005" t="s">
        <v>19668</v>
      </c>
      <c r="P4005" t="s">
        <v>12632</v>
      </c>
      <c r="Y4005" t="s">
        <v>19669</v>
      </c>
    </row>
    <row r="4006" spans="1:25" x14ac:dyDescent="0.25">
      <c r="A4006" t="str">
        <f>"1487497239"</f>
        <v>1487497239</v>
      </c>
      <c r="B4006" t="s">
        <v>4027</v>
      </c>
      <c r="C4006" t="s">
        <v>19672</v>
      </c>
      <c r="D4006" t="s">
        <v>19670</v>
      </c>
      <c r="E4006">
        <v>424003</v>
      </c>
      <c r="F4006" t="s">
        <v>1</v>
      </c>
      <c r="G4006" t="s">
        <v>2</v>
      </c>
      <c r="H4006" t="s">
        <v>6194</v>
      </c>
      <c r="J4006" t="s">
        <v>19671</v>
      </c>
      <c r="P4006" t="s">
        <v>27</v>
      </c>
      <c r="Y4006" t="s">
        <v>10233</v>
      </c>
    </row>
    <row r="4007" spans="1:25" x14ac:dyDescent="0.25">
      <c r="A4007" t="str">
        <f>"1487790960"</f>
        <v>1487790960</v>
      </c>
      <c r="B4007" t="s">
        <v>930</v>
      </c>
      <c r="C4007" t="s">
        <v>2543</v>
      </c>
      <c r="D4007" t="s">
        <v>19673</v>
      </c>
      <c r="E4007">
        <v>424028</v>
      </c>
      <c r="F4007" t="s">
        <v>1</v>
      </c>
      <c r="G4007" t="s">
        <v>2</v>
      </c>
      <c r="H4007" t="s">
        <v>19674</v>
      </c>
      <c r="I4007" t="s">
        <v>19675</v>
      </c>
      <c r="P4007" t="s">
        <v>13898</v>
      </c>
      <c r="Y4007" t="s">
        <v>19676</v>
      </c>
    </row>
    <row r="4008" spans="1:25" x14ac:dyDescent="0.25">
      <c r="A4008" t="str">
        <f>"1487890692"</f>
        <v>1487890692</v>
      </c>
      <c r="B4008" t="s">
        <v>930</v>
      </c>
      <c r="C4008" t="s">
        <v>19681</v>
      </c>
      <c r="D4008" t="s">
        <v>19677</v>
      </c>
      <c r="E4008">
        <v>424028</v>
      </c>
      <c r="F4008" t="s">
        <v>1</v>
      </c>
      <c r="G4008" t="s">
        <v>2</v>
      </c>
      <c r="H4008" t="s">
        <v>19678</v>
      </c>
      <c r="I4008" t="s">
        <v>19679</v>
      </c>
      <c r="J4008" t="s">
        <v>19680</v>
      </c>
      <c r="P4008" t="s">
        <v>11503</v>
      </c>
      <c r="Y4008" t="s">
        <v>19682</v>
      </c>
    </row>
    <row r="4009" spans="1:25" x14ac:dyDescent="0.25">
      <c r="A4009" t="str">
        <f>"1488456991"</f>
        <v>1488456991</v>
      </c>
      <c r="B4009" t="s">
        <v>1053</v>
      </c>
      <c r="C4009" t="s">
        <v>5092</v>
      </c>
      <c r="D4009" t="s">
        <v>19683</v>
      </c>
      <c r="E4009">
        <v>424006</v>
      </c>
      <c r="F4009" t="s">
        <v>1</v>
      </c>
      <c r="G4009" t="s">
        <v>2</v>
      </c>
      <c r="H4009" t="s">
        <v>19684</v>
      </c>
      <c r="J4009" t="s">
        <v>19685</v>
      </c>
      <c r="P4009" t="s">
        <v>27</v>
      </c>
      <c r="Y4009" t="s">
        <v>19686</v>
      </c>
    </row>
    <row r="4010" spans="1:25" x14ac:dyDescent="0.25">
      <c r="A4010" t="str">
        <f>"1489060196"</f>
        <v>1489060196</v>
      </c>
      <c r="B4010" t="s">
        <v>930</v>
      </c>
      <c r="C4010" t="s">
        <v>1096</v>
      </c>
      <c r="D4010" t="s">
        <v>19687</v>
      </c>
      <c r="E4010">
        <v>424000</v>
      </c>
      <c r="F4010" t="s">
        <v>1</v>
      </c>
      <c r="G4010" t="s">
        <v>2</v>
      </c>
      <c r="H4010" t="s">
        <v>19688</v>
      </c>
      <c r="I4010" t="s">
        <v>19689</v>
      </c>
      <c r="P4010" t="s">
        <v>1160</v>
      </c>
      <c r="Y4010" t="s">
        <v>19690</v>
      </c>
    </row>
    <row r="4011" spans="1:25" x14ac:dyDescent="0.25">
      <c r="A4011" t="str">
        <f>"1489293844"</f>
        <v>1489293844</v>
      </c>
      <c r="B4011" t="s">
        <v>703</v>
      </c>
      <c r="C4011" t="s">
        <v>19693</v>
      </c>
      <c r="D4011" t="s">
        <v>19691</v>
      </c>
      <c r="E4011">
        <v>424007</v>
      </c>
      <c r="F4011" t="s">
        <v>1</v>
      </c>
      <c r="G4011" t="s">
        <v>2</v>
      </c>
      <c r="H4011" t="s">
        <v>13918</v>
      </c>
      <c r="I4011" t="s">
        <v>19692</v>
      </c>
      <c r="P4011" t="s">
        <v>14213</v>
      </c>
      <c r="Y4011" t="s">
        <v>19694</v>
      </c>
    </row>
    <row r="4012" spans="1:25" x14ac:dyDescent="0.25">
      <c r="A4012" t="str">
        <f>"1490772323"</f>
        <v>1490772323</v>
      </c>
      <c r="B4012" t="s">
        <v>151</v>
      </c>
      <c r="C4012" t="s">
        <v>151</v>
      </c>
      <c r="D4012" t="s">
        <v>19695</v>
      </c>
      <c r="E4012">
        <v>424003</v>
      </c>
      <c r="F4012" t="s">
        <v>1</v>
      </c>
      <c r="G4012" t="s">
        <v>2</v>
      </c>
      <c r="H4012" t="s">
        <v>19696</v>
      </c>
      <c r="I4012" t="s">
        <v>19697</v>
      </c>
      <c r="P4012" t="s">
        <v>27</v>
      </c>
      <c r="Y4012" t="s">
        <v>19698</v>
      </c>
    </row>
    <row r="4013" spans="1:25" x14ac:dyDescent="0.25">
      <c r="A4013" t="str">
        <f>"1491478181"</f>
        <v>1491478181</v>
      </c>
      <c r="B4013" t="s">
        <v>1078</v>
      </c>
      <c r="C4013" t="s">
        <v>19700</v>
      </c>
      <c r="D4013" t="s">
        <v>7229</v>
      </c>
      <c r="E4013">
        <v>424006</v>
      </c>
      <c r="F4013" t="s">
        <v>1</v>
      </c>
      <c r="G4013" t="s">
        <v>2</v>
      </c>
      <c r="H4013" t="s">
        <v>3374</v>
      </c>
      <c r="I4013" t="s">
        <v>19699</v>
      </c>
      <c r="P4013" t="s">
        <v>3379</v>
      </c>
      <c r="Y4013" t="s">
        <v>19701</v>
      </c>
    </row>
    <row r="4014" spans="1:25" x14ac:dyDescent="0.25">
      <c r="A4014" t="str">
        <f>"1492664963"</f>
        <v>1492664963</v>
      </c>
      <c r="B4014" t="s">
        <v>151</v>
      </c>
      <c r="C4014" t="s">
        <v>151</v>
      </c>
      <c r="D4014" t="s">
        <v>19702</v>
      </c>
      <c r="E4014">
        <v>424036</v>
      </c>
      <c r="F4014" t="s">
        <v>1</v>
      </c>
      <c r="G4014" t="s">
        <v>2</v>
      </c>
      <c r="H4014" t="s">
        <v>19703</v>
      </c>
      <c r="I4014" t="s">
        <v>19704</v>
      </c>
      <c r="P4014" t="s">
        <v>27</v>
      </c>
      <c r="Y4014" t="s">
        <v>19705</v>
      </c>
    </row>
    <row r="4015" spans="1:25" x14ac:dyDescent="0.25">
      <c r="A4015" t="str">
        <f>"1492813855"</f>
        <v>1492813855</v>
      </c>
      <c r="B4015" t="s">
        <v>290</v>
      </c>
      <c r="C4015" t="s">
        <v>19710</v>
      </c>
      <c r="D4015" t="s">
        <v>19706</v>
      </c>
      <c r="E4015">
        <v>424038</v>
      </c>
      <c r="F4015" t="s">
        <v>1</v>
      </c>
      <c r="G4015" t="s">
        <v>2</v>
      </c>
      <c r="H4015" t="s">
        <v>7597</v>
      </c>
      <c r="J4015" t="s">
        <v>19707</v>
      </c>
      <c r="L4015" t="s">
        <v>19708</v>
      </c>
      <c r="M4015" t="s">
        <v>19709</v>
      </c>
      <c r="P4015" t="s">
        <v>1642</v>
      </c>
      <c r="Q4015" t="s">
        <v>19711</v>
      </c>
      <c r="V4015" t="s">
        <v>19712</v>
      </c>
      <c r="Y4015" t="s">
        <v>19713</v>
      </c>
    </row>
    <row r="4016" spans="1:25" x14ac:dyDescent="0.25">
      <c r="A4016" t="str">
        <f>"1493630782"</f>
        <v>1493630782</v>
      </c>
      <c r="B4016" t="s">
        <v>797</v>
      </c>
      <c r="C4016" t="s">
        <v>19715</v>
      </c>
      <c r="D4016" t="s">
        <v>13179</v>
      </c>
      <c r="E4016">
        <v>424003</v>
      </c>
      <c r="F4016" t="s">
        <v>1</v>
      </c>
      <c r="G4016" t="s">
        <v>2</v>
      </c>
      <c r="H4016" t="s">
        <v>38</v>
      </c>
      <c r="I4016" t="s">
        <v>19714</v>
      </c>
      <c r="P4016" t="s">
        <v>112</v>
      </c>
      <c r="Y4016" t="s">
        <v>19716</v>
      </c>
    </row>
    <row r="4017" spans="1:25" x14ac:dyDescent="0.25">
      <c r="A4017" t="str">
        <f>"1493981578"</f>
        <v>1493981578</v>
      </c>
      <c r="B4017" t="s">
        <v>32</v>
      </c>
      <c r="C4017" t="s">
        <v>2996</v>
      </c>
      <c r="D4017" t="s">
        <v>19717</v>
      </c>
      <c r="E4017">
        <v>424003</v>
      </c>
      <c r="F4017" t="s">
        <v>1</v>
      </c>
      <c r="G4017" t="s">
        <v>2</v>
      </c>
      <c r="H4017" t="s">
        <v>38</v>
      </c>
      <c r="I4017" t="s">
        <v>19718</v>
      </c>
      <c r="L4017" t="s">
        <v>19719</v>
      </c>
      <c r="M4017" t="s">
        <v>19720</v>
      </c>
      <c r="P4017" t="s">
        <v>216</v>
      </c>
      <c r="Q4017" t="s">
        <v>19721</v>
      </c>
      <c r="Y4017" t="s">
        <v>19722</v>
      </c>
    </row>
    <row r="4018" spans="1:25" x14ac:dyDescent="0.25">
      <c r="A4018" t="str">
        <f>"1494017928"</f>
        <v>1494017928</v>
      </c>
      <c r="B4018" t="s">
        <v>624</v>
      </c>
      <c r="C4018" t="s">
        <v>1637</v>
      </c>
      <c r="D4018" t="s">
        <v>19723</v>
      </c>
      <c r="E4018">
        <v>424016</v>
      </c>
      <c r="F4018" t="s">
        <v>1</v>
      </c>
      <c r="G4018" t="s">
        <v>2</v>
      </c>
      <c r="H4018" t="s">
        <v>848</v>
      </c>
      <c r="I4018" t="s">
        <v>19724</v>
      </c>
      <c r="J4018" t="s">
        <v>19725</v>
      </c>
      <c r="P4018" t="s">
        <v>20</v>
      </c>
      <c r="Y4018" t="s">
        <v>855</v>
      </c>
    </row>
    <row r="4019" spans="1:25" x14ac:dyDescent="0.25">
      <c r="A4019" t="str">
        <f>"1494402634"</f>
        <v>1494402634</v>
      </c>
      <c r="B4019" t="s">
        <v>151</v>
      </c>
      <c r="C4019" t="s">
        <v>151</v>
      </c>
      <c r="D4019" t="s">
        <v>19726</v>
      </c>
      <c r="E4019">
        <v>424002</v>
      </c>
      <c r="F4019" t="s">
        <v>1</v>
      </c>
      <c r="G4019" t="s">
        <v>2</v>
      </c>
      <c r="H4019" t="s">
        <v>9857</v>
      </c>
      <c r="I4019" t="s">
        <v>19727</v>
      </c>
      <c r="J4019" t="s">
        <v>19728</v>
      </c>
      <c r="P4019" t="s">
        <v>27</v>
      </c>
      <c r="Y4019" t="s">
        <v>19729</v>
      </c>
    </row>
    <row r="4020" spans="1:25" x14ac:dyDescent="0.25">
      <c r="A4020" t="str">
        <f>"1494439104"</f>
        <v>1494439104</v>
      </c>
      <c r="B4020" t="s">
        <v>284</v>
      </c>
      <c r="C4020" t="s">
        <v>3445</v>
      </c>
      <c r="D4020" t="s">
        <v>19730</v>
      </c>
      <c r="F4020" t="s">
        <v>1</v>
      </c>
      <c r="G4020" t="s">
        <v>2</v>
      </c>
      <c r="H4020" t="s">
        <v>2027</v>
      </c>
      <c r="I4020" t="s">
        <v>19731</v>
      </c>
      <c r="L4020" t="s">
        <v>19732</v>
      </c>
      <c r="M4020" t="s">
        <v>19733</v>
      </c>
      <c r="Y4020" t="s">
        <v>2029</v>
      </c>
    </row>
    <row r="4021" spans="1:25" x14ac:dyDescent="0.25">
      <c r="A4021" t="str">
        <f>"1494790330"</f>
        <v>1494790330</v>
      </c>
      <c r="B4021" t="s">
        <v>930</v>
      </c>
      <c r="C4021" t="s">
        <v>1096</v>
      </c>
      <c r="D4021" t="s">
        <v>19734</v>
      </c>
      <c r="E4021">
        <v>424020</v>
      </c>
      <c r="F4021" t="s">
        <v>1</v>
      </c>
      <c r="G4021" t="s">
        <v>2</v>
      </c>
      <c r="H4021" t="s">
        <v>19735</v>
      </c>
      <c r="I4021" t="s">
        <v>19736</v>
      </c>
      <c r="P4021" t="s">
        <v>27</v>
      </c>
      <c r="Y4021" t="s">
        <v>19737</v>
      </c>
    </row>
    <row r="4022" spans="1:25" x14ac:dyDescent="0.25">
      <c r="A4022" t="str">
        <f>"1494906045"</f>
        <v>1494906045</v>
      </c>
      <c r="B4022" t="s">
        <v>2818</v>
      </c>
      <c r="C4022" t="s">
        <v>6466</v>
      </c>
      <c r="D4022" t="s">
        <v>18803</v>
      </c>
      <c r="E4022">
        <v>424000</v>
      </c>
      <c r="F4022" t="s">
        <v>1</v>
      </c>
      <c r="G4022" t="s">
        <v>2</v>
      </c>
      <c r="H4022" t="s">
        <v>10305</v>
      </c>
      <c r="I4022" t="s">
        <v>19738</v>
      </c>
      <c r="J4022" t="s">
        <v>19739</v>
      </c>
      <c r="L4022" t="s">
        <v>19740</v>
      </c>
      <c r="M4022" t="s">
        <v>19741</v>
      </c>
      <c r="P4022" t="s">
        <v>19742</v>
      </c>
      <c r="Q4022" t="s">
        <v>19743</v>
      </c>
      <c r="Y4022" t="s">
        <v>19744</v>
      </c>
    </row>
    <row r="4023" spans="1:25" x14ac:dyDescent="0.25">
      <c r="A4023" t="str">
        <f>"1495374700"</f>
        <v>1495374700</v>
      </c>
      <c r="B4023" t="s">
        <v>930</v>
      </c>
      <c r="C4023" t="s">
        <v>19747</v>
      </c>
      <c r="D4023" t="s">
        <v>19745</v>
      </c>
      <c r="E4023">
        <v>424006</v>
      </c>
      <c r="F4023" t="s">
        <v>1</v>
      </c>
      <c r="G4023" t="s">
        <v>2</v>
      </c>
      <c r="H4023" t="s">
        <v>4346</v>
      </c>
      <c r="I4023" t="s">
        <v>19746</v>
      </c>
      <c r="P4023" t="s">
        <v>2738</v>
      </c>
      <c r="Y4023" t="s">
        <v>19748</v>
      </c>
    </row>
    <row r="4024" spans="1:25" x14ac:dyDescent="0.25">
      <c r="A4024" t="str">
        <f>"1495653906"</f>
        <v>1495653906</v>
      </c>
      <c r="B4024" t="s">
        <v>978</v>
      </c>
      <c r="C4024" t="s">
        <v>1659</v>
      </c>
      <c r="D4024" t="s">
        <v>19749</v>
      </c>
      <c r="E4024">
        <v>424036</v>
      </c>
      <c r="F4024" t="s">
        <v>1</v>
      </c>
      <c r="G4024" t="s">
        <v>2</v>
      </c>
      <c r="H4024" t="s">
        <v>19750</v>
      </c>
      <c r="I4024" t="s">
        <v>19751</v>
      </c>
      <c r="P4024" t="s">
        <v>216</v>
      </c>
      <c r="Q4024" t="s">
        <v>19752</v>
      </c>
      <c r="Y4024" t="s">
        <v>19753</v>
      </c>
    </row>
    <row r="4025" spans="1:25" x14ac:dyDescent="0.25">
      <c r="A4025" t="str">
        <f>"1495841149"</f>
        <v>1495841149</v>
      </c>
      <c r="B4025" t="s">
        <v>32</v>
      </c>
      <c r="C4025" t="s">
        <v>777</v>
      </c>
      <c r="D4025" t="s">
        <v>19754</v>
      </c>
      <c r="E4025">
        <v>424003</v>
      </c>
      <c r="F4025" t="s">
        <v>1</v>
      </c>
      <c r="G4025" t="s">
        <v>2</v>
      </c>
      <c r="H4025" t="s">
        <v>5311</v>
      </c>
      <c r="P4025" t="s">
        <v>9785</v>
      </c>
      <c r="Y4025" t="s">
        <v>19755</v>
      </c>
    </row>
    <row r="4026" spans="1:25" x14ac:dyDescent="0.25">
      <c r="A4026" t="str">
        <f>"1496293204"</f>
        <v>1496293204</v>
      </c>
      <c r="B4026" t="s">
        <v>591</v>
      </c>
      <c r="C4026" t="s">
        <v>19758</v>
      </c>
      <c r="D4026" t="s">
        <v>19756</v>
      </c>
      <c r="E4026">
        <v>424039</v>
      </c>
      <c r="F4026" t="s">
        <v>1</v>
      </c>
      <c r="G4026" t="s">
        <v>2</v>
      </c>
      <c r="H4026" t="s">
        <v>933</v>
      </c>
      <c r="I4026" t="s">
        <v>19757</v>
      </c>
      <c r="P4026" t="s">
        <v>330</v>
      </c>
      <c r="Y4026" t="s">
        <v>19759</v>
      </c>
    </row>
    <row r="4027" spans="1:25" x14ac:dyDescent="0.25">
      <c r="A4027" t="str">
        <f>"1497255212"</f>
        <v>1497255212</v>
      </c>
      <c r="B4027" t="s">
        <v>1222</v>
      </c>
      <c r="C4027" t="s">
        <v>2114</v>
      </c>
      <c r="D4027" t="s">
        <v>19760</v>
      </c>
      <c r="E4027">
        <v>424006</v>
      </c>
      <c r="F4027" t="s">
        <v>1</v>
      </c>
      <c r="G4027" t="s">
        <v>2</v>
      </c>
      <c r="H4027" t="s">
        <v>2966</v>
      </c>
      <c r="J4027" t="s">
        <v>19761</v>
      </c>
      <c r="P4027" t="s">
        <v>2457</v>
      </c>
      <c r="Y4027" t="s">
        <v>2970</v>
      </c>
    </row>
    <row r="4028" spans="1:25" x14ac:dyDescent="0.25">
      <c r="A4028" t="str">
        <f>"1497297246"</f>
        <v>1497297246</v>
      </c>
      <c r="B4028" t="s">
        <v>32</v>
      </c>
      <c r="C4028" t="s">
        <v>182</v>
      </c>
      <c r="D4028" t="s">
        <v>19762</v>
      </c>
      <c r="E4028">
        <v>424038</v>
      </c>
      <c r="F4028" t="s">
        <v>1</v>
      </c>
      <c r="G4028" t="s">
        <v>2</v>
      </c>
      <c r="H4028" t="s">
        <v>10681</v>
      </c>
      <c r="P4028" t="s">
        <v>1027</v>
      </c>
      <c r="Q4028" t="s">
        <v>19763</v>
      </c>
      <c r="Y4028" t="s">
        <v>19764</v>
      </c>
    </row>
    <row r="4029" spans="1:25" x14ac:dyDescent="0.25">
      <c r="A4029" t="str">
        <f>"1497587798"</f>
        <v>1497587798</v>
      </c>
      <c r="B4029" t="s">
        <v>1362</v>
      </c>
      <c r="C4029" t="s">
        <v>8728</v>
      </c>
      <c r="D4029" t="s">
        <v>19765</v>
      </c>
      <c r="E4029">
        <v>424004</v>
      </c>
      <c r="F4029" t="s">
        <v>1</v>
      </c>
      <c r="G4029" t="s">
        <v>2</v>
      </c>
      <c r="H4029" t="s">
        <v>186</v>
      </c>
      <c r="J4029" t="s">
        <v>19766</v>
      </c>
      <c r="P4029" t="s">
        <v>647</v>
      </c>
      <c r="Q4029" t="s">
        <v>19767</v>
      </c>
      <c r="U4029" t="s">
        <v>19768</v>
      </c>
      <c r="Y4029" t="s">
        <v>190</v>
      </c>
    </row>
    <row r="4030" spans="1:25" x14ac:dyDescent="0.25">
      <c r="A4030" t="str">
        <f>"1498457811"</f>
        <v>1498457811</v>
      </c>
      <c r="B4030" t="s">
        <v>930</v>
      </c>
      <c r="C4030" t="s">
        <v>19775</v>
      </c>
      <c r="D4030" t="s">
        <v>19769</v>
      </c>
      <c r="F4030" t="s">
        <v>1</v>
      </c>
      <c r="G4030" t="s">
        <v>2</v>
      </c>
      <c r="H4030" t="s">
        <v>19770</v>
      </c>
      <c r="I4030" t="s">
        <v>19771</v>
      </c>
      <c r="J4030" t="s">
        <v>19772</v>
      </c>
      <c r="L4030" t="s">
        <v>19773</v>
      </c>
      <c r="M4030" t="s">
        <v>19774</v>
      </c>
      <c r="P4030" t="s">
        <v>41</v>
      </c>
      <c r="Q4030" t="s">
        <v>19776</v>
      </c>
      <c r="Y4030" t="s">
        <v>19777</v>
      </c>
    </row>
    <row r="4031" spans="1:25" x14ac:dyDescent="0.25">
      <c r="A4031" t="str">
        <f>"1499079306"</f>
        <v>1499079306</v>
      </c>
      <c r="B4031" t="s">
        <v>3544</v>
      </c>
      <c r="C4031" t="s">
        <v>19783</v>
      </c>
      <c r="D4031" t="s">
        <v>19778</v>
      </c>
      <c r="E4031">
        <v>424006</v>
      </c>
      <c r="F4031" t="s">
        <v>1</v>
      </c>
      <c r="G4031" t="s">
        <v>2</v>
      </c>
      <c r="H4031" t="s">
        <v>1012</v>
      </c>
      <c r="I4031" t="s">
        <v>19779</v>
      </c>
      <c r="J4031" t="s">
        <v>19780</v>
      </c>
      <c r="L4031" t="s">
        <v>19781</v>
      </c>
      <c r="M4031" t="s">
        <v>19782</v>
      </c>
      <c r="P4031" t="s">
        <v>280</v>
      </c>
      <c r="Y4031" t="s">
        <v>1016</v>
      </c>
    </row>
    <row r="4032" spans="1:25" x14ac:dyDescent="0.25">
      <c r="A4032" t="str">
        <f>"1499376720"</f>
        <v>1499376720</v>
      </c>
      <c r="B4032" t="s">
        <v>18</v>
      </c>
      <c r="C4032" t="s">
        <v>19786</v>
      </c>
      <c r="D4032" t="s">
        <v>19784</v>
      </c>
      <c r="E4032">
        <v>424004</v>
      </c>
      <c r="F4032" t="s">
        <v>1</v>
      </c>
      <c r="G4032" t="s">
        <v>2</v>
      </c>
      <c r="H4032" t="s">
        <v>2589</v>
      </c>
      <c r="J4032" t="s">
        <v>19785</v>
      </c>
      <c r="P4032" t="s">
        <v>19787</v>
      </c>
      <c r="Y4032" t="s">
        <v>19788</v>
      </c>
    </row>
    <row r="4033" spans="1:25" x14ac:dyDescent="0.25">
      <c r="A4033" t="str">
        <f>"1500251812"</f>
        <v>1500251812</v>
      </c>
      <c r="B4033" t="s">
        <v>930</v>
      </c>
      <c r="C4033" t="s">
        <v>1940</v>
      </c>
      <c r="D4033" t="s">
        <v>733</v>
      </c>
      <c r="E4033">
        <v>424026</v>
      </c>
      <c r="F4033" t="s">
        <v>1</v>
      </c>
      <c r="G4033" t="s">
        <v>2</v>
      </c>
      <c r="H4033" t="s">
        <v>7964</v>
      </c>
      <c r="I4033" t="s">
        <v>19789</v>
      </c>
      <c r="L4033" t="s">
        <v>736</v>
      </c>
      <c r="M4033" t="s">
        <v>737</v>
      </c>
      <c r="P4033" t="s">
        <v>19790</v>
      </c>
      <c r="Q4033" t="s">
        <v>741</v>
      </c>
      <c r="Y4033" t="s">
        <v>19791</v>
      </c>
    </row>
    <row r="4034" spans="1:25" x14ac:dyDescent="0.25">
      <c r="A4034" t="str">
        <f>"1501544411"</f>
        <v>1501544411</v>
      </c>
      <c r="B4034" t="s">
        <v>654</v>
      </c>
      <c r="C4034" t="s">
        <v>19796</v>
      </c>
      <c r="D4034" t="s">
        <v>19792</v>
      </c>
      <c r="E4034">
        <v>424031</v>
      </c>
      <c r="F4034" t="s">
        <v>1</v>
      </c>
      <c r="G4034" t="s">
        <v>2</v>
      </c>
      <c r="H4034" t="s">
        <v>413</v>
      </c>
      <c r="I4034" t="s">
        <v>19793</v>
      </c>
      <c r="L4034" t="s">
        <v>19794</v>
      </c>
      <c r="M4034" t="s">
        <v>19795</v>
      </c>
      <c r="P4034" t="s">
        <v>19797</v>
      </c>
      <c r="Y4034" t="s">
        <v>19798</v>
      </c>
    </row>
    <row r="4035" spans="1:25" x14ac:dyDescent="0.25">
      <c r="A4035" t="str">
        <f>"1501827879"</f>
        <v>1501827879</v>
      </c>
      <c r="B4035" t="s">
        <v>624</v>
      </c>
      <c r="C4035" t="s">
        <v>1637</v>
      </c>
      <c r="D4035" t="s">
        <v>19799</v>
      </c>
      <c r="E4035">
        <v>424016</v>
      </c>
      <c r="F4035" t="s">
        <v>1</v>
      </c>
      <c r="G4035" t="s">
        <v>2</v>
      </c>
      <c r="H4035" t="s">
        <v>848</v>
      </c>
      <c r="I4035" t="s">
        <v>14058</v>
      </c>
      <c r="J4035" t="s">
        <v>19800</v>
      </c>
      <c r="P4035" t="s">
        <v>330</v>
      </c>
      <c r="Y4035" t="s">
        <v>855</v>
      </c>
    </row>
    <row r="4036" spans="1:25" x14ac:dyDescent="0.25">
      <c r="A4036" t="str">
        <f>"1503006133"</f>
        <v>1503006133</v>
      </c>
      <c r="B4036" t="s">
        <v>96</v>
      </c>
      <c r="C4036" t="s">
        <v>19803</v>
      </c>
      <c r="D4036" t="s">
        <v>19801</v>
      </c>
      <c r="E4036">
        <v>424020</v>
      </c>
      <c r="F4036" t="s">
        <v>1</v>
      </c>
      <c r="G4036" t="s">
        <v>2</v>
      </c>
      <c r="H4036" t="s">
        <v>1837</v>
      </c>
      <c r="I4036" t="s">
        <v>19802</v>
      </c>
      <c r="P4036" t="s">
        <v>152</v>
      </c>
      <c r="Y4036" t="s">
        <v>1842</v>
      </c>
    </row>
    <row r="4037" spans="1:25" x14ac:dyDescent="0.25">
      <c r="A4037" t="str">
        <f>"1503133898"</f>
        <v>1503133898</v>
      </c>
      <c r="B4037" t="s">
        <v>2790</v>
      </c>
      <c r="C4037" t="s">
        <v>19806</v>
      </c>
      <c r="D4037" t="s">
        <v>19804</v>
      </c>
      <c r="E4037">
        <v>424000</v>
      </c>
      <c r="F4037" t="s">
        <v>1</v>
      </c>
      <c r="G4037" t="s">
        <v>2</v>
      </c>
      <c r="H4037" t="s">
        <v>7452</v>
      </c>
      <c r="I4037" t="s">
        <v>19805</v>
      </c>
      <c r="P4037" t="s">
        <v>340</v>
      </c>
      <c r="Y4037" t="s">
        <v>19807</v>
      </c>
    </row>
    <row r="4038" spans="1:25" x14ac:dyDescent="0.25">
      <c r="A4038" t="str">
        <f>"1503462961"</f>
        <v>1503462961</v>
      </c>
      <c r="B4038" t="s">
        <v>469</v>
      </c>
      <c r="C4038" t="s">
        <v>19811</v>
      </c>
      <c r="D4038" t="s">
        <v>19808</v>
      </c>
      <c r="E4038">
        <v>424003</v>
      </c>
      <c r="F4038" t="s">
        <v>1</v>
      </c>
      <c r="G4038" t="s">
        <v>2</v>
      </c>
      <c r="H4038" t="s">
        <v>19809</v>
      </c>
      <c r="I4038" t="s">
        <v>19810</v>
      </c>
      <c r="P4038" t="s">
        <v>8994</v>
      </c>
      <c r="Q4038" t="s">
        <v>19812</v>
      </c>
      <c r="V4038" t="s">
        <v>19813</v>
      </c>
      <c r="Y4038" t="s">
        <v>19814</v>
      </c>
    </row>
    <row r="4039" spans="1:25" x14ac:dyDescent="0.25">
      <c r="A4039" t="str">
        <f>"1503669108"</f>
        <v>1503669108</v>
      </c>
      <c r="B4039" t="s">
        <v>110</v>
      </c>
      <c r="C4039" t="s">
        <v>19818</v>
      </c>
      <c r="D4039" t="s">
        <v>19815</v>
      </c>
      <c r="E4039">
        <v>424038</v>
      </c>
      <c r="F4039" t="s">
        <v>1</v>
      </c>
      <c r="G4039" t="s">
        <v>2</v>
      </c>
      <c r="H4039" t="s">
        <v>1366</v>
      </c>
      <c r="J4039" t="s">
        <v>19816</v>
      </c>
      <c r="M4039" t="s">
        <v>19817</v>
      </c>
      <c r="P4039" t="s">
        <v>4280</v>
      </c>
      <c r="Y4039" t="s">
        <v>19819</v>
      </c>
    </row>
    <row r="4040" spans="1:25" x14ac:dyDescent="0.25">
      <c r="A4040" t="str">
        <f>"1504542828"</f>
        <v>1504542828</v>
      </c>
      <c r="B4040" t="s">
        <v>151</v>
      </c>
      <c r="C4040" t="s">
        <v>1034</v>
      </c>
      <c r="D4040" t="s">
        <v>19820</v>
      </c>
      <c r="E4040">
        <v>424036</v>
      </c>
      <c r="F4040" t="s">
        <v>1</v>
      </c>
      <c r="G4040" t="s">
        <v>2</v>
      </c>
      <c r="H4040" t="s">
        <v>8222</v>
      </c>
      <c r="J4040" t="s">
        <v>19821</v>
      </c>
      <c r="P4040" t="s">
        <v>9</v>
      </c>
      <c r="Y4040" t="s">
        <v>19822</v>
      </c>
    </row>
    <row r="4041" spans="1:25" x14ac:dyDescent="0.25">
      <c r="A4041" t="str">
        <f>"1504619044"</f>
        <v>1504619044</v>
      </c>
      <c r="B4041" t="s">
        <v>18</v>
      </c>
      <c r="C4041" t="s">
        <v>143</v>
      </c>
      <c r="D4041" t="s">
        <v>9137</v>
      </c>
      <c r="F4041" t="s">
        <v>1</v>
      </c>
      <c r="G4041" t="s">
        <v>2</v>
      </c>
      <c r="H4041" t="s">
        <v>12469</v>
      </c>
      <c r="I4041" t="s">
        <v>19823</v>
      </c>
      <c r="J4041" t="s">
        <v>19824</v>
      </c>
      <c r="L4041" t="s">
        <v>19825</v>
      </c>
      <c r="M4041" t="s">
        <v>19826</v>
      </c>
      <c r="P4041" t="s">
        <v>20</v>
      </c>
      <c r="Q4041" t="s">
        <v>19827</v>
      </c>
      <c r="R4041" t="s">
        <v>19828</v>
      </c>
      <c r="T4041" t="s">
        <v>19829</v>
      </c>
      <c r="Y4041" t="s">
        <v>12472</v>
      </c>
    </row>
    <row r="4042" spans="1:25" x14ac:dyDescent="0.25">
      <c r="A4042" t="str">
        <f>"1505324147"</f>
        <v>1505324147</v>
      </c>
      <c r="B4042" t="s">
        <v>176</v>
      </c>
      <c r="C4042" t="s">
        <v>19832</v>
      </c>
      <c r="D4042" t="s">
        <v>19830</v>
      </c>
      <c r="E4042">
        <v>424020</v>
      </c>
      <c r="F4042" t="s">
        <v>1</v>
      </c>
      <c r="G4042" t="s">
        <v>2</v>
      </c>
      <c r="H4042" t="s">
        <v>1837</v>
      </c>
      <c r="J4042" t="s">
        <v>19831</v>
      </c>
      <c r="P4042" t="s">
        <v>19833</v>
      </c>
      <c r="Y4042" t="s">
        <v>1842</v>
      </c>
    </row>
    <row r="4043" spans="1:25" x14ac:dyDescent="0.25">
      <c r="A4043" t="str">
        <f>"1505516658"</f>
        <v>1505516658</v>
      </c>
      <c r="B4043" t="s">
        <v>96</v>
      </c>
      <c r="C4043" t="s">
        <v>659</v>
      </c>
      <c r="D4043" t="s">
        <v>19834</v>
      </c>
      <c r="E4043">
        <v>424002</v>
      </c>
      <c r="F4043" t="s">
        <v>1</v>
      </c>
      <c r="G4043" t="s">
        <v>2</v>
      </c>
      <c r="H4043" t="s">
        <v>3068</v>
      </c>
      <c r="P4043" t="s">
        <v>748</v>
      </c>
      <c r="Y4043" t="s">
        <v>19835</v>
      </c>
    </row>
    <row r="4044" spans="1:25" x14ac:dyDescent="0.25">
      <c r="A4044" t="str">
        <f>"1506700721"</f>
        <v>1506700721</v>
      </c>
      <c r="B4044" t="s">
        <v>176</v>
      </c>
      <c r="C4044" t="s">
        <v>250</v>
      </c>
      <c r="D4044" t="s">
        <v>19836</v>
      </c>
      <c r="E4044">
        <v>424004</v>
      </c>
      <c r="F4044" t="s">
        <v>1</v>
      </c>
      <c r="G4044" t="s">
        <v>2</v>
      </c>
      <c r="H4044" t="s">
        <v>186</v>
      </c>
      <c r="I4044" t="s">
        <v>19837</v>
      </c>
      <c r="P4044" t="s">
        <v>2296</v>
      </c>
      <c r="Y4044" t="s">
        <v>190</v>
      </c>
    </row>
    <row r="4045" spans="1:25" x14ac:dyDescent="0.25">
      <c r="A4045" t="str">
        <f>"1507050749"</f>
        <v>1507050749</v>
      </c>
      <c r="B4045" t="s">
        <v>2790</v>
      </c>
      <c r="C4045" t="s">
        <v>3528</v>
      </c>
      <c r="D4045" t="s">
        <v>19838</v>
      </c>
      <c r="E4045">
        <v>424033</v>
      </c>
      <c r="F4045" t="s">
        <v>1</v>
      </c>
      <c r="G4045" t="s">
        <v>2</v>
      </c>
      <c r="H4045" t="s">
        <v>19839</v>
      </c>
      <c r="I4045" t="s">
        <v>19840</v>
      </c>
      <c r="Y4045" t="s">
        <v>19841</v>
      </c>
    </row>
    <row r="4046" spans="1:25" x14ac:dyDescent="0.25">
      <c r="A4046" t="str">
        <f>"1507480500"</f>
        <v>1507480500</v>
      </c>
      <c r="B4046" t="s">
        <v>430</v>
      </c>
      <c r="C4046" t="s">
        <v>612</v>
      </c>
      <c r="D4046" t="s">
        <v>19842</v>
      </c>
      <c r="E4046">
        <v>424000</v>
      </c>
      <c r="F4046" t="s">
        <v>1</v>
      </c>
      <c r="G4046" t="s">
        <v>2</v>
      </c>
      <c r="H4046" t="s">
        <v>19843</v>
      </c>
      <c r="I4046" t="s">
        <v>19844</v>
      </c>
      <c r="L4046" t="s">
        <v>19845</v>
      </c>
      <c r="M4046" t="s">
        <v>19846</v>
      </c>
      <c r="P4046" t="s">
        <v>60</v>
      </c>
      <c r="Y4046" t="s">
        <v>19847</v>
      </c>
    </row>
    <row r="4047" spans="1:25" x14ac:dyDescent="0.25">
      <c r="A4047" t="str">
        <f>"1507523891"</f>
        <v>1507523891</v>
      </c>
      <c r="B4047" t="s">
        <v>4027</v>
      </c>
      <c r="C4047" t="s">
        <v>19852</v>
      </c>
      <c r="D4047" t="s">
        <v>19848</v>
      </c>
      <c r="E4047">
        <v>424004</v>
      </c>
      <c r="F4047" t="s">
        <v>1</v>
      </c>
      <c r="G4047" t="s">
        <v>2</v>
      </c>
      <c r="H4047" t="s">
        <v>3489</v>
      </c>
      <c r="I4047" t="s">
        <v>19849</v>
      </c>
      <c r="L4047" t="s">
        <v>19850</v>
      </c>
      <c r="M4047" t="s">
        <v>19851</v>
      </c>
      <c r="P4047" t="s">
        <v>390</v>
      </c>
      <c r="Q4047" t="s">
        <v>19853</v>
      </c>
      <c r="Y4047" t="s">
        <v>19854</v>
      </c>
    </row>
    <row r="4048" spans="1:25" x14ac:dyDescent="0.25">
      <c r="A4048" t="str">
        <f>"1508329717"</f>
        <v>1508329717</v>
      </c>
      <c r="B4048" t="s">
        <v>371</v>
      </c>
      <c r="C4048" t="s">
        <v>372</v>
      </c>
      <c r="D4048" t="s">
        <v>19855</v>
      </c>
      <c r="E4048">
        <v>424913</v>
      </c>
      <c r="F4048" t="s">
        <v>1</v>
      </c>
      <c r="G4048" t="s">
        <v>2</v>
      </c>
      <c r="H4048" t="s">
        <v>1278</v>
      </c>
      <c r="J4048" t="s">
        <v>19856</v>
      </c>
      <c r="P4048" t="s">
        <v>20</v>
      </c>
      <c r="Y4048" t="s">
        <v>1280</v>
      </c>
    </row>
    <row r="4049" spans="1:25" x14ac:dyDescent="0.25">
      <c r="A4049" t="str">
        <f>"1508361163"</f>
        <v>1508361163</v>
      </c>
      <c r="B4049" t="s">
        <v>3573</v>
      </c>
      <c r="C4049" t="s">
        <v>5816</v>
      </c>
      <c r="D4049" t="s">
        <v>19857</v>
      </c>
      <c r="E4049">
        <v>424032</v>
      </c>
      <c r="F4049" t="s">
        <v>1</v>
      </c>
      <c r="G4049" t="s">
        <v>2</v>
      </c>
      <c r="H4049" t="s">
        <v>19858</v>
      </c>
      <c r="J4049" t="s">
        <v>19859</v>
      </c>
      <c r="P4049" t="s">
        <v>27</v>
      </c>
      <c r="Y4049" t="s">
        <v>19860</v>
      </c>
    </row>
    <row r="4050" spans="1:25" x14ac:dyDescent="0.25">
      <c r="A4050" t="str">
        <f>"1508614811"</f>
        <v>1508614811</v>
      </c>
      <c r="B4050" t="s">
        <v>797</v>
      </c>
      <c r="C4050" t="s">
        <v>5123</v>
      </c>
      <c r="D4050" t="s">
        <v>19861</v>
      </c>
      <c r="E4050">
        <v>424039</v>
      </c>
      <c r="F4050" t="s">
        <v>1</v>
      </c>
      <c r="G4050" t="s">
        <v>2</v>
      </c>
      <c r="H4050" t="s">
        <v>19862</v>
      </c>
      <c r="J4050" t="s">
        <v>19863</v>
      </c>
      <c r="P4050" t="s">
        <v>280</v>
      </c>
      <c r="Y4050" t="s">
        <v>19864</v>
      </c>
    </row>
    <row r="4051" spans="1:25" x14ac:dyDescent="0.25">
      <c r="A4051" t="str">
        <f>"1510449976"</f>
        <v>1510449976</v>
      </c>
      <c r="B4051" t="s">
        <v>2818</v>
      </c>
      <c r="C4051" t="s">
        <v>6466</v>
      </c>
      <c r="D4051" t="s">
        <v>19865</v>
      </c>
      <c r="E4051">
        <v>424002</v>
      </c>
      <c r="F4051" t="s">
        <v>1</v>
      </c>
      <c r="G4051" t="s">
        <v>2</v>
      </c>
      <c r="H4051" t="s">
        <v>6656</v>
      </c>
      <c r="I4051" t="s">
        <v>19866</v>
      </c>
      <c r="M4051" t="s">
        <v>19867</v>
      </c>
      <c r="P4051" t="s">
        <v>19868</v>
      </c>
      <c r="Q4051" t="s">
        <v>19869</v>
      </c>
      <c r="Y4051" t="s">
        <v>19870</v>
      </c>
    </row>
    <row r="4052" spans="1:25" x14ac:dyDescent="0.25">
      <c r="A4052" t="str">
        <f>"1511349873"</f>
        <v>1511349873</v>
      </c>
      <c r="B4052" t="s">
        <v>284</v>
      </c>
      <c r="C4052" t="s">
        <v>2462</v>
      </c>
      <c r="D4052" t="s">
        <v>8957</v>
      </c>
      <c r="E4052">
        <v>424007</v>
      </c>
      <c r="F4052" t="s">
        <v>1</v>
      </c>
      <c r="G4052" t="s">
        <v>2</v>
      </c>
      <c r="H4052" t="s">
        <v>5281</v>
      </c>
      <c r="J4052" t="s">
        <v>10673</v>
      </c>
      <c r="P4052" t="s">
        <v>216</v>
      </c>
      <c r="Y4052" t="s">
        <v>16121</v>
      </c>
    </row>
    <row r="4053" spans="1:25" x14ac:dyDescent="0.25">
      <c r="A4053" t="str">
        <f>"1511720252"</f>
        <v>1511720252</v>
      </c>
      <c r="B4053" t="s">
        <v>18</v>
      </c>
      <c r="C4053" t="s">
        <v>964</v>
      </c>
      <c r="D4053" t="s">
        <v>19871</v>
      </c>
      <c r="E4053">
        <v>424006</v>
      </c>
      <c r="F4053" t="s">
        <v>1</v>
      </c>
      <c r="G4053" t="s">
        <v>2</v>
      </c>
      <c r="H4053" t="s">
        <v>2012</v>
      </c>
      <c r="I4053" t="s">
        <v>19872</v>
      </c>
      <c r="J4053" t="s">
        <v>19873</v>
      </c>
      <c r="P4053" t="s">
        <v>280</v>
      </c>
      <c r="Y4053" t="s">
        <v>2016</v>
      </c>
    </row>
    <row r="4054" spans="1:25" x14ac:dyDescent="0.25">
      <c r="A4054" t="str">
        <f>"1512647385"</f>
        <v>1512647385</v>
      </c>
      <c r="B4054" t="s">
        <v>1078</v>
      </c>
      <c r="C4054" t="s">
        <v>19877</v>
      </c>
      <c r="D4054" t="s">
        <v>19874</v>
      </c>
      <c r="E4054">
        <v>424007</v>
      </c>
      <c r="F4054" t="s">
        <v>1</v>
      </c>
      <c r="G4054" t="s">
        <v>2</v>
      </c>
      <c r="H4054" t="s">
        <v>356</v>
      </c>
      <c r="I4054" t="s">
        <v>19875</v>
      </c>
      <c r="K4054" t="s">
        <v>19875</v>
      </c>
      <c r="L4054" t="s">
        <v>19876</v>
      </c>
      <c r="P4054" t="s">
        <v>27</v>
      </c>
      <c r="Y4054" t="s">
        <v>13825</v>
      </c>
    </row>
    <row r="4055" spans="1:25" x14ac:dyDescent="0.25">
      <c r="A4055" t="str">
        <f>"1512984919"</f>
        <v>1512984919</v>
      </c>
      <c r="B4055" t="s">
        <v>888</v>
      </c>
      <c r="C4055" t="s">
        <v>19882</v>
      </c>
      <c r="D4055" t="s">
        <v>19878</v>
      </c>
      <c r="E4055">
        <v>424002</v>
      </c>
      <c r="F4055" t="s">
        <v>1</v>
      </c>
      <c r="G4055" t="s">
        <v>2</v>
      </c>
      <c r="H4055" t="s">
        <v>6656</v>
      </c>
      <c r="I4055" t="s">
        <v>19879</v>
      </c>
      <c r="L4055" t="s">
        <v>19880</v>
      </c>
      <c r="M4055" t="s">
        <v>19881</v>
      </c>
      <c r="P4055" t="s">
        <v>19883</v>
      </c>
      <c r="Q4055" t="s">
        <v>19884</v>
      </c>
      <c r="Y4055" t="s">
        <v>19885</v>
      </c>
    </row>
    <row r="4056" spans="1:25" x14ac:dyDescent="0.25">
      <c r="A4056" t="str">
        <f>"1513043396"</f>
        <v>1513043396</v>
      </c>
      <c r="B4056" t="s">
        <v>888</v>
      </c>
      <c r="C4056" t="s">
        <v>7389</v>
      </c>
      <c r="D4056" t="s">
        <v>19886</v>
      </c>
      <c r="E4056">
        <v>424003</v>
      </c>
      <c r="F4056" t="s">
        <v>1</v>
      </c>
      <c r="G4056" t="s">
        <v>2</v>
      </c>
      <c r="H4056" t="s">
        <v>1042</v>
      </c>
      <c r="I4056" t="s">
        <v>19887</v>
      </c>
      <c r="J4056" t="s">
        <v>19888</v>
      </c>
      <c r="P4056" t="s">
        <v>19889</v>
      </c>
      <c r="Y4056" t="s">
        <v>11321</v>
      </c>
    </row>
    <row r="4057" spans="1:25" x14ac:dyDescent="0.25">
      <c r="A4057" t="str">
        <f>"1513197715"</f>
        <v>1513197715</v>
      </c>
      <c r="B4057" t="s">
        <v>1152</v>
      </c>
      <c r="C4057" t="s">
        <v>19894</v>
      </c>
      <c r="D4057" t="s">
        <v>19890</v>
      </c>
      <c r="E4057">
        <v>424004</v>
      </c>
      <c r="F4057" t="s">
        <v>1</v>
      </c>
      <c r="G4057" t="s">
        <v>2</v>
      </c>
      <c r="H4057" t="s">
        <v>19891</v>
      </c>
      <c r="I4057" t="s">
        <v>19892</v>
      </c>
      <c r="J4057" t="s">
        <v>19893</v>
      </c>
      <c r="P4057" t="s">
        <v>2513</v>
      </c>
      <c r="Q4057" t="s">
        <v>19895</v>
      </c>
      <c r="V4057" t="s">
        <v>19896</v>
      </c>
      <c r="Y4057" t="s">
        <v>19897</v>
      </c>
    </row>
    <row r="4058" spans="1:25" x14ac:dyDescent="0.25">
      <c r="A4058" t="str">
        <f>"1513202903"</f>
        <v>1513202903</v>
      </c>
      <c r="B4058" t="s">
        <v>151</v>
      </c>
      <c r="C4058" t="s">
        <v>1034</v>
      </c>
      <c r="D4058" t="s">
        <v>19898</v>
      </c>
      <c r="E4058">
        <v>424038</v>
      </c>
      <c r="F4058" t="s">
        <v>1</v>
      </c>
      <c r="G4058" t="s">
        <v>2</v>
      </c>
      <c r="H4058" t="s">
        <v>17746</v>
      </c>
      <c r="J4058" t="s">
        <v>19899</v>
      </c>
      <c r="P4058" t="s">
        <v>390</v>
      </c>
      <c r="Y4058" t="s">
        <v>18933</v>
      </c>
    </row>
    <row r="4059" spans="1:25" x14ac:dyDescent="0.25">
      <c r="A4059" t="str">
        <f>"1514368685"</f>
        <v>1514368685</v>
      </c>
      <c r="B4059" t="s">
        <v>7312</v>
      </c>
      <c r="C4059" t="s">
        <v>19903</v>
      </c>
      <c r="D4059" t="s">
        <v>19900</v>
      </c>
      <c r="E4059">
        <v>424020</v>
      </c>
      <c r="F4059" t="s">
        <v>1</v>
      </c>
      <c r="G4059" t="s">
        <v>2</v>
      </c>
      <c r="H4059" t="s">
        <v>19901</v>
      </c>
      <c r="I4059" t="s">
        <v>19902</v>
      </c>
      <c r="P4059" t="s">
        <v>1404</v>
      </c>
      <c r="V4059" t="s">
        <v>19904</v>
      </c>
      <c r="Y4059" t="s">
        <v>19905</v>
      </c>
    </row>
    <row r="4060" spans="1:25" x14ac:dyDescent="0.25">
      <c r="A4060" t="str">
        <f>"1514456966"</f>
        <v>1514456966</v>
      </c>
      <c r="B4060" t="s">
        <v>7</v>
      </c>
      <c r="C4060" t="s">
        <v>19910</v>
      </c>
      <c r="D4060" t="s">
        <v>19906</v>
      </c>
      <c r="E4060">
        <v>424006</v>
      </c>
      <c r="F4060" t="s">
        <v>1</v>
      </c>
      <c r="G4060" t="s">
        <v>2</v>
      </c>
      <c r="H4060" t="s">
        <v>751</v>
      </c>
      <c r="J4060" t="s">
        <v>19907</v>
      </c>
      <c r="L4060" t="s">
        <v>19908</v>
      </c>
      <c r="M4060" t="s">
        <v>19909</v>
      </c>
      <c r="P4060" t="s">
        <v>312</v>
      </c>
      <c r="Q4060" t="s">
        <v>19911</v>
      </c>
      <c r="Y4060" t="s">
        <v>19912</v>
      </c>
    </row>
    <row r="4061" spans="1:25" x14ac:dyDescent="0.25">
      <c r="A4061" t="str">
        <f>"1514579377"</f>
        <v>1514579377</v>
      </c>
      <c r="B4061" t="s">
        <v>18</v>
      </c>
      <c r="C4061" t="s">
        <v>2295</v>
      </c>
      <c r="D4061" t="s">
        <v>19913</v>
      </c>
      <c r="E4061">
        <v>424006</v>
      </c>
      <c r="F4061" t="s">
        <v>1</v>
      </c>
      <c r="G4061" t="s">
        <v>2</v>
      </c>
      <c r="H4061" t="s">
        <v>9823</v>
      </c>
      <c r="I4061" t="s">
        <v>19914</v>
      </c>
      <c r="P4061" t="s">
        <v>27</v>
      </c>
      <c r="Q4061" t="s">
        <v>19915</v>
      </c>
      <c r="Y4061" t="s">
        <v>9826</v>
      </c>
    </row>
    <row r="4062" spans="1:25" x14ac:dyDescent="0.25">
      <c r="A4062" t="str">
        <f>"1514942194"</f>
        <v>1514942194</v>
      </c>
      <c r="B4062" t="s">
        <v>1053</v>
      </c>
      <c r="C4062" t="s">
        <v>16884</v>
      </c>
      <c r="D4062" t="s">
        <v>19916</v>
      </c>
      <c r="E4062">
        <v>424036</v>
      </c>
      <c r="F4062" t="s">
        <v>1</v>
      </c>
      <c r="G4062" t="s">
        <v>2</v>
      </c>
      <c r="H4062" t="s">
        <v>19917</v>
      </c>
      <c r="I4062" t="s">
        <v>19918</v>
      </c>
      <c r="K4062" t="s">
        <v>19919</v>
      </c>
      <c r="L4062" t="s">
        <v>19920</v>
      </c>
      <c r="M4062" t="s">
        <v>19921</v>
      </c>
      <c r="P4062" t="s">
        <v>20</v>
      </c>
      <c r="Y4062" t="s">
        <v>19922</v>
      </c>
    </row>
    <row r="4063" spans="1:25" x14ac:dyDescent="0.25">
      <c r="A4063" t="str">
        <f>"1515131459"</f>
        <v>1515131459</v>
      </c>
      <c r="B4063" t="s">
        <v>18</v>
      </c>
      <c r="C4063" t="s">
        <v>143</v>
      </c>
      <c r="D4063" t="s">
        <v>19923</v>
      </c>
      <c r="E4063">
        <v>424016</v>
      </c>
      <c r="F4063" t="s">
        <v>1</v>
      </c>
      <c r="G4063" t="s">
        <v>2</v>
      </c>
      <c r="H4063" t="s">
        <v>9674</v>
      </c>
      <c r="I4063" t="s">
        <v>10873</v>
      </c>
      <c r="J4063" t="s">
        <v>19924</v>
      </c>
      <c r="L4063" t="s">
        <v>19925</v>
      </c>
      <c r="M4063" t="s">
        <v>19926</v>
      </c>
      <c r="P4063" t="s">
        <v>6400</v>
      </c>
      <c r="Y4063" t="s">
        <v>15749</v>
      </c>
    </row>
    <row r="4064" spans="1:25" x14ac:dyDescent="0.25">
      <c r="A4064" t="str">
        <f>"1515861676"</f>
        <v>1515861676</v>
      </c>
      <c r="B4064" t="s">
        <v>553</v>
      </c>
      <c r="C4064" t="s">
        <v>19930</v>
      </c>
      <c r="D4064" t="s">
        <v>19927</v>
      </c>
      <c r="E4064">
        <v>424028</v>
      </c>
      <c r="F4064" t="s">
        <v>1</v>
      </c>
      <c r="G4064" t="s">
        <v>2</v>
      </c>
      <c r="H4064" t="s">
        <v>5034</v>
      </c>
      <c r="I4064" t="s">
        <v>13523</v>
      </c>
      <c r="J4064" t="s">
        <v>13524</v>
      </c>
      <c r="L4064" t="s">
        <v>19928</v>
      </c>
      <c r="M4064" t="s">
        <v>19929</v>
      </c>
      <c r="P4064" t="s">
        <v>10416</v>
      </c>
      <c r="Y4064" t="s">
        <v>19931</v>
      </c>
    </row>
    <row r="4065" spans="1:25" x14ac:dyDescent="0.25">
      <c r="A4065" t="str">
        <f>"1515979496"</f>
        <v>1515979496</v>
      </c>
      <c r="B4065" t="s">
        <v>654</v>
      </c>
      <c r="C4065" t="s">
        <v>2974</v>
      </c>
      <c r="D4065" t="s">
        <v>19932</v>
      </c>
      <c r="E4065">
        <v>424002</v>
      </c>
      <c r="F4065" t="s">
        <v>1</v>
      </c>
      <c r="G4065" t="s">
        <v>2</v>
      </c>
      <c r="H4065" t="s">
        <v>11341</v>
      </c>
      <c r="J4065" t="s">
        <v>19933</v>
      </c>
      <c r="P4065" t="s">
        <v>5084</v>
      </c>
      <c r="Y4065" t="s">
        <v>11344</v>
      </c>
    </row>
    <row r="4066" spans="1:25" x14ac:dyDescent="0.25">
      <c r="A4066" t="str">
        <f>"1517116951"</f>
        <v>1517116951</v>
      </c>
      <c r="B4066" t="s">
        <v>1552</v>
      </c>
      <c r="C4066" t="s">
        <v>1552</v>
      </c>
      <c r="D4066" t="s">
        <v>15830</v>
      </c>
      <c r="E4066">
        <v>424037</v>
      </c>
      <c r="F4066" t="s">
        <v>1</v>
      </c>
      <c r="G4066" t="s">
        <v>2</v>
      </c>
      <c r="H4066" t="s">
        <v>3203</v>
      </c>
      <c r="I4066" t="s">
        <v>19934</v>
      </c>
      <c r="P4066" t="s">
        <v>5396</v>
      </c>
      <c r="Y4066" t="s">
        <v>19935</v>
      </c>
    </row>
    <row r="4067" spans="1:25" x14ac:dyDescent="0.25">
      <c r="A4067" t="str">
        <f>"1517214872"</f>
        <v>1517214872</v>
      </c>
      <c r="B4067" t="s">
        <v>151</v>
      </c>
      <c r="C4067" t="s">
        <v>151</v>
      </c>
      <c r="D4067" t="s">
        <v>19936</v>
      </c>
      <c r="E4067">
        <v>424006</v>
      </c>
      <c r="F4067" t="s">
        <v>1</v>
      </c>
      <c r="G4067" t="s">
        <v>2</v>
      </c>
      <c r="H4067" t="s">
        <v>2557</v>
      </c>
      <c r="I4067" t="s">
        <v>19937</v>
      </c>
      <c r="P4067" t="s">
        <v>152</v>
      </c>
      <c r="Y4067" t="s">
        <v>15027</v>
      </c>
    </row>
    <row r="4068" spans="1:25" x14ac:dyDescent="0.25">
      <c r="A4068" t="str">
        <f>"1517250729"</f>
        <v>1517250729</v>
      </c>
      <c r="B4068" t="s">
        <v>18</v>
      </c>
      <c r="C4068" t="s">
        <v>19942</v>
      </c>
      <c r="D4068" t="s">
        <v>19938</v>
      </c>
      <c r="E4068">
        <v>424005</v>
      </c>
      <c r="F4068" t="s">
        <v>1</v>
      </c>
      <c r="G4068" t="s">
        <v>2</v>
      </c>
      <c r="H4068" t="s">
        <v>18082</v>
      </c>
      <c r="I4068" t="s">
        <v>8483</v>
      </c>
      <c r="J4068" t="s">
        <v>19939</v>
      </c>
      <c r="L4068" t="s">
        <v>19940</v>
      </c>
      <c r="M4068" t="s">
        <v>19941</v>
      </c>
      <c r="P4068" t="s">
        <v>152</v>
      </c>
      <c r="V4068" t="s">
        <v>19943</v>
      </c>
      <c r="Y4068" t="s">
        <v>19944</v>
      </c>
    </row>
    <row r="4069" spans="1:25" x14ac:dyDescent="0.25">
      <c r="A4069" t="str">
        <f>"1517320252"</f>
        <v>1517320252</v>
      </c>
      <c r="B4069" t="s">
        <v>2601</v>
      </c>
      <c r="C4069" t="s">
        <v>19949</v>
      </c>
      <c r="D4069" t="s">
        <v>19945</v>
      </c>
      <c r="E4069">
        <v>424040</v>
      </c>
      <c r="F4069" t="s">
        <v>1</v>
      </c>
      <c r="G4069" t="s">
        <v>2</v>
      </c>
      <c r="H4069" t="s">
        <v>7927</v>
      </c>
      <c r="I4069" t="s">
        <v>19946</v>
      </c>
      <c r="L4069" t="s">
        <v>19947</v>
      </c>
      <c r="M4069" t="s">
        <v>19948</v>
      </c>
      <c r="P4069" t="s">
        <v>27</v>
      </c>
      <c r="Y4069" t="s">
        <v>19950</v>
      </c>
    </row>
    <row r="4070" spans="1:25" x14ac:dyDescent="0.25">
      <c r="A4070" t="str">
        <f>"1517883513"</f>
        <v>1517883513</v>
      </c>
      <c r="B4070" t="s">
        <v>1222</v>
      </c>
      <c r="C4070" t="s">
        <v>19954</v>
      </c>
      <c r="D4070" t="s">
        <v>19951</v>
      </c>
      <c r="E4070">
        <v>424000</v>
      </c>
      <c r="F4070" t="s">
        <v>1</v>
      </c>
      <c r="G4070" t="s">
        <v>2</v>
      </c>
      <c r="H4070" t="s">
        <v>1531</v>
      </c>
      <c r="J4070" t="s">
        <v>19952</v>
      </c>
      <c r="L4070" t="s">
        <v>19953</v>
      </c>
      <c r="P4070" t="s">
        <v>12947</v>
      </c>
      <c r="Q4070" t="s">
        <v>19955</v>
      </c>
      <c r="Y4070" t="s">
        <v>19956</v>
      </c>
    </row>
    <row r="4071" spans="1:25" x14ac:dyDescent="0.25">
      <c r="A4071" t="str">
        <f>"1519200728"</f>
        <v>1519200728</v>
      </c>
      <c r="B4071" t="s">
        <v>204</v>
      </c>
      <c r="C4071" t="s">
        <v>19960</v>
      </c>
      <c r="D4071" t="s">
        <v>19957</v>
      </c>
      <c r="E4071">
        <v>424002</v>
      </c>
      <c r="F4071" t="s">
        <v>1</v>
      </c>
      <c r="G4071" t="s">
        <v>2</v>
      </c>
      <c r="H4071" t="s">
        <v>6656</v>
      </c>
      <c r="L4071" t="s">
        <v>19958</v>
      </c>
      <c r="M4071" t="s">
        <v>19959</v>
      </c>
      <c r="P4071" t="s">
        <v>7221</v>
      </c>
      <c r="Y4071" t="s">
        <v>19961</v>
      </c>
    </row>
    <row r="4072" spans="1:25" x14ac:dyDescent="0.25">
      <c r="A4072" t="str">
        <f>"1519688054"</f>
        <v>1519688054</v>
      </c>
      <c r="B4072" t="s">
        <v>18</v>
      </c>
      <c r="C4072" t="s">
        <v>19966</v>
      </c>
      <c r="D4072" t="s">
        <v>19962</v>
      </c>
      <c r="E4072">
        <v>424032</v>
      </c>
      <c r="F4072" t="s">
        <v>1</v>
      </c>
      <c r="G4072" t="s">
        <v>2</v>
      </c>
      <c r="H4072" t="s">
        <v>4745</v>
      </c>
      <c r="I4072" t="s">
        <v>19963</v>
      </c>
      <c r="L4072" t="s">
        <v>19964</v>
      </c>
      <c r="M4072" t="s">
        <v>19965</v>
      </c>
      <c r="P4072" t="s">
        <v>20</v>
      </c>
      <c r="Y4072" t="s">
        <v>4747</v>
      </c>
    </row>
    <row r="4073" spans="1:25" x14ac:dyDescent="0.25">
      <c r="A4073" t="str">
        <f>"1519848441"</f>
        <v>1519848441</v>
      </c>
      <c r="B4073" t="s">
        <v>930</v>
      </c>
      <c r="C4073" t="s">
        <v>1096</v>
      </c>
      <c r="D4073" t="s">
        <v>1094</v>
      </c>
      <c r="E4073">
        <v>424000</v>
      </c>
      <c r="F4073" t="s">
        <v>1</v>
      </c>
      <c r="G4073" t="s">
        <v>2</v>
      </c>
      <c r="H4073" t="s">
        <v>2193</v>
      </c>
      <c r="P4073" t="s">
        <v>330</v>
      </c>
      <c r="Y4073" t="s">
        <v>2196</v>
      </c>
    </row>
    <row r="4074" spans="1:25" x14ac:dyDescent="0.25">
      <c r="A4074" t="str">
        <f>"1519956928"</f>
        <v>1519956928</v>
      </c>
      <c r="B4074" t="s">
        <v>25</v>
      </c>
      <c r="C4074" t="s">
        <v>19969</v>
      </c>
      <c r="D4074" t="s">
        <v>19967</v>
      </c>
      <c r="E4074">
        <v>424031</v>
      </c>
      <c r="F4074" t="s">
        <v>1</v>
      </c>
      <c r="G4074" t="s">
        <v>2</v>
      </c>
      <c r="H4074" t="s">
        <v>1524</v>
      </c>
      <c r="J4074" t="s">
        <v>19968</v>
      </c>
      <c r="P4074" t="s">
        <v>152</v>
      </c>
      <c r="Y4074" t="s">
        <v>19970</v>
      </c>
    </row>
    <row r="4075" spans="1:25" x14ac:dyDescent="0.25">
      <c r="A4075" t="str">
        <f>"1522313400"</f>
        <v>1522313400</v>
      </c>
      <c r="B4075" t="s">
        <v>1552</v>
      </c>
      <c r="C4075" t="s">
        <v>1552</v>
      </c>
      <c r="D4075" t="s">
        <v>15830</v>
      </c>
      <c r="E4075">
        <v>424007</v>
      </c>
      <c r="F4075" t="s">
        <v>1</v>
      </c>
      <c r="G4075" t="s">
        <v>2</v>
      </c>
      <c r="H4075" t="s">
        <v>5711</v>
      </c>
      <c r="I4075" t="s">
        <v>19971</v>
      </c>
      <c r="P4075" t="s">
        <v>280</v>
      </c>
      <c r="Y4075" t="s">
        <v>5713</v>
      </c>
    </row>
    <row r="4076" spans="1:25" x14ac:dyDescent="0.25">
      <c r="A4076" t="str">
        <f>"1522429320"</f>
        <v>1522429320</v>
      </c>
      <c r="B4076" t="s">
        <v>687</v>
      </c>
      <c r="C4076" t="s">
        <v>19974</v>
      </c>
      <c r="D4076" t="s">
        <v>19972</v>
      </c>
      <c r="E4076">
        <v>424003</v>
      </c>
      <c r="F4076" t="s">
        <v>1</v>
      </c>
      <c r="G4076" t="s">
        <v>2</v>
      </c>
      <c r="H4076" t="s">
        <v>9811</v>
      </c>
      <c r="I4076" t="s">
        <v>19973</v>
      </c>
      <c r="P4076" t="s">
        <v>27</v>
      </c>
      <c r="Y4076" t="s">
        <v>19975</v>
      </c>
    </row>
    <row r="4077" spans="1:25" x14ac:dyDescent="0.25">
      <c r="A4077" t="str">
        <f>"1522536188"</f>
        <v>1522536188</v>
      </c>
      <c r="B4077" t="s">
        <v>123</v>
      </c>
      <c r="C4077" t="s">
        <v>196</v>
      </c>
      <c r="D4077" t="s">
        <v>19976</v>
      </c>
      <c r="E4077">
        <v>424007</v>
      </c>
      <c r="F4077" t="s">
        <v>1</v>
      </c>
      <c r="G4077" t="s">
        <v>2</v>
      </c>
      <c r="H4077" t="s">
        <v>11314</v>
      </c>
      <c r="I4077" t="s">
        <v>19977</v>
      </c>
      <c r="J4077" t="s">
        <v>19978</v>
      </c>
      <c r="Y4077" t="s">
        <v>19979</v>
      </c>
    </row>
    <row r="4078" spans="1:25" x14ac:dyDescent="0.25">
      <c r="A4078" t="str">
        <f>"1522595132"</f>
        <v>1522595132</v>
      </c>
      <c r="B4078" t="s">
        <v>1222</v>
      </c>
      <c r="C4078" t="s">
        <v>2114</v>
      </c>
      <c r="D4078" t="s">
        <v>19980</v>
      </c>
      <c r="E4078">
        <v>424019</v>
      </c>
      <c r="F4078" t="s">
        <v>1</v>
      </c>
      <c r="G4078" t="s">
        <v>2</v>
      </c>
      <c r="H4078" t="s">
        <v>7785</v>
      </c>
      <c r="J4078" t="s">
        <v>19981</v>
      </c>
      <c r="L4078" t="s">
        <v>19982</v>
      </c>
      <c r="P4078" t="s">
        <v>144</v>
      </c>
      <c r="Q4078" t="s">
        <v>19983</v>
      </c>
      <c r="Y4078" t="s">
        <v>19984</v>
      </c>
    </row>
    <row r="4079" spans="1:25" x14ac:dyDescent="0.25">
      <c r="A4079" t="str">
        <f>"1523510346"</f>
        <v>1523510346</v>
      </c>
      <c r="B4079" t="s">
        <v>738</v>
      </c>
      <c r="C4079" t="s">
        <v>739</v>
      </c>
      <c r="D4079" t="s">
        <v>17066</v>
      </c>
      <c r="E4079">
        <v>424005</v>
      </c>
      <c r="F4079" t="s">
        <v>1</v>
      </c>
      <c r="G4079" t="s">
        <v>2</v>
      </c>
      <c r="H4079" t="s">
        <v>6843</v>
      </c>
      <c r="I4079" t="s">
        <v>19985</v>
      </c>
      <c r="J4079" t="s">
        <v>19986</v>
      </c>
      <c r="P4079" t="s">
        <v>458</v>
      </c>
      <c r="Y4079" t="s">
        <v>6846</v>
      </c>
    </row>
    <row r="4080" spans="1:25" x14ac:dyDescent="0.25">
      <c r="A4080" t="str">
        <f>"1524340570"</f>
        <v>1524340570</v>
      </c>
      <c r="B4080" t="s">
        <v>290</v>
      </c>
      <c r="C4080" t="s">
        <v>2737</v>
      </c>
      <c r="D4080" t="s">
        <v>3596</v>
      </c>
      <c r="F4080" t="s">
        <v>1</v>
      </c>
      <c r="G4080" t="s">
        <v>2</v>
      </c>
      <c r="H4080" t="s">
        <v>14668</v>
      </c>
      <c r="I4080" t="s">
        <v>19987</v>
      </c>
      <c r="L4080" t="s">
        <v>14671</v>
      </c>
      <c r="M4080" t="s">
        <v>19988</v>
      </c>
      <c r="P4080" t="s">
        <v>7701</v>
      </c>
      <c r="Y4080" t="s">
        <v>19989</v>
      </c>
    </row>
    <row r="4081" spans="1:25" x14ac:dyDescent="0.25">
      <c r="A4081" t="str">
        <f>"1525063894"</f>
        <v>1525063894</v>
      </c>
      <c r="B4081" t="s">
        <v>797</v>
      </c>
      <c r="C4081" t="s">
        <v>5123</v>
      </c>
      <c r="D4081" t="s">
        <v>18904</v>
      </c>
      <c r="E4081">
        <v>424007</v>
      </c>
      <c r="F4081" t="s">
        <v>1</v>
      </c>
      <c r="G4081" t="s">
        <v>2</v>
      </c>
      <c r="H4081" t="s">
        <v>5178</v>
      </c>
      <c r="J4081" t="s">
        <v>19990</v>
      </c>
      <c r="P4081" t="s">
        <v>2731</v>
      </c>
      <c r="Y4081" t="s">
        <v>19991</v>
      </c>
    </row>
    <row r="4082" spans="1:25" x14ac:dyDescent="0.25">
      <c r="A4082" t="str">
        <f>"1525250565"</f>
        <v>1525250565</v>
      </c>
      <c r="B4082" t="s">
        <v>1053</v>
      </c>
      <c r="C4082" t="s">
        <v>19997</v>
      </c>
      <c r="D4082" t="s">
        <v>19992</v>
      </c>
      <c r="E4082">
        <v>424004</v>
      </c>
      <c r="F4082" t="s">
        <v>1</v>
      </c>
      <c r="G4082" t="s">
        <v>2</v>
      </c>
      <c r="H4082" t="s">
        <v>19993</v>
      </c>
      <c r="I4082" t="s">
        <v>19994</v>
      </c>
      <c r="L4082" t="s">
        <v>19995</v>
      </c>
      <c r="M4082" t="s">
        <v>19996</v>
      </c>
      <c r="Q4082" t="s">
        <v>19998</v>
      </c>
      <c r="S4082" t="s">
        <v>19999</v>
      </c>
      <c r="T4082" t="s">
        <v>20000</v>
      </c>
      <c r="U4082" t="s">
        <v>20001</v>
      </c>
      <c r="Y4082" t="s">
        <v>20002</v>
      </c>
    </row>
    <row r="4083" spans="1:25" x14ac:dyDescent="0.25">
      <c r="A4083" t="str">
        <f>"1527148848"</f>
        <v>1527148848</v>
      </c>
      <c r="B4083" t="s">
        <v>553</v>
      </c>
      <c r="C4083" t="s">
        <v>554</v>
      </c>
      <c r="D4083" t="s">
        <v>20003</v>
      </c>
      <c r="E4083">
        <v>424002</v>
      </c>
      <c r="F4083" t="s">
        <v>1</v>
      </c>
      <c r="G4083" t="s">
        <v>2</v>
      </c>
      <c r="H4083" t="s">
        <v>3068</v>
      </c>
      <c r="J4083" t="s">
        <v>20004</v>
      </c>
      <c r="P4083" t="s">
        <v>340</v>
      </c>
      <c r="Y4083" t="s">
        <v>20005</v>
      </c>
    </row>
    <row r="4084" spans="1:25" x14ac:dyDescent="0.25">
      <c r="A4084" t="str">
        <f>"1527310599"</f>
        <v>1527310599</v>
      </c>
      <c r="B4084" t="s">
        <v>352</v>
      </c>
      <c r="C4084" t="s">
        <v>353</v>
      </c>
      <c r="D4084" t="s">
        <v>20006</v>
      </c>
      <c r="E4084">
        <v>424004</v>
      </c>
      <c r="F4084" t="s">
        <v>1</v>
      </c>
      <c r="G4084" t="s">
        <v>2</v>
      </c>
      <c r="H4084" t="s">
        <v>20007</v>
      </c>
      <c r="L4084" t="s">
        <v>20008</v>
      </c>
      <c r="M4084" t="s">
        <v>20009</v>
      </c>
      <c r="P4084" t="s">
        <v>216</v>
      </c>
      <c r="Y4084" t="s">
        <v>20010</v>
      </c>
    </row>
    <row r="4085" spans="1:25" x14ac:dyDescent="0.25">
      <c r="A4085" t="str">
        <f>"1527666831"</f>
        <v>1527666831</v>
      </c>
      <c r="B4085" t="s">
        <v>243</v>
      </c>
      <c r="C4085" t="s">
        <v>2538</v>
      </c>
      <c r="D4085" t="s">
        <v>20011</v>
      </c>
      <c r="E4085">
        <v>424016</v>
      </c>
      <c r="F4085" t="s">
        <v>1</v>
      </c>
      <c r="G4085" t="s">
        <v>2</v>
      </c>
      <c r="H4085" t="s">
        <v>4568</v>
      </c>
      <c r="I4085" t="s">
        <v>20012</v>
      </c>
      <c r="P4085" t="s">
        <v>2951</v>
      </c>
      <c r="Y4085" t="s">
        <v>4574</v>
      </c>
    </row>
    <row r="4086" spans="1:25" x14ac:dyDescent="0.25">
      <c r="A4086" t="str">
        <f>"1528685524"</f>
        <v>1528685524</v>
      </c>
      <c r="B4086" t="s">
        <v>32</v>
      </c>
      <c r="C4086" t="s">
        <v>777</v>
      </c>
      <c r="D4086" t="s">
        <v>20013</v>
      </c>
      <c r="E4086">
        <v>424007</v>
      </c>
      <c r="F4086" t="s">
        <v>1</v>
      </c>
      <c r="G4086" t="s">
        <v>2</v>
      </c>
      <c r="H4086" t="s">
        <v>20014</v>
      </c>
      <c r="I4086" t="s">
        <v>20015</v>
      </c>
      <c r="L4086" t="s">
        <v>20016</v>
      </c>
      <c r="P4086" t="s">
        <v>20017</v>
      </c>
      <c r="Y4086" t="s">
        <v>20018</v>
      </c>
    </row>
    <row r="4087" spans="1:25" x14ac:dyDescent="0.25">
      <c r="A4087" t="str">
        <f>"1528838147"</f>
        <v>1528838147</v>
      </c>
      <c r="B4087" t="s">
        <v>1053</v>
      </c>
      <c r="C4087" t="s">
        <v>1927</v>
      </c>
      <c r="D4087" t="s">
        <v>20019</v>
      </c>
      <c r="E4087">
        <v>424033</v>
      </c>
      <c r="F4087" t="s">
        <v>1</v>
      </c>
      <c r="G4087" t="s">
        <v>2</v>
      </c>
      <c r="H4087" t="s">
        <v>3984</v>
      </c>
      <c r="I4087" t="s">
        <v>20020</v>
      </c>
      <c r="J4087" t="s">
        <v>20021</v>
      </c>
      <c r="L4087" t="s">
        <v>20022</v>
      </c>
      <c r="M4087" t="s">
        <v>20023</v>
      </c>
      <c r="P4087" t="s">
        <v>869</v>
      </c>
      <c r="Q4087" t="s">
        <v>20024</v>
      </c>
      <c r="V4087" t="s">
        <v>20025</v>
      </c>
      <c r="Y4087" t="s">
        <v>20026</v>
      </c>
    </row>
    <row r="4088" spans="1:25" x14ac:dyDescent="0.25">
      <c r="A4088" t="str">
        <f>"1529694299"</f>
        <v>1529694299</v>
      </c>
      <c r="B4088" t="s">
        <v>348</v>
      </c>
      <c r="C4088" t="s">
        <v>5971</v>
      </c>
      <c r="D4088" t="s">
        <v>20027</v>
      </c>
      <c r="E4088">
        <v>424006</v>
      </c>
      <c r="F4088" t="s">
        <v>1</v>
      </c>
      <c r="G4088" t="s">
        <v>2</v>
      </c>
      <c r="H4088" t="s">
        <v>2012</v>
      </c>
      <c r="I4088" t="s">
        <v>20028</v>
      </c>
      <c r="J4088" t="s">
        <v>20029</v>
      </c>
      <c r="L4088" t="s">
        <v>20030</v>
      </c>
      <c r="M4088" t="s">
        <v>20031</v>
      </c>
      <c r="P4088" t="s">
        <v>1160</v>
      </c>
      <c r="T4088" t="s">
        <v>20032</v>
      </c>
      <c r="V4088" t="s">
        <v>20033</v>
      </c>
      <c r="Y4088" t="s">
        <v>2016</v>
      </c>
    </row>
    <row r="4089" spans="1:25" x14ac:dyDescent="0.25">
      <c r="A4089" t="str">
        <f>"1530684215"</f>
        <v>1530684215</v>
      </c>
      <c r="B4089" t="s">
        <v>930</v>
      </c>
      <c r="C4089" t="s">
        <v>13033</v>
      </c>
      <c r="D4089" t="s">
        <v>20034</v>
      </c>
      <c r="E4089">
        <v>424032</v>
      </c>
      <c r="F4089" t="s">
        <v>1</v>
      </c>
      <c r="G4089" t="s">
        <v>2</v>
      </c>
      <c r="H4089" t="s">
        <v>14657</v>
      </c>
      <c r="I4089" t="s">
        <v>20035</v>
      </c>
      <c r="J4089" t="s">
        <v>20036</v>
      </c>
      <c r="P4089" t="s">
        <v>2580</v>
      </c>
      <c r="Q4089" t="s">
        <v>20037</v>
      </c>
      <c r="Y4089" t="s">
        <v>20038</v>
      </c>
    </row>
    <row r="4090" spans="1:25" x14ac:dyDescent="0.25">
      <c r="A4090" t="str">
        <f>"1532038393"</f>
        <v>1532038393</v>
      </c>
      <c r="B4090" t="s">
        <v>930</v>
      </c>
      <c r="C4090" t="s">
        <v>6070</v>
      </c>
      <c r="D4090" t="s">
        <v>20039</v>
      </c>
      <c r="E4090">
        <v>424032</v>
      </c>
      <c r="F4090" t="s">
        <v>1</v>
      </c>
      <c r="G4090" t="s">
        <v>2</v>
      </c>
      <c r="H4090" t="s">
        <v>20040</v>
      </c>
      <c r="I4090" t="s">
        <v>20041</v>
      </c>
      <c r="J4090" t="s">
        <v>20042</v>
      </c>
      <c r="P4090" t="s">
        <v>330</v>
      </c>
      <c r="Y4090" t="s">
        <v>20043</v>
      </c>
    </row>
    <row r="4091" spans="1:25" x14ac:dyDescent="0.25">
      <c r="A4091" t="str">
        <f>"1533021953"</f>
        <v>1533021953</v>
      </c>
      <c r="B4091" t="s">
        <v>151</v>
      </c>
      <c r="C4091" t="s">
        <v>151</v>
      </c>
      <c r="D4091" t="s">
        <v>20044</v>
      </c>
      <c r="E4091">
        <v>424037</v>
      </c>
      <c r="F4091" t="s">
        <v>1</v>
      </c>
      <c r="G4091" t="s">
        <v>2</v>
      </c>
      <c r="H4091" t="s">
        <v>20045</v>
      </c>
      <c r="I4091" t="s">
        <v>20046</v>
      </c>
      <c r="J4091" t="s">
        <v>20047</v>
      </c>
      <c r="P4091" t="s">
        <v>3690</v>
      </c>
      <c r="Y4091" t="s">
        <v>20048</v>
      </c>
    </row>
    <row r="4092" spans="1:25" x14ac:dyDescent="0.25">
      <c r="A4092" t="str">
        <f>"1533025446"</f>
        <v>1533025446</v>
      </c>
      <c r="B4092" t="s">
        <v>284</v>
      </c>
      <c r="C4092" t="s">
        <v>2462</v>
      </c>
      <c r="D4092" t="s">
        <v>20049</v>
      </c>
      <c r="E4092">
        <v>424039</v>
      </c>
      <c r="F4092" t="s">
        <v>1</v>
      </c>
      <c r="G4092" t="s">
        <v>2</v>
      </c>
      <c r="H4092" t="s">
        <v>20050</v>
      </c>
      <c r="I4092" t="s">
        <v>20051</v>
      </c>
      <c r="P4092" t="s">
        <v>330</v>
      </c>
      <c r="Y4092" t="s">
        <v>20052</v>
      </c>
    </row>
    <row r="4093" spans="1:25" x14ac:dyDescent="0.25">
      <c r="A4093" t="str">
        <f>"1533382601"</f>
        <v>1533382601</v>
      </c>
      <c r="B4093" t="s">
        <v>930</v>
      </c>
      <c r="C4093" t="s">
        <v>1096</v>
      </c>
      <c r="D4093" t="s">
        <v>20053</v>
      </c>
      <c r="F4093" t="s">
        <v>1</v>
      </c>
      <c r="G4093" t="s">
        <v>2</v>
      </c>
      <c r="H4093" t="s">
        <v>20054</v>
      </c>
      <c r="I4093" t="s">
        <v>20055</v>
      </c>
      <c r="P4093" t="s">
        <v>27</v>
      </c>
      <c r="Y4093" t="s">
        <v>20056</v>
      </c>
    </row>
    <row r="4094" spans="1:25" x14ac:dyDescent="0.25">
      <c r="A4094" t="str">
        <f>"1533588460"</f>
        <v>1533588460</v>
      </c>
      <c r="B4094" t="s">
        <v>1611</v>
      </c>
      <c r="C4094" t="s">
        <v>3218</v>
      </c>
      <c r="D4094" t="s">
        <v>20057</v>
      </c>
      <c r="E4094">
        <v>424031</v>
      </c>
      <c r="F4094" t="s">
        <v>1</v>
      </c>
      <c r="G4094" t="s">
        <v>2</v>
      </c>
      <c r="H4094" t="s">
        <v>20058</v>
      </c>
      <c r="I4094" t="s">
        <v>20059</v>
      </c>
      <c r="L4094" t="s">
        <v>20060</v>
      </c>
      <c r="Q4094" t="s">
        <v>20061</v>
      </c>
      <c r="Y4094" t="s">
        <v>20062</v>
      </c>
    </row>
    <row r="4095" spans="1:25" x14ac:dyDescent="0.25">
      <c r="A4095" t="str">
        <f>"1534327497"</f>
        <v>1534327497</v>
      </c>
      <c r="B4095" t="s">
        <v>1352</v>
      </c>
      <c r="C4095" t="s">
        <v>1353</v>
      </c>
      <c r="D4095" t="s">
        <v>20063</v>
      </c>
      <c r="F4095" t="s">
        <v>1</v>
      </c>
      <c r="G4095" t="s">
        <v>2</v>
      </c>
      <c r="H4095" t="s">
        <v>2018</v>
      </c>
      <c r="J4095" t="s">
        <v>20064</v>
      </c>
      <c r="P4095" t="s">
        <v>4126</v>
      </c>
      <c r="Y4095" t="s">
        <v>20065</v>
      </c>
    </row>
    <row r="4096" spans="1:25" x14ac:dyDescent="0.25">
      <c r="A4096" t="str">
        <f>"1534377851"</f>
        <v>1534377851</v>
      </c>
      <c r="B4096" t="s">
        <v>978</v>
      </c>
      <c r="C4096" t="s">
        <v>1659</v>
      </c>
      <c r="D4096" t="s">
        <v>20066</v>
      </c>
      <c r="E4096">
        <v>424006</v>
      </c>
      <c r="F4096" t="s">
        <v>1</v>
      </c>
      <c r="G4096" t="s">
        <v>2</v>
      </c>
      <c r="H4096" t="s">
        <v>20067</v>
      </c>
      <c r="I4096" t="s">
        <v>20068</v>
      </c>
      <c r="J4096" t="s">
        <v>20069</v>
      </c>
      <c r="L4096" t="s">
        <v>20070</v>
      </c>
      <c r="M4096" t="s">
        <v>20071</v>
      </c>
      <c r="P4096" t="s">
        <v>7369</v>
      </c>
      <c r="Y4096" t="s">
        <v>20072</v>
      </c>
    </row>
    <row r="4097" spans="1:25" x14ac:dyDescent="0.25">
      <c r="A4097" t="str">
        <f>"1537122746"</f>
        <v>1537122746</v>
      </c>
      <c r="B4097" t="s">
        <v>348</v>
      </c>
      <c r="C4097" t="s">
        <v>4366</v>
      </c>
      <c r="D4097" t="s">
        <v>20073</v>
      </c>
      <c r="E4097">
        <v>424006</v>
      </c>
      <c r="F4097" t="s">
        <v>1</v>
      </c>
      <c r="G4097" t="s">
        <v>2</v>
      </c>
      <c r="H4097" t="s">
        <v>6133</v>
      </c>
      <c r="I4097" t="s">
        <v>20074</v>
      </c>
      <c r="J4097" t="s">
        <v>20075</v>
      </c>
      <c r="L4097" t="s">
        <v>20076</v>
      </c>
      <c r="P4097" t="s">
        <v>11503</v>
      </c>
      <c r="Q4097" t="s">
        <v>20077</v>
      </c>
      <c r="Y4097" t="s">
        <v>6139</v>
      </c>
    </row>
    <row r="4098" spans="1:25" x14ac:dyDescent="0.25">
      <c r="A4098" t="str">
        <f>"1538199646"</f>
        <v>1538199646</v>
      </c>
      <c r="B4098" t="s">
        <v>284</v>
      </c>
      <c r="C4098" t="s">
        <v>11991</v>
      </c>
      <c r="D4098" t="s">
        <v>20078</v>
      </c>
      <c r="E4098">
        <v>424004</v>
      </c>
      <c r="F4098" t="s">
        <v>1</v>
      </c>
      <c r="G4098" t="s">
        <v>2</v>
      </c>
      <c r="H4098" t="s">
        <v>17461</v>
      </c>
      <c r="J4098" t="s">
        <v>20079</v>
      </c>
      <c r="L4098" t="s">
        <v>20080</v>
      </c>
      <c r="M4098" t="s">
        <v>20081</v>
      </c>
      <c r="P4098" t="s">
        <v>2362</v>
      </c>
      <c r="Y4098" t="s">
        <v>20082</v>
      </c>
    </row>
    <row r="4099" spans="1:25" x14ac:dyDescent="0.25">
      <c r="A4099" t="str">
        <f>"1538345789"</f>
        <v>1538345789</v>
      </c>
      <c r="B4099" t="s">
        <v>930</v>
      </c>
      <c r="C4099" t="s">
        <v>20088</v>
      </c>
      <c r="D4099" t="s">
        <v>20083</v>
      </c>
      <c r="E4099">
        <v>424019</v>
      </c>
      <c r="F4099" t="s">
        <v>1</v>
      </c>
      <c r="G4099" t="s">
        <v>2</v>
      </c>
      <c r="H4099" t="s">
        <v>20084</v>
      </c>
      <c r="I4099" t="s">
        <v>20085</v>
      </c>
      <c r="L4099" t="s">
        <v>20086</v>
      </c>
      <c r="M4099" t="s">
        <v>20087</v>
      </c>
      <c r="P4099" t="s">
        <v>20089</v>
      </c>
      <c r="Q4099" t="s">
        <v>20090</v>
      </c>
      <c r="T4099" t="s">
        <v>20091</v>
      </c>
      <c r="Y4099" t="s">
        <v>20092</v>
      </c>
    </row>
    <row r="4100" spans="1:25" x14ac:dyDescent="0.25">
      <c r="A4100" t="str">
        <f>"1539351090"</f>
        <v>1539351090</v>
      </c>
      <c r="B4100" t="s">
        <v>1552</v>
      </c>
      <c r="C4100" t="s">
        <v>1552</v>
      </c>
      <c r="D4100" t="s">
        <v>1957</v>
      </c>
      <c r="E4100">
        <v>424036</v>
      </c>
      <c r="F4100" t="s">
        <v>1</v>
      </c>
      <c r="G4100" t="s">
        <v>2</v>
      </c>
      <c r="H4100" t="s">
        <v>2291</v>
      </c>
      <c r="I4100" t="s">
        <v>20093</v>
      </c>
      <c r="L4100" t="s">
        <v>1960</v>
      </c>
      <c r="M4100" t="s">
        <v>1961</v>
      </c>
      <c r="P4100" t="s">
        <v>340</v>
      </c>
      <c r="Y4100" t="s">
        <v>2872</v>
      </c>
    </row>
    <row r="4101" spans="1:25" x14ac:dyDescent="0.25">
      <c r="A4101" t="str">
        <f>"1540011696"</f>
        <v>1540011696</v>
      </c>
      <c r="B4101" t="s">
        <v>553</v>
      </c>
      <c r="C4101" t="s">
        <v>18107</v>
      </c>
      <c r="D4101" t="s">
        <v>20094</v>
      </c>
      <c r="E4101">
        <v>424028</v>
      </c>
      <c r="F4101" t="s">
        <v>1</v>
      </c>
      <c r="G4101" t="s">
        <v>2</v>
      </c>
      <c r="H4101" t="s">
        <v>20095</v>
      </c>
      <c r="J4101" t="s">
        <v>20096</v>
      </c>
      <c r="P4101" t="s">
        <v>280</v>
      </c>
      <c r="Y4101" t="s">
        <v>20097</v>
      </c>
    </row>
    <row r="4102" spans="1:25" x14ac:dyDescent="0.25">
      <c r="A4102" t="str">
        <f>"1540097827"</f>
        <v>1540097827</v>
      </c>
      <c r="B4102" t="s">
        <v>96</v>
      </c>
      <c r="C4102" t="s">
        <v>507</v>
      </c>
      <c r="D4102" t="s">
        <v>20098</v>
      </c>
      <c r="E4102">
        <v>424020</v>
      </c>
      <c r="F4102" t="s">
        <v>1</v>
      </c>
      <c r="G4102" t="s">
        <v>2</v>
      </c>
      <c r="H4102" t="s">
        <v>2333</v>
      </c>
      <c r="I4102" t="s">
        <v>20099</v>
      </c>
      <c r="J4102" t="s">
        <v>20100</v>
      </c>
      <c r="P4102" t="s">
        <v>1027</v>
      </c>
      <c r="Y4102" t="s">
        <v>2336</v>
      </c>
    </row>
    <row r="4103" spans="1:25" x14ac:dyDescent="0.25">
      <c r="A4103" t="str">
        <f>"1540705268"</f>
        <v>1540705268</v>
      </c>
      <c r="B4103" t="s">
        <v>1078</v>
      </c>
      <c r="C4103" t="s">
        <v>20105</v>
      </c>
      <c r="D4103" t="s">
        <v>20101</v>
      </c>
      <c r="F4103" t="s">
        <v>1</v>
      </c>
      <c r="G4103" t="s">
        <v>2</v>
      </c>
      <c r="H4103" t="s">
        <v>1600</v>
      </c>
      <c r="I4103" t="s">
        <v>20102</v>
      </c>
      <c r="L4103" t="s">
        <v>20103</v>
      </c>
      <c r="M4103" t="s">
        <v>20104</v>
      </c>
      <c r="P4103" t="s">
        <v>27</v>
      </c>
      <c r="Q4103" t="s">
        <v>20106</v>
      </c>
      <c r="T4103" t="s">
        <v>20107</v>
      </c>
      <c r="Y4103" t="s">
        <v>20108</v>
      </c>
    </row>
    <row r="4104" spans="1:25" x14ac:dyDescent="0.25">
      <c r="A4104" t="str">
        <f>"1540930953"</f>
        <v>1540930953</v>
      </c>
      <c r="B4104" t="s">
        <v>1611</v>
      </c>
      <c r="C4104" t="s">
        <v>6872</v>
      </c>
      <c r="D4104" t="s">
        <v>20109</v>
      </c>
      <c r="F4104" t="s">
        <v>1</v>
      </c>
      <c r="G4104" t="s">
        <v>2</v>
      </c>
      <c r="H4104" t="s">
        <v>19666</v>
      </c>
      <c r="I4104" t="s">
        <v>20110</v>
      </c>
      <c r="L4104" t="s">
        <v>20111</v>
      </c>
      <c r="M4104" t="s">
        <v>20112</v>
      </c>
      <c r="P4104" t="s">
        <v>20113</v>
      </c>
      <c r="Y4104" t="s">
        <v>20114</v>
      </c>
    </row>
    <row r="4105" spans="1:25" x14ac:dyDescent="0.25">
      <c r="A4105" t="str">
        <f>"1541061467"</f>
        <v>1541061467</v>
      </c>
      <c r="B4105" t="s">
        <v>1152</v>
      </c>
      <c r="C4105" t="s">
        <v>1152</v>
      </c>
      <c r="D4105" t="s">
        <v>15085</v>
      </c>
      <c r="E4105">
        <v>424007</v>
      </c>
      <c r="F4105" t="s">
        <v>1</v>
      </c>
      <c r="G4105" t="s">
        <v>2</v>
      </c>
      <c r="H4105" t="s">
        <v>20115</v>
      </c>
      <c r="P4105" t="s">
        <v>410</v>
      </c>
      <c r="Y4105" t="s">
        <v>20116</v>
      </c>
    </row>
    <row r="4106" spans="1:25" x14ac:dyDescent="0.25">
      <c r="A4106" t="str">
        <f>"1543435758"</f>
        <v>1543435758</v>
      </c>
      <c r="B4106" t="s">
        <v>930</v>
      </c>
      <c r="C4106" t="s">
        <v>20121</v>
      </c>
      <c r="D4106" t="s">
        <v>20117</v>
      </c>
      <c r="E4106">
        <v>424019</v>
      </c>
      <c r="F4106" t="s">
        <v>1</v>
      </c>
      <c r="G4106" t="s">
        <v>2</v>
      </c>
      <c r="H4106" t="s">
        <v>13705</v>
      </c>
      <c r="I4106" t="s">
        <v>20118</v>
      </c>
      <c r="L4106" t="s">
        <v>20119</v>
      </c>
      <c r="M4106" t="s">
        <v>20120</v>
      </c>
      <c r="P4106" t="s">
        <v>20122</v>
      </c>
      <c r="Q4106" t="s">
        <v>20123</v>
      </c>
      <c r="U4106" t="s">
        <v>20124</v>
      </c>
      <c r="V4106" t="s">
        <v>20125</v>
      </c>
      <c r="Y4106" t="s">
        <v>20126</v>
      </c>
    </row>
    <row r="4107" spans="1:25" x14ac:dyDescent="0.25">
      <c r="A4107" t="str">
        <f>"1543729350"</f>
        <v>1543729350</v>
      </c>
      <c r="B4107" t="s">
        <v>96</v>
      </c>
      <c r="C4107" t="s">
        <v>7071</v>
      </c>
      <c r="D4107" t="s">
        <v>20127</v>
      </c>
      <c r="E4107">
        <v>424000</v>
      </c>
      <c r="F4107" t="s">
        <v>1</v>
      </c>
      <c r="G4107" t="s">
        <v>2</v>
      </c>
      <c r="H4107" t="s">
        <v>7015</v>
      </c>
      <c r="I4107" t="s">
        <v>20128</v>
      </c>
      <c r="J4107" t="s">
        <v>20129</v>
      </c>
      <c r="L4107" t="s">
        <v>20130</v>
      </c>
      <c r="M4107" t="s">
        <v>20131</v>
      </c>
      <c r="P4107" t="s">
        <v>20132</v>
      </c>
      <c r="Y4107" t="s">
        <v>20133</v>
      </c>
    </row>
    <row r="4108" spans="1:25" x14ac:dyDescent="0.25">
      <c r="A4108" t="str">
        <f>"1545003753"</f>
        <v>1545003753</v>
      </c>
      <c r="B4108" t="s">
        <v>32</v>
      </c>
      <c r="C4108" t="s">
        <v>20137</v>
      </c>
      <c r="D4108" t="s">
        <v>20134</v>
      </c>
      <c r="E4108">
        <v>424918</v>
      </c>
      <c r="F4108" t="s">
        <v>1</v>
      </c>
      <c r="G4108" t="s">
        <v>2</v>
      </c>
      <c r="H4108" t="s">
        <v>629</v>
      </c>
      <c r="I4108" t="s">
        <v>20135</v>
      </c>
      <c r="J4108" t="s">
        <v>20136</v>
      </c>
      <c r="P4108" t="s">
        <v>630</v>
      </c>
      <c r="Y4108" t="s">
        <v>20138</v>
      </c>
    </row>
    <row r="4109" spans="1:25" x14ac:dyDescent="0.25">
      <c r="A4109" t="str">
        <f>"1545217269"</f>
        <v>1545217269</v>
      </c>
      <c r="B4109" t="s">
        <v>1152</v>
      </c>
      <c r="C4109" t="s">
        <v>1159</v>
      </c>
      <c r="D4109" t="s">
        <v>20139</v>
      </c>
      <c r="E4109">
        <v>424040</v>
      </c>
      <c r="F4109" t="s">
        <v>1</v>
      </c>
      <c r="G4109" t="s">
        <v>2</v>
      </c>
      <c r="H4109" t="s">
        <v>5602</v>
      </c>
      <c r="I4109" t="s">
        <v>1157</v>
      </c>
      <c r="J4109" t="s">
        <v>20140</v>
      </c>
      <c r="P4109" t="s">
        <v>2710</v>
      </c>
      <c r="Y4109" t="s">
        <v>5606</v>
      </c>
    </row>
    <row r="4110" spans="1:25" x14ac:dyDescent="0.25">
      <c r="A4110" t="str">
        <f>"1546245618"</f>
        <v>1546245618</v>
      </c>
      <c r="B4110" t="s">
        <v>574</v>
      </c>
      <c r="C4110" t="s">
        <v>646</v>
      </c>
      <c r="D4110" t="s">
        <v>20141</v>
      </c>
      <c r="E4110">
        <v>424037</v>
      </c>
      <c r="F4110" t="s">
        <v>1</v>
      </c>
      <c r="G4110" t="s">
        <v>2</v>
      </c>
      <c r="H4110" t="s">
        <v>20142</v>
      </c>
      <c r="P4110" t="s">
        <v>3734</v>
      </c>
      <c r="Y4110" t="s">
        <v>20143</v>
      </c>
    </row>
    <row r="4111" spans="1:25" x14ac:dyDescent="0.25">
      <c r="A4111" t="str">
        <f>"1547869122"</f>
        <v>1547869122</v>
      </c>
      <c r="B4111" t="s">
        <v>6478</v>
      </c>
      <c r="C4111" t="s">
        <v>9854</v>
      </c>
      <c r="D4111" t="s">
        <v>20144</v>
      </c>
      <c r="E4111">
        <v>424008</v>
      </c>
      <c r="F4111" t="s">
        <v>1</v>
      </c>
      <c r="G4111" t="s">
        <v>2</v>
      </c>
      <c r="H4111" t="s">
        <v>12529</v>
      </c>
      <c r="I4111" t="s">
        <v>20145</v>
      </c>
      <c r="J4111" t="s">
        <v>20146</v>
      </c>
      <c r="L4111" t="s">
        <v>20147</v>
      </c>
      <c r="M4111" t="s">
        <v>20148</v>
      </c>
      <c r="P4111" t="s">
        <v>20149</v>
      </c>
      <c r="Y4111" t="s">
        <v>20150</v>
      </c>
    </row>
    <row r="4112" spans="1:25" x14ac:dyDescent="0.25">
      <c r="A4112" t="str">
        <f>"1548604058"</f>
        <v>1548604058</v>
      </c>
      <c r="B4112" t="s">
        <v>123</v>
      </c>
      <c r="C4112" t="s">
        <v>424</v>
      </c>
      <c r="D4112" t="s">
        <v>5772</v>
      </c>
      <c r="E4112">
        <v>424040</v>
      </c>
      <c r="F4112" t="s">
        <v>1</v>
      </c>
      <c r="G4112" t="s">
        <v>2</v>
      </c>
      <c r="H4112" t="s">
        <v>20151</v>
      </c>
      <c r="I4112" t="s">
        <v>5774</v>
      </c>
      <c r="P4112" t="s">
        <v>4998</v>
      </c>
      <c r="Y4112" t="s">
        <v>20152</v>
      </c>
    </row>
    <row r="4113" spans="1:25" x14ac:dyDescent="0.25">
      <c r="A4113" t="str">
        <f>"1548720976"</f>
        <v>1548720976</v>
      </c>
      <c r="B4113" t="s">
        <v>1152</v>
      </c>
      <c r="C4113" t="s">
        <v>20158</v>
      </c>
      <c r="D4113" t="s">
        <v>20153</v>
      </c>
      <c r="E4113">
        <v>424005</v>
      </c>
      <c r="F4113" t="s">
        <v>1</v>
      </c>
      <c r="G4113" t="s">
        <v>2</v>
      </c>
      <c r="H4113" t="s">
        <v>20154</v>
      </c>
      <c r="J4113" t="s">
        <v>20155</v>
      </c>
      <c r="L4113" t="s">
        <v>20156</v>
      </c>
      <c r="M4113" t="s">
        <v>20157</v>
      </c>
      <c r="P4113" t="s">
        <v>1027</v>
      </c>
      <c r="Q4113" t="s">
        <v>20159</v>
      </c>
      <c r="Y4113" t="s">
        <v>20160</v>
      </c>
    </row>
    <row r="4114" spans="1:25" x14ac:dyDescent="0.25">
      <c r="A4114" t="str">
        <f>"1550649075"</f>
        <v>1550649075</v>
      </c>
      <c r="B4114" t="s">
        <v>243</v>
      </c>
      <c r="C4114" t="s">
        <v>2538</v>
      </c>
      <c r="D4114" t="s">
        <v>20161</v>
      </c>
      <c r="E4114">
        <v>424038</v>
      </c>
      <c r="F4114" t="s">
        <v>1</v>
      </c>
      <c r="G4114" t="s">
        <v>2</v>
      </c>
      <c r="H4114" t="s">
        <v>1366</v>
      </c>
      <c r="J4114" t="s">
        <v>20162</v>
      </c>
      <c r="M4114" t="s">
        <v>20163</v>
      </c>
      <c r="P4114" t="s">
        <v>20164</v>
      </c>
      <c r="Q4114" t="s">
        <v>20165</v>
      </c>
      <c r="S4114" t="s">
        <v>20166</v>
      </c>
      <c r="T4114" t="s">
        <v>20167</v>
      </c>
      <c r="V4114" t="s">
        <v>20168</v>
      </c>
      <c r="Y4114" t="s">
        <v>7381</v>
      </c>
    </row>
    <row r="4115" spans="1:25" x14ac:dyDescent="0.25">
      <c r="A4115" t="str">
        <f>"1551473556"</f>
        <v>1551473556</v>
      </c>
      <c r="B4115" t="s">
        <v>96</v>
      </c>
      <c r="C4115" t="s">
        <v>893</v>
      </c>
      <c r="D4115" t="s">
        <v>20169</v>
      </c>
      <c r="E4115">
        <v>424039</v>
      </c>
      <c r="F4115" t="s">
        <v>1</v>
      </c>
      <c r="G4115" t="s">
        <v>2</v>
      </c>
      <c r="H4115" t="s">
        <v>5827</v>
      </c>
      <c r="I4115" t="s">
        <v>20170</v>
      </c>
      <c r="P4115" t="s">
        <v>941</v>
      </c>
      <c r="Y4115" t="s">
        <v>20171</v>
      </c>
    </row>
    <row r="4116" spans="1:25" x14ac:dyDescent="0.25">
      <c r="A4116" t="str">
        <f>"1551705982"</f>
        <v>1551705982</v>
      </c>
      <c r="B4116" t="s">
        <v>430</v>
      </c>
      <c r="C4116" t="s">
        <v>940</v>
      </c>
      <c r="D4116" t="s">
        <v>20172</v>
      </c>
      <c r="E4116">
        <v>424031</v>
      </c>
      <c r="F4116" t="s">
        <v>1</v>
      </c>
      <c r="G4116" t="s">
        <v>2</v>
      </c>
      <c r="H4116" t="s">
        <v>4082</v>
      </c>
      <c r="J4116" t="s">
        <v>20173</v>
      </c>
      <c r="P4116" t="s">
        <v>216</v>
      </c>
      <c r="Y4116" t="s">
        <v>4086</v>
      </c>
    </row>
    <row r="4117" spans="1:25" x14ac:dyDescent="0.25">
      <c r="A4117" t="str">
        <f>"1551829690"</f>
        <v>1551829690</v>
      </c>
      <c r="B4117" t="s">
        <v>1611</v>
      </c>
      <c r="C4117" t="s">
        <v>11688</v>
      </c>
      <c r="D4117" t="s">
        <v>20174</v>
      </c>
      <c r="E4117">
        <v>424002</v>
      </c>
      <c r="F4117" t="s">
        <v>1</v>
      </c>
      <c r="G4117" t="s">
        <v>2</v>
      </c>
      <c r="H4117" t="s">
        <v>20175</v>
      </c>
      <c r="I4117" t="s">
        <v>20176</v>
      </c>
      <c r="K4117" t="s">
        <v>20177</v>
      </c>
      <c r="L4117" t="s">
        <v>20111</v>
      </c>
      <c r="M4117" t="s">
        <v>20178</v>
      </c>
      <c r="Y4117" t="s">
        <v>20179</v>
      </c>
    </row>
    <row r="4118" spans="1:25" x14ac:dyDescent="0.25">
      <c r="A4118" t="str">
        <f>"1552363587"</f>
        <v>1552363587</v>
      </c>
      <c r="B4118" t="s">
        <v>32</v>
      </c>
      <c r="C4118" t="s">
        <v>777</v>
      </c>
      <c r="D4118" t="s">
        <v>4269</v>
      </c>
      <c r="E4118">
        <v>424005</v>
      </c>
      <c r="F4118" t="s">
        <v>1</v>
      </c>
      <c r="G4118" t="s">
        <v>2</v>
      </c>
      <c r="H4118" t="s">
        <v>3053</v>
      </c>
      <c r="I4118" t="s">
        <v>20180</v>
      </c>
      <c r="P4118" t="s">
        <v>2050</v>
      </c>
      <c r="Y4118" t="s">
        <v>20181</v>
      </c>
    </row>
    <row r="4119" spans="1:25" x14ac:dyDescent="0.25">
      <c r="A4119" t="str">
        <f>"1552718881"</f>
        <v>1552718881</v>
      </c>
      <c r="B4119" t="s">
        <v>519</v>
      </c>
      <c r="C4119" t="s">
        <v>20186</v>
      </c>
      <c r="D4119" t="s">
        <v>20182</v>
      </c>
      <c r="E4119">
        <v>424007</v>
      </c>
      <c r="F4119" t="s">
        <v>1</v>
      </c>
      <c r="G4119" t="s">
        <v>2</v>
      </c>
      <c r="H4119" t="s">
        <v>12328</v>
      </c>
      <c r="I4119" t="s">
        <v>20183</v>
      </c>
      <c r="L4119" t="s">
        <v>20184</v>
      </c>
      <c r="M4119" t="s">
        <v>20185</v>
      </c>
      <c r="P4119" t="s">
        <v>20187</v>
      </c>
      <c r="Q4119" t="s">
        <v>20188</v>
      </c>
      <c r="Y4119" t="s">
        <v>20189</v>
      </c>
    </row>
    <row r="4120" spans="1:25" x14ac:dyDescent="0.25">
      <c r="A4120" t="str">
        <f>"1552740818"</f>
        <v>1552740818</v>
      </c>
      <c r="B4120" t="s">
        <v>96</v>
      </c>
      <c r="C4120" t="s">
        <v>20192</v>
      </c>
      <c r="D4120" t="s">
        <v>20190</v>
      </c>
      <c r="E4120">
        <v>424006</v>
      </c>
      <c r="F4120" t="s">
        <v>1</v>
      </c>
      <c r="G4120" t="s">
        <v>2</v>
      </c>
      <c r="H4120" t="s">
        <v>2649</v>
      </c>
      <c r="I4120" t="s">
        <v>20191</v>
      </c>
      <c r="P4120" t="s">
        <v>6837</v>
      </c>
      <c r="Y4120" t="s">
        <v>20193</v>
      </c>
    </row>
    <row r="4121" spans="1:25" x14ac:dyDescent="0.25">
      <c r="A4121" t="str">
        <f>"1553048000"</f>
        <v>1553048000</v>
      </c>
      <c r="B4121" t="s">
        <v>176</v>
      </c>
      <c r="C4121" t="s">
        <v>20198</v>
      </c>
      <c r="D4121" t="s">
        <v>20194</v>
      </c>
      <c r="E4121">
        <v>424005</v>
      </c>
      <c r="F4121" t="s">
        <v>1</v>
      </c>
      <c r="G4121" t="s">
        <v>2</v>
      </c>
      <c r="H4121" t="s">
        <v>1310</v>
      </c>
      <c r="I4121" t="s">
        <v>20195</v>
      </c>
      <c r="L4121" t="s">
        <v>20196</v>
      </c>
      <c r="M4121" t="s">
        <v>20197</v>
      </c>
      <c r="P4121" t="s">
        <v>27</v>
      </c>
      <c r="Q4121" t="s">
        <v>20199</v>
      </c>
      <c r="R4121" t="s">
        <v>20200</v>
      </c>
      <c r="T4121" t="s">
        <v>20201</v>
      </c>
      <c r="Y4121" t="s">
        <v>20202</v>
      </c>
    </row>
    <row r="4122" spans="1:25" x14ac:dyDescent="0.25">
      <c r="A4122" t="str">
        <f>"1554340122"</f>
        <v>1554340122</v>
      </c>
      <c r="B4122" t="s">
        <v>1343</v>
      </c>
      <c r="C4122" t="s">
        <v>20208</v>
      </c>
      <c r="D4122" t="s">
        <v>20203</v>
      </c>
      <c r="E4122">
        <v>424019</v>
      </c>
      <c r="F4122" t="s">
        <v>1</v>
      </c>
      <c r="G4122" t="s">
        <v>2</v>
      </c>
      <c r="H4122" t="s">
        <v>7785</v>
      </c>
      <c r="I4122" t="s">
        <v>20204</v>
      </c>
      <c r="J4122" t="s">
        <v>20205</v>
      </c>
      <c r="L4122" t="s">
        <v>20206</v>
      </c>
      <c r="M4122" t="s">
        <v>20207</v>
      </c>
      <c r="P4122" t="s">
        <v>98</v>
      </c>
      <c r="Q4122" t="s">
        <v>20209</v>
      </c>
      <c r="V4122" t="s">
        <v>20210</v>
      </c>
      <c r="Y4122" t="s">
        <v>20211</v>
      </c>
    </row>
    <row r="4123" spans="1:25" x14ac:dyDescent="0.25">
      <c r="A4123" t="str">
        <f>"1554822696"</f>
        <v>1554822696</v>
      </c>
      <c r="B4123" t="s">
        <v>3008</v>
      </c>
      <c r="C4123" t="s">
        <v>14362</v>
      </c>
      <c r="D4123" t="s">
        <v>14248</v>
      </c>
      <c r="E4123">
        <v>424007</v>
      </c>
      <c r="F4123" t="s">
        <v>1</v>
      </c>
      <c r="G4123" t="s">
        <v>2</v>
      </c>
      <c r="H4123" t="s">
        <v>3476</v>
      </c>
      <c r="I4123" t="s">
        <v>20212</v>
      </c>
      <c r="J4123" t="s">
        <v>20213</v>
      </c>
      <c r="P4123" t="s">
        <v>330</v>
      </c>
      <c r="Y4123" t="s">
        <v>20214</v>
      </c>
    </row>
    <row r="4124" spans="1:25" x14ac:dyDescent="0.25">
      <c r="A4124" t="str">
        <f>"1555280395"</f>
        <v>1555280395</v>
      </c>
      <c r="B4124" t="s">
        <v>978</v>
      </c>
      <c r="C4124" t="s">
        <v>20218</v>
      </c>
      <c r="D4124" t="s">
        <v>20215</v>
      </c>
      <c r="E4124">
        <v>424003</v>
      </c>
      <c r="F4124" t="s">
        <v>1</v>
      </c>
      <c r="G4124" t="s">
        <v>2</v>
      </c>
      <c r="H4124" t="s">
        <v>2465</v>
      </c>
      <c r="I4124" t="s">
        <v>20216</v>
      </c>
      <c r="M4124" t="s">
        <v>20217</v>
      </c>
      <c r="P4124" t="s">
        <v>1270</v>
      </c>
      <c r="Y4124" t="s">
        <v>2469</v>
      </c>
    </row>
    <row r="4125" spans="1:25" x14ac:dyDescent="0.25">
      <c r="A4125" t="str">
        <f>"1555773653"</f>
        <v>1555773653</v>
      </c>
      <c r="B4125" t="s">
        <v>18</v>
      </c>
      <c r="C4125" t="s">
        <v>20224</v>
      </c>
      <c r="D4125" t="s">
        <v>20219</v>
      </c>
      <c r="E4125">
        <v>424006</v>
      </c>
      <c r="F4125" t="s">
        <v>1</v>
      </c>
      <c r="G4125" t="s">
        <v>2</v>
      </c>
      <c r="H4125" t="s">
        <v>20220</v>
      </c>
      <c r="I4125" t="s">
        <v>20221</v>
      </c>
      <c r="L4125" t="s">
        <v>20222</v>
      </c>
      <c r="M4125" t="s">
        <v>20223</v>
      </c>
      <c r="P4125" t="s">
        <v>216</v>
      </c>
      <c r="Q4125" t="s">
        <v>20225</v>
      </c>
      <c r="T4125" t="s">
        <v>20226</v>
      </c>
      <c r="V4125" t="s">
        <v>20227</v>
      </c>
      <c r="Y4125" t="s">
        <v>20228</v>
      </c>
    </row>
    <row r="4126" spans="1:25" x14ac:dyDescent="0.25">
      <c r="A4126" t="str">
        <f>"1556582317"</f>
        <v>1556582317</v>
      </c>
      <c r="B4126" t="s">
        <v>1152</v>
      </c>
      <c r="C4126" t="s">
        <v>1152</v>
      </c>
      <c r="D4126" t="s">
        <v>20229</v>
      </c>
      <c r="E4126">
        <v>424006</v>
      </c>
      <c r="F4126" t="s">
        <v>1</v>
      </c>
      <c r="G4126" t="s">
        <v>2</v>
      </c>
      <c r="H4126" t="s">
        <v>9823</v>
      </c>
      <c r="I4126" t="s">
        <v>20230</v>
      </c>
      <c r="J4126" t="s">
        <v>20231</v>
      </c>
      <c r="P4126" t="s">
        <v>330</v>
      </c>
      <c r="Y4126" t="s">
        <v>10449</v>
      </c>
    </row>
    <row r="4127" spans="1:25" x14ac:dyDescent="0.25">
      <c r="A4127" t="str">
        <f>"1557008568"</f>
        <v>1557008568</v>
      </c>
      <c r="B4127" t="s">
        <v>1611</v>
      </c>
      <c r="C4127" t="s">
        <v>6872</v>
      </c>
      <c r="D4127" t="s">
        <v>20232</v>
      </c>
      <c r="E4127">
        <v>424004</v>
      </c>
      <c r="F4127" t="s">
        <v>1</v>
      </c>
      <c r="G4127" t="s">
        <v>2</v>
      </c>
      <c r="H4127" t="s">
        <v>20233</v>
      </c>
      <c r="I4127" t="s">
        <v>20234</v>
      </c>
      <c r="P4127" t="s">
        <v>280</v>
      </c>
      <c r="Y4127" t="s">
        <v>20235</v>
      </c>
    </row>
    <row r="4128" spans="1:25" x14ac:dyDescent="0.25">
      <c r="A4128" t="str">
        <f>"1557178243"</f>
        <v>1557178243</v>
      </c>
      <c r="B4128" t="s">
        <v>379</v>
      </c>
      <c r="C4128" t="s">
        <v>766</v>
      </c>
      <c r="D4128" t="s">
        <v>20236</v>
      </c>
      <c r="E4128">
        <v>424006</v>
      </c>
      <c r="F4128" t="s">
        <v>1</v>
      </c>
      <c r="G4128" t="s">
        <v>2</v>
      </c>
      <c r="H4128" t="s">
        <v>2557</v>
      </c>
      <c r="I4128" t="s">
        <v>20237</v>
      </c>
      <c r="L4128" t="s">
        <v>20238</v>
      </c>
      <c r="M4128" t="s">
        <v>20239</v>
      </c>
      <c r="P4128" t="s">
        <v>1404</v>
      </c>
      <c r="Q4128" t="s">
        <v>20240</v>
      </c>
      <c r="S4128" t="s">
        <v>20241</v>
      </c>
      <c r="V4128" t="s">
        <v>20242</v>
      </c>
      <c r="Y4128" t="s">
        <v>20243</v>
      </c>
    </row>
    <row r="4129" spans="1:25" x14ac:dyDescent="0.25">
      <c r="A4129" t="str">
        <f>"1557581817"</f>
        <v>1557581817</v>
      </c>
      <c r="B4129" t="s">
        <v>462</v>
      </c>
      <c r="C4129" t="s">
        <v>11230</v>
      </c>
      <c r="D4129" t="s">
        <v>20244</v>
      </c>
      <c r="F4129" t="s">
        <v>1</v>
      </c>
      <c r="G4129" t="s">
        <v>2</v>
      </c>
      <c r="H4129" t="s">
        <v>2745</v>
      </c>
      <c r="I4129" t="s">
        <v>20245</v>
      </c>
      <c r="P4129" t="s">
        <v>27</v>
      </c>
      <c r="Y4129" t="s">
        <v>20246</v>
      </c>
    </row>
    <row r="4130" spans="1:25" x14ac:dyDescent="0.25">
      <c r="A4130" t="str">
        <f>"1557735376"</f>
        <v>1557735376</v>
      </c>
      <c r="B4130" t="s">
        <v>123</v>
      </c>
      <c r="C4130" t="s">
        <v>20251</v>
      </c>
      <c r="D4130" t="s">
        <v>20247</v>
      </c>
      <c r="E4130">
        <v>424003</v>
      </c>
      <c r="F4130" t="s">
        <v>1</v>
      </c>
      <c r="G4130" t="s">
        <v>2</v>
      </c>
      <c r="H4130" t="s">
        <v>38</v>
      </c>
      <c r="I4130" t="s">
        <v>20248</v>
      </c>
      <c r="L4130" t="s">
        <v>20249</v>
      </c>
      <c r="M4130" t="s">
        <v>20250</v>
      </c>
      <c r="P4130" t="s">
        <v>425</v>
      </c>
      <c r="Q4130" t="s">
        <v>20252</v>
      </c>
      <c r="V4130" t="s">
        <v>20253</v>
      </c>
      <c r="Y4130" t="s">
        <v>8462</v>
      </c>
    </row>
    <row r="4131" spans="1:25" x14ac:dyDescent="0.25">
      <c r="A4131" t="str">
        <f>"1557980833"</f>
        <v>1557980833</v>
      </c>
      <c r="B4131" t="s">
        <v>1611</v>
      </c>
      <c r="C4131" t="s">
        <v>6872</v>
      </c>
      <c r="D4131" t="s">
        <v>20254</v>
      </c>
      <c r="E4131">
        <v>424020</v>
      </c>
      <c r="F4131" t="s">
        <v>1</v>
      </c>
      <c r="G4131" t="s">
        <v>2</v>
      </c>
      <c r="H4131" t="s">
        <v>3327</v>
      </c>
      <c r="I4131" t="s">
        <v>20255</v>
      </c>
      <c r="M4131" t="s">
        <v>20256</v>
      </c>
      <c r="P4131" t="s">
        <v>20113</v>
      </c>
      <c r="Q4131" t="s">
        <v>20257</v>
      </c>
      <c r="Y4131" t="s">
        <v>20258</v>
      </c>
    </row>
    <row r="4132" spans="1:25" x14ac:dyDescent="0.25">
      <c r="A4132" t="str">
        <f>"1559414295"</f>
        <v>1559414295</v>
      </c>
      <c r="B4132" t="s">
        <v>456</v>
      </c>
      <c r="C4132" t="s">
        <v>20263</v>
      </c>
      <c r="D4132" t="s">
        <v>20259</v>
      </c>
      <c r="E4132">
        <v>424007</v>
      </c>
      <c r="F4132" t="s">
        <v>1</v>
      </c>
      <c r="G4132" t="s">
        <v>2</v>
      </c>
      <c r="H4132" t="s">
        <v>1566</v>
      </c>
      <c r="I4132" t="s">
        <v>20260</v>
      </c>
      <c r="L4132" t="s">
        <v>20261</v>
      </c>
      <c r="M4132" t="s">
        <v>20262</v>
      </c>
      <c r="P4132" t="s">
        <v>390</v>
      </c>
      <c r="Y4132" t="s">
        <v>2882</v>
      </c>
    </row>
    <row r="4133" spans="1:25" x14ac:dyDescent="0.25">
      <c r="A4133" t="str">
        <f>"1560648193"</f>
        <v>1560648193</v>
      </c>
      <c r="B4133" t="s">
        <v>1222</v>
      </c>
      <c r="C4133" t="s">
        <v>20268</v>
      </c>
      <c r="D4133" t="s">
        <v>20264</v>
      </c>
      <c r="E4133">
        <v>424031</v>
      </c>
      <c r="F4133" t="s">
        <v>1</v>
      </c>
      <c r="G4133" t="s">
        <v>2</v>
      </c>
      <c r="H4133" t="s">
        <v>4622</v>
      </c>
      <c r="I4133" t="s">
        <v>20265</v>
      </c>
      <c r="J4133" t="s">
        <v>20266</v>
      </c>
      <c r="L4133" t="s">
        <v>20267</v>
      </c>
      <c r="P4133" t="s">
        <v>280</v>
      </c>
      <c r="Q4133" t="s">
        <v>20269</v>
      </c>
      <c r="Y4133" t="s">
        <v>20270</v>
      </c>
    </row>
    <row r="4134" spans="1:25" x14ac:dyDescent="0.25">
      <c r="A4134" t="str">
        <f>"1560877599"</f>
        <v>1560877599</v>
      </c>
      <c r="B4134" t="s">
        <v>1222</v>
      </c>
      <c r="C4134" t="s">
        <v>20274</v>
      </c>
      <c r="D4134" t="s">
        <v>20271</v>
      </c>
      <c r="E4134">
        <v>424039</v>
      </c>
      <c r="F4134" t="s">
        <v>1</v>
      </c>
      <c r="G4134" t="s">
        <v>2</v>
      </c>
      <c r="H4134" t="s">
        <v>20272</v>
      </c>
      <c r="I4134" t="s">
        <v>20273</v>
      </c>
      <c r="P4134" t="s">
        <v>20275</v>
      </c>
      <c r="Y4134" t="s">
        <v>20276</v>
      </c>
    </row>
    <row r="4135" spans="1:25" x14ac:dyDescent="0.25">
      <c r="A4135" t="str">
        <f>"1563401210"</f>
        <v>1563401210</v>
      </c>
      <c r="B4135" t="s">
        <v>96</v>
      </c>
      <c r="C4135" t="s">
        <v>20281</v>
      </c>
      <c r="D4135" t="s">
        <v>20277</v>
      </c>
      <c r="E4135">
        <v>424038</v>
      </c>
      <c r="F4135" t="s">
        <v>1</v>
      </c>
      <c r="G4135" t="s">
        <v>2</v>
      </c>
      <c r="H4135" t="s">
        <v>7597</v>
      </c>
      <c r="I4135" t="s">
        <v>20278</v>
      </c>
      <c r="L4135" t="s">
        <v>20279</v>
      </c>
      <c r="M4135" t="s">
        <v>20280</v>
      </c>
      <c r="P4135" t="s">
        <v>1642</v>
      </c>
      <c r="Q4135" t="s">
        <v>20282</v>
      </c>
      <c r="S4135" t="s">
        <v>20283</v>
      </c>
      <c r="T4135" t="s">
        <v>20284</v>
      </c>
      <c r="U4135" t="s">
        <v>20285</v>
      </c>
      <c r="V4135" t="s">
        <v>20286</v>
      </c>
      <c r="Y4135" t="s">
        <v>20287</v>
      </c>
    </row>
    <row r="4136" spans="1:25" x14ac:dyDescent="0.25">
      <c r="A4136" t="str">
        <f>"1565503952"</f>
        <v>1565503952</v>
      </c>
      <c r="B4136" t="s">
        <v>88</v>
      </c>
      <c r="C4136" t="s">
        <v>20291</v>
      </c>
      <c r="D4136" t="s">
        <v>20288</v>
      </c>
      <c r="E4136">
        <v>424003</v>
      </c>
      <c r="F4136" t="s">
        <v>1</v>
      </c>
      <c r="G4136" t="s">
        <v>2</v>
      </c>
      <c r="H4136" t="s">
        <v>16890</v>
      </c>
      <c r="J4136" t="s">
        <v>20289</v>
      </c>
      <c r="M4136" t="s">
        <v>20290</v>
      </c>
      <c r="P4136" t="s">
        <v>27</v>
      </c>
      <c r="Q4136" t="s">
        <v>20292</v>
      </c>
      <c r="Y4136" t="s">
        <v>20293</v>
      </c>
    </row>
    <row r="4137" spans="1:25" x14ac:dyDescent="0.25">
      <c r="A4137" t="str">
        <f>"1565719949"</f>
        <v>1565719949</v>
      </c>
      <c r="B4137" t="s">
        <v>3908</v>
      </c>
      <c r="C4137" t="s">
        <v>10425</v>
      </c>
      <c r="D4137" t="s">
        <v>20294</v>
      </c>
      <c r="E4137">
        <v>424038</v>
      </c>
      <c r="F4137" t="s">
        <v>1</v>
      </c>
      <c r="G4137" t="s">
        <v>2</v>
      </c>
      <c r="H4137" t="s">
        <v>2946</v>
      </c>
      <c r="I4137" t="s">
        <v>20295</v>
      </c>
      <c r="L4137" t="s">
        <v>3906</v>
      </c>
      <c r="M4137" t="s">
        <v>20296</v>
      </c>
      <c r="P4137" t="s">
        <v>34</v>
      </c>
      <c r="Y4137" t="s">
        <v>20297</v>
      </c>
    </row>
    <row r="4138" spans="1:25" x14ac:dyDescent="0.25">
      <c r="A4138" t="str">
        <f>"1566925284"</f>
        <v>1566925284</v>
      </c>
      <c r="B4138" t="s">
        <v>1573</v>
      </c>
      <c r="C4138" t="s">
        <v>7704</v>
      </c>
      <c r="D4138" t="s">
        <v>20298</v>
      </c>
      <c r="E4138">
        <v>424037</v>
      </c>
      <c r="F4138" t="s">
        <v>1</v>
      </c>
      <c r="G4138" t="s">
        <v>2</v>
      </c>
      <c r="H4138" t="s">
        <v>10000</v>
      </c>
      <c r="I4138" t="s">
        <v>20299</v>
      </c>
      <c r="L4138" t="s">
        <v>20300</v>
      </c>
      <c r="M4138" t="s">
        <v>20301</v>
      </c>
      <c r="P4138" t="s">
        <v>280</v>
      </c>
      <c r="Q4138" t="s">
        <v>20302</v>
      </c>
      <c r="T4138" t="s">
        <v>20303</v>
      </c>
      <c r="Y4138" t="s">
        <v>20304</v>
      </c>
    </row>
    <row r="4139" spans="1:25" x14ac:dyDescent="0.25">
      <c r="A4139" t="str">
        <f>"1567774532"</f>
        <v>1567774532</v>
      </c>
      <c r="B4139" t="s">
        <v>930</v>
      </c>
      <c r="C4139" t="s">
        <v>6070</v>
      </c>
      <c r="D4139" t="s">
        <v>20039</v>
      </c>
      <c r="E4139">
        <v>424006</v>
      </c>
      <c r="F4139" t="s">
        <v>1</v>
      </c>
      <c r="G4139" t="s">
        <v>2</v>
      </c>
      <c r="H4139" t="s">
        <v>20305</v>
      </c>
      <c r="J4139" t="s">
        <v>20306</v>
      </c>
      <c r="P4139" t="s">
        <v>330</v>
      </c>
      <c r="Y4139" t="s">
        <v>20307</v>
      </c>
    </row>
    <row r="4140" spans="1:25" x14ac:dyDescent="0.25">
      <c r="A4140" t="str">
        <f>"1570305902"</f>
        <v>1570305902</v>
      </c>
      <c r="B4140" t="s">
        <v>96</v>
      </c>
      <c r="C4140" t="s">
        <v>695</v>
      </c>
      <c r="D4140" t="s">
        <v>12083</v>
      </c>
      <c r="E4140">
        <v>424030</v>
      </c>
      <c r="F4140" t="s">
        <v>1</v>
      </c>
      <c r="G4140" t="s">
        <v>2</v>
      </c>
      <c r="H4140" t="s">
        <v>10204</v>
      </c>
      <c r="I4140" t="s">
        <v>20308</v>
      </c>
      <c r="P4140" t="s">
        <v>10212</v>
      </c>
      <c r="Y4140" t="s">
        <v>20309</v>
      </c>
    </row>
    <row r="4141" spans="1:25" x14ac:dyDescent="0.25">
      <c r="A4141" t="str">
        <f>"1571878636"</f>
        <v>1571878636</v>
      </c>
      <c r="B4141" t="s">
        <v>1222</v>
      </c>
      <c r="C4141" t="s">
        <v>20312</v>
      </c>
      <c r="D4141" t="s">
        <v>20310</v>
      </c>
      <c r="E4141">
        <v>424019</v>
      </c>
      <c r="F4141" t="s">
        <v>1</v>
      </c>
      <c r="G4141" t="s">
        <v>2</v>
      </c>
      <c r="H4141" t="s">
        <v>7785</v>
      </c>
      <c r="I4141" t="s">
        <v>20311</v>
      </c>
      <c r="P4141" t="s">
        <v>98</v>
      </c>
      <c r="Y4141" t="s">
        <v>20313</v>
      </c>
    </row>
    <row r="4142" spans="1:25" x14ac:dyDescent="0.25">
      <c r="A4142" t="str">
        <f>"1572041919"</f>
        <v>1572041919</v>
      </c>
      <c r="B4142" t="s">
        <v>18</v>
      </c>
      <c r="C4142" t="s">
        <v>143</v>
      </c>
      <c r="D4142" t="s">
        <v>20314</v>
      </c>
      <c r="E4142">
        <v>424005</v>
      </c>
      <c r="F4142" t="s">
        <v>1</v>
      </c>
      <c r="G4142" t="s">
        <v>2</v>
      </c>
      <c r="H4142" t="s">
        <v>1310</v>
      </c>
      <c r="J4142" t="s">
        <v>20315</v>
      </c>
      <c r="L4142" t="s">
        <v>20316</v>
      </c>
      <c r="P4142" t="s">
        <v>27</v>
      </c>
      <c r="Y4142" t="s">
        <v>3926</v>
      </c>
    </row>
    <row r="4143" spans="1:25" x14ac:dyDescent="0.25">
      <c r="A4143" t="str">
        <f>"1572239863"</f>
        <v>1572239863</v>
      </c>
      <c r="B4143" t="s">
        <v>25</v>
      </c>
      <c r="C4143" t="s">
        <v>20320</v>
      </c>
      <c r="D4143" t="s">
        <v>20317</v>
      </c>
      <c r="E4143">
        <v>424033</v>
      </c>
      <c r="F4143" t="s">
        <v>1</v>
      </c>
      <c r="G4143" t="s">
        <v>2</v>
      </c>
      <c r="H4143" t="s">
        <v>20318</v>
      </c>
      <c r="M4143" t="s">
        <v>20319</v>
      </c>
      <c r="P4143" t="s">
        <v>330</v>
      </c>
      <c r="Q4143" t="s">
        <v>20321</v>
      </c>
      <c r="Y4143" t="s">
        <v>20322</v>
      </c>
    </row>
    <row r="4144" spans="1:25" x14ac:dyDescent="0.25">
      <c r="A4144" t="str">
        <f>"1573854881"</f>
        <v>1573854881</v>
      </c>
      <c r="B4144" t="s">
        <v>1078</v>
      </c>
      <c r="C4144" t="s">
        <v>20325</v>
      </c>
      <c r="D4144" t="s">
        <v>7229</v>
      </c>
      <c r="E4144">
        <v>424004</v>
      </c>
      <c r="F4144" t="s">
        <v>1</v>
      </c>
      <c r="G4144" t="s">
        <v>2</v>
      </c>
      <c r="H4144" t="s">
        <v>20323</v>
      </c>
      <c r="I4144" t="s">
        <v>20324</v>
      </c>
      <c r="P4144" t="s">
        <v>1404</v>
      </c>
      <c r="Y4144" t="s">
        <v>20326</v>
      </c>
    </row>
    <row r="4145" spans="1:25" x14ac:dyDescent="0.25">
      <c r="A4145" t="str">
        <f>"1573978956"</f>
        <v>1573978956</v>
      </c>
      <c r="B4145" t="s">
        <v>417</v>
      </c>
      <c r="C4145" t="s">
        <v>418</v>
      </c>
      <c r="D4145" t="s">
        <v>20327</v>
      </c>
      <c r="E4145">
        <v>424002</v>
      </c>
      <c r="F4145" t="s">
        <v>1</v>
      </c>
      <c r="G4145" t="s">
        <v>2</v>
      </c>
      <c r="H4145" t="s">
        <v>18167</v>
      </c>
      <c r="I4145" t="s">
        <v>20328</v>
      </c>
      <c r="P4145" t="s">
        <v>20329</v>
      </c>
      <c r="Y4145" t="s">
        <v>18173</v>
      </c>
    </row>
    <row r="4146" spans="1:25" x14ac:dyDescent="0.25">
      <c r="A4146" t="str">
        <f>"1574230615"</f>
        <v>1574230615</v>
      </c>
      <c r="B4146" t="s">
        <v>1475</v>
      </c>
      <c r="C4146" t="s">
        <v>20335</v>
      </c>
      <c r="D4146" t="s">
        <v>20330</v>
      </c>
      <c r="E4146">
        <v>424000</v>
      </c>
      <c r="F4146" t="s">
        <v>1</v>
      </c>
      <c r="G4146" t="s">
        <v>2</v>
      </c>
      <c r="H4146" t="s">
        <v>1531</v>
      </c>
      <c r="I4146" t="s">
        <v>20331</v>
      </c>
      <c r="J4146" t="s">
        <v>20332</v>
      </c>
      <c r="L4146" t="s">
        <v>20333</v>
      </c>
      <c r="M4146" t="s">
        <v>20334</v>
      </c>
      <c r="P4146" t="s">
        <v>20336</v>
      </c>
      <c r="Q4146" t="s">
        <v>20337</v>
      </c>
      <c r="T4146" t="s">
        <v>20338</v>
      </c>
      <c r="V4146" t="s">
        <v>20339</v>
      </c>
      <c r="Y4146" t="s">
        <v>20340</v>
      </c>
    </row>
    <row r="4147" spans="1:25" x14ac:dyDescent="0.25">
      <c r="A4147" t="str">
        <f>"1574512361"</f>
        <v>1574512361</v>
      </c>
      <c r="B4147" t="s">
        <v>18</v>
      </c>
      <c r="C4147" t="s">
        <v>2593</v>
      </c>
      <c r="D4147" t="s">
        <v>20341</v>
      </c>
      <c r="E4147">
        <v>424003</v>
      </c>
      <c r="F4147" t="s">
        <v>1</v>
      </c>
      <c r="G4147" t="s">
        <v>2</v>
      </c>
      <c r="H4147" t="s">
        <v>20342</v>
      </c>
      <c r="I4147" t="s">
        <v>20343</v>
      </c>
      <c r="P4147" t="s">
        <v>2438</v>
      </c>
      <c r="Y4147" t="s">
        <v>20344</v>
      </c>
    </row>
    <row r="4148" spans="1:25" x14ac:dyDescent="0.25">
      <c r="A4148" t="str">
        <f>"1574567348"</f>
        <v>1574567348</v>
      </c>
      <c r="B4148" t="s">
        <v>1343</v>
      </c>
      <c r="C4148" t="s">
        <v>20347</v>
      </c>
      <c r="D4148" t="s">
        <v>20345</v>
      </c>
      <c r="E4148">
        <v>424038</v>
      </c>
      <c r="F4148" t="s">
        <v>1</v>
      </c>
      <c r="G4148" t="s">
        <v>2</v>
      </c>
      <c r="H4148" t="s">
        <v>1366</v>
      </c>
      <c r="J4148" t="s">
        <v>20162</v>
      </c>
      <c r="L4148" t="s">
        <v>20346</v>
      </c>
      <c r="P4148" t="s">
        <v>13820</v>
      </c>
      <c r="Q4148" t="s">
        <v>20348</v>
      </c>
      <c r="Y4148" t="s">
        <v>7381</v>
      </c>
    </row>
    <row r="4149" spans="1:25" x14ac:dyDescent="0.25">
      <c r="A4149" t="str">
        <f>"1574800207"</f>
        <v>1574800207</v>
      </c>
      <c r="B4149" t="s">
        <v>96</v>
      </c>
      <c r="C4149" t="s">
        <v>20353</v>
      </c>
      <c r="D4149" t="s">
        <v>20349</v>
      </c>
      <c r="E4149">
        <v>424031</v>
      </c>
      <c r="F4149" t="s">
        <v>1</v>
      </c>
      <c r="G4149" t="s">
        <v>2</v>
      </c>
      <c r="H4149" t="s">
        <v>3271</v>
      </c>
      <c r="I4149" t="s">
        <v>20350</v>
      </c>
      <c r="L4149" t="s">
        <v>20351</v>
      </c>
      <c r="M4149" t="s">
        <v>20352</v>
      </c>
      <c r="P4149" t="s">
        <v>3393</v>
      </c>
      <c r="Q4149" t="s">
        <v>20354</v>
      </c>
      <c r="V4149" t="s">
        <v>20355</v>
      </c>
      <c r="Y4149" t="s">
        <v>3274</v>
      </c>
    </row>
    <row r="4150" spans="1:25" x14ac:dyDescent="0.25">
      <c r="A4150" t="str">
        <f>"1577011224"</f>
        <v>1577011224</v>
      </c>
      <c r="B4150" t="s">
        <v>1611</v>
      </c>
      <c r="C4150" t="s">
        <v>3218</v>
      </c>
      <c r="D4150" t="s">
        <v>20356</v>
      </c>
      <c r="E4150">
        <v>424005</v>
      </c>
      <c r="F4150" t="s">
        <v>1</v>
      </c>
      <c r="G4150" t="s">
        <v>2</v>
      </c>
      <c r="H4150" t="s">
        <v>5429</v>
      </c>
      <c r="I4150" t="s">
        <v>20357</v>
      </c>
      <c r="L4150" t="s">
        <v>581</v>
      </c>
      <c r="M4150" t="s">
        <v>20358</v>
      </c>
      <c r="P4150" t="s">
        <v>20</v>
      </c>
      <c r="Y4150" t="s">
        <v>20359</v>
      </c>
    </row>
    <row r="4151" spans="1:25" x14ac:dyDescent="0.25">
      <c r="A4151" t="str">
        <f>"1577198654"</f>
        <v>1577198654</v>
      </c>
      <c r="B4151" t="s">
        <v>32</v>
      </c>
      <c r="C4151" t="s">
        <v>18888</v>
      </c>
      <c r="D4151" t="s">
        <v>20360</v>
      </c>
      <c r="E4151">
        <v>424006</v>
      </c>
      <c r="F4151" t="s">
        <v>1</v>
      </c>
      <c r="G4151" t="s">
        <v>2</v>
      </c>
      <c r="H4151" t="s">
        <v>18109</v>
      </c>
      <c r="J4151" t="s">
        <v>20361</v>
      </c>
      <c r="P4151" t="s">
        <v>7891</v>
      </c>
      <c r="Y4151" t="s">
        <v>20362</v>
      </c>
    </row>
    <row r="4152" spans="1:25" x14ac:dyDescent="0.25">
      <c r="A4152" t="str">
        <f>"1577595704"</f>
        <v>1577595704</v>
      </c>
      <c r="B4152" t="s">
        <v>96</v>
      </c>
      <c r="C4152" t="s">
        <v>507</v>
      </c>
      <c r="D4152" t="s">
        <v>13619</v>
      </c>
      <c r="E4152">
        <v>424038</v>
      </c>
      <c r="F4152" t="s">
        <v>1</v>
      </c>
      <c r="G4152" t="s">
        <v>2</v>
      </c>
      <c r="H4152" t="s">
        <v>7597</v>
      </c>
      <c r="P4152" t="s">
        <v>1642</v>
      </c>
      <c r="Y4152" t="s">
        <v>16150</v>
      </c>
    </row>
    <row r="4153" spans="1:25" x14ac:dyDescent="0.25">
      <c r="A4153" t="str">
        <f>"1577928419"</f>
        <v>1577928419</v>
      </c>
      <c r="B4153" t="s">
        <v>18</v>
      </c>
      <c r="C4153" t="s">
        <v>20366</v>
      </c>
      <c r="D4153" t="s">
        <v>20363</v>
      </c>
      <c r="F4153" t="s">
        <v>1</v>
      </c>
      <c r="G4153" t="s">
        <v>2</v>
      </c>
      <c r="H4153" t="s">
        <v>20364</v>
      </c>
      <c r="I4153" t="s">
        <v>20365</v>
      </c>
      <c r="P4153" t="s">
        <v>152</v>
      </c>
      <c r="Y4153" t="s">
        <v>20367</v>
      </c>
    </row>
    <row r="4154" spans="1:25" x14ac:dyDescent="0.25">
      <c r="A4154" t="str">
        <f>"1578838418"</f>
        <v>1578838418</v>
      </c>
      <c r="B4154" t="s">
        <v>430</v>
      </c>
      <c r="C4154" t="s">
        <v>612</v>
      </c>
      <c r="D4154" t="s">
        <v>19842</v>
      </c>
      <c r="E4154">
        <v>424036</v>
      </c>
      <c r="F4154" t="s">
        <v>1</v>
      </c>
      <c r="G4154" t="s">
        <v>2</v>
      </c>
      <c r="H4154" t="s">
        <v>2291</v>
      </c>
      <c r="I4154" t="s">
        <v>19844</v>
      </c>
      <c r="L4154" t="s">
        <v>19845</v>
      </c>
      <c r="M4154" t="s">
        <v>19846</v>
      </c>
      <c r="P4154" t="s">
        <v>4006</v>
      </c>
      <c r="Y4154" t="s">
        <v>20368</v>
      </c>
    </row>
    <row r="4155" spans="1:25" x14ac:dyDescent="0.25">
      <c r="A4155" t="str">
        <f>"1580654003"</f>
        <v>1580654003</v>
      </c>
      <c r="B4155" t="s">
        <v>123</v>
      </c>
      <c r="C4155" t="s">
        <v>424</v>
      </c>
      <c r="D4155" t="s">
        <v>20369</v>
      </c>
      <c r="E4155">
        <v>424003</v>
      </c>
      <c r="F4155" t="s">
        <v>1</v>
      </c>
      <c r="G4155" t="s">
        <v>2</v>
      </c>
      <c r="H4155" t="s">
        <v>15068</v>
      </c>
      <c r="I4155" t="s">
        <v>20370</v>
      </c>
      <c r="L4155" t="s">
        <v>20371</v>
      </c>
      <c r="M4155" t="s">
        <v>20372</v>
      </c>
      <c r="P4155" t="s">
        <v>3039</v>
      </c>
      <c r="Q4155" t="s">
        <v>20373</v>
      </c>
      <c r="V4155" t="s">
        <v>20374</v>
      </c>
      <c r="Y4155" t="s">
        <v>20375</v>
      </c>
    </row>
    <row r="4156" spans="1:25" x14ac:dyDescent="0.25">
      <c r="A4156" t="str">
        <f>"1581558932"</f>
        <v>1581558932</v>
      </c>
      <c r="B4156" t="s">
        <v>1268</v>
      </c>
      <c r="C4156" t="s">
        <v>4018</v>
      </c>
      <c r="D4156" t="s">
        <v>20376</v>
      </c>
      <c r="E4156">
        <v>424039</v>
      </c>
      <c r="F4156" t="s">
        <v>1</v>
      </c>
      <c r="G4156" t="s">
        <v>2</v>
      </c>
      <c r="H4156" t="s">
        <v>5195</v>
      </c>
      <c r="I4156" t="s">
        <v>20377</v>
      </c>
      <c r="J4156" t="s">
        <v>20378</v>
      </c>
      <c r="P4156" t="s">
        <v>133</v>
      </c>
      <c r="Y4156" t="s">
        <v>5196</v>
      </c>
    </row>
    <row r="4157" spans="1:25" x14ac:dyDescent="0.25">
      <c r="A4157" t="str">
        <f>"1584513208"</f>
        <v>1584513208</v>
      </c>
      <c r="B4157" t="s">
        <v>1046</v>
      </c>
      <c r="C4157" t="s">
        <v>20384</v>
      </c>
      <c r="D4157" t="s">
        <v>20379</v>
      </c>
      <c r="E4157">
        <v>424000</v>
      </c>
      <c r="F4157" t="s">
        <v>1</v>
      </c>
      <c r="G4157" t="s">
        <v>2</v>
      </c>
      <c r="H4157" t="s">
        <v>1975</v>
      </c>
      <c r="I4157" t="s">
        <v>20380</v>
      </c>
      <c r="J4157" t="s">
        <v>20381</v>
      </c>
      <c r="L4157" t="s">
        <v>20382</v>
      </c>
      <c r="M4157" t="s">
        <v>20383</v>
      </c>
      <c r="P4157" t="s">
        <v>2513</v>
      </c>
      <c r="Q4157" t="s">
        <v>20385</v>
      </c>
      <c r="Y4157" t="s">
        <v>20386</v>
      </c>
    </row>
    <row r="4158" spans="1:25" x14ac:dyDescent="0.25">
      <c r="A4158" t="str">
        <f>"1585186767"</f>
        <v>1585186767</v>
      </c>
      <c r="B4158" t="s">
        <v>388</v>
      </c>
      <c r="C4158" t="s">
        <v>2149</v>
      </c>
      <c r="D4158" t="s">
        <v>20387</v>
      </c>
      <c r="E4158">
        <v>424000</v>
      </c>
      <c r="F4158" t="s">
        <v>1</v>
      </c>
      <c r="G4158" t="s">
        <v>2</v>
      </c>
      <c r="H4158" t="s">
        <v>3597</v>
      </c>
      <c r="I4158" t="s">
        <v>20388</v>
      </c>
      <c r="L4158" t="s">
        <v>20389</v>
      </c>
      <c r="M4158" t="s">
        <v>20390</v>
      </c>
      <c r="P4158" t="s">
        <v>2839</v>
      </c>
      <c r="T4158" t="s">
        <v>20391</v>
      </c>
      <c r="U4158" t="s">
        <v>20392</v>
      </c>
      <c r="Y4158" t="s">
        <v>7581</v>
      </c>
    </row>
    <row r="4159" spans="1:25" x14ac:dyDescent="0.25">
      <c r="A4159" t="str">
        <f>"1585952192"</f>
        <v>1585952192</v>
      </c>
      <c r="B4159" t="s">
        <v>3700</v>
      </c>
      <c r="C4159" t="s">
        <v>4023</v>
      </c>
      <c r="D4159" t="s">
        <v>20393</v>
      </c>
      <c r="E4159">
        <v>424008</v>
      </c>
      <c r="F4159" t="s">
        <v>1</v>
      </c>
      <c r="G4159" t="s">
        <v>2</v>
      </c>
      <c r="H4159" t="s">
        <v>1031</v>
      </c>
      <c r="I4159" t="s">
        <v>20394</v>
      </c>
      <c r="P4159" t="s">
        <v>20395</v>
      </c>
      <c r="Y4159" t="s">
        <v>5039</v>
      </c>
    </row>
    <row r="4160" spans="1:25" x14ac:dyDescent="0.25">
      <c r="A4160" t="str">
        <f>"1586074458"</f>
        <v>1586074458</v>
      </c>
      <c r="B4160" t="s">
        <v>151</v>
      </c>
      <c r="C4160" t="s">
        <v>151</v>
      </c>
      <c r="D4160" t="s">
        <v>20396</v>
      </c>
      <c r="E4160">
        <v>424038</v>
      </c>
      <c r="F4160" t="s">
        <v>1</v>
      </c>
      <c r="G4160" t="s">
        <v>2</v>
      </c>
      <c r="H4160" t="s">
        <v>20397</v>
      </c>
      <c r="I4160" t="s">
        <v>20398</v>
      </c>
      <c r="P4160" t="s">
        <v>152</v>
      </c>
      <c r="Y4160" t="s">
        <v>20399</v>
      </c>
    </row>
    <row r="4161" spans="1:25" x14ac:dyDescent="0.25">
      <c r="A4161" t="str">
        <f>"1586804447"</f>
        <v>1586804447</v>
      </c>
      <c r="B4161" t="s">
        <v>2601</v>
      </c>
      <c r="C4161" t="s">
        <v>20402</v>
      </c>
      <c r="D4161" t="s">
        <v>20400</v>
      </c>
      <c r="F4161" t="s">
        <v>1</v>
      </c>
      <c r="G4161" t="s">
        <v>2</v>
      </c>
      <c r="H4161" t="s">
        <v>1600</v>
      </c>
      <c r="J4161" t="s">
        <v>20401</v>
      </c>
      <c r="P4161" t="s">
        <v>27</v>
      </c>
      <c r="Y4161" t="s">
        <v>12751</v>
      </c>
    </row>
    <row r="4162" spans="1:25" x14ac:dyDescent="0.25">
      <c r="A4162" t="str">
        <f>"1586940986"</f>
        <v>1586940986</v>
      </c>
      <c r="B4162" t="s">
        <v>348</v>
      </c>
      <c r="C4162" t="s">
        <v>4366</v>
      </c>
      <c r="D4162" t="s">
        <v>20403</v>
      </c>
      <c r="E4162">
        <v>424004</v>
      </c>
      <c r="F4162" t="s">
        <v>1</v>
      </c>
      <c r="G4162" t="s">
        <v>2</v>
      </c>
      <c r="H4162" t="s">
        <v>20404</v>
      </c>
      <c r="I4162" t="s">
        <v>20405</v>
      </c>
      <c r="P4162" t="s">
        <v>330</v>
      </c>
      <c r="Y4162" t="s">
        <v>2137</v>
      </c>
    </row>
    <row r="4163" spans="1:25" x14ac:dyDescent="0.25">
      <c r="A4163" t="str">
        <f>"1587217060"</f>
        <v>1587217060</v>
      </c>
      <c r="B4163" t="s">
        <v>574</v>
      </c>
      <c r="C4163" t="s">
        <v>646</v>
      </c>
      <c r="D4163" t="s">
        <v>20141</v>
      </c>
      <c r="E4163">
        <v>424007</v>
      </c>
      <c r="F4163" t="s">
        <v>1</v>
      </c>
      <c r="G4163" t="s">
        <v>2</v>
      </c>
      <c r="H4163" t="s">
        <v>1085</v>
      </c>
      <c r="J4163" t="s">
        <v>20406</v>
      </c>
      <c r="L4163" t="s">
        <v>20407</v>
      </c>
      <c r="M4163" t="s">
        <v>20408</v>
      </c>
      <c r="P4163" t="s">
        <v>11204</v>
      </c>
      <c r="Y4163" t="s">
        <v>20409</v>
      </c>
    </row>
    <row r="4164" spans="1:25" x14ac:dyDescent="0.25">
      <c r="A4164" t="str">
        <f>"1587385405"</f>
        <v>1587385405</v>
      </c>
      <c r="B4164" t="s">
        <v>32</v>
      </c>
      <c r="C4164" t="s">
        <v>182</v>
      </c>
      <c r="D4164" t="s">
        <v>20410</v>
      </c>
      <c r="E4164">
        <v>424033</v>
      </c>
      <c r="F4164" t="s">
        <v>1</v>
      </c>
      <c r="G4164" t="s">
        <v>2</v>
      </c>
      <c r="H4164" t="s">
        <v>20411</v>
      </c>
      <c r="I4164" t="s">
        <v>20412</v>
      </c>
      <c r="P4164" t="s">
        <v>1464</v>
      </c>
      <c r="Y4164" t="s">
        <v>20413</v>
      </c>
    </row>
    <row r="4165" spans="1:25" x14ac:dyDescent="0.25">
      <c r="A4165" t="str">
        <f>"1589766937"</f>
        <v>1589766937</v>
      </c>
      <c r="B4165" t="s">
        <v>930</v>
      </c>
      <c r="C4165" t="s">
        <v>1096</v>
      </c>
      <c r="D4165" t="s">
        <v>20414</v>
      </c>
      <c r="E4165">
        <v>424008</v>
      </c>
      <c r="F4165" t="s">
        <v>1</v>
      </c>
      <c r="G4165" t="s">
        <v>2</v>
      </c>
      <c r="H4165" t="s">
        <v>20415</v>
      </c>
      <c r="I4165" t="s">
        <v>20416</v>
      </c>
      <c r="P4165" t="s">
        <v>330</v>
      </c>
      <c r="Y4165" t="s">
        <v>20417</v>
      </c>
    </row>
    <row r="4166" spans="1:25" x14ac:dyDescent="0.25">
      <c r="A4166" t="str">
        <f>"1590342945"</f>
        <v>1590342945</v>
      </c>
      <c r="B4166" t="s">
        <v>716</v>
      </c>
      <c r="C4166" t="s">
        <v>20421</v>
      </c>
      <c r="D4166" t="s">
        <v>20418</v>
      </c>
      <c r="E4166">
        <v>424033</v>
      </c>
      <c r="F4166" t="s">
        <v>1</v>
      </c>
      <c r="G4166" t="s">
        <v>2</v>
      </c>
      <c r="H4166" t="s">
        <v>20419</v>
      </c>
      <c r="I4166" t="s">
        <v>20420</v>
      </c>
      <c r="P4166" t="s">
        <v>330</v>
      </c>
      <c r="Y4166" t="s">
        <v>20422</v>
      </c>
    </row>
    <row r="4167" spans="1:25" x14ac:dyDescent="0.25">
      <c r="A4167" t="str">
        <f>"1590573338"</f>
        <v>1590573338</v>
      </c>
      <c r="B4167" t="s">
        <v>96</v>
      </c>
      <c r="C4167" t="s">
        <v>695</v>
      </c>
      <c r="D4167" t="s">
        <v>20423</v>
      </c>
      <c r="E4167">
        <v>424000</v>
      </c>
      <c r="F4167" t="s">
        <v>1</v>
      </c>
      <c r="G4167" t="s">
        <v>2</v>
      </c>
      <c r="H4167" t="s">
        <v>1531</v>
      </c>
      <c r="I4167" t="s">
        <v>20424</v>
      </c>
      <c r="P4167" t="s">
        <v>27</v>
      </c>
      <c r="Y4167" t="s">
        <v>20425</v>
      </c>
    </row>
    <row r="4168" spans="1:25" x14ac:dyDescent="0.25">
      <c r="A4168" t="str">
        <f>"1590765235"</f>
        <v>1590765235</v>
      </c>
      <c r="B4168" t="s">
        <v>1078</v>
      </c>
      <c r="C4168" t="s">
        <v>20428</v>
      </c>
      <c r="D4168" t="s">
        <v>20426</v>
      </c>
      <c r="E4168">
        <v>424006</v>
      </c>
      <c r="F4168" t="s">
        <v>1</v>
      </c>
      <c r="G4168" t="s">
        <v>2</v>
      </c>
      <c r="H4168" t="s">
        <v>445</v>
      </c>
      <c r="J4168" t="s">
        <v>20427</v>
      </c>
      <c r="P4168" t="s">
        <v>280</v>
      </c>
      <c r="Y4168" t="s">
        <v>449</v>
      </c>
    </row>
    <row r="4169" spans="1:25" x14ac:dyDescent="0.25">
      <c r="A4169" t="str">
        <f>"1591129383"</f>
        <v>1591129383</v>
      </c>
      <c r="B4169" t="s">
        <v>151</v>
      </c>
      <c r="C4169" t="s">
        <v>151</v>
      </c>
      <c r="D4169" t="s">
        <v>20429</v>
      </c>
      <c r="E4169">
        <v>424006</v>
      </c>
      <c r="F4169" t="s">
        <v>1</v>
      </c>
      <c r="G4169" t="s">
        <v>2</v>
      </c>
      <c r="H4169" t="s">
        <v>6622</v>
      </c>
      <c r="J4169" t="s">
        <v>20430</v>
      </c>
      <c r="P4169" t="s">
        <v>330</v>
      </c>
      <c r="Y4169" t="s">
        <v>20431</v>
      </c>
    </row>
    <row r="4170" spans="1:25" x14ac:dyDescent="0.25">
      <c r="A4170" t="str">
        <f>"1591159391"</f>
        <v>1591159391</v>
      </c>
      <c r="B4170" t="s">
        <v>1611</v>
      </c>
      <c r="C4170" t="s">
        <v>6872</v>
      </c>
      <c r="D4170" t="s">
        <v>20432</v>
      </c>
      <c r="E4170">
        <v>424038</v>
      </c>
      <c r="F4170" t="s">
        <v>1</v>
      </c>
      <c r="G4170" t="s">
        <v>2</v>
      </c>
      <c r="H4170" t="s">
        <v>20433</v>
      </c>
      <c r="I4170" t="s">
        <v>20434</v>
      </c>
      <c r="M4170" t="s">
        <v>20435</v>
      </c>
      <c r="P4170" t="s">
        <v>425</v>
      </c>
      <c r="Q4170" t="s">
        <v>20436</v>
      </c>
      <c r="Y4170" t="s">
        <v>20437</v>
      </c>
    </row>
    <row r="4171" spans="1:25" x14ac:dyDescent="0.25">
      <c r="A4171" t="str">
        <f>"1592464045"</f>
        <v>1592464045</v>
      </c>
      <c r="B4171" t="s">
        <v>96</v>
      </c>
      <c r="C4171" t="s">
        <v>893</v>
      </c>
      <c r="D4171" t="s">
        <v>20438</v>
      </c>
      <c r="E4171">
        <v>424002</v>
      </c>
      <c r="F4171" t="s">
        <v>1</v>
      </c>
      <c r="G4171" t="s">
        <v>2</v>
      </c>
      <c r="H4171" t="s">
        <v>915</v>
      </c>
      <c r="I4171" t="s">
        <v>20439</v>
      </c>
      <c r="P4171" t="s">
        <v>941</v>
      </c>
      <c r="Y4171" t="s">
        <v>917</v>
      </c>
    </row>
    <row r="4172" spans="1:25" x14ac:dyDescent="0.25">
      <c r="A4172" t="str">
        <f>"1592867502"</f>
        <v>1592867502</v>
      </c>
      <c r="B4172" t="s">
        <v>110</v>
      </c>
      <c r="C4172" t="s">
        <v>111</v>
      </c>
      <c r="D4172" t="s">
        <v>1115</v>
      </c>
      <c r="E4172">
        <v>424005</v>
      </c>
      <c r="F4172" t="s">
        <v>1</v>
      </c>
      <c r="G4172" t="s">
        <v>2</v>
      </c>
      <c r="H4172" t="s">
        <v>20440</v>
      </c>
      <c r="I4172" t="s">
        <v>20441</v>
      </c>
      <c r="L4172" t="s">
        <v>1118</v>
      </c>
      <c r="P4172" t="s">
        <v>399</v>
      </c>
      <c r="Y4172" t="s">
        <v>20442</v>
      </c>
    </row>
    <row r="4173" spans="1:25" x14ac:dyDescent="0.25">
      <c r="A4173" t="str">
        <f>"1593211756"</f>
        <v>1593211756</v>
      </c>
      <c r="B4173" t="s">
        <v>430</v>
      </c>
      <c r="C4173" t="s">
        <v>940</v>
      </c>
      <c r="D4173" t="s">
        <v>20443</v>
      </c>
      <c r="E4173">
        <v>424020</v>
      </c>
      <c r="F4173" t="s">
        <v>1</v>
      </c>
      <c r="G4173" t="s">
        <v>2</v>
      </c>
      <c r="H4173" t="s">
        <v>14474</v>
      </c>
      <c r="I4173" t="s">
        <v>20444</v>
      </c>
      <c r="P4173" t="s">
        <v>799</v>
      </c>
      <c r="Y4173" t="s">
        <v>14476</v>
      </c>
    </row>
    <row r="4174" spans="1:25" x14ac:dyDescent="0.25">
      <c r="A4174" t="str">
        <f>"1594934981"</f>
        <v>1594934981</v>
      </c>
      <c r="B4174" t="s">
        <v>1046</v>
      </c>
      <c r="C4174" t="s">
        <v>2695</v>
      </c>
      <c r="D4174" t="s">
        <v>20445</v>
      </c>
      <c r="E4174">
        <v>424037</v>
      </c>
      <c r="F4174" t="s">
        <v>1</v>
      </c>
      <c r="G4174" t="s">
        <v>2</v>
      </c>
      <c r="H4174" t="s">
        <v>20446</v>
      </c>
      <c r="I4174" t="s">
        <v>20447</v>
      </c>
      <c r="J4174" t="s">
        <v>20448</v>
      </c>
      <c r="M4174" t="s">
        <v>20449</v>
      </c>
      <c r="P4174" t="s">
        <v>330</v>
      </c>
      <c r="Y4174" t="s">
        <v>20450</v>
      </c>
    </row>
    <row r="4175" spans="1:25" x14ac:dyDescent="0.25">
      <c r="A4175" t="str">
        <f>"1594970599"</f>
        <v>1594970599</v>
      </c>
      <c r="B4175" t="s">
        <v>96</v>
      </c>
      <c r="C4175" t="s">
        <v>8808</v>
      </c>
      <c r="D4175" t="s">
        <v>20451</v>
      </c>
      <c r="E4175">
        <v>424918</v>
      </c>
      <c r="F4175" t="s">
        <v>1</v>
      </c>
      <c r="G4175" t="s">
        <v>2</v>
      </c>
      <c r="H4175" t="s">
        <v>629</v>
      </c>
      <c r="I4175" t="s">
        <v>20452</v>
      </c>
      <c r="P4175" t="s">
        <v>630</v>
      </c>
      <c r="Y4175" t="s">
        <v>4513</v>
      </c>
    </row>
    <row r="4176" spans="1:25" x14ac:dyDescent="0.25">
      <c r="A4176" t="str">
        <f>"1595178798"</f>
        <v>1595178798</v>
      </c>
      <c r="B4176" t="s">
        <v>379</v>
      </c>
      <c r="C4176" t="s">
        <v>2661</v>
      </c>
      <c r="D4176" t="s">
        <v>20453</v>
      </c>
      <c r="E4176">
        <v>424000</v>
      </c>
      <c r="F4176" t="s">
        <v>1</v>
      </c>
      <c r="G4176" t="s">
        <v>2</v>
      </c>
      <c r="H4176" t="s">
        <v>2193</v>
      </c>
      <c r="J4176" t="s">
        <v>20454</v>
      </c>
      <c r="P4176" t="s">
        <v>27</v>
      </c>
      <c r="Y4176" t="s">
        <v>2196</v>
      </c>
    </row>
    <row r="4177" spans="1:25" x14ac:dyDescent="0.25">
      <c r="A4177" t="str">
        <f>"1595655239"</f>
        <v>1595655239</v>
      </c>
      <c r="B4177" t="s">
        <v>738</v>
      </c>
      <c r="C4177" t="s">
        <v>739</v>
      </c>
      <c r="D4177" t="s">
        <v>20455</v>
      </c>
      <c r="E4177">
        <v>424003</v>
      </c>
      <c r="F4177" t="s">
        <v>1</v>
      </c>
      <c r="G4177" t="s">
        <v>2</v>
      </c>
      <c r="H4177" t="s">
        <v>7258</v>
      </c>
      <c r="L4177" t="s">
        <v>20456</v>
      </c>
      <c r="M4177" t="s">
        <v>20457</v>
      </c>
      <c r="P4177" t="s">
        <v>133</v>
      </c>
      <c r="Q4177" t="s">
        <v>17188</v>
      </c>
      <c r="Y4177" t="s">
        <v>20458</v>
      </c>
    </row>
    <row r="4178" spans="1:25" x14ac:dyDescent="0.25">
      <c r="A4178" t="str">
        <f>"1595869051"</f>
        <v>1595869051</v>
      </c>
      <c r="B4178" t="s">
        <v>32</v>
      </c>
      <c r="C4178" t="s">
        <v>40</v>
      </c>
      <c r="D4178" t="s">
        <v>20459</v>
      </c>
      <c r="E4178">
        <v>424006</v>
      </c>
      <c r="F4178" t="s">
        <v>1</v>
      </c>
      <c r="G4178" t="s">
        <v>2</v>
      </c>
      <c r="H4178" t="s">
        <v>20460</v>
      </c>
      <c r="P4178" t="s">
        <v>2079</v>
      </c>
      <c r="Y4178" t="s">
        <v>20461</v>
      </c>
    </row>
    <row r="4179" spans="1:25" x14ac:dyDescent="0.25">
      <c r="A4179" t="str">
        <f>"1596333865"</f>
        <v>1596333865</v>
      </c>
      <c r="B4179" t="s">
        <v>930</v>
      </c>
      <c r="C4179" t="s">
        <v>1096</v>
      </c>
      <c r="D4179" t="s">
        <v>15966</v>
      </c>
      <c r="E4179">
        <v>424037</v>
      </c>
      <c r="F4179" t="s">
        <v>1</v>
      </c>
      <c r="G4179" t="s">
        <v>2</v>
      </c>
      <c r="H4179" t="s">
        <v>20462</v>
      </c>
      <c r="P4179" t="s">
        <v>2738</v>
      </c>
      <c r="Y4179" t="s">
        <v>20463</v>
      </c>
    </row>
    <row r="4180" spans="1:25" x14ac:dyDescent="0.25">
      <c r="A4180" t="str">
        <f>"1596386971"</f>
        <v>1596386971</v>
      </c>
      <c r="B4180" t="s">
        <v>1222</v>
      </c>
      <c r="C4180" t="s">
        <v>2114</v>
      </c>
      <c r="D4180" t="s">
        <v>20464</v>
      </c>
      <c r="E4180">
        <v>424007</v>
      </c>
      <c r="F4180" t="s">
        <v>1</v>
      </c>
      <c r="G4180" t="s">
        <v>2</v>
      </c>
      <c r="H4180" t="s">
        <v>15418</v>
      </c>
      <c r="I4180" t="s">
        <v>20465</v>
      </c>
      <c r="M4180" t="s">
        <v>20466</v>
      </c>
      <c r="P4180" t="s">
        <v>3734</v>
      </c>
      <c r="Q4180" t="s">
        <v>20467</v>
      </c>
      <c r="Y4180" t="s">
        <v>20468</v>
      </c>
    </row>
    <row r="4181" spans="1:25" x14ac:dyDescent="0.25">
      <c r="A4181" t="str">
        <f>"1597819166"</f>
        <v>1597819166</v>
      </c>
      <c r="B4181" t="s">
        <v>746</v>
      </c>
      <c r="C4181" t="s">
        <v>20470</v>
      </c>
      <c r="D4181" t="s">
        <v>20469</v>
      </c>
      <c r="E4181">
        <v>424036</v>
      </c>
      <c r="F4181" t="s">
        <v>1</v>
      </c>
      <c r="G4181" t="s">
        <v>2</v>
      </c>
      <c r="H4181" t="s">
        <v>7812</v>
      </c>
      <c r="I4181" t="s">
        <v>266</v>
      </c>
      <c r="L4181" t="s">
        <v>267</v>
      </c>
      <c r="M4181" t="s">
        <v>268</v>
      </c>
      <c r="P4181" t="s">
        <v>27</v>
      </c>
      <c r="Q4181" t="s">
        <v>270</v>
      </c>
      <c r="R4181" t="s">
        <v>271</v>
      </c>
      <c r="S4181" t="s">
        <v>272</v>
      </c>
      <c r="T4181" t="s">
        <v>273</v>
      </c>
      <c r="V4181" t="s">
        <v>274</v>
      </c>
      <c r="Y4181" t="s">
        <v>7820</v>
      </c>
    </row>
    <row r="4182" spans="1:25" x14ac:dyDescent="0.25">
      <c r="A4182" t="str">
        <f>"1599016607"</f>
        <v>1599016607</v>
      </c>
      <c r="B4182" t="s">
        <v>371</v>
      </c>
      <c r="C4182" t="s">
        <v>372</v>
      </c>
      <c r="D4182" t="s">
        <v>20471</v>
      </c>
      <c r="E4182">
        <v>424004</v>
      </c>
      <c r="F4182" t="s">
        <v>1</v>
      </c>
      <c r="G4182" t="s">
        <v>2</v>
      </c>
      <c r="H4182" t="s">
        <v>351</v>
      </c>
      <c r="I4182" t="s">
        <v>20472</v>
      </c>
      <c r="J4182" t="s">
        <v>20473</v>
      </c>
      <c r="P4182" t="s">
        <v>330</v>
      </c>
      <c r="Y4182" t="s">
        <v>354</v>
      </c>
    </row>
    <row r="4183" spans="1:25" x14ac:dyDescent="0.25">
      <c r="A4183" t="str">
        <f>"1599508133"</f>
        <v>1599508133</v>
      </c>
      <c r="B4183" t="s">
        <v>96</v>
      </c>
      <c r="C4183" t="s">
        <v>20476</v>
      </c>
      <c r="D4183" t="s">
        <v>20474</v>
      </c>
      <c r="E4183">
        <v>424006</v>
      </c>
      <c r="F4183" t="s">
        <v>1</v>
      </c>
      <c r="G4183" t="s">
        <v>2</v>
      </c>
      <c r="H4183" t="s">
        <v>4587</v>
      </c>
      <c r="I4183" t="s">
        <v>20475</v>
      </c>
      <c r="P4183" t="s">
        <v>20477</v>
      </c>
      <c r="Y4183" t="s">
        <v>19422</v>
      </c>
    </row>
    <row r="4184" spans="1:25" x14ac:dyDescent="0.25">
      <c r="A4184" t="str">
        <f>"1599873457"</f>
        <v>1599873457</v>
      </c>
      <c r="B4184" t="s">
        <v>18</v>
      </c>
      <c r="C4184" t="s">
        <v>2593</v>
      </c>
      <c r="D4184" t="s">
        <v>20478</v>
      </c>
      <c r="E4184">
        <v>424007</v>
      </c>
      <c r="F4184" t="s">
        <v>1</v>
      </c>
      <c r="G4184" t="s">
        <v>2</v>
      </c>
      <c r="H4184" t="s">
        <v>17570</v>
      </c>
      <c r="I4184" t="s">
        <v>20479</v>
      </c>
      <c r="P4184" t="s">
        <v>3814</v>
      </c>
      <c r="Y4184" t="s">
        <v>17574</v>
      </c>
    </row>
    <row r="4185" spans="1:25" x14ac:dyDescent="0.25">
      <c r="A4185" t="str">
        <f>"1600567525"</f>
        <v>1600567525</v>
      </c>
      <c r="B4185" t="s">
        <v>930</v>
      </c>
      <c r="C4185" t="s">
        <v>20482</v>
      </c>
      <c r="D4185" t="s">
        <v>20480</v>
      </c>
      <c r="E4185">
        <v>424006</v>
      </c>
      <c r="F4185" t="s">
        <v>1</v>
      </c>
      <c r="G4185" t="s">
        <v>2</v>
      </c>
      <c r="H4185" t="s">
        <v>5479</v>
      </c>
      <c r="I4185" t="s">
        <v>20481</v>
      </c>
      <c r="P4185" t="s">
        <v>5483</v>
      </c>
      <c r="Y4185" t="s">
        <v>20483</v>
      </c>
    </row>
    <row r="4186" spans="1:25" x14ac:dyDescent="0.25">
      <c r="A4186" t="str">
        <f>"1600721001"</f>
        <v>1600721001</v>
      </c>
      <c r="B4186" t="s">
        <v>352</v>
      </c>
      <c r="C4186" t="s">
        <v>20487</v>
      </c>
      <c r="D4186" t="s">
        <v>20484</v>
      </c>
      <c r="F4186" t="s">
        <v>1</v>
      </c>
      <c r="G4186" t="s">
        <v>2</v>
      </c>
      <c r="H4186" t="s">
        <v>15700</v>
      </c>
      <c r="I4186" t="s">
        <v>20485</v>
      </c>
      <c r="J4186" t="s">
        <v>20486</v>
      </c>
      <c r="P4186" t="s">
        <v>27</v>
      </c>
      <c r="Y4186" t="s">
        <v>18394</v>
      </c>
    </row>
    <row r="4187" spans="1:25" x14ac:dyDescent="0.25">
      <c r="A4187" t="str">
        <f>"1600819380"</f>
        <v>1600819380</v>
      </c>
      <c r="B4187" t="s">
        <v>32</v>
      </c>
      <c r="C4187" t="s">
        <v>40</v>
      </c>
      <c r="D4187" t="s">
        <v>20488</v>
      </c>
      <c r="F4187" t="s">
        <v>1</v>
      </c>
      <c r="G4187" t="s">
        <v>2</v>
      </c>
      <c r="H4187" t="s">
        <v>2745</v>
      </c>
      <c r="I4187" t="s">
        <v>20489</v>
      </c>
      <c r="P4187" t="s">
        <v>20490</v>
      </c>
      <c r="Y4187" t="s">
        <v>2751</v>
      </c>
    </row>
    <row r="4188" spans="1:25" x14ac:dyDescent="0.25">
      <c r="A4188" t="str">
        <f>"1600988310"</f>
        <v>1600988310</v>
      </c>
      <c r="B4188" t="s">
        <v>379</v>
      </c>
      <c r="C4188" t="s">
        <v>766</v>
      </c>
      <c r="D4188" t="s">
        <v>20491</v>
      </c>
      <c r="E4188">
        <v>424002</v>
      </c>
      <c r="F4188" t="s">
        <v>1</v>
      </c>
      <c r="G4188" t="s">
        <v>2</v>
      </c>
      <c r="H4188" t="s">
        <v>915</v>
      </c>
      <c r="J4188" t="s">
        <v>20492</v>
      </c>
      <c r="L4188" t="s">
        <v>20493</v>
      </c>
      <c r="M4188" t="s">
        <v>20494</v>
      </c>
      <c r="P4188" t="s">
        <v>2050</v>
      </c>
      <c r="Q4188" t="s">
        <v>20495</v>
      </c>
      <c r="Y4188" t="s">
        <v>917</v>
      </c>
    </row>
    <row r="4189" spans="1:25" x14ac:dyDescent="0.25">
      <c r="A4189" t="str">
        <f>"1601999618"</f>
        <v>1601999618</v>
      </c>
      <c r="B4189" t="s">
        <v>110</v>
      </c>
      <c r="C4189" t="s">
        <v>20499</v>
      </c>
      <c r="D4189" t="s">
        <v>16630</v>
      </c>
      <c r="E4189">
        <v>424000</v>
      </c>
      <c r="F4189" t="s">
        <v>1</v>
      </c>
      <c r="G4189" t="s">
        <v>2</v>
      </c>
      <c r="H4189" t="s">
        <v>1531</v>
      </c>
      <c r="I4189" t="s">
        <v>20496</v>
      </c>
      <c r="J4189" t="s">
        <v>20497</v>
      </c>
      <c r="L4189" t="s">
        <v>16633</v>
      </c>
      <c r="M4189" t="s">
        <v>20498</v>
      </c>
      <c r="P4189" t="s">
        <v>20500</v>
      </c>
      <c r="Q4189" t="s">
        <v>20501</v>
      </c>
      <c r="Y4189" t="s">
        <v>20502</v>
      </c>
    </row>
    <row r="4190" spans="1:25" x14ac:dyDescent="0.25">
      <c r="A4190" t="str">
        <f>"1602628041"</f>
        <v>1602628041</v>
      </c>
      <c r="B4190" t="s">
        <v>738</v>
      </c>
      <c r="C4190" t="s">
        <v>3363</v>
      </c>
      <c r="D4190" t="s">
        <v>20503</v>
      </c>
      <c r="E4190">
        <v>424038</v>
      </c>
      <c r="F4190" t="s">
        <v>1</v>
      </c>
      <c r="G4190" t="s">
        <v>2</v>
      </c>
      <c r="H4190" t="s">
        <v>6550</v>
      </c>
      <c r="I4190" t="s">
        <v>20504</v>
      </c>
      <c r="L4190" t="s">
        <v>20505</v>
      </c>
      <c r="M4190" t="s">
        <v>20506</v>
      </c>
      <c r="P4190" t="s">
        <v>410</v>
      </c>
      <c r="R4190" t="s">
        <v>20507</v>
      </c>
      <c r="S4190" t="s">
        <v>20508</v>
      </c>
      <c r="T4190" t="s">
        <v>20509</v>
      </c>
      <c r="Y4190" t="s">
        <v>20510</v>
      </c>
    </row>
    <row r="4191" spans="1:25" x14ac:dyDescent="0.25">
      <c r="A4191" t="str">
        <f>"1603316145"</f>
        <v>1603316145</v>
      </c>
      <c r="B4191" t="s">
        <v>224</v>
      </c>
      <c r="C4191" t="s">
        <v>225</v>
      </c>
      <c r="D4191" t="s">
        <v>225</v>
      </c>
      <c r="E4191">
        <v>424008</v>
      </c>
      <c r="F4191" t="s">
        <v>1</v>
      </c>
      <c r="G4191" t="s">
        <v>2</v>
      </c>
      <c r="H4191" t="s">
        <v>10128</v>
      </c>
      <c r="I4191" t="s">
        <v>20511</v>
      </c>
      <c r="J4191" t="s">
        <v>20512</v>
      </c>
      <c r="P4191" t="s">
        <v>280</v>
      </c>
      <c r="Y4191" t="s">
        <v>20513</v>
      </c>
    </row>
    <row r="4192" spans="1:25" x14ac:dyDescent="0.25">
      <c r="A4192" t="str">
        <f>"1603795059"</f>
        <v>1603795059</v>
      </c>
      <c r="B4192" t="s">
        <v>290</v>
      </c>
      <c r="C4192" t="s">
        <v>20517</v>
      </c>
      <c r="D4192" t="s">
        <v>20514</v>
      </c>
      <c r="E4192">
        <v>424006</v>
      </c>
      <c r="F4192" t="s">
        <v>1</v>
      </c>
      <c r="G4192" t="s">
        <v>2</v>
      </c>
      <c r="H4192" t="s">
        <v>492</v>
      </c>
      <c r="I4192" t="s">
        <v>20515</v>
      </c>
      <c r="M4192" t="s">
        <v>20516</v>
      </c>
      <c r="P4192" t="s">
        <v>2513</v>
      </c>
      <c r="V4192" t="s">
        <v>20518</v>
      </c>
      <c r="Y4192" t="s">
        <v>20519</v>
      </c>
    </row>
    <row r="4193" spans="1:25" x14ac:dyDescent="0.25">
      <c r="A4193" t="str">
        <f>"1605313249"</f>
        <v>1605313249</v>
      </c>
      <c r="B4193" t="s">
        <v>176</v>
      </c>
      <c r="C4193" t="s">
        <v>566</v>
      </c>
      <c r="D4193" t="s">
        <v>15812</v>
      </c>
      <c r="E4193">
        <v>424007</v>
      </c>
      <c r="F4193" t="s">
        <v>1</v>
      </c>
      <c r="G4193" t="s">
        <v>2</v>
      </c>
      <c r="H4193" t="s">
        <v>20520</v>
      </c>
      <c r="I4193" t="s">
        <v>20521</v>
      </c>
      <c r="L4193" t="s">
        <v>20522</v>
      </c>
      <c r="M4193" t="s">
        <v>20523</v>
      </c>
      <c r="P4193" t="s">
        <v>330</v>
      </c>
      <c r="Q4193" t="s">
        <v>20524</v>
      </c>
      <c r="V4193" t="s">
        <v>20525</v>
      </c>
      <c r="Y4193" t="s">
        <v>20526</v>
      </c>
    </row>
    <row r="4194" spans="1:25" x14ac:dyDescent="0.25">
      <c r="A4194" t="str">
        <f>"1607379431"</f>
        <v>1607379431</v>
      </c>
      <c r="B4194" t="s">
        <v>482</v>
      </c>
      <c r="C4194" t="s">
        <v>4057</v>
      </c>
      <c r="D4194" t="s">
        <v>20527</v>
      </c>
      <c r="E4194">
        <v>424006</v>
      </c>
      <c r="F4194" t="s">
        <v>1</v>
      </c>
      <c r="G4194" t="s">
        <v>2</v>
      </c>
      <c r="H4194" t="s">
        <v>478</v>
      </c>
      <c r="I4194" t="s">
        <v>20528</v>
      </c>
      <c r="P4194" t="s">
        <v>2951</v>
      </c>
      <c r="Y4194" t="s">
        <v>926</v>
      </c>
    </row>
    <row r="4195" spans="1:25" x14ac:dyDescent="0.25">
      <c r="A4195" t="str">
        <f>"1607586719"</f>
        <v>1607586719</v>
      </c>
      <c r="B4195" t="s">
        <v>1046</v>
      </c>
      <c r="C4195" t="s">
        <v>20384</v>
      </c>
      <c r="D4195" t="s">
        <v>20529</v>
      </c>
      <c r="E4195">
        <v>424031</v>
      </c>
      <c r="F4195" t="s">
        <v>1</v>
      </c>
      <c r="G4195" t="s">
        <v>2</v>
      </c>
      <c r="H4195" t="s">
        <v>7118</v>
      </c>
      <c r="I4195" t="s">
        <v>20530</v>
      </c>
      <c r="J4195" t="s">
        <v>20531</v>
      </c>
      <c r="L4195" t="s">
        <v>20532</v>
      </c>
      <c r="P4195" t="s">
        <v>14991</v>
      </c>
      <c r="Q4195" t="s">
        <v>20533</v>
      </c>
      <c r="V4195" t="s">
        <v>20534</v>
      </c>
      <c r="Y4195" t="s">
        <v>7120</v>
      </c>
    </row>
    <row r="4196" spans="1:25" x14ac:dyDescent="0.25">
      <c r="A4196" t="str">
        <f>"1607938204"</f>
        <v>1607938204</v>
      </c>
      <c r="B4196" t="s">
        <v>574</v>
      </c>
      <c r="C4196" t="s">
        <v>9802</v>
      </c>
      <c r="D4196" t="s">
        <v>9802</v>
      </c>
      <c r="E4196">
        <v>424038</v>
      </c>
      <c r="F4196" t="s">
        <v>1</v>
      </c>
      <c r="G4196" t="s">
        <v>2</v>
      </c>
      <c r="H4196" t="s">
        <v>16183</v>
      </c>
      <c r="J4196" t="s">
        <v>20535</v>
      </c>
      <c r="P4196" t="s">
        <v>941</v>
      </c>
      <c r="Q4196" t="s">
        <v>20536</v>
      </c>
      <c r="Y4196" t="s">
        <v>20537</v>
      </c>
    </row>
    <row r="4197" spans="1:25" x14ac:dyDescent="0.25">
      <c r="A4197" t="str">
        <f>"1608426945"</f>
        <v>1608426945</v>
      </c>
      <c r="B4197" t="s">
        <v>348</v>
      </c>
      <c r="C4197" t="s">
        <v>4366</v>
      </c>
      <c r="D4197" t="s">
        <v>20538</v>
      </c>
      <c r="E4197">
        <v>424033</v>
      </c>
      <c r="F4197" t="s">
        <v>1</v>
      </c>
      <c r="G4197" t="s">
        <v>2</v>
      </c>
      <c r="H4197" t="s">
        <v>5535</v>
      </c>
      <c r="P4197" t="s">
        <v>216</v>
      </c>
      <c r="Y4197" t="s">
        <v>5537</v>
      </c>
    </row>
    <row r="4198" spans="1:25" x14ac:dyDescent="0.25">
      <c r="A4198" t="str">
        <f>"1608433861"</f>
        <v>1608433861</v>
      </c>
      <c r="B4198" t="s">
        <v>96</v>
      </c>
      <c r="C4198" t="s">
        <v>507</v>
      </c>
      <c r="D4198" t="s">
        <v>20539</v>
      </c>
      <c r="E4198">
        <v>424038</v>
      </c>
      <c r="F4198" t="s">
        <v>1</v>
      </c>
      <c r="G4198" t="s">
        <v>2</v>
      </c>
      <c r="H4198" t="s">
        <v>7597</v>
      </c>
      <c r="J4198" t="s">
        <v>20540</v>
      </c>
      <c r="L4198" t="s">
        <v>20541</v>
      </c>
      <c r="M4198" t="s">
        <v>20542</v>
      </c>
      <c r="P4198" t="s">
        <v>1642</v>
      </c>
      <c r="Q4198" t="s">
        <v>20543</v>
      </c>
      <c r="R4198" t="s">
        <v>20544</v>
      </c>
      <c r="S4198" t="s">
        <v>20545</v>
      </c>
      <c r="T4198" t="s">
        <v>20546</v>
      </c>
      <c r="V4198" t="s">
        <v>20547</v>
      </c>
      <c r="Y4198" t="s">
        <v>20548</v>
      </c>
    </row>
    <row r="4199" spans="1:25" x14ac:dyDescent="0.25">
      <c r="A4199" t="str">
        <f>"1608569066"</f>
        <v>1608569066</v>
      </c>
      <c r="B4199" t="s">
        <v>151</v>
      </c>
      <c r="C4199" t="s">
        <v>151</v>
      </c>
      <c r="D4199" t="s">
        <v>20549</v>
      </c>
      <c r="E4199">
        <v>424002</v>
      </c>
      <c r="F4199" t="s">
        <v>1</v>
      </c>
      <c r="G4199" t="s">
        <v>2</v>
      </c>
      <c r="H4199" t="s">
        <v>662</v>
      </c>
      <c r="J4199" t="s">
        <v>20550</v>
      </c>
      <c r="L4199" t="s">
        <v>20551</v>
      </c>
      <c r="M4199" t="s">
        <v>20552</v>
      </c>
      <c r="P4199" t="s">
        <v>27</v>
      </c>
      <c r="Y4199" t="s">
        <v>664</v>
      </c>
    </row>
    <row r="4200" spans="1:25" x14ac:dyDescent="0.25">
      <c r="A4200" t="str">
        <f>"1608983154"</f>
        <v>1608983154</v>
      </c>
      <c r="B4200" t="s">
        <v>1046</v>
      </c>
      <c r="C4200" t="s">
        <v>3808</v>
      </c>
      <c r="D4200" t="s">
        <v>20553</v>
      </c>
      <c r="E4200">
        <v>424038</v>
      </c>
      <c r="F4200" t="s">
        <v>1</v>
      </c>
      <c r="G4200" t="s">
        <v>2</v>
      </c>
      <c r="H4200" t="s">
        <v>2855</v>
      </c>
      <c r="I4200" t="s">
        <v>20554</v>
      </c>
      <c r="P4200" t="s">
        <v>20555</v>
      </c>
      <c r="Y4200" t="s">
        <v>20556</v>
      </c>
    </row>
    <row r="4201" spans="1:25" x14ac:dyDescent="0.25">
      <c r="A4201" t="str">
        <f>"1609060738"</f>
        <v>1609060738</v>
      </c>
      <c r="B4201" t="s">
        <v>1053</v>
      </c>
      <c r="C4201" t="s">
        <v>1927</v>
      </c>
      <c r="D4201" t="s">
        <v>20557</v>
      </c>
      <c r="E4201">
        <v>424003</v>
      </c>
      <c r="F4201" t="s">
        <v>1</v>
      </c>
      <c r="G4201" t="s">
        <v>2</v>
      </c>
      <c r="H4201" t="s">
        <v>5773</v>
      </c>
      <c r="J4201" t="s">
        <v>20558</v>
      </c>
      <c r="P4201" t="s">
        <v>27</v>
      </c>
      <c r="Y4201" t="s">
        <v>5775</v>
      </c>
    </row>
    <row r="4202" spans="1:25" x14ac:dyDescent="0.25">
      <c r="A4202" t="str">
        <f>"1609498848"</f>
        <v>1609498848</v>
      </c>
      <c r="B4202" t="s">
        <v>284</v>
      </c>
      <c r="C4202" t="s">
        <v>2462</v>
      </c>
      <c r="D4202" t="s">
        <v>8957</v>
      </c>
      <c r="E4202">
        <v>424004</v>
      </c>
      <c r="F4202" t="s">
        <v>1</v>
      </c>
      <c r="G4202" t="s">
        <v>2</v>
      </c>
      <c r="H4202" t="s">
        <v>7224</v>
      </c>
      <c r="I4202" t="s">
        <v>20559</v>
      </c>
      <c r="P4202" t="s">
        <v>330</v>
      </c>
      <c r="Y4202" t="s">
        <v>11992</v>
      </c>
    </row>
    <row r="4203" spans="1:25" x14ac:dyDescent="0.25">
      <c r="A4203" t="str">
        <f>"1609693755"</f>
        <v>1609693755</v>
      </c>
      <c r="B4203" t="s">
        <v>591</v>
      </c>
      <c r="C4203" t="s">
        <v>1904</v>
      </c>
      <c r="D4203" t="s">
        <v>20560</v>
      </c>
      <c r="E4203">
        <v>424006</v>
      </c>
      <c r="F4203" t="s">
        <v>1</v>
      </c>
      <c r="G4203" t="s">
        <v>2</v>
      </c>
      <c r="H4203" t="s">
        <v>2775</v>
      </c>
      <c r="I4203" t="s">
        <v>20561</v>
      </c>
      <c r="P4203" t="s">
        <v>9750</v>
      </c>
      <c r="Y4203" t="s">
        <v>2779</v>
      </c>
    </row>
    <row r="4204" spans="1:25" x14ac:dyDescent="0.25">
      <c r="A4204" t="str">
        <f>"1610588713"</f>
        <v>1610588713</v>
      </c>
      <c r="B4204" t="s">
        <v>348</v>
      </c>
      <c r="C4204" t="s">
        <v>4366</v>
      </c>
      <c r="D4204" t="s">
        <v>20562</v>
      </c>
      <c r="E4204">
        <v>424002</v>
      </c>
      <c r="F4204" t="s">
        <v>1</v>
      </c>
      <c r="G4204" t="s">
        <v>2</v>
      </c>
      <c r="H4204" t="s">
        <v>8832</v>
      </c>
      <c r="I4204" t="s">
        <v>20563</v>
      </c>
      <c r="L4204" t="s">
        <v>20564</v>
      </c>
      <c r="M4204" t="s">
        <v>20565</v>
      </c>
      <c r="P4204" t="s">
        <v>16441</v>
      </c>
      <c r="Y4204" t="s">
        <v>20566</v>
      </c>
    </row>
    <row r="4205" spans="1:25" x14ac:dyDescent="0.25">
      <c r="A4205" t="str">
        <f>"1610888993"</f>
        <v>1610888993</v>
      </c>
      <c r="B4205" t="s">
        <v>1025</v>
      </c>
      <c r="C4205" t="s">
        <v>1026</v>
      </c>
      <c r="D4205" t="s">
        <v>20567</v>
      </c>
      <c r="E4205">
        <v>424006</v>
      </c>
      <c r="F4205" t="s">
        <v>1</v>
      </c>
      <c r="G4205" t="s">
        <v>2</v>
      </c>
      <c r="H4205" t="s">
        <v>1436</v>
      </c>
      <c r="J4205" t="s">
        <v>20568</v>
      </c>
      <c r="P4205" t="s">
        <v>133</v>
      </c>
      <c r="Y4205" t="s">
        <v>1443</v>
      </c>
    </row>
    <row r="4206" spans="1:25" x14ac:dyDescent="0.25">
      <c r="A4206" t="str">
        <f>"1611813058"</f>
        <v>1611813058</v>
      </c>
      <c r="B4206" t="s">
        <v>32</v>
      </c>
      <c r="C4206" t="s">
        <v>9784</v>
      </c>
      <c r="D4206" t="s">
        <v>20569</v>
      </c>
      <c r="E4206">
        <v>424031</v>
      </c>
      <c r="F4206" t="s">
        <v>1</v>
      </c>
      <c r="G4206" t="s">
        <v>2</v>
      </c>
      <c r="H4206" t="s">
        <v>7470</v>
      </c>
      <c r="J4206" t="s">
        <v>20570</v>
      </c>
      <c r="P4206" t="s">
        <v>1027</v>
      </c>
      <c r="Y4206" t="s">
        <v>20571</v>
      </c>
    </row>
    <row r="4207" spans="1:25" x14ac:dyDescent="0.25">
      <c r="A4207" t="str">
        <f>"1611931085"</f>
        <v>1611931085</v>
      </c>
      <c r="B4207" t="s">
        <v>930</v>
      </c>
      <c r="C4207" t="s">
        <v>6070</v>
      </c>
      <c r="D4207" t="s">
        <v>20572</v>
      </c>
      <c r="E4207">
        <v>424006</v>
      </c>
      <c r="F4207" t="s">
        <v>1</v>
      </c>
      <c r="G4207" t="s">
        <v>2</v>
      </c>
      <c r="H4207" t="s">
        <v>2012</v>
      </c>
      <c r="I4207" t="s">
        <v>20573</v>
      </c>
      <c r="P4207" t="s">
        <v>330</v>
      </c>
      <c r="Y4207" t="s">
        <v>2016</v>
      </c>
    </row>
    <row r="4208" spans="1:25" x14ac:dyDescent="0.25">
      <c r="A4208" t="str">
        <f>"1612794651"</f>
        <v>1612794651</v>
      </c>
      <c r="B4208" t="s">
        <v>123</v>
      </c>
      <c r="C4208" t="s">
        <v>424</v>
      </c>
      <c r="D4208" t="s">
        <v>20574</v>
      </c>
      <c r="E4208">
        <v>424032</v>
      </c>
      <c r="F4208" t="s">
        <v>1</v>
      </c>
      <c r="G4208" t="s">
        <v>2</v>
      </c>
      <c r="H4208" t="s">
        <v>11716</v>
      </c>
      <c r="I4208" t="s">
        <v>20575</v>
      </c>
      <c r="J4208" t="s">
        <v>20576</v>
      </c>
      <c r="P4208" t="s">
        <v>330</v>
      </c>
      <c r="Y4208" t="s">
        <v>11718</v>
      </c>
    </row>
    <row r="4209" spans="1:25" x14ac:dyDescent="0.25">
      <c r="A4209" t="str">
        <f>"1614190933"</f>
        <v>1614190933</v>
      </c>
      <c r="B4209" t="s">
        <v>32</v>
      </c>
      <c r="C4209" t="s">
        <v>777</v>
      </c>
      <c r="D4209" t="s">
        <v>20577</v>
      </c>
      <c r="E4209">
        <v>424020</v>
      </c>
      <c r="F4209" t="s">
        <v>1</v>
      </c>
      <c r="G4209" t="s">
        <v>2</v>
      </c>
      <c r="H4209" t="s">
        <v>2766</v>
      </c>
      <c r="P4209" t="s">
        <v>1760</v>
      </c>
      <c r="Y4209" t="s">
        <v>20578</v>
      </c>
    </row>
    <row r="4210" spans="1:25" x14ac:dyDescent="0.25">
      <c r="A4210" t="str">
        <f>"1614795994"</f>
        <v>1614795994</v>
      </c>
      <c r="B4210" t="s">
        <v>1152</v>
      </c>
      <c r="C4210" t="s">
        <v>2124</v>
      </c>
      <c r="D4210" t="s">
        <v>1385</v>
      </c>
      <c r="E4210">
        <v>424002</v>
      </c>
      <c r="F4210" t="s">
        <v>1</v>
      </c>
      <c r="G4210" t="s">
        <v>2</v>
      </c>
      <c r="H4210" t="s">
        <v>3421</v>
      </c>
      <c r="J4210" t="s">
        <v>20579</v>
      </c>
      <c r="P4210" t="s">
        <v>20580</v>
      </c>
      <c r="Y4210" t="s">
        <v>20581</v>
      </c>
    </row>
    <row r="4211" spans="1:25" x14ac:dyDescent="0.25">
      <c r="A4211" t="str">
        <f>"1615395798"</f>
        <v>1615395798</v>
      </c>
      <c r="B4211" t="s">
        <v>96</v>
      </c>
      <c r="C4211" t="s">
        <v>20192</v>
      </c>
      <c r="D4211" t="s">
        <v>20582</v>
      </c>
      <c r="E4211">
        <v>424020</v>
      </c>
      <c r="F4211" t="s">
        <v>1</v>
      </c>
      <c r="G4211" t="s">
        <v>2</v>
      </c>
      <c r="H4211" t="s">
        <v>802</v>
      </c>
      <c r="I4211" t="s">
        <v>20583</v>
      </c>
      <c r="P4211" t="s">
        <v>20584</v>
      </c>
      <c r="Y4211" t="s">
        <v>20585</v>
      </c>
    </row>
    <row r="4212" spans="1:25" x14ac:dyDescent="0.25">
      <c r="A4212" t="str">
        <f>"1615517780"</f>
        <v>1615517780</v>
      </c>
      <c r="B4212" t="s">
        <v>88</v>
      </c>
      <c r="C4212" t="s">
        <v>20588</v>
      </c>
      <c r="D4212" t="s">
        <v>20586</v>
      </c>
      <c r="E4212">
        <v>424039</v>
      </c>
      <c r="F4212" t="s">
        <v>1</v>
      </c>
      <c r="G4212" t="s">
        <v>2</v>
      </c>
      <c r="H4212" t="s">
        <v>17375</v>
      </c>
      <c r="I4212" t="s">
        <v>20587</v>
      </c>
      <c r="P4212" t="s">
        <v>941</v>
      </c>
      <c r="Y4212" t="s">
        <v>20589</v>
      </c>
    </row>
    <row r="4213" spans="1:25" x14ac:dyDescent="0.25">
      <c r="A4213" t="str">
        <f>"1616864943"</f>
        <v>1616864943</v>
      </c>
      <c r="B4213" t="s">
        <v>18</v>
      </c>
      <c r="C4213" t="s">
        <v>20593</v>
      </c>
      <c r="D4213" t="s">
        <v>20590</v>
      </c>
      <c r="F4213" t="s">
        <v>1</v>
      </c>
      <c r="G4213" t="s">
        <v>2</v>
      </c>
      <c r="H4213" t="s">
        <v>757</v>
      </c>
      <c r="I4213" t="s">
        <v>20591</v>
      </c>
      <c r="J4213" t="s">
        <v>20592</v>
      </c>
      <c r="P4213" t="s">
        <v>2710</v>
      </c>
      <c r="Y4213" t="s">
        <v>760</v>
      </c>
    </row>
    <row r="4214" spans="1:25" x14ac:dyDescent="0.25">
      <c r="A4214" t="str">
        <f>"1617101351"</f>
        <v>1617101351</v>
      </c>
      <c r="B4214" t="s">
        <v>1611</v>
      </c>
      <c r="C4214" t="s">
        <v>6872</v>
      </c>
      <c r="D4214" t="s">
        <v>20594</v>
      </c>
      <c r="E4214">
        <v>424007</v>
      </c>
      <c r="F4214" t="s">
        <v>1</v>
      </c>
      <c r="G4214" t="s">
        <v>2</v>
      </c>
      <c r="H4214" t="s">
        <v>20595</v>
      </c>
      <c r="I4214" t="s">
        <v>6870</v>
      </c>
      <c r="M4214" t="s">
        <v>20596</v>
      </c>
      <c r="P4214" t="s">
        <v>20113</v>
      </c>
      <c r="Y4214" t="s">
        <v>20597</v>
      </c>
    </row>
    <row r="4215" spans="1:25" x14ac:dyDescent="0.25">
      <c r="A4215" t="str">
        <f>"1617329568"</f>
        <v>1617329568</v>
      </c>
      <c r="B4215" t="s">
        <v>1078</v>
      </c>
      <c r="C4215" t="s">
        <v>20600</v>
      </c>
      <c r="D4215" t="s">
        <v>20598</v>
      </c>
      <c r="E4215">
        <v>424004</v>
      </c>
      <c r="F4215" t="s">
        <v>1</v>
      </c>
      <c r="G4215" t="s">
        <v>2</v>
      </c>
      <c r="H4215" t="s">
        <v>229</v>
      </c>
      <c r="I4215" t="s">
        <v>20599</v>
      </c>
      <c r="P4215" t="s">
        <v>1433</v>
      </c>
      <c r="Y4215" t="s">
        <v>237</v>
      </c>
    </row>
    <row r="4216" spans="1:25" x14ac:dyDescent="0.25">
      <c r="A4216" t="str">
        <f>"1617714265"</f>
        <v>1617714265</v>
      </c>
      <c r="B4216" t="s">
        <v>553</v>
      </c>
      <c r="C4216" t="s">
        <v>20604</v>
      </c>
      <c r="D4216" t="s">
        <v>20601</v>
      </c>
      <c r="E4216">
        <v>424033</v>
      </c>
      <c r="F4216" t="s">
        <v>1</v>
      </c>
      <c r="G4216" t="s">
        <v>2</v>
      </c>
      <c r="H4216" t="s">
        <v>6875</v>
      </c>
      <c r="I4216" t="s">
        <v>20602</v>
      </c>
      <c r="J4216" t="s">
        <v>20603</v>
      </c>
      <c r="Q4216" t="s">
        <v>20605</v>
      </c>
      <c r="Y4216" t="s">
        <v>6881</v>
      </c>
    </row>
    <row r="4217" spans="1:25" x14ac:dyDescent="0.25">
      <c r="A4217" t="str">
        <f>"1618317435"</f>
        <v>1618317435</v>
      </c>
      <c r="B4217" t="s">
        <v>930</v>
      </c>
      <c r="C4217" t="s">
        <v>20607</v>
      </c>
      <c r="D4217" t="s">
        <v>20606</v>
      </c>
      <c r="E4217">
        <v>424007</v>
      </c>
      <c r="F4217" t="s">
        <v>1</v>
      </c>
      <c r="G4217" t="s">
        <v>2</v>
      </c>
      <c r="H4217" t="s">
        <v>17849</v>
      </c>
      <c r="I4217" t="s">
        <v>17850</v>
      </c>
      <c r="P4217" t="s">
        <v>3814</v>
      </c>
      <c r="Y4217" t="s">
        <v>20608</v>
      </c>
    </row>
    <row r="4218" spans="1:25" x14ac:dyDescent="0.25">
      <c r="A4218" t="str">
        <f>"1619693220"</f>
        <v>1619693220</v>
      </c>
      <c r="B4218" t="s">
        <v>930</v>
      </c>
      <c r="C4218" t="s">
        <v>10263</v>
      </c>
      <c r="D4218" t="s">
        <v>20609</v>
      </c>
      <c r="E4218">
        <v>424007</v>
      </c>
      <c r="F4218" t="s">
        <v>1</v>
      </c>
      <c r="G4218" t="s">
        <v>2</v>
      </c>
      <c r="H4218" t="s">
        <v>5628</v>
      </c>
      <c r="I4218" t="s">
        <v>20610</v>
      </c>
      <c r="P4218" t="s">
        <v>2457</v>
      </c>
      <c r="V4218" t="s">
        <v>20611</v>
      </c>
      <c r="Y4218" t="s">
        <v>20612</v>
      </c>
    </row>
    <row r="4219" spans="1:25" x14ac:dyDescent="0.25">
      <c r="A4219" t="str">
        <f>"1620519071"</f>
        <v>1620519071</v>
      </c>
      <c r="B4219" t="s">
        <v>430</v>
      </c>
      <c r="C4219" t="s">
        <v>940</v>
      </c>
      <c r="D4219" t="s">
        <v>20613</v>
      </c>
      <c r="E4219">
        <v>424000</v>
      </c>
      <c r="F4219" t="s">
        <v>1</v>
      </c>
      <c r="G4219" t="s">
        <v>2</v>
      </c>
      <c r="H4219" t="s">
        <v>1473</v>
      </c>
      <c r="J4219" t="s">
        <v>20614</v>
      </c>
      <c r="P4219" t="s">
        <v>19360</v>
      </c>
      <c r="Y4219" t="s">
        <v>4067</v>
      </c>
    </row>
    <row r="4220" spans="1:25" x14ac:dyDescent="0.25">
      <c r="A4220" t="str">
        <f>"1622597554"</f>
        <v>1622597554</v>
      </c>
      <c r="B4220" t="s">
        <v>1573</v>
      </c>
      <c r="C4220" t="s">
        <v>1753</v>
      </c>
      <c r="D4220" t="s">
        <v>19027</v>
      </c>
      <c r="E4220">
        <v>424006</v>
      </c>
      <c r="F4220" t="s">
        <v>1</v>
      </c>
      <c r="G4220" t="s">
        <v>2</v>
      </c>
      <c r="H4220" t="s">
        <v>2012</v>
      </c>
      <c r="J4220" t="s">
        <v>20615</v>
      </c>
      <c r="L4220" t="s">
        <v>20616</v>
      </c>
      <c r="P4220" t="s">
        <v>390</v>
      </c>
      <c r="Y4220" t="s">
        <v>2016</v>
      </c>
    </row>
    <row r="4221" spans="1:25" x14ac:dyDescent="0.25">
      <c r="A4221" t="str">
        <f>"1622632800"</f>
        <v>1622632800</v>
      </c>
      <c r="B4221" t="s">
        <v>96</v>
      </c>
      <c r="C4221" t="s">
        <v>4268</v>
      </c>
      <c r="D4221" t="s">
        <v>20617</v>
      </c>
      <c r="E4221">
        <v>424038</v>
      </c>
      <c r="F4221" t="s">
        <v>1</v>
      </c>
      <c r="G4221" t="s">
        <v>2</v>
      </c>
      <c r="H4221" t="s">
        <v>7597</v>
      </c>
      <c r="I4221" t="s">
        <v>20618</v>
      </c>
      <c r="J4221" t="s">
        <v>20619</v>
      </c>
      <c r="L4221" t="s">
        <v>20620</v>
      </c>
      <c r="M4221" t="s">
        <v>20621</v>
      </c>
      <c r="P4221" t="s">
        <v>1642</v>
      </c>
      <c r="Q4221" t="s">
        <v>20622</v>
      </c>
      <c r="T4221" t="s">
        <v>20623</v>
      </c>
      <c r="U4221" t="s">
        <v>20624</v>
      </c>
      <c r="V4221" t="s">
        <v>20625</v>
      </c>
      <c r="Y4221" t="s">
        <v>20626</v>
      </c>
    </row>
    <row r="4222" spans="1:25" x14ac:dyDescent="0.25">
      <c r="A4222" t="str">
        <f>"1622791647"</f>
        <v>1622791647</v>
      </c>
      <c r="B4222" t="s">
        <v>32</v>
      </c>
      <c r="C4222" t="s">
        <v>9784</v>
      </c>
      <c r="D4222" t="s">
        <v>20627</v>
      </c>
      <c r="E4222">
        <v>424000</v>
      </c>
      <c r="F4222" t="s">
        <v>1</v>
      </c>
      <c r="G4222" t="s">
        <v>2</v>
      </c>
      <c r="H4222" t="s">
        <v>20628</v>
      </c>
      <c r="J4222" t="s">
        <v>20629</v>
      </c>
      <c r="P4222" t="s">
        <v>10416</v>
      </c>
      <c r="Y4222" t="s">
        <v>20630</v>
      </c>
    </row>
    <row r="4223" spans="1:25" x14ac:dyDescent="0.25">
      <c r="A4223" t="str">
        <f>"1624667169"</f>
        <v>1624667169</v>
      </c>
      <c r="B4223" t="s">
        <v>123</v>
      </c>
      <c r="C4223" t="s">
        <v>196</v>
      </c>
      <c r="D4223" t="s">
        <v>20631</v>
      </c>
      <c r="E4223">
        <v>424002</v>
      </c>
      <c r="F4223" t="s">
        <v>1</v>
      </c>
      <c r="G4223" t="s">
        <v>2</v>
      </c>
      <c r="H4223" t="s">
        <v>6679</v>
      </c>
      <c r="I4223" t="s">
        <v>20632</v>
      </c>
      <c r="J4223" t="s">
        <v>20633</v>
      </c>
      <c r="P4223" t="s">
        <v>20634</v>
      </c>
      <c r="Y4223" t="s">
        <v>20635</v>
      </c>
    </row>
    <row r="4224" spans="1:25" x14ac:dyDescent="0.25">
      <c r="A4224" t="str">
        <f>"1624953620"</f>
        <v>1624953620</v>
      </c>
      <c r="B4224" t="s">
        <v>3908</v>
      </c>
      <c r="C4224" t="s">
        <v>10425</v>
      </c>
      <c r="D4224" t="s">
        <v>20636</v>
      </c>
      <c r="E4224">
        <v>424032</v>
      </c>
      <c r="F4224" t="s">
        <v>1</v>
      </c>
      <c r="G4224" t="s">
        <v>2</v>
      </c>
      <c r="H4224" t="s">
        <v>20637</v>
      </c>
      <c r="I4224" t="s">
        <v>20638</v>
      </c>
      <c r="K4224" t="s">
        <v>20639</v>
      </c>
      <c r="L4224" t="s">
        <v>20640</v>
      </c>
      <c r="M4224" t="s">
        <v>20641</v>
      </c>
      <c r="P4224" t="s">
        <v>20642</v>
      </c>
      <c r="Y4224" t="s">
        <v>20643</v>
      </c>
    </row>
    <row r="4225" spans="1:25" x14ac:dyDescent="0.25">
      <c r="A4225" t="str">
        <f>"1626040220"</f>
        <v>1626040220</v>
      </c>
      <c r="B4225" t="s">
        <v>797</v>
      </c>
      <c r="C4225" t="s">
        <v>5123</v>
      </c>
      <c r="D4225" t="s">
        <v>20644</v>
      </c>
      <c r="E4225">
        <v>424000</v>
      </c>
      <c r="F4225" t="s">
        <v>1</v>
      </c>
      <c r="G4225" t="s">
        <v>2</v>
      </c>
      <c r="H4225" t="s">
        <v>1531</v>
      </c>
      <c r="J4225" t="s">
        <v>20645</v>
      </c>
      <c r="P4225" t="s">
        <v>941</v>
      </c>
      <c r="Y4225" t="s">
        <v>20646</v>
      </c>
    </row>
    <row r="4226" spans="1:25" x14ac:dyDescent="0.25">
      <c r="A4226" t="str">
        <f>"1626061208"</f>
        <v>1626061208</v>
      </c>
      <c r="B4226" t="s">
        <v>32</v>
      </c>
      <c r="C4226" t="s">
        <v>40</v>
      </c>
      <c r="D4226" t="s">
        <v>20647</v>
      </c>
      <c r="E4226">
        <v>424033</v>
      </c>
      <c r="F4226" t="s">
        <v>1</v>
      </c>
      <c r="G4226" t="s">
        <v>2</v>
      </c>
      <c r="H4226" t="s">
        <v>9700</v>
      </c>
      <c r="I4226" t="s">
        <v>20648</v>
      </c>
      <c r="P4226" t="s">
        <v>216</v>
      </c>
      <c r="Y4226" t="s">
        <v>20649</v>
      </c>
    </row>
    <row r="4227" spans="1:25" x14ac:dyDescent="0.25">
      <c r="A4227" t="str">
        <f>"1626564909"</f>
        <v>1626564909</v>
      </c>
      <c r="B4227" t="s">
        <v>930</v>
      </c>
      <c r="C4227" t="s">
        <v>4308</v>
      </c>
      <c r="D4227" t="s">
        <v>10573</v>
      </c>
      <c r="F4227" t="s">
        <v>1</v>
      </c>
      <c r="G4227" t="s">
        <v>2</v>
      </c>
      <c r="H4227" t="s">
        <v>20650</v>
      </c>
      <c r="I4227" t="s">
        <v>20651</v>
      </c>
      <c r="L4227" t="s">
        <v>20652</v>
      </c>
      <c r="M4227" t="s">
        <v>20653</v>
      </c>
      <c r="P4227" t="s">
        <v>20654</v>
      </c>
      <c r="Q4227" t="s">
        <v>20655</v>
      </c>
      <c r="S4227" t="s">
        <v>20656</v>
      </c>
      <c r="T4227" t="s">
        <v>20657</v>
      </c>
      <c r="V4227" t="s">
        <v>20658</v>
      </c>
      <c r="Y4227" t="s">
        <v>20659</v>
      </c>
    </row>
    <row r="4228" spans="1:25" x14ac:dyDescent="0.25">
      <c r="A4228" t="str">
        <f>"1629097251"</f>
        <v>1629097251</v>
      </c>
      <c r="B4228" t="s">
        <v>96</v>
      </c>
      <c r="C4228" t="s">
        <v>2285</v>
      </c>
      <c r="D4228" t="s">
        <v>2733</v>
      </c>
      <c r="E4228">
        <v>424039</v>
      </c>
      <c r="F4228" t="s">
        <v>1</v>
      </c>
      <c r="G4228" t="s">
        <v>2</v>
      </c>
      <c r="H4228" t="s">
        <v>5827</v>
      </c>
      <c r="J4228" t="s">
        <v>20660</v>
      </c>
      <c r="P4228" t="s">
        <v>941</v>
      </c>
      <c r="Y4228" t="s">
        <v>20661</v>
      </c>
    </row>
    <row r="4229" spans="1:25" x14ac:dyDescent="0.25">
      <c r="A4229" t="str">
        <f>"1629660854"</f>
        <v>1629660854</v>
      </c>
      <c r="B4229" t="s">
        <v>930</v>
      </c>
      <c r="C4229" t="s">
        <v>20667</v>
      </c>
      <c r="D4229" t="s">
        <v>20662</v>
      </c>
      <c r="E4229">
        <v>424008</v>
      </c>
      <c r="F4229" t="s">
        <v>1</v>
      </c>
      <c r="G4229" t="s">
        <v>2</v>
      </c>
      <c r="H4229" t="s">
        <v>6584</v>
      </c>
      <c r="I4229" t="s">
        <v>20663</v>
      </c>
      <c r="J4229" t="s">
        <v>20664</v>
      </c>
      <c r="L4229" t="s">
        <v>20665</v>
      </c>
      <c r="M4229" t="s">
        <v>20666</v>
      </c>
      <c r="P4229" t="s">
        <v>1441</v>
      </c>
      <c r="Q4229" t="s">
        <v>20668</v>
      </c>
      <c r="T4229" t="s">
        <v>20669</v>
      </c>
      <c r="V4229" t="s">
        <v>20670</v>
      </c>
      <c r="Y4229" t="s">
        <v>20671</v>
      </c>
    </row>
    <row r="4230" spans="1:25" x14ac:dyDescent="0.25">
      <c r="A4230" t="str">
        <f>"1630972556"</f>
        <v>1630972556</v>
      </c>
      <c r="B4230" t="s">
        <v>397</v>
      </c>
      <c r="C4230" t="s">
        <v>5148</v>
      </c>
      <c r="D4230" t="s">
        <v>1615</v>
      </c>
      <c r="E4230">
        <v>424008</v>
      </c>
      <c r="F4230" t="s">
        <v>1</v>
      </c>
      <c r="G4230" t="s">
        <v>2</v>
      </c>
      <c r="H4230" t="s">
        <v>1012</v>
      </c>
      <c r="P4230" t="s">
        <v>330</v>
      </c>
      <c r="Y4230" t="s">
        <v>1016</v>
      </c>
    </row>
    <row r="4231" spans="1:25" x14ac:dyDescent="0.25">
      <c r="A4231" t="str">
        <f>"1631812361"</f>
        <v>1631812361</v>
      </c>
      <c r="B4231" t="s">
        <v>96</v>
      </c>
      <c r="C4231" t="s">
        <v>20677</v>
      </c>
      <c r="D4231" t="s">
        <v>20672</v>
      </c>
      <c r="E4231">
        <v>424038</v>
      </c>
      <c r="F4231" t="s">
        <v>1</v>
      </c>
      <c r="G4231" t="s">
        <v>2</v>
      </c>
      <c r="H4231" t="s">
        <v>7597</v>
      </c>
      <c r="I4231" t="s">
        <v>20673</v>
      </c>
      <c r="J4231" t="s">
        <v>20674</v>
      </c>
      <c r="L4231" t="s">
        <v>20675</v>
      </c>
      <c r="M4231" t="s">
        <v>20676</v>
      </c>
      <c r="P4231" t="s">
        <v>1642</v>
      </c>
      <c r="Q4231" t="s">
        <v>20678</v>
      </c>
      <c r="S4231" t="s">
        <v>20679</v>
      </c>
      <c r="T4231" t="s">
        <v>20680</v>
      </c>
      <c r="U4231" t="s">
        <v>20681</v>
      </c>
      <c r="V4231" t="s">
        <v>20682</v>
      </c>
      <c r="Y4231" t="s">
        <v>20683</v>
      </c>
    </row>
    <row r="4232" spans="1:25" x14ac:dyDescent="0.25">
      <c r="A4232" t="str">
        <f>"1632628924"</f>
        <v>1632628924</v>
      </c>
      <c r="B4232" t="s">
        <v>18</v>
      </c>
      <c r="C4232" t="s">
        <v>17164</v>
      </c>
      <c r="D4232" t="s">
        <v>1815</v>
      </c>
      <c r="E4232">
        <v>424005</v>
      </c>
      <c r="F4232" t="s">
        <v>1</v>
      </c>
      <c r="G4232" t="s">
        <v>2</v>
      </c>
      <c r="H4232" t="s">
        <v>20684</v>
      </c>
      <c r="I4232" t="s">
        <v>20685</v>
      </c>
      <c r="P4232" t="s">
        <v>3333</v>
      </c>
      <c r="Y4232" t="s">
        <v>20686</v>
      </c>
    </row>
    <row r="4233" spans="1:25" x14ac:dyDescent="0.25">
      <c r="A4233" t="str">
        <f>"1632862396"</f>
        <v>1632862396</v>
      </c>
      <c r="B4233" t="s">
        <v>96</v>
      </c>
      <c r="C4233" t="s">
        <v>695</v>
      </c>
      <c r="D4233" t="s">
        <v>17520</v>
      </c>
      <c r="E4233">
        <v>424003</v>
      </c>
      <c r="F4233" t="s">
        <v>1</v>
      </c>
      <c r="G4233" t="s">
        <v>2</v>
      </c>
      <c r="H4233" t="s">
        <v>5773</v>
      </c>
      <c r="I4233" t="s">
        <v>20687</v>
      </c>
      <c r="P4233" t="s">
        <v>280</v>
      </c>
      <c r="Y4233" t="s">
        <v>5775</v>
      </c>
    </row>
    <row r="4234" spans="1:25" x14ac:dyDescent="0.25">
      <c r="A4234" t="str">
        <f>"1633316317"</f>
        <v>1633316317</v>
      </c>
      <c r="B4234" t="s">
        <v>388</v>
      </c>
      <c r="C4234" t="s">
        <v>7194</v>
      </c>
      <c r="D4234" t="s">
        <v>20688</v>
      </c>
      <c r="E4234">
        <v>424006</v>
      </c>
      <c r="F4234" t="s">
        <v>1</v>
      </c>
      <c r="G4234" t="s">
        <v>2</v>
      </c>
      <c r="H4234" t="s">
        <v>751</v>
      </c>
      <c r="I4234" t="s">
        <v>20689</v>
      </c>
      <c r="M4234" t="s">
        <v>20690</v>
      </c>
      <c r="P4234" t="s">
        <v>1731</v>
      </c>
      <c r="Y4234" t="s">
        <v>755</v>
      </c>
    </row>
    <row r="4235" spans="1:25" x14ac:dyDescent="0.25">
      <c r="A4235" t="str">
        <f>"1633588974"</f>
        <v>1633588974</v>
      </c>
      <c r="B4235" t="s">
        <v>18</v>
      </c>
      <c r="C4235" t="s">
        <v>20694</v>
      </c>
      <c r="D4235" t="s">
        <v>20691</v>
      </c>
      <c r="E4235">
        <v>424019</v>
      </c>
      <c r="F4235" t="s">
        <v>1</v>
      </c>
      <c r="G4235" t="s">
        <v>2</v>
      </c>
      <c r="H4235" t="s">
        <v>20692</v>
      </c>
      <c r="I4235" t="s">
        <v>20693</v>
      </c>
      <c r="P4235" t="s">
        <v>20695</v>
      </c>
      <c r="Q4235" t="s">
        <v>20696</v>
      </c>
      <c r="Y4235" t="s">
        <v>20697</v>
      </c>
    </row>
    <row r="4236" spans="1:25" x14ac:dyDescent="0.25">
      <c r="A4236" t="str">
        <f>"1634915016"</f>
        <v>1634915016</v>
      </c>
      <c r="B4236" t="s">
        <v>32</v>
      </c>
      <c r="C4236" t="s">
        <v>182</v>
      </c>
      <c r="D4236" t="s">
        <v>10203</v>
      </c>
      <c r="E4236">
        <v>424007</v>
      </c>
      <c r="F4236" t="s">
        <v>1</v>
      </c>
      <c r="G4236" t="s">
        <v>2</v>
      </c>
      <c r="H4236" t="s">
        <v>20698</v>
      </c>
      <c r="J4236" t="s">
        <v>20699</v>
      </c>
      <c r="P4236" t="s">
        <v>20700</v>
      </c>
      <c r="Y4236" t="s">
        <v>20701</v>
      </c>
    </row>
    <row r="4237" spans="1:25" x14ac:dyDescent="0.25">
      <c r="A4237" t="str">
        <f>"1635131856"</f>
        <v>1635131856</v>
      </c>
      <c r="B4237" t="s">
        <v>96</v>
      </c>
      <c r="C4237" t="s">
        <v>16105</v>
      </c>
      <c r="D4237" t="s">
        <v>20702</v>
      </c>
      <c r="E4237">
        <v>424000</v>
      </c>
      <c r="F4237" t="s">
        <v>1</v>
      </c>
      <c r="G4237" t="s">
        <v>2</v>
      </c>
      <c r="H4237" t="s">
        <v>1473</v>
      </c>
      <c r="J4237" t="s">
        <v>20703</v>
      </c>
      <c r="P4237" t="s">
        <v>941</v>
      </c>
      <c r="Y4237" t="s">
        <v>20704</v>
      </c>
    </row>
    <row r="4238" spans="1:25" x14ac:dyDescent="0.25">
      <c r="A4238" t="str">
        <f>"1635550062"</f>
        <v>1635550062</v>
      </c>
      <c r="B4238" t="s">
        <v>18</v>
      </c>
      <c r="C4238" t="s">
        <v>20708</v>
      </c>
      <c r="D4238" t="s">
        <v>20705</v>
      </c>
      <c r="E4238">
        <v>424016</v>
      </c>
      <c r="F4238" t="s">
        <v>1</v>
      </c>
      <c r="G4238" t="s">
        <v>2</v>
      </c>
      <c r="H4238" t="s">
        <v>3344</v>
      </c>
      <c r="I4238" t="s">
        <v>20706</v>
      </c>
      <c r="J4238" t="s">
        <v>20707</v>
      </c>
      <c r="P4238" t="s">
        <v>152</v>
      </c>
      <c r="Y4238" t="s">
        <v>20709</v>
      </c>
    </row>
    <row r="4239" spans="1:25" x14ac:dyDescent="0.25">
      <c r="A4239" t="str">
        <f>"1637052735"</f>
        <v>1637052735</v>
      </c>
      <c r="B4239" t="s">
        <v>290</v>
      </c>
      <c r="C4239" t="s">
        <v>290</v>
      </c>
      <c r="D4239" t="s">
        <v>20710</v>
      </c>
      <c r="E4239">
        <v>424000</v>
      </c>
      <c r="F4239" t="s">
        <v>1</v>
      </c>
      <c r="G4239" t="s">
        <v>2</v>
      </c>
      <c r="H4239" t="s">
        <v>265</v>
      </c>
      <c r="I4239" t="s">
        <v>20711</v>
      </c>
      <c r="J4239" t="s">
        <v>20712</v>
      </c>
      <c r="P4239" t="s">
        <v>2050</v>
      </c>
      <c r="Q4239" t="s">
        <v>20713</v>
      </c>
      <c r="Y4239" t="s">
        <v>11205</v>
      </c>
    </row>
    <row r="4240" spans="1:25" x14ac:dyDescent="0.25">
      <c r="A4240" t="str">
        <f>"1638986913"</f>
        <v>1638986913</v>
      </c>
      <c r="B4240" t="s">
        <v>32</v>
      </c>
      <c r="C4240" t="s">
        <v>777</v>
      </c>
      <c r="D4240" t="s">
        <v>20714</v>
      </c>
      <c r="E4240">
        <v>424038</v>
      </c>
      <c r="F4240" t="s">
        <v>1</v>
      </c>
      <c r="G4240" t="s">
        <v>2</v>
      </c>
      <c r="H4240" t="s">
        <v>14471</v>
      </c>
      <c r="I4240" t="s">
        <v>20715</v>
      </c>
      <c r="P4240" t="s">
        <v>20716</v>
      </c>
      <c r="Y4240" t="s">
        <v>20717</v>
      </c>
    </row>
    <row r="4241" spans="1:25" x14ac:dyDescent="0.25">
      <c r="A4241" t="str">
        <f>"1639059844"</f>
        <v>1639059844</v>
      </c>
      <c r="B4241" t="s">
        <v>1352</v>
      </c>
      <c r="C4241" t="s">
        <v>20722</v>
      </c>
      <c r="D4241" t="s">
        <v>20718</v>
      </c>
      <c r="E4241">
        <v>424019</v>
      </c>
      <c r="F4241" t="s">
        <v>1</v>
      </c>
      <c r="G4241" t="s">
        <v>2</v>
      </c>
      <c r="H4241" t="s">
        <v>7785</v>
      </c>
      <c r="I4241" t="s">
        <v>20719</v>
      </c>
      <c r="L4241" t="s">
        <v>20720</v>
      </c>
      <c r="M4241" t="s">
        <v>20721</v>
      </c>
      <c r="P4241" t="s">
        <v>98</v>
      </c>
      <c r="Q4241" t="s">
        <v>20723</v>
      </c>
      <c r="S4241" t="s">
        <v>20724</v>
      </c>
      <c r="V4241" t="s">
        <v>20725</v>
      </c>
      <c r="Y4241" t="s">
        <v>20726</v>
      </c>
    </row>
    <row r="4242" spans="1:25" x14ac:dyDescent="0.25">
      <c r="A4242" t="str">
        <f>"1639755623"</f>
        <v>1639755623</v>
      </c>
      <c r="B4242" t="s">
        <v>2677</v>
      </c>
      <c r="C4242" t="s">
        <v>20731</v>
      </c>
      <c r="D4242" t="s">
        <v>20727</v>
      </c>
      <c r="E4242">
        <v>424007</v>
      </c>
      <c r="F4242" t="s">
        <v>1</v>
      </c>
      <c r="G4242" t="s">
        <v>2</v>
      </c>
      <c r="H4242" t="s">
        <v>6164</v>
      </c>
      <c r="J4242" t="s">
        <v>20728</v>
      </c>
      <c r="L4242" t="s">
        <v>20729</v>
      </c>
      <c r="M4242" t="s">
        <v>20730</v>
      </c>
      <c r="P4242" t="s">
        <v>27</v>
      </c>
      <c r="Q4242" t="s">
        <v>20732</v>
      </c>
      <c r="Y4242" t="s">
        <v>10813</v>
      </c>
    </row>
    <row r="4243" spans="1:25" x14ac:dyDescent="0.25">
      <c r="A4243" t="str">
        <f>"1640148108"</f>
        <v>1640148108</v>
      </c>
      <c r="B4243" t="s">
        <v>3700</v>
      </c>
      <c r="C4243" t="s">
        <v>20736</v>
      </c>
      <c r="D4243" t="s">
        <v>13082</v>
      </c>
      <c r="E4243">
        <v>424031</v>
      </c>
      <c r="F4243" t="s">
        <v>1</v>
      </c>
      <c r="G4243" t="s">
        <v>2</v>
      </c>
      <c r="H4243" t="s">
        <v>413</v>
      </c>
      <c r="J4243" t="s">
        <v>20733</v>
      </c>
      <c r="L4243" t="s">
        <v>20734</v>
      </c>
      <c r="M4243" t="s">
        <v>20735</v>
      </c>
      <c r="P4243" t="s">
        <v>20737</v>
      </c>
      <c r="Q4243" t="s">
        <v>20738</v>
      </c>
      <c r="U4243" t="s">
        <v>20739</v>
      </c>
      <c r="Y4243" t="s">
        <v>1421</v>
      </c>
    </row>
    <row r="4244" spans="1:25" x14ac:dyDescent="0.25">
      <c r="A4244" t="str">
        <f>"1640298410"</f>
        <v>1640298410</v>
      </c>
      <c r="B4244" t="s">
        <v>456</v>
      </c>
      <c r="C4244" t="s">
        <v>20744</v>
      </c>
      <c r="D4244" t="s">
        <v>3922</v>
      </c>
      <c r="E4244">
        <v>424006</v>
      </c>
      <c r="F4244" t="s">
        <v>1</v>
      </c>
      <c r="G4244" t="s">
        <v>2</v>
      </c>
      <c r="H4244" t="s">
        <v>20740</v>
      </c>
      <c r="I4244" t="s">
        <v>20741</v>
      </c>
      <c r="L4244" t="s">
        <v>20742</v>
      </c>
      <c r="M4244" t="s">
        <v>20743</v>
      </c>
      <c r="P4244" t="s">
        <v>14279</v>
      </c>
      <c r="Y4244" t="s">
        <v>20745</v>
      </c>
    </row>
    <row r="4245" spans="1:25" x14ac:dyDescent="0.25">
      <c r="A4245" t="str">
        <f>"1640500463"</f>
        <v>1640500463</v>
      </c>
      <c r="B4245" t="s">
        <v>1352</v>
      </c>
      <c r="C4245" t="s">
        <v>20751</v>
      </c>
      <c r="D4245" t="s">
        <v>20746</v>
      </c>
      <c r="E4245">
        <v>424002</v>
      </c>
      <c r="F4245" t="s">
        <v>1</v>
      </c>
      <c r="G4245" t="s">
        <v>2</v>
      </c>
      <c r="H4245" t="s">
        <v>1190</v>
      </c>
      <c r="I4245" t="s">
        <v>20747</v>
      </c>
      <c r="J4245" t="s">
        <v>20748</v>
      </c>
      <c r="L4245" t="s">
        <v>20749</v>
      </c>
      <c r="M4245" t="s">
        <v>20750</v>
      </c>
      <c r="P4245" t="s">
        <v>27</v>
      </c>
      <c r="Y4245" t="s">
        <v>20752</v>
      </c>
    </row>
    <row r="4246" spans="1:25" x14ac:dyDescent="0.25">
      <c r="A4246" t="str">
        <f>"1641348679"</f>
        <v>1641348679</v>
      </c>
      <c r="B4246" t="s">
        <v>110</v>
      </c>
      <c r="C4246" t="s">
        <v>5755</v>
      </c>
      <c r="D4246" t="s">
        <v>20753</v>
      </c>
      <c r="E4246">
        <v>424002</v>
      </c>
      <c r="F4246" t="s">
        <v>1</v>
      </c>
      <c r="G4246" t="s">
        <v>2</v>
      </c>
      <c r="H4246" t="s">
        <v>6656</v>
      </c>
      <c r="I4246" t="s">
        <v>20754</v>
      </c>
      <c r="L4246" t="s">
        <v>20755</v>
      </c>
      <c r="P4246" t="s">
        <v>11831</v>
      </c>
      <c r="Y4246" t="s">
        <v>11652</v>
      </c>
    </row>
    <row r="4247" spans="1:25" x14ac:dyDescent="0.25">
      <c r="A4247" t="str">
        <f>"1642424365"</f>
        <v>1642424365</v>
      </c>
      <c r="B4247" t="s">
        <v>574</v>
      </c>
      <c r="C4247" t="s">
        <v>646</v>
      </c>
      <c r="D4247" t="s">
        <v>20141</v>
      </c>
      <c r="E4247">
        <v>424038</v>
      </c>
      <c r="F4247" t="s">
        <v>1</v>
      </c>
      <c r="G4247" t="s">
        <v>2</v>
      </c>
      <c r="H4247" t="s">
        <v>20756</v>
      </c>
      <c r="Y4247" t="s">
        <v>20757</v>
      </c>
    </row>
    <row r="4248" spans="1:25" x14ac:dyDescent="0.25">
      <c r="A4248" t="str">
        <f>"1643948787"</f>
        <v>1643948787</v>
      </c>
      <c r="B4248" t="s">
        <v>290</v>
      </c>
      <c r="C4248" t="s">
        <v>290</v>
      </c>
      <c r="D4248" t="s">
        <v>20758</v>
      </c>
      <c r="E4248">
        <v>424007</v>
      </c>
      <c r="F4248" t="s">
        <v>1</v>
      </c>
      <c r="G4248" t="s">
        <v>2</v>
      </c>
      <c r="H4248" t="s">
        <v>20759</v>
      </c>
      <c r="I4248" t="s">
        <v>20760</v>
      </c>
      <c r="P4248" t="s">
        <v>7650</v>
      </c>
      <c r="Q4248" t="s">
        <v>20761</v>
      </c>
      <c r="V4248" t="s">
        <v>20762</v>
      </c>
      <c r="Y4248" t="s">
        <v>20763</v>
      </c>
    </row>
    <row r="4249" spans="1:25" x14ac:dyDescent="0.25">
      <c r="A4249" t="str">
        <f>"1644821423"</f>
        <v>1644821423</v>
      </c>
      <c r="B4249" t="s">
        <v>32</v>
      </c>
      <c r="C4249" t="s">
        <v>182</v>
      </c>
      <c r="D4249" t="s">
        <v>13057</v>
      </c>
      <c r="E4249">
        <v>424040</v>
      </c>
      <c r="F4249" t="s">
        <v>1</v>
      </c>
      <c r="G4249" t="s">
        <v>2</v>
      </c>
      <c r="H4249" t="s">
        <v>7989</v>
      </c>
      <c r="P4249" t="s">
        <v>20764</v>
      </c>
      <c r="Y4249" t="s">
        <v>20765</v>
      </c>
    </row>
    <row r="4250" spans="1:25" x14ac:dyDescent="0.25">
      <c r="A4250" t="str">
        <f>"1645667143"</f>
        <v>1645667143</v>
      </c>
      <c r="B4250" t="s">
        <v>32</v>
      </c>
      <c r="C4250" t="s">
        <v>20771</v>
      </c>
      <c r="D4250" t="s">
        <v>20766</v>
      </c>
      <c r="E4250">
        <v>424000</v>
      </c>
      <c r="F4250" t="s">
        <v>1</v>
      </c>
      <c r="G4250" t="s">
        <v>2</v>
      </c>
      <c r="H4250" t="s">
        <v>20767</v>
      </c>
      <c r="J4250" t="s">
        <v>20768</v>
      </c>
      <c r="L4250" t="s">
        <v>20769</v>
      </c>
      <c r="M4250" t="s">
        <v>20770</v>
      </c>
      <c r="P4250" t="s">
        <v>144</v>
      </c>
      <c r="Q4250" t="s">
        <v>20772</v>
      </c>
      <c r="V4250" t="s">
        <v>20773</v>
      </c>
      <c r="Y4250" t="s">
        <v>20774</v>
      </c>
    </row>
    <row r="4251" spans="1:25" x14ac:dyDescent="0.25">
      <c r="A4251" t="str">
        <f>"1645740584"</f>
        <v>1645740584</v>
      </c>
      <c r="B4251" t="s">
        <v>7</v>
      </c>
      <c r="C4251" t="s">
        <v>20780</v>
      </c>
      <c r="D4251" t="s">
        <v>20775</v>
      </c>
      <c r="E4251">
        <v>424000</v>
      </c>
      <c r="F4251" t="s">
        <v>1</v>
      </c>
      <c r="G4251" t="s">
        <v>2</v>
      </c>
      <c r="H4251" t="s">
        <v>20776</v>
      </c>
      <c r="I4251" t="s">
        <v>20777</v>
      </c>
      <c r="L4251" t="s">
        <v>20778</v>
      </c>
      <c r="M4251" t="s">
        <v>20779</v>
      </c>
      <c r="P4251" t="s">
        <v>330</v>
      </c>
      <c r="Y4251" t="s">
        <v>20781</v>
      </c>
    </row>
    <row r="4252" spans="1:25" x14ac:dyDescent="0.25">
      <c r="A4252" t="str">
        <f>"1647036186"</f>
        <v>1647036186</v>
      </c>
      <c r="B4252" t="s">
        <v>397</v>
      </c>
      <c r="C4252" t="s">
        <v>20787</v>
      </c>
      <c r="D4252" t="s">
        <v>20782</v>
      </c>
      <c r="E4252">
        <v>424038</v>
      </c>
      <c r="F4252" t="s">
        <v>1</v>
      </c>
      <c r="G4252" t="s">
        <v>2</v>
      </c>
      <c r="H4252" t="s">
        <v>7597</v>
      </c>
      <c r="I4252" t="s">
        <v>20783</v>
      </c>
      <c r="J4252" t="s">
        <v>20784</v>
      </c>
      <c r="L4252" t="s">
        <v>20785</v>
      </c>
      <c r="M4252" t="s">
        <v>20786</v>
      </c>
      <c r="P4252" t="s">
        <v>1642</v>
      </c>
      <c r="Q4252" t="s">
        <v>20788</v>
      </c>
      <c r="Y4252" t="s">
        <v>20789</v>
      </c>
    </row>
    <row r="4253" spans="1:25" x14ac:dyDescent="0.25">
      <c r="A4253" t="str">
        <f>"1647780127"</f>
        <v>1647780127</v>
      </c>
      <c r="B4253" t="s">
        <v>32</v>
      </c>
      <c r="C4253" t="s">
        <v>20792</v>
      </c>
      <c r="D4253" t="s">
        <v>20790</v>
      </c>
      <c r="E4253">
        <v>424031</v>
      </c>
      <c r="F4253" t="s">
        <v>1</v>
      </c>
      <c r="G4253" t="s">
        <v>2</v>
      </c>
      <c r="H4253" t="s">
        <v>4622</v>
      </c>
      <c r="J4253" t="s">
        <v>20791</v>
      </c>
      <c r="P4253" t="s">
        <v>330</v>
      </c>
      <c r="Y4253" t="s">
        <v>7838</v>
      </c>
    </row>
    <row r="4254" spans="1:25" x14ac:dyDescent="0.25">
      <c r="A4254" t="str">
        <f>"1650843182"</f>
        <v>1650843182</v>
      </c>
      <c r="B4254" t="s">
        <v>32</v>
      </c>
      <c r="C4254" t="s">
        <v>182</v>
      </c>
      <c r="D4254" t="s">
        <v>20793</v>
      </c>
      <c r="E4254">
        <v>424038</v>
      </c>
      <c r="F4254" t="s">
        <v>1</v>
      </c>
      <c r="G4254" t="s">
        <v>2</v>
      </c>
      <c r="H4254" t="s">
        <v>2614</v>
      </c>
      <c r="I4254" t="s">
        <v>20794</v>
      </c>
      <c r="P4254" t="s">
        <v>399</v>
      </c>
      <c r="Y4254" t="s">
        <v>2617</v>
      </c>
    </row>
    <row r="4255" spans="1:25" x14ac:dyDescent="0.25">
      <c r="A4255" t="str">
        <f>"1652296196"</f>
        <v>1652296196</v>
      </c>
      <c r="B4255" t="s">
        <v>1475</v>
      </c>
      <c r="C4255" t="s">
        <v>1476</v>
      </c>
      <c r="D4255" t="s">
        <v>20795</v>
      </c>
      <c r="E4255">
        <v>424038</v>
      </c>
      <c r="F4255" t="s">
        <v>1</v>
      </c>
      <c r="G4255" t="s">
        <v>2</v>
      </c>
      <c r="H4255" t="s">
        <v>16183</v>
      </c>
      <c r="P4255" t="s">
        <v>216</v>
      </c>
      <c r="Y4255" t="s">
        <v>20796</v>
      </c>
    </row>
    <row r="4256" spans="1:25" x14ac:dyDescent="0.25">
      <c r="A4256" t="str">
        <f>"1652374900"</f>
        <v>1652374900</v>
      </c>
      <c r="B4256" t="s">
        <v>1152</v>
      </c>
      <c r="C4256" t="s">
        <v>20158</v>
      </c>
      <c r="D4256" t="s">
        <v>7296</v>
      </c>
      <c r="E4256">
        <v>424031</v>
      </c>
      <c r="F4256" t="s">
        <v>1</v>
      </c>
      <c r="G4256" t="s">
        <v>2</v>
      </c>
      <c r="H4256" t="s">
        <v>239</v>
      </c>
      <c r="J4256" t="s">
        <v>20797</v>
      </c>
      <c r="L4256" t="s">
        <v>20798</v>
      </c>
      <c r="M4256" t="s">
        <v>20799</v>
      </c>
      <c r="P4256" t="s">
        <v>799</v>
      </c>
      <c r="Q4256" t="s">
        <v>20800</v>
      </c>
      <c r="Y4256" t="s">
        <v>246</v>
      </c>
    </row>
    <row r="4257" spans="1:25" x14ac:dyDescent="0.25">
      <c r="A4257" t="str">
        <f>"1656899690"</f>
        <v>1656899690</v>
      </c>
      <c r="B4257" t="s">
        <v>32</v>
      </c>
      <c r="C4257" t="s">
        <v>2996</v>
      </c>
      <c r="D4257" t="s">
        <v>20801</v>
      </c>
      <c r="E4257">
        <v>424038</v>
      </c>
      <c r="F4257" t="s">
        <v>1</v>
      </c>
      <c r="G4257" t="s">
        <v>2</v>
      </c>
      <c r="H4257" t="s">
        <v>9865</v>
      </c>
      <c r="I4257" t="s">
        <v>20802</v>
      </c>
      <c r="P4257" t="s">
        <v>312</v>
      </c>
      <c r="Y4257" t="s">
        <v>9870</v>
      </c>
    </row>
    <row r="4258" spans="1:25" x14ac:dyDescent="0.25">
      <c r="A4258" t="str">
        <f>"1656972367"</f>
        <v>1656972367</v>
      </c>
      <c r="B4258" t="s">
        <v>319</v>
      </c>
      <c r="C4258" t="s">
        <v>7198</v>
      </c>
      <c r="D4258" t="s">
        <v>20803</v>
      </c>
      <c r="F4258" t="s">
        <v>1</v>
      </c>
      <c r="G4258" t="s">
        <v>2</v>
      </c>
      <c r="H4258" t="s">
        <v>20804</v>
      </c>
      <c r="I4258" t="s">
        <v>20805</v>
      </c>
      <c r="L4258" t="s">
        <v>20806</v>
      </c>
      <c r="M4258" t="s">
        <v>20807</v>
      </c>
      <c r="Y4258" t="s">
        <v>20808</v>
      </c>
    </row>
    <row r="4259" spans="1:25" x14ac:dyDescent="0.25">
      <c r="A4259" t="str">
        <f>"1659105051"</f>
        <v>1659105051</v>
      </c>
      <c r="B4259" t="s">
        <v>32</v>
      </c>
      <c r="C4259" t="s">
        <v>20811</v>
      </c>
      <c r="D4259" t="s">
        <v>20809</v>
      </c>
      <c r="E4259">
        <v>424000</v>
      </c>
      <c r="F4259" t="s">
        <v>1</v>
      </c>
      <c r="G4259" t="s">
        <v>2</v>
      </c>
      <c r="H4259" t="s">
        <v>2202</v>
      </c>
      <c r="I4259" t="s">
        <v>20810</v>
      </c>
      <c r="P4259" t="s">
        <v>216</v>
      </c>
      <c r="Y4259" t="s">
        <v>2204</v>
      </c>
    </row>
    <row r="4260" spans="1:25" x14ac:dyDescent="0.25">
      <c r="A4260" t="str">
        <f>"1659123944"</f>
        <v>1659123944</v>
      </c>
      <c r="B4260" t="s">
        <v>1758</v>
      </c>
      <c r="C4260" t="s">
        <v>7867</v>
      </c>
      <c r="D4260" t="s">
        <v>20812</v>
      </c>
      <c r="E4260">
        <v>424037</v>
      </c>
      <c r="F4260" t="s">
        <v>1</v>
      </c>
      <c r="G4260" t="s">
        <v>2</v>
      </c>
      <c r="H4260" t="s">
        <v>1116</v>
      </c>
      <c r="I4260" t="s">
        <v>20813</v>
      </c>
      <c r="P4260" t="s">
        <v>2580</v>
      </c>
      <c r="Y4260" t="s">
        <v>20814</v>
      </c>
    </row>
    <row r="4261" spans="1:25" x14ac:dyDescent="0.25">
      <c r="A4261" t="str">
        <f>"1659326328"</f>
        <v>1659326328</v>
      </c>
      <c r="B4261" t="s">
        <v>797</v>
      </c>
      <c r="C4261" t="s">
        <v>5123</v>
      </c>
      <c r="D4261" t="s">
        <v>20815</v>
      </c>
      <c r="E4261">
        <v>424004</v>
      </c>
      <c r="F4261" t="s">
        <v>1</v>
      </c>
      <c r="G4261" t="s">
        <v>2</v>
      </c>
      <c r="H4261" t="s">
        <v>3489</v>
      </c>
      <c r="I4261" t="s">
        <v>20816</v>
      </c>
      <c r="L4261" t="s">
        <v>20817</v>
      </c>
      <c r="M4261" t="s">
        <v>20818</v>
      </c>
      <c r="P4261" t="s">
        <v>20819</v>
      </c>
      <c r="Q4261" t="s">
        <v>20820</v>
      </c>
      <c r="V4261" t="s">
        <v>20821</v>
      </c>
      <c r="Y4261" t="s">
        <v>20822</v>
      </c>
    </row>
    <row r="4262" spans="1:25" x14ac:dyDescent="0.25">
      <c r="A4262" t="str">
        <f>"1659365456"</f>
        <v>1659365456</v>
      </c>
      <c r="B4262" t="s">
        <v>96</v>
      </c>
      <c r="C4262" t="s">
        <v>695</v>
      </c>
      <c r="D4262" t="s">
        <v>20823</v>
      </c>
      <c r="E4262">
        <v>424037</v>
      </c>
      <c r="F4262" t="s">
        <v>1</v>
      </c>
      <c r="G4262" t="s">
        <v>2</v>
      </c>
      <c r="H4262" t="s">
        <v>1116</v>
      </c>
      <c r="I4262" t="s">
        <v>20824</v>
      </c>
      <c r="P4262" t="s">
        <v>152</v>
      </c>
      <c r="Y4262" t="s">
        <v>20825</v>
      </c>
    </row>
    <row r="4263" spans="1:25" x14ac:dyDescent="0.25">
      <c r="A4263" t="str">
        <f>"1659579390"</f>
        <v>1659579390</v>
      </c>
      <c r="B4263" t="s">
        <v>18</v>
      </c>
      <c r="C4263" t="s">
        <v>20827</v>
      </c>
      <c r="D4263" t="s">
        <v>20826</v>
      </c>
      <c r="F4263" t="s">
        <v>1</v>
      </c>
      <c r="G4263" t="s">
        <v>2</v>
      </c>
      <c r="H4263" t="s">
        <v>3984</v>
      </c>
      <c r="I4263" t="s">
        <v>12548</v>
      </c>
      <c r="J4263" t="s">
        <v>12549</v>
      </c>
      <c r="P4263" t="s">
        <v>27</v>
      </c>
      <c r="Y4263" t="s">
        <v>4409</v>
      </c>
    </row>
    <row r="4264" spans="1:25" x14ac:dyDescent="0.25">
      <c r="A4264" t="str">
        <f>"1660013612"</f>
        <v>1660013612</v>
      </c>
      <c r="B4264" t="s">
        <v>669</v>
      </c>
      <c r="C4264" t="s">
        <v>20833</v>
      </c>
      <c r="D4264" t="s">
        <v>20828</v>
      </c>
      <c r="E4264">
        <v>424006</v>
      </c>
      <c r="F4264" t="s">
        <v>1</v>
      </c>
      <c r="G4264" t="s">
        <v>2</v>
      </c>
      <c r="H4264" t="s">
        <v>20829</v>
      </c>
      <c r="J4264" t="s">
        <v>20830</v>
      </c>
      <c r="L4264" t="s">
        <v>20831</v>
      </c>
      <c r="M4264" t="s">
        <v>20832</v>
      </c>
      <c r="P4264" t="s">
        <v>27</v>
      </c>
      <c r="Y4264" t="s">
        <v>20834</v>
      </c>
    </row>
    <row r="4265" spans="1:25" x14ac:dyDescent="0.25">
      <c r="A4265" t="str">
        <f>"1660125516"</f>
        <v>1660125516</v>
      </c>
      <c r="B4265" t="s">
        <v>430</v>
      </c>
      <c r="C4265" t="s">
        <v>20837</v>
      </c>
      <c r="D4265" t="s">
        <v>20835</v>
      </c>
      <c r="E4265">
        <v>424033</v>
      </c>
      <c r="F4265" t="s">
        <v>1</v>
      </c>
      <c r="G4265" t="s">
        <v>2</v>
      </c>
      <c r="H4265" t="s">
        <v>6126</v>
      </c>
      <c r="I4265" t="s">
        <v>20836</v>
      </c>
      <c r="P4265" t="s">
        <v>5649</v>
      </c>
      <c r="Y4265" t="s">
        <v>9488</v>
      </c>
    </row>
    <row r="4266" spans="1:25" x14ac:dyDescent="0.25">
      <c r="A4266" t="str">
        <f>"1660279432"</f>
        <v>1660279432</v>
      </c>
      <c r="B4266" t="s">
        <v>96</v>
      </c>
      <c r="C4266" t="s">
        <v>16105</v>
      </c>
      <c r="D4266" t="s">
        <v>20838</v>
      </c>
      <c r="E4266">
        <v>424918</v>
      </c>
      <c r="F4266" t="s">
        <v>1</v>
      </c>
      <c r="G4266" t="s">
        <v>2</v>
      </c>
      <c r="H4266" t="s">
        <v>629</v>
      </c>
      <c r="J4266" t="s">
        <v>20839</v>
      </c>
      <c r="P4266" t="s">
        <v>18341</v>
      </c>
      <c r="Y4266" t="s">
        <v>20840</v>
      </c>
    </row>
    <row r="4267" spans="1:25" x14ac:dyDescent="0.25">
      <c r="A4267" t="str">
        <f>"1660858800"</f>
        <v>1660858800</v>
      </c>
      <c r="B4267" t="s">
        <v>574</v>
      </c>
      <c r="C4267" t="s">
        <v>646</v>
      </c>
      <c r="D4267" t="s">
        <v>20841</v>
      </c>
      <c r="E4267">
        <v>424006</v>
      </c>
      <c r="F4267" t="s">
        <v>1</v>
      </c>
      <c r="G4267" t="s">
        <v>2</v>
      </c>
      <c r="H4267" t="s">
        <v>5146</v>
      </c>
      <c r="I4267" t="s">
        <v>20842</v>
      </c>
      <c r="P4267" t="s">
        <v>216</v>
      </c>
      <c r="Y4267" t="s">
        <v>5149</v>
      </c>
    </row>
    <row r="4268" spans="1:25" x14ac:dyDescent="0.25">
      <c r="A4268" t="str">
        <f>"1660940948"</f>
        <v>1660940948</v>
      </c>
      <c r="B4268" t="s">
        <v>1152</v>
      </c>
      <c r="C4268" t="s">
        <v>20846</v>
      </c>
      <c r="D4268" t="s">
        <v>20843</v>
      </c>
      <c r="E4268">
        <v>424000</v>
      </c>
      <c r="F4268" t="s">
        <v>1</v>
      </c>
      <c r="G4268" t="s">
        <v>2</v>
      </c>
      <c r="H4268" t="s">
        <v>1531</v>
      </c>
      <c r="I4268" t="s">
        <v>20844</v>
      </c>
      <c r="J4268" t="s">
        <v>20845</v>
      </c>
      <c r="P4268" t="s">
        <v>12483</v>
      </c>
      <c r="Y4268" t="s">
        <v>20847</v>
      </c>
    </row>
    <row r="4269" spans="1:25" x14ac:dyDescent="0.25">
      <c r="A4269" t="str">
        <f>"1660971442"</f>
        <v>1660971442</v>
      </c>
      <c r="B4269" t="s">
        <v>930</v>
      </c>
      <c r="C4269" t="s">
        <v>20851</v>
      </c>
      <c r="D4269" t="s">
        <v>20848</v>
      </c>
      <c r="F4269" t="s">
        <v>1</v>
      </c>
      <c r="G4269" t="s">
        <v>2</v>
      </c>
      <c r="H4269" t="s">
        <v>12610</v>
      </c>
      <c r="I4269" t="s">
        <v>20849</v>
      </c>
      <c r="J4269" t="s">
        <v>20850</v>
      </c>
      <c r="P4269" t="s">
        <v>216</v>
      </c>
      <c r="Y4269" t="s">
        <v>20852</v>
      </c>
    </row>
    <row r="4270" spans="1:25" x14ac:dyDescent="0.25">
      <c r="A4270" t="str">
        <f>"1661983027"</f>
        <v>1661983027</v>
      </c>
      <c r="B4270" t="s">
        <v>1343</v>
      </c>
      <c r="C4270" t="s">
        <v>13544</v>
      </c>
      <c r="D4270" t="s">
        <v>20853</v>
      </c>
      <c r="E4270">
        <v>424000</v>
      </c>
      <c r="F4270" t="s">
        <v>1</v>
      </c>
      <c r="G4270" t="s">
        <v>2</v>
      </c>
      <c r="H4270" t="s">
        <v>1473</v>
      </c>
      <c r="J4270" t="s">
        <v>20854</v>
      </c>
      <c r="P4270" t="s">
        <v>1213</v>
      </c>
      <c r="Y4270" t="s">
        <v>4067</v>
      </c>
    </row>
    <row r="4271" spans="1:25" x14ac:dyDescent="0.25">
      <c r="A4271" t="str">
        <f>"1662186476"</f>
        <v>1662186476</v>
      </c>
      <c r="B4271" t="s">
        <v>654</v>
      </c>
      <c r="C4271" t="s">
        <v>2195</v>
      </c>
      <c r="D4271" t="s">
        <v>20855</v>
      </c>
      <c r="E4271">
        <v>424033</v>
      </c>
      <c r="F4271" t="s">
        <v>1</v>
      </c>
      <c r="G4271" t="s">
        <v>2</v>
      </c>
      <c r="H4271" t="s">
        <v>19261</v>
      </c>
      <c r="J4271" t="s">
        <v>20856</v>
      </c>
      <c r="P4271" t="s">
        <v>98</v>
      </c>
      <c r="Y4271" t="s">
        <v>20857</v>
      </c>
    </row>
    <row r="4272" spans="1:25" x14ac:dyDescent="0.25">
      <c r="A4272" t="str">
        <f>"1662449990"</f>
        <v>1662449990</v>
      </c>
      <c r="B4272" t="s">
        <v>151</v>
      </c>
      <c r="C4272" t="s">
        <v>2522</v>
      </c>
      <c r="D4272" t="s">
        <v>20858</v>
      </c>
      <c r="E4272">
        <v>424000</v>
      </c>
      <c r="F4272" t="s">
        <v>1</v>
      </c>
      <c r="G4272" t="s">
        <v>2</v>
      </c>
      <c r="H4272" t="s">
        <v>523</v>
      </c>
      <c r="I4272" t="s">
        <v>20859</v>
      </c>
      <c r="L4272" t="s">
        <v>5579</v>
      </c>
      <c r="M4272" t="s">
        <v>2521</v>
      </c>
      <c r="P4272" t="s">
        <v>20860</v>
      </c>
      <c r="Y4272" t="s">
        <v>526</v>
      </c>
    </row>
    <row r="4273" spans="1:25" x14ac:dyDescent="0.25">
      <c r="A4273" t="str">
        <f>"1662714091"</f>
        <v>1662714091</v>
      </c>
      <c r="B4273" t="s">
        <v>123</v>
      </c>
      <c r="C4273" t="s">
        <v>196</v>
      </c>
      <c r="D4273" t="s">
        <v>20861</v>
      </c>
      <c r="E4273">
        <v>424002</v>
      </c>
      <c r="F4273" t="s">
        <v>1</v>
      </c>
      <c r="G4273" t="s">
        <v>2</v>
      </c>
      <c r="H4273" t="s">
        <v>6656</v>
      </c>
      <c r="I4273" t="s">
        <v>20862</v>
      </c>
      <c r="P4273" t="s">
        <v>2738</v>
      </c>
      <c r="Y4273" t="s">
        <v>20863</v>
      </c>
    </row>
    <row r="4274" spans="1:25" x14ac:dyDescent="0.25">
      <c r="A4274" t="str">
        <f>"1663753627"</f>
        <v>1663753627</v>
      </c>
      <c r="B4274" t="s">
        <v>151</v>
      </c>
      <c r="C4274" t="s">
        <v>20865</v>
      </c>
      <c r="D4274" t="s">
        <v>13425</v>
      </c>
      <c r="E4274">
        <v>424031</v>
      </c>
      <c r="F4274" t="s">
        <v>1</v>
      </c>
      <c r="G4274" t="s">
        <v>2</v>
      </c>
      <c r="H4274" t="s">
        <v>1900</v>
      </c>
      <c r="I4274" t="s">
        <v>20864</v>
      </c>
      <c r="P4274" t="s">
        <v>27</v>
      </c>
      <c r="Y4274" t="s">
        <v>1905</v>
      </c>
    </row>
    <row r="4275" spans="1:25" x14ac:dyDescent="0.25">
      <c r="A4275" t="str">
        <f>"1664357802"</f>
        <v>1664357802</v>
      </c>
      <c r="B4275" t="s">
        <v>738</v>
      </c>
      <c r="C4275" t="s">
        <v>20869</v>
      </c>
      <c r="D4275" t="s">
        <v>20866</v>
      </c>
      <c r="E4275">
        <v>424006</v>
      </c>
      <c r="F4275" t="s">
        <v>1</v>
      </c>
      <c r="G4275" t="s">
        <v>2</v>
      </c>
      <c r="H4275" t="s">
        <v>9792</v>
      </c>
      <c r="J4275" t="s">
        <v>20867</v>
      </c>
      <c r="L4275" t="s">
        <v>20868</v>
      </c>
      <c r="P4275" t="s">
        <v>280</v>
      </c>
      <c r="Q4275" t="s">
        <v>20870</v>
      </c>
      <c r="Y4275" t="s">
        <v>20871</v>
      </c>
    </row>
    <row r="4276" spans="1:25" x14ac:dyDescent="0.25">
      <c r="A4276" t="str">
        <f>"1665782457"</f>
        <v>1665782457</v>
      </c>
      <c r="B4276" t="s">
        <v>96</v>
      </c>
      <c r="C4276" t="s">
        <v>695</v>
      </c>
      <c r="D4276" t="s">
        <v>20872</v>
      </c>
      <c r="E4276">
        <v>424000</v>
      </c>
      <c r="F4276" t="s">
        <v>1</v>
      </c>
      <c r="G4276" t="s">
        <v>2</v>
      </c>
      <c r="H4276" t="s">
        <v>7297</v>
      </c>
      <c r="J4276" t="s">
        <v>20873</v>
      </c>
      <c r="P4276" t="s">
        <v>20874</v>
      </c>
      <c r="Y4276" t="s">
        <v>20875</v>
      </c>
    </row>
    <row r="4277" spans="1:25" x14ac:dyDescent="0.25">
      <c r="A4277" t="str">
        <f>"1666743075"</f>
        <v>1666743075</v>
      </c>
      <c r="B4277" t="s">
        <v>3908</v>
      </c>
      <c r="C4277" t="s">
        <v>3909</v>
      </c>
      <c r="D4277" t="s">
        <v>20876</v>
      </c>
      <c r="E4277">
        <v>424028</v>
      </c>
      <c r="F4277" t="s">
        <v>1</v>
      </c>
      <c r="G4277" t="s">
        <v>2</v>
      </c>
      <c r="H4277" t="s">
        <v>20877</v>
      </c>
      <c r="I4277" t="s">
        <v>20878</v>
      </c>
      <c r="L4277" t="s">
        <v>20879</v>
      </c>
      <c r="M4277" t="s">
        <v>20880</v>
      </c>
      <c r="P4277" t="s">
        <v>6400</v>
      </c>
      <c r="Y4277" t="s">
        <v>20881</v>
      </c>
    </row>
    <row r="4278" spans="1:25" x14ac:dyDescent="0.25">
      <c r="A4278" t="str">
        <f>"1667279754"</f>
        <v>1667279754</v>
      </c>
      <c r="B4278" t="s">
        <v>430</v>
      </c>
      <c r="C4278" t="s">
        <v>940</v>
      </c>
      <c r="D4278" t="s">
        <v>20882</v>
      </c>
      <c r="E4278">
        <v>424002</v>
      </c>
      <c r="F4278" t="s">
        <v>1</v>
      </c>
      <c r="G4278" t="s">
        <v>2</v>
      </c>
      <c r="H4278" t="s">
        <v>744</v>
      </c>
      <c r="I4278" t="s">
        <v>20883</v>
      </c>
      <c r="P4278" t="s">
        <v>748</v>
      </c>
      <c r="Y4278" t="s">
        <v>749</v>
      </c>
    </row>
    <row r="4279" spans="1:25" x14ac:dyDescent="0.25">
      <c r="A4279" t="str">
        <f>"1667293668"</f>
        <v>1667293668</v>
      </c>
      <c r="B4279" t="s">
        <v>319</v>
      </c>
      <c r="C4279" t="s">
        <v>320</v>
      </c>
      <c r="D4279" t="s">
        <v>20884</v>
      </c>
      <c r="E4279">
        <v>424007</v>
      </c>
      <c r="F4279" t="s">
        <v>1</v>
      </c>
      <c r="G4279" t="s">
        <v>2</v>
      </c>
      <c r="H4279" t="s">
        <v>10840</v>
      </c>
      <c r="I4279" t="s">
        <v>20885</v>
      </c>
      <c r="J4279" t="s">
        <v>20886</v>
      </c>
      <c r="P4279" t="s">
        <v>4831</v>
      </c>
      <c r="Y4279" t="s">
        <v>20887</v>
      </c>
    </row>
    <row r="4280" spans="1:25" x14ac:dyDescent="0.25">
      <c r="A4280" t="str">
        <f>"1667317444"</f>
        <v>1667317444</v>
      </c>
      <c r="B4280" t="s">
        <v>930</v>
      </c>
      <c r="C4280" t="s">
        <v>2985</v>
      </c>
      <c r="D4280" t="s">
        <v>561</v>
      </c>
      <c r="E4280">
        <v>424006</v>
      </c>
      <c r="F4280" t="s">
        <v>1</v>
      </c>
      <c r="G4280" t="s">
        <v>2</v>
      </c>
      <c r="H4280" t="s">
        <v>16198</v>
      </c>
      <c r="I4280" t="s">
        <v>20888</v>
      </c>
      <c r="J4280" t="s">
        <v>20889</v>
      </c>
      <c r="P4280" t="s">
        <v>330</v>
      </c>
      <c r="Y4280" t="s">
        <v>20890</v>
      </c>
    </row>
    <row r="4281" spans="1:25" x14ac:dyDescent="0.25">
      <c r="A4281" t="str">
        <f>"1667709287"</f>
        <v>1667709287</v>
      </c>
      <c r="B4281" t="s">
        <v>32</v>
      </c>
      <c r="C4281" t="s">
        <v>777</v>
      </c>
      <c r="D4281" t="s">
        <v>20891</v>
      </c>
      <c r="E4281">
        <v>424019</v>
      </c>
      <c r="F4281" t="s">
        <v>1</v>
      </c>
      <c r="G4281" t="s">
        <v>2</v>
      </c>
      <c r="H4281" t="s">
        <v>1801</v>
      </c>
      <c r="I4281" t="s">
        <v>20892</v>
      </c>
      <c r="P4281" t="s">
        <v>2079</v>
      </c>
      <c r="Y4281" t="s">
        <v>20893</v>
      </c>
    </row>
    <row r="4282" spans="1:25" x14ac:dyDescent="0.25">
      <c r="A4282" t="str">
        <f>"1667935338"</f>
        <v>1667935338</v>
      </c>
      <c r="B4282" t="s">
        <v>1544</v>
      </c>
      <c r="C4282" t="s">
        <v>20896</v>
      </c>
      <c r="D4282" t="s">
        <v>20894</v>
      </c>
      <c r="E4282">
        <v>424000</v>
      </c>
      <c r="F4282" t="s">
        <v>1</v>
      </c>
      <c r="G4282" t="s">
        <v>2</v>
      </c>
      <c r="H4282" t="s">
        <v>937</v>
      </c>
      <c r="I4282" t="s">
        <v>20895</v>
      </c>
      <c r="P4282" t="s">
        <v>330</v>
      </c>
      <c r="Q4282" t="s">
        <v>20897</v>
      </c>
      <c r="V4282" t="s">
        <v>20898</v>
      </c>
      <c r="Y4282" t="s">
        <v>20899</v>
      </c>
    </row>
    <row r="4283" spans="1:25" x14ac:dyDescent="0.25">
      <c r="A4283" t="str">
        <f>"1668584742"</f>
        <v>1668584742</v>
      </c>
      <c r="B4283" t="s">
        <v>151</v>
      </c>
      <c r="C4283" t="s">
        <v>151</v>
      </c>
      <c r="D4283" t="s">
        <v>20900</v>
      </c>
      <c r="E4283">
        <v>424036</v>
      </c>
      <c r="F4283" t="s">
        <v>1</v>
      </c>
      <c r="G4283" t="s">
        <v>2</v>
      </c>
      <c r="H4283" t="s">
        <v>2291</v>
      </c>
      <c r="J4283" t="s">
        <v>20901</v>
      </c>
      <c r="M4283" t="s">
        <v>20902</v>
      </c>
      <c r="P4283" t="s">
        <v>152</v>
      </c>
      <c r="Y4283" t="s">
        <v>2872</v>
      </c>
    </row>
    <row r="4284" spans="1:25" x14ac:dyDescent="0.25">
      <c r="A4284" t="str">
        <f>"1668695999"</f>
        <v>1668695999</v>
      </c>
      <c r="B4284" t="s">
        <v>930</v>
      </c>
      <c r="C4284" t="s">
        <v>6070</v>
      </c>
      <c r="D4284" t="s">
        <v>20903</v>
      </c>
      <c r="F4284" t="s">
        <v>1</v>
      </c>
      <c r="G4284" t="s">
        <v>2</v>
      </c>
      <c r="H4284" t="s">
        <v>20904</v>
      </c>
      <c r="I4284" t="s">
        <v>20905</v>
      </c>
      <c r="J4284" t="s">
        <v>20906</v>
      </c>
      <c r="P4284" t="s">
        <v>330</v>
      </c>
      <c r="Y4284" t="s">
        <v>20907</v>
      </c>
    </row>
    <row r="4285" spans="1:25" x14ac:dyDescent="0.25">
      <c r="A4285" t="str">
        <f>"1669486168"</f>
        <v>1669486168</v>
      </c>
      <c r="B4285" t="s">
        <v>348</v>
      </c>
      <c r="C4285" t="s">
        <v>349</v>
      </c>
      <c r="D4285" t="s">
        <v>20908</v>
      </c>
      <c r="E4285">
        <v>424006</v>
      </c>
      <c r="F4285" t="s">
        <v>1</v>
      </c>
      <c r="G4285" t="s">
        <v>2</v>
      </c>
      <c r="H4285" t="s">
        <v>445</v>
      </c>
      <c r="J4285" t="s">
        <v>20909</v>
      </c>
      <c r="P4285" t="s">
        <v>27</v>
      </c>
      <c r="Y4285" t="s">
        <v>449</v>
      </c>
    </row>
    <row r="4286" spans="1:25" x14ac:dyDescent="0.25">
      <c r="A4286" t="str">
        <f>"1669624580"</f>
        <v>1669624580</v>
      </c>
      <c r="B4286" t="s">
        <v>176</v>
      </c>
      <c r="C4286" t="s">
        <v>20914</v>
      </c>
      <c r="D4286" t="s">
        <v>20910</v>
      </c>
      <c r="E4286">
        <v>424031</v>
      </c>
      <c r="F4286" t="s">
        <v>1</v>
      </c>
      <c r="G4286" t="s">
        <v>2</v>
      </c>
      <c r="H4286" t="s">
        <v>1273</v>
      </c>
      <c r="I4286" t="s">
        <v>20911</v>
      </c>
      <c r="L4286" t="s">
        <v>20912</v>
      </c>
      <c r="M4286" t="s">
        <v>20913</v>
      </c>
      <c r="P4286" t="s">
        <v>20915</v>
      </c>
      <c r="Y4286" t="s">
        <v>1276</v>
      </c>
    </row>
    <row r="4287" spans="1:25" x14ac:dyDescent="0.25">
      <c r="A4287" t="str">
        <f>"1670883957"</f>
        <v>1670883957</v>
      </c>
      <c r="B4287" t="s">
        <v>18</v>
      </c>
      <c r="C4287" t="s">
        <v>959</v>
      </c>
      <c r="D4287" t="s">
        <v>2329</v>
      </c>
      <c r="E4287">
        <v>424006</v>
      </c>
      <c r="F4287" t="s">
        <v>1</v>
      </c>
      <c r="G4287" t="s">
        <v>2</v>
      </c>
      <c r="H4287" t="s">
        <v>20916</v>
      </c>
      <c r="P4287" t="s">
        <v>330</v>
      </c>
      <c r="Y4287" t="s">
        <v>20917</v>
      </c>
    </row>
    <row r="4288" spans="1:25" x14ac:dyDescent="0.25">
      <c r="A4288" t="str">
        <f>"1670901767"</f>
        <v>1670901767</v>
      </c>
      <c r="B4288" t="s">
        <v>738</v>
      </c>
      <c r="C4288" t="s">
        <v>20920</v>
      </c>
      <c r="D4288" t="s">
        <v>2453</v>
      </c>
      <c r="E4288">
        <v>424004</v>
      </c>
      <c r="F4288" t="s">
        <v>1</v>
      </c>
      <c r="G4288" t="s">
        <v>2</v>
      </c>
      <c r="H4288" t="s">
        <v>20918</v>
      </c>
      <c r="I4288" t="s">
        <v>20919</v>
      </c>
      <c r="P4288" t="s">
        <v>410</v>
      </c>
      <c r="Y4288" t="s">
        <v>20921</v>
      </c>
    </row>
    <row r="4289" spans="1:25" x14ac:dyDescent="0.25">
      <c r="A4289" t="str">
        <f>"1671796389"</f>
        <v>1671796389</v>
      </c>
      <c r="B4289" t="s">
        <v>32</v>
      </c>
      <c r="C4289" t="s">
        <v>777</v>
      </c>
      <c r="D4289" t="s">
        <v>20922</v>
      </c>
      <c r="E4289">
        <v>424038</v>
      </c>
      <c r="F4289" t="s">
        <v>1</v>
      </c>
      <c r="G4289" t="s">
        <v>2</v>
      </c>
      <c r="H4289" t="s">
        <v>16988</v>
      </c>
      <c r="P4289" t="s">
        <v>20923</v>
      </c>
      <c r="Y4289" t="s">
        <v>20924</v>
      </c>
    </row>
    <row r="4290" spans="1:25" x14ac:dyDescent="0.25">
      <c r="A4290" t="str">
        <f>"1671823400"</f>
        <v>1671823400</v>
      </c>
      <c r="B4290" t="s">
        <v>1611</v>
      </c>
      <c r="C4290" t="s">
        <v>20927</v>
      </c>
      <c r="D4290" t="s">
        <v>20925</v>
      </c>
      <c r="E4290">
        <v>424028</v>
      </c>
      <c r="F4290" t="s">
        <v>1</v>
      </c>
      <c r="G4290" t="s">
        <v>2</v>
      </c>
      <c r="H4290" t="s">
        <v>3318</v>
      </c>
      <c r="I4290" t="s">
        <v>20926</v>
      </c>
      <c r="P4290" t="s">
        <v>3321</v>
      </c>
      <c r="Y4290" t="s">
        <v>20928</v>
      </c>
    </row>
    <row r="4291" spans="1:25" x14ac:dyDescent="0.25">
      <c r="A4291" t="str">
        <f>"1672010021"</f>
        <v>1672010021</v>
      </c>
      <c r="B4291" t="s">
        <v>25</v>
      </c>
      <c r="C4291" t="s">
        <v>59</v>
      </c>
      <c r="D4291" t="s">
        <v>20929</v>
      </c>
      <c r="F4291" t="s">
        <v>1</v>
      </c>
      <c r="G4291" t="s">
        <v>2</v>
      </c>
      <c r="H4291" t="s">
        <v>3984</v>
      </c>
      <c r="I4291" t="s">
        <v>20930</v>
      </c>
      <c r="J4291" t="s">
        <v>20931</v>
      </c>
      <c r="P4291" t="s">
        <v>133</v>
      </c>
      <c r="Y4291" t="s">
        <v>4409</v>
      </c>
    </row>
    <row r="4292" spans="1:25" x14ac:dyDescent="0.25">
      <c r="A4292" t="str">
        <f>"1672189507"</f>
        <v>1672189507</v>
      </c>
      <c r="B4292" t="s">
        <v>32</v>
      </c>
      <c r="C4292" t="s">
        <v>182</v>
      </c>
      <c r="D4292" t="s">
        <v>20932</v>
      </c>
      <c r="E4292">
        <v>424002</v>
      </c>
      <c r="F4292" t="s">
        <v>1</v>
      </c>
      <c r="G4292" t="s">
        <v>2</v>
      </c>
      <c r="H4292" t="s">
        <v>6656</v>
      </c>
      <c r="I4292" t="s">
        <v>20933</v>
      </c>
      <c r="P4292" t="s">
        <v>2050</v>
      </c>
      <c r="Y4292" t="s">
        <v>11652</v>
      </c>
    </row>
    <row r="4293" spans="1:25" x14ac:dyDescent="0.25">
      <c r="A4293" t="str">
        <f>"1673899139"</f>
        <v>1673899139</v>
      </c>
      <c r="B4293" t="s">
        <v>738</v>
      </c>
      <c r="C4293" t="s">
        <v>739</v>
      </c>
      <c r="D4293" t="s">
        <v>20934</v>
      </c>
      <c r="E4293">
        <v>424031</v>
      </c>
      <c r="F4293" t="s">
        <v>1</v>
      </c>
      <c r="G4293" t="s">
        <v>2</v>
      </c>
      <c r="H4293" t="s">
        <v>8799</v>
      </c>
      <c r="I4293" t="s">
        <v>20935</v>
      </c>
      <c r="J4293" t="s">
        <v>20936</v>
      </c>
      <c r="P4293" t="s">
        <v>5459</v>
      </c>
      <c r="Q4293" t="s">
        <v>20937</v>
      </c>
      <c r="Y4293" t="s">
        <v>20938</v>
      </c>
    </row>
    <row r="4294" spans="1:25" x14ac:dyDescent="0.25">
      <c r="A4294" t="str">
        <f>"1675224641"</f>
        <v>1675224641</v>
      </c>
      <c r="B4294" t="s">
        <v>18</v>
      </c>
      <c r="C4294" t="s">
        <v>143</v>
      </c>
      <c r="D4294" t="s">
        <v>20939</v>
      </c>
      <c r="E4294">
        <v>424007</v>
      </c>
      <c r="F4294" t="s">
        <v>1</v>
      </c>
      <c r="G4294" t="s">
        <v>2</v>
      </c>
      <c r="H4294" t="s">
        <v>220</v>
      </c>
      <c r="J4294" t="s">
        <v>20940</v>
      </c>
      <c r="L4294" t="s">
        <v>20941</v>
      </c>
      <c r="M4294" t="s">
        <v>20942</v>
      </c>
      <c r="P4294" t="s">
        <v>330</v>
      </c>
      <c r="Y4294" t="s">
        <v>227</v>
      </c>
    </row>
    <row r="4295" spans="1:25" x14ac:dyDescent="0.25">
      <c r="A4295" t="str">
        <f>"1675435650"</f>
        <v>1675435650</v>
      </c>
      <c r="B4295" t="s">
        <v>96</v>
      </c>
      <c r="C4295" t="s">
        <v>8479</v>
      </c>
      <c r="D4295" t="s">
        <v>20943</v>
      </c>
      <c r="E4295">
        <v>424005</v>
      </c>
      <c r="F4295" t="s">
        <v>1</v>
      </c>
      <c r="G4295" t="s">
        <v>2</v>
      </c>
      <c r="H4295" t="s">
        <v>7480</v>
      </c>
      <c r="J4295" t="s">
        <v>20944</v>
      </c>
      <c r="P4295" t="s">
        <v>941</v>
      </c>
      <c r="Y4295" t="s">
        <v>7482</v>
      </c>
    </row>
    <row r="4296" spans="1:25" x14ac:dyDescent="0.25">
      <c r="A4296" t="str">
        <f>"1675548396"</f>
        <v>1675548396</v>
      </c>
      <c r="B4296" t="s">
        <v>96</v>
      </c>
      <c r="C4296" t="s">
        <v>893</v>
      </c>
      <c r="D4296" t="s">
        <v>20945</v>
      </c>
      <c r="E4296">
        <v>424918</v>
      </c>
      <c r="F4296" t="s">
        <v>1</v>
      </c>
      <c r="G4296" t="s">
        <v>2</v>
      </c>
      <c r="H4296" t="s">
        <v>629</v>
      </c>
      <c r="I4296" t="s">
        <v>20946</v>
      </c>
      <c r="P4296" t="s">
        <v>630</v>
      </c>
      <c r="Y4296" t="s">
        <v>1744</v>
      </c>
    </row>
    <row r="4297" spans="1:25" x14ac:dyDescent="0.25">
      <c r="A4297" t="str">
        <f>"1675648669"</f>
        <v>1675648669</v>
      </c>
      <c r="B4297" t="s">
        <v>1352</v>
      </c>
      <c r="C4297" t="s">
        <v>11624</v>
      </c>
      <c r="D4297" t="s">
        <v>20947</v>
      </c>
      <c r="E4297">
        <v>424918</v>
      </c>
      <c r="F4297" t="s">
        <v>1</v>
      </c>
      <c r="G4297" t="s">
        <v>2</v>
      </c>
      <c r="H4297" t="s">
        <v>629</v>
      </c>
      <c r="I4297" t="s">
        <v>20948</v>
      </c>
      <c r="L4297" t="s">
        <v>20949</v>
      </c>
      <c r="P4297" t="s">
        <v>630</v>
      </c>
      <c r="Q4297" t="s">
        <v>20950</v>
      </c>
      <c r="Y4297" t="s">
        <v>1744</v>
      </c>
    </row>
    <row r="4298" spans="1:25" x14ac:dyDescent="0.25">
      <c r="A4298" t="str">
        <f>"1675847472"</f>
        <v>1675847472</v>
      </c>
      <c r="B4298" t="s">
        <v>80</v>
      </c>
      <c r="C4298" t="s">
        <v>15234</v>
      </c>
      <c r="D4298" t="s">
        <v>20951</v>
      </c>
      <c r="E4298">
        <v>424003</v>
      </c>
      <c r="F4298" t="s">
        <v>1</v>
      </c>
      <c r="G4298" t="s">
        <v>2</v>
      </c>
      <c r="H4298" t="s">
        <v>1042</v>
      </c>
      <c r="J4298" t="s">
        <v>20952</v>
      </c>
      <c r="P4298" t="s">
        <v>5649</v>
      </c>
      <c r="Y4298" t="s">
        <v>11321</v>
      </c>
    </row>
    <row r="4299" spans="1:25" x14ac:dyDescent="0.25">
      <c r="A4299" t="str">
        <f>"1675878838"</f>
        <v>1675878838</v>
      </c>
      <c r="B4299" t="s">
        <v>1152</v>
      </c>
      <c r="C4299" t="s">
        <v>1159</v>
      </c>
      <c r="D4299" t="s">
        <v>20953</v>
      </c>
      <c r="E4299">
        <v>424002</v>
      </c>
      <c r="F4299" t="s">
        <v>1</v>
      </c>
      <c r="G4299" t="s">
        <v>2</v>
      </c>
      <c r="H4299" t="s">
        <v>16252</v>
      </c>
      <c r="I4299" t="s">
        <v>20954</v>
      </c>
      <c r="M4299" t="s">
        <v>20955</v>
      </c>
      <c r="P4299" t="s">
        <v>280</v>
      </c>
      <c r="Y4299" t="s">
        <v>16254</v>
      </c>
    </row>
    <row r="4300" spans="1:25" x14ac:dyDescent="0.25">
      <c r="A4300" t="str">
        <f>"1676286101"</f>
        <v>1676286101</v>
      </c>
      <c r="B4300" t="s">
        <v>352</v>
      </c>
      <c r="C4300" t="s">
        <v>20959</v>
      </c>
      <c r="D4300" t="s">
        <v>20956</v>
      </c>
      <c r="E4300">
        <v>424037</v>
      </c>
      <c r="F4300" t="s">
        <v>1</v>
      </c>
      <c r="G4300" t="s">
        <v>2</v>
      </c>
      <c r="H4300" t="s">
        <v>615</v>
      </c>
      <c r="J4300" t="s">
        <v>20957</v>
      </c>
      <c r="M4300" t="s">
        <v>20958</v>
      </c>
      <c r="P4300" t="s">
        <v>60</v>
      </c>
      <c r="Q4300" t="s">
        <v>20960</v>
      </c>
      <c r="Y4300" t="s">
        <v>20961</v>
      </c>
    </row>
    <row r="4301" spans="1:25" x14ac:dyDescent="0.25">
      <c r="A4301" t="str">
        <f>"1676501743"</f>
        <v>1676501743</v>
      </c>
      <c r="B4301" t="s">
        <v>224</v>
      </c>
      <c r="C4301" t="s">
        <v>20966</v>
      </c>
      <c r="D4301" t="s">
        <v>20962</v>
      </c>
      <c r="E4301">
        <v>424007</v>
      </c>
      <c r="F4301" t="s">
        <v>1</v>
      </c>
      <c r="G4301" t="s">
        <v>2</v>
      </c>
      <c r="H4301" t="s">
        <v>1654</v>
      </c>
      <c r="I4301" t="s">
        <v>20963</v>
      </c>
      <c r="L4301" t="s">
        <v>20964</v>
      </c>
      <c r="M4301" t="s">
        <v>20965</v>
      </c>
      <c r="P4301" t="s">
        <v>280</v>
      </c>
      <c r="Y4301" t="s">
        <v>1661</v>
      </c>
    </row>
    <row r="4302" spans="1:25" x14ac:dyDescent="0.25">
      <c r="A4302" t="str">
        <f>"1676512271"</f>
        <v>1676512271</v>
      </c>
      <c r="B4302" t="s">
        <v>738</v>
      </c>
      <c r="C4302" t="s">
        <v>2456</v>
      </c>
      <c r="D4302" t="s">
        <v>13207</v>
      </c>
      <c r="E4302">
        <v>424005</v>
      </c>
      <c r="F4302" t="s">
        <v>1</v>
      </c>
      <c r="G4302" t="s">
        <v>2</v>
      </c>
      <c r="H4302" t="s">
        <v>8989</v>
      </c>
      <c r="J4302" t="s">
        <v>20967</v>
      </c>
      <c r="P4302" t="s">
        <v>410</v>
      </c>
      <c r="Y4302" t="s">
        <v>20968</v>
      </c>
    </row>
    <row r="4303" spans="1:25" x14ac:dyDescent="0.25">
      <c r="A4303" t="str">
        <f>"1676965439"</f>
        <v>1676965439</v>
      </c>
      <c r="B4303" t="s">
        <v>25</v>
      </c>
      <c r="C4303" t="s">
        <v>26</v>
      </c>
      <c r="D4303" t="s">
        <v>20969</v>
      </c>
      <c r="E4303">
        <v>424006</v>
      </c>
      <c r="F4303" t="s">
        <v>1</v>
      </c>
      <c r="G4303" t="s">
        <v>2</v>
      </c>
      <c r="H4303" t="s">
        <v>4821</v>
      </c>
      <c r="I4303" t="s">
        <v>20970</v>
      </c>
      <c r="P4303" t="s">
        <v>152</v>
      </c>
      <c r="Y4303" t="s">
        <v>4825</v>
      </c>
    </row>
    <row r="4304" spans="1:25" x14ac:dyDescent="0.25">
      <c r="A4304" t="str">
        <f>"1677075165"</f>
        <v>1677075165</v>
      </c>
      <c r="B4304" t="s">
        <v>18</v>
      </c>
      <c r="C4304" t="s">
        <v>4522</v>
      </c>
      <c r="D4304" t="s">
        <v>20971</v>
      </c>
      <c r="E4304">
        <v>424030</v>
      </c>
      <c r="F4304" t="s">
        <v>1</v>
      </c>
      <c r="G4304" t="s">
        <v>2</v>
      </c>
      <c r="H4304" t="s">
        <v>20972</v>
      </c>
      <c r="I4304" t="s">
        <v>20973</v>
      </c>
      <c r="J4304" t="s">
        <v>20974</v>
      </c>
      <c r="P4304" t="s">
        <v>2280</v>
      </c>
      <c r="Y4304" t="s">
        <v>20975</v>
      </c>
    </row>
    <row r="4305" spans="1:25" x14ac:dyDescent="0.25">
      <c r="A4305" t="str">
        <f>"1677421851"</f>
        <v>1677421851</v>
      </c>
      <c r="B4305" t="s">
        <v>738</v>
      </c>
      <c r="C4305" t="s">
        <v>20979</v>
      </c>
      <c r="D4305" t="s">
        <v>20976</v>
      </c>
      <c r="E4305">
        <v>424005</v>
      </c>
      <c r="F4305" t="s">
        <v>1</v>
      </c>
      <c r="G4305" t="s">
        <v>2</v>
      </c>
      <c r="H4305" t="s">
        <v>1148</v>
      </c>
      <c r="I4305" t="s">
        <v>20977</v>
      </c>
      <c r="J4305" t="s">
        <v>20978</v>
      </c>
      <c r="P4305" t="s">
        <v>216</v>
      </c>
      <c r="Y4305" t="s">
        <v>20980</v>
      </c>
    </row>
    <row r="4306" spans="1:25" x14ac:dyDescent="0.25">
      <c r="A4306" t="str">
        <f>"1677772908"</f>
        <v>1677772908</v>
      </c>
      <c r="B4306" t="s">
        <v>2601</v>
      </c>
      <c r="C4306" t="s">
        <v>5375</v>
      </c>
      <c r="D4306" t="s">
        <v>20981</v>
      </c>
      <c r="E4306">
        <v>424019</v>
      </c>
      <c r="F4306" t="s">
        <v>1</v>
      </c>
      <c r="G4306" t="s">
        <v>2</v>
      </c>
      <c r="H4306" t="s">
        <v>7785</v>
      </c>
      <c r="L4306" t="s">
        <v>20982</v>
      </c>
      <c r="M4306" t="s">
        <v>20983</v>
      </c>
      <c r="P4306" t="s">
        <v>98</v>
      </c>
      <c r="Y4306" t="s">
        <v>20984</v>
      </c>
    </row>
    <row r="4307" spans="1:25" x14ac:dyDescent="0.25">
      <c r="A4307" t="str">
        <f>"1678084595"</f>
        <v>1678084595</v>
      </c>
      <c r="B4307" t="s">
        <v>334</v>
      </c>
      <c r="C4307" t="s">
        <v>8894</v>
      </c>
      <c r="D4307" t="s">
        <v>20985</v>
      </c>
      <c r="E4307">
        <v>424000</v>
      </c>
      <c r="F4307" t="s">
        <v>1</v>
      </c>
      <c r="G4307" t="s">
        <v>2</v>
      </c>
      <c r="H4307" t="s">
        <v>20986</v>
      </c>
      <c r="I4307" t="s">
        <v>20987</v>
      </c>
      <c r="J4307" t="s">
        <v>20988</v>
      </c>
      <c r="P4307" t="s">
        <v>10331</v>
      </c>
      <c r="Y4307" t="s">
        <v>20989</v>
      </c>
    </row>
    <row r="4308" spans="1:25" x14ac:dyDescent="0.25">
      <c r="A4308" t="str">
        <f>"1678476020"</f>
        <v>1678476020</v>
      </c>
      <c r="B4308" t="s">
        <v>3700</v>
      </c>
      <c r="C4308" t="s">
        <v>4023</v>
      </c>
      <c r="D4308" t="s">
        <v>20990</v>
      </c>
      <c r="E4308">
        <v>424016</v>
      </c>
      <c r="F4308" t="s">
        <v>1</v>
      </c>
      <c r="G4308" t="s">
        <v>2</v>
      </c>
      <c r="H4308" t="s">
        <v>5561</v>
      </c>
      <c r="I4308" t="s">
        <v>20991</v>
      </c>
      <c r="P4308" t="s">
        <v>20992</v>
      </c>
      <c r="Y4308" t="s">
        <v>20993</v>
      </c>
    </row>
    <row r="4309" spans="1:25" x14ac:dyDescent="0.25">
      <c r="A4309" t="str">
        <f>"1678779338"</f>
        <v>1678779338</v>
      </c>
      <c r="B4309" t="s">
        <v>96</v>
      </c>
      <c r="C4309" t="s">
        <v>893</v>
      </c>
      <c r="D4309" t="s">
        <v>20994</v>
      </c>
      <c r="E4309">
        <v>424918</v>
      </c>
      <c r="F4309" t="s">
        <v>1</v>
      </c>
      <c r="G4309" t="s">
        <v>2</v>
      </c>
      <c r="H4309" t="s">
        <v>629</v>
      </c>
      <c r="I4309" t="s">
        <v>20946</v>
      </c>
      <c r="P4309" t="s">
        <v>630</v>
      </c>
      <c r="Y4309" t="s">
        <v>1744</v>
      </c>
    </row>
    <row r="4310" spans="1:25" x14ac:dyDescent="0.25">
      <c r="A4310" t="str">
        <f>"1678790340"</f>
        <v>1678790340</v>
      </c>
      <c r="B4310" t="s">
        <v>687</v>
      </c>
      <c r="C4310" t="s">
        <v>20998</v>
      </c>
      <c r="D4310" t="s">
        <v>20995</v>
      </c>
      <c r="E4310">
        <v>424004</v>
      </c>
      <c r="F4310" t="s">
        <v>1</v>
      </c>
      <c r="G4310" t="s">
        <v>2</v>
      </c>
      <c r="H4310" t="s">
        <v>186</v>
      </c>
      <c r="I4310" t="s">
        <v>20996</v>
      </c>
      <c r="L4310" t="s">
        <v>597</v>
      </c>
      <c r="M4310" t="s">
        <v>20997</v>
      </c>
      <c r="P4310" t="s">
        <v>2020</v>
      </c>
      <c r="Y4310" t="s">
        <v>190</v>
      </c>
    </row>
    <row r="4311" spans="1:25" x14ac:dyDescent="0.25">
      <c r="A4311" t="str">
        <f>"1678859005"</f>
        <v>1678859005</v>
      </c>
      <c r="B4311" t="s">
        <v>1617</v>
      </c>
      <c r="C4311" t="s">
        <v>21001</v>
      </c>
      <c r="D4311" t="s">
        <v>20999</v>
      </c>
      <c r="F4311" t="s">
        <v>1</v>
      </c>
      <c r="G4311" t="s">
        <v>2</v>
      </c>
      <c r="H4311" t="s">
        <v>21000</v>
      </c>
      <c r="P4311" t="s">
        <v>8361</v>
      </c>
      <c r="Y4311" t="s">
        <v>21002</v>
      </c>
    </row>
    <row r="4312" spans="1:25" x14ac:dyDescent="0.25">
      <c r="A4312" t="str">
        <f>"1679084529"</f>
        <v>1679084529</v>
      </c>
      <c r="B4312" t="s">
        <v>3544</v>
      </c>
      <c r="C4312" t="s">
        <v>21005</v>
      </c>
      <c r="D4312" t="s">
        <v>21003</v>
      </c>
      <c r="E4312">
        <v>424038</v>
      </c>
      <c r="F4312" t="s">
        <v>1</v>
      </c>
      <c r="G4312" t="s">
        <v>2</v>
      </c>
      <c r="H4312" t="s">
        <v>13118</v>
      </c>
      <c r="I4312" t="s">
        <v>21004</v>
      </c>
      <c r="L4312" t="s">
        <v>13121</v>
      </c>
      <c r="M4312" t="s">
        <v>13122</v>
      </c>
      <c r="P4312" t="s">
        <v>21006</v>
      </c>
      <c r="Y4312" t="s">
        <v>21007</v>
      </c>
    </row>
    <row r="4313" spans="1:25" x14ac:dyDescent="0.25">
      <c r="A4313" t="str">
        <f>"1679596988"</f>
        <v>1679596988</v>
      </c>
      <c r="B4313" t="s">
        <v>334</v>
      </c>
      <c r="C4313" t="s">
        <v>21011</v>
      </c>
      <c r="D4313" t="s">
        <v>14962</v>
      </c>
      <c r="F4313" t="s">
        <v>1</v>
      </c>
      <c r="G4313" t="s">
        <v>2</v>
      </c>
      <c r="H4313" t="s">
        <v>3984</v>
      </c>
      <c r="J4313" t="s">
        <v>21008</v>
      </c>
      <c r="L4313" t="s">
        <v>21009</v>
      </c>
      <c r="M4313" t="s">
        <v>21010</v>
      </c>
      <c r="P4313" t="s">
        <v>5084</v>
      </c>
      <c r="Y4313" t="s">
        <v>4409</v>
      </c>
    </row>
    <row r="4314" spans="1:25" x14ac:dyDescent="0.25">
      <c r="A4314" t="str">
        <f>"1679932239"</f>
        <v>1679932239</v>
      </c>
      <c r="B4314" t="s">
        <v>18</v>
      </c>
      <c r="C4314" t="s">
        <v>959</v>
      </c>
      <c r="D4314" t="s">
        <v>8516</v>
      </c>
      <c r="E4314">
        <v>424000</v>
      </c>
      <c r="F4314" t="s">
        <v>1</v>
      </c>
      <c r="G4314" t="s">
        <v>2</v>
      </c>
      <c r="H4314" t="s">
        <v>5814</v>
      </c>
      <c r="J4314" t="s">
        <v>21012</v>
      </c>
      <c r="P4314" t="s">
        <v>330</v>
      </c>
      <c r="Y4314" t="s">
        <v>5817</v>
      </c>
    </row>
    <row r="4315" spans="1:25" x14ac:dyDescent="0.25">
      <c r="A4315" t="str">
        <f>"1680105513"</f>
        <v>1680105513</v>
      </c>
      <c r="B4315" t="s">
        <v>18</v>
      </c>
      <c r="C4315" t="s">
        <v>21015</v>
      </c>
      <c r="D4315" t="s">
        <v>21013</v>
      </c>
      <c r="E4315">
        <v>424006</v>
      </c>
      <c r="F4315" t="s">
        <v>1</v>
      </c>
      <c r="G4315" t="s">
        <v>2</v>
      </c>
      <c r="H4315" t="s">
        <v>1436</v>
      </c>
      <c r="I4315" t="s">
        <v>21014</v>
      </c>
      <c r="P4315" t="s">
        <v>11727</v>
      </c>
      <c r="Y4315" t="s">
        <v>1443</v>
      </c>
    </row>
    <row r="4316" spans="1:25" x14ac:dyDescent="0.25">
      <c r="A4316" t="str">
        <f>"1680170880"</f>
        <v>1680170880</v>
      </c>
      <c r="B4316" t="s">
        <v>1758</v>
      </c>
      <c r="C4316" t="s">
        <v>7867</v>
      </c>
      <c r="D4316" t="s">
        <v>21016</v>
      </c>
      <c r="E4316">
        <v>424000</v>
      </c>
      <c r="F4316" t="s">
        <v>1</v>
      </c>
      <c r="G4316" t="s">
        <v>2</v>
      </c>
      <c r="H4316" t="s">
        <v>164</v>
      </c>
      <c r="I4316" t="s">
        <v>21017</v>
      </c>
      <c r="L4316" t="s">
        <v>9725</v>
      </c>
      <c r="M4316" t="s">
        <v>9726</v>
      </c>
      <c r="P4316" t="s">
        <v>362</v>
      </c>
      <c r="Q4316" t="s">
        <v>21018</v>
      </c>
      <c r="Y4316" t="s">
        <v>172</v>
      </c>
    </row>
    <row r="4317" spans="1:25" x14ac:dyDescent="0.25">
      <c r="A4317" t="str">
        <f>"1680415514"</f>
        <v>1680415514</v>
      </c>
      <c r="B4317" t="s">
        <v>574</v>
      </c>
      <c r="C4317" t="s">
        <v>21020</v>
      </c>
      <c r="D4317" t="s">
        <v>21019</v>
      </c>
      <c r="E4317">
        <v>424031</v>
      </c>
      <c r="F4317" t="s">
        <v>1</v>
      </c>
      <c r="G4317" t="s">
        <v>2</v>
      </c>
      <c r="H4317" t="s">
        <v>16588</v>
      </c>
      <c r="P4317" t="s">
        <v>9840</v>
      </c>
      <c r="Y4317" t="s">
        <v>21021</v>
      </c>
    </row>
    <row r="4318" spans="1:25" x14ac:dyDescent="0.25">
      <c r="A4318" t="str">
        <f>"1680516575"</f>
        <v>1680516575</v>
      </c>
      <c r="B4318" t="s">
        <v>18</v>
      </c>
      <c r="C4318" t="s">
        <v>21025</v>
      </c>
      <c r="D4318" t="s">
        <v>21022</v>
      </c>
      <c r="F4318" t="s">
        <v>1</v>
      </c>
      <c r="G4318" t="s">
        <v>2</v>
      </c>
      <c r="H4318" t="s">
        <v>21023</v>
      </c>
      <c r="J4318" t="s">
        <v>21024</v>
      </c>
      <c r="P4318" t="s">
        <v>152</v>
      </c>
      <c r="Y4318" t="s">
        <v>21026</v>
      </c>
    </row>
    <row r="4319" spans="1:25" x14ac:dyDescent="0.25">
      <c r="A4319" t="str">
        <f>"1680621042"</f>
        <v>1680621042</v>
      </c>
      <c r="B4319" t="s">
        <v>1230</v>
      </c>
      <c r="C4319" t="s">
        <v>21029</v>
      </c>
      <c r="D4319" t="s">
        <v>21027</v>
      </c>
      <c r="F4319" t="s">
        <v>1</v>
      </c>
      <c r="G4319" t="s">
        <v>2</v>
      </c>
      <c r="H4319" t="s">
        <v>2018</v>
      </c>
      <c r="I4319" t="s">
        <v>21028</v>
      </c>
      <c r="P4319" t="s">
        <v>27</v>
      </c>
      <c r="Y4319" t="s">
        <v>2131</v>
      </c>
    </row>
    <row r="4320" spans="1:25" x14ac:dyDescent="0.25">
      <c r="A4320" t="str">
        <f>"1680630042"</f>
        <v>1680630042</v>
      </c>
      <c r="B4320" t="s">
        <v>7312</v>
      </c>
      <c r="C4320" t="s">
        <v>21032</v>
      </c>
      <c r="D4320" t="s">
        <v>21030</v>
      </c>
      <c r="E4320">
        <v>424008</v>
      </c>
      <c r="F4320" t="s">
        <v>1</v>
      </c>
      <c r="G4320" t="s">
        <v>2</v>
      </c>
      <c r="H4320" t="s">
        <v>528</v>
      </c>
      <c r="J4320" t="s">
        <v>21031</v>
      </c>
      <c r="P4320" t="s">
        <v>280</v>
      </c>
      <c r="Y4320" t="s">
        <v>6427</v>
      </c>
    </row>
    <row r="4321" spans="1:25" x14ac:dyDescent="0.25">
      <c r="A4321" t="str">
        <f>"1681380367"</f>
        <v>1681380367</v>
      </c>
      <c r="B4321" t="s">
        <v>930</v>
      </c>
      <c r="C4321" t="s">
        <v>12071</v>
      </c>
      <c r="D4321" t="s">
        <v>18876</v>
      </c>
      <c r="E4321">
        <v>424040</v>
      </c>
      <c r="F4321" t="s">
        <v>1</v>
      </c>
      <c r="G4321" t="s">
        <v>2</v>
      </c>
      <c r="H4321" t="s">
        <v>21033</v>
      </c>
      <c r="I4321" t="s">
        <v>21034</v>
      </c>
      <c r="J4321" t="s">
        <v>21035</v>
      </c>
      <c r="P4321" t="s">
        <v>330</v>
      </c>
      <c r="Y4321" t="s">
        <v>21036</v>
      </c>
    </row>
    <row r="4322" spans="1:25" x14ac:dyDescent="0.25">
      <c r="A4322" t="str">
        <f>"1681392208"</f>
        <v>1681392208</v>
      </c>
      <c r="B4322" t="s">
        <v>88</v>
      </c>
      <c r="C4322" t="s">
        <v>21039</v>
      </c>
      <c r="D4322" t="s">
        <v>21037</v>
      </c>
      <c r="E4322">
        <v>424000</v>
      </c>
      <c r="F4322" t="s">
        <v>1</v>
      </c>
      <c r="G4322" t="s">
        <v>2</v>
      </c>
      <c r="H4322" t="s">
        <v>1473</v>
      </c>
      <c r="J4322" t="s">
        <v>21038</v>
      </c>
      <c r="P4322" t="s">
        <v>2315</v>
      </c>
      <c r="Y4322" t="s">
        <v>21040</v>
      </c>
    </row>
    <row r="4323" spans="1:25" x14ac:dyDescent="0.25">
      <c r="A4323" t="str">
        <f>"1681897826"</f>
        <v>1681897826</v>
      </c>
      <c r="B4323" t="s">
        <v>151</v>
      </c>
      <c r="C4323" t="s">
        <v>151</v>
      </c>
      <c r="D4323" t="s">
        <v>21041</v>
      </c>
      <c r="E4323">
        <v>424006</v>
      </c>
      <c r="F4323" t="s">
        <v>1</v>
      </c>
      <c r="G4323" t="s">
        <v>2</v>
      </c>
      <c r="H4323" t="s">
        <v>830</v>
      </c>
      <c r="I4323" t="s">
        <v>21042</v>
      </c>
      <c r="P4323" t="s">
        <v>21043</v>
      </c>
      <c r="Y4323" t="s">
        <v>3830</v>
      </c>
    </row>
    <row r="4324" spans="1:25" x14ac:dyDescent="0.25">
      <c r="A4324" t="str">
        <f>"1682097570"</f>
        <v>1682097570</v>
      </c>
      <c r="B4324" t="s">
        <v>96</v>
      </c>
      <c r="C4324" t="s">
        <v>21046</v>
      </c>
      <c r="D4324" t="s">
        <v>21044</v>
      </c>
      <c r="E4324">
        <v>424038</v>
      </c>
      <c r="F4324" t="s">
        <v>1</v>
      </c>
      <c r="G4324" t="s">
        <v>2</v>
      </c>
      <c r="H4324" t="s">
        <v>7597</v>
      </c>
      <c r="J4324" t="s">
        <v>21045</v>
      </c>
      <c r="P4324" t="s">
        <v>1642</v>
      </c>
      <c r="Y4324" t="s">
        <v>21047</v>
      </c>
    </row>
    <row r="4325" spans="1:25" x14ac:dyDescent="0.25">
      <c r="A4325" t="str">
        <f>"1682135897"</f>
        <v>1682135897</v>
      </c>
      <c r="B4325" t="s">
        <v>3200</v>
      </c>
      <c r="C4325" t="s">
        <v>18948</v>
      </c>
      <c r="D4325" t="s">
        <v>21048</v>
      </c>
      <c r="E4325">
        <v>424008</v>
      </c>
      <c r="F4325" t="s">
        <v>1</v>
      </c>
      <c r="G4325" t="s">
        <v>2</v>
      </c>
      <c r="H4325" t="s">
        <v>1031</v>
      </c>
      <c r="P4325" t="s">
        <v>2079</v>
      </c>
      <c r="Y4325" t="s">
        <v>21049</v>
      </c>
    </row>
    <row r="4326" spans="1:25" x14ac:dyDescent="0.25">
      <c r="A4326" t="str">
        <f>"1682357219"</f>
        <v>1682357219</v>
      </c>
      <c r="B4326" t="s">
        <v>348</v>
      </c>
      <c r="C4326" t="s">
        <v>1954</v>
      </c>
      <c r="D4326" t="s">
        <v>1949</v>
      </c>
      <c r="E4326">
        <v>424031</v>
      </c>
      <c r="F4326" t="s">
        <v>1</v>
      </c>
      <c r="G4326" t="s">
        <v>2</v>
      </c>
      <c r="H4326" t="s">
        <v>4622</v>
      </c>
      <c r="J4326" t="s">
        <v>21050</v>
      </c>
      <c r="L4326" t="s">
        <v>1952</v>
      </c>
      <c r="M4326" t="s">
        <v>5244</v>
      </c>
      <c r="P4326" t="s">
        <v>21051</v>
      </c>
      <c r="Q4326" t="s">
        <v>21052</v>
      </c>
      <c r="Y4326" t="s">
        <v>21053</v>
      </c>
    </row>
    <row r="4327" spans="1:25" x14ac:dyDescent="0.25">
      <c r="A4327" t="str">
        <f>"1683218271"</f>
        <v>1683218271</v>
      </c>
      <c r="B4327" t="s">
        <v>18</v>
      </c>
      <c r="C4327" t="s">
        <v>1419</v>
      </c>
      <c r="D4327" t="s">
        <v>21054</v>
      </c>
      <c r="E4327">
        <v>424004</v>
      </c>
      <c r="F4327" t="s">
        <v>1</v>
      </c>
      <c r="G4327" t="s">
        <v>2</v>
      </c>
      <c r="H4327" t="s">
        <v>4844</v>
      </c>
      <c r="I4327" t="s">
        <v>21055</v>
      </c>
      <c r="P4327" t="s">
        <v>4848</v>
      </c>
      <c r="Y4327" t="s">
        <v>21056</v>
      </c>
    </row>
    <row r="4328" spans="1:25" x14ac:dyDescent="0.25">
      <c r="A4328" t="str">
        <f>"1683487001"</f>
        <v>1683487001</v>
      </c>
      <c r="B4328" t="s">
        <v>96</v>
      </c>
      <c r="C4328" t="s">
        <v>21061</v>
      </c>
      <c r="D4328" t="s">
        <v>21057</v>
      </c>
      <c r="E4328">
        <v>424033</v>
      </c>
      <c r="F4328" t="s">
        <v>1</v>
      </c>
      <c r="G4328" t="s">
        <v>2</v>
      </c>
      <c r="H4328" t="s">
        <v>4300</v>
      </c>
      <c r="I4328" t="s">
        <v>21058</v>
      </c>
      <c r="L4328" t="s">
        <v>21059</v>
      </c>
      <c r="M4328" t="s">
        <v>21060</v>
      </c>
      <c r="P4328" t="s">
        <v>21062</v>
      </c>
      <c r="Q4328" t="s">
        <v>21063</v>
      </c>
      <c r="Y4328" t="s">
        <v>10046</v>
      </c>
    </row>
    <row r="4329" spans="1:25" x14ac:dyDescent="0.25">
      <c r="A4329" t="str">
        <f>"1683869557"</f>
        <v>1683869557</v>
      </c>
      <c r="B4329" t="s">
        <v>888</v>
      </c>
      <c r="C4329" t="s">
        <v>1947</v>
      </c>
      <c r="D4329" t="s">
        <v>21064</v>
      </c>
      <c r="E4329">
        <v>424002</v>
      </c>
      <c r="F4329" t="s">
        <v>1</v>
      </c>
      <c r="G4329" t="s">
        <v>2</v>
      </c>
      <c r="H4329" t="s">
        <v>2164</v>
      </c>
      <c r="I4329" t="s">
        <v>21065</v>
      </c>
      <c r="K4329" t="s">
        <v>21066</v>
      </c>
      <c r="P4329" t="s">
        <v>390</v>
      </c>
      <c r="Y4329" t="s">
        <v>2166</v>
      </c>
    </row>
    <row r="4330" spans="1:25" x14ac:dyDescent="0.25">
      <c r="A4330" t="str">
        <f>"1684393422"</f>
        <v>1684393422</v>
      </c>
      <c r="B4330" t="s">
        <v>1078</v>
      </c>
      <c r="C4330" t="s">
        <v>21069</v>
      </c>
      <c r="D4330" t="s">
        <v>21067</v>
      </c>
      <c r="E4330">
        <v>424003</v>
      </c>
      <c r="F4330" t="s">
        <v>1</v>
      </c>
      <c r="G4330" t="s">
        <v>2</v>
      </c>
      <c r="H4330" t="s">
        <v>7152</v>
      </c>
      <c r="I4330" t="s">
        <v>21068</v>
      </c>
      <c r="P4330" t="s">
        <v>2050</v>
      </c>
      <c r="Y4330" t="s">
        <v>7157</v>
      </c>
    </row>
    <row r="4331" spans="1:25" x14ac:dyDescent="0.25">
      <c r="A4331" t="str">
        <f>"1684656622"</f>
        <v>1684656622</v>
      </c>
      <c r="B4331" t="s">
        <v>1053</v>
      </c>
      <c r="C4331" t="s">
        <v>1927</v>
      </c>
      <c r="D4331" t="s">
        <v>16023</v>
      </c>
      <c r="E4331">
        <v>424000</v>
      </c>
      <c r="F4331" t="s">
        <v>1</v>
      </c>
      <c r="G4331" t="s">
        <v>2</v>
      </c>
      <c r="H4331" t="s">
        <v>5523</v>
      </c>
      <c r="I4331" t="s">
        <v>21070</v>
      </c>
      <c r="L4331" t="s">
        <v>21071</v>
      </c>
      <c r="P4331" t="s">
        <v>21072</v>
      </c>
      <c r="Y4331" t="s">
        <v>5529</v>
      </c>
    </row>
    <row r="4332" spans="1:25" x14ac:dyDescent="0.25">
      <c r="A4332" t="str">
        <f>"1684668717"</f>
        <v>1684668717</v>
      </c>
      <c r="B4332" t="s">
        <v>3008</v>
      </c>
      <c r="C4332" t="s">
        <v>21078</v>
      </c>
      <c r="D4332" t="s">
        <v>21073</v>
      </c>
      <c r="E4332">
        <v>424006</v>
      </c>
      <c r="F4332" t="s">
        <v>1</v>
      </c>
      <c r="G4332" t="s">
        <v>2</v>
      </c>
      <c r="H4332" t="s">
        <v>21074</v>
      </c>
      <c r="I4332" t="s">
        <v>21075</v>
      </c>
      <c r="L4332" t="s">
        <v>21076</v>
      </c>
      <c r="M4332" t="s">
        <v>21077</v>
      </c>
      <c r="P4332" t="s">
        <v>20</v>
      </c>
      <c r="Y4332" t="s">
        <v>21079</v>
      </c>
    </row>
    <row r="4333" spans="1:25" x14ac:dyDescent="0.25">
      <c r="A4333" t="str">
        <f>"1684734773"</f>
        <v>1684734773</v>
      </c>
      <c r="B4333" t="s">
        <v>430</v>
      </c>
      <c r="C4333" t="s">
        <v>17210</v>
      </c>
      <c r="D4333" t="s">
        <v>276</v>
      </c>
      <c r="F4333" t="s">
        <v>1</v>
      </c>
      <c r="G4333" t="s">
        <v>2</v>
      </c>
      <c r="H4333" t="s">
        <v>21080</v>
      </c>
      <c r="I4333" t="s">
        <v>21081</v>
      </c>
      <c r="J4333" t="s">
        <v>21082</v>
      </c>
      <c r="Q4333" t="s">
        <v>21083</v>
      </c>
      <c r="Y4333" t="s">
        <v>21084</v>
      </c>
    </row>
    <row r="4334" spans="1:25" x14ac:dyDescent="0.25">
      <c r="A4334" t="str">
        <f>"1684903490"</f>
        <v>1684903490</v>
      </c>
      <c r="B4334" t="s">
        <v>96</v>
      </c>
      <c r="C4334" t="s">
        <v>893</v>
      </c>
      <c r="D4334" t="s">
        <v>13619</v>
      </c>
      <c r="E4334">
        <v>424918</v>
      </c>
      <c r="F4334" t="s">
        <v>1</v>
      </c>
      <c r="G4334" t="s">
        <v>2</v>
      </c>
      <c r="H4334" t="s">
        <v>629</v>
      </c>
      <c r="P4334" t="s">
        <v>630</v>
      </c>
      <c r="Y4334" t="s">
        <v>21085</v>
      </c>
    </row>
    <row r="4335" spans="1:25" x14ac:dyDescent="0.25">
      <c r="A4335" t="str">
        <f>"1685164420"</f>
        <v>1685164420</v>
      </c>
      <c r="B4335" t="s">
        <v>348</v>
      </c>
      <c r="C4335" t="s">
        <v>349</v>
      </c>
      <c r="D4335" t="s">
        <v>21086</v>
      </c>
      <c r="E4335">
        <v>424002</v>
      </c>
      <c r="F4335" t="s">
        <v>1</v>
      </c>
      <c r="G4335" t="s">
        <v>2</v>
      </c>
      <c r="H4335" t="s">
        <v>11341</v>
      </c>
      <c r="I4335" t="s">
        <v>21087</v>
      </c>
      <c r="L4335" t="s">
        <v>21088</v>
      </c>
      <c r="P4335" t="s">
        <v>21089</v>
      </c>
      <c r="Q4335" t="s">
        <v>21090</v>
      </c>
      <c r="T4335" t="s">
        <v>21091</v>
      </c>
      <c r="V4335" t="s">
        <v>21092</v>
      </c>
      <c r="Y4335" t="s">
        <v>21093</v>
      </c>
    </row>
    <row r="4336" spans="1:25" x14ac:dyDescent="0.25">
      <c r="A4336" t="str">
        <f>"1685338241"</f>
        <v>1685338241</v>
      </c>
      <c r="B4336" t="s">
        <v>290</v>
      </c>
      <c r="C4336" t="s">
        <v>21096</v>
      </c>
      <c r="D4336" t="s">
        <v>21094</v>
      </c>
      <c r="F4336" t="s">
        <v>1</v>
      </c>
      <c r="G4336" t="s">
        <v>2</v>
      </c>
      <c r="H4336" t="s">
        <v>757</v>
      </c>
      <c r="I4336" t="s">
        <v>21095</v>
      </c>
      <c r="P4336" t="s">
        <v>10410</v>
      </c>
      <c r="Y4336" t="s">
        <v>21097</v>
      </c>
    </row>
    <row r="4337" spans="1:25" x14ac:dyDescent="0.25">
      <c r="A4337" t="str">
        <f>"1685588361"</f>
        <v>1685588361</v>
      </c>
      <c r="B4337" t="s">
        <v>96</v>
      </c>
      <c r="C4337" t="s">
        <v>5155</v>
      </c>
      <c r="D4337" t="s">
        <v>21098</v>
      </c>
      <c r="E4337">
        <v>424000</v>
      </c>
      <c r="F4337" t="s">
        <v>1</v>
      </c>
      <c r="G4337" t="s">
        <v>2</v>
      </c>
      <c r="H4337" t="s">
        <v>6578</v>
      </c>
      <c r="L4337" t="s">
        <v>21099</v>
      </c>
      <c r="M4337" t="s">
        <v>21100</v>
      </c>
      <c r="Y4337" t="s">
        <v>21101</v>
      </c>
    </row>
    <row r="4338" spans="1:25" x14ac:dyDescent="0.25">
      <c r="A4338" t="str">
        <f>"1685719000"</f>
        <v>1685719000</v>
      </c>
      <c r="B4338" t="s">
        <v>4084</v>
      </c>
      <c r="C4338" t="s">
        <v>7951</v>
      </c>
      <c r="D4338" t="s">
        <v>21102</v>
      </c>
      <c r="E4338">
        <v>424031</v>
      </c>
      <c r="F4338" t="s">
        <v>1</v>
      </c>
      <c r="G4338" t="s">
        <v>2</v>
      </c>
      <c r="H4338" t="s">
        <v>21103</v>
      </c>
      <c r="I4338" t="s">
        <v>21104</v>
      </c>
      <c r="M4338" t="s">
        <v>21105</v>
      </c>
      <c r="P4338" t="s">
        <v>21106</v>
      </c>
      <c r="Q4338" t="s">
        <v>21107</v>
      </c>
      <c r="Y4338" t="s">
        <v>21108</v>
      </c>
    </row>
    <row r="4339" spans="1:25" x14ac:dyDescent="0.25">
      <c r="A4339" t="str">
        <f>"1685787174"</f>
        <v>1685787174</v>
      </c>
      <c r="B4339" t="s">
        <v>574</v>
      </c>
      <c r="C4339" t="s">
        <v>646</v>
      </c>
      <c r="D4339" t="s">
        <v>21109</v>
      </c>
      <c r="E4339">
        <v>424000</v>
      </c>
      <c r="F4339" t="s">
        <v>1</v>
      </c>
      <c r="G4339" t="s">
        <v>2</v>
      </c>
      <c r="H4339" t="s">
        <v>164</v>
      </c>
      <c r="P4339" t="s">
        <v>799</v>
      </c>
      <c r="Y4339" t="s">
        <v>21110</v>
      </c>
    </row>
    <row r="4340" spans="1:25" x14ac:dyDescent="0.25">
      <c r="A4340" t="str">
        <f>"1685991087"</f>
        <v>1685991087</v>
      </c>
      <c r="B4340" t="s">
        <v>18</v>
      </c>
      <c r="C4340" t="s">
        <v>21112</v>
      </c>
      <c r="D4340" t="s">
        <v>21111</v>
      </c>
      <c r="E4340">
        <v>424006</v>
      </c>
      <c r="F4340" t="s">
        <v>1</v>
      </c>
      <c r="G4340" t="s">
        <v>2</v>
      </c>
      <c r="H4340" t="s">
        <v>830</v>
      </c>
      <c r="P4340" t="s">
        <v>27</v>
      </c>
      <c r="Y4340" t="s">
        <v>3830</v>
      </c>
    </row>
    <row r="4341" spans="1:25" x14ac:dyDescent="0.25">
      <c r="A4341" t="str">
        <f>"1686208006"</f>
        <v>1686208006</v>
      </c>
      <c r="B4341" t="s">
        <v>176</v>
      </c>
      <c r="C4341" t="s">
        <v>250</v>
      </c>
      <c r="D4341" t="s">
        <v>21113</v>
      </c>
      <c r="E4341">
        <v>424031</v>
      </c>
      <c r="F4341" t="s">
        <v>1</v>
      </c>
      <c r="G4341" t="s">
        <v>2</v>
      </c>
      <c r="H4341" t="s">
        <v>7118</v>
      </c>
      <c r="J4341" t="s">
        <v>21114</v>
      </c>
      <c r="P4341" t="s">
        <v>60</v>
      </c>
      <c r="Y4341" t="s">
        <v>7120</v>
      </c>
    </row>
    <row r="4342" spans="1:25" x14ac:dyDescent="0.25">
      <c r="A4342" t="str">
        <f>"1686297440"</f>
        <v>1686297440</v>
      </c>
      <c r="B4342" t="s">
        <v>1053</v>
      </c>
      <c r="C4342" t="s">
        <v>1799</v>
      </c>
      <c r="D4342" t="s">
        <v>21115</v>
      </c>
      <c r="E4342">
        <v>424016</v>
      </c>
      <c r="F4342" t="s">
        <v>1</v>
      </c>
      <c r="G4342" t="s">
        <v>2</v>
      </c>
      <c r="H4342" t="s">
        <v>4568</v>
      </c>
      <c r="I4342" t="s">
        <v>21116</v>
      </c>
      <c r="P4342" t="s">
        <v>20</v>
      </c>
      <c r="Y4342" t="s">
        <v>4574</v>
      </c>
    </row>
    <row r="4343" spans="1:25" x14ac:dyDescent="0.25">
      <c r="A4343" t="str">
        <f>"1686402519"</f>
        <v>1686402519</v>
      </c>
      <c r="B4343" t="s">
        <v>703</v>
      </c>
      <c r="C4343" t="s">
        <v>7344</v>
      </c>
      <c r="D4343" t="s">
        <v>7344</v>
      </c>
      <c r="E4343">
        <v>424016</v>
      </c>
      <c r="F4343" t="s">
        <v>1</v>
      </c>
      <c r="G4343" t="s">
        <v>2</v>
      </c>
      <c r="H4343" t="s">
        <v>5561</v>
      </c>
      <c r="J4343" t="s">
        <v>21117</v>
      </c>
      <c r="P4343" t="s">
        <v>390</v>
      </c>
      <c r="Y4343" t="s">
        <v>5567</v>
      </c>
    </row>
    <row r="4344" spans="1:25" x14ac:dyDescent="0.25">
      <c r="A4344" t="str">
        <f>"1686443832"</f>
        <v>1686443832</v>
      </c>
      <c r="B4344" t="s">
        <v>1617</v>
      </c>
      <c r="C4344" t="s">
        <v>21001</v>
      </c>
      <c r="D4344" t="s">
        <v>20999</v>
      </c>
      <c r="E4344">
        <v>424002</v>
      </c>
      <c r="F4344" t="s">
        <v>1</v>
      </c>
      <c r="G4344" t="s">
        <v>2</v>
      </c>
      <c r="H4344" t="s">
        <v>1190</v>
      </c>
      <c r="P4344" t="s">
        <v>21118</v>
      </c>
      <c r="Y4344" t="s">
        <v>21119</v>
      </c>
    </row>
    <row r="4345" spans="1:25" x14ac:dyDescent="0.25">
      <c r="A4345" t="str">
        <f>"1686601388"</f>
        <v>1686601388</v>
      </c>
      <c r="B4345" t="s">
        <v>4084</v>
      </c>
      <c r="C4345" t="s">
        <v>7951</v>
      </c>
      <c r="D4345" t="s">
        <v>21120</v>
      </c>
      <c r="F4345" t="s">
        <v>1</v>
      </c>
      <c r="G4345" t="s">
        <v>2</v>
      </c>
      <c r="H4345" t="s">
        <v>16710</v>
      </c>
      <c r="Y4345" t="s">
        <v>21121</v>
      </c>
    </row>
    <row r="4346" spans="1:25" x14ac:dyDescent="0.25">
      <c r="A4346" t="str">
        <f>"1687068102"</f>
        <v>1687068102</v>
      </c>
      <c r="B4346" t="s">
        <v>3544</v>
      </c>
      <c r="C4346" t="s">
        <v>11303</v>
      </c>
      <c r="D4346" t="s">
        <v>21122</v>
      </c>
      <c r="E4346">
        <v>424000</v>
      </c>
      <c r="F4346" t="s">
        <v>1</v>
      </c>
      <c r="G4346" t="s">
        <v>2</v>
      </c>
      <c r="H4346" t="s">
        <v>11086</v>
      </c>
      <c r="I4346" t="s">
        <v>21123</v>
      </c>
      <c r="P4346" t="s">
        <v>20</v>
      </c>
      <c r="Y4346" t="s">
        <v>21124</v>
      </c>
    </row>
    <row r="4347" spans="1:25" x14ac:dyDescent="0.25">
      <c r="A4347" t="str">
        <f>"1687388827"</f>
        <v>1687388827</v>
      </c>
      <c r="B4347" t="s">
        <v>32</v>
      </c>
      <c r="C4347" t="s">
        <v>40</v>
      </c>
      <c r="D4347" t="s">
        <v>21125</v>
      </c>
      <c r="E4347">
        <v>424006</v>
      </c>
      <c r="F4347" t="s">
        <v>1</v>
      </c>
      <c r="G4347" t="s">
        <v>2</v>
      </c>
      <c r="H4347" t="s">
        <v>20740</v>
      </c>
      <c r="P4347" t="s">
        <v>20089</v>
      </c>
      <c r="Y4347" t="s">
        <v>21126</v>
      </c>
    </row>
    <row r="4348" spans="1:25" x14ac:dyDescent="0.25">
      <c r="A4348" t="str">
        <f>"1688330773"</f>
        <v>1688330773</v>
      </c>
      <c r="B4348" t="s">
        <v>1617</v>
      </c>
      <c r="C4348" t="s">
        <v>21001</v>
      </c>
      <c r="D4348" t="s">
        <v>20999</v>
      </c>
      <c r="E4348">
        <v>424003</v>
      </c>
      <c r="F4348" t="s">
        <v>1</v>
      </c>
      <c r="G4348" t="s">
        <v>2</v>
      </c>
      <c r="H4348" t="s">
        <v>21127</v>
      </c>
      <c r="P4348" t="s">
        <v>21118</v>
      </c>
      <c r="Y4348" t="s">
        <v>21128</v>
      </c>
    </row>
    <row r="4349" spans="1:25" x14ac:dyDescent="0.25">
      <c r="A4349" t="str">
        <f>"1688500097"</f>
        <v>1688500097</v>
      </c>
      <c r="B4349" t="s">
        <v>1053</v>
      </c>
      <c r="C4349" t="s">
        <v>1799</v>
      </c>
      <c r="D4349" t="s">
        <v>17603</v>
      </c>
      <c r="E4349">
        <v>424019</v>
      </c>
      <c r="F4349" t="s">
        <v>1</v>
      </c>
      <c r="G4349" t="s">
        <v>2</v>
      </c>
      <c r="H4349" t="s">
        <v>1801</v>
      </c>
      <c r="I4349" t="s">
        <v>21129</v>
      </c>
      <c r="P4349" t="s">
        <v>280</v>
      </c>
      <c r="Y4349" t="s">
        <v>1804</v>
      </c>
    </row>
    <row r="4350" spans="1:25" x14ac:dyDescent="0.25">
      <c r="A4350" t="str">
        <f>"1689044462"</f>
        <v>1689044462</v>
      </c>
      <c r="B4350" t="s">
        <v>352</v>
      </c>
      <c r="C4350" t="s">
        <v>21132</v>
      </c>
      <c r="D4350" t="s">
        <v>21130</v>
      </c>
      <c r="E4350">
        <v>424004</v>
      </c>
      <c r="F4350" t="s">
        <v>1</v>
      </c>
      <c r="G4350" t="s">
        <v>2</v>
      </c>
      <c r="H4350" t="s">
        <v>906</v>
      </c>
      <c r="J4350" t="s">
        <v>21131</v>
      </c>
      <c r="P4350" t="s">
        <v>2738</v>
      </c>
      <c r="Q4350" t="s">
        <v>21133</v>
      </c>
      <c r="R4350" t="s">
        <v>21134</v>
      </c>
      <c r="Y4350" t="s">
        <v>7005</v>
      </c>
    </row>
    <row r="4351" spans="1:25" x14ac:dyDescent="0.25">
      <c r="A4351" t="str">
        <f>"1689510294"</f>
        <v>1689510294</v>
      </c>
      <c r="B4351" t="s">
        <v>7312</v>
      </c>
      <c r="C4351" t="s">
        <v>21136</v>
      </c>
      <c r="D4351" t="s">
        <v>21135</v>
      </c>
      <c r="E4351">
        <v>424000</v>
      </c>
      <c r="F4351" t="s">
        <v>1</v>
      </c>
      <c r="G4351" t="s">
        <v>2</v>
      </c>
      <c r="H4351" t="s">
        <v>10803</v>
      </c>
      <c r="Y4351" t="s">
        <v>21137</v>
      </c>
    </row>
    <row r="4352" spans="1:25" x14ac:dyDescent="0.25">
      <c r="A4352" t="str">
        <f>"1689817376"</f>
        <v>1689817376</v>
      </c>
      <c r="B4352" t="s">
        <v>18</v>
      </c>
      <c r="C4352" t="s">
        <v>21140</v>
      </c>
      <c r="D4352" t="s">
        <v>21138</v>
      </c>
      <c r="E4352">
        <v>424000</v>
      </c>
      <c r="F4352" t="s">
        <v>1</v>
      </c>
      <c r="G4352" t="s">
        <v>2</v>
      </c>
      <c r="H4352" t="s">
        <v>1531</v>
      </c>
      <c r="I4352" t="s">
        <v>21139</v>
      </c>
      <c r="P4352" t="s">
        <v>17774</v>
      </c>
      <c r="Y4352" t="s">
        <v>1707</v>
      </c>
    </row>
    <row r="4353" spans="1:25" x14ac:dyDescent="0.25">
      <c r="A4353" t="str">
        <f>"1689948359"</f>
        <v>1689948359</v>
      </c>
      <c r="B4353" t="s">
        <v>96</v>
      </c>
      <c r="C4353" t="s">
        <v>507</v>
      </c>
      <c r="D4353" t="s">
        <v>13619</v>
      </c>
      <c r="E4353">
        <v>424019</v>
      </c>
      <c r="F4353" t="s">
        <v>1</v>
      </c>
      <c r="G4353" t="s">
        <v>2</v>
      </c>
      <c r="H4353" t="s">
        <v>7785</v>
      </c>
      <c r="J4353" t="s">
        <v>21141</v>
      </c>
      <c r="P4353" t="s">
        <v>98</v>
      </c>
      <c r="Y4353" t="s">
        <v>10467</v>
      </c>
    </row>
    <row r="4354" spans="1:25" x14ac:dyDescent="0.25">
      <c r="A4354" t="str">
        <f>"1690104131"</f>
        <v>1690104131</v>
      </c>
      <c r="B4354" t="s">
        <v>18</v>
      </c>
      <c r="C4354" t="s">
        <v>12289</v>
      </c>
      <c r="D4354" t="s">
        <v>12289</v>
      </c>
      <c r="E4354">
        <v>424038</v>
      </c>
      <c r="F4354" t="s">
        <v>1</v>
      </c>
      <c r="G4354" t="s">
        <v>2</v>
      </c>
      <c r="H4354" t="s">
        <v>386</v>
      </c>
      <c r="I4354" t="s">
        <v>21142</v>
      </c>
      <c r="P4354" t="s">
        <v>3776</v>
      </c>
      <c r="Y4354" t="s">
        <v>21143</v>
      </c>
    </row>
    <row r="4355" spans="1:25" x14ac:dyDescent="0.25">
      <c r="A4355" t="str">
        <f>"1690224869"</f>
        <v>1690224869</v>
      </c>
      <c r="B4355" t="s">
        <v>574</v>
      </c>
      <c r="C4355" t="s">
        <v>21145</v>
      </c>
      <c r="D4355" t="s">
        <v>11854</v>
      </c>
      <c r="E4355">
        <v>424032</v>
      </c>
      <c r="F4355" t="s">
        <v>1</v>
      </c>
      <c r="G4355" t="s">
        <v>2</v>
      </c>
      <c r="H4355" t="s">
        <v>21144</v>
      </c>
      <c r="P4355" t="s">
        <v>216</v>
      </c>
      <c r="Y4355" t="s">
        <v>21146</v>
      </c>
    </row>
    <row r="4356" spans="1:25" x14ac:dyDescent="0.25">
      <c r="A4356" t="str">
        <f>"1690323272"</f>
        <v>1690323272</v>
      </c>
      <c r="B4356" t="s">
        <v>456</v>
      </c>
      <c r="C4356" t="s">
        <v>1522</v>
      </c>
      <c r="D4356" t="s">
        <v>21147</v>
      </c>
      <c r="E4356">
        <v>424038</v>
      </c>
      <c r="F4356" t="s">
        <v>1</v>
      </c>
      <c r="G4356" t="s">
        <v>2</v>
      </c>
      <c r="H4356" t="s">
        <v>546</v>
      </c>
      <c r="J4356" t="s">
        <v>21148</v>
      </c>
      <c r="L4356" t="s">
        <v>21149</v>
      </c>
      <c r="P4356" t="s">
        <v>152</v>
      </c>
      <c r="Q4356" t="s">
        <v>21150</v>
      </c>
      <c r="R4356" t="s">
        <v>21151</v>
      </c>
      <c r="Y4356" t="s">
        <v>549</v>
      </c>
    </row>
    <row r="4357" spans="1:25" x14ac:dyDescent="0.25">
      <c r="A4357" t="str">
        <f>"1690605652"</f>
        <v>1690605652</v>
      </c>
      <c r="B4357" t="s">
        <v>574</v>
      </c>
      <c r="C4357" t="s">
        <v>14269</v>
      </c>
      <c r="D4357" t="s">
        <v>21152</v>
      </c>
      <c r="E4357">
        <v>424040</v>
      </c>
      <c r="F4357" t="s">
        <v>1</v>
      </c>
      <c r="G4357" t="s">
        <v>2</v>
      </c>
      <c r="H4357" t="s">
        <v>20151</v>
      </c>
      <c r="I4357" t="s">
        <v>21153</v>
      </c>
      <c r="L4357" t="s">
        <v>21154</v>
      </c>
      <c r="M4357" t="s">
        <v>21155</v>
      </c>
      <c r="P4357" t="s">
        <v>216</v>
      </c>
      <c r="Y4357" t="s">
        <v>21156</v>
      </c>
    </row>
    <row r="4358" spans="1:25" x14ac:dyDescent="0.25">
      <c r="A4358" t="str">
        <f>"1690608960"</f>
        <v>1690608960</v>
      </c>
      <c r="B4358" t="s">
        <v>1053</v>
      </c>
      <c r="C4358" t="s">
        <v>4372</v>
      </c>
      <c r="D4358" t="s">
        <v>21157</v>
      </c>
      <c r="E4358">
        <v>424006</v>
      </c>
      <c r="F4358" t="s">
        <v>1</v>
      </c>
      <c r="G4358" t="s">
        <v>2</v>
      </c>
      <c r="H4358" t="s">
        <v>1436</v>
      </c>
      <c r="I4358" t="s">
        <v>21158</v>
      </c>
      <c r="P4358" t="s">
        <v>10713</v>
      </c>
      <c r="Y4358" t="s">
        <v>1443</v>
      </c>
    </row>
    <row r="4359" spans="1:25" x14ac:dyDescent="0.25">
      <c r="A4359" t="str">
        <f>"1690822060"</f>
        <v>1690822060</v>
      </c>
      <c r="B4359" t="s">
        <v>1352</v>
      </c>
      <c r="C4359" t="s">
        <v>1353</v>
      </c>
      <c r="D4359" t="s">
        <v>21159</v>
      </c>
      <c r="E4359">
        <v>424918</v>
      </c>
      <c r="F4359" t="s">
        <v>1</v>
      </c>
      <c r="G4359" t="s">
        <v>2</v>
      </c>
      <c r="H4359" t="s">
        <v>629</v>
      </c>
      <c r="P4359" t="s">
        <v>630</v>
      </c>
      <c r="Y4359" t="s">
        <v>21160</v>
      </c>
    </row>
    <row r="4360" spans="1:25" x14ac:dyDescent="0.25">
      <c r="A4360" t="str">
        <f>"1691143547"</f>
        <v>1691143547</v>
      </c>
      <c r="B4360" t="s">
        <v>2104</v>
      </c>
      <c r="C4360" t="s">
        <v>2105</v>
      </c>
      <c r="D4360" t="s">
        <v>21161</v>
      </c>
      <c r="E4360">
        <v>424019</v>
      </c>
      <c r="F4360" t="s">
        <v>1</v>
      </c>
      <c r="G4360" t="s">
        <v>2</v>
      </c>
      <c r="H4360" t="s">
        <v>9271</v>
      </c>
      <c r="I4360" t="s">
        <v>21162</v>
      </c>
      <c r="L4360" t="s">
        <v>21163</v>
      </c>
      <c r="M4360" t="s">
        <v>21164</v>
      </c>
      <c r="P4360" t="s">
        <v>2513</v>
      </c>
      <c r="Y4360" t="s">
        <v>21165</v>
      </c>
    </row>
    <row r="4361" spans="1:25" x14ac:dyDescent="0.25">
      <c r="A4361" t="str">
        <f>"1691452721"</f>
        <v>1691452721</v>
      </c>
      <c r="B4361" t="s">
        <v>574</v>
      </c>
      <c r="C4361" t="s">
        <v>14269</v>
      </c>
      <c r="D4361" t="s">
        <v>21166</v>
      </c>
      <c r="E4361">
        <v>424031</v>
      </c>
      <c r="F4361" t="s">
        <v>1</v>
      </c>
      <c r="G4361" t="s">
        <v>2</v>
      </c>
      <c r="H4361" t="s">
        <v>1900</v>
      </c>
      <c r="P4361" t="s">
        <v>21167</v>
      </c>
      <c r="Y4361" t="s">
        <v>21168</v>
      </c>
    </row>
    <row r="4362" spans="1:25" x14ac:dyDescent="0.25">
      <c r="A4362" t="str">
        <f>"1692060594"</f>
        <v>1692060594</v>
      </c>
      <c r="B4362" t="s">
        <v>738</v>
      </c>
      <c r="C4362" t="s">
        <v>21173</v>
      </c>
      <c r="D4362" t="s">
        <v>21169</v>
      </c>
      <c r="E4362">
        <v>424031</v>
      </c>
      <c r="F4362" t="s">
        <v>1</v>
      </c>
      <c r="G4362" t="s">
        <v>2</v>
      </c>
      <c r="H4362" t="s">
        <v>4622</v>
      </c>
      <c r="I4362" t="s">
        <v>21170</v>
      </c>
      <c r="L4362" t="s">
        <v>21171</v>
      </c>
      <c r="M4362" t="s">
        <v>21172</v>
      </c>
      <c r="P4362" t="s">
        <v>1514</v>
      </c>
      <c r="Y4362" t="s">
        <v>7838</v>
      </c>
    </row>
    <row r="4363" spans="1:25" x14ac:dyDescent="0.25">
      <c r="A4363" t="str">
        <f>"1692519901"</f>
        <v>1692519901</v>
      </c>
      <c r="B4363" t="s">
        <v>2104</v>
      </c>
      <c r="C4363" t="s">
        <v>21175</v>
      </c>
      <c r="D4363" t="s">
        <v>21174</v>
      </c>
      <c r="E4363">
        <v>424000</v>
      </c>
      <c r="F4363" t="s">
        <v>1</v>
      </c>
      <c r="G4363" t="s">
        <v>2</v>
      </c>
      <c r="H4363" t="s">
        <v>265</v>
      </c>
      <c r="P4363" t="s">
        <v>647</v>
      </c>
      <c r="Y4363" t="s">
        <v>21176</v>
      </c>
    </row>
    <row r="4364" spans="1:25" x14ac:dyDescent="0.25">
      <c r="A4364" t="str">
        <f>"1692649120"</f>
        <v>1692649120</v>
      </c>
      <c r="B4364" t="s">
        <v>1053</v>
      </c>
      <c r="C4364" t="s">
        <v>21178</v>
      </c>
      <c r="D4364" t="s">
        <v>21177</v>
      </c>
      <c r="E4364">
        <v>424007</v>
      </c>
      <c r="F4364" t="s">
        <v>1</v>
      </c>
      <c r="G4364" t="s">
        <v>2</v>
      </c>
      <c r="H4364" t="s">
        <v>1566</v>
      </c>
      <c r="I4364" t="s">
        <v>5766</v>
      </c>
      <c r="P4364" t="s">
        <v>280</v>
      </c>
      <c r="Y4364" t="s">
        <v>21179</v>
      </c>
    </row>
    <row r="4365" spans="1:25" x14ac:dyDescent="0.25">
      <c r="A4365" t="str">
        <f>"1692861864"</f>
        <v>1692861864</v>
      </c>
      <c r="B4365" t="s">
        <v>553</v>
      </c>
      <c r="C4365" t="s">
        <v>554</v>
      </c>
      <c r="D4365" t="s">
        <v>21180</v>
      </c>
      <c r="E4365">
        <v>424033</v>
      </c>
      <c r="F4365" t="s">
        <v>1</v>
      </c>
      <c r="G4365" t="s">
        <v>2</v>
      </c>
      <c r="H4365" t="s">
        <v>6953</v>
      </c>
      <c r="P4365" t="s">
        <v>21181</v>
      </c>
      <c r="Y4365" t="s">
        <v>13534</v>
      </c>
    </row>
    <row r="4366" spans="1:25" x14ac:dyDescent="0.25">
      <c r="A4366" t="str">
        <f>"1692977891"</f>
        <v>1692977891</v>
      </c>
      <c r="B4366" t="s">
        <v>151</v>
      </c>
      <c r="C4366" t="s">
        <v>151</v>
      </c>
      <c r="D4366" t="s">
        <v>21182</v>
      </c>
      <c r="E4366">
        <v>424007</v>
      </c>
      <c r="F4366" t="s">
        <v>1</v>
      </c>
      <c r="G4366" t="s">
        <v>2</v>
      </c>
      <c r="H4366" t="s">
        <v>14570</v>
      </c>
      <c r="I4366" t="s">
        <v>21183</v>
      </c>
      <c r="P4366" t="s">
        <v>21184</v>
      </c>
      <c r="Y4366" t="s">
        <v>14573</v>
      </c>
    </row>
    <row r="4367" spans="1:25" x14ac:dyDescent="0.25">
      <c r="A4367" t="str">
        <f>"1693502894"</f>
        <v>1693502894</v>
      </c>
      <c r="B4367" t="s">
        <v>110</v>
      </c>
      <c r="C4367" t="s">
        <v>111</v>
      </c>
      <c r="D4367" t="s">
        <v>21185</v>
      </c>
      <c r="E4367">
        <v>424003</v>
      </c>
      <c r="F4367" t="s">
        <v>1</v>
      </c>
      <c r="G4367" t="s">
        <v>2</v>
      </c>
      <c r="H4367" t="s">
        <v>7152</v>
      </c>
      <c r="P4367" t="s">
        <v>216</v>
      </c>
      <c r="Y4367" t="s">
        <v>7157</v>
      </c>
    </row>
    <row r="4368" spans="1:25" x14ac:dyDescent="0.25">
      <c r="A4368" t="str">
        <f>"1693538799"</f>
        <v>1693538799</v>
      </c>
      <c r="B4368" t="s">
        <v>151</v>
      </c>
      <c r="C4368" t="s">
        <v>151</v>
      </c>
      <c r="D4368" t="s">
        <v>21186</v>
      </c>
      <c r="E4368">
        <v>424000</v>
      </c>
      <c r="F4368" t="s">
        <v>1</v>
      </c>
      <c r="G4368" t="s">
        <v>2</v>
      </c>
      <c r="H4368" t="s">
        <v>6578</v>
      </c>
      <c r="I4368" t="s">
        <v>21187</v>
      </c>
      <c r="L4368" t="s">
        <v>21188</v>
      </c>
      <c r="P4368" t="s">
        <v>1420</v>
      </c>
      <c r="Q4368" t="s">
        <v>21189</v>
      </c>
      <c r="T4368" t="s">
        <v>21190</v>
      </c>
      <c r="Y4368" t="s">
        <v>21191</v>
      </c>
    </row>
    <row r="4369" spans="1:25" x14ac:dyDescent="0.25">
      <c r="A4369" t="str">
        <f>"1694174100"</f>
        <v>1694174100</v>
      </c>
      <c r="B4369" t="s">
        <v>18</v>
      </c>
      <c r="C4369" t="s">
        <v>143</v>
      </c>
      <c r="D4369" t="s">
        <v>21192</v>
      </c>
      <c r="E4369">
        <v>424005</v>
      </c>
      <c r="F4369" t="s">
        <v>1</v>
      </c>
      <c r="G4369" t="s">
        <v>2</v>
      </c>
      <c r="H4369" t="s">
        <v>1310</v>
      </c>
      <c r="J4369" t="s">
        <v>21193</v>
      </c>
      <c r="P4369" t="s">
        <v>280</v>
      </c>
      <c r="Y4369" t="s">
        <v>3926</v>
      </c>
    </row>
    <row r="4370" spans="1:25" x14ac:dyDescent="0.25">
      <c r="A4370" t="str">
        <f>"1694434690"</f>
        <v>1694434690</v>
      </c>
      <c r="B4370" t="s">
        <v>18</v>
      </c>
      <c r="C4370" t="s">
        <v>21197</v>
      </c>
      <c r="D4370" t="s">
        <v>21194</v>
      </c>
      <c r="E4370">
        <v>424006</v>
      </c>
      <c r="F4370" t="s">
        <v>1</v>
      </c>
      <c r="G4370" t="s">
        <v>2</v>
      </c>
      <c r="H4370" t="s">
        <v>1436</v>
      </c>
      <c r="I4370" t="s">
        <v>21195</v>
      </c>
      <c r="M4370" t="s">
        <v>21196</v>
      </c>
      <c r="P4370" t="s">
        <v>1404</v>
      </c>
      <c r="Y4370" t="s">
        <v>1443</v>
      </c>
    </row>
    <row r="4371" spans="1:25" x14ac:dyDescent="0.25">
      <c r="A4371" t="str">
        <f>"1694637663"</f>
        <v>1694637663</v>
      </c>
      <c r="B4371" t="s">
        <v>6609</v>
      </c>
      <c r="C4371" t="s">
        <v>6610</v>
      </c>
      <c r="D4371" t="s">
        <v>21198</v>
      </c>
      <c r="E4371">
        <v>424006</v>
      </c>
      <c r="F4371" t="s">
        <v>1</v>
      </c>
      <c r="G4371" t="s">
        <v>2</v>
      </c>
      <c r="H4371" t="s">
        <v>2185</v>
      </c>
      <c r="J4371" t="s">
        <v>21199</v>
      </c>
      <c r="L4371" t="s">
        <v>21200</v>
      </c>
      <c r="M4371" t="s">
        <v>21201</v>
      </c>
      <c r="P4371" t="s">
        <v>21202</v>
      </c>
      <c r="Y4371" t="s">
        <v>21203</v>
      </c>
    </row>
    <row r="4372" spans="1:25" x14ac:dyDescent="0.25">
      <c r="A4372" t="str">
        <f>"1694770986"</f>
        <v>1694770986</v>
      </c>
      <c r="B4372" t="s">
        <v>456</v>
      </c>
      <c r="C4372" t="s">
        <v>21209</v>
      </c>
      <c r="D4372" t="s">
        <v>21204</v>
      </c>
      <c r="E4372">
        <v>424039</v>
      </c>
      <c r="F4372" t="s">
        <v>1</v>
      </c>
      <c r="G4372" t="s">
        <v>2</v>
      </c>
      <c r="H4372" t="s">
        <v>21205</v>
      </c>
      <c r="I4372" t="s">
        <v>21206</v>
      </c>
      <c r="L4372" t="s">
        <v>21207</v>
      </c>
      <c r="M4372" t="s">
        <v>21208</v>
      </c>
      <c r="P4372" t="s">
        <v>390</v>
      </c>
      <c r="Y4372" t="s">
        <v>21210</v>
      </c>
    </row>
    <row r="4373" spans="1:25" x14ac:dyDescent="0.25">
      <c r="A4373" t="str">
        <f>"1695949250"</f>
        <v>1695949250</v>
      </c>
      <c r="B4373" t="s">
        <v>243</v>
      </c>
      <c r="C4373" t="s">
        <v>2538</v>
      </c>
      <c r="D4373" t="s">
        <v>11679</v>
      </c>
      <c r="E4373">
        <v>424039</v>
      </c>
      <c r="F4373" t="s">
        <v>1</v>
      </c>
      <c r="G4373" t="s">
        <v>2</v>
      </c>
      <c r="H4373" t="s">
        <v>12212</v>
      </c>
      <c r="P4373" t="s">
        <v>21211</v>
      </c>
      <c r="Y4373" t="s">
        <v>12214</v>
      </c>
    </row>
    <row r="4374" spans="1:25" x14ac:dyDescent="0.25">
      <c r="A4374" t="str">
        <f>"1696017858"</f>
        <v>1696017858</v>
      </c>
      <c r="B4374" t="s">
        <v>687</v>
      </c>
      <c r="C4374" t="s">
        <v>5413</v>
      </c>
      <c r="D4374" t="s">
        <v>21212</v>
      </c>
      <c r="E4374">
        <v>424004</v>
      </c>
      <c r="F4374" t="s">
        <v>1</v>
      </c>
      <c r="G4374" t="s">
        <v>2</v>
      </c>
      <c r="H4374" t="s">
        <v>1590</v>
      </c>
      <c r="I4374" t="s">
        <v>21213</v>
      </c>
      <c r="J4374" t="s">
        <v>21214</v>
      </c>
      <c r="L4374" t="s">
        <v>21215</v>
      </c>
      <c r="M4374" t="s">
        <v>21216</v>
      </c>
      <c r="P4374" t="s">
        <v>1232</v>
      </c>
      <c r="Y4374" t="s">
        <v>1593</v>
      </c>
    </row>
    <row r="4375" spans="1:25" x14ac:dyDescent="0.25">
      <c r="A4375" t="str">
        <f>"1696369683"</f>
        <v>1696369683</v>
      </c>
      <c r="B4375" t="s">
        <v>430</v>
      </c>
      <c r="C4375" t="s">
        <v>2431</v>
      </c>
      <c r="D4375" t="s">
        <v>15496</v>
      </c>
      <c r="F4375" t="s">
        <v>1</v>
      </c>
      <c r="G4375" t="s">
        <v>2</v>
      </c>
      <c r="H4375" t="s">
        <v>20364</v>
      </c>
      <c r="J4375" t="s">
        <v>21217</v>
      </c>
      <c r="P4375" t="s">
        <v>941</v>
      </c>
      <c r="Y4375" t="s">
        <v>21218</v>
      </c>
    </row>
    <row r="4376" spans="1:25" x14ac:dyDescent="0.25">
      <c r="A4376" t="str">
        <f>"1696393997"</f>
        <v>1696393997</v>
      </c>
      <c r="B4376" t="s">
        <v>930</v>
      </c>
      <c r="C4376" t="s">
        <v>21222</v>
      </c>
      <c r="D4376" t="s">
        <v>21219</v>
      </c>
      <c r="E4376">
        <v>424004</v>
      </c>
      <c r="F4376" t="s">
        <v>1</v>
      </c>
      <c r="G4376" t="s">
        <v>2</v>
      </c>
      <c r="H4376" t="s">
        <v>4036</v>
      </c>
      <c r="I4376" t="s">
        <v>21220</v>
      </c>
      <c r="J4376" t="s">
        <v>21221</v>
      </c>
      <c r="P4376" t="s">
        <v>27</v>
      </c>
      <c r="Y4376" t="s">
        <v>21223</v>
      </c>
    </row>
    <row r="4377" spans="1:25" x14ac:dyDescent="0.25">
      <c r="A4377" t="str">
        <f>"1696574073"</f>
        <v>1696574073</v>
      </c>
      <c r="B4377" t="s">
        <v>352</v>
      </c>
      <c r="C4377" t="s">
        <v>21227</v>
      </c>
      <c r="D4377" t="s">
        <v>21224</v>
      </c>
      <c r="F4377" t="s">
        <v>1</v>
      </c>
      <c r="G4377" t="s">
        <v>2</v>
      </c>
      <c r="H4377" t="s">
        <v>6026</v>
      </c>
      <c r="J4377" t="s">
        <v>21225</v>
      </c>
      <c r="L4377" t="s">
        <v>16920</v>
      </c>
      <c r="M4377" t="s">
        <v>21226</v>
      </c>
      <c r="P4377" t="s">
        <v>2738</v>
      </c>
      <c r="Y4377" t="s">
        <v>21228</v>
      </c>
    </row>
    <row r="4378" spans="1:25" x14ac:dyDescent="0.25">
      <c r="A4378" t="str">
        <f>"1696864808"</f>
        <v>1696864808</v>
      </c>
      <c r="B4378" t="s">
        <v>388</v>
      </c>
      <c r="C4378" t="s">
        <v>7194</v>
      </c>
      <c r="D4378" t="s">
        <v>21229</v>
      </c>
      <c r="E4378">
        <v>424008</v>
      </c>
      <c r="F4378" t="s">
        <v>1</v>
      </c>
      <c r="G4378" t="s">
        <v>2</v>
      </c>
      <c r="H4378" t="s">
        <v>21230</v>
      </c>
      <c r="J4378" t="s">
        <v>21231</v>
      </c>
      <c r="L4378" t="s">
        <v>8198</v>
      </c>
      <c r="M4378" t="s">
        <v>21232</v>
      </c>
      <c r="P4378" t="s">
        <v>2951</v>
      </c>
      <c r="Y4378" t="s">
        <v>21233</v>
      </c>
    </row>
    <row r="4379" spans="1:25" x14ac:dyDescent="0.25">
      <c r="A4379" t="str">
        <f>"1697037176"</f>
        <v>1697037176</v>
      </c>
      <c r="B4379" t="s">
        <v>978</v>
      </c>
      <c r="C4379" t="s">
        <v>7568</v>
      </c>
      <c r="D4379" t="s">
        <v>21234</v>
      </c>
      <c r="E4379">
        <v>424003</v>
      </c>
      <c r="F4379" t="s">
        <v>1</v>
      </c>
      <c r="G4379" t="s">
        <v>2</v>
      </c>
      <c r="H4379" t="s">
        <v>562</v>
      </c>
      <c r="J4379" t="s">
        <v>21235</v>
      </c>
      <c r="M4379" t="s">
        <v>21236</v>
      </c>
      <c r="P4379" t="s">
        <v>2738</v>
      </c>
      <c r="Y4379" t="s">
        <v>14209</v>
      </c>
    </row>
    <row r="4380" spans="1:25" x14ac:dyDescent="0.25">
      <c r="A4380" t="str">
        <f>"1697446413"</f>
        <v>1697446413</v>
      </c>
      <c r="B4380" t="s">
        <v>348</v>
      </c>
      <c r="C4380" t="s">
        <v>4366</v>
      </c>
      <c r="D4380" t="s">
        <v>15779</v>
      </c>
      <c r="E4380">
        <v>424031</v>
      </c>
      <c r="F4380" t="s">
        <v>1</v>
      </c>
      <c r="G4380" t="s">
        <v>2</v>
      </c>
      <c r="H4380" t="s">
        <v>413</v>
      </c>
      <c r="J4380" t="s">
        <v>21237</v>
      </c>
      <c r="P4380" t="s">
        <v>362</v>
      </c>
      <c r="Y4380" t="s">
        <v>21238</v>
      </c>
    </row>
    <row r="4381" spans="1:25" x14ac:dyDescent="0.25">
      <c r="A4381" t="str">
        <f>"1698197921"</f>
        <v>1698197921</v>
      </c>
      <c r="B4381" t="s">
        <v>654</v>
      </c>
      <c r="C4381" t="s">
        <v>21243</v>
      </c>
      <c r="D4381" t="s">
        <v>21239</v>
      </c>
      <c r="F4381" t="s">
        <v>1</v>
      </c>
      <c r="G4381" t="s">
        <v>2</v>
      </c>
      <c r="H4381" t="s">
        <v>21240</v>
      </c>
      <c r="I4381" t="s">
        <v>21241</v>
      </c>
      <c r="L4381" t="s">
        <v>21242</v>
      </c>
      <c r="Y4381" t="s">
        <v>21244</v>
      </c>
    </row>
    <row r="4382" spans="1:25" x14ac:dyDescent="0.25">
      <c r="A4382" t="str">
        <f>"1698808562"</f>
        <v>1698808562</v>
      </c>
      <c r="B4382" t="s">
        <v>462</v>
      </c>
      <c r="C4382" t="s">
        <v>5618</v>
      </c>
      <c r="D4382" t="s">
        <v>21245</v>
      </c>
      <c r="E4382">
        <v>424002</v>
      </c>
      <c r="F4382" t="s">
        <v>1</v>
      </c>
      <c r="G4382" t="s">
        <v>2</v>
      </c>
      <c r="H4382" t="s">
        <v>8832</v>
      </c>
      <c r="J4382" t="s">
        <v>21246</v>
      </c>
      <c r="P4382" t="s">
        <v>340</v>
      </c>
      <c r="Q4382" t="s">
        <v>21247</v>
      </c>
      <c r="Y4382" t="s">
        <v>21248</v>
      </c>
    </row>
    <row r="4383" spans="1:25" x14ac:dyDescent="0.25">
      <c r="A4383" t="str">
        <f>"1698917600"</f>
        <v>1698917600</v>
      </c>
      <c r="B4383" t="s">
        <v>18</v>
      </c>
      <c r="C4383" t="s">
        <v>4393</v>
      </c>
      <c r="D4383" t="s">
        <v>21249</v>
      </c>
      <c r="E4383">
        <v>424031</v>
      </c>
      <c r="F4383" t="s">
        <v>1</v>
      </c>
      <c r="G4383" t="s">
        <v>2</v>
      </c>
      <c r="H4383" t="s">
        <v>10559</v>
      </c>
      <c r="I4383" t="s">
        <v>21250</v>
      </c>
      <c r="L4383" t="s">
        <v>21251</v>
      </c>
      <c r="M4383" t="s">
        <v>21252</v>
      </c>
      <c r="P4383" t="s">
        <v>10124</v>
      </c>
      <c r="Q4383" t="s">
        <v>21253</v>
      </c>
      <c r="R4383" t="s">
        <v>21254</v>
      </c>
      <c r="S4383" t="s">
        <v>21255</v>
      </c>
      <c r="T4383" t="s">
        <v>21256</v>
      </c>
      <c r="U4383" t="s">
        <v>16230</v>
      </c>
      <c r="V4383" t="s">
        <v>21257</v>
      </c>
      <c r="Y4383" t="s">
        <v>21258</v>
      </c>
    </row>
    <row r="4384" spans="1:25" x14ac:dyDescent="0.25">
      <c r="A4384" t="str">
        <f>"1698993282"</f>
        <v>1698993282</v>
      </c>
      <c r="B4384" t="s">
        <v>96</v>
      </c>
      <c r="C4384" t="s">
        <v>893</v>
      </c>
      <c r="D4384" t="s">
        <v>21259</v>
      </c>
      <c r="E4384">
        <v>424000</v>
      </c>
      <c r="F4384" t="s">
        <v>1</v>
      </c>
      <c r="G4384" t="s">
        <v>2</v>
      </c>
      <c r="H4384" t="s">
        <v>1531</v>
      </c>
      <c r="J4384" t="s">
        <v>21260</v>
      </c>
      <c r="P4384" t="s">
        <v>941</v>
      </c>
      <c r="Y4384" t="s">
        <v>7904</v>
      </c>
    </row>
    <row r="4385" spans="1:25" x14ac:dyDescent="0.25">
      <c r="A4385" t="str">
        <f>"1699149468"</f>
        <v>1699149468</v>
      </c>
      <c r="B4385" t="s">
        <v>462</v>
      </c>
      <c r="C4385" t="s">
        <v>14415</v>
      </c>
      <c r="D4385" t="s">
        <v>21261</v>
      </c>
      <c r="E4385">
        <v>424006</v>
      </c>
      <c r="F4385" t="s">
        <v>1</v>
      </c>
      <c r="G4385" t="s">
        <v>2</v>
      </c>
      <c r="H4385" t="s">
        <v>21262</v>
      </c>
      <c r="J4385" t="s">
        <v>21263</v>
      </c>
      <c r="L4385" t="s">
        <v>4110</v>
      </c>
      <c r="M4385" t="s">
        <v>13940</v>
      </c>
      <c r="P4385" t="s">
        <v>5922</v>
      </c>
      <c r="Q4385" t="s">
        <v>13943</v>
      </c>
      <c r="Y4385" t="s">
        <v>20362</v>
      </c>
    </row>
    <row r="4386" spans="1:25" x14ac:dyDescent="0.25">
      <c r="A4386" t="str">
        <f>"1699384546"</f>
        <v>1699384546</v>
      </c>
      <c r="B4386" t="s">
        <v>930</v>
      </c>
      <c r="C4386" t="s">
        <v>21267</v>
      </c>
      <c r="D4386" t="s">
        <v>21264</v>
      </c>
      <c r="F4386" t="s">
        <v>1</v>
      </c>
      <c r="G4386" t="s">
        <v>2</v>
      </c>
      <c r="H4386" t="s">
        <v>21265</v>
      </c>
      <c r="J4386" t="s">
        <v>21266</v>
      </c>
      <c r="Y4386" t="s">
        <v>21268</v>
      </c>
    </row>
    <row r="4387" spans="1:25" x14ac:dyDescent="0.25">
      <c r="A4387" t="str">
        <f>"1699391827"</f>
        <v>1699391827</v>
      </c>
      <c r="B4387" t="s">
        <v>3008</v>
      </c>
      <c r="C4387" t="s">
        <v>21273</v>
      </c>
      <c r="D4387" t="s">
        <v>21269</v>
      </c>
      <c r="E4387">
        <v>424037</v>
      </c>
      <c r="F4387" t="s">
        <v>1</v>
      </c>
      <c r="G4387" t="s">
        <v>2</v>
      </c>
      <c r="H4387" t="s">
        <v>21270</v>
      </c>
      <c r="I4387" t="s">
        <v>21271</v>
      </c>
      <c r="J4387" t="s">
        <v>21272</v>
      </c>
      <c r="P4387" t="s">
        <v>21274</v>
      </c>
      <c r="Y4387" t="s">
        <v>21275</v>
      </c>
    </row>
    <row r="4388" spans="1:25" x14ac:dyDescent="0.25">
      <c r="A4388" t="str">
        <f>"1699611367"</f>
        <v>1699611367</v>
      </c>
      <c r="B4388" t="s">
        <v>32</v>
      </c>
      <c r="C4388" t="s">
        <v>18535</v>
      </c>
      <c r="D4388" t="s">
        <v>21276</v>
      </c>
      <c r="E4388">
        <v>424000</v>
      </c>
      <c r="F4388" t="s">
        <v>1</v>
      </c>
      <c r="G4388" t="s">
        <v>2</v>
      </c>
      <c r="H4388" t="s">
        <v>1473</v>
      </c>
      <c r="J4388" t="s">
        <v>21277</v>
      </c>
      <c r="P4388" t="s">
        <v>941</v>
      </c>
      <c r="Q4388" t="s">
        <v>21278</v>
      </c>
      <c r="Y4388" t="s">
        <v>4067</v>
      </c>
    </row>
    <row r="4389" spans="1:25" x14ac:dyDescent="0.25">
      <c r="A4389" t="str">
        <f>"1700032315"</f>
        <v>1700032315</v>
      </c>
      <c r="B4389" t="s">
        <v>123</v>
      </c>
      <c r="C4389" t="s">
        <v>424</v>
      </c>
      <c r="D4389" t="s">
        <v>8373</v>
      </c>
      <c r="E4389">
        <v>424003</v>
      </c>
      <c r="F4389" t="s">
        <v>1</v>
      </c>
      <c r="G4389" t="s">
        <v>2</v>
      </c>
      <c r="H4389" t="s">
        <v>15183</v>
      </c>
      <c r="I4389" t="s">
        <v>15855</v>
      </c>
      <c r="J4389" t="s">
        <v>21279</v>
      </c>
      <c r="L4389" t="s">
        <v>8376</v>
      </c>
      <c r="M4389" t="s">
        <v>8377</v>
      </c>
      <c r="P4389" t="s">
        <v>425</v>
      </c>
      <c r="Y4389" t="s">
        <v>21280</v>
      </c>
    </row>
    <row r="4390" spans="1:25" x14ac:dyDescent="0.25">
      <c r="A4390" t="str">
        <f>"1700090106"</f>
        <v>1700090106</v>
      </c>
      <c r="B4390" t="s">
        <v>96</v>
      </c>
      <c r="C4390" t="s">
        <v>893</v>
      </c>
      <c r="D4390" t="s">
        <v>21281</v>
      </c>
      <c r="E4390">
        <v>424918</v>
      </c>
      <c r="F4390" t="s">
        <v>1</v>
      </c>
      <c r="G4390" t="s">
        <v>2</v>
      </c>
      <c r="H4390" t="s">
        <v>629</v>
      </c>
      <c r="I4390" t="s">
        <v>20946</v>
      </c>
      <c r="P4390" t="s">
        <v>630</v>
      </c>
      <c r="Y4390" t="s">
        <v>1744</v>
      </c>
    </row>
    <row r="4391" spans="1:25" x14ac:dyDescent="0.25">
      <c r="A4391" t="str">
        <f>"1700823632"</f>
        <v>1700823632</v>
      </c>
      <c r="B4391" t="s">
        <v>1222</v>
      </c>
      <c r="C4391" t="s">
        <v>2114</v>
      </c>
      <c r="D4391" t="s">
        <v>21282</v>
      </c>
      <c r="E4391">
        <v>424000</v>
      </c>
      <c r="F4391" t="s">
        <v>1</v>
      </c>
      <c r="G4391" t="s">
        <v>2</v>
      </c>
      <c r="H4391" t="s">
        <v>1531</v>
      </c>
      <c r="I4391" t="s">
        <v>21283</v>
      </c>
      <c r="J4391" t="s">
        <v>21284</v>
      </c>
      <c r="M4391" t="s">
        <v>21285</v>
      </c>
      <c r="Y4391" t="s">
        <v>21286</v>
      </c>
    </row>
    <row r="4392" spans="1:25" x14ac:dyDescent="0.25">
      <c r="A4392" t="str">
        <f>"1701016587"</f>
        <v>1701016587</v>
      </c>
      <c r="B4392" t="s">
        <v>687</v>
      </c>
      <c r="C4392" t="s">
        <v>21290</v>
      </c>
      <c r="D4392" t="s">
        <v>21287</v>
      </c>
      <c r="E4392">
        <v>424007</v>
      </c>
      <c r="F4392" t="s">
        <v>1</v>
      </c>
      <c r="G4392" t="s">
        <v>2</v>
      </c>
      <c r="H4392" t="s">
        <v>16598</v>
      </c>
      <c r="I4392" t="s">
        <v>21288</v>
      </c>
      <c r="L4392" t="s">
        <v>21289</v>
      </c>
      <c r="P4392" t="s">
        <v>5396</v>
      </c>
      <c r="Y4392" t="s">
        <v>16603</v>
      </c>
    </row>
    <row r="4393" spans="1:25" x14ac:dyDescent="0.25">
      <c r="A4393" t="str">
        <f>"1701135867"</f>
        <v>1701135867</v>
      </c>
      <c r="B4393" t="s">
        <v>1611</v>
      </c>
      <c r="C4393" t="s">
        <v>21296</v>
      </c>
      <c r="D4393" t="s">
        <v>21291</v>
      </c>
      <c r="E4393">
        <v>424031</v>
      </c>
      <c r="F4393" t="s">
        <v>1</v>
      </c>
      <c r="G4393" t="s">
        <v>2</v>
      </c>
      <c r="H4393" t="s">
        <v>9966</v>
      </c>
      <c r="I4393" t="s">
        <v>21292</v>
      </c>
      <c r="J4393" t="s">
        <v>21293</v>
      </c>
      <c r="L4393" t="s">
        <v>21294</v>
      </c>
      <c r="M4393" t="s">
        <v>21295</v>
      </c>
      <c r="P4393" t="s">
        <v>21297</v>
      </c>
      <c r="Y4393" t="s">
        <v>9972</v>
      </c>
    </row>
    <row r="4394" spans="1:25" x14ac:dyDescent="0.25">
      <c r="A4394" t="str">
        <f>"1701184260"</f>
        <v>1701184260</v>
      </c>
      <c r="B4394" t="s">
        <v>624</v>
      </c>
      <c r="C4394" t="s">
        <v>21300</v>
      </c>
      <c r="D4394" t="s">
        <v>11860</v>
      </c>
      <c r="E4394">
        <v>424006</v>
      </c>
      <c r="F4394" t="s">
        <v>1</v>
      </c>
      <c r="G4394" t="s">
        <v>2</v>
      </c>
      <c r="H4394" t="s">
        <v>21298</v>
      </c>
      <c r="I4394" t="s">
        <v>21299</v>
      </c>
      <c r="P4394" t="s">
        <v>10133</v>
      </c>
      <c r="Y4394" t="s">
        <v>21301</v>
      </c>
    </row>
    <row r="4395" spans="1:25" x14ac:dyDescent="0.25">
      <c r="A4395" t="str">
        <f>"1701479869"</f>
        <v>1701479869</v>
      </c>
      <c r="B4395" t="s">
        <v>96</v>
      </c>
      <c r="C4395" t="s">
        <v>20677</v>
      </c>
      <c r="D4395" t="s">
        <v>21302</v>
      </c>
      <c r="E4395">
        <v>424006</v>
      </c>
      <c r="F4395" t="s">
        <v>1</v>
      </c>
      <c r="G4395" t="s">
        <v>2</v>
      </c>
      <c r="H4395" t="s">
        <v>692</v>
      </c>
      <c r="I4395" t="s">
        <v>21303</v>
      </c>
      <c r="P4395" t="s">
        <v>1404</v>
      </c>
      <c r="Y4395" t="s">
        <v>21304</v>
      </c>
    </row>
    <row r="4396" spans="1:25" x14ac:dyDescent="0.25">
      <c r="A4396" t="str">
        <f>"1701604384"</f>
        <v>1701604384</v>
      </c>
      <c r="B4396" t="s">
        <v>2677</v>
      </c>
      <c r="C4396" t="s">
        <v>21306</v>
      </c>
      <c r="D4396" t="s">
        <v>21305</v>
      </c>
      <c r="E4396">
        <v>424000</v>
      </c>
      <c r="F4396" t="s">
        <v>1</v>
      </c>
      <c r="G4396" t="s">
        <v>2</v>
      </c>
      <c r="H4396" t="s">
        <v>837</v>
      </c>
      <c r="P4396" t="s">
        <v>27</v>
      </c>
      <c r="Y4396" t="s">
        <v>2964</v>
      </c>
    </row>
    <row r="4397" spans="1:25" x14ac:dyDescent="0.25">
      <c r="A4397" t="str">
        <f>"1701709206"</f>
        <v>1701709206</v>
      </c>
      <c r="B4397" t="s">
        <v>290</v>
      </c>
      <c r="C4397" t="s">
        <v>11114</v>
      </c>
      <c r="D4397" t="s">
        <v>21307</v>
      </c>
      <c r="E4397">
        <v>424038</v>
      </c>
      <c r="F4397" t="s">
        <v>1</v>
      </c>
      <c r="G4397" t="s">
        <v>2</v>
      </c>
      <c r="H4397" t="s">
        <v>7597</v>
      </c>
      <c r="I4397" t="s">
        <v>21308</v>
      </c>
      <c r="L4397" t="s">
        <v>21309</v>
      </c>
      <c r="M4397" t="s">
        <v>21310</v>
      </c>
      <c r="P4397" t="s">
        <v>1642</v>
      </c>
      <c r="Q4397" t="s">
        <v>21311</v>
      </c>
      <c r="Y4397" t="s">
        <v>21312</v>
      </c>
    </row>
    <row r="4398" spans="1:25" x14ac:dyDescent="0.25">
      <c r="A4398" t="str">
        <f>"1701788003"</f>
        <v>1701788003</v>
      </c>
      <c r="B4398" t="s">
        <v>96</v>
      </c>
      <c r="C4398" t="s">
        <v>893</v>
      </c>
      <c r="D4398" t="s">
        <v>21313</v>
      </c>
      <c r="E4398">
        <v>424002</v>
      </c>
      <c r="F4398" t="s">
        <v>1</v>
      </c>
      <c r="G4398" t="s">
        <v>2</v>
      </c>
      <c r="H4398" t="s">
        <v>11284</v>
      </c>
      <c r="P4398" t="s">
        <v>941</v>
      </c>
      <c r="Y4398" t="s">
        <v>21314</v>
      </c>
    </row>
    <row r="4399" spans="1:25" x14ac:dyDescent="0.25">
      <c r="A4399" t="str">
        <f>"1701842400"</f>
        <v>1701842400</v>
      </c>
      <c r="B4399" t="s">
        <v>1152</v>
      </c>
      <c r="C4399" t="s">
        <v>1513</v>
      </c>
      <c r="D4399" t="s">
        <v>21315</v>
      </c>
      <c r="E4399">
        <v>424040</v>
      </c>
      <c r="F4399" t="s">
        <v>1</v>
      </c>
      <c r="G4399" t="s">
        <v>2</v>
      </c>
      <c r="H4399" t="s">
        <v>7989</v>
      </c>
      <c r="J4399" t="s">
        <v>21316</v>
      </c>
      <c r="L4399" t="s">
        <v>1511</v>
      </c>
      <c r="M4399" t="s">
        <v>1512</v>
      </c>
      <c r="P4399" t="s">
        <v>21317</v>
      </c>
      <c r="Q4399" t="s">
        <v>1515</v>
      </c>
      <c r="R4399" t="s">
        <v>1516</v>
      </c>
      <c r="Y4399" t="s">
        <v>11906</v>
      </c>
    </row>
    <row r="4400" spans="1:25" x14ac:dyDescent="0.25">
      <c r="A4400" t="str">
        <f>"1702196903"</f>
        <v>1702196903</v>
      </c>
      <c r="B4400" t="s">
        <v>18</v>
      </c>
      <c r="C4400" t="s">
        <v>21322</v>
      </c>
      <c r="D4400" t="s">
        <v>21318</v>
      </c>
      <c r="E4400">
        <v>424040</v>
      </c>
      <c r="F4400" t="s">
        <v>1</v>
      </c>
      <c r="G4400" t="s">
        <v>2</v>
      </c>
      <c r="H4400" t="s">
        <v>20151</v>
      </c>
      <c r="I4400" t="s">
        <v>21319</v>
      </c>
      <c r="L4400" t="s">
        <v>21320</v>
      </c>
      <c r="M4400" t="s">
        <v>21321</v>
      </c>
      <c r="P4400" t="s">
        <v>2079</v>
      </c>
      <c r="Q4400" t="s">
        <v>363</v>
      </c>
      <c r="V4400" t="s">
        <v>21323</v>
      </c>
      <c r="Y4400" t="s">
        <v>21324</v>
      </c>
    </row>
    <row r="4401" spans="1:25" x14ac:dyDescent="0.25">
      <c r="A4401" t="str">
        <f>"1702469144"</f>
        <v>1702469144</v>
      </c>
      <c r="B4401" t="s">
        <v>1352</v>
      </c>
      <c r="C4401" t="s">
        <v>1353</v>
      </c>
      <c r="D4401" t="s">
        <v>21037</v>
      </c>
      <c r="E4401">
        <v>424000</v>
      </c>
      <c r="F4401" t="s">
        <v>1</v>
      </c>
      <c r="G4401" t="s">
        <v>2</v>
      </c>
      <c r="H4401" t="s">
        <v>1531</v>
      </c>
      <c r="J4401" t="s">
        <v>21038</v>
      </c>
      <c r="P4401" t="s">
        <v>1404</v>
      </c>
      <c r="Y4401" t="s">
        <v>21325</v>
      </c>
    </row>
    <row r="4402" spans="1:25" x14ac:dyDescent="0.25">
      <c r="A4402" t="str">
        <f>"1702471294"</f>
        <v>1702471294</v>
      </c>
      <c r="B4402" t="s">
        <v>456</v>
      </c>
      <c r="C4402" t="s">
        <v>21330</v>
      </c>
      <c r="D4402" t="s">
        <v>21326</v>
      </c>
      <c r="E4402">
        <v>424031</v>
      </c>
      <c r="F4402" t="s">
        <v>1</v>
      </c>
      <c r="G4402" t="s">
        <v>2</v>
      </c>
      <c r="H4402" t="s">
        <v>8799</v>
      </c>
      <c r="J4402" t="s">
        <v>21327</v>
      </c>
      <c r="L4402" t="s">
        <v>21328</v>
      </c>
      <c r="M4402" t="s">
        <v>21329</v>
      </c>
      <c r="P4402" t="s">
        <v>390</v>
      </c>
      <c r="Y4402" t="s">
        <v>21331</v>
      </c>
    </row>
    <row r="4403" spans="1:25" x14ac:dyDescent="0.25">
      <c r="A4403" t="str">
        <f>"1702987663"</f>
        <v>1702987663</v>
      </c>
      <c r="B4403" t="s">
        <v>1352</v>
      </c>
      <c r="C4403" t="s">
        <v>1353</v>
      </c>
      <c r="D4403" t="s">
        <v>21037</v>
      </c>
      <c r="E4403">
        <v>424000</v>
      </c>
      <c r="F4403" t="s">
        <v>1</v>
      </c>
      <c r="G4403" t="s">
        <v>2</v>
      </c>
      <c r="H4403" t="s">
        <v>92</v>
      </c>
      <c r="J4403" t="s">
        <v>21038</v>
      </c>
      <c r="P4403" t="s">
        <v>98</v>
      </c>
      <c r="Y4403" t="s">
        <v>21332</v>
      </c>
    </row>
    <row r="4404" spans="1:25" x14ac:dyDescent="0.25">
      <c r="A4404" t="str">
        <f>"1703045772"</f>
        <v>1703045772</v>
      </c>
      <c r="B4404" t="s">
        <v>1617</v>
      </c>
      <c r="C4404" t="s">
        <v>21001</v>
      </c>
      <c r="D4404" t="s">
        <v>20999</v>
      </c>
      <c r="E4404">
        <v>424019</v>
      </c>
      <c r="F4404" t="s">
        <v>1</v>
      </c>
      <c r="G4404" t="s">
        <v>2</v>
      </c>
      <c r="H4404" t="s">
        <v>13027</v>
      </c>
      <c r="P4404" t="s">
        <v>216</v>
      </c>
      <c r="Y4404" t="s">
        <v>21333</v>
      </c>
    </row>
    <row r="4405" spans="1:25" x14ac:dyDescent="0.25">
      <c r="A4405" t="str">
        <f>"1703264959"</f>
        <v>1703264959</v>
      </c>
      <c r="B4405" t="s">
        <v>1053</v>
      </c>
      <c r="C4405" t="s">
        <v>1927</v>
      </c>
      <c r="D4405" t="s">
        <v>21334</v>
      </c>
      <c r="E4405">
        <v>424007</v>
      </c>
      <c r="F4405" t="s">
        <v>1</v>
      </c>
      <c r="G4405" t="s">
        <v>2</v>
      </c>
      <c r="H4405" t="s">
        <v>11390</v>
      </c>
      <c r="I4405" t="s">
        <v>21335</v>
      </c>
      <c r="K4405" t="s">
        <v>21336</v>
      </c>
      <c r="L4405" t="s">
        <v>21337</v>
      </c>
      <c r="M4405" t="s">
        <v>21338</v>
      </c>
      <c r="P4405" t="s">
        <v>280</v>
      </c>
      <c r="Y4405" t="s">
        <v>21339</v>
      </c>
    </row>
    <row r="4406" spans="1:25" x14ac:dyDescent="0.25">
      <c r="A4406" t="str">
        <f>"1703630429"</f>
        <v>1703630429</v>
      </c>
      <c r="B4406" t="s">
        <v>7312</v>
      </c>
      <c r="C4406" t="s">
        <v>21136</v>
      </c>
      <c r="D4406" t="s">
        <v>21135</v>
      </c>
      <c r="E4406">
        <v>424002</v>
      </c>
      <c r="F4406" t="s">
        <v>1</v>
      </c>
      <c r="G4406" t="s">
        <v>2</v>
      </c>
      <c r="H4406" t="s">
        <v>2507</v>
      </c>
      <c r="P4406" t="s">
        <v>941</v>
      </c>
      <c r="Y4406" t="s">
        <v>21340</v>
      </c>
    </row>
    <row r="4407" spans="1:25" x14ac:dyDescent="0.25">
      <c r="A4407" t="str">
        <f>"1704044682"</f>
        <v>1704044682</v>
      </c>
      <c r="B4407" t="s">
        <v>790</v>
      </c>
      <c r="C4407" t="s">
        <v>3072</v>
      </c>
      <c r="D4407" t="s">
        <v>21341</v>
      </c>
      <c r="E4407">
        <v>424031</v>
      </c>
      <c r="F4407" t="s">
        <v>1</v>
      </c>
      <c r="G4407" t="s">
        <v>2</v>
      </c>
      <c r="H4407" t="s">
        <v>14639</v>
      </c>
      <c r="I4407" t="s">
        <v>21342</v>
      </c>
      <c r="P4407" t="s">
        <v>21343</v>
      </c>
      <c r="Y4407" t="s">
        <v>21344</v>
      </c>
    </row>
    <row r="4408" spans="1:25" x14ac:dyDescent="0.25">
      <c r="A4408" t="str">
        <f>"1704220441"</f>
        <v>1704220441</v>
      </c>
      <c r="B4408" t="s">
        <v>290</v>
      </c>
      <c r="C4408" t="s">
        <v>21349</v>
      </c>
      <c r="D4408" t="s">
        <v>21345</v>
      </c>
      <c r="E4408">
        <v>424036</v>
      </c>
      <c r="F4408" t="s">
        <v>1</v>
      </c>
      <c r="G4408" t="s">
        <v>2</v>
      </c>
      <c r="H4408" t="s">
        <v>7812</v>
      </c>
      <c r="I4408" t="s">
        <v>21346</v>
      </c>
      <c r="J4408" t="s">
        <v>21347</v>
      </c>
      <c r="M4408" t="s">
        <v>21348</v>
      </c>
      <c r="P4408" t="s">
        <v>216</v>
      </c>
      <c r="Y4408" t="s">
        <v>21350</v>
      </c>
    </row>
    <row r="4409" spans="1:25" x14ac:dyDescent="0.25">
      <c r="A4409" t="str">
        <f>"1704840780"</f>
        <v>1704840780</v>
      </c>
      <c r="B4409" t="s">
        <v>379</v>
      </c>
      <c r="C4409" t="s">
        <v>380</v>
      </c>
      <c r="D4409" t="s">
        <v>8393</v>
      </c>
      <c r="E4409">
        <v>424006</v>
      </c>
      <c r="F4409" t="s">
        <v>1</v>
      </c>
      <c r="G4409" t="s">
        <v>2</v>
      </c>
      <c r="H4409" t="s">
        <v>830</v>
      </c>
      <c r="I4409" t="s">
        <v>21351</v>
      </c>
      <c r="L4409" t="s">
        <v>8395</v>
      </c>
      <c r="M4409" t="s">
        <v>8396</v>
      </c>
      <c r="Q4409" t="s">
        <v>8412</v>
      </c>
      <c r="R4409" t="s">
        <v>8399</v>
      </c>
      <c r="S4409" t="s">
        <v>8400</v>
      </c>
      <c r="T4409" t="s">
        <v>8401</v>
      </c>
      <c r="Y4409" t="s">
        <v>3830</v>
      </c>
    </row>
    <row r="4410" spans="1:25" x14ac:dyDescent="0.25">
      <c r="A4410" t="str">
        <f>"1704879320"</f>
        <v>1704879320</v>
      </c>
      <c r="B4410" t="s">
        <v>18386</v>
      </c>
      <c r="C4410" t="s">
        <v>18387</v>
      </c>
      <c r="D4410" t="s">
        <v>21352</v>
      </c>
      <c r="E4410">
        <v>424000</v>
      </c>
      <c r="F4410" t="s">
        <v>1</v>
      </c>
      <c r="G4410" t="s">
        <v>2</v>
      </c>
      <c r="H4410" t="s">
        <v>3421</v>
      </c>
      <c r="J4410" t="s">
        <v>21353</v>
      </c>
      <c r="P4410" t="s">
        <v>21354</v>
      </c>
      <c r="Y4410" t="s">
        <v>3425</v>
      </c>
    </row>
    <row r="4411" spans="1:25" x14ac:dyDescent="0.25">
      <c r="A4411" t="str">
        <f>"1704915446"</f>
        <v>1704915446</v>
      </c>
      <c r="B4411" t="s">
        <v>32</v>
      </c>
      <c r="C4411" t="s">
        <v>21358</v>
      </c>
      <c r="D4411" t="s">
        <v>21355</v>
      </c>
      <c r="E4411">
        <v>424002</v>
      </c>
      <c r="F4411" t="s">
        <v>1</v>
      </c>
      <c r="G4411" t="s">
        <v>2</v>
      </c>
      <c r="H4411" t="s">
        <v>17424</v>
      </c>
      <c r="I4411" t="s">
        <v>21356</v>
      </c>
      <c r="J4411" t="s">
        <v>21357</v>
      </c>
      <c r="P4411" t="s">
        <v>5309</v>
      </c>
      <c r="Y4411" t="s">
        <v>17426</v>
      </c>
    </row>
    <row r="4412" spans="1:25" x14ac:dyDescent="0.25">
      <c r="A4412" t="str">
        <f>"1705211288"</f>
        <v>1705211288</v>
      </c>
      <c r="B4412" t="s">
        <v>430</v>
      </c>
      <c r="C4412" t="s">
        <v>21362</v>
      </c>
      <c r="D4412" t="s">
        <v>21359</v>
      </c>
      <c r="E4412">
        <v>424006</v>
      </c>
      <c r="F4412" t="s">
        <v>1</v>
      </c>
      <c r="G4412" t="s">
        <v>2</v>
      </c>
      <c r="H4412" t="s">
        <v>1436</v>
      </c>
      <c r="J4412" t="s">
        <v>21360</v>
      </c>
      <c r="M4412" t="s">
        <v>21361</v>
      </c>
      <c r="P4412" t="s">
        <v>21363</v>
      </c>
      <c r="Q4412" t="s">
        <v>21364</v>
      </c>
      <c r="Y4412" t="s">
        <v>1443</v>
      </c>
    </row>
    <row r="4413" spans="1:25" x14ac:dyDescent="0.25">
      <c r="A4413" t="str">
        <f>"1705732786"</f>
        <v>1705732786</v>
      </c>
      <c r="B4413" t="s">
        <v>1053</v>
      </c>
      <c r="C4413" t="s">
        <v>14298</v>
      </c>
      <c r="D4413" t="s">
        <v>21365</v>
      </c>
      <c r="E4413">
        <v>424033</v>
      </c>
      <c r="F4413" t="s">
        <v>1</v>
      </c>
      <c r="G4413" t="s">
        <v>2</v>
      </c>
      <c r="H4413" t="s">
        <v>5738</v>
      </c>
      <c r="J4413" t="s">
        <v>14300</v>
      </c>
      <c r="Y4413" t="s">
        <v>21366</v>
      </c>
    </row>
    <row r="4414" spans="1:25" x14ac:dyDescent="0.25">
      <c r="A4414" t="str">
        <f>"1705992944"</f>
        <v>1705992944</v>
      </c>
      <c r="B4414" t="s">
        <v>388</v>
      </c>
      <c r="C4414" t="s">
        <v>4509</v>
      </c>
      <c r="D4414" t="s">
        <v>21367</v>
      </c>
      <c r="F4414" t="s">
        <v>1</v>
      </c>
      <c r="G4414" t="s">
        <v>2</v>
      </c>
      <c r="H4414" t="s">
        <v>1003</v>
      </c>
      <c r="I4414" t="s">
        <v>21368</v>
      </c>
      <c r="P4414" t="s">
        <v>330</v>
      </c>
      <c r="Y4414" t="s">
        <v>1006</v>
      </c>
    </row>
    <row r="4415" spans="1:25" x14ac:dyDescent="0.25">
      <c r="A4415" t="str">
        <f>"1706145576"</f>
        <v>1706145576</v>
      </c>
      <c r="B4415" t="s">
        <v>160</v>
      </c>
      <c r="C4415" t="s">
        <v>21371</v>
      </c>
      <c r="D4415" t="s">
        <v>21369</v>
      </c>
      <c r="E4415">
        <v>424019</v>
      </c>
      <c r="F4415" t="s">
        <v>1</v>
      </c>
      <c r="G4415" t="s">
        <v>2</v>
      </c>
      <c r="H4415" t="s">
        <v>1460</v>
      </c>
      <c r="I4415" t="s">
        <v>21370</v>
      </c>
      <c r="P4415" t="s">
        <v>330</v>
      </c>
      <c r="Y4415" t="s">
        <v>10226</v>
      </c>
    </row>
    <row r="4416" spans="1:25" x14ac:dyDescent="0.25">
      <c r="A4416" t="str">
        <f>"1706296304"</f>
        <v>1706296304</v>
      </c>
      <c r="B4416" t="s">
        <v>379</v>
      </c>
      <c r="C4416" t="s">
        <v>766</v>
      </c>
      <c r="D4416" t="s">
        <v>21372</v>
      </c>
      <c r="E4416">
        <v>424031</v>
      </c>
      <c r="F4416" t="s">
        <v>1</v>
      </c>
      <c r="G4416" t="s">
        <v>2</v>
      </c>
      <c r="H4416" t="s">
        <v>757</v>
      </c>
      <c r="I4416" t="s">
        <v>21373</v>
      </c>
      <c r="J4416" t="s">
        <v>21374</v>
      </c>
      <c r="L4416" t="s">
        <v>21375</v>
      </c>
      <c r="M4416" t="s">
        <v>21376</v>
      </c>
      <c r="P4416" t="s">
        <v>21377</v>
      </c>
      <c r="Q4416" t="s">
        <v>21378</v>
      </c>
      <c r="R4416" t="s">
        <v>21379</v>
      </c>
      <c r="S4416" t="s">
        <v>21380</v>
      </c>
      <c r="T4416" t="s">
        <v>21381</v>
      </c>
      <c r="U4416" t="s">
        <v>21382</v>
      </c>
      <c r="V4416" t="s">
        <v>21383</v>
      </c>
      <c r="Y4416" t="s">
        <v>760</v>
      </c>
    </row>
    <row r="4417" spans="1:25" x14ac:dyDescent="0.25">
      <c r="A4417" t="str">
        <f>"1707001950"</f>
        <v>1707001950</v>
      </c>
      <c r="B4417" t="s">
        <v>3008</v>
      </c>
      <c r="C4417" t="s">
        <v>21386</v>
      </c>
      <c r="D4417" t="s">
        <v>21384</v>
      </c>
      <c r="E4417">
        <v>424032</v>
      </c>
      <c r="F4417" t="s">
        <v>1</v>
      </c>
      <c r="G4417" t="s">
        <v>2</v>
      </c>
      <c r="H4417" t="s">
        <v>3508</v>
      </c>
      <c r="L4417" t="s">
        <v>21385</v>
      </c>
      <c r="P4417" t="s">
        <v>27</v>
      </c>
      <c r="Y4417" t="s">
        <v>21387</v>
      </c>
    </row>
    <row r="4418" spans="1:25" x14ac:dyDescent="0.25">
      <c r="A4418" t="str">
        <f>"1707384811"</f>
        <v>1707384811</v>
      </c>
      <c r="B4418" t="s">
        <v>430</v>
      </c>
      <c r="C4418" t="s">
        <v>612</v>
      </c>
      <c r="D4418" t="s">
        <v>10454</v>
      </c>
      <c r="E4418">
        <v>424038</v>
      </c>
      <c r="F4418" t="s">
        <v>1</v>
      </c>
      <c r="G4418" t="s">
        <v>2</v>
      </c>
      <c r="H4418" t="s">
        <v>21388</v>
      </c>
      <c r="J4418" t="s">
        <v>10456</v>
      </c>
      <c r="L4418" t="s">
        <v>10457</v>
      </c>
      <c r="M4418" t="s">
        <v>10458</v>
      </c>
      <c r="P4418" t="s">
        <v>216</v>
      </c>
      <c r="Q4418" t="s">
        <v>10459</v>
      </c>
      <c r="V4418" t="s">
        <v>10460</v>
      </c>
      <c r="Y4418" t="s">
        <v>21389</v>
      </c>
    </row>
    <row r="4419" spans="1:25" x14ac:dyDescent="0.25">
      <c r="A4419" t="str">
        <f>"1707606389"</f>
        <v>1707606389</v>
      </c>
      <c r="B4419" t="s">
        <v>96</v>
      </c>
      <c r="C4419" t="s">
        <v>14175</v>
      </c>
      <c r="D4419" t="s">
        <v>21390</v>
      </c>
      <c r="F4419" t="s">
        <v>1</v>
      </c>
      <c r="G4419" t="s">
        <v>2</v>
      </c>
      <c r="H4419" t="s">
        <v>21391</v>
      </c>
      <c r="P4419" t="s">
        <v>2050</v>
      </c>
      <c r="Y4419" t="s">
        <v>21392</v>
      </c>
    </row>
    <row r="4420" spans="1:25" x14ac:dyDescent="0.25">
      <c r="A4420" t="str">
        <f>"1707624684"</f>
        <v>1707624684</v>
      </c>
      <c r="B4420" t="s">
        <v>888</v>
      </c>
      <c r="C4420" t="s">
        <v>4712</v>
      </c>
      <c r="D4420" t="s">
        <v>21393</v>
      </c>
      <c r="E4420">
        <v>424019</v>
      </c>
      <c r="F4420" t="s">
        <v>1</v>
      </c>
      <c r="G4420" t="s">
        <v>2</v>
      </c>
      <c r="H4420" t="s">
        <v>1801</v>
      </c>
      <c r="J4420" t="s">
        <v>21394</v>
      </c>
      <c r="P4420" t="s">
        <v>152</v>
      </c>
      <c r="Y4420" t="s">
        <v>1804</v>
      </c>
    </row>
    <row r="4421" spans="1:25" x14ac:dyDescent="0.25">
      <c r="A4421" t="str">
        <f>"1707727556"</f>
        <v>1707727556</v>
      </c>
      <c r="B4421" t="s">
        <v>930</v>
      </c>
      <c r="C4421" t="s">
        <v>21400</v>
      </c>
      <c r="D4421" t="s">
        <v>21395</v>
      </c>
      <c r="E4421">
        <v>424028</v>
      </c>
      <c r="F4421" t="s">
        <v>1</v>
      </c>
      <c r="G4421" t="s">
        <v>2</v>
      </c>
      <c r="H4421" t="s">
        <v>21396</v>
      </c>
      <c r="I4421" t="s">
        <v>21397</v>
      </c>
      <c r="J4421" t="s">
        <v>21398</v>
      </c>
      <c r="L4421" t="s">
        <v>21399</v>
      </c>
      <c r="P4421" t="s">
        <v>21401</v>
      </c>
      <c r="Y4421" t="s">
        <v>21402</v>
      </c>
    </row>
    <row r="4422" spans="1:25" x14ac:dyDescent="0.25">
      <c r="A4422" t="str">
        <f>"1708067111"</f>
        <v>1708067111</v>
      </c>
      <c r="B4422" t="s">
        <v>96</v>
      </c>
      <c r="C4422" t="s">
        <v>2285</v>
      </c>
      <c r="D4422" t="s">
        <v>21403</v>
      </c>
      <c r="E4422">
        <v>424003</v>
      </c>
      <c r="F4422" t="s">
        <v>1</v>
      </c>
      <c r="G4422" t="s">
        <v>2</v>
      </c>
      <c r="H4422" t="s">
        <v>21404</v>
      </c>
      <c r="P4422" t="s">
        <v>21405</v>
      </c>
      <c r="Y4422" t="s">
        <v>21406</v>
      </c>
    </row>
    <row r="4423" spans="1:25" x14ac:dyDescent="0.25">
      <c r="A4423" t="str">
        <f>"1708215173"</f>
        <v>1708215173</v>
      </c>
      <c r="B4423" t="s">
        <v>96</v>
      </c>
      <c r="C4423" t="s">
        <v>21409</v>
      </c>
      <c r="D4423" t="s">
        <v>21407</v>
      </c>
      <c r="F4423" t="s">
        <v>1</v>
      </c>
      <c r="G4423" t="s">
        <v>2</v>
      </c>
      <c r="H4423" t="s">
        <v>21408</v>
      </c>
      <c r="I4423" t="s">
        <v>21303</v>
      </c>
      <c r="P4423" t="s">
        <v>1404</v>
      </c>
      <c r="Y4423" t="s">
        <v>21410</v>
      </c>
    </row>
    <row r="4424" spans="1:25" x14ac:dyDescent="0.25">
      <c r="A4424" t="str">
        <f>"1708279135"</f>
        <v>1708279135</v>
      </c>
      <c r="B4424" t="s">
        <v>96</v>
      </c>
      <c r="C4424" t="s">
        <v>893</v>
      </c>
      <c r="D4424" t="s">
        <v>21411</v>
      </c>
      <c r="E4424">
        <v>424918</v>
      </c>
      <c r="F4424" t="s">
        <v>1</v>
      </c>
      <c r="G4424" t="s">
        <v>2</v>
      </c>
      <c r="H4424" t="s">
        <v>629</v>
      </c>
      <c r="I4424" t="s">
        <v>20946</v>
      </c>
      <c r="P4424" t="s">
        <v>630</v>
      </c>
      <c r="Y4424" t="s">
        <v>1744</v>
      </c>
    </row>
    <row r="4425" spans="1:25" x14ac:dyDescent="0.25">
      <c r="A4425" t="str">
        <f>"1708373737"</f>
        <v>1708373737</v>
      </c>
      <c r="B4425" t="s">
        <v>1544</v>
      </c>
      <c r="C4425" t="s">
        <v>21416</v>
      </c>
      <c r="D4425" t="s">
        <v>21412</v>
      </c>
      <c r="E4425">
        <v>424031</v>
      </c>
      <c r="F4425" t="s">
        <v>1</v>
      </c>
      <c r="G4425" t="s">
        <v>2</v>
      </c>
      <c r="H4425" t="s">
        <v>239</v>
      </c>
      <c r="J4425" t="s">
        <v>21413</v>
      </c>
      <c r="L4425" t="s">
        <v>21414</v>
      </c>
      <c r="M4425" t="s">
        <v>21415</v>
      </c>
      <c r="P4425" t="s">
        <v>21417</v>
      </c>
      <c r="Q4425" t="s">
        <v>21418</v>
      </c>
      <c r="T4425" t="s">
        <v>21419</v>
      </c>
      <c r="V4425" t="s">
        <v>21420</v>
      </c>
      <c r="Y4425" t="s">
        <v>21421</v>
      </c>
    </row>
    <row r="4426" spans="1:25" x14ac:dyDescent="0.25">
      <c r="A4426" t="str">
        <f>"1708671043"</f>
        <v>1708671043</v>
      </c>
      <c r="B4426" t="s">
        <v>18</v>
      </c>
      <c r="C4426" t="s">
        <v>2593</v>
      </c>
      <c r="D4426" t="s">
        <v>6246</v>
      </c>
      <c r="E4426">
        <v>424004</v>
      </c>
      <c r="F4426" t="s">
        <v>1</v>
      </c>
      <c r="G4426" t="s">
        <v>2</v>
      </c>
      <c r="H4426" t="s">
        <v>1590</v>
      </c>
      <c r="J4426" t="s">
        <v>21422</v>
      </c>
      <c r="P4426" t="s">
        <v>2050</v>
      </c>
      <c r="Y4426" t="s">
        <v>1593</v>
      </c>
    </row>
    <row r="4427" spans="1:25" x14ac:dyDescent="0.25">
      <c r="A4427" t="str">
        <f>"1709484845"</f>
        <v>1709484845</v>
      </c>
      <c r="B4427" t="s">
        <v>96</v>
      </c>
      <c r="C4427" t="s">
        <v>893</v>
      </c>
      <c r="D4427" t="s">
        <v>14528</v>
      </c>
      <c r="E4427">
        <v>424918</v>
      </c>
      <c r="F4427" t="s">
        <v>1</v>
      </c>
      <c r="G4427" t="s">
        <v>2</v>
      </c>
      <c r="H4427" t="s">
        <v>629</v>
      </c>
      <c r="I4427" t="s">
        <v>20946</v>
      </c>
      <c r="P4427" t="s">
        <v>630</v>
      </c>
      <c r="Y4427" t="s">
        <v>1744</v>
      </c>
    </row>
    <row r="4428" spans="1:25" x14ac:dyDescent="0.25">
      <c r="A4428" t="str">
        <f>"1709696544"</f>
        <v>1709696544</v>
      </c>
      <c r="B4428" t="s">
        <v>284</v>
      </c>
      <c r="C4428" t="s">
        <v>7160</v>
      </c>
      <c r="D4428" t="s">
        <v>21423</v>
      </c>
      <c r="E4428">
        <v>424032</v>
      </c>
      <c r="F4428" t="s">
        <v>1</v>
      </c>
      <c r="G4428" t="s">
        <v>2</v>
      </c>
      <c r="H4428" t="s">
        <v>21424</v>
      </c>
      <c r="J4428" t="s">
        <v>21425</v>
      </c>
      <c r="P4428" t="s">
        <v>869</v>
      </c>
      <c r="Y4428" t="s">
        <v>21426</v>
      </c>
    </row>
    <row r="4429" spans="1:25" x14ac:dyDescent="0.25">
      <c r="A4429" t="str">
        <f>"1709808692"</f>
        <v>1709808692</v>
      </c>
      <c r="B4429" t="s">
        <v>1053</v>
      </c>
      <c r="C4429" t="s">
        <v>21432</v>
      </c>
      <c r="D4429" t="s">
        <v>21427</v>
      </c>
      <c r="E4429">
        <v>424033</v>
      </c>
      <c r="F4429" t="s">
        <v>1</v>
      </c>
      <c r="G4429" t="s">
        <v>2</v>
      </c>
      <c r="H4429" t="s">
        <v>1383</v>
      </c>
      <c r="I4429" t="s">
        <v>21428</v>
      </c>
      <c r="J4429" t="s">
        <v>21429</v>
      </c>
      <c r="L4429" t="s">
        <v>21430</v>
      </c>
      <c r="M4429" t="s">
        <v>21431</v>
      </c>
      <c r="P4429" t="s">
        <v>27</v>
      </c>
      <c r="Q4429" t="s">
        <v>21433</v>
      </c>
      <c r="Y4429" t="s">
        <v>21434</v>
      </c>
    </row>
    <row r="4430" spans="1:25" x14ac:dyDescent="0.25">
      <c r="A4430" t="str">
        <f>"1709984508"</f>
        <v>1709984508</v>
      </c>
      <c r="B4430" t="s">
        <v>96</v>
      </c>
      <c r="C4430" t="s">
        <v>8808</v>
      </c>
      <c r="D4430" t="s">
        <v>21435</v>
      </c>
      <c r="E4430">
        <v>424000</v>
      </c>
      <c r="F4430" t="s">
        <v>1</v>
      </c>
      <c r="G4430" t="s">
        <v>2</v>
      </c>
      <c r="H4430" t="s">
        <v>1531</v>
      </c>
      <c r="J4430" t="s">
        <v>21436</v>
      </c>
      <c r="P4430" t="s">
        <v>941</v>
      </c>
      <c r="Y4430" t="s">
        <v>21437</v>
      </c>
    </row>
    <row r="4431" spans="1:25" x14ac:dyDescent="0.25">
      <c r="A4431" t="str">
        <f>"1710092064"</f>
        <v>1710092064</v>
      </c>
      <c r="B4431" t="s">
        <v>96</v>
      </c>
      <c r="C4431" t="s">
        <v>8808</v>
      </c>
      <c r="D4431" t="s">
        <v>21435</v>
      </c>
      <c r="E4431">
        <v>424002</v>
      </c>
      <c r="F4431" t="s">
        <v>1</v>
      </c>
      <c r="G4431" t="s">
        <v>2</v>
      </c>
      <c r="H4431" t="s">
        <v>744</v>
      </c>
      <c r="J4431" t="s">
        <v>21436</v>
      </c>
      <c r="P4431" t="s">
        <v>748</v>
      </c>
      <c r="Y4431" t="s">
        <v>749</v>
      </c>
    </row>
    <row r="4432" spans="1:25" x14ac:dyDescent="0.25">
      <c r="A4432" t="str">
        <f>"1710385705"</f>
        <v>1710385705</v>
      </c>
      <c r="B4432" t="s">
        <v>80</v>
      </c>
      <c r="C4432" t="s">
        <v>15234</v>
      </c>
      <c r="D4432" t="s">
        <v>20951</v>
      </c>
      <c r="E4432">
        <v>424038</v>
      </c>
      <c r="F4432" t="s">
        <v>1</v>
      </c>
      <c r="G4432" t="s">
        <v>2</v>
      </c>
      <c r="H4432" t="s">
        <v>16988</v>
      </c>
      <c r="I4432" t="s">
        <v>21438</v>
      </c>
      <c r="L4432" t="s">
        <v>16920</v>
      </c>
      <c r="M4432" t="s">
        <v>21439</v>
      </c>
      <c r="P4432" t="s">
        <v>17482</v>
      </c>
      <c r="Y4432" t="s">
        <v>21440</v>
      </c>
    </row>
    <row r="4433" spans="1:25" x14ac:dyDescent="0.25">
      <c r="A4433" t="str">
        <f>"1710768094"</f>
        <v>1710768094</v>
      </c>
      <c r="B4433" t="s">
        <v>334</v>
      </c>
      <c r="C4433" t="s">
        <v>334</v>
      </c>
      <c r="D4433" t="s">
        <v>21441</v>
      </c>
      <c r="F4433" t="s">
        <v>1</v>
      </c>
      <c r="G4433" t="s">
        <v>2</v>
      </c>
      <c r="H4433" t="s">
        <v>1508</v>
      </c>
      <c r="I4433" t="s">
        <v>21442</v>
      </c>
      <c r="L4433" t="s">
        <v>21443</v>
      </c>
      <c r="M4433" t="s">
        <v>21444</v>
      </c>
      <c r="P4433" t="s">
        <v>340</v>
      </c>
      <c r="Q4433" t="s">
        <v>21445</v>
      </c>
      <c r="R4433" t="s">
        <v>21446</v>
      </c>
      <c r="S4433" t="s">
        <v>21447</v>
      </c>
      <c r="T4433" t="s">
        <v>21448</v>
      </c>
      <c r="U4433" t="s">
        <v>21449</v>
      </c>
      <c r="V4433" t="s">
        <v>21450</v>
      </c>
      <c r="Y4433" t="s">
        <v>10196</v>
      </c>
    </row>
    <row r="4434" spans="1:25" x14ac:dyDescent="0.25">
      <c r="A4434" t="str">
        <f>"1710938038"</f>
        <v>1710938038</v>
      </c>
      <c r="B4434" t="s">
        <v>5573</v>
      </c>
      <c r="C4434" t="s">
        <v>21453</v>
      </c>
      <c r="D4434" t="s">
        <v>21451</v>
      </c>
      <c r="E4434">
        <v>424918</v>
      </c>
      <c r="F4434" t="s">
        <v>1</v>
      </c>
      <c r="G4434" t="s">
        <v>2</v>
      </c>
      <c r="H4434" t="s">
        <v>629</v>
      </c>
      <c r="I4434" t="s">
        <v>21452</v>
      </c>
      <c r="P4434" t="s">
        <v>630</v>
      </c>
      <c r="Y4434" t="s">
        <v>21454</v>
      </c>
    </row>
    <row r="4435" spans="1:25" x14ac:dyDescent="0.25">
      <c r="A4435" t="str">
        <f>"1710946808"</f>
        <v>1710946808</v>
      </c>
      <c r="B4435" t="s">
        <v>371</v>
      </c>
      <c r="C4435" t="s">
        <v>372</v>
      </c>
      <c r="D4435" t="s">
        <v>21455</v>
      </c>
      <c r="E4435">
        <v>424031</v>
      </c>
      <c r="F4435" t="s">
        <v>1</v>
      </c>
      <c r="G4435" t="s">
        <v>2</v>
      </c>
      <c r="H4435" t="s">
        <v>413</v>
      </c>
      <c r="J4435" t="s">
        <v>21456</v>
      </c>
      <c r="M4435" t="s">
        <v>21457</v>
      </c>
      <c r="P4435" t="s">
        <v>260</v>
      </c>
      <c r="Y4435" t="s">
        <v>1421</v>
      </c>
    </row>
    <row r="4436" spans="1:25" x14ac:dyDescent="0.25">
      <c r="A4436" t="str">
        <f>"1711200636"</f>
        <v>1711200636</v>
      </c>
      <c r="B4436" t="s">
        <v>32</v>
      </c>
      <c r="C4436" t="s">
        <v>20137</v>
      </c>
      <c r="D4436" t="s">
        <v>21458</v>
      </c>
      <c r="E4436">
        <v>424007</v>
      </c>
      <c r="F4436" t="s">
        <v>1</v>
      </c>
      <c r="G4436" t="s">
        <v>2</v>
      </c>
      <c r="H4436" t="s">
        <v>10411</v>
      </c>
      <c r="J4436" t="s">
        <v>21459</v>
      </c>
      <c r="L4436" t="s">
        <v>21460</v>
      </c>
      <c r="P4436" t="s">
        <v>2050</v>
      </c>
      <c r="Q4436" t="s">
        <v>21461</v>
      </c>
      <c r="Y4436" t="s">
        <v>10413</v>
      </c>
    </row>
    <row r="4437" spans="1:25" x14ac:dyDescent="0.25">
      <c r="A4437" t="str">
        <f>"1711496842"</f>
        <v>1711496842</v>
      </c>
      <c r="B4437" t="s">
        <v>7</v>
      </c>
      <c r="C4437" t="s">
        <v>21467</v>
      </c>
      <c r="D4437" t="s">
        <v>21462</v>
      </c>
      <c r="E4437">
        <v>424000</v>
      </c>
      <c r="F4437" t="s">
        <v>1</v>
      </c>
      <c r="G4437" t="s">
        <v>2</v>
      </c>
      <c r="H4437" t="s">
        <v>5814</v>
      </c>
      <c r="I4437" t="s">
        <v>21463</v>
      </c>
      <c r="J4437" t="s">
        <v>21464</v>
      </c>
      <c r="L4437" t="s">
        <v>21465</v>
      </c>
      <c r="M4437" t="s">
        <v>21466</v>
      </c>
      <c r="P4437" t="s">
        <v>1035</v>
      </c>
      <c r="Y4437" t="s">
        <v>21468</v>
      </c>
    </row>
    <row r="4438" spans="1:25" x14ac:dyDescent="0.25">
      <c r="A4438" t="str">
        <f>"1712066045"</f>
        <v>1712066045</v>
      </c>
      <c r="B4438" t="s">
        <v>160</v>
      </c>
      <c r="C4438" t="s">
        <v>1666</v>
      </c>
      <c r="D4438" t="s">
        <v>21469</v>
      </c>
      <c r="E4438">
        <v>424030</v>
      </c>
      <c r="F4438" t="s">
        <v>1</v>
      </c>
      <c r="G4438" t="s">
        <v>2</v>
      </c>
      <c r="H4438" t="s">
        <v>21470</v>
      </c>
      <c r="I4438" t="s">
        <v>21471</v>
      </c>
      <c r="L4438" t="s">
        <v>21472</v>
      </c>
      <c r="M4438" t="s">
        <v>21473</v>
      </c>
      <c r="P4438" t="s">
        <v>21474</v>
      </c>
      <c r="Y4438" t="s">
        <v>21475</v>
      </c>
    </row>
    <row r="4439" spans="1:25" x14ac:dyDescent="0.25">
      <c r="A4439" t="str">
        <f>"1712108844"</f>
        <v>1712108844</v>
      </c>
      <c r="B4439" t="s">
        <v>1053</v>
      </c>
      <c r="C4439" t="s">
        <v>10116</v>
      </c>
      <c r="D4439" t="s">
        <v>21476</v>
      </c>
      <c r="F4439" t="s">
        <v>1</v>
      </c>
      <c r="G4439" t="s">
        <v>2</v>
      </c>
      <c r="H4439" t="s">
        <v>1600</v>
      </c>
      <c r="I4439" t="s">
        <v>21477</v>
      </c>
      <c r="L4439" t="s">
        <v>21478</v>
      </c>
      <c r="M4439" t="s">
        <v>21479</v>
      </c>
      <c r="P4439" t="s">
        <v>27</v>
      </c>
      <c r="Y4439" t="s">
        <v>2417</v>
      </c>
    </row>
    <row r="4440" spans="1:25" x14ac:dyDescent="0.25">
      <c r="A4440" t="str">
        <f>"1712227866"</f>
        <v>1712227866</v>
      </c>
      <c r="B4440" t="s">
        <v>290</v>
      </c>
      <c r="C4440" t="s">
        <v>21483</v>
      </c>
      <c r="D4440" t="s">
        <v>21480</v>
      </c>
      <c r="E4440">
        <v>424000</v>
      </c>
      <c r="F4440" t="s">
        <v>1</v>
      </c>
      <c r="G4440" t="s">
        <v>2</v>
      </c>
      <c r="H4440" t="s">
        <v>265</v>
      </c>
      <c r="J4440" t="s">
        <v>7710</v>
      </c>
      <c r="L4440" t="s">
        <v>21481</v>
      </c>
      <c r="M4440" t="s">
        <v>21482</v>
      </c>
      <c r="P4440" t="s">
        <v>216</v>
      </c>
      <c r="Q4440" t="s">
        <v>21484</v>
      </c>
      <c r="V4440" t="s">
        <v>21485</v>
      </c>
      <c r="Y4440" t="s">
        <v>21486</v>
      </c>
    </row>
    <row r="4441" spans="1:25" x14ac:dyDescent="0.25">
      <c r="A4441" t="str">
        <f>"1712393568"</f>
        <v>1712393568</v>
      </c>
      <c r="B4441" t="s">
        <v>96</v>
      </c>
      <c r="C4441" t="s">
        <v>893</v>
      </c>
      <c r="D4441" t="s">
        <v>21487</v>
      </c>
      <c r="E4441">
        <v>424918</v>
      </c>
      <c r="F4441" t="s">
        <v>1</v>
      </c>
      <c r="G4441" t="s">
        <v>2</v>
      </c>
      <c r="H4441" t="s">
        <v>629</v>
      </c>
      <c r="I4441" t="s">
        <v>20946</v>
      </c>
      <c r="P4441" t="s">
        <v>630</v>
      </c>
      <c r="Y4441" t="s">
        <v>1744</v>
      </c>
    </row>
    <row r="4442" spans="1:25" x14ac:dyDescent="0.25">
      <c r="A4442" t="str">
        <f>"1712410645"</f>
        <v>1712410645</v>
      </c>
      <c r="B4442" t="s">
        <v>1152</v>
      </c>
      <c r="C4442" t="s">
        <v>8449</v>
      </c>
      <c r="D4442" t="s">
        <v>21488</v>
      </c>
      <c r="E4442">
        <v>424006</v>
      </c>
      <c r="F4442" t="s">
        <v>1</v>
      </c>
      <c r="G4442" t="s">
        <v>2</v>
      </c>
      <c r="H4442" t="s">
        <v>1890</v>
      </c>
      <c r="J4442" t="s">
        <v>21489</v>
      </c>
      <c r="M4442" t="s">
        <v>21490</v>
      </c>
      <c r="P4442" t="s">
        <v>60</v>
      </c>
      <c r="Y4442" t="s">
        <v>1893</v>
      </c>
    </row>
    <row r="4443" spans="1:25" x14ac:dyDescent="0.25">
      <c r="A4443" t="str">
        <f>"1712455417"</f>
        <v>1712455417</v>
      </c>
      <c r="B4443" t="s">
        <v>18</v>
      </c>
      <c r="C4443" t="s">
        <v>21495</v>
      </c>
      <c r="D4443" t="s">
        <v>21491</v>
      </c>
      <c r="E4443">
        <v>424006</v>
      </c>
      <c r="F4443" t="s">
        <v>1</v>
      </c>
      <c r="G4443" t="s">
        <v>2</v>
      </c>
      <c r="H4443" t="s">
        <v>1436</v>
      </c>
      <c r="J4443" t="s">
        <v>21492</v>
      </c>
      <c r="L4443" t="s">
        <v>21493</v>
      </c>
      <c r="M4443" t="s">
        <v>21494</v>
      </c>
      <c r="P4443" t="s">
        <v>4126</v>
      </c>
      <c r="V4443" t="s">
        <v>21496</v>
      </c>
      <c r="Y4443" t="s">
        <v>21497</v>
      </c>
    </row>
    <row r="4444" spans="1:25" x14ac:dyDescent="0.25">
      <c r="A4444" t="str">
        <f>"1713357920"</f>
        <v>1713357920</v>
      </c>
      <c r="B4444" t="s">
        <v>624</v>
      </c>
      <c r="C4444" t="s">
        <v>2640</v>
      </c>
      <c r="D4444" t="s">
        <v>2640</v>
      </c>
      <c r="E4444">
        <v>424031</v>
      </c>
      <c r="F4444" t="s">
        <v>1</v>
      </c>
      <c r="G4444" t="s">
        <v>2</v>
      </c>
      <c r="H4444" t="s">
        <v>21498</v>
      </c>
      <c r="J4444" t="s">
        <v>21499</v>
      </c>
      <c r="P4444" t="s">
        <v>21500</v>
      </c>
      <c r="Y4444" t="s">
        <v>21501</v>
      </c>
    </row>
    <row r="4445" spans="1:25" x14ac:dyDescent="0.25">
      <c r="A4445" t="str">
        <f>"1713381344"</f>
        <v>1713381344</v>
      </c>
      <c r="B4445" t="s">
        <v>790</v>
      </c>
      <c r="C4445" t="s">
        <v>4442</v>
      </c>
      <c r="D4445" t="s">
        <v>21502</v>
      </c>
      <c r="E4445">
        <v>424000</v>
      </c>
      <c r="F4445" t="s">
        <v>1</v>
      </c>
      <c r="G4445" t="s">
        <v>2</v>
      </c>
      <c r="H4445" t="s">
        <v>164</v>
      </c>
      <c r="I4445" t="s">
        <v>21503</v>
      </c>
      <c r="J4445" t="s">
        <v>21504</v>
      </c>
      <c r="P4445" t="s">
        <v>21505</v>
      </c>
      <c r="V4445" t="s">
        <v>21506</v>
      </c>
      <c r="Y4445" t="s">
        <v>172</v>
      </c>
    </row>
    <row r="4446" spans="1:25" x14ac:dyDescent="0.25">
      <c r="A4446" t="str">
        <f>"1713471240"</f>
        <v>1713471240</v>
      </c>
      <c r="B4446" t="s">
        <v>1078</v>
      </c>
      <c r="C4446" t="s">
        <v>21509</v>
      </c>
      <c r="D4446" t="s">
        <v>12104</v>
      </c>
      <c r="E4446">
        <v>424038</v>
      </c>
      <c r="F4446" t="s">
        <v>1</v>
      </c>
      <c r="G4446" t="s">
        <v>2</v>
      </c>
      <c r="H4446" t="s">
        <v>21507</v>
      </c>
      <c r="I4446" t="s">
        <v>21508</v>
      </c>
      <c r="P4446" t="s">
        <v>7431</v>
      </c>
      <c r="Y4446" t="s">
        <v>21510</v>
      </c>
    </row>
    <row r="4447" spans="1:25" x14ac:dyDescent="0.25">
      <c r="A4447" t="str">
        <f>"1714089181"</f>
        <v>1714089181</v>
      </c>
      <c r="B4447" t="s">
        <v>888</v>
      </c>
      <c r="C4447" t="s">
        <v>21513</v>
      </c>
      <c r="D4447" t="s">
        <v>21511</v>
      </c>
      <c r="E4447">
        <v>424006</v>
      </c>
      <c r="F4447" t="s">
        <v>1</v>
      </c>
      <c r="G4447" t="s">
        <v>2</v>
      </c>
      <c r="H4447" t="s">
        <v>2012</v>
      </c>
      <c r="I4447" t="s">
        <v>21512</v>
      </c>
      <c r="P4447" t="s">
        <v>390</v>
      </c>
      <c r="Y4447" t="s">
        <v>2016</v>
      </c>
    </row>
    <row r="4448" spans="1:25" x14ac:dyDescent="0.25">
      <c r="A4448" t="str">
        <f>"1714143028"</f>
        <v>1714143028</v>
      </c>
      <c r="B4448" t="s">
        <v>18</v>
      </c>
      <c r="C4448" t="s">
        <v>6433</v>
      </c>
      <c r="D4448" t="s">
        <v>21514</v>
      </c>
      <c r="F4448" t="s">
        <v>1</v>
      </c>
      <c r="G4448" t="s">
        <v>2</v>
      </c>
      <c r="H4448" t="s">
        <v>21515</v>
      </c>
      <c r="I4448" t="s">
        <v>21516</v>
      </c>
      <c r="J4448" t="s">
        <v>21517</v>
      </c>
      <c r="L4448" t="s">
        <v>21518</v>
      </c>
      <c r="M4448" t="s">
        <v>21519</v>
      </c>
      <c r="P4448" t="s">
        <v>20</v>
      </c>
      <c r="Y4448" t="s">
        <v>21520</v>
      </c>
    </row>
    <row r="4449" spans="1:25" x14ac:dyDescent="0.25">
      <c r="A4449" t="str">
        <f>"1714529808"</f>
        <v>1714529808</v>
      </c>
      <c r="B4449" t="s">
        <v>25</v>
      </c>
      <c r="C4449" t="s">
        <v>59</v>
      </c>
      <c r="D4449" t="s">
        <v>21521</v>
      </c>
      <c r="E4449">
        <v>424002</v>
      </c>
      <c r="F4449" t="s">
        <v>1</v>
      </c>
      <c r="G4449" t="s">
        <v>2</v>
      </c>
      <c r="H4449" t="s">
        <v>915</v>
      </c>
      <c r="I4449" t="s">
        <v>21522</v>
      </c>
      <c r="L4449" t="s">
        <v>21523</v>
      </c>
      <c r="P4449" t="s">
        <v>1642</v>
      </c>
      <c r="Q4449" t="s">
        <v>21524</v>
      </c>
      <c r="Y4449" t="s">
        <v>917</v>
      </c>
    </row>
    <row r="4450" spans="1:25" x14ac:dyDescent="0.25">
      <c r="A4450" t="str">
        <f>"1714890037"</f>
        <v>1714890037</v>
      </c>
      <c r="B4450" t="s">
        <v>319</v>
      </c>
      <c r="C4450" t="s">
        <v>320</v>
      </c>
      <c r="D4450" t="s">
        <v>21525</v>
      </c>
      <c r="E4450">
        <v>424036</v>
      </c>
      <c r="F4450" t="s">
        <v>1</v>
      </c>
      <c r="G4450" t="s">
        <v>2</v>
      </c>
      <c r="H4450" t="s">
        <v>5294</v>
      </c>
      <c r="I4450" t="s">
        <v>21526</v>
      </c>
      <c r="P4450" t="s">
        <v>2738</v>
      </c>
      <c r="Y4450" t="s">
        <v>21527</v>
      </c>
    </row>
    <row r="4451" spans="1:25" x14ac:dyDescent="0.25">
      <c r="A4451" t="str">
        <f>"1715034223"</f>
        <v>1715034223</v>
      </c>
      <c r="B4451" t="s">
        <v>797</v>
      </c>
      <c r="C4451" t="s">
        <v>21532</v>
      </c>
      <c r="D4451" t="s">
        <v>21528</v>
      </c>
      <c r="E4451">
        <v>424006</v>
      </c>
      <c r="F4451" t="s">
        <v>1</v>
      </c>
      <c r="G4451" t="s">
        <v>2</v>
      </c>
      <c r="H4451" t="s">
        <v>492</v>
      </c>
      <c r="I4451" t="s">
        <v>21529</v>
      </c>
      <c r="L4451" t="s">
        <v>21530</v>
      </c>
      <c r="M4451" t="s">
        <v>21531</v>
      </c>
      <c r="P4451" t="s">
        <v>1120</v>
      </c>
      <c r="Q4451" t="s">
        <v>21533</v>
      </c>
      <c r="T4451" t="s">
        <v>21534</v>
      </c>
      <c r="U4451" t="s">
        <v>21535</v>
      </c>
      <c r="V4451" t="s">
        <v>21536</v>
      </c>
      <c r="Y4451" t="s">
        <v>21537</v>
      </c>
    </row>
    <row r="4452" spans="1:25" x14ac:dyDescent="0.25">
      <c r="A4452" t="str">
        <f>"1715283200"</f>
        <v>1715283200</v>
      </c>
      <c r="B4452" t="s">
        <v>1475</v>
      </c>
      <c r="C4452" t="s">
        <v>21539</v>
      </c>
      <c r="D4452" t="s">
        <v>21538</v>
      </c>
      <c r="E4452">
        <v>424037</v>
      </c>
      <c r="F4452" t="s">
        <v>1</v>
      </c>
      <c r="G4452" t="s">
        <v>2</v>
      </c>
      <c r="H4452" t="s">
        <v>1849</v>
      </c>
      <c r="P4452" t="s">
        <v>740</v>
      </c>
      <c r="Y4452" t="s">
        <v>21540</v>
      </c>
    </row>
    <row r="4453" spans="1:25" x14ac:dyDescent="0.25">
      <c r="A4453" t="str">
        <f>"1715444673"</f>
        <v>1715444673</v>
      </c>
      <c r="B4453" t="s">
        <v>1152</v>
      </c>
      <c r="C4453" t="s">
        <v>21543</v>
      </c>
      <c r="D4453" t="s">
        <v>21541</v>
      </c>
      <c r="E4453">
        <v>424019</v>
      </c>
      <c r="F4453" t="s">
        <v>1</v>
      </c>
      <c r="G4453" t="s">
        <v>2</v>
      </c>
      <c r="H4453" t="s">
        <v>1460</v>
      </c>
      <c r="J4453" t="s">
        <v>21542</v>
      </c>
      <c r="P4453" t="s">
        <v>21544</v>
      </c>
      <c r="Y4453" t="s">
        <v>21545</v>
      </c>
    </row>
    <row r="4454" spans="1:25" x14ac:dyDescent="0.25">
      <c r="A4454" t="str">
        <f>"1715635762"</f>
        <v>1715635762</v>
      </c>
      <c r="B4454" t="s">
        <v>290</v>
      </c>
      <c r="C4454" t="s">
        <v>290</v>
      </c>
      <c r="D4454" t="s">
        <v>21546</v>
      </c>
      <c r="E4454">
        <v>424000</v>
      </c>
      <c r="F4454" t="s">
        <v>1</v>
      </c>
      <c r="G4454" t="s">
        <v>2</v>
      </c>
      <c r="H4454" t="s">
        <v>128</v>
      </c>
      <c r="I4454" t="s">
        <v>21547</v>
      </c>
      <c r="P4454" t="s">
        <v>21548</v>
      </c>
      <c r="Q4454" t="s">
        <v>21549</v>
      </c>
      <c r="T4454" t="s">
        <v>21550</v>
      </c>
      <c r="V4454" t="s">
        <v>21551</v>
      </c>
      <c r="Y4454" t="s">
        <v>21552</v>
      </c>
    </row>
    <row r="4455" spans="1:25" x14ac:dyDescent="0.25">
      <c r="A4455" t="str">
        <f>"1715702793"</f>
        <v>1715702793</v>
      </c>
      <c r="B4455" t="s">
        <v>654</v>
      </c>
      <c r="C4455" t="s">
        <v>2195</v>
      </c>
      <c r="D4455" t="s">
        <v>21553</v>
      </c>
      <c r="E4455">
        <v>424002</v>
      </c>
      <c r="F4455" t="s">
        <v>1</v>
      </c>
      <c r="G4455" t="s">
        <v>2</v>
      </c>
      <c r="H4455" t="s">
        <v>21554</v>
      </c>
      <c r="I4455" t="s">
        <v>21555</v>
      </c>
      <c r="P4455" t="s">
        <v>7390</v>
      </c>
      <c r="Y4455" t="s">
        <v>21556</v>
      </c>
    </row>
    <row r="4456" spans="1:25" x14ac:dyDescent="0.25">
      <c r="A4456" t="str">
        <f>"1715823489"</f>
        <v>1715823489</v>
      </c>
      <c r="B4456" t="s">
        <v>519</v>
      </c>
      <c r="C4456" t="s">
        <v>21563</v>
      </c>
      <c r="D4456" t="s">
        <v>21557</v>
      </c>
      <c r="E4456">
        <v>424006</v>
      </c>
      <c r="F4456" t="s">
        <v>1</v>
      </c>
      <c r="G4456" t="s">
        <v>2</v>
      </c>
      <c r="H4456" t="s">
        <v>21558</v>
      </c>
      <c r="I4456" t="s">
        <v>21559</v>
      </c>
      <c r="J4456" t="s">
        <v>21560</v>
      </c>
      <c r="L4456" t="s">
        <v>21561</v>
      </c>
      <c r="M4456" t="s">
        <v>21562</v>
      </c>
      <c r="P4456" t="s">
        <v>280</v>
      </c>
      <c r="Y4456" t="s">
        <v>21564</v>
      </c>
    </row>
    <row r="4457" spans="1:25" x14ac:dyDescent="0.25">
      <c r="A4457" t="str">
        <f>"1716725274"</f>
        <v>1716725274</v>
      </c>
      <c r="B4457" t="s">
        <v>2062</v>
      </c>
      <c r="C4457" t="s">
        <v>2063</v>
      </c>
      <c r="D4457" t="s">
        <v>21565</v>
      </c>
      <c r="E4457">
        <v>424031</v>
      </c>
      <c r="F4457" t="s">
        <v>1</v>
      </c>
      <c r="G4457" t="s">
        <v>2</v>
      </c>
      <c r="H4457" t="s">
        <v>9156</v>
      </c>
      <c r="I4457" t="s">
        <v>21566</v>
      </c>
      <c r="L4457" t="s">
        <v>21567</v>
      </c>
      <c r="M4457" t="s">
        <v>21568</v>
      </c>
      <c r="P4457" t="s">
        <v>21569</v>
      </c>
      <c r="V4457" t="s">
        <v>21570</v>
      </c>
      <c r="Y4457" t="s">
        <v>21571</v>
      </c>
    </row>
    <row r="4458" spans="1:25" x14ac:dyDescent="0.25">
      <c r="A4458" t="str">
        <f>"1716864192"</f>
        <v>1716864192</v>
      </c>
      <c r="B4458" t="s">
        <v>7312</v>
      </c>
      <c r="C4458" t="s">
        <v>19097</v>
      </c>
      <c r="D4458" t="s">
        <v>21572</v>
      </c>
      <c r="E4458">
        <v>424036</v>
      </c>
      <c r="F4458" t="s">
        <v>1</v>
      </c>
      <c r="G4458" t="s">
        <v>2</v>
      </c>
      <c r="H4458" t="s">
        <v>375</v>
      </c>
      <c r="P4458" t="s">
        <v>941</v>
      </c>
      <c r="Y4458" t="s">
        <v>21573</v>
      </c>
    </row>
    <row r="4459" spans="1:25" x14ac:dyDescent="0.25">
      <c r="A4459" t="str">
        <f>"1716988664"</f>
        <v>1716988664</v>
      </c>
      <c r="B4459" t="s">
        <v>352</v>
      </c>
      <c r="C4459" t="s">
        <v>21578</v>
      </c>
      <c r="D4459" t="s">
        <v>21574</v>
      </c>
      <c r="E4459">
        <v>424020</v>
      </c>
      <c r="F4459" t="s">
        <v>1</v>
      </c>
      <c r="G4459" t="s">
        <v>2</v>
      </c>
      <c r="H4459" t="s">
        <v>21575</v>
      </c>
      <c r="I4459" t="s">
        <v>21576</v>
      </c>
      <c r="J4459" t="s">
        <v>21577</v>
      </c>
      <c r="P4459" t="s">
        <v>330</v>
      </c>
      <c r="Y4459" t="s">
        <v>21579</v>
      </c>
    </row>
    <row r="4460" spans="1:25" x14ac:dyDescent="0.25">
      <c r="A4460" t="str">
        <f>"1717264684"</f>
        <v>1717264684</v>
      </c>
      <c r="B4460" t="s">
        <v>96</v>
      </c>
      <c r="C4460" t="s">
        <v>21581</v>
      </c>
      <c r="D4460" t="s">
        <v>11888</v>
      </c>
      <c r="E4460">
        <v>424002</v>
      </c>
      <c r="F4460" t="s">
        <v>1</v>
      </c>
      <c r="G4460" t="s">
        <v>2</v>
      </c>
      <c r="H4460" t="s">
        <v>15717</v>
      </c>
      <c r="I4460" t="s">
        <v>21580</v>
      </c>
      <c r="P4460" t="s">
        <v>1213</v>
      </c>
      <c r="Q4460" t="s">
        <v>21582</v>
      </c>
      <c r="Y4460" t="s">
        <v>21583</v>
      </c>
    </row>
    <row r="4461" spans="1:25" x14ac:dyDescent="0.25">
      <c r="A4461" t="str">
        <f>"1717510866"</f>
        <v>1717510866</v>
      </c>
      <c r="B4461" t="s">
        <v>397</v>
      </c>
      <c r="C4461" t="s">
        <v>21586</v>
      </c>
      <c r="D4461" t="s">
        <v>21584</v>
      </c>
      <c r="E4461">
        <v>424004</v>
      </c>
      <c r="F4461" t="s">
        <v>1</v>
      </c>
      <c r="G4461" t="s">
        <v>2</v>
      </c>
      <c r="H4461" t="s">
        <v>351</v>
      </c>
      <c r="I4461" t="s">
        <v>21585</v>
      </c>
      <c r="P4461" t="s">
        <v>280</v>
      </c>
      <c r="Y4461" t="s">
        <v>354</v>
      </c>
    </row>
    <row r="4462" spans="1:25" x14ac:dyDescent="0.25">
      <c r="A4462" t="str">
        <f>"1717562449"</f>
        <v>1717562449</v>
      </c>
      <c r="B4462" t="s">
        <v>1475</v>
      </c>
      <c r="C4462" t="s">
        <v>21539</v>
      </c>
      <c r="D4462" t="s">
        <v>21587</v>
      </c>
      <c r="E4462">
        <v>424005</v>
      </c>
      <c r="F4462" t="s">
        <v>1</v>
      </c>
      <c r="G4462" t="s">
        <v>2</v>
      </c>
      <c r="H4462" t="s">
        <v>7480</v>
      </c>
      <c r="I4462" t="s">
        <v>21588</v>
      </c>
      <c r="P4462" t="s">
        <v>7638</v>
      </c>
      <c r="Y4462" t="s">
        <v>21589</v>
      </c>
    </row>
    <row r="4463" spans="1:25" x14ac:dyDescent="0.25">
      <c r="A4463" t="str">
        <f>"1717610237"</f>
        <v>1717610237</v>
      </c>
      <c r="B4463" t="s">
        <v>456</v>
      </c>
      <c r="C4463" t="s">
        <v>21594</v>
      </c>
      <c r="D4463" t="s">
        <v>21590</v>
      </c>
      <c r="E4463">
        <v>424000</v>
      </c>
      <c r="F4463" t="s">
        <v>1</v>
      </c>
      <c r="G4463" t="s">
        <v>2</v>
      </c>
      <c r="H4463" t="s">
        <v>1531</v>
      </c>
      <c r="I4463" t="s">
        <v>21591</v>
      </c>
      <c r="L4463" t="s">
        <v>21592</v>
      </c>
      <c r="M4463" t="s">
        <v>21593</v>
      </c>
      <c r="P4463" t="s">
        <v>21595</v>
      </c>
      <c r="Q4463" t="s">
        <v>21596</v>
      </c>
      <c r="S4463" t="s">
        <v>21597</v>
      </c>
      <c r="T4463" t="s">
        <v>21598</v>
      </c>
      <c r="V4463" t="s">
        <v>21599</v>
      </c>
      <c r="Y4463" t="s">
        <v>21600</v>
      </c>
    </row>
    <row r="4464" spans="1:25" x14ac:dyDescent="0.25">
      <c r="A4464" t="str">
        <f>"1717944701"</f>
        <v>1717944701</v>
      </c>
      <c r="B4464" t="s">
        <v>224</v>
      </c>
      <c r="C4464" t="s">
        <v>21605</v>
      </c>
      <c r="D4464" t="s">
        <v>21601</v>
      </c>
      <c r="E4464">
        <v>424007</v>
      </c>
      <c r="F4464" t="s">
        <v>1</v>
      </c>
      <c r="G4464" t="s">
        <v>2</v>
      </c>
      <c r="H4464" t="s">
        <v>10252</v>
      </c>
      <c r="I4464" t="s">
        <v>21602</v>
      </c>
      <c r="L4464" t="s">
        <v>21603</v>
      </c>
      <c r="M4464" t="s">
        <v>21604</v>
      </c>
      <c r="P4464" t="s">
        <v>27</v>
      </c>
      <c r="Y4464" t="s">
        <v>10258</v>
      </c>
    </row>
    <row r="4465" spans="1:25" x14ac:dyDescent="0.25">
      <c r="A4465" t="str">
        <f>"1717975089"</f>
        <v>1717975089</v>
      </c>
      <c r="B4465" t="s">
        <v>96</v>
      </c>
      <c r="C4465" t="s">
        <v>893</v>
      </c>
      <c r="D4465" t="s">
        <v>21606</v>
      </c>
      <c r="E4465">
        <v>424918</v>
      </c>
      <c r="F4465" t="s">
        <v>1</v>
      </c>
      <c r="G4465" t="s">
        <v>2</v>
      </c>
      <c r="H4465" t="s">
        <v>629</v>
      </c>
      <c r="I4465" t="s">
        <v>20946</v>
      </c>
      <c r="P4465" t="s">
        <v>21607</v>
      </c>
      <c r="Y4465" t="s">
        <v>1744</v>
      </c>
    </row>
    <row r="4466" spans="1:25" x14ac:dyDescent="0.25">
      <c r="A4466" t="str">
        <f>"1718120666"</f>
        <v>1718120666</v>
      </c>
      <c r="B4466" t="s">
        <v>397</v>
      </c>
      <c r="C4466" t="s">
        <v>21613</v>
      </c>
      <c r="D4466" t="s">
        <v>21608</v>
      </c>
      <c r="E4466">
        <v>424002</v>
      </c>
      <c r="F4466" t="s">
        <v>1</v>
      </c>
      <c r="G4466" t="s">
        <v>2</v>
      </c>
      <c r="H4466" t="s">
        <v>21609</v>
      </c>
      <c r="I4466" t="s">
        <v>21610</v>
      </c>
      <c r="L4466" t="s">
        <v>21611</v>
      </c>
      <c r="M4466" t="s">
        <v>21612</v>
      </c>
      <c r="P4466" t="s">
        <v>2457</v>
      </c>
      <c r="Q4466" t="s">
        <v>21614</v>
      </c>
      <c r="Y4466" t="s">
        <v>21615</v>
      </c>
    </row>
    <row r="4467" spans="1:25" x14ac:dyDescent="0.25">
      <c r="A4467" t="str">
        <f>"1718573737"</f>
        <v>1718573737</v>
      </c>
      <c r="B4467" t="s">
        <v>3008</v>
      </c>
      <c r="C4467" t="s">
        <v>21617</v>
      </c>
      <c r="D4467" t="s">
        <v>13302</v>
      </c>
      <c r="E4467">
        <v>424008</v>
      </c>
      <c r="F4467" t="s">
        <v>1</v>
      </c>
      <c r="G4467" t="s">
        <v>2</v>
      </c>
      <c r="H4467" t="s">
        <v>1383</v>
      </c>
      <c r="I4467" t="s">
        <v>21616</v>
      </c>
      <c r="P4467" t="s">
        <v>21618</v>
      </c>
      <c r="Y4467" t="s">
        <v>21619</v>
      </c>
    </row>
    <row r="4468" spans="1:25" x14ac:dyDescent="0.25">
      <c r="A4468" t="str">
        <f>"1718755327"</f>
        <v>1718755327</v>
      </c>
      <c r="B4468" t="s">
        <v>574</v>
      </c>
      <c r="C4468" t="s">
        <v>646</v>
      </c>
      <c r="D4468" t="s">
        <v>21620</v>
      </c>
      <c r="E4468">
        <v>424036</v>
      </c>
      <c r="F4468" t="s">
        <v>1</v>
      </c>
      <c r="G4468" t="s">
        <v>2</v>
      </c>
      <c r="H4468" t="s">
        <v>5294</v>
      </c>
      <c r="I4468" t="s">
        <v>21621</v>
      </c>
      <c r="L4468" t="s">
        <v>21622</v>
      </c>
      <c r="M4468" t="s">
        <v>21623</v>
      </c>
      <c r="P4468" t="s">
        <v>60</v>
      </c>
      <c r="Y4468" t="s">
        <v>21624</v>
      </c>
    </row>
    <row r="4469" spans="1:25" x14ac:dyDescent="0.25">
      <c r="A4469" t="str">
        <f>"1719179747"</f>
        <v>1719179747</v>
      </c>
      <c r="B4469" t="s">
        <v>430</v>
      </c>
      <c r="C4469" t="s">
        <v>940</v>
      </c>
      <c r="D4469" t="s">
        <v>21625</v>
      </c>
      <c r="E4469">
        <v>424019</v>
      </c>
      <c r="F4469" t="s">
        <v>1</v>
      </c>
      <c r="G4469" t="s">
        <v>2</v>
      </c>
      <c r="H4469" t="s">
        <v>21626</v>
      </c>
      <c r="J4469" t="s">
        <v>21627</v>
      </c>
      <c r="P4469" t="s">
        <v>330</v>
      </c>
      <c r="Y4469" t="s">
        <v>21628</v>
      </c>
    </row>
    <row r="4470" spans="1:25" x14ac:dyDescent="0.25">
      <c r="A4470" t="str">
        <f>"1719231419"</f>
        <v>1719231419</v>
      </c>
      <c r="B4470" t="s">
        <v>1053</v>
      </c>
      <c r="C4470" t="s">
        <v>1927</v>
      </c>
      <c r="D4470" t="s">
        <v>21629</v>
      </c>
      <c r="F4470" t="s">
        <v>1</v>
      </c>
      <c r="G4470" t="s">
        <v>2</v>
      </c>
      <c r="H4470" t="s">
        <v>1600</v>
      </c>
      <c r="I4470" t="s">
        <v>21630</v>
      </c>
      <c r="P4470" t="s">
        <v>27</v>
      </c>
      <c r="Y4470" t="s">
        <v>2417</v>
      </c>
    </row>
    <row r="4471" spans="1:25" x14ac:dyDescent="0.25">
      <c r="A4471" t="str">
        <f>"1719439775"</f>
        <v>1719439775</v>
      </c>
      <c r="B4471" t="s">
        <v>290</v>
      </c>
      <c r="C4471" t="s">
        <v>21636</v>
      </c>
      <c r="D4471" t="s">
        <v>21631</v>
      </c>
      <c r="E4471">
        <v>424038</v>
      </c>
      <c r="F4471" t="s">
        <v>1</v>
      </c>
      <c r="G4471" t="s">
        <v>2</v>
      </c>
      <c r="H4471" t="s">
        <v>7597</v>
      </c>
      <c r="I4471" t="s">
        <v>21632</v>
      </c>
      <c r="J4471" t="s">
        <v>21633</v>
      </c>
      <c r="L4471" t="s">
        <v>21634</v>
      </c>
      <c r="M4471" t="s">
        <v>21635</v>
      </c>
      <c r="P4471" t="s">
        <v>1642</v>
      </c>
      <c r="Q4471" t="s">
        <v>21637</v>
      </c>
      <c r="U4471" t="s">
        <v>21638</v>
      </c>
      <c r="Y4471" t="s">
        <v>21639</v>
      </c>
    </row>
    <row r="4472" spans="1:25" x14ac:dyDescent="0.25">
      <c r="A4472" t="str">
        <f>"1719512163"</f>
        <v>1719512163</v>
      </c>
      <c r="B4472" t="s">
        <v>7</v>
      </c>
      <c r="C4472" t="s">
        <v>9397</v>
      </c>
      <c r="D4472" t="s">
        <v>21640</v>
      </c>
      <c r="E4472">
        <v>424002</v>
      </c>
      <c r="F4472" t="s">
        <v>1</v>
      </c>
      <c r="G4472" t="s">
        <v>2</v>
      </c>
      <c r="H4472" t="s">
        <v>570</v>
      </c>
      <c r="I4472" t="s">
        <v>21641</v>
      </c>
      <c r="J4472" t="s">
        <v>21642</v>
      </c>
      <c r="L4472" t="s">
        <v>21643</v>
      </c>
      <c r="M4472" t="s">
        <v>21644</v>
      </c>
      <c r="P4472" t="s">
        <v>8945</v>
      </c>
      <c r="Q4472" t="s">
        <v>21645</v>
      </c>
      <c r="S4472" t="s">
        <v>21646</v>
      </c>
      <c r="T4472" t="s">
        <v>21647</v>
      </c>
      <c r="V4472" t="s">
        <v>21648</v>
      </c>
      <c r="Y4472" t="s">
        <v>21649</v>
      </c>
    </row>
    <row r="4473" spans="1:25" x14ac:dyDescent="0.25">
      <c r="A4473" t="str">
        <f>"1719817620"</f>
        <v>1719817620</v>
      </c>
      <c r="B4473" t="s">
        <v>1152</v>
      </c>
      <c r="C4473" t="s">
        <v>21652</v>
      </c>
      <c r="D4473" t="s">
        <v>21650</v>
      </c>
      <c r="E4473">
        <v>424000</v>
      </c>
      <c r="F4473" t="s">
        <v>1</v>
      </c>
      <c r="G4473" t="s">
        <v>2</v>
      </c>
      <c r="H4473" t="s">
        <v>1531</v>
      </c>
      <c r="J4473" t="s">
        <v>21651</v>
      </c>
      <c r="P4473" t="s">
        <v>21653</v>
      </c>
      <c r="Q4473" t="s">
        <v>21654</v>
      </c>
      <c r="Y4473" t="s">
        <v>21655</v>
      </c>
    </row>
    <row r="4474" spans="1:25" x14ac:dyDescent="0.25">
      <c r="A4474" t="str">
        <f>"1719885435"</f>
        <v>1719885435</v>
      </c>
      <c r="B4474" t="s">
        <v>2062</v>
      </c>
      <c r="C4474" t="s">
        <v>3293</v>
      </c>
      <c r="D4474" t="s">
        <v>21656</v>
      </c>
      <c r="F4474" t="s">
        <v>1</v>
      </c>
      <c r="G4474" t="s">
        <v>2</v>
      </c>
      <c r="H4474" t="s">
        <v>757</v>
      </c>
      <c r="I4474" t="s">
        <v>21657</v>
      </c>
      <c r="L4474" t="s">
        <v>21658</v>
      </c>
      <c r="M4474" t="s">
        <v>21659</v>
      </c>
      <c r="P4474" t="s">
        <v>340</v>
      </c>
      <c r="Y4474" t="s">
        <v>760</v>
      </c>
    </row>
    <row r="4475" spans="1:25" x14ac:dyDescent="0.25">
      <c r="A4475" t="str">
        <f>"1720053359"</f>
        <v>1720053359</v>
      </c>
      <c r="B4475" t="s">
        <v>1617</v>
      </c>
      <c r="C4475" t="s">
        <v>21001</v>
      </c>
      <c r="D4475" t="s">
        <v>20999</v>
      </c>
      <c r="E4475">
        <v>424003</v>
      </c>
      <c r="F4475" t="s">
        <v>1</v>
      </c>
      <c r="G4475" t="s">
        <v>2</v>
      </c>
      <c r="H4475" t="s">
        <v>21660</v>
      </c>
      <c r="P4475" t="s">
        <v>9840</v>
      </c>
      <c r="Y4475" t="s">
        <v>21661</v>
      </c>
    </row>
    <row r="4476" spans="1:25" x14ac:dyDescent="0.25">
      <c r="A4476" t="str">
        <f>"1720495072"</f>
        <v>1720495072</v>
      </c>
      <c r="B4476" t="s">
        <v>456</v>
      </c>
      <c r="C4476" t="s">
        <v>21666</v>
      </c>
      <c r="D4476" t="s">
        <v>21662</v>
      </c>
      <c r="E4476">
        <v>424028</v>
      </c>
      <c r="F4476" t="s">
        <v>1</v>
      </c>
      <c r="G4476" t="s">
        <v>2</v>
      </c>
      <c r="H4476" t="s">
        <v>3628</v>
      </c>
      <c r="I4476" t="s">
        <v>21663</v>
      </c>
      <c r="J4476" t="s">
        <v>21664</v>
      </c>
      <c r="L4476" t="s">
        <v>21665</v>
      </c>
      <c r="P4476" t="s">
        <v>60</v>
      </c>
      <c r="Y4476" t="s">
        <v>6934</v>
      </c>
    </row>
    <row r="4477" spans="1:25" x14ac:dyDescent="0.25">
      <c r="A4477" t="str">
        <f>"1720539196"</f>
        <v>1720539196</v>
      </c>
      <c r="B4477" t="s">
        <v>1617</v>
      </c>
      <c r="C4477" t="s">
        <v>21001</v>
      </c>
      <c r="D4477" t="s">
        <v>20999</v>
      </c>
      <c r="E4477">
        <v>424000</v>
      </c>
      <c r="F4477" t="s">
        <v>1</v>
      </c>
      <c r="G4477" t="s">
        <v>2</v>
      </c>
      <c r="H4477" t="s">
        <v>21667</v>
      </c>
      <c r="P4477" t="s">
        <v>21668</v>
      </c>
      <c r="Y4477" t="s">
        <v>21669</v>
      </c>
    </row>
    <row r="4478" spans="1:25" x14ac:dyDescent="0.25">
      <c r="A4478" t="str">
        <f>"1720666240"</f>
        <v>1720666240</v>
      </c>
      <c r="B4478" t="s">
        <v>96</v>
      </c>
      <c r="C4478" t="s">
        <v>893</v>
      </c>
      <c r="D4478" t="s">
        <v>21670</v>
      </c>
      <c r="E4478">
        <v>424918</v>
      </c>
      <c r="F4478" t="s">
        <v>1</v>
      </c>
      <c r="G4478" t="s">
        <v>2</v>
      </c>
      <c r="H4478" t="s">
        <v>629</v>
      </c>
      <c r="P4478" t="s">
        <v>630</v>
      </c>
      <c r="Y4478" t="s">
        <v>1744</v>
      </c>
    </row>
    <row r="4479" spans="1:25" x14ac:dyDescent="0.25">
      <c r="A4479" t="str">
        <f>"1720737021"</f>
        <v>1720737021</v>
      </c>
      <c r="B4479" t="s">
        <v>96</v>
      </c>
      <c r="C4479" t="s">
        <v>14175</v>
      </c>
      <c r="D4479" t="s">
        <v>21671</v>
      </c>
      <c r="E4479">
        <v>424000</v>
      </c>
      <c r="F4479" t="s">
        <v>1</v>
      </c>
      <c r="G4479" t="s">
        <v>2</v>
      </c>
      <c r="H4479" t="s">
        <v>6578</v>
      </c>
      <c r="L4479" t="s">
        <v>21672</v>
      </c>
      <c r="M4479" t="s">
        <v>21673</v>
      </c>
      <c r="P4479" t="s">
        <v>144</v>
      </c>
      <c r="V4479" t="s">
        <v>21674</v>
      </c>
      <c r="Y4479" t="s">
        <v>21675</v>
      </c>
    </row>
    <row r="4480" spans="1:25" x14ac:dyDescent="0.25">
      <c r="A4480" t="str">
        <f>"1721170880"</f>
        <v>1721170880</v>
      </c>
      <c r="B4480" t="s">
        <v>687</v>
      </c>
      <c r="C4480" t="s">
        <v>21680</v>
      </c>
      <c r="D4480" t="s">
        <v>21676</v>
      </c>
      <c r="E4480">
        <v>424032</v>
      </c>
      <c r="F4480" t="s">
        <v>1</v>
      </c>
      <c r="G4480" t="s">
        <v>2</v>
      </c>
      <c r="H4480" t="s">
        <v>5699</v>
      </c>
      <c r="I4480" t="s">
        <v>21677</v>
      </c>
      <c r="L4480" t="s">
        <v>21678</v>
      </c>
      <c r="M4480" t="s">
        <v>21679</v>
      </c>
      <c r="P4480" t="s">
        <v>21681</v>
      </c>
      <c r="Y4480" t="s">
        <v>5709</v>
      </c>
    </row>
    <row r="4481" spans="1:25" x14ac:dyDescent="0.25">
      <c r="A4481" t="str">
        <f>"1721701423"</f>
        <v>1721701423</v>
      </c>
      <c r="B4481" t="s">
        <v>1152</v>
      </c>
      <c r="C4481" t="s">
        <v>2222</v>
      </c>
      <c r="D4481" t="s">
        <v>12905</v>
      </c>
      <c r="E4481">
        <v>424918</v>
      </c>
      <c r="F4481" t="s">
        <v>1</v>
      </c>
      <c r="G4481" t="s">
        <v>2</v>
      </c>
      <c r="H4481" t="s">
        <v>629</v>
      </c>
      <c r="I4481" t="s">
        <v>21682</v>
      </c>
      <c r="P4481" t="s">
        <v>471</v>
      </c>
      <c r="Q4481" t="s">
        <v>21683</v>
      </c>
      <c r="Y4481" t="s">
        <v>21684</v>
      </c>
    </row>
    <row r="4482" spans="1:25" x14ac:dyDescent="0.25">
      <c r="A4482" t="str">
        <f>"1721886553"</f>
        <v>1721886553</v>
      </c>
      <c r="B4482" t="s">
        <v>151</v>
      </c>
      <c r="C4482" t="s">
        <v>151</v>
      </c>
      <c r="D4482" t="s">
        <v>21685</v>
      </c>
      <c r="E4482">
        <v>424039</v>
      </c>
      <c r="F4482" t="s">
        <v>1</v>
      </c>
      <c r="G4482" t="s">
        <v>2</v>
      </c>
      <c r="H4482" t="s">
        <v>5827</v>
      </c>
      <c r="J4482" t="s">
        <v>21686</v>
      </c>
      <c r="P4482" t="s">
        <v>152</v>
      </c>
      <c r="Y4482" t="s">
        <v>17950</v>
      </c>
    </row>
    <row r="4483" spans="1:25" x14ac:dyDescent="0.25">
      <c r="A4483" t="str">
        <f>"1721952934"</f>
        <v>1721952934</v>
      </c>
      <c r="B4483" t="s">
        <v>290</v>
      </c>
      <c r="C4483" t="s">
        <v>1641</v>
      </c>
      <c r="D4483" t="s">
        <v>12</v>
      </c>
      <c r="E4483">
        <v>424003</v>
      </c>
      <c r="F4483" t="s">
        <v>1</v>
      </c>
      <c r="G4483" t="s">
        <v>2</v>
      </c>
      <c r="H4483" t="s">
        <v>2564</v>
      </c>
      <c r="I4483" t="s">
        <v>21687</v>
      </c>
      <c r="P4483" t="s">
        <v>21688</v>
      </c>
      <c r="Y4483" t="s">
        <v>21689</v>
      </c>
    </row>
    <row r="4484" spans="1:25" x14ac:dyDescent="0.25">
      <c r="A4484" t="str">
        <f>"1722288026"</f>
        <v>1722288026</v>
      </c>
      <c r="B4484" t="s">
        <v>18</v>
      </c>
      <c r="C4484" t="s">
        <v>21693</v>
      </c>
      <c r="D4484" t="s">
        <v>21690</v>
      </c>
      <c r="E4484">
        <v>424006</v>
      </c>
      <c r="F4484" t="s">
        <v>1</v>
      </c>
      <c r="G4484" t="s">
        <v>2</v>
      </c>
      <c r="H4484" t="s">
        <v>21691</v>
      </c>
      <c r="I4484" t="s">
        <v>21692</v>
      </c>
      <c r="P4484" t="s">
        <v>330</v>
      </c>
      <c r="Y4484" t="s">
        <v>21694</v>
      </c>
    </row>
    <row r="4485" spans="1:25" x14ac:dyDescent="0.25">
      <c r="A4485" t="str">
        <f>"1722667354"</f>
        <v>1722667354</v>
      </c>
      <c r="B4485" t="s">
        <v>456</v>
      </c>
      <c r="C4485" t="s">
        <v>21699</v>
      </c>
      <c r="D4485" t="s">
        <v>21695</v>
      </c>
      <c r="E4485">
        <v>424033</v>
      </c>
      <c r="F4485" t="s">
        <v>1</v>
      </c>
      <c r="G4485" t="s">
        <v>2</v>
      </c>
      <c r="H4485" t="s">
        <v>4300</v>
      </c>
      <c r="I4485" t="s">
        <v>21696</v>
      </c>
      <c r="L4485" t="s">
        <v>21697</v>
      </c>
      <c r="M4485" t="s">
        <v>21698</v>
      </c>
      <c r="P4485" t="s">
        <v>27</v>
      </c>
      <c r="Q4485" t="s">
        <v>21700</v>
      </c>
      <c r="S4485" t="s">
        <v>21701</v>
      </c>
      <c r="T4485" t="s">
        <v>21702</v>
      </c>
      <c r="Y4485" t="s">
        <v>10046</v>
      </c>
    </row>
    <row r="4486" spans="1:25" x14ac:dyDescent="0.25">
      <c r="A4486" t="str">
        <f>"1723140170"</f>
        <v>1723140170</v>
      </c>
      <c r="B4486" t="s">
        <v>188</v>
      </c>
      <c r="C4486" t="s">
        <v>8311</v>
      </c>
      <c r="D4486" t="s">
        <v>21703</v>
      </c>
      <c r="E4486">
        <v>424020</v>
      </c>
      <c r="F4486" t="s">
        <v>1</v>
      </c>
      <c r="G4486" t="s">
        <v>2</v>
      </c>
      <c r="H4486" t="s">
        <v>23</v>
      </c>
      <c r="J4486" t="s">
        <v>21704</v>
      </c>
      <c r="L4486" t="s">
        <v>21705</v>
      </c>
      <c r="M4486" t="s">
        <v>21706</v>
      </c>
      <c r="P4486" t="s">
        <v>21707</v>
      </c>
      <c r="Q4486" t="s">
        <v>21708</v>
      </c>
      <c r="S4486" t="s">
        <v>21709</v>
      </c>
      <c r="T4486" t="s">
        <v>21710</v>
      </c>
      <c r="V4486" t="s">
        <v>21711</v>
      </c>
      <c r="Y4486" t="s">
        <v>6162</v>
      </c>
    </row>
    <row r="4487" spans="1:25" x14ac:dyDescent="0.25">
      <c r="A4487" t="str">
        <f>"1723487396"</f>
        <v>1723487396</v>
      </c>
      <c r="B4487" t="s">
        <v>574</v>
      </c>
      <c r="C4487" t="s">
        <v>646</v>
      </c>
      <c r="D4487" t="s">
        <v>21712</v>
      </c>
      <c r="E4487">
        <v>424006</v>
      </c>
      <c r="F4487" t="s">
        <v>1</v>
      </c>
      <c r="G4487" t="s">
        <v>2</v>
      </c>
      <c r="H4487" t="s">
        <v>21713</v>
      </c>
      <c r="I4487" t="s">
        <v>21714</v>
      </c>
      <c r="P4487" t="s">
        <v>5575</v>
      </c>
      <c r="Y4487" t="s">
        <v>21715</v>
      </c>
    </row>
    <row r="4488" spans="1:25" x14ac:dyDescent="0.25">
      <c r="A4488" t="str">
        <f>"1723864598"</f>
        <v>1723864598</v>
      </c>
      <c r="B4488" t="s">
        <v>930</v>
      </c>
      <c r="C4488" t="s">
        <v>21718</v>
      </c>
      <c r="D4488" t="s">
        <v>21716</v>
      </c>
      <c r="E4488">
        <v>424037</v>
      </c>
      <c r="F4488" t="s">
        <v>1</v>
      </c>
      <c r="G4488" t="s">
        <v>2</v>
      </c>
      <c r="H4488" t="s">
        <v>20462</v>
      </c>
      <c r="I4488" t="s">
        <v>21717</v>
      </c>
      <c r="P4488" t="s">
        <v>2738</v>
      </c>
      <c r="Y4488" t="s">
        <v>20463</v>
      </c>
    </row>
    <row r="4489" spans="1:25" x14ac:dyDescent="0.25">
      <c r="A4489" t="str">
        <f>"1723954796"</f>
        <v>1723954796</v>
      </c>
      <c r="B4489" t="s">
        <v>930</v>
      </c>
      <c r="C4489" t="s">
        <v>4325</v>
      </c>
      <c r="D4489" t="s">
        <v>163</v>
      </c>
      <c r="F4489" t="s">
        <v>1</v>
      </c>
      <c r="G4489" t="s">
        <v>2</v>
      </c>
      <c r="H4489" t="s">
        <v>21719</v>
      </c>
      <c r="J4489" t="s">
        <v>21720</v>
      </c>
      <c r="P4489" t="s">
        <v>260</v>
      </c>
      <c r="Y4489" t="s">
        <v>21721</v>
      </c>
    </row>
    <row r="4490" spans="1:25" x14ac:dyDescent="0.25">
      <c r="A4490" t="str">
        <f>"1724283874"</f>
        <v>1724283874</v>
      </c>
      <c r="B4490" t="s">
        <v>930</v>
      </c>
      <c r="C4490" t="s">
        <v>927</v>
      </c>
      <c r="D4490" t="s">
        <v>927</v>
      </c>
      <c r="E4490">
        <v>424030</v>
      </c>
      <c r="F4490" t="s">
        <v>1</v>
      </c>
      <c r="G4490" t="s">
        <v>2</v>
      </c>
      <c r="H4490" t="s">
        <v>21722</v>
      </c>
      <c r="I4490" t="s">
        <v>21723</v>
      </c>
      <c r="J4490" t="s">
        <v>21724</v>
      </c>
      <c r="P4490" t="s">
        <v>2738</v>
      </c>
      <c r="Y4490" t="s">
        <v>21725</v>
      </c>
    </row>
    <row r="4491" spans="1:25" x14ac:dyDescent="0.25">
      <c r="A4491" t="str">
        <f>"1724449863"</f>
        <v>1724449863</v>
      </c>
      <c r="B4491" t="s">
        <v>930</v>
      </c>
      <c r="C4491" t="s">
        <v>21730</v>
      </c>
      <c r="D4491" t="s">
        <v>21726</v>
      </c>
      <c r="E4491">
        <v>424008</v>
      </c>
      <c r="F4491" t="s">
        <v>1</v>
      </c>
      <c r="G4491" t="s">
        <v>2</v>
      </c>
      <c r="H4491" t="s">
        <v>6584</v>
      </c>
      <c r="I4491" t="s">
        <v>21727</v>
      </c>
      <c r="L4491" t="s">
        <v>21728</v>
      </c>
      <c r="M4491" t="s">
        <v>21729</v>
      </c>
      <c r="P4491" t="s">
        <v>1160</v>
      </c>
      <c r="Q4491" t="s">
        <v>21731</v>
      </c>
      <c r="Y4491" t="s">
        <v>21732</v>
      </c>
    </row>
    <row r="4492" spans="1:25" x14ac:dyDescent="0.25">
      <c r="A4492" t="str">
        <f>"1724621567"</f>
        <v>1724621567</v>
      </c>
      <c r="B4492" t="s">
        <v>930</v>
      </c>
      <c r="C4492" t="s">
        <v>1096</v>
      </c>
      <c r="D4492" t="s">
        <v>19734</v>
      </c>
      <c r="E4492">
        <v>424007</v>
      </c>
      <c r="F4492" t="s">
        <v>1</v>
      </c>
      <c r="G4492" t="s">
        <v>2</v>
      </c>
      <c r="H4492" t="s">
        <v>1023</v>
      </c>
      <c r="J4492" t="s">
        <v>21733</v>
      </c>
      <c r="P4492" t="s">
        <v>2050</v>
      </c>
      <c r="Y4492" t="s">
        <v>16523</v>
      </c>
    </row>
    <row r="4493" spans="1:25" x14ac:dyDescent="0.25">
      <c r="A4493" t="str">
        <f>"1725035419"</f>
        <v>1725035419</v>
      </c>
      <c r="B4493" t="s">
        <v>738</v>
      </c>
      <c r="C4493" t="s">
        <v>739</v>
      </c>
      <c r="D4493" t="s">
        <v>21734</v>
      </c>
      <c r="F4493" t="s">
        <v>1</v>
      </c>
      <c r="G4493" t="s">
        <v>2</v>
      </c>
      <c r="H4493" t="s">
        <v>4446</v>
      </c>
      <c r="J4493" t="s">
        <v>21735</v>
      </c>
      <c r="L4493" t="s">
        <v>21736</v>
      </c>
      <c r="M4493" t="s">
        <v>21737</v>
      </c>
      <c r="P4493" t="s">
        <v>2438</v>
      </c>
      <c r="Q4493" t="s">
        <v>21738</v>
      </c>
      <c r="Y4493" t="s">
        <v>21739</v>
      </c>
    </row>
    <row r="4494" spans="1:25" x14ac:dyDescent="0.25">
      <c r="A4494" t="str">
        <f>"1725082963"</f>
        <v>1725082963</v>
      </c>
      <c r="B4494" t="s">
        <v>224</v>
      </c>
      <c r="C4494" t="s">
        <v>21742</v>
      </c>
      <c r="D4494" t="s">
        <v>21740</v>
      </c>
      <c r="F4494" t="s">
        <v>1</v>
      </c>
      <c r="G4494" t="s">
        <v>2</v>
      </c>
      <c r="H4494" t="s">
        <v>20364</v>
      </c>
      <c r="I4494" t="s">
        <v>21741</v>
      </c>
      <c r="P4494" t="s">
        <v>10133</v>
      </c>
      <c r="Y4494" t="s">
        <v>20367</v>
      </c>
    </row>
    <row r="4495" spans="1:25" x14ac:dyDescent="0.25">
      <c r="A4495" t="str">
        <f>"1725232309"</f>
        <v>1725232309</v>
      </c>
      <c r="B4495" t="s">
        <v>18</v>
      </c>
      <c r="C4495" t="s">
        <v>21745</v>
      </c>
      <c r="D4495" t="s">
        <v>21743</v>
      </c>
      <c r="E4495">
        <v>424033</v>
      </c>
      <c r="F4495" t="s">
        <v>1</v>
      </c>
      <c r="G4495" t="s">
        <v>2</v>
      </c>
      <c r="H4495" t="s">
        <v>4300</v>
      </c>
      <c r="L4495" t="s">
        <v>21744</v>
      </c>
      <c r="P4495" t="s">
        <v>330</v>
      </c>
      <c r="Q4495" t="s">
        <v>21746</v>
      </c>
      <c r="Y4495" t="s">
        <v>10046</v>
      </c>
    </row>
    <row r="4496" spans="1:25" x14ac:dyDescent="0.25">
      <c r="A4496" t="str">
        <f>"1725475300"</f>
        <v>1725475300</v>
      </c>
      <c r="B4496" t="s">
        <v>2178</v>
      </c>
      <c r="C4496" t="s">
        <v>2179</v>
      </c>
      <c r="D4496" t="s">
        <v>21747</v>
      </c>
      <c r="E4496">
        <v>424006</v>
      </c>
      <c r="F4496" t="s">
        <v>1</v>
      </c>
      <c r="G4496" t="s">
        <v>2</v>
      </c>
      <c r="H4496" t="s">
        <v>2966</v>
      </c>
      <c r="I4496" t="s">
        <v>21748</v>
      </c>
      <c r="P4496" t="s">
        <v>152</v>
      </c>
      <c r="Y4496" t="s">
        <v>2970</v>
      </c>
    </row>
    <row r="4497" spans="1:25" x14ac:dyDescent="0.25">
      <c r="A4497" t="str">
        <f>"1725893790"</f>
        <v>1725893790</v>
      </c>
      <c r="B4497" t="s">
        <v>1046</v>
      </c>
      <c r="C4497" t="s">
        <v>4959</v>
      </c>
      <c r="D4497" t="s">
        <v>21749</v>
      </c>
      <c r="E4497">
        <v>424004</v>
      </c>
      <c r="F4497" t="s">
        <v>1</v>
      </c>
      <c r="G4497" t="s">
        <v>2</v>
      </c>
      <c r="H4497" t="s">
        <v>21750</v>
      </c>
      <c r="J4497" t="s">
        <v>21751</v>
      </c>
      <c r="P4497" t="s">
        <v>330</v>
      </c>
      <c r="Y4497" t="s">
        <v>21752</v>
      </c>
    </row>
    <row r="4498" spans="1:25" x14ac:dyDescent="0.25">
      <c r="A4498" t="str">
        <f>"1726143447"</f>
        <v>1726143447</v>
      </c>
      <c r="B4498" t="s">
        <v>290</v>
      </c>
      <c r="C4498" t="s">
        <v>14990</v>
      </c>
      <c r="D4498" t="s">
        <v>21753</v>
      </c>
      <c r="E4498">
        <v>424003</v>
      </c>
      <c r="F4498" t="s">
        <v>1</v>
      </c>
      <c r="G4498" t="s">
        <v>2</v>
      </c>
      <c r="H4498" t="s">
        <v>21754</v>
      </c>
      <c r="I4498" t="s">
        <v>21755</v>
      </c>
      <c r="L4498" t="s">
        <v>21756</v>
      </c>
      <c r="P4498" t="s">
        <v>21757</v>
      </c>
      <c r="Q4498" t="s">
        <v>21758</v>
      </c>
      <c r="Y4498" t="s">
        <v>21759</v>
      </c>
    </row>
    <row r="4499" spans="1:25" x14ac:dyDescent="0.25">
      <c r="A4499" t="str">
        <f>"1726357875"</f>
        <v>1726357875</v>
      </c>
      <c r="B4499" t="s">
        <v>1573</v>
      </c>
      <c r="C4499" t="s">
        <v>21760</v>
      </c>
      <c r="D4499" t="s">
        <v>19151</v>
      </c>
      <c r="E4499">
        <v>424007</v>
      </c>
      <c r="F4499" t="s">
        <v>1</v>
      </c>
      <c r="G4499" t="s">
        <v>2</v>
      </c>
      <c r="H4499" t="s">
        <v>2454</v>
      </c>
      <c r="P4499" t="s">
        <v>2050</v>
      </c>
      <c r="Y4499" t="s">
        <v>21761</v>
      </c>
    </row>
    <row r="4500" spans="1:25" x14ac:dyDescent="0.25">
      <c r="A4500" t="str">
        <f>"1726397022"</f>
        <v>1726397022</v>
      </c>
      <c r="B4500" t="s">
        <v>348</v>
      </c>
      <c r="C4500" t="s">
        <v>21764</v>
      </c>
      <c r="D4500" t="s">
        <v>21762</v>
      </c>
      <c r="E4500">
        <v>424038</v>
      </c>
      <c r="F4500" t="s">
        <v>1</v>
      </c>
      <c r="G4500" t="s">
        <v>2</v>
      </c>
      <c r="H4500" t="s">
        <v>16183</v>
      </c>
      <c r="J4500" t="s">
        <v>21763</v>
      </c>
      <c r="P4500" t="s">
        <v>941</v>
      </c>
      <c r="Y4500" t="s">
        <v>21765</v>
      </c>
    </row>
    <row r="4501" spans="1:25" x14ac:dyDescent="0.25">
      <c r="A4501" t="str">
        <f>"1726933950"</f>
        <v>1726933950</v>
      </c>
      <c r="B4501" t="s">
        <v>430</v>
      </c>
      <c r="C4501" t="s">
        <v>612</v>
      </c>
      <c r="D4501" t="s">
        <v>607</v>
      </c>
      <c r="E4501">
        <v>424002</v>
      </c>
      <c r="F4501" t="s">
        <v>1</v>
      </c>
      <c r="G4501" t="s">
        <v>2</v>
      </c>
      <c r="H4501" t="s">
        <v>21766</v>
      </c>
      <c r="L4501" t="s">
        <v>610</v>
      </c>
      <c r="M4501" t="s">
        <v>611</v>
      </c>
      <c r="P4501" t="s">
        <v>216</v>
      </c>
      <c r="Y4501" t="s">
        <v>21767</v>
      </c>
    </row>
    <row r="4502" spans="1:25" x14ac:dyDescent="0.25">
      <c r="A4502" t="str">
        <f>"1727139595"</f>
        <v>1727139595</v>
      </c>
      <c r="B4502" t="s">
        <v>4084</v>
      </c>
      <c r="C4502" t="s">
        <v>7951</v>
      </c>
      <c r="D4502" t="s">
        <v>21768</v>
      </c>
      <c r="E4502">
        <v>424004</v>
      </c>
      <c r="F4502" t="s">
        <v>1</v>
      </c>
      <c r="G4502" t="s">
        <v>2</v>
      </c>
      <c r="H4502" t="s">
        <v>21769</v>
      </c>
      <c r="Y4502" t="s">
        <v>21770</v>
      </c>
    </row>
    <row r="4503" spans="1:25" x14ac:dyDescent="0.25">
      <c r="A4503" t="str">
        <f>"1727216041"</f>
        <v>1727216041</v>
      </c>
      <c r="B4503" t="s">
        <v>348</v>
      </c>
      <c r="C4503" t="s">
        <v>21775</v>
      </c>
      <c r="D4503" t="s">
        <v>21771</v>
      </c>
      <c r="E4503">
        <v>424006</v>
      </c>
      <c r="F4503" t="s">
        <v>1</v>
      </c>
      <c r="G4503" t="s">
        <v>2</v>
      </c>
      <c r="H4503" t="s">
        <v>8622</v>
      </c>
      <c r="I4503" t="s">
        <v>21772</v>
      </c>
      <c r="L4503" t="s">
        <v>21773</v>
      </c>
      <c r="M4503" t="s">
        <v>21774</v>
      </c>
      <c r="P4503" t="s">
        <v>4998</v>
      </c>
      <c r="Y4503" t="s">
        <v>8866</v>
      </c>
    </row>
    <row r="4504" spans="1:25" x14ac:dyDescent="0.25">
      <c r="A4504" t="str">
        <f>"1727498638"</f>
        <v>1727498638</v>
      </c>
      <c r="B4504" t="s">
        <v>5573</v>
      </c>
      <c r="C4504" t="s">
        <v>21453</v>
      </c>
      <c r="D4504" t="s">
        <v>21451</v>
      </c>
      <c r="E4504">
        <v>424019</v>
      </c>
      <c r="F4504" t="s">
        <v>1</v>
      </c>
      <c r="G4504" t="s">
        <v>2</v>
      </c>
      <c r="H4504" t="s">
        <v>12105</v>
      </c>
      <c r="I4504" t="s">
        <v>21776</v>
      </c>
      <c r="P4504" t="s">
        <v>941</v>
      </c>
      <c r="Y4504" t="s">
        <v>21777</v>
      </c>
    </row>
    <row r="4505" spans="1:25" x14ac:dyDescent="0.25">
      <c r="A4505" t="str">
        <f>"1728361506"</f>
        <v>1728361506</v>
      </c>
      <c r="B4505" t="s">
        <v>1552</v>
      </c>
      <c r="C4505" t="s">
        <v>1552</v>
      </c>
      <c r="D4505" t="s">
        <v>21778</v>
      </c>
      <c r="F4505" t="s">
        <v>1</v>
      </c>
      <c r="G4505" t="s">
        <v>2</v>
      </c>
      <c r="H4505" t="s">
        <v>21779</v>
      </c>
      <c r="J4505" t="s">
        <v>21780</v>
      </c>
      <c r="P4505" t="s">
        <v>330</v>
      </c>
      <c r="Y4505" t="s">
        <v>21781</v>
      </c>
    </row>
    <row r="4506" spans="1:25" x14ac:dyDescent="0.25">
      <c r="A4506" t="str">
        <f>"1728366772"</f>
        <v>1728366772</v>
      </c>
      <c r="B4506" t="s">
        <v>96</v>
      </c>
      <c r="C4506" t="s">
        <v>20677</v>
      </c>
      <c r="D4506" t="s">
        <v>21782</v>
      </c>
      <c r="E4506">
        <v>424019</v>
      </c>
      <c r="F4506" t="s">
        <v>1</v>
      </c>
      <c r="G4506" t="s">
        <v>2</v>
      </c>
      <c r="H4506" t="s">
        <v>7785</v>
      </c>
      <c r="I4506" t="s">
        <v>21783</v>
      </c>
      <c r="M4506" t="s">
        <v>21784</v>
      </c>
      <c r="P4506" t="s">
        <v>98</v>
      </c>
      <c r="Q4506" t="s">
        <v>21785</v>
      </c>
      <c r="R4506" t="s">
        <v>21786</v>
      </c>
      <c r="S4506" t="s">
        <v>21787</v>
      </c>
      <c r="T4506" t="s">
        <v>3624</v>
      </c>
      <c r="U4506" t="s">
        <v>21788</v>
      </c>
      <c r="V4506" t="s">
        <v>3625</v>
      </c>
      <c r="Y4506" t="s">
        <v>21789</v>
      </c>
    </row>
    <row r="4507" spans="1:25" x14ac:dyDescent="0.25">
      <c r="A4507" t="str">
        <f>"1728390450"</f>
        <v>1728390450</v>
      </c>
      <c r="B4507" t="s">
        <v>1475</v>
      </c>
      <c r="C4507" t="s">
        <v>21791</v>
      </c>
      <c r="D4507" t="s">
        <v>21790</v>
      </c>
      <c r="E4507">
        <v>424000</v>
      </c>
      <c r="F4507" t="s">
        <v>1</v>
      </c>
      <c r="G4507" t="s">
        <v>2</v>
      </c>
      <c r="H4507" t="s">
        <v>92</v>
      </c>
      <c r="I4507" t="s">
        <v>21303</v>
      </c>
      <c r="P4507" t="s">
        <v>98</v>
      </c>
      <c r="Y4507" t="s">
        <v>21792</v>
      </c>
    </row>
    <row r="4508" spans="1:25" x14ac:dyDescent="0.25">
      <c r="A4508" t="str">
        <f>"1728510165"</f>
        <v>1728510165</v>
      </c>
      <c r="B4508" t="s">
        <v>32</v>
      </c>
      <c r="C4508" t="s">
        <v>21798</v>
      </c>
      <c r="D4508" t="s">
        <v>21793</v>
      </c>
      <c r="E4508">
        <v>424000</v>
      </c>
      <c r="F4508" t="s">
        <v>1</v>
      </c>
      <c r="G4508" t="s">
        <v>2</v>
      </c>
      <c r="H4508" t="s">
        <v>1556</v>
      </c>
      <c r="I4508" t="s">
        <v>21794</v>
      </c>
      <c r="J4508" t="s">
        <v>21795</v>
      </c>
      <c r="L4508" t="s">
        <v>21796</v>
      </c>
      <c r="M4508" t="s">
        <v>21797</v>
      </c>
      <c r="P4508" t="s">
        <v>1027</v>
      </c>
      <c r="Q4508" t="s">
        <v>21799</v>
      </c>
      <c r="T4508" t="s">
        <v>21800</v>
      </c>
      <c r="U4508" t="s">
        <v>21801</v>
      </c>
      <c r="V4508" t="s">
        <v>21802</v>
      </c>
      <c r="Y4508" t="s">
        <v>21803</v>
      </c>
    </row>
    <row r="4509" spans="1:25" x14ac:dyDescent="0.25">
      <c r="A4509" t="str">
        <f>"1728668367"</f>
        <v>1728668367</v>
      </c>
      <c r="B4509" t="s">
        <v>574</v>
      </c>
      <c r="C4509" t="s">
        <v>21805</v>
      </c>
      <c r="D4509" t="s">
        <v>21804</v>
      </c>
      <c r="E4509">
        <v>424000</v>
      </c>
      <c r="F4509" t="s">
        <v>1</v>
      </c>
      <c r="G4509" t="s">
        <v>2</v>
      </c>
      <c r="H4509" t="s">
        <v>265</v>
      </c>
      <c r="P4509" t="s">
        <v>21806</v>
      </c>
      <c r="Y4509" t="s">
        <v>21807</v>
      </c>
    </row>
    <row r="4510" spans="1:25" x14ac:dyDescent="0.25">
      <c r="A4510" t="str">
        <f>"1729325138"</f>
        <v>1729325138</v>
      </c>
      <c r="B4510" t="s">
        <v>803</v>
      </c>
      <c r="C4510" t="s">
        <v>804</v>
      </c>
      <c r="D4510" t="s">
        <v>21808</v>
      </c>
      <c r="E4510">
        <v>424005</v>
      </c>
      <c r="F4510" t="s">
        <v>1</v>
      </c>
      <c r="G4510" t="s">
        <v>2</v>
      </c>
      <c r="H4510" t="s">
        <v>18756</v>
      </c>
      <c r="J4510" t="s">
        <v>21809</v>
      </c>
      <c r="P4510" t="s">
        <v>280</v>
      </c>
      <c r="Y4510" t="s">
        <v>18765</v>
      </c>
    </row>
    <row r="4511" spans="1:25" x14ac:dyDescent="0.25">
      <c r="A4511" t="str">
        <f>"1729396524"</f>
        <v>1729396524</v>
      </c>
      <c r="B4511" t="s">
        <v>417</v>
      </c>
      <c r="C4511" t="s">
        <v>418</v>
      </c>
      <c r="D4511" t="s">
        <v>21810</v>
      </c>
      <c r="E4511">
        <v>424000</v>
      </c>
      <c r="F4511" t="s">
        <v>1</v>
      </c>
      <c r="G4511" t="s">
        <v>2</v>
      </c>
      <c r="H4511" t="s">
        <v>3483</v>
      </c>
      <c r="I4511" t="s">
        <v>21811</v>
      </c>
      <c r="M4511" t="s">
        <v>21812</v>
      </c>
      <c r="P4511" t="s">
        <v>21813</v>
      </c>
      <c r="Y4511" t="s">
        <v>21814</v>
      </c>
    </row>
    <row r="4512" spans="1:25" x14ac:dyDescent="0.25">
      <c r="A4512" t="str">
        <f>"1729667301"</f>
        <v>1729667301</v>
      </c>
      <c r="B4512" t="s">
        <v>591</v>
      </c>
      <c r="C4512" t="s">
        <v>21818</v>
      </c>
      <c r="D4512" t="s">
        <v>21815</v>
      </c>
      <c r="E4512">
        <v>424036</v>
      </c>
      <c r="F4512" t="s">
        <v>1</v>
      </c>
      <c r="G4512" t="s">
        <v>2</v>
      </c>
      <c r="H4512" t="s">
        <v>8234</v>
      </c>
      <c r="I4512" t="s">
        <v>21816</v>
      </c>
      <c r="J4512" t="s">
        <v>21817</v>
      </c>
      <c r="P4512" t="s">
        <v>27</v>
      </c>
      <c r="Y4512" t="s">
        <v>8241</v>
      </c>
    </row>
    <row r="4513" spans="1:25" x14ac:dyDescent="0.25">
      <c r="A4513" t="str">
        <f>"1729783495"</f>
        <v>1729783495</v>
      </c>
      <c r="B4513" t="s">
        <v>96</v>
      </c>
      <c r="C4513" t="s">
        <v>8578</v>
      </c>
      <c r="D4513" t="s">
        <v>21819</v>
      </c>
      <c r="E4513">
        <v>424000</v>
      </c>
      <c r="F4513" t="s">
        <v>1</v>
      </c>
      <c r="G4513" t="s">
        <v>2</v>
      </c>
      <c r="H4513" t="s">
        <v>2671</v>
      </c>
      <c r="I4513" t="s">
        <v>21820</v>
      </c>
      <c r="L4513" t="s">
        <v>21821</v>
      </c>
      <c r="M4513" t="s">
        <v>21822</v>
      </c>
      <c r="P4513" t="s">
        <v>1027</v>
      </c>
      <c r="Q4513" t="s">
        <v>21823</v>
      </c>
      <c r="V4513" t="s">
        <v>21824</v>
      </c>
      <c r="Y4513" t="s">
        <v>2674</v>
      </c>
    </row>
    <row r="4514" spans="1:25" x14ac:dyDescent="0.25">
      <c r="A4514" t="str">
        <f>"1730687121"</f>
        <v>1730687121</v>
      </c>
      <c r="B4514" t="s">
        <v>32</v>
      </c>
      <c r="C4514" t="s">
        <v>40</v>
      </c>
      <c r="D4514" t="s">
        <v>21825</v>
      </c>
      <c r="E4514">
        <v>424038</v>
      </c>
      <c r="F4514" t="s">
        <v>1</v>
      </c>
      <c r="G4514" t="s">
        <v>2</v>
      </c>
      <c r="H4514" t="s">
        <v>7597</v>
      </c>
      <c r="J4514" t="s">
        <v>21826</v>
      </c>
      <c r="P4514" t="s">
        <v>1642</v>
      </c>
      <c r="Y4514" t="s">
        <v>21827</v>
      </c>
    </row>
    <row r="4515" spans="1:25" x14ac:dyDescent="0.25">
      <c r="A4515" t="str">
        <f>"1730758883"</f>
        <v>1730758883</v>
      </c>
      <c r="B4515" t="s">
        <v>88</v>
      </c>
      <c r="C4515" t="s">
        <v>21830</v>
      </c>
      <c r="D4515" t="s">
        <v>21828</v>
      </c>
      <c r="E4515">
        <v>424031</v>
      </c>
      <c r="F4515" t="s">
        <v>1</v>
      </c>
      <c r="G4515" t="s">
        <v>2</v>
      </c>
      <c r="H4515" t="s">
        <v>17906</v>
      </c>
      <c r="I4515" t="s">
        <v>21829</v>
      </c>
      <c r="P4515" t="s">
        <v>4126</v>
      </c>
      <c r="Y4515" t="s">
        <v>21831</v>
      </c>
    </row>
    <row r="4516" spans="1:25" x14ac:dyDescent="0.25">
      <c r="A4516" t="str">
        <f>"1731033274"</f>
        <v>1731033274</v>
      </c>
      <c r="B4516" t="s">
        <v>930</v>
      </c>
      <c r="C4516" t="s">
        <v>21834</v>
      </c>
      <c r="D4516" t="s">
        <v>1094</v>
      </c>
      <c r="F4516" t="s">
        <v>1</v>
      </c>
      <c r="G4516" t="s">
        <v>2</v>
      </c>
      <c r="H4516" t="s">
        <v>21832</v>
      </c>
      <c r="J4516" t="s">
        <v>21833</v>
      </c>
      <c r="L4516" t="s">
        <v>14440</v>
      </c>
      <c r="P4516" t="s">
        <v>133</v>
      </c>
      <c r="Y4516" t="s">
        <v>21835</v>
      </c>
    </row>
    <row r="4517" spans="1:25" x14ac:dyDescent="0.25">
      <c r="A4517" t="str">
        <f>"1731137210"</f>
        <v>1731137210</v>
      </c>
      <c r="B4517" t="s">
        <v>18</v>
      </c>
      <c r="C4517" t="s">
        <v>21839</v>
      </c>
      <c r="D4517" t="s">
        <v>21836</v>
      </c>
      <c r="E4517">
        <v>424019</v>
      </c>
      <c r="F4517" t="s">
        <v>1</v>
      </c>
      <c r="G4517" t="s">
        <v>2</v>
      </c>
      <c r="H4517" t="s">
        <v>15506</v>
      </c>
      <c r="I4517" t="s">
        <v>21837</v>
      </c>
      <c r="J4517" t="s">
        <v>21838</v>
      </c>
      <c r="P4517" t="s">
        <v>15510</v>
      </c>
      <c r="Y4517" t="s">
        <v>21840</v>
      </c>
    </row>
    <row r="4518" spans="1:25" x14ac:dyDescent="0.25">
      <c r="A4518" t="str">
        <f>"1731313460"</f>
        <v>1731313460</v>
      </c>
      <c r="B4518" t="s">
        <v>1053</v>
      </c>
      <c r="C4518" t="s">
        <v>21843</v>
      </c>
      <c r="D4518" t="s">
        <v>21841</v>
      </c>
      <c r="E4518">
        <v>424000</v>
      </c>
      <c r="F4518" t="s">
        <v>1</v>
      </c>
      <c r="G4518" t="s">
        <v>2</v>
      </c>
      <c r="H4518" t="s">
        <v>2547</v>
      </c>
      <c r="I4518" t="s">
        <v>21842</v>
      </c>
      <c r="Y4518" t="s">
        <v>6500</v>
      </c>
    </row>
    <row r="4519" spans="1:25" x14ac:dyDescent="0.25">
      <c r="A4519" t="str">
        <f>"1731512662"</f>
        <v>1731512662</v>
      </c>
      <c r="B4519" t="s">
        <v>1046</v>
      </c>
      <c r="C4519" t="s">
        <v>20384</v>
      </c>
      <c r="D4519" t="s">
        <v>21844</v>
      </c>
      <c r="E4519">
        <v>424038</v>
      </c>
      <c r="F4519" t="s">
        <v>1</v>
      </c>
      <c r="G4519" t="s">
        <v>2</v>
      </c>
      <c r="H4519" t="s">
        <v>6550</v>
      </c>
      <c r="P4519" t="s">
        <v>1642</v>
      </c>
      <c r="Y4519" t="s">
        <v>6552</v>
      </c>
    </row>
    <row r="4520" spans="1:25" x14ac:dyDescent="0.25">
      <c r="A4520" t="str">
        <f>"1731525035"</f>
        <v>1731525035</v>
      </c>
      <c r="B4520" t="s">
        <v>1343</v>
      </c>
      <c r="C4520" t="s">
        <v>21847</v>
      </c>
      <c r="D4520" t="s">
        <v>21845</v>
      </c>
      <c r="E4520">
        <v>424000</v>
      </c>
      <c r="F4520" t="s">
        <v>1</v>
      </c>
      <c r="G4520" t="s">
        <v>2</v>
      </c>
      <c r="H4520" t="s">
        <v>3421</v>
      </c>
      <c r="J4520" t="s">
        <v>21846</v>
      </c>
      <c r="P4520" t="s">
        <v>1760</v>
      </c>
      <c r="Y4520" t="s">
        <v>21848</v>
      </c>
    </row>
    <row r="4521" spans="1:25" x14ac:dyDescent="0.25">
      <c r="A4521" t="str">
        <f>"1731542511"</f>
        <v>1731542511</v>
      </c>
      <c r="B4521" t="s">
        <v>574</v>
      </c>
      <c r="C4521" t="s">
        <v>646</v>
      </c>
      <c r="D4521" t="s">
        <v>21849</v>
      </c>
      <c r="E4521">
        <v>424019</v>
      </c>
      <c r="F4521" t="s">
        <v>1</v>
      </c>
      <c r="G4521" t="s">
        <v>2</v>
      </c>
      <c r="H4521" t="s">
        <v>21391</v>
      </c>
      <c r="I4521" t="s">
        <v>21850</v>
      </c>
      <c r="P4521" t="s">
        <v>1027</v>
      </c>
      <c r="Y4521" t="s">
        <v>21851</v>
      </c>
    </row>
    <row r="4522" spans="1:25" x14ac:dyDescent="0.25">
      <c r="A4522" t="str">
        <f>"1731797116"</f>
        <v>1731797116</v>
      </c>
      <c r="B4522" t="s">
        <v>160</v>
      </c>
      <c r="C4522" t="s">
        <v>21857</v>
      </c>
      <c r="D4522" t="s">
        <v>21852</v>
      </c>
      <c r="E4522">
        <v>424003</v>
      </c>
      <c r="F4522" t="s">
        <v>1</v>
      </c>
      <c r="G4522" t="s">
        <v>2</v>
      </c>
      <c r="H4522" t="s">
        <v>21853</v>
      </c>
      <c r="I4522" t="s">
        <v>21854</v>
      </c>
      <c r="L4522" t="s">
        <v>21855</v>
      </c>
      <c r="M4522" t="s">
        <v>21856</v>
      </c>
      <c r="P4522" t="s">
        <v>8256</v>
      </c>
      <c r="Y4522" t="s">
        <v>21858</v>
      </c>
    </row>
    <row r="4523" spans="1:25" x14ac:dyDescent="0.25">
      <c r="A4523" t="str">
        <f>"1731863577"</f>
        <v>1731863577</v>
      </c>
      <c r="B4523" t="s">
        <v>888</v>
      </c>
      <c r="C4523" t="s">
        <v>1947</v>
      </c>
      <c r="D4523" t="s">
        <v>21859</v>
      </c>
      <c r="E4523">
        <v>424038</v>
      </c>
      <c r="F4523" t="s">
        <v>1</v>
      </c>
      <c r="G4523" t="s">
        <v>2</v>
      </c>
      <c r="H4523" t="s">
        <v>13118</v>
      </c>
      <c r="I4523" t="s">
        <v>21860</v>
      </c>
      <c r="L4523" t="s">
        <v>13121</v>
      </c>
      <c r="M4523" t="s">
        <v>13122</v>
      </c>
      <c r="P4523" t="s">
        <v>152</v>
      </c>
      <c r="Y4523" t="s">
        <v>15049</v>
      </c>
    </row>
    <row r="4524" spans="1:25" x14ac:dyDescent="0.25">
      <c r="A4524" t="str">
        <f>"1732269891"</f>
        <v>1732269891</v>
      </c>
      <c r="B4524" t="s">
        <v>456</v>
      </c>
      <c r="C4524" t="s">
        <v>21865</v>
      </c>
      <c r="D4524" t="s">
        <v>21861</v>
      </c>
      <c r="E4524">
        <v>424000</v>
      </c>
      <c r="F4524" t="s">
        <v>1</v>
      </c>
      <c r="G4524" t="s">
        <v>2</v>
      </c>
      <c r="H4524" t="s">
        <v>2206</v>
      </c>
      <c r="I4524" t="s">
        <v>21862</v>
      </c>
      <c r="L4524" t="s">
        <v>21863</v>
      </c>
      <c r="M4524" t="s">
        <v>21864</v>
      </c>
      <c r="P4524" t="s">
        <v>27</v>
      </c>
      <c r="Y4524" t="s">
        <v>21866</v>
      </c>
    </row>
    <row r="4525" spans="1:25" x14ac:dyDescent="0.25">
      <c r="A4525" t="str">
        <f>"1732345289"</f>
        <v>1732345289</v>
      </c>
      <c r="B4525" t="s">
        <v>379</v>
      </c>
      <c r="C4525" t="s">
        <v>766</v>
      </c>
      <c r="D4525" t="s">
        <v>21867</v>
      </c>
      <c r="E4525">
        <v>424000</v>
      </c>
      <c r="F4525" t="s">
        <v>1</v>
      </c>
      <c r="G4525" t="s">
        <v>2</v>
      </c>
      <c r="H4525" t="s">
        <v>265</v>
      </c>
      <c r="I4525" t="s">
        <v>21868</v>
      </c>
      <c r="L4525" t="s">
        <v>21869</v>
      </c>
      <c r="M4525" t="s">
        <v>21870</v>
      </c>
      <c r="P4525" t="s">
        <v>10812</v>
      </c>
      <c r="Y4525" t="s">
        <v>11205</v>
      </c>
    </row>
    <row r="4526" spans="1:25" x14ac:dyDescent="0.25">
      <c r="A4526" t="str">
        <f>"1732407535"</f>
        <v>1732407535</v>
      </c>
      <c r="B4526" t="s">
        <v>1053</v>
      </c>
      <c r="C4526" t="s">
        <v>1927</v>
      </c>
      <c r="D4526" t="s">
        <v>21871</v>
      </c>
      <c r="E4526">
        <v>424004</v>
      </c>
      <c r="F4526" t="s">
        <v>1</v>
      </c>
      <c r="G4526" t="s">
        <v>2</v>
      </c>
      <c r="H4526" t="s">
        <v>15098</v>
      </c>
      <c r="I4526" t="s">
        <v>21872</v>
      </c>
      <c r="P4526" t="s">
        <v>280</v>
      </c>
      <c r="Y4526" t="s">
        <v>21873</v>
      </c>
    </row>
    <row r="4527" spans="1:25" x14ac:dyDescent="0.25">
      <c r="A4527" t="str">
        <f>"1732761146"</f>
        <v>1732761146</v>
      </c>
      <c r="B4527" t="s">
        <v>243</v>
      </c>
      <c r="C4527" t="s">
        <v>5683</v>
      </c>
      <c r="D4527" t="s">
        <v>21874</v>
      </c>
      <c r="E4527">
        <v>424004</v>
      </c>
      <c r="F4527" t="s">
        <v>1</v>
      </c>
      <c r="G4527" t="s">
        <v>2</v>
      </c>
      <c r="H4527" t="s">
        <v>8326</v>
      </c>
      <c r="I4527" t="s">
        <v>21875</v>
      </c>
      <c r="L4527" t="s">
        <v>21876</v>
      </c>
      <c r="M4527" t="s">
        <v>21877</v>
      </c>
      <c r="P4527" t="s">
        <v>1035</v>
      </c>
      <c r="Y4527" t="s">
        <v>21878</v>
      </c>
    </row>
    <row r="4528" spans="1:25" x14ac:dyDescent="0.25">
      <c r="A4528" t="str">
        <f>"1732815412"</f>
        <v>1732815412</v>
      </c>
      <c r="B4528" t="s">
        <v>18</v>
      </c>
      <c r="C4528" t="s">
        <v>21882</v>
      </c>
      <c r="D4528" t="s">
        <v>16444</v>
      </c>
      <c r="E4528">
        <v>424008</v>
      </c>
      <c r="F4528" t="s">
        <v>1</v>
      </c>
      <c r="G4528" t="s">
        <v>2</v>
      </c>
      <c r="H4528" t="s">
        <v>3812</v>
      </c>
      <c r="I4528" t="s">
        <v>21879</v>
      </c>
      <c r="L4528" t="s">
        <v>21880</v>
      </c>
      <c r="M4528" t="s">
        <v>21881</v>
      </c>
      <c r="P4528" t="s">
        <v>11801</v>
      </c>
      <c r="Y4528" t="s">
        <v>21883</v>
      </c>
    </row>
    <row r="4529" spans="1:25" x14ac:dyDescent="0.25">
      <c r="A4529" t="str">
        <f>"1732920233"</f>
        <v>1732920233</v>
      </c>
      <c r="B4529" t="s">
        <v>1053</v>
      </c>
      <c r="C4529" t="s">
        <v>21888</v>
      </c>
      <c r="D4529" t="s">
        <v>21884</v>
      </c>
      <c r="E4529">
        <v>424007</v>
      </c>
      <c r="F4529" t="s">
        <v>1</v>
      </c>
      <c r="G4529" t="s">
        <v>2</v>
      </c>
      <c r="H4529" t="s">
        <v>21885</v>
      </c>
      <c r="I4529" t="s">
        <v>21886</v>
      </c>
      <c r="J4529" t="s">
        <v>21887</v>
      </c>
      <c r="P4529" t="s">
        <v>4543</v>
      </c>
      <c r="Y4529" t="s">
        <v>21889</v>
      </c>
    </row>
    <row r="4530" spans="1:25" x14ac:dyDescent="0.25">
      <c r="A4530" t="str">
        <f>"1733204013"</f>
        <v>1733204013</v>
      </c>
      <c r="B4530" t="s">
        <v>32</v>
      </c>
      <c r="C4530" t="s">
        <v>182</v>
      </c>
      <c r="D4530" t="s">
        <v>21890</v>
      </c>
      <c r="E4530">
        <v>424031</v>
      </c>
      <c r="F4530" t="s">
        <v>1</v>
      </c>
      <c r="G4530" t="s">
        <v>2</v>
      </c>
      <c r="H4530" t="s">
        <v>4606</v>
      </c>
      <c r="P4530" t="s">
        <v>21891</v>
      </c>
      <c r="Y4530" t="s">
        <v>21892</v>
      </c>
    </row>
    <row r="4531" spans="1:25" x14ac:dyDescent="0.25">
      <c r="A4531" t="str">
        <f>"1733729024"</f>
        <v>1733729024</v>
      </c>
      <c r="B4531" t="s">
        <v>1573</v>
      </c>
      <c r="C4531" t="s">
        <v>21893</v>
      </c>
      <c r="D4531" t="s">
        <v>18210</v>
      </c>
      <c r="E4531">
        <v>424038</v>
      </c>
      <c r="F4531" t="s">
        <v>1</v>
      </c>
      <c r="G4531" t="s">
        <v>2</v>
      </c>
      <c r="H4531" t="s">
        <v>1366</v>
      </c>
      <c r="P4531" t="s">
        <v>112</v>
      </c>
      <c r="Y4531" t="s">
        <v>8091</v>
      </c>
    </row>
    <row r="4532" spans="1:25" x14ac:dyDescent="0.25">
      <c r="A4532" t="str">
        <f>"1733845998"</f>
        <v>1733845998</v>
      </c>
      <c r="B4532" t="s">
        <v>243</v>
      </c>
      <c r="C4532" t="s">
        <v>21897</v>
      </c>
      <c r="D4532" t="s">
        <v>21894</v>
      </c>
      <c r="E4532">
        <v>424007</v>
      </c>
      <c r="F4532" t="s">
        <v>1</v>
      </c>
      <c r="G4532" t="s">
        <v>2</v>
      </c>
      <c r="H4532" t="s">
        <v>10252</v>
      </c>
      <c r="J4532" t="s">
        <v>21895</v>
      </c>
      <c r="L4532" t="s">
        <v>21896</v>
      </c>
      <c r="P4532" t="s">
        <v>1420</v>
      </c>
      <c r="Y4532" t="s">
        <v>10258</v>
      </c>
    </row>
    <row r="4533" spans="1:25" x14ac:dyDescent="0.25">
      <c r="A4533" t="str">
        <f>"1733920460"</f>
        <v>1733920460</v>
      </c>
      <c r="B4533" t="s">
        <v>640</v>
      </c>
      <c r="C4533" t="s">
        <v>663</v>
      </c>
      <c r="D4533" t="s">
        <v>21898</v>
      </c>
      <c r="E4533">
        <v>424020</v>
      </c>
      <c r="F4533" t="s">
        <v>1</v>
      </c>
      <c r="G4533" t="s">
        <v>2</v>
      </c>
      <c r="H4533" t="s">
        <v>21899</v>
      </c>
      <c r="I4533" t="s">
        <v>21900</v>
      </c>
      <c r="J4533" t="s">
        <v>21901</v>
      </c>
      <c r="P4533" t="s">
        <v>21902</v>
      </c>
      <c r="Q4533" t="s">
        <v>21903</v>
      </c>
      <c r="Y4533" t="s">
        <v>21904</v>
      </c>
    </row>
    <row r="4534" spans="1:25" x14ac:dyDescent="0.25">
      <c r="A4534" t="str">
        <f>"1734112215"</f>
        <v>1734112215</v>
      </c>
      <c r="B4534" t="s">
        <v>1222</v>
      </c>
      <c r="C4534" t="s">
        <v>2114</v>
      </c>
      <c r="D4534" t="s">
        <v>21905</v>
      </c>
      <c r="E4534">
        <v>424031</v>
      </c>
      <c r="F4534" t="s">
        <v>1</v>
      </c>
      <c r="G4534" t="s">
        <v>2</v>
      </c>
      <c r="H4534" t="s">
        <v>106</v>
      </c>
      <c r="J4534" t="s">
        <v>21906</v>
      </c>
      <c r="P4534" t="s">
        <v>133</v>
      </c>
      <c r="Y4534" t="s">
        <v>15188</v>
      </c>
    </row>
    <row r="4535" spans="1:25" x14ac:dyDescent="0.25">
      <c r="A4535" t="str">
        <f>"1734436495"</f>
        <v>1734436495</v>
      </c>
      <c r="B4535" t="s">
        <v>348</v>
      </c>
      <c r="C4535" t="s">
        <v>7354</v>
      </c>
      <c r="D4535" t="s">
        <v>1949</v>
      </c>
      <c r="E4535">
        <v>424002</v>
      </c>
      <c r="F4535" t="s">
        <v>1</v>
      </c>
      <c r="G4535" t="s">
        <v>2</v>
      </c>
      <c r="H4535" t="s">
        <v>744</v>
      </c>
      <c r="J4535" t="s">
        <v>21907</v>
      </c>
      <c r="L4535" t="s">
        <v>1952</v>
      </c>
      <c r="M4535" t="s">
        <v>5244</v>
      </c>
      <c r="P4535" t="s">
        <v>748</v>
      </c>
      <c r="Y4535" t="s">
        <v>749</v>
      </c>
    </row>
    <row r="4536" spans="1:25" x14ac:dyDescent="0.25">
      <c r="A4536" t="str">
        <f>"1734451051"</f>
        <v>1734451051</v>
      </c>
      <c r="B4536" t="s">
        <v>176</v>
      </c>
      <c r="C4536" t="s">
        <v>21914</v>
      </c>
      <c r="D4536" t="s">
        <v>21908</v>
      </c>
      <c r="E4536">
        <v>424031</v>
      </c>
      <c r="F4536" t="s">
        <v>1</v>
      </c>
      <c r="G4536" t="s">
        <v>2</v>
      </c>
      <c r="H4536" t="s">
        <v>21909</v>
      </c>
      <c r="I4536" t="s">
        <v>21910</v>
      </c>
      <c r="J4536" t="s">
        <v>21911</v>
      </c>
      <c r="L4536" t="s">
        <v>21912</v>
      </c>
      <c r="M4536" t="s">
        <v>21913</v>
      </c>
      <c r="P4536" t="s">
        <v>21915</v>
      </c>
      <c r="Q4536" t="s">
        <v>21916</v>
      </c>
      <c r="T4536" t="s">
        <v>21917</v>
      </c>
      <c r="V4536" t="s">
        <v>21918</v>
      </c>
      <c r="Y4536" t="s">
        <v>21919</v>
      </c>
    </row>
    <row r="4537" spans="1:25" x14ac:dyDescent="0.25">
      <c r="A4537" t="str">
        <f>"1735111474"</f>
        <v>1735111474</v>
      </c>
      <c r="B4537" t="s">
        <v>1152</v>
      </c>
      <c r="C4537" t="s">
        <v>1153</v>
      </c>
      <c r="D4537" t="s">
        <v>10280</v>
      </c>
      <c r="E4537">
        <v>424028</v>
      </c>
      <c r="F4537" t="s">
        <v>1</v>
      </c>
      <c r="G4537" t="s">
        <v>2</v>
      </c>
      <c r="H4537" t="s">
        <v>21920</v>
      </c>
      <c r="I4537" t="s">
        <v>21921</v>
      </c>
      <c r="M4537" t="s">
        <v>10284</v>
      </c>
      <c r="P4537" t="s">
        <v>60</v>
      </c>
      <c r="Q4537" t="s">
        <v>10286</v>
      </c>
      <c r="R4537" t="s">
        <v>10287</v>
      </c>
      <c r="S4537" t="s">
        <v>10288</v>
      </c>
      <c r="T4537" t="s">
        <v>10289</v>
      </c>
      <c r="U4537" t="s">
        <v>10290</v>
      </c>
      <c r="V4537" t="s">
        <v>10291</v>
      </c>
      <c r="Y4537" t="s">
        <v>21922</v>
      </c>
    </row>
    <row r="4538" spans="1:25" x14ac:dyDescent="0.25">
      <c r="A4538" t="str">
        <f>"1735215982"</f>
        <v>1735215982</v>
      </c>
      <c r="B4538" t="s">
        <v>447</v>
      </c>
      <c r="C4538" t="s">
        <v>7136</v>
      </c>
      <c r="D4538" t="s">
        <v>21923</v>
      </c>
      <c r="F4538" t="s">
        <v>1</v>
      </c>
      <c r="G4538" t="s">
        <v>2</v>
      </c>
      <c r="H4538" t="s">
        <v>4915</v>
      </c>
      <c r="I4538" t="s">
        <v>21924</v>
      </c>
      <c r="M4538" t="s">
        <v>21925</v>
      </c>
      <c r="P4538" t="s">
        <v>280</v>
      </c>
      <c r="Y4538" t="s">
        <v>4917</v>
      </c>
    </row>
    <row r="4539" spans="1:25" x14ac:dyDescent="0.25">
      <c r="A4539" t="str">
        <f>"1735417527"</f>
        <v>1735417527</v>
      </c>
      <c r="B4539" t="s">
        <v>1046</v>
      </c>
      <c r="C4539" t="s">
        <v>2695</v>
      </c>
      <c r="D4539" t="s">
        <v>21926</v>
      </c>
      <c r="E4539">
        <v>424005</v>
      </c>
      <c r="F4539" t="s">
        <v>1</v>
      </c>
      <c r="G4539" t="s">
        <v>2</v>
      </c>
      <c r="H4539" t="s">
        <v>21927</v>
      </c>
      <c r="J4539" t="s">
        <v>21928</v>
      </c>
      <c r="P4539" t="s">
        <v>330</v>
      </c>
      <c r="Y4539" t="s">
        <v>21929</v>
      </c>
    </row>
    <row r="4540" spans="1:25" x14ac:dyDescent="0.25">
      <c r="A4540" t="str">
        <f>"1735585221"</f>
        <v>1735585221</v>
      </c>
      <c r="B4540" t="s">
        <v>397</v>
      </c>
      <c r="C4540" t="s">
        <v>21932</v>
      </c>
      <c r="D4540" t="s">
        <v>21930</v>
      </c>
      <c r="F4540" t="s">
        <v>1</v>
      </c>
      <c r="G4540" t="s">
        <v>2</v>
      </c>
      <c r="H4540" t="s">
        <v>10011</v>
      </c>
      <c r="J4540" t="s">
        <v>21931</v>
      </c>
      <c r="P4540" t="s">
        <v>216</v>
      </c>
      <c r="Y4540" t="s">
        <v>10013</v>
      </c>
    </row>
    <row r="4541" spans="1:25" x14ac:dyDescent="0.25">
      <c r="A4541" t="str">
        <f>"1735641587"</f>
        <v>1735641587</v>
      </c>
      <c r="B4541" t="s">
        <v>469</v>
      </c>
      <c r="C4541" t="s">
        <v>470</v>
      </c>
      <c r="D4541" t="s">
        <v>21933</v>
      </c>
      <c r="E4541">
        <v>424016</v>
      </c>
      <c r="F4541" t="s">
        <v>1</v>
      </c>
      <c r="G4541" t="s">
        <v>2</v>
      </c>
      <c r="H4541" t="s">
        <v>17420</v>
      </c>
      <c r="I4541" t="s">
        <v>9842</v>
      </c>
      <c r="L4541" t="s">
        <v>21934</v>
      </c>
      <c r="M4541" t="s">
        <v>21935</v>
      </c>
      <c r="P4541" t="s">
        <v>6315</v>
      </c>
      <c r="Q4541" t="s">
        <v>21936</v>
      </c>
      <c r="Y4541" t="s">
        <v>17423</v>
      </c>
    </row>
    <row r="4542" spans="1:25" x14ac:dyDescent="0.25">
      <c r="A4542" t="str">
        <f>"1735815818"</f>
        <v>1735815818</v>
      </c>
      <c r="B4542" t="s">
        <v>18</v>
      </c>
      <c r="C4542" t="s">
        <v>21942</v>
      </c>
      <c r="D4542" t="s">
        <v>21937</v>
      </c>
      <c r="E4542">
        <v>424002</v>
      </c>
      <c r="F4542" t="s">
        <v>1</v>
      </c>
      <c r="G4542" t="s">
        <v>2</v>
      </c>
      <c r="H4542" t="s">
        <v>6656</v>
      </c>
      <c r="I4542" t="s">
        <v>21938</v>
      </c>
      <c r="J4542" t="s">
        <v>21939</v>
      </c>
      <c r="L4542" t="s">
        <v>21940</v>
      </c>
      <c r="M4542" t="s">
        <v>21941</v>
      </c>
      <c r="P4542" t="s">
        <v>21943</v>
      </c>
      <c r="Q4542" t="s">
        <v>21944</v>
      </c>
      <c r="V4542" t="s">
        <v>21945</v>
      </c>
      <c r="Y4542" t="s">
        <v>11652</v>
      </c>
    </row>
    <row r="4543" spans="1:25" x14ac:dyDescent="0.25">
      <c r="A4543" t="str">
        <f>"1736716622"</f>
        <v>1736716622</v>
      </c>
      <c r="B4543" t="s">
        <v>176</v>
      </c>
      <c r="C4543" t="s">
        <v>279</v>
      </c>
      <c r="D4543" t="s">
        <v>21946</v>
      </c>
      <c r="E4543">
        <v>424006</v>
      </c>
      <c r="F4543" t="s">
        <v>1</v>
      </c>
      <c r="G4543" t="s">
        <v>2</v>
      </c>
      <c r="H4543" t="s">
        <v>3913</v>
      </c>
      <c r="I4543" t="s">
        <v>21947</v>
      </c>
      <c r="P4543" t="s">
        <v>21948</v>
      </c>
      <c r="Y4543" t="s">
        <v>21949</v>
      </c>
    </row>
    <row r="4544" spans="1:25" x14ac:dyDescent="0.25">
      <c r="A4544" t="str">
        <f>"1736845638"</f>
        <v>1736845638</v>
      </c>
      <c r="B4544" t="s">
        <v>96</v>
      </c>
      <c r="C4544" t="s">
        <v>7071</v>
      </c>
      <c r="D4544" t="s">
        <v>21950</v>
      </c>
      <c r="E4544">
        <v>424918</v>
      </c>
      <c r="F4544" t="s">
        <v>1</v>
      </c>
      <c r="G4544" t="s">
        <v>2</v>
      </c>
      <c r="H4544" t="s">
        <v>629</v>
      </c>
      <c r="I4544" t="s">
        <v>20946</v>
      </c>
      <c r="P4544" t="s">
        <v>630</v>
      </c>
      <c r="Y4544" t="s">
        <v>1744</v>
      </c>
    </row>
    <row r="4545" spans="1:25" x14ac:dyDescent="0.25">
      <c r="A4545" t="str">
        <f>"1736978080"</f>
        <v>1736978080</v>
      </c>
      <c r="B4545" t="s">
        <v>88</v>
      </c>
      <c r="C4545" t="s">
        <v>19306</v>
      </c>
      <c r="D4545" t="s">
        <v>21951</v>
      </c>
      <c r="F4545" t="s">
        <v>1</v>
      </c>
      <c r="G4545" t="s">
        <v>2</v>
      </c>
      <c r="H4545" t="s">
        <v>21391</v>
      </c>
      <c r="I4545" t="s">
        <v>21952</v>
      </c>
      <c r="P4545" t="s">
        <v>144</v>
      </c>
      <c r="Y4545" t="s">
        <v>21392</v>
      </c>
    </row>
    <row r="4546" spans="1:25" x14ac:dyDescent="0.25">
      <c r="A4546" t="str">
        <f>"1736979559"</f>
        <v>1736979559</v>
      </c>
      <c r="B4546" t="s">
        <v>1343</v>
      </c>
      <c r="C4546" t="s">
        <v>21957</v>
      </c>
      <c r="D4546" t="s">
        <v>21953</v>
      </c>
      <c r="E4546">
        <v>424038</v>
      </c>
      <c r="F4546" t="s">
        <v>1</v>
      </c>
      <c r="G4546" t="s">
        <v>2</v>
      </c>
      <c r="H4546" t="s">
        <v>7597</v>
      </c>
      <c r="I4546" t="s">
        <v>21954</v>
      </c>
      <c r="L4546" t="s">
        <v>21955</v>
      </c>
      <c r="M4546" t="s">
        <v>21956</v>
      </c>
      <c r="P4546" t="s">
        <v>1642</v>
      </c>
      <c r="Q4546" t="s">
        <v>21958</v>
      </c>
      <c r="R4546" t="s">
        <v>21959</v>
      </c>
      <c r="T4546" t="s">
        <v>21960</v>
      </c>
      <c r="U4546" t="s">
        <v>21961</v>
      </c>
      <c r="V4546" t="s">
        <v>21962</v>
      </c>
      <c r="Y4546" t="s">
        <v>21963</v>
      </c>
    </row>
    <row r="4547" spans="1:25" x14ac:dyDescent="0.25">
      <c r="A4547" t="str">
        <f>"1737443116"</f>
        <v>1737443116</v>
      </c>
      <c r="B4547" t="s">
        <v>1352</v>
      </c>
      <c r="C4547" t="s">
        <v>1353</v>
      </c>
      <c r="D4547" t="s">
        <v>21964</v>
      </c>
      <c r="E4547">
        <v>424038</v>
      </c>
      <c r="F4547" t="s">
        <v>1</v>
      </c>
      <c r="G4547" t="s">
        <v>2</v>
      </c>
      <c r="H4547" t="s">
        <v>7597</v>
      </c>
      <c r="J4547" t="s">
        <v>21965</v>
      </c>
      <c r="P4547" t="s">
        <v>1642</v>
      </c>
      <c r="Q4547" t="s">
        <v>21966</v>
      </c>
      <c r="V4547" t="s">
        <v>21967</v>
      </c>
      <c r="Y4547" t="s">
        <v>21968</v>
      </c>
    </row>
    <row r="4548" spans="1:25" x14ac:dyDescent="0.25">
      <c r="A4548" t="str">
        <f>"1738423339"</f>
        <v>1738423339</v>
      </c>
      <c r="B4548" t="s">
        <v>18</v>
      </c>
      <c r="C4548" t="s">
        <v>2593</v>
      </c>
      <c r="D4548" t="s">
        <v>21969</v>
      </c>
      <c r="E4548">
        <v>424007</v>
      </c>
      <c r="F4548" t="s">
        <v>1</v>
      </c>
      <c r="G4548" t="s">
        <v>2</v>
      </c>
      <c r="H4548" t="s">
        <v>1566</v>
      </c>
      <c r="I4548" t="s">
        <v>21970</v>
      </c>
      <c r="P4548" t="s">
        <v>2457</v>
      </c>
      <c r="Y4548" t="s">
        <v>2882</v>
      </c>
    </row>
    <row r="4549" spans="1:25" x14ac:dyDescent="0.25">
      <c r="A4549" t="str">
        <f>"1738531200"</f>
        <v>1738531200</v>
      </c>
      <c r="B4549" t="s">
        <v>930</v>
      </c>
      <c r="C4549" t="s">
        <v>11882</v>
      </c>
      <c r="D4549" t="s">
        <v>21971</v>
      </c>
      <c r="F4549" t="s">
        <v>1</v>
      </c>
      <c r="G4549" t="s">
        <v>2</v>
      </c>
      <c r="H4549" t="s">
        <v>21972</v>
      </c>
      <c r="I4549" t="s">
        <v>21973</v>
      </c>
      <c r="P4549" t="s">
        <v>133</v>
      </c>
      <c r="Y4549" t="s">
        <v>21974</v>
      </c>
    </row>
    <row r="4550" spans="1:25" x14ac:dyDescent="0.25">
      <c r="A4550" t="str">
        <f>"1738660483"</f>
        <v>1738660483</v>
      </c>
      <c r="B4550" t="s">
        <v>2846</v>
      </c>
      <c r="C4550" t="s">
        <v>11032</v>
      </c>
      <c r="D4550" t="s">
        <v>21975</v>
      </c>
      <c r="E4550">
        <v>424003</v>
      </c>
      <c r="F4550" t="s">
        <v>1</v>
      </c>
      <c r="G4550" t="s">
        <v>2</v>
      </c>
      <c r="H4550" t="s">
        <v>2518</v>
      </c>
      <c r="J4550" t="s">
        <v>21976</v>
      </c>
      <c r="P4550" t="s">
        <v>21977</v>
      </c>
      <c r="Y4550" t="s">
        <v>21978</v>
      </c>
    </row>
    <row r="4551" spans="1:25" x14ac:dyDescent="0.25">
      <c r="A4551" t="str">
        <f>"1739669172"</f>
        <v>1739669172</v>
      </c>
      <c r="B4551" t="s">
        <v>1262</v>
      </c>
      <c r="C4551" t="s">
        <v>8454</v>
      </c>
      <c r="D4551" t="s">
        <v>21979</v>
      </c>
      <c r="E4551">
        <v>424007</v>
      </c>
      <c r="F4551" t="s">
        <v>1</v>
      </c>
      <c r="G4551" t="s">
        <v>2</v>
      </c>
      <c r="H4551" t="s">
        <v>7511</v>
      </c>
      <c r="I4551" t="s">
        <v>21980</v>
      </c>
      <c r="J4551" t="s">
        <v>21981</v>
      </c>
      <c r="P4551" t="s">
        <v>5575</v>
      </c>
      <c r="Y4551" t="s">
        <v>7512</v>
      </c>
    </row>
    <row r="4552" spans="1:25" x14ac:dyDescent="0.25">
      <c r="A4552" t="str">
        <f>"1739913678"</f>
        <v>1739913678</v>
      </c>
      <c r="B4552" t="s">
        <v>352</v>
      </c>
      <c r="C4552" t="s">
        <v>21984</v>
      </c>
      <c r="D4552" t="s">
        <v>21982</v>
      </c>
      <c r="E4552">
        <v>424004</v>
      </c>
      <c r="F4552" t="s">
        <v>1</v>
      </c>
      <c r="G4552" t="s">
        <v>2</v>
      </c>
      <c r="H4552" t="s">
        <v>351</v>
      </c>
      <c r="I4552" t="s">
        <v>21983</v>
      </c>
      <c r="P4552" t="s">
        <v>410</v>
      </c>
      <c r="Y4552" t="s">
        <v>354</v>
      </c>
    </row>
    <row r="4553" spans="1:25" x14ac:dyDescent="0.25">
      <c r="A4553" t="str">
        <f>"1740468253"</f>
        <v>1740468253</v>
      </c>
      <c r="B4553" t="s">
        <v>3094</v>
      </c>
      <c r="C4553" t="s">
        <v>21987</v>
      </c>
      <c r="D4553" t="s">
        <v>21985</v>
      </c>
      <c r="E4553">
        <v>424002</v>
      </c>
      <c r="F4553" t="s">
        <v>1</v>
      </c>
      <c r="G4553" t="s">
        <v>2</v>
      </c>
      <c r="H4553" t="s">
        <v>57</v>
      </c>
      <c r="J4553" t="s">
        <v>21986</v>
      </c>
      <c r="P4553" t="s">
        <v>15040</v>
      </c>
      <c r="Y4553" t="s">
        <v>3783</v>
      </c>
    </row>
    <row r="4554" spans="1:25" x14ac:dyDescent="0.25">
      <c r="A4554" t="str">
        <f>"1740742573"</f>
        <v>1740742573</v>
      </c>
      <c r="B4554" t="s">
        <v>18</v>
      </c>
      <c r="C4554" t="s">
        <v>143</v>
      </c>
      <c r="D4554" t="s">
        <v>21988</v>
      </c>
      <c r="E4554">
        <v>424006</v>
      </c>
      <c r="F4554" t="s">
        <v>1</v>
      </c>
      <c r="G4554" t="s">
        <v>2</v>
      </c>
      <c r="H4554" t="s">
        <v>445</v>
      </c>
      <c r="I4554" t="s">
        <v>21989</v>
      </c>
      <c r="K4554" t="s">
        <v>21989</v>
      </c>
      <c r="P4554" t="s">
        <v>280</v>
      </c>
      <c r="Y4554" t="s">
        <v>449</v>
      </c>
    </row>
    <row r="4555" spans="1:25" x14ac:dyDescent="0.25">
      <c r="A4555" t="str">
        <f>"1740855600"</f>
        <v>1740855600</v>
      </c>
      <c r="B4555" t="s">
        <v>18</v>
      </c>
      <c r="C4555" t="s">
        <v>1419</v>
      </c>
      <c r="D4555" t="s">
        <v>21990</v>
      </c>
      <c r="E4555">
        <v>424006</v>
      </c>
      <c r="F4555" t="s">
        <v>1</v>
      </c>
      <c r="G4555" t="s">
        <v>2</v>
      </c>
      <c r="H4555" t="s">
        <v>5726</v>
      </c>
      <c r="I4555" t="s">
        <v>21991</v>
      </c>
      <c r="J4555" t="s">
        <v>21992</v>
      </c>
      <c r="L4555" t="s">
        <v>21993</v>
      </c>
      <c r="M4555" t="s">
        <v>21994</v>
      </c>
      <c r="P4555" t="s">
        <v>21995</v>
      </c>
      <c r="Q4555" t="s">
        <v>21996</v>
      </c>
      <c r="V4555" t="s">
        <v>21997</v>
      </c>
      <c r="Y4555" t="s">
        <v>21998</v>
      </c>
    </row>
    <row r="4556" spans="1:25" x14ac:dyDescent="0.25">
      <c r="A4556" t="str">
        <f>"1741259636"</f>
        <v>1741259636</v>
      </c>
      <c r="B4556" t="s">
        <v>96</v>
      </c>
      <c r="C4556" t="s">
        <v>20677</v>
      </c>
      <c r="D4556" t="s">
        <v>21302</v>
      </c>
      <c r="E4556">
        <v>424038</v>
      </c>
      <c r="F4556" t="s">
        <v>1</v>
      </c>
      <c r="G4556" t="s">
        <v>2</v>
      </c>
      <c r="H4556" t="s">
        <v>2855</v>
      </c>
      <c r="I4556" t="s">
        <v>21303</v>
      </c>
      <c r="P4556" t="s">
        <v>1404</v>
      </c>
      <c r="Y4556" t="s">
        <v>8933</v>
      </c>
    </row>
    <row r="4557" spans="1:25" x14ac:dyDescent="0.25">
      <c r="A4557" t="str">
        <f>"1741903405"</f>
        <v>1741903405</v>
      </c>
      <c r="B4557" t="s">
        <v>1617</v>
      </c>
      <c r="C4557" t="s">
        <v>21001</v>
      </c>
      <c r="D4557" t="s">
        <v>20999</v>
      </c>
      <c r="F4557" t="s">
        <v>1</v>
      </c>
      <c r="G4557" t="s">
        <v>2</v>
      </c>
      <c r="H4557" t="s">
        <v>7547</v>
      </c>
      <c r="P4557" t="s">
        <v>21118</v>
      </c>
      <c r="Y4557" t="s">
        <v>21999</v>
      </c>
    </row>
    <row r="4558" spans="1:25" x14ac:dyDescent="0.25">
      <c r="A4558" t="str">
        <f>"1742259698"</f>
        <v>1742259698</v>
      </c>
      <c r="B4558" t="s">
        <v>2790</v>
      </c>
      <c r="C4558" t="s">
        <v>3528</v>
      </c>
      <c r="D4558" t="s">
        <v>22000</v>
      </c>
      <c r="E4558">
        <v>424002</v>
      </c>
      <c r="F4558" t="s">
        <v>1</v>
      </c>
      <c r="G4558" t="s">
        <v>2</v>
      </c>
      <c r="H4558" t="s">
        <v>2338</v>
      </c>
      <c r="I4558" t="s">
        <v>22001</v>
      </c>
      <c r="P4558" t="s">
        <v>410</v>
      </c>
      <c r="Y4558" t="s">
        <v>2954</v>
      </c>
    </row>
    <row r="4559" spans="1:25" x14ac:dyDescent="0.25">
      <c r="A4559" t="str">
        <f>"1742418560"</f>
        <v>1742418560</v>
      </c>
      <c r="B4559" t="s">
        <v>96</v>
      </c>
      <c r="C4559" t="s">
        <v>3621</v>
      </c>
      <c r="D4559" t="s">
        <v>22002</v>
      </c>
      <c r="E4559">
        <v>424038</v>
      </c>
      <c r="F4559" t="s">
        <v>1</v>
      </c>
      <c r="G4559" t="s">
        <v>2</v>
      </c>
      <c r="H4559" t="s">
        <v>7597</v>
      </c>
      <c r="I4559" t="s">
        <v>22003</v>
      </c>
      <c r="L4559" t="s">
        <v>22004</v>
      </c>
      <c r="M4559" t="s">
        <v>22005</v>
      </c>
      <c r="P4559" t="s">
        <v>1642</v>
      </c>
      <c r="Q4559" t="s">
        <v>22006</v>
      </c>
      <c r="S4559" t="s">
        <v>22007</v>
      </c>
      <c r="T4559" t="s">
        <v>22008</v>
      </c>
      <c r="V4559" t="s">
        <v>22009</v>
      </c>
      <c r="Y4559" t="s">
        <v>22010</v>
      </c>
    </row>
    <row r="4560" spans="1:25" x14ac:dyDescent="0.25">
      <c r="A4560" t="str">
        <f>"1742430492"</f>
        <v>1742430492</v>
      </c>
      <c r="B4560" t="s">
        <v>3200</v>
      </c>
      <c r="C4560" t="s">
        <v>22015</v>
      </c>
      <c r="D4560" t="s">
        <v>22011</v>
      </c>
      <c r="E4560">
        <v>424007</v>
      </c>
      <c r="F4560" t="s">
        <v>1</v>
      </c>
      <c r="G4560" t="s">
        <v>2</v>
      </c>
      <c r="H4560" t="s">
        <v>10906</v>
      </c>
      <c r="I4560" t="s">
        <v>22012</v>
      </c>
      <c r="L4560" t="s">
        <v>22013</v>
      </c>
      <c r="M4560" t="s">
        <v>22014</v>
      </c>
      <c r="P4560" t="s">
        <v>280</v>
      </c>
      <c r="Y4560" t="s">
        <v>22016</v>
      </c>
    </row>
    <row r="4561" spans="1:25" x14ac:dyDescent="0.25">
      <c r="A4561" t="str">
        <f>"1742710172"</f>
        <v>1742710172</v>
      </c>
      <c r="B4561" t="s">
        <v>930</v>
      </c>
      <c r="C4561" t="s">
        <v>22022</v>
      </c>
      <c r="D4561" t="s">
        <v>22017</v>
      </c>
      <c r="E4561">
        <v>424040</v>
      </c>
      <c r="F4561" t="s">
        <v>1</v>
      </c>
      <c r="G4561" t="s">
        <v>2</v>
      </c>
      <c r="H4561" t="s">
        <v>22018</v>
      </c>
      <c r="I4561" t="s">
        <v>22019</v>
      </c>
      <c r="L4561" t="s">
        <v>22020</v>
      </c>
      <c r="M4561" t="s">
        <v>22021</v>
      </c>
      <c r="P4561" t="s">
        <v>1000</v>
      </c>
      <c r="Q4561" t="s">
        <v>22023</v>
      </c>
      <c r="T4561" t="s">
        <v>22024</v>
      </c>
      <c r="V4561" t="s">
        <v>22025</v>
      </c>
      <c r="Y4561" t="s">
        <v>22026</v>
      </c>
    </row>
    <row r="4562" spans="1:25" x14ac:dyDescent="0.25">
      <c r="A4562" t="str">
        <f>"1743065113"</f>
        <v>1743065113</v>
      </c>
      <c r="B4562" t="s">
        <v>4084</v>
      </c>
      <c r="C4562" t="s">
        <v>4085</v>
      </c>
      <c r="D4562" t="s">
        <v>22027</v>
      </c>
      <c r="E4562">
        <v>424030</v>
      </c>
      <c r="F4562" t="s">
        <v>1</v>
      </c>
      <c r="G4562" t="s">
        <v>2</v>
      </c>
      <c r="H4562" t="s">
        <v>22028</v>
      </c>
      <c r="I4562" t="s">
        <v>22029</v>
      </c>
      <c r="P4562" t="s">
        <v>799</v>
      </c>
      <c r="Y4562" t="s">
        <v>22030</v>
      </c>
    </row>
    <row r="4563" spans="1:25" x14ac:dyDescent="0.25">
      <c r="A4563" t="str">
        <f>"1743538721"</f>
        <v>1743538721</v>
      </c>
      <c r="B4563" t="s">
        <v>25</v>
      </c>
      <c r="C4563" t="s">
        <v>13425</v>
      </c>
      <c r="D4563" t="s">
        <v>1272</v>
      </c>
      <c r="E4563">
        <v>424002</v>
      </c>
      <c r="F4563" t="s">
        <v>1</v>
      </c>
      <c r="G4563" t="s">
        <v>2</v>
      </c>
      <c r="H4563" t="s">
        <v>3611</v>
      </c>
      <c r="Y4563" t="s">
        <v>8388</v>
      </c>
    </row>
    <row r="4564" spans="1:25" x14ac:dyDescent="0.25">
      <c r="A4564" t="str">
        <f>"1743936106"</f>
        <v>1743936106</v>
      </c>
      <c r="B4564" t="s">
        <v>738</v>
      </c>
      <c r="C4564" t="s">
        <v>739</v>
      </c>
      <c r="D4564" t="s">
        <v>22031</v>
      </c>
      <c r="E4564">
        <v>424007</v>
      </c>
      <c r="F4564" t="s">
        <v>1</v>
      </c>
      <c r="G4564" t="s">
        <v>2</v>
      </c>
      <c r="H4564" t="s">
        <v>3243</v>
      </c>
      <c r="I4564" t="s">
        <v>22032</v>
      </c>
      <c r="P4564" t="s">
        <v>22033</v>
      </c>
      <c r="Y4564" t="s">
        <v>3249</v>
      </c>
    </row>
    <row r="4565" spans="1:25" x14ac:dyDescent="0.25">
      <c r="A4565" t="str">
        <f>"1744132735"</f>
        <v>1744132735</v>
      </c>
      <c r="B4565" t="s">
        <v>930</v>
      </c>
      <c r="C4565" t="s">
        <v>22039</v>
      </c>
      <c r="D4565" t="s">
        <v>22034</v>
      </c>
      <c r="E4565">
        <v>424913</v>
      </c>
      <c r="F4565" t="s">
        <v>1</v>
      </c>
      <c r="G4565" t="s">
        <v>2</v>
      </c>
      <c r="H4565" t="s">
        <v>22035</v>
      </c>
      <c r="I4565" t="s">
        <v>22036</v>
      </c>
      <c r="L4565" t="s">
        <v>22037</v>
      </c>
      <c r="M4565" t="s">
        <v>22038</v>
      </c>
      <c r="P4565" t="s">
        <v>22040</v>
      </c>
      <c r="Q4565" t="s">
        <v>22041</v>
      </c>
      <c r="V4565" t="s">
        <v>22042</v>
      </c>
      <c r="Y4565" t="s">
        <v>22043</v>
      </c>
    </row>
    <row r="4566" spans="1:25" x14ac:dyDescent="0.25">
      <c r="A4566" t="str">
        <f>"1744136640"</f>
        <v>1744136640</v>
      </c>
      <c r="B4566" t="s">
        <v>1182</v>
      </c>
      <c r="C4566" t="s">
        <v>6011</v>
      </c>
      <c r="D4566" t="s">
        <v>22044</v>
      </c>
      <c r="E4566">
        <v>424033</v>
      </c>
      <c r="F4566" t="s">
        <v>1</v>
      </c>
      <c r="G4566" t="s">
        <v>2</v>
      </c>
      <c r="H4566" t="s">
        <v>22045</v>
      </c>
      <c r="J4566" t="s">
        <v>22046</v>
      </c>
      <c r="L4566" t="s">
        <v>22047</v>
      </c>
      <c r="M4566" t="s">
        <v>22048</v>
      </c>
      <c r="P4566" t="s">
        <v>280</v>
      </c>
      <c r="Y4566" t="s">
        <v>22049</v>
      </c>
    </row>
    <row r="4567" spans="1:25" x14ac:dyDescent="0.25">
      <c r="A4567" t="str">
        <f>"1744174087"</f>
        <v>1744174087</v>
      </c>
      <c r="B4567" t="s">
        <v>1573</v>
      </c>
      <c r="C4567" t="s">
        <v>22053</v>
      </c>
      <c r="D4567" t="s">
        <v>22050</v>
      </c>
      <c r="F4567" t="s">
        <v>1</v>
      </c>
      <c r="G4567" t="s">
        <v>2</v>
      </c>
      <c r="H4567" t="s">
        <v>14782</v>
      </c>
      <c r="I4567" t="s">
        <v>22051</v>
      </c>
      <c r="K4567" t="s">
        <v>14784</v>
      </c>
      <c r="L4567" t="s">
        <v>22052</v>
      </c>
      <c r="M4567" t="s">
        <v>14785</v>
      </c>
      <c r="P4567" t="s">
        <v>20</v>
      </c>
      <c r="Y4567" t="s">
        <v>22054</v>
      </c>
    </row>
    <row r="4568" spans="1:25" x14ac:dyDescent="0.25">
      <c r="A4568" t="str">
        <f>"1744206765"</f>
        <v>1744206765</v>
      </c>
      <c r="B4568" t="s">
        <v>888</v>
      </c>
      <c r="C4568" t="s">
        <v>6399</v>
      </c>
      <c r="D4568" t="s">
        <v>22055</v>
      </c>
      <c r="F4568" t="s">
        <v>1</v>
      </c>
      <c r="G4568" t="s">
        <v>2</v>
      </c>
      <c r="H4568" t="s">
        <v>6026</v>
      </c>
      <c r="I4568" t="s">
        <v>22056</v>
      </c>
      <c r="L4568" t="s">
        <v>22057</v>
      </c>
      <c r="P4568" t="s">
        <v>27</v>
      </c>
      <c r="Y4568" t="s">
        <v>21228</v>
      </c>
    </row>
    <row r="4569" spans="1:25" x14ac:dyDescent="0.25">
      <c r="A4569" t="str">
        <f>"1744534320"</f>
        <v>1744534320</v>
      </c>
      <c r="B4569" t="s">
        <v>1222</v>
      </c>
      <c r="C4569" t="s">
        <v>22060</v>
      </c>
      <c r="D4569" t="s">
        <v>22058</v>
      </c>
      <c r="E4569">
        <v>424032</v>
      </c>
      <c r="F4569" t="s">
        <v>1</v>
      </c>
      <c r="G4569" t="s">
        <v>2</v>
      </c>
      <c r="H4569" t="s">
        <v>4910</v>
      </c>
      <c r="J4569" t="s">
        <v>22059</v>
      </c>
      <c r="P4569" t="s">
        <v>330</v>
      </c>
      <c r="Y4569" t="s">
        <v>22061</v>
      </c>
    </row>
    <row r="4570" spans="1:25" x14ac:dyDescent="0.25">
      <c r="A4570" t="str">
        <f>"1744567030"</f>
        <v>1744567030</v>
      </c>
      <c r="B4570" t="s">
        <v>1053</v>
      </c>
      <c r="C4570" t="s">
        <v>22065</v>
      </c>
      <c r="D4570" t="s">
        <v>11910</v>
      </c>
      <c r="E4570">
        <v>424028</v>
      </c>
      <c r="F4570" t="s">
        <v>1</v>
      </c>
      <c r="G4570" t="s">
        <v>2</v>
      </c>
      <c r="H4570" t="s">
        <v>8314</v>
      </c>
      <c r="J4570" t="s">
        <v>22062</v>
      </c>
      <c r="L4570" t="s">
        <v>22063</v>
      </c>
      <c r="M4570" t="s">
        <v>22064</v>
      </c>
      <c r="P4570" t="s">
        <v>60</v>
      </c>
      <c r="Q4570" t="s">
        <v>22066</v>
      </c>
      <c r="Y4570" t="s">
        <v>22067</v>
      </c>
    </row>
    <row r="4571" spans="1:25" x14ac:dyDescent="0.25">
      <c r="A4571" t="str">
        <f>"1744716098"</f>
        <v>1744716098</v>
      </c>
      <c r="B4571" t="s">
        <v>1352</v>
      </c>
      <c r="C4571" t="s">
        <v>1353</v>
      </c>
      <c r="D4571" t="s">
        <v>20718</v>
      </c>
      <c r="E4571">
        <v>424000</v>
      </c>
      <c r="F4571" t="s">
        <v>1</v>
      </c>
      <c r="G4571" t="s">
        <v>2</v>
      </c>
      <c r="H4571" t="s">
        <v>86</v>
      </c>
      <c r="L4571" t="s">
        <v>22068</v>
      </c>
      <c r="M4571" t="s">
        <v>22069</v>
      </c>
      <c r="P4571" t="s">
        <v>9175</v>
      </c>
      <c r="Y4571" t="s">
        <v>90</v>
      </c>
    </row>
    <row r="4572" spans="1:25" x14ac:dyDescent="0.25">
      <c r="A4572" t="str">
        <f>"1744780219"</f>
        <v>1744780219</v>
      </c>
      <c r="B4572" t="s">
        <v>1182</v>
      </c>
      <c r="C4572" t="s">
        <v>22074</v>
      </c>
      <c r="D4572" t="s">
        <v>22070</v>
      </c>
      <c r="E4572">
        <v>424000</v>
      </c>
      <c r="F4572" t="s">
        <v>1</v>
      </c>
      <c r="G4572" t="s">
        <v>2</v>
      </c>
      <c r="H4572" t="s">
        <v>1531</v>
      </c>
      <c r="I4572" t="s">
        <v>22071</v>
      </c>
      <c r="L4572" t="s">
        <v>22072</v>
      </c>
      <c r="M4572" t="s">
        <v>22073</v>
      </c>
      <c r="P4572" t="s">
        <v>235</v>
      </c>
      <c r="Q4572" t="s">
        <v>22075</v>
      </c>
      <c r="R4572" t="s">
        <v>22076</v>
      </c>
      <c r="S4572" t="s">
        <v>22077</v>
      </c>
      <c r="T4572" t="s">
        <v>22078</v>
      </c>
      <c r="U4572" t="s">
        <v>22079</v>
      </c>
      <c r="V4572" t="s">
        <v>22080</v>
      </c>
      <c r="Y4572" t="s">
        <v>4373</v>
      </c>
    </row>
    <row r="4573" spans="1:25" x14ac:dyDescent="0.25">
      <c r="A4573" t="str">
        <f>"1744822441"</f>
        <v>1744822441</v>
      </c>
      <c r="B4573" t="s">
        <v>1182</v>
      </c>
      <c r="C4573" t="s">
        <v>1499</v>
      </c>
      <c r="D4573" t="s">
        <v>22081</v>
      </c>
      <c r="E4573">
        <v>424016</v>
      </c>
      <c r="F4573" t="s">
        <v>1</v>
      </c>
      <c r="G4573" t="s">
        <v>2</v>
      </c>
      <c r="H4573" t="s">
        <v>8350</v>
      </c>
      <c r="J4573" t="s">
        <v>21199</v>
      </c>
      <c r="L4573" t="s">
        <v>22082</v>
      </c>
      <c r="P4573" t="s">
        <v>21202</v>
      </c>
      <c r="Y4573" t="s">
        <v>22083</v>
      </c>
    </row>
    <row r="4574" spans="1:25" x14ac:dyDescent="0.25">
      <c r="A4574" t="str">
        <f>"1745023829"</f>
        <v>1745023829</v>
      </c>
      <c r="B4574" t="s">
        <v>738</v>
      </c>
      <c r="C4574" t="s">
        <v>2456</v>
      </c>
      <c r="D4574" t="s">
        <v>22084</v>
      </c>
      <c r="E4574">
        <v>424003</v>
      </c>
      <c r="F4574" t="s">
        <v>1</v>
      </c>
      <c r="G4574" t="s">
        <v>2</v>
      </c>
      <c r="H4574" t="s">
        <v>2465</v>
      </c>
      <c r="I4574" t="s">
        <v>22085</v>
      </c>
      <c r="P4574" t="s">
        <v>22086</v>
      </c>
      <c r="Y4574" t="s">
        <v>16328</v>
      </c>
    </row>
    <row r="4575" spans="1:25" x14ac:dyDescent="0.25">
      <c r="A4575" t="str">
        <f>"1745524540"</f>
        <v>1745524540</v>
      </c>
      <c r="B4575" t="s">
        <v>430</v>
      </c>
      <c r="C4575" t="s">
        <v>22089</v>
      </c>
      <c r="D4575" t="s">
        <v>22087</v>
      </c>
      <c r="E4575">
        <v>424004</v>
      </c>
      <c r="F4575" t="s">
        <v>1</v>
      </c>
      <c r="G4575" t="s">
        <v>2</v>
      </c>
      <c r="H4575" t="s">
        <v>13630</v>
      </c>
      <c r="J4575" t="s">
        <v>22088</v>
      </c>
      <c r="P4575" t="s">
        <v>330</v>
      </c>
      <c r="Y4575" t="s">
        <v>22090</v>
      </c>
    </row>
    <row r="4576" spans="1:25" x14ac:dyDescent="0.25">
      <c r="A4576" t="str">
        <f>"1745591736"</f>
        <v>1745591736</v>
      </c>
      <c r="B4576" t="s">
        <v>1152</v>
      </c>
      <c r="C4576" t="s">
        <v>1153</v>
      </c>
      <c r="D4576" t="s">
        <v>10280</v>
      </c>
      <c r="E4576">
        <v>424019</v>
      </c>
      <c r="F4576" t="s">
        <v>1</v>
      </c>
      <c r="G4576" t="s">
        <v>2</v>
      </c>
      <c r="H4576" t="s">
        <v>22091</v>
      </c>
      <c r="I4576" t="s">
        <v>22092</v>
      </c>
      <c r="M4576" t="s">
        <v>10284</v>
      </c>
      <c r="P4576" t="s">
        <v>60</v>
      </c>
      <c r="Q4576" t="s">
        <v>10286</v>
      </c>
      <c r="R4576" t="s">
        <v>10287</v>
      </c>
      <c r="S4576" t="s">
        <v>10288</v>
      </c>
      <c r="T4576" t="s">
        <v>10289</v>
      </c>
      <c r="U4576" t="s">
        <v>10290</v>
      </c>
      <c r="V4576" t="s">
        <v>10291</v>
      </c>
      <c r="Y4576" t="s">
        <v>22093</v>
      </c>
    </row>
    <row r="4577" spans="1:25" x14ac:dyDescent="0.25">
      <c r="A4577" t="str">
        <f>"1745655690"</f>
        <v>1745655690</v>
      </c>
      <c r="B4577" t="s">
        <v>96</v>
      </c>
      <c r="C4577" t="s">
        <v>20677</v>
      </c>
      <c r="D4577" t="s">
        <v>22094</v>
      </c>
      <c r="E4577">
        <v>424005</v>
      </c>
      <c r="F4577" t="s">
        <v>1</v>
      </c>
      <c r="G4577" t="s">
        <v>2</v>
      </c>
      <c r="H4577" t="s">
        <v>7480</v>
      </c>
      <c r="I4577" t="s">
        <v>21303</v>
      </c>
      <c r="P4577" t="s">
        <v>7638</v>
      </c>
      <c r="Y4577" t="s">
        <v>22095</v>
      </c>
    </row>
    <row r="4578" spans="1:25" x14ac:dyDescent="0.25">
      <c r="A4578" t="str">
        <f>"1745737758"</f>
        <v>1745737758</v>
      </c>
      <c r="B4578" t="s">
        <v>96</v>
      </c>
      <c r="C4578" t="s">
        <v>695</v>
      </c>
      <c r="D4578" t="s">
        <v>22096</v>
      </c>
      <c r="E4578">
        <v>424000</v>
      </c>
      <c r="F4578" t="s">
        <v>1</v>
      </c>
      <c r="G4578" t="s">
        <v>2</v>
      </c>
      <c r="H4578" t="s">
        <v>1531</v>
      </c>
      <c r="J4578" t="s">
        <v>22097</v>
      </c>
      <c r="P4578" t="s">
        <v>2580</v>
      </c>
      <c r="Y4578" t="s">
        <v>1707</v>
      </c>
    </row>
    <row r="4579" spans="1:25" x14ac:dyDescent="0.25">
      <c r="A4579" t="str">
        <f>"1745915302"</f>
        <v>1745915302</v>
      </c>
      <c r="B4579" t="s">
        <v>352</v>
      </c>
      <c r="C4579" t="s">
        <v>22101</v>
      </c>
      <c r="D4579" t="s">
        <v>22098</v>
      </c>
      <c r="E4579">
        <v>424028</v>
      </c>
      <c r="F4579" t="s">
        <v>1</v>
      </c>
      <c r="G4579" t="s">
        <v>2</v>
      </c>
      <c r="H4579" t="s">
        <v>22099</v>
      </c>
      <c r="I4579" t="s">
        <v>21970</v>
      </c>
      <c r="M4579" t="s">
        <v>22100</v>
      </c>
      <c r="P4579" t="s">
        <v>133</v>
      </c>
      <c r="Y4579" t="s">
        <v>22102</v>
      </c>
    </row>
    <row r="4580" spans="1:25" x14ac:dyDescent="0.25">
      <c r="A4580" t="str">
        <f>"1746006810"</f>
        <v>1746006810</v>
      </c>
      <c r="B4580" t="s">
        <v>1544</v>
      </c>
      <c r="C4580" t="s">
        <v>2667</v>
      </c>
      <c r="D4580" t="s">
        <v>2663</v>
      </c>
      <c r="E4580">
        <v>424039</v>
      </c>
      <c r="F4580" t="s">
        <v>1</v>
      </c>
      <c r="G4580" t="s">
        <v>2</v>
      </c>
      <c r="H4580" t="s">
        <v>7138</v>
      </c>
      <c r="I4580" t="s">
        <v>22103</v>
      </c>
      <c r="P4580" t="s">
        <v>1642</v>
      </c>
      <c r="Q4580" t="s">
        <v>22104</v>
      </c>
      <c r="Y4580" t="s">
        <v>22105</v>
      </c>
    </row>
    <row r="4581" spans="1:25" x14ac:dyDescent="0.25">
      <c r="A4581" t="str">
        <f>"1746061397"</f>
        <v>1746061397</v>
      </c>
      <c r="B4581" t="s">
        <v>574</v>
      </c>
      <c r="C4581" t="s">
        <v>646</v>
      </c>
      <c r="D4581" t="s">
        <v>22106</v>
      </c>
      <c r="E4581">
        <v>424032</v>
      </c>
      <c r="F4581" t="s">
        <v>1</v>
      </c>
      <c r="G4581" t="s">
        <v>2</v>
      </c>
      <c r="H4581" t="s">
        <v>22107</v>
      </c>
      <c r="P4581" t="s">
        <v>22108</v>
      </c>
      <c r="Y4581" t="s">
        <v>22109</v>
      </c>
    </row>
    <row r="4582" spans="1:25" x14ac:dyDescent="0.25">
      <c r="A4582" t="str">
        <f>"1746084180"</f>
        <v>1746084180</v>
      </c>
      <c r="B4582" t="s">
        <v>930</v>
      </c>
      <c r="C4582" t="s">
        <v>13865</v>
      </c>
      <c r="D4582" t="s">
        <v>22110</v>
      </c>
      <c r="F4582" t="s">
        <v>1</v>
      </c>
      <c r="G4582" t="s">
        <v>2</v>
      </c>
      <c r="H4582" t="s">
        <v>12069</v>
      </c>
      <c r="I4582" t="s">
        <v>22111</v>
      </c>
      <c r="L4582" t="s">
        <v>22112</v>
      </c>
      <c r="M4582" t="s">
        <v>22113</v>
      </c>
      <c r="P4582" t="s">
        <v>22114</v>
      </c>
      <c r="Q4582" t="s">
        <v>22115</v>
      </c>
      <c r="Y4582" t="s">
        <v>22116</v>
      </c>
    </row>
    <row r="4583" spans="1:25" x14ac:dyDescent="0.25">
      <c r="A4583" t="str">
        <f>"1746475875"</f>
        <v>1746475875</v>
      </c>
      <c r="B4583" t="s">
        <v>32</v>
      </c>
      <c r="C4583" t="s">
        <v>20137</v>
      </c>
      <c r="D4583" t="s">
        <v>22117</v>
      </c>
      <c r="E4583">
        <v>424019</v>
      </c>
      <c r="F4583" t="s">
        <v>1</v>
      </c>
      <c r="G4583" t="s">
        <v>2</v>
      </c>
      <c r="H4583" t="s">
        <v>7785</v>
      </c>
      <c r="I4583" t="s">
        <v>22118</v>
      </c>
      <c r="J4583" t="s">
        <v>22119</v>
      </c>
      <c r="M4583" t="s">
        <v>22120</v>
      </c>
      <c r="P4583" t="s">
        <v>98</v>
      </c>
      <c r="Y4583" t="s">
        <v>22121</v>
      </c>
    </row>
    <row r="4584" spans="1:25" x14ac:dyDescent="0.25">
      <c r="A4584" t="str">
        <f>"1747628835"</f>
        <v>1747628835</v>
      </c>
      <c r="B4584" t="s">
        <v>1758</v>
      </c>
      <c r="C4584" t="s">
        <v>7867</v>
      </c>
      <c r="D4584" t="s">
        <v>22122</v>
      </c>
      <c r="E4584">
        <v>424020</v>
      </c>
      <c r="F4584" t="s">
        <v>1</v>
      </c>
      <c r="G4584" t="s">
        <v>2</v>
      </c>
      <c r="H4584" t="s">
        <v>7063</v>
      </c>
      <c r="I4584" t="s">
        <v>22123</v>
      </c>
      <c r="P4584" t="s">
        <v>1404</v>
      </c>
      <c r="Y4584" t="s">
        <v>22124</v>
      </c>
    </row>
    <row r="4585" spans="1:25" x14ac:dyDescent="0.25">
      <c r="A4585" t="str">
        <f>"1747753587"</f>
        <v>1747753587</v>
      </c>
      <c r="B4585" t="s">
        <v>456</v>
      </c>
      <c r="C4585" t="s">
        <v>22129</v>
      </c>
      <c r="D4585" t="s">
        <v>22125</v>
      </c>
      <c r="E4585">
        <v>424007</v>
      </c>
      <c r="F4585" t="s">
        <v>1</v>
      </c>
      <c r="G4585" t="s">
        <v>2</v>
      </c>
      <c r="H4585" t="s">
        <v>1566</v>
      </c>
      <c r="I4585" t="s">
        <v>22126</v>
      </c>
      <c r="L4585" t="s">
        <v>22127</v>
      </c>
      <c r="M4585" t="s">
        <v>22128</v>
      </c>
      <c r="P4585" t="s">
        <v>280</v>
      </c>
      <c r="Q4585" t="s">
        <v>22130</v>
      </c>
      <c r="V4585" t="s">
        <v>22131</v>
      </c>
      <c r="Y4585" t="s">
        <v>22132</v>
      </c>
    </row>
    <row r="4586" spans="1:25" x14ac:dyDescent="0.25">
      <c r="A4586" t="str">
        <f>"1748212260"</f>
        <v>1748212260</v>
      </c>
      <c r="B4586" t="s">
        <v>1544</v>
      </c>
      <c r="C4586" t="s">
        <v>15598</v>
      </c>
      <c r="D4586" t="s">
        <v>16897</v>
      </c>
      <c r="E4586">
        <v>424004</v>
      </c>
      <c r="F4586" t="s">
        <v>1</v>
      </c>
      <c r="G4586" t="s">
        <v>2</v>
      </c>
      <c r="H4586" t="s">
        <v>22133</v>
      </c>
      <c r="P4586" t="s">
        <v>22134</v>
      </c>
      <c r="Y4586" t="s">
        <v>22135</v>
      </c>
    </row>
    <row r="4587" spans="1:25" x14ac:dyDescent="0.25">
      <c r="A4587" t="str">
        <f>"1748628106"</f>
        <v>1748628106</v>
      </c>
      <c r="B4587" t="s">
        <v>160</v>
      </c>
      <c r="C4587" t="s">
        <v>22140</v>
      </c>
      <c r="D4587" t="s">
        <v>22136</v>
      </c>
      <c r="E4587">
        <v>424028</v>
      </c>
      <c r="F4587" t="s">
        <v>1</v>
      </c>
      <c r="G4587" t="s">
        <v>2</v>
      </c>
      <c r="H4587" t="s">
        <v>3628</v>
      </c>
      <c r="I4587" t="s">
        <v>22137</v>
      </c>
      <c r="L4587" t="s">
        <v>22138</v>
      </c>
      <c r="M4587" t="s">
        <v>22139</v>
      </c>
      <c r="P4587" t="s">
        <v>27</v>
      </c>
      <c r="Q4587" t="s">
        <v>22141</v>
      </c>
      <c r="S4587" t="s">
        <v>22142</v>
      </c>
      <c r="T4587" t="s">
        <v>22143</v>
      </c>
      <c r="Y4587" t="s">
        <v>6934</v>
      </c>
    </row>
    <row r="4588" spans="1:25" x14ac:dyDescent="0.25">
      <c r="A4588" t="str">
        <f>"1748751441"</f>
        <v>1748751441</v>
      </c>
      <c r="B4588" t="s">
        <v>290</v>
      </c>
      <c r="C4588" t="s">
        <v>11114</v>
      </c>
      <c r="D4588" t="s">
        <v>22144</v>
      </c>
      <c r="E4588">
        <v>424006</v>
      </c>
      <c r="F4588" t="s">
        <v>1</v>
      </c>
      <c r="G4588" t="s">
        <v>2</v>
      </c>
      <c r="H4588" t="s">
        <v>4628</v>
      </c>
      <c r="P4588" t="s">
        <v>1505</v>
      </c>
      <c r="Y4588" t="s">
        <v>6884</v>
      </c>
    </row>
    <row r="4589" spans="1:25" x14ac:dyDescent="0.25">
      <c r="A4589" t="str">
        <f>"1748764136"</f>
        <v>1748764136</v>
      </c>
      <c r="B4589" t="s">
        <v>1152</v>
      </c>
      <c r="C4589" t="s">
        <v>22150</v>
      </c>
      <c r="D4589" t="s">
        <v>22145</v>
      </c>
      <c r="E4589">
        <v>424019</v>
      </c>
      <c r="F4589" t="s">
        <v>1</v>
      </c>
      <c r="G4589" t="s">
        <v>2</v>
      </c>
      <c r="H4589" t="s">
        <v>1801</v>
      </c>
      <c r="I4589" t="s">
        <v>22146</v>
      </c>
      <c r="J4589" t="s">
        <v>22147</v>
      </c>
      <c r="L4589" t="s">
        <v>22148</v>
      </c>
      <c r="M4589" t="s">
        <v>22149</v>
      </c>
      <c r="P4589" t="s">
        <v>20</v>
      </c>
      <c r="Q4589" t="s">
        <v>22151</v>
      </c>
      <c r="Y4589" t="s">
        <v>1804</v>
      </c>
    </row>
    <row r="4590" spans="1:25" x14ac:dyDescent="0.25">
      <c r="A4590" t="str">
        <f>"1748954219"</f>
        <v>1748954219</v>
      </c>
      <c r="B4590" t="s">
        <v>2846</v>
      </c>
      <c r="C4590" t="s">
        <v>11032</v>
      </c>
      <c r="D4590" t="s">
        <v>22152</v>
      </c>
      <c r="E4590">
        <v>424918</v>
      </c>
      <c r="F4590" t="s">
        <v>1</v>
      </c>
      <c r="G4590" t="s">
        <v>2</v>
      </c>
      <c r="H4590" t="s">
        <v>629</v>
      </c>
      <c r="J4590" t="s">
        <v>22153</v>
      </c>
      <c r="P4590" t="s">
        <v>630</v>
      </c>
      <c r="Y4590" t="s">
        <v>1744</v>
      </c>
    </row>
    <row r="4591" spans="1:25" x14ac:dyDescent="0.25">
      <c r="A4591" t="str">
        <f>"1749285305"</f>
        <v>1749285305</v>
      </c>
      <c r="B4591" t="s">
        <v>574</v>
      </c>
      <c r="C4591" t="s">
        <v>7170</v>
      </c>
      <c r="D4591" t="s">
        <v>22154</v>
      </c>
      <c r="E4591">
        <v>424004</v>
      </c>
      <c r="F4591" t="s">
        <v>1</v>
      </c>
      <c r="G4591" t="s">
        <v>2</v>
      </c>
      <c r="H4591" t="s">
        <v>505</v>
      </c>
      <c r="I4591" t="s">
        <v>22155</v>
      </c>
      <c r="P4591" t="s">
        <v>280</v>
      </c>
      <c r="Y4591" t="s">
        <v>22156</v>
      </c>
    </row>
    <row r="4592" spans="1:25" x14ac:dyDescent="0.25">
      <c r="A4592" t="str">
        <f>"1749708396"</f>
        <v>1749708396</v>
      </c>
      <c r="B4592" t="s">
        <v>243</v>
      </c>
      <c r="C4592" t="s">
        <v>2538</v>
      </c>
      <c r="D4592" t="s">
        <v>22157</v>
      </c>
      <c r="E4592">
        <v>424003</v>
      </c>
      <c r="F4592" t="s">
        <v>1</v>
      </c>
      <c r="G4592" t="s">
        <v>2</v>
      </c>
      <c r="H4592" t="s">
        <v>9811</v>
      </c>
      <c r="J4592" t="s">
        <v>22158</v>
      </c>
      <c r="P4592" t="s">
        <v>330</v>
      </c>
      <c r="Y4592" t="s">
        <v>22159</v>
      </c>
    </row>
    <row r="4593" spans="1:25" x14ac:dyDescent="0.25">
      <c r="A4593" t="str">
        <f>"1749718981"</f>
        <v>1749718981</v>
      </c>
      <c r="B4593" t="s">
        <v>48</v>
      </c>
      <c r="C4593" t="s">
        <v>22163</v>
      </c>
      <c r="D4593" t="s">
        <v>22160</v>
      </c>
      <c r="E4593">
        <v>424007</v>
      </c>
      <c r="F4593" t="s">
        <v>1</v>
      </c>
      <c r="G4593" t="s">
        <v>2</v>
      </c>
      <c r="H4593" t="s">
        <v>14570</v>
      </c>
      <c r="I4593" t="s">
        <v>22161</v>
      </c>
      <c r="J4593" t="s">
        <v>22162</v>
      </c>
      <c r="L4593" t="s">
        <v>8594</v>
      </c>
      <c r="M4593" t="s">
        <v>8595</v>
      </c>
      <c r="P4593" t="s">
        <v>22164</v>
      </c>
      <c r="Q4593" t="s">
        <v>22165</v>
      </c>
      <c r="R4593" t="s">
        <v>22166</v>
      </c>
      <c r="V4593" t="s">
        <v>22167</v>
      </c>
      <c r="Y4593" t="s">
        <v>22168</v>
      </c>
    </row>
    <row r="4594" spans="1:25" x14ac:dyDescent="0.25">
      <c r="A4594" t="str">
        <f>"1750268274"</f>
        <v>1750268274</v>
      </c>
      <c r="B4594" t="s">
        <v>888</v>
      </c>
      <c r="C4594" t="s">
        <v>22172</v>
      </c>
      <c r="D4594" t="s">
        <v>22169</v>
      </c>
      <c r="E4594">
        <v>424030</v>
      </c>
      <c r="F4594" t="s">
        <v>1</v>
      </c>
      <c r="G4594" t="s">
        <v>2</v>
      </c>
      <c r="H4594" t="s">
        <v>22170</v>
      </c>
      <c r="I4594" t="s">
        <v>22171</v>
      </c>
      <c r="P4594" t="s">
        <v>27</v>
      </c>
      <c r="Y4594" t="s">
        <v>22173</v>
      </c>
    </row>
    <row r="4595" spans="1:25" x14ac:dyDescent="0.25">
      <c r="A4595" t="str">
        <f>"1750522064"</f>
        <v>1750522064</v>
      </c>
      <c r="B4595" t="s">
        <v>25</v>
      </c>
      <c r="C4595" t="s">
        <v>59</v>
      </c>
      <c r="D4595" t="s">
        <v>22174</v>
      </c>
      <c r="E4595">
        <v>424031</v>
      </c>
      <c r="F4595" t="s">
        <v>1</v>
      </c>
      <c r="G4595" t="s">
        <v>2</v>
      </c>
      <c r="H4595" t="s">
        <v>2353</v>
      </c>
      <c r="I4595" t="s">
        <v>22175</v>
      </c>
      <c r="P4595" t="s">
        <v>280</v>
      </c>
      <c r="Y4595" t="s">
        <v>2356</v>
      </c>
    </row>
    <row r="4596" spans="1:25" x14ac:dyDescent="0.25">
      <c r="A4596" t="str">
        <f>"1750616571"</f>
        <v>1750616571</v>
      </c>
      <c r="B4596" t="s">
        <v>80</v>
      </c>
      <c r="C4596" t="s">
        <v>3295</v>
      </c>
      <c r="D4596" t="s">
        <v>22176</v>
      </c>
      <c r="E4596">
        <v>424003</v>
      </c>
      <c r="F4596" t="s">
        <v>1</v>
      </c>
      <c r="G4596" t="s">
        <v>2</v>
      </c>
      <c r="H4596" t="s">
        <v>1266</v>
      </c>
      <c r="J4596" t="s">
        <v>22177</v>
      </c>
      <c r="P4596" t="s">
        <v>2457</v>
      </c>
      <c r="Y4596" t="s">
        <v>16968</v>
      </c>
    </row>
    <row r="4597" spans="1:25" x14ac:dyDescent="0.25">
      <c r="A4597" t="str">
        <f>"1750618058"</f>
        <v>1750618058</v>
      </c>
      <c r="B4597" t="s">
        <v>1604</v>
      </c>
      <c r="C4597" t="s">
        <v>22182</v>
      </c>
      <c r="D4597" t="s">
        <v>22178</v>
      </c>
      <c r="E4597">
        <v>424006</v>
      </c>
      <c r="F4597" t="s">
        <v>1</v>
      </c>
      <c r="G4597" t="s">
        <v>2</v>
      </c>
      <c r="H4597" t="s">
        <v>6177</v>
      </c>
      <c r="I4597" t="s">
        <v>22179</v>
      </c>
      <c r="L4597" t="s">
        <v>22180</v>
      </c>
      <c r="M4597" t="s">
        <v>22181</v>
      </c>
      <c r="P4597" t="s">
        <v>27</v>
      </c>
      <c r="T4597" t="s">
        <v>22183</v>
      </c>
      <c r="Y4597" t="s">
        <v>6183</v>
      </c>
    </row>
    <row r="4598" spans="1:25" x14ac:dyDescent="0.25">
      <c r="A4598" t="str">
        <f>"1750644561"</f>
        <v>1750644561</v>
      </c>
      <c r="B4598" t="s">
        <v>456</v>
      </c>
      <c r="C4598" t="s">
        <v>22186</v>
      </c>
      <c r="D4598" t="s">
        <v>22184</v>
      </c>
      <c r="E4598">
        <v>424004</v>
      </c>
      <c r="F4598" t="s">
        <v>1</v>
      </c>
      <c r="G4598" t="s">
        <v>2</v>
      </c>
      <c r="H4598" t="s">
        <v>3489</v>
      </c>
      <c r="J4598" t="s">
        <v>22185</v>
      </c>
      <c r="P4598" t="s">
        <v>1505</v>
      </c>
      <c r="Y4598" t="s">
        <v>8402</v>
      </c>
    </row>
    <row r="4599" spans="1:25" x14ac:dyDescent="0.25">
      <c r="A4599" t="str">
        <f>"1751220883"</f>
        <v>1751220883</v>
      </c>
      <c r="B4599" t="s">
        <v>96</v>
      </c>
      <c r="C4599" t="s">
        <v>507</v>
      </c>
      <c r="D4599" t="s">
        <v>22187</v>
      </c>
      <c r="E4599">
        <v>424000</v>
      </c>
      <c r="F4599" t="s">
        <v>1</v>
      </c>
      <c r="G4599" t="s">
        <v>2</v>
      </c>
      <c r="H4599" t="s">
        <v>86</v>
      </c>
      <c r="I4599" t="s">
        <v>22188</v>
      </c>
      <c r="L4599" t="s">
        <v>22189</v>
      </c>
      <c r="M4599" t="s">
        <v>22190</v>
      </c>
      <c r="P4599" t="s">
        <v>1760</v>
      </c>
      <c r="Q4599" t="s">
        <v>22191</v>
      </c>
      <c r="R4599" t="s">
        <v>22192</v>
      </c>
      <c r="T4599" t="s">
        <v>22193</v>
      </c>
      <c r="V4599" t="s">
        <v>22194</v>
      </c>
      <c r="Y4599" t="s">
        <v>22195</v>
      </c>
    </row>
    <row r="4600" spans="1:25" x14ac:dyDescent="0.25">
      <c r="A4600" t="str">
        <f>"1751225849"</f>
        <v>1751225849</v>
      </c>
      <c r="B4600" t="s">
        <v>1078</v>
      </c>
      <c r="C4600" t="s">
        <v>22198</v>
      </c>
      <c r="D4600" t="s">
        <v>22196</v>
      </c>
      <c r="E4600">
        <v>424000</v>
      </c>
      <c r="F4600" t="s">
        <v>1</v>
      </c>
      <c r="G4600" t="s">
        <v>2</v>
      </c>
      <c r="H4600" t="s">
        <v>1473</v>
      </c>
      <c r="J4600" t="s">
        <v>22197</v>
      </c>
      <c r="P4600" t="s">
        <v>941</v>
      </c>
      <c r="Y4600" t="s">
        <v>4067</v>
      </c>
    </row>
    <row r="4601" spans="1:25" x14ac:dyDescent="0.25">
      <c r="A4601" t="str">
        <f>"1751296673"</f>
        <v>1751296673</v>
      </c>
      <c r="B4601" t="s">
        <v>25</v>
      </c>
      <c r="C4601" t="s">
        <v>59</v>
      </c>
      <c r="D4601" t="s">
        <v>22199</v>
      </c>
      <c r="E4601">
        <v>424003</v>
      </c>
      <c r="F4601" t="s">
        <v>1</v>
      </c>
      <c r="G4601" t="s">
        <v>2</v>
      </c>
      <c r="H4601" t="s">
        <v>14928</v>
      </c>
      <c r="I4601" t="s">
        <v>22200</v>
      </c>
      <c r="P4601" t="s">
        <v>390</v>
      </c>
      <c r="Y4601" t="s">
        <v>22201</v>
      </c>
    </row>
    <row r="4602" spans="1:25" x14ac:dyDescent="0.25">
      <c r="A4602" t="str">
        <f>"1751696027"</f>
        <v>1751696027</v>
      </c>
      <c r="B4602" t="s">
        <v>96</v>
      </c>
      <c r="C4602" t="s">
        <v>5155</v>
      </c>
      <c r="D4602" t="s">
        <v>22202</v>
      </c>
      <c r="E4602">
        <v>424000</v>
      </c>
      <c r="F4602" t="s">
        <v>1</v>
      </c>
      <c r="G4602" t="s">
        <v>2</v>
      </c>
      <c r="H4602" t="s">
        <v>6578</v>
      </c>
      <c r="P4602" t="s">
        <v>144</v>
      </c>
      <c r="Y4602" t="s">
        <v>22203</v>
      </c>
    </row>
    <row r="4603" spans="1:25" x14ac:dyDescent="0.25">
      <c r="A4603" t="str">
        <f>"1752122175"</f>
        <v>1752122175</v>
      </c>
      <c r="B4603" t="s">
        <v>348</v>
      </c>
      <c r="C4603" t="s">
        <v>8457</v>
      </c>
      <c r="D4603" t="s">
        <v>22204</v>
      </c>
      <c r="F4603" t="s">
        <v>1</v>
      </c>
      <c r="G4603" t="s">
        <v>2</v>
      </c>
      <c r="H4603" t="s">
        <v>138</v>
      </c>
      <c r="I4603" t="s">
        <v>22205</v>
      </c>
      <c r="J4603" t="s">
        <v>22206</v>
      </c>
      <c r="L4603" t="s">
        <v>22207</v>
      </c>
      <c r="M4603" t="s">
        <v>22208</v>
      </c>
      <c r="P4603" t="s">
        <v>144</v>
      </c>
      <c r="Q4603" t="s">
        <v>22209</v>
      </c>
      <c r="U4603" t="s">
        <v>22210</v>
      </c>
      <c r="V4603" t="s">
        <v>22211</v>
      </c>
      <c r="Y4603" t="s">
        <v>22212</v>
      </c>
    </row>
    <row r="4604" spans="1:25" x14ac:dyDescent="0.25">
      <c r="A4604" t="str">
        <f>"1752853726"</f>
        <v>1752853726</v>
      </c>
      <c r="B4604" t="s">
        <v>1573</v>
      </c>
      <c r="C4604" t="s">
        <v>1817</v>
      </c>
      <c r="D4604" t="s">
        <v>22213</v>
      </c>
      <c r="E4604">
        <v>424004</v>
      </c>
      <c r="F4604" t="s">
        <v>1</v>
      </c>
      <c r="G4604" t="s">
        <v>2</v>
      </c>
      <c r="H4604" t="s">
        <v>3266</v>
      </c>
      <c r="Y4604" t="s">
        <v>22214</v>
      </c>
    </row>
    <row r="4605" spans="1:25" x14ac:dyDescent="0.25">
      <c r="A4605" t="str">
        <f>"1753085659"</f>
        <v>1753085659</v>
      </c>
      <c r="B4605" t="s">
        <v>348</v>
      </c>
      <c r="C4605" t="s">
        <v>4366</v>
      </c>
      <c r="D4605" t="s">
        <v>22215</v>
      </c>
      <c r="E4605">
        <v>424003</v>
      </c>
      <c r="F4605" t="s">
        <v>1</v>
      </c>
      <c r="G4605" t="s">
        <v>2</v>
      </c>
      <c r="H4605" t="s">
        <v>3077</v>
      </c>
      <c r="I4605" t="s">
        <v>22216</v>
      </c>
      <c r="L4605" t="s">
        <v>22217</v>
      </c>
      <c r="M4605" t="s">
        <v>22218</v>
      </c>
      <c r="P4605" t="s">
        <v>10416</v>
      </c>
      <c r="Q4605" t="s">
        <v>22219</v>
      </c>
      <c r="Y4605" t="s">
        <v>18339</v>
      </c>
    </row>
    <row r="4606" spans="1:25" x14ac:dyDescent="0.25">
      <c r="A4606" t="str">
        <f>"1753140005"</f>
        <v>1753140005</v>
      </c>
      <c r="B4606" t="s">
        <v>447</v>
      </c>
      <c r="C4606" t="s">
        <v>448</v>
      </c>
      <c r="D4606" t="s">
        <v>22220</v>
      </c>
      <c r="E4606">
        <v>424000</v>
      </c>
      <c r="F4606" t="s">
        <v>1</v>
      </c>
      <c r="G4606" t="s">
        <v>2</v>
      </c>
      <c r="H4606" t="s">
        <v>4462</v>
      </c>
      <c r="J4606" t="s">
        <v>22221</v>
      </c>
      <c r="P4606" t="s">
        <v>280</v>
      </c>
      <c r="Y4606" t="s">
        <v>22222</v>
      </c>
    </row>
    <row r="4607" spans="1:25" x14ac:dyDescent="0.25">
      <c r="A4607" t="str">
        <f>"1753147727"</f>
        <v>1753147727</v>
      </c>
      <c r="B4607" t="s">
        <v>408</v>
      </c>
      <c r="C4607" t="s">
        <v>4591</v>
      </c>
      <c r="D4607" t="s">
        <v>22223</v>
      </c>
      <c r="E4607">
        <v>424006</v>
      </c>
      <c r="F4607" t="s">
        <v>1</v>
      </c>
      <c r="G4607" t="s">
        <v>2</v>
      </c>
      <c r="H4607" t="s">
        <v>492</v>
      </c>
      <c r="I4607" t="s">
        <v>22224</v>
      </c>
      <c r="L4607" t="s">
        <v>22225</v>
      </c>
      <c r="M4607" t="s">
        <v>22226</v>
      </c>
      <c r="P4607" t="s">
        <v>251</v>
      </c>
      <c r="Y4607" t="s">
        <v>22227</v>
      </c>
    </row>
    <row r="4608" spans="1:25" x14ac:dyDescent="0.25">
      <c r="A4608" t="str">
        <f>"1753464409"</f>
        <v>1753464409</v>
      </c>
      <c r="B4608" t="s">
        <v>233</v>
      </c>
      <c r="C4608" t="s">
        <v>22233</v>
      </c>
      <c r="D4608" t="s">
        <v>22228</v>
      </c>
      <c r="E4608">
        <v>424031</v>
      </c>
      <c r="F4608" t="s">
        <v>1</v>
      </c>
      <c r="G4608" t="s">
        <v>2</v>
      </c>
      <c r="H4608" t="s">
        <v>22229</v>
      </c>
      <c r="I4608" t="s">
        <v>22230</v>
      </c>
      <c r="L4608" t="s">
        <v>22231</v>
      </c>
      <c r="M4608" t="s">
        <v>22232</v>
      </c>
      <c r="P4608" t="s">
        <v>27</v>
      </c>
      <c r="Y4608" t="s">
        <v>22234</v>
      </c>
    </row>
    <row r="4609" spans="1:25" x14ac:dyDescent="0.25">
      <c r="A4609" t="str">
        <f>"1753519197"</f>
        <v>1753519197</v>
      </c>
      <c r="B4609" t="s">
        <v>117</v>
      </c>
      <c r="C4609" t="s">
        <v>6850</v>
      </c>
      <c r="D4609" t="s">
        <v>22235</v>
      </c>
      <c r="E4609">
        <v>424032</v>
      </c>
      <c r="F4609" t="s">
        <v>1</v>
      </c>
      <c r="G4609" t="s">
        <v>2</v>
      </c>
      <c r="H4609" t="s">
        <v>22236</v>
      </c>
      <c r="J4609" t="s">
        <v>22237</v>
      </c>
      <c r="P4609" t="s">
        <v>330</v>
      </c>
      <c r="Y4609" t="s">
        <v>22238</v>
      </c>
    </row>
    <row r="4610" spans="1:25" x14ac:dyDescent="0.25">
      <c r="A4610" t="str">
        <f>"1753650590"</f>
        <v>1753650590</v>
      </c>
      <c r="B4610" t="s">
        <v>7849</v>
      </c>
      <c r="C4610" t="s">
        <v>22242</v>
      </c>
      <c r="D4610" t="s">
        <v>22239</v>
      </c>
      <c r="F4610" t="s">
        <v>1</v>
      </c>
      <c r="G4610" t="s">
        <v>2</v>
      </c>
      <c r="H4610" t="s">
        <v>21000</v>
      </c>
      <c r="L4610" t="s">
        <v>22240</v>
      </c>
      <c r="M4610" t="s">
        <v>22241</v>
      </c>
      <c r="P4610" t="s">
        <v>22243</v>
      </c>
      <c r="Y4610" t="s">
        <v>22244</v>
      </c>
    </row>
    <row r="4611" spans="1:25" x14ac:dyDescent="0.25">
      <c r="A4611" t="str">
        <f>"1753653176"</f>
        <v>1753653176</v>
      </c>
      <c r="B4611" t="s">
        <v>930</v>
      </c>
      <c r="C4611" t="s">
        <v>10263</v>
      </c>
      <c r="D4611" t="s">
        <v>22245</v>
      </c>
      <c r="E4611">
        <v>424007</v>
      </c>
      <c r="F4611" t="s">
        <v>1</v>
      </c>
      <c r="G4611" t="s">
        <v>2</v>
      </c>
      <c r="H4611" t="s">
        <v>22246</v>
      </c>
      <c r="I4611" t="s">
        <v>22247</v>
      </c>
      <c r="P4611" t="s">
        <v>216</v>
      </c>
      <c r="Y4611" t="s">
        <v>22248</v>
      </c>
    </row>
    <row r="4612" spans="1:25" x14ac:dyDescent="0.25">
      <c r="A4612" t="str">
        <f>"1753678867"</f>
        <v>1753678867</v>
      </c>
      <c r="B4612" t="s">
        <v>430</v>
      </c>
      <c r="C4612" t="s">
        <v>17210</v>
      </c>
      <c r="D4612" t="s">
        <v>22249</v>
      </c>
      <c r="E4612">
        <v>424031</v>
      </c>
      <c r="F4612" t="s">
        <v>1</v>
      </c>
      <c r="G4612" t="s">
        <v>2</v>
      </c>
      <c r="H4612" t="s">
        <v>16397</v>
      </c>
      <c r="I4612" t="s">
        <v>22250</v>
      </c>
      <c r="J4612" t="s">
        <v>22251</v>
      </c>
      <c r="L4612" t="s">
        <v>22252</v>
      </c>
      <c r="P4612" t="s">
        <v>13205</v>
      </c>
      <c r="Q4612" t="s">
        <v>22253</v>
      </c>
      <c r="Y4612" t="s">
        <v>22254</v>
      </c>
    </row>
    <row r="4613" spans="1:25" x14ac:dyDescent="0.25">
      <c r="A4613" t="str">
        <f>"1753950788"</f>
        <v>1753950788</v>
      </c>
      <c r="B4613" t="s">
        <v>32</v>
      </c>
      <c r="C4613" t="s">
        <v>22259</v>
      </c>
      <c r="D4613" t="s">
        <v>22255</v>
      </c>
      <c r="E4613">
        <v>424000</v>
      </c>
      <c r="F4613" t="s">
        <v>1</v>
      </c>
      <c r="G4613" t="s">
        <v>2</v>
      </c>
      <c r="H4613" t="s">
        <v>6578</v>
      </c>
      <c r="J4613" t="s">
        <v>22256</v>
      </c>
      <c r="L4613" t="s">
        <v>22257</v>
      </c>
      <c r="M4613" t="s">
        <v>22258</v>
      </c>
      <c r="P4613" t="s">
        <v>216</v>
      </c>
      <c r="Q4613" t="s">
        <v>22260</v>
      </c>
      <c r="Y4613" t="s">
        <v>9940</v>
      </c>
    </row>
    <row r="4614" spans="1:25" x14ac:dyDescent="0.25">
      <c r="A4614" t="str">
        <f>"1754485909"</f>
        <v>1754485909</v>
      </c>
      <c r="B4614" t="s">
        <v>18</v>
      </c>
      <c r="C4614" t="s">
        <v>22265</v>
      </c>
      <c r="D4614" t="s">
        <v>22261</v>
      </c>
      <c r="E4614">
        <v>424019</v>
      </c>
      <c r="F4614" t="s">
        <v>1</v>
      </c>
      <c r="G4614" t="s">
        <v>2</v>
      </c>
      <c r="H4614" t="s">
        <v>13027</v>
      </c>
      <c r="I4614" t="s">
        <v>22262</v>
      </c>
      <c r="L4614" t="s">
        <v>22263</v>
      </c>
      <c r="M4614" t="s">
        <v>22264</v>
      </c>
      <c r="P4614" t="s">
        <v>6236</v>
      </c>
      <c r="Q4614" t="s">
        <v>22266</v>
      </c>
      <c r="Y4614" t="s">
        <v>22267</v>
      </c>
    </row>
    <row r="4615" spans="1:25" x14ac:dyDescent="0.25">
      <c r="A4615" t="str">
        <f>"1755143358"</f>
        <v>1755143358</v>
      </c>
      <c r="B4615" t="s">
        <v>243</v>
      </c>
      <c r="C4615" t="s">
        <v>1914</v>
      </c>
      <c r="D4615" t="s">
        <v>22268</v>
      </c>
      <c r="F4615" t="s">
        <v>1</v>
      </c>
      <c r="G4615" t="s">
        <v>2</v>
      </c>
      <c r="H4615" t="s">
        <v>1003</v>
      </c>
      <c r="I4615" t="s">
        <v>22269</v>
      </c>
      <c r="M4615" t="s">
        <v>22270</v>
      </c>
      <c r="P4615" t="s">
        <v>9</v>
      </c>
      <c r="Q4615" t="s">
        <v>22271</v>
      </c>
      <c r="T4615" t="s">
        <v>22272</v>
      </c>
      <c r="V4615" t="s">
        <v>22273</v>
      </c>
      <c r="Y4615" t="s">
        <v>22274</v>
      </c>
    </row>
    <row r="4616" spans="1:25" x14ac:dyDescent="0.25">
      <c r="A4616" t="str">
        <f>"1755299422"</f>
        <v>1755299422</v>
      </c>
      <c r="B4616" t="s">
        <v>379</v>
      </c>
      <c r="C4616" t="s">
        <v>766</v>
      </c>
      <c r="D4616" t="s">
        <v>22275</v>
      </c>
      <c r="F4616" t="s">
        <v>1</v>
      </c>
      <c r="G4616" t="s">
        <v>2</v>
      </c>
      <c r="H4616" t="s">
        <v>21391</v>
      </c>
      <c r="P4616" t="s">
        <v>22276</v>
      </c>
      <c r="Y4616" t="s">
        <v>22277</v>
      </c>
    </row>
    <row r="4617" spans="1:25" x14ac:dyDescent="0.25">
      <c r="A4617" t="str">
        <f>"1755910623"</f>
        <v>1755910623</v>
      </c>
      <c r="B4617" t="s">
        <v>352</v>
      </c>
      <c r="C4617" t="s">
        <v>22279</v>
      </c>
      <c r="D4617" t="s">
        <v>22278</v>
      </c>
      <c r="E4617">
        <v>424037</v>
      </c>
      <c r="F4617" t="s">
        <v>1</v>
      </c>
      <c r="G4617" t="s">
        <v>2</v>
      </c>
      <c r="H4617" t="s">
        <v>2680</v>
      </c>
      <c r="J4617" t="s">
        <v>3286</v>
      </c>
      <c r="P4617" t="s">
        <v>133</v>
      </c>
      <c r="Q4617" t="s">
        <v>22280</v>
      </c>
      <c r="Y4617" t="s">
        <v>22281</v>
      </c>
    </row>
    <row r="4618" spans="1:25" x14ac:dyDescent="0.25">
      <c r="A4618" t="str">
        <f>"1756356882"</f>
        <v>1756356882</v>
      </c>
      <c r="B4618" t="s">
        <v>96</v>
      </c>
      <c r="C4618" t="s">
        <v>22285</v>
      </c>
      <c r="D4618" t="s">
        <v>22282</v>
      </c>
      <c r="E4618">
        <v>424003</v>
      </c>
      <c r="F4618" t="s">
        <v>1</v>
      </c>
      <c r="G4618" t="s">
        <v>2</v>
      </c>
      <c r="H4618" t="s">
        <v>3647</v>
      </c>
      <c r="I4618" t="s">
        <v>22283</v>
      </c>
      <c r="J4618" t="s">
        <v>22284</v>
      </c>
      <c r="P4618" t="s">
        <v>27</v>
      </c>
      <c r="Y4618" t="s">
        <v>4732</v>
      </c>
    </row>
    <row r="4619" spans="1:25" x14ac:dyDescent="0.25">
      <c r="A4619" t="str">
        <f>"1756881347"</f>
        <v>1756881347</v>
      </c>
      <c r="B4619" t="s">
        <v>348</v>
      </c>
      <c r="C4619" t="s">
        <v>22288</v>
      </c>
      <c r="D4619" t="s">
        <v>22286</v>
      </c>
      <c r="E4619">
        <v>424002</v>
      </c>
      <c r="F4619" t="s">
        <v>1</v>
      </c>
      <c r="G4619" t="s">
        <v>2</v>
      </c>
      <c r="H4619" t="s">
        <v>744</v>
      </c>
      <c r="J4619" t="s">
        <v>22287</v>
      </c>
      <c r="P4619" t="s">
        <v>748</v>
      </c>
      <c r="Y4619" t="s">
        <v>749</v>
      </c>
    </row>
    <row r="4620" spans="1:25" x14ac:dyDescent="0.25">
      <c r="A4620" t="str">
        <f>"1757963554"</f>
        <v>1757963554</v>
      </c>
      <c r="B4620" t="s">
        <v>456</v>
      </c>
      <c r="C4620" t="s">
        <v>2040</v>
      </c>
      <c r="D4620" t="s">
        <v>22289</v>
      </c>
      <c r="E4620">
        <v>424033</v>
      </c>
      <c r="F4620" t="s">
        <v>1</v>
      </c>
      <c r="G4620" t="s">
        <v>2</v>
      </c>
      <c r="H4620" t="s">
        <v>22290</v>
      </c>
      <c r="J4620" t="s">
        <v>22291</v>
      </c>
      <c r="L4620" t="s">
        <v>22292</v>
      </c>
      <c r="M4620" t="s">
        <v>22293</v>
      </c>
      <c r="P4620" t="s">
        <v>152</v>
      </c>
      <c r="Q4620" t="s">
        <v>22294</v>
      </c>
      <c r="R4620" t="s">
        <v>22295</v>
      </c>
      <c r="S4620" t="s">
        <v>22296</v>
      </c>
      <c r="T4620" t="s">
        <v>22297</v>
      </c>
      <c r="U4620" t="s">
        <v>22298</v>
      </c>
      <c r="V4620" t="s">
        <v>22299</v>
      </c>
      <c r="Y4620" t="s">
        <v>22300</v>
      </c>
    </row>
    <row r="4621" spans="1:25" x14ac:dyDescent="0.25">
      <c r="A4621" t="str">
        <f>"1758728246"</f>
        <v>1758728246</v>
      </c>
      <c r="B4621" t="s">
        <v>123</v>
      </c>
      <c r="C4621" t="s">
        <v>10769</v>
      </c>
      <c r="D4621" t="s">
        <v>22301</v>
      </c>
      <c r="E4621">
        <v>424019</v>
      </c>
      <c r="F4621" t="s">
        <v>1</v>
      </c>
      <c r="G4621" t="s">
        <v>2</v>
      </c>
      <c r="H4621" t="s">
        <v>1801</v>
      </c>
      <c r="I4621" t="s">
        <v>22302</v>
      </c>
      <c r="J4621" t="s">
        <v>22303</v>
      </c>
      <c r="L4621" t="s">
        <v>22304</v>
      </c>
      <c r="M4621" t="s">
        <v>22305</v>
      </c>
      <c r="P4621" t="s">
        <v>4280</v>
      </c>
      <c r="Q4621" t="s">
        <v>22306</v>
      </c>
      <c r="Y4621" t="s">
        <v>1804</v>
      </c>
    </row>
    <row r="4622" spans="1:25" x14ac:dyDescent="0.25">
      <c r="A4622" t="str">
        <f>"1758809577"</f>
        <v>1758809577</v>
      </c>
      <c r="B4622" t="s">
        <v>8117</v>
      </c>
      <c r="C4622" t="s">
        <v>8118</v>
      </c>
      <c r="D4622" t="s">
        <v>22307</v>
      </c>
      <c r="E4622">
        <v>424006</v>
      </c>
      <c r="F4622" t="s">
        <v>1</v>
      </c>
      <c r="G4622" t="s">
        <v>2</v>
      </c>
      <c r="H4622" t="s">
        <v>2525</v>
      </c>
      <c r="I4622" t="s">
        <v>22308</v>
      </c>
      <c r="L4622" t="s">
        <v>22309</v>
      </c>
      <c r="M4622" t="s">
        <v>22310</v>
      </c>
      <c r="P4622" t="s">
        <v>2951</v>
      </c>
      <c r="Q4622" t="s">
        <v>22311</v>
      </c>
      <c r="R4622" t="s">
        <v>22312</v>
      </c>
      <c r="U4622" t="s">
        <v>22313</v>
      </c>
      <c r="V4622" t="s">
        <v>22314</v>
      </c>
      <c r="Y4622" t="s">
        <v>22315</v>
      </c>
    </row>
    <row r="4623" spans="1:25" x14ac:dyDescent="0.25">
      <c r="A4623" t="str">
        <f>"1758850425"</f>
        <v>1758850425</v>
      </c>
      <c r="B4623" t="s">
        <v>1315</v>
      </c>
      <c r="C4623" t="s">
        <v>4274</v>
      </c>
      <c r="D4623" t="s">
        <v>4274</v>
      </c>
      <c r="E4623">
        <v>424032</v>
      </c>
      <c r="F4623" t="s">
        <v>1</v>
      </c>
      <c r="G4623" t="s">
        <v>2</v>
      </c>
      <c r="H4623" t="s">
        <v>10503</v>
      </c>
      <c r="J4623" t="s">
        <v>22316</v>
      </c>
      <c r="L4623" t="s">
        <v>22317</v>
      </c>
      <c r="M4623" t="s">
        <v>22318</v>
      </c>
      <c r="P4623" t="s">
        <v>280</v>
      </c>
      <c r="Q4623" t="s">
        <v>22319</v>
      </c>
      <c r="Y4623" t="s">
        <v>10505</v>
      </c>
    </row>
    <row r="4624" spans="1:25" x14ac:dyDescent="0.25">
      <c r="A4624" t="str">
        <f>"1758931682"</f>
        <v>1758931682</v>
      </c>
      <c r="B4624" t="s">
        <v>1475</v>
      </c>
      <c r="C4624" t="s">
        <v>1476</v>
      </c>
      <c r="D4624" t="s">
        <v>22320</v>
      </c>
      <c r="E4624">
        <v>424028</v>
      </c>
      <c r="F4624" t="s">
        <v>1</v>
      </c>
      <c r="G4624" t="s">
        <v>2</v>
      </c>
      <c r="H4624" t="s">
        <v>5121</v>
      </c>
      <c r="L4624" t="s">
        <v>22321</v>
      </c>
      <c r="P4624" t="s">
        <v>4848</v>
      </c>
      <c r="Y4624" t="s">
        <v>22322</v>
      </c>
    </row>
    <row r="4625" spans="1:25" x14ac:dyDescent="0.25">
      <c r="A4625" t="str">
        <f>"1759371758"</f>
        <v>1759371758</v>
      </c>
      <c r="B4625" t="s">
        <v>574</v>
      </c>
      <c r="C4625" t="s">
        <v>646</v>
      </c>
      <c r="D4625" t="s">
        <v>22323</v>
      </c>
      <c r="E4625">
        <v>424006</v>
      </c>
      <c r="F4625" t="s">
        <v>1</v>
      </c>
      <c r="G4625" t="s">
        <v>2</v>
      </c>
      <c r="H4625" t="s">
        <v>22324</v>
      </c>
      <c r="P4625" t="s">
        <v>216</v>
      </c>
      <c r="Y4625" t="s">
        <v>22325</v>
      </c>
    </row>
    <row r="4626" spans="1:25" x14ac:dyDescent="0.25">
      <c r="A4626" t="str">
        <f>"1759539284"</f>
        <v>1759539284</v>
      </c>
      <c r="B4626" t="s">
        <v>397</v>
      </c>
      <c r="C4626" t="s">
        <v>21932</v>
      </c>
      <c r="D4626" t="s">
        <v>22326</v>
      </c>
      <c r="E4626">
        <v>424004</v>
      </c>
      <c r="F4626" t="s">
        <v>1</v>
      </c>
      <c r="G4626" t="s">
        <v>2</v>
      </c>
      <c r="H4626" t="s">
        <v>1880</v>
      </c>
      <c r="I4626" t="s">
        <v>22327</v>
      </c>
      <c r="Y4626" t="s">
        <v>22328</v>
      </c>
    </row>
    <row r="4627" spans="1:25" x14ac:dyDescent="0.25">
      <c r="A4627" t="str">
        <f>"1759582056"</f>
        <v>1759582056</v>
      </c>
      <c r="B4627" t="s">
        <v>371</v>
      </c>
      <c r="C4627" t="s">
        <v>22334</v>
      </c>
      <c r="D4627" t="s">
        <v>22329</v>
      </c>
      <c r="E4627">
        <v>424000</v>
      </c>
      <c r="F4627" t="s">
        <v>1</v>
      </c>
      <c r="G4627" t="s">
        <v>2</v>
      </c>
      <c r="H4627" t="s">
        <v>5615</v>
      </c>
      <c r="I4627" t="s">
        <v>22330</v>
      </c>
      <c r="J4627" t="s">
        <v>22331</v>
      </c>
      <c r="L4627" t="s">
        <v>22332</v>
      </c>
      <c r="M4627" t="s">
        <v>22333</v>
      </c>
      <c r="P4627" t="s">
        <v>27</v>
      </c>
      <c r="Y4627" t="s">
        <v>22335</v>
      </c>
    </row>
    <row r="4628" spans="1:25" x14ac:dyDescent="0.25">
      <c r="A4628" t="str">
        <f>"1759663519"</f>
        <v>1759663519</v>
      </c>
      <c r="B4628" t="s">
        <v>456</v>
      </c>
      <c r="C4628" t="s">
        <v>22340</v>
      </c>
      <c r="D4628" t="s">
        <v>22336</v>
      </c>
      <c r="E4628">
        <v>424007</v>
      </c>
      <c r="F4628" t="s">
        <v>1</v>
      </c>
      <c r="G4628" t="s">
        <v>2</v>
      </c>
      <c r="H4628" t="s">
        <v>10252</v>
      </c>
      <c r="I4628" t="s">
        <v>22337</v>
      </c>
      <c r="L4628" t="s">
        <v>22338</v>
      </c>
      <c r="M4628" t="s">
        <v>22339</v>
      </c>
      <c r="P4628" t="s">
        <v>4998</v>
      </c>
      <c r="Y4628" t="s">
        <v>10258</v>
      </c>
    </row>
    <row r="4629" spans="1:25" x14ac:dyDescent="0.25">
      <c r="A4629" t="str">
        <f>"1759684031"</f>
        <v>1759684031</v>
      </c>
      <c r="B4629" t="s">
        <v>96</v>
      </c>
      <c r="C4629" t="s">
        <v>893</v>
      </c>
      <c r="D4629" t="s">
        <v>22341</v>
      </c>
      <c r="E4629">
        <v>424918</v>
      </c>
      <c r="F4629" t="s">
        <v>1</v>
      </c>
      <c r="G4629" t="s">
        <v>2</v>
      </c>
      <c r="H4629" t="s">
        <v>629</v>
      </c>
      <c r="I4629" t="s">
        <v>20946</v>
      </c>
      <c r="P4629" t="s">
        <v>630</v>
      </c>
      <c r="Y4629" t="s">
        <v>1744</v>
      </c>
    </row>
    <row r="4630" spans="1:25" x14ac:dyDescent="0.25">
      <c r="A4630" t="str">
        <f>"1759717636"</f>
        <v>1759717636</v>
      </c>
      <c r="B4630" t="s">
        <v>397</v>
      </c>
      <c r="C4630" t="s">
        <v>22344</v>
      </c>
      <c r="D4630" t="s">
        <v>22342</v>
      </c>
      <c r="E4630">
        <v>424004</v>
      </c>
      <c r="F4630" t="s">
        <v>1</v>
      </c>
      <c r="G4630" t="s">
        <v>2</v>
      </c>
      <c r="H4630" t="s">
        <v>14351</v>
      </c>
      <c r="I4630" t="s">
        <v>22343</v>
      </c>
      <c r="P4630" t="s">
        <v>22345</v>
      </c>
      <c r="Y4630" t="s">
        <v>14356</v>
      </c>
    </row>
    <row r="4631" spans="1:25" x14ac:dyDescent="0.25">
      <c r="A4631" t="str">
        <f>"1759871059"</f>
        <v>1759871059</v>
      </c>
      <c r="B4631" t="s">
        <v>3008</v>
      </c>
      <c r="C4631" t="s">
        <v>22348</v>
      </c>
      <c r="D4631" t="s">
        <v>22346</v>
      </c>
      <c r="E4631">
        <v>424038</v>
      </c>
      <c r="F4631" t="s">
        <v>1</v>
      </c>
      <c r="G4631" t="s">
        <v>2</v>
      </c>
      <c r="H4631" t="s">
        <v>1038</v>
      </c>
      <c r="I4631" t="s">
        <v>22347</v>
      </c>
      <c r="P4631" t="s">
        <v>2079</v>
      </c>
      <c r="Y4631" t="s">
        <v>22349</v>
      </c>
    </row>
    <row r="4632" spans="1:25" x14ac:dyDescent="0.25">
      <c r="A4632" t="str">
        <f>"1760138668"</f>
        <v>1760138668</v>
      </c>
      <c r="B4632" t="s">
        <v>290</v>
      </c>
      <c r="C4632" t="s">
        <v>2757</v>
      </c>
      <c r="D4632" t="s">
        <v>20514</v>
      </c>
      <c r="E4632">
        <v>424033</v>
      </c>
      <c r="F4632" t="s">
        <v>1</v>
      </c>
      <c r="G4632" t="s">
        <v>2</v>
      </c>
      <c r="H4632" t="s">
        <v>4536</v>
      </c>
      <c r="I4632" t="s">
        <v>22350</v>
      </c>
      <c r="M4632" t="s">
        <v>20516</v>
      </c>
      <c r="P4632" t="s">
        <v>22351</v>
      </c>
      <c r="Q4632" t="s">
        <v>22352</v>
      </c>
      <c r="V4632" t="s">
        <v>22353</v>
      </c>
      <c r="Y4632" t="s">
        <v>22354</v>
      </c>
    </row>
    <row r="4633" spans="1:25" x14ac:dyDescent="0.25">
      <c r="A4633" t="str">
        <f>"1760624097"</f>
        <v>1760624097</v>
      </c>
      <c r="B4633" t="s">
        <v>930</v>
      </c>
      <c r="C4633" t="s">
        <v>1096</v>
      </c>
      <c r="D4633" t="s">
        <v>1931</v>
      </c>
      <c r="E4633">
        <v>424004</v>
      </c>
      <c r="F4633" t="s">
        <v>1</v>
      </c>
      <c r="G4633" t="s">
        <v>2</v>
      </c>
      <c r="H4633" t="s">
        <v>14351</v>
      </c>
      <c r="I4633" t="s">
        <v>22355</v>
      </c>
      <c r="P4633" t="s">
        <v>458</v>
      </c>
      <c r="Y4633" t="s">
        <v>22356</v>
      </c>
    </row>
    <row r="4634" spans="1:25" x14ac:dyDescent="0.25">
      <c r="A4634" t="str">
        <f>"1760653089"</f>
        <v>1760653089</v>
      </c>
      <c r="B4634" t="s">
        <v>4084</v>
      </c>
      <c r="C4634" t="s">
        <v>7951</v>
      </c>
      <c r="D4634" t="s">
        <v>22357</v>
      </c>
      <c r="E4634">
        <v>424032</v>
      </c>
      <c r="F4634" t="s">
        <v>1</v>
      </c>
      <c r="G4634" t="s">
        <v>2</v>
      </c>
      <c r="H4634" t="s">
        <v>22358</v>
      </c>
      <c r="M4634" t="s">
        <v>22359</v>
      </c>
      <c r="P4634" t="s">
        <v>799</v>
      </c>
      <c r="Y4634" t="s">
        <v>22360</v>
      </c>
    </row>
    <row r="4635" spans="1:25" x14ac:dyDescent="0.25">
      <c r="A4635" t="str">
        <f>"1760719173"</f>
        <v>1760719173</v>
      </c>
      <c r="B4635" t="s">
        <v>131</v>
      </c>
      <c r="C4635" t="s">
        <v>22364</v>
      </c>
      <c r="D4635" t="s">
        <v>22361</v>
      </c>
      <c r="E4635">
        <v>424003</v>
      </c>
      <c r="F4635" t="s">
        <v>1</v>
      </c>
      <c r="G4635" t="s">
        <v>2</v>
      </c>
      <c r="H4635" t="s">
        <v>775</v>
      </c>
      <c r="I4635" t="s">
        <v>22362</v>
      </c>
      <c r="L4635" t="s">
        <v>22363</v>
      </c>
      <c r="P4635" t="s">
        <v>1160</v>
      </c>
      <c r="Q4635" t="s">
        <v>22365</v>
      </c>
      <c r="Y4635" t="s">
        <v>6686</v>
      </c>
    </row>
    <row r="4636" spans="1:25" x14ac:dyDescent="0.25">
      <c r="A4636" t="str">
        <f>"1760740257"</f>
        <v>1760740257</v>
      </c>
      <c r="B4636" t="s">
        <v>96</v>
      </c>
      <c r="C4636" t="s">
        <v>8578</v>
      </c>
      <c r="D4636" t="s">
        <v>21819</v>
      </c>
      <c r="E4636">
        <v>424000</v>
      </c>
      <c r="F4636" t="s">
        <v>1</v>
      </c>
      <c r="G4636" t="s">
        <v>2</v>
      </c>
      <c r="H4636" t="s">
        <v>1531</v>
      </c>
      <c r="I4636" t="s">
        <v>21820</v>
      </c>
      <c r="L4636" t="s">
        <v>21821</v>
      </c>
      <c r="M4636" t="s">
        <v>22366</v>
      </c>
      <c r="P4636" t="s">
        <v>8740</v>
      </c>
      <c r="Q4636" t="s">
        <v>21823</v>
      </c>
      <c r="V4636" t="s">
        <v>22367</v>
      </c>
      <c r="Y4636" t="s">
        <v>22368</v>
      </c>
    </row>
    <row r="4637" spans="1:25" x14ac:dyDescent="0.25">
      <c r="A4637" t="str">
        <f>"1761123378"</f>
        <v>1761123378</v>
      </c>
      <c r="B4637" t="s">
        <v>18</v>
      </c>
      <c r="C4637" t="s">
        <v>16738</v>
      </c>
      <c r="D4637" t="s">
        <v>22369</v>
      </c>
      <c r="F4637" t="s">
        <v>1</v>
      </c>
      <c r="G4637" t="s">
        <v>2</v>
      </c>
      <c r="H4637" t="s">
        <v>633</v>
      </c>
      <c r="I4637" t="s">
        <v>22370</v>
      </c>
      <c r="J4637" t="s">
        <v>22371</v>
      </c>
      <c r="P4637" t="s">
        <v>20</v>
      </c>
      <c r="Y4637" t="s">
        <v>636</v>
      </c>
    </row>
    <row r="4638" spans="1:25" x14ac:dyDescent="0.25">
      <c r="A4638" t="str">
        <f>"1761221253"</f>
        <v>1761221253</v>
      </c>
      <c r="B4638" t="s">
        <v>1053</v>
      </c>
      <c r="C4638" t="s">
        <v>1927</v>
      </c>
      <c r="D4638" t="s">
        <v>22372</v>
      </c>
      <c r="E4638">
        <v>424040</v>
      </c>
      <c r="F4638" t="s">
        <v>1</v>
      </c>
      <c r="G4638" t="s">
        <v>2</v>
      </c>
      <c r="H4638" t="s">
        <v>7927</v>
      </c>
      <c r="I4638" t="s">
        <v>22373</v>
      </c>
      <c r="P4638" t="s">
        <v>20</v>
      </c>
      <c r="Y4638" t="s">
        <v>19950</v>
      </c>
    </row>
    <row r="4639" spans="1:25" x14ac:dyDescent="0.25">
      <c r="A4639" t="str">
        <f>"1761333354"</f>
        <v>1761333354</v>
      </c>
      <c r="B4639" t="s">
        <v>4084</v>
      </c>
      <c r="C4639" t="s">
        <v>7951</v>
      </c>
      <c r="D4639" t="s">
        <v>22374</v>
      </c>
      <c r="E4639">
        <v>424003</v>
      </c>
      <c r="F4639" t="s">
        <v>1</v>
      </c>
      <c r="G4639" t="s">
        <v>2</v>
      </c>
      <c r="H4639" t="s">
        <v>22375</v>
      </c>
      <c r="P4639" t="s">
        <v>11909</v>
      </c>
      <c r="Y4639" t="s">
        <v>22376</v>
      </c>
    </row>
    <row r="4640" spans="1:25" x14ac:dyDescent="0.25">
      <c r="A4640" t="str">
        <f>"1761505277"</f>
        <v>1761505277</v>
      </c>
      <c r="B4640" t="s">
        <v>32</v>
      </c>
      <c r="C4640" t="s">
        <v>20137</v>
      </c>
      <c r="D4640" t="s">
        <v>22377</v>
      </c>
      <c r="E4640">
        <v>424030</v>
      </c>
      <c r="F4640" t="s">
        <v>1</v>
      </c>
      <c r="G4640" t="s">
        <v>2</v>
      </c>
      <c r="H4640" t="s">
        <v>10204</v>
      </c>
      <c r="I4640" t="s">
        <v>22378</v>
      </c>
      <c r="P4640" t="s">
        <v>22379</v>
      </c>
      <c r="Y4640" t="s">
        <v>17288</v>
      </c>
    </row>
    <row r="4641" spans="1:25" x14ac:dyDescent="0.25">
      <c r="A4641" t="str">
        <f>"1761540072"</f>
        <v>1761540072</v>
      </c>
      <c r="B4641" t="s">
        <v>80</v>
      </c>
      <c r="C4641" t="s">
        <v>15234</v>
      </c>
      <c r="D4641" t="s">
        <v>20951</v>
      </c>
      <c r="E4641">
        <v>424038</v>
      </c>
      <c r="F4641" t="s">
        <v>1</v>
      </c>
      <c r="G4641" t="s">
        <v>2</v>
      </c>
      <c r="H4641" t="s">
        <v>1366</v>
      </c>
      <c r="I4641" t="s">
        <v>22380</v>
      </c>
      <c r="L4641" t="s">
        <v>16920</v>
      </c>
      <c r="M4641" t="s">
        <v>21439</v>
      </c>
      <c r="P4641" t="s">
        <v>1270</v>
      </c>
      <c r="Y4641" t="s">
        <v>22381</v>
      </c>
    </row>
    <row r="4642" spans="1:25" x14ac:dyDescent="0.25">
      <c r="A4642" t="str">
        <f>"1762157407"</f>
        <v>1762157407</v>
      </c>
      <c r="B4642" t="s">
        <v>176</v>
      </c>
      <c r="C4642" t="s">
        <v>22386</v>
      </c>
      <c r="D4642" t="s">
        <v>22382</v>
      </c>
      <c r="E4642">
        <v>424032</v>
      </c>
      <c r="F4642" t="s">
        <v>1</v>
      </c>
      <c r="G4642" t="s">
        <v>2</v>
      </c>
      <c r="H4642" t="s">
        <v>22358</v>
      </c>
      <c r="I4642" t="s">
        <v>22383</v>
      </c>
      <c r="L4642" t="s">
        <v>22384</v>
      </c>
      <c r="M4642" t="s">
        <v>22385</v>
      </c>
      <c r="P4642" t="s">
        <v>27</v>
      </c>
      <c r="Q4642" t="s">
        <v>22387</v>
      </c>
      <c r="Y4642" t="s">
        <v>22388</v>
      </c>
    </row>
    <row r="4643" spans="1:25" x14ac:dyDescent="0.25">
      <c r="A4643" t="str">
        <f>"1762393843"</f>
        <v>1762393843</v>
      </c>
      <c r="B4643" t="s">
        <v>1544</v>
      </c>
      <c r="C4643" t="s">
        <v>22390</v>
      </c>
      <c r="D4643" t="s">
        <v>22389</v>
      </c>
      <c r="E4643">
        <v>424918</v>
      </c>
      <c r="F4643" t="s">
        <v>1</v>
      </c>
      <c r="G4643" t="s">
        <v>2</v>
      </c>
      <c r="H4643" t="s">
        <v>629</v>
      </c>
      <c r="P4643" t="s">
        <v>22391</v>
      </c>
      <c r="Q4643" t="s">
        <v>22392</v>
      </c>
      <c r="T4643" t="s">
        <v>22393</v>
      </c>
      <c r="V4643" t="s">
        <v>22394</v>
      </c>
      <c r="Y4643" t="s">
        <v>22395</v>
      </c>
    </row>
    <row r="4644" spans="1:25" x14ac:dyDescent="0.25">
      <c r="A4644" t="str">
        <f>"1763081239"</f>
        <v>1763081239</v>
      </c>
      <c r="B4644" t="s">
        <v>3700</v>
      </c>
      <c r="C4644" t="s">
        <v>4023</v>
      </c>
      <c r="D4644" t="s">
        <v>18653</v>
      </c>
      <c r="E4644">
        <v>424006</v>
      </c>
      <c r="F4644" t="s">
        <v>1</v>
      </c>
      <c r="G4644" t="s">
        <v>2</v>
      </c>
      <c r="H4644" t="s">
        <v>2557</v>
      </c>
      <c r="J4644" t="s">
        <v>22396</v>
      </c>
      <c r="P4644" t="s">
        <v>1160</v>
      </c>
      <c r="Y4644" t="s">
        <v>22397</v>
      </c>
    </row>
    <row r="4645" spans="1:25" x14ac:dyDescent="0.25">
      <c r="A4645" t="str">
        <f>"1763116247"</f>
        <v>1763116247</v>
      </c>
      <c r="B4645" t="s">
        <v>151</v>
      </c>
      <c r="C4645" t="s">
        <v>151</v>
      </c>
      <c r="D4645" t="s">
        <v>22398</v>
      </c>
      <c r="E4645">
        <v>424002</v>
      </c>
      <c r="F4645" t="s">
        <v>1</v>
      </c>
      <c r="G4645" t="s">
        <v>2</v>
      </c>
      <c r="H4645" t="s">
        <v>14242</v>
      </c>
      <c r="J4645" t="s">
        <v>22399</v>
      </c>
      <c r="L4645" t="s">
        <v>22400</v>
      </c>
      <c r="M4645" t="s">
        <v>22401</v>
      </c>
      <c r="P4645" t="s">
        <v>34</v>
      </c>
      <c r="Y4645" t="s">
        <v>19497</v>
      </c>
    </row>
    <row r="4646" spans="1:25" x14ac:dyDescent="0.25">
      <c r="A4646" t="str">
        <f>"1763486748"</f>
        <v>1763486748</v>
      </c>
      <c r="B4646" t="s">
        <v>25</v>
      </c>
      <c r="C4646" t="s">
        <v>15801</v>
      </c>
      <c r="D4646" t="s">
        <v>22402</v>
      </c>
      <c r="E4646">
        <v>424006</v>
      </c>
      <c r="F4646" t="s">
        <v>1</v>
      </c>
      <c r="G4646" t="s">
        <v>2</v>
      </c>
      <c r="H4646" t="s">
        <v>1923</v>
      </c>
      <c r="I4646" t="s">
        <v>22403</v>
      </c>
      <c r="J4646" t="s">
        <v>22404</v>
      </c>
      <c r="P4646" t="s">
        <v>27</v>
      </c>
      <c r="Y4646" t="s">
        <v>1928</v>
      </c>
    </row>
    <row r="4647" spans="1:25" x14ac:dyDescent="0.25">
      <c r="A4647" t="str">
        <f>"1764329152"</f>
        <v>1764329152</v>
      </c>
      <c r="B4647" t="s">
        <v>574</v>
      </c>
      <c r="C4647" t="s">
        <v>952</v>
      </c>
      <c r="D4647" t="s">
        <v>22405</v>
      </c>
      <c r="E4647">
        <v>424031</v>
      </c>
      <c r="F4647" t="s">
        <v>1</v>
      </c>
      <c r="G4647" t="s">
        <v>2</v>
      </c>
      <c r="H4647" t="s">
        <v>1524</v>
      </c>
      <c r="P4647" t="s">
        <v>22406</v>
      </c>
      <c r="Y4647" t="s">
        <v>22407</v>
      </c>
    </row>
    <row r="4648" spans="1:25" x14ac:dyDescent="0.25">
      <c r="A4648" t="str">
        <f>"1764820015"</f>
        <v>1764820015</v>
      </c>
      <c r="B4648" t="s">
        <v>32</v>
      </c>
      <c r="C4648" t="s">
        <v>182</v>
      </c>
      <c r="D4648" t="s">
        <v>16082</v>
      </c>
      <c r="E4648">
        <v>424918</v>
      </c>
      <c r="F4648" t="s">
        <v>1</v>
      </c>
      <c r="G4648" t="s">
        <v>2</v>
      </c>
      <c r="H4648" t="s">
        <v>629</v>
      </c>
      <c r="P4648" t="s">
        <v>630</v>
      </c>
      <c r="Y4648" t="s">
        <v>1744</v>
      </c>
    </row>
    <row r="4649" spans="1:25" x14ac:dyDescent="0.25">
      <c r="A4649" t="str">
        <f>"1765257084"</f>
        <v>1765257084</v>
      </c>
      <c r="B4649" t="s">
        <v>32</v>
      </c>
      <c r="C4649" t="s">
        <v>20137</v>
      </c>
      <c r="D4649" t="s">
        <v>22408</v>
      </c>
      <c r="E4649">
        <v>424020</v>
      </c>
      <c r="F4649" t="s">
        <v>1</v>
      </c>
      <c r="G4649" t="s">
        <v>2</v>
      </c>
      <c r="H4649" t="s">
        <v>4528</v>
      </c>
      <c r="J4649" t="s">
        <v>22409</v>
      </c>
      <c r="P4649" t="s">
        <v>14515</v>
      </c>
      <c r="Y4649" t="s">
        <v>4534</v>
      </c>
    </row>
    <row r="4650" spans="1:25" x14ac:dyDescent="0.25">
      <c r="A4650" t="str">
        <f>"1765432026"</f>
        <v>1765432026</v>
      </c>
      <c r="B4650" t="s">
        <v>930</v>
      </c>
      <c r="C4650" t="s">
        <v>22414</v>
      </c>
      <c r="D4650" t="s">
        <v>15823</v>
      </c>
      <c r="E4650">
        <v>424007</v>
      </c>
      <c r="F4650" t="s">
        <v>1</v>
      </c>
      <c r="G4650" t="s">
        <v>2</v>
      </c>
      <c r="H4650" t="s">
        <v>22410</v>
      </c>
      <c r="I4650" t="s">
        <v>20041</v>
      </c>
      <c r="J4650" t="s">
        <v>22411</v>
      </c>
      <c r="L4650" t="s">
        <v>22412</v>
      </c>
      <c r="M4650" t="s">
        <v>22413</v>
      </c>
      <c r="P4650" t="s">
        <v>10486</v>
      </c>
      <c r="Y4650" t="s">
        <v>17008</v>
      </c>
    </row>
    <row r="4651" spans="1:25" x14ac:dyDescent="0.25">
      <c r="A4651" t="str">
        <f>"1765589915"</f>
        <v>1765589915</v>
      </c>
      <c r="B4651" t="s">
        <v>2846</v>
      </c>
      <c r="C4651" t="s">
        <v>22420</v>
      </c>
      <c r="D4651" t="s">
        <v>22415</v>
      </c>
      <c r="E4651">
        <v>424918</v>
      </c>
      <c r="F4651" t="s">
        <v>1</v>
      </c>
      <c r="G4651" t="s">
        <v>2</v>
      </c>
      <c r="H4651" t="s">
        <v>629</v>
      </c>
      <c r="I4651" t="s">
        <v>22416</v>
      </c>
      <c r="J4651" t="s">
        <v>22417</v>
      </c>
      <c r="L4651" t="s">
        <v>22418</v>
      </c>
      <c r="M4651" t="s">
        <v>22419</v>
      </c>
      <c r="P4651" t="s">
        <v>630</v>
      </c>
      <c r="Q4651" t="s">
        <v>22421</v>
      </c>
      <c r="Y4651" t="s">
        <v>1744</v>
      </c>
    </row>
    <row r="4652" spans="1:25" x14ac:dyDescent="0.25">
      <c r="A4652" t="str">
        <f>"1766091452"</f>
        <v>1766091452</v>
      </c>
      <c r="B4652" t="s">
        <v>1152</v>
      </c>
      <c r="C4652" t="s">
        <v>10452</v>
      </c>
      <c r="D4652" t="s">
        <v>1507</v>
      </c>
      <c r="E4652">
        <v>424019</v>
      </c>
      <c r="F4652" t="s">
        <v>1</v>
      </c>
      <c r="G4652" t="s">
        <v>2</v>
      </c>
      <c r="H4652" t="s">
        <v>15506</v>
      </c>
      <c r="J4652" t="s">
        <v>22422</v>
      </c>
      <c r="L4652" t="s">
        <v>1511</v>
      </c>
      <c r="M4652" t="s">
        <v>1512</v>
      </c>
      <c r="P4652" t="s">
        <v>22423</v>
      </c>
      <c r="Q4652" t="s">
        <v>1515</v>
      </c>
      <c r="R4652" t="s">
        <v>1516</v>
      </c>
      <c r="Y4652" t="s">
        <v>17180</v>
      </c>
    </row>
    <row r="4653" spans="1:25" x14ac:dyDescent="0.25">
      <c r="A4653" t="str">
        <f>"1766826306"</f>
        <v>1766826306</v>
      </c>
      <c r="B4653" t="s">
        <v>553</v>
      </c>
      <c r="C4653" t="s">
        <v>10597</v>
      </c>
      <c r="D4653" t="s">
        <v>12298</v>
      </c>
      <c r="E4653">
        <v>424031</v>
      </c>
      <c r="F4653" t="s">
        <v>1</v>
      </c>
      <c r="G4653" t="s">
        <v>2</v>
      </c>
      <c r="H4653" t="s">
        <v>413</v>
      </c>
      <c r="I4653" t="s">
        <v>22424</v>
      </c>
      <c r="J4653" t="s">
        <v>22425</v>
      </c>
      <c r="P4653" t="s">
        <v>22426</v>
      </c>
      <c r="Q4653" t="s">
        <v>22427</v>
      </c>
      <c r="Y4653" t="s">
        <v>22428</v>
      </c>
    </row>
    <row r="4654" spans="1:25" x14ac:dyDescent="0.25">
      <c r="A4654" t="str">
        <f>"1766907861"</f>
        <v>1766907861</v>
      </c>
      <c r="B4654" t="s">
        <v>123</v>
      </c>
      <c r="C4654" t="s">
        <v>22431</v>
      </c>
      <c r="D4654" t="s">
        <v>22429</v>
      </c>
      <c r="E4654">
        <v>424007</v>
      </c>
      <c r="F4654" t="s">
        <v>1</v>
      </c>
      <c r="G4654" t="s">
        <v>2</v>
      </c>
      <c r="H4654" t="s">
        <v>4869</v>
      </c>
      <c r="J4654" t="s">
        <v>22430</v>
      </c>
      <c r="P4654" t="s">
        <v>152</v>
      </c>
      <c r="Y4654" t="s">
        <v>5759</v>
      </c>
    </row>
    <row r="4655" spans="1:25" x14ac:dyDescent="0.25">
      <c r="A4655" t="str">
        <f>"1767144547"</f>
        <v>1767144547</v>
      </c>
      <c r="B4655" t="s">
        <v>1617</v>
      </c>
      <c r="C4655" t="s">
        <v>21001</v>
      </c>
      <c r="D4655" t="s">
        <v>17501</v>
      </c>
      <c r="E4655">
        <v>424002</v>
      </c>
      <c r="F4655" t="s">
        <v>1</v>
      </c>
      <c r="G4655" t="s">
        <v>2</v>
      </c>
      <c r="H4655" t="s">
        <v>57</v>
      </c>
      <c r="Y4655" t="s">
        <v>22432</v>
      </c>
    </row>
    <row r="4656" spans="1:25" x14ac:dyDescent="0.25">
      <c r="A4656" t="str">
        <f>"1767160030"</f>
        <v>1767160030</v>
      </c>
      <c r="B4656" t="s">
        <v>1352</v>
      </c>
      <c r="C4656" t="s">
        <v>22433</v>
      </c>
      <c r="D4656" t="s">
        <v>21037</v>
      </c>
      <c r="E4656">
        <v>424007</v>
      </c>
      <c r="F4656" t="s">
        <v>1</v>
      </c>
      <c r="G4656" t="s">
        <v>2</v>
      </c>
      <c r="H4656" t="s">
        <v>5178</v>
      </c>
      <c r="J4656" t="s">
        <v>21038</v>
      </c>
      <c r="P4656" t="s">
        <v>2731</v>
      </c>
      <c r="Y4656" t="s">
        <v>22434</v>
      </c>
    </row>
    <row r="4657" spans="1:25" x14ac:dyDescent="0.25">
      <c r="A4657" t="str">
        <f>"1767223063"</f>
        <v>1767223063</v>
      </c>
      <c r="B4657" t="s">
        <v>1352</v>
      </c>
      <c r="C4657" t="s">
        <v>1353</v>
      </c>
      <c r="D4657" t="s">
        <v>21037</v>
      </c>
      <c r="E4657">
        <v>424019</v>
      </c>
      <c r="F4657" t="s">
        <v>1</v>
      </c>
      <c r="G4657" t="s">
        <v>2</v>
      </c>
      <c r="H4657" t="s">
        <v>7785</v>
      </c>
      <c r="J4657" t="s">
        <v>21038</v>
      </c>
      <c r="P4657" t="s">
        <v>98</v>
      </c>
      <c r="Y4657" t="s">
        <v>22435</v>
      </c>
    </row>
    <row r="4658" spans="1:25" x14ac:dyDescent="0.25">
      <c r="A4658" t="str">
        <f>"1767496519"</f>
        <v>1767496519</v>
      </c>
      <c r="B4658" t="s">
        <v>1152</v>
      </c>
      <c r="C4658" t="s">
        <v>22438</v>
      </c>
      <c r="D4658" t="s">
        <v>22436</v>
      </c>
      <c r="F4658" t="s">
        <v>1</v>
      </c>
      <c r="G4658" t="s">
        <v>2</v>
      </c>
      <c r="H4658" t="s">
        <v>6026</v>
      </c>
      <c r="I4658" t="s">
        <v>22437</v>
      </c>
      <c r="P4658" t="s">
        <v>22439</v>
      </c>
      <c r="Y4658" t="s">
        <v>21228</v>
      </c>
    </row>
    <row r="4659" spans="1:25" x14ac:dyDescent="0.25">
      <c r="A4659" t="str">
        <f>"1767661727"</f>
        <v>1767661727</v>
      </c>
      <c r="B4659" t="s">
        <v>3008</v>
      </c>
      <c r="C4659" t="s">
        <v>22443</v>
      </c>
      <c r="D4659" t="s">
        <v>22440</v>
      </c>
      <c r="F4659" t="s">
        <v>1</v>
      </c>
      <c r="G4659" t="s">
        <v>2</v>
      </c>
      <c r="H4659" t="s">
        <v>22441</v>
      </c>
      <c r="I4659" t="s">
        <v>22442</v>
      </c>
      <c r="P4659" t="s">
        <v>7436</v>
      </c>
      <c r="Y4659" t="s">
        <v>22444</v>
      </c>
    </row>
    <row r="4660" spans="1:25" x14ac:dyDescent="0.25">
      <c r="A4660" t="str">
        <f>"1767931526"</f>
        <v>1767931526</v>
      </c>
      <c r="B4660" t="s">
        <v>7312</v>
      </c>
      <c r="C4660" t="s">
        <v>21136</v>
      </c>
      <c r="D4660" t="s">
        <v>22445</v>
      </c>
      <c r="E4660">
        <v>424002</v>
      </c>
      <c r="F4660" t="s">
        <v>1</v>
      </c>
      <c r="G4660" t="s">
        <v>2</v>
      </c>
      <c r="H4660" t="s">
        <v>744</v>
      </c>
      <c r="P4660" t="s">
        <v>748</v>
      </c>
      <c r="Y4660" t="s">
        <v>22446</v>
      </c>
    </row>
    <row r="4661" spans="1:25" x14ac:dyDescent="0.25">
      <c r="A4661" t="str">
        <f>"1768251281"</f>
        <v>1768251281</v>
      </c>
      <c r="B4661" t="s">
        <v>96</v>
      </c>
      <c r="C4661" t="s">
        <v>893</v>
      </c>
      <c r="D4661" t="s">
        <v>22447</v>
      </c>
      <c r="E4661">
        <v>424004</v>
      </c>
      <c r="F4661" t="s">
        <v>1</v>
      </c>
      <c r="G4661" t="s">
        <v>2</v>
      </c>
      <c r="H4661" t="s">
        <v>3266</v>
      </c>
      <c r="I4661" t="s">
        <v>22448</v>
      </c>
      <c r="J4661" t="s">
        <v>22449</v>
      </c>
      <c r="P4661" t="s">
        <v>22450</v>
      </c>
      <c r="Y4661" t="s">
        <v>22214</v>
      </c>
    </row>
    <row r="4662" spans="1:25" x14ac:dyDescent="0.25">
      <c r="A4662" t="str">
        <f>"1768754040"</f>
        <v>1768754040</v>
      </c>
      <c r="B4662" t="s">
        <v>930</v>
      </c>
      <c r="C4662" t="s">
        <v>1096</v>
      </c>
      <c r="D4662" t="s">
        <v>22451</v>
      </c>
      <c r="E4662">
        <v>424000</v>
      </c>
      <c r="F4662" t="s">
        <v>1</v>
      </c>
      <c r="G4662" t="s">
        <v>2</v>
      </c>
      <c r="H4662" t="s">
        <v>5398</v>
      </c>
      <c r="I4662" t="s">
        <v>15964</v>
      </c>
      <c r="J4662" t="s">
        <v>22452</v>
      </c>
      <c r="P4662" t="s">
        <v>381</v>
      </c>
      <c r="Y4662" t="s">
        <v>22453</v>
      </c>
    </row>
    <row r="4663" spans="1:25" x14ac:dyDescent="0.25">
      <c r="A4663" t="str">
        <f>"1768814735"</f>
        <v>1768814735</v>
      </c>
      <c r="B4663" t="s">
        <v>930</v>
      </c>
      <c r="C4663" t="s">
        <v>1096</v>
      </c>
      <c r="D4663" t="s">
        <v>1094</v>
      </c>
      <c r="F4663" t="s">
        <v>1</v>
      </c>
      <c r="G4663" t="s">
        <v>2</v>
      </c>
      <c r="H4663" t="s">
        <v>4897</v>
      </c>
      <c r="J4663" t="s">
        <v>22454</v>
      </c>
      <c r="P4663" t="s">
        <v>1027</v>
      </c>
      <c r="Y4663" t="s">
        <v>22455</v>
      </c>
    </row>
    <row r="4664" spans="1:25" x14ac:dyDescent="0.25">
      <c r="A4664" t="str">
        <f>"1769014128"</f>
        <v>1769014128</v>
      </c>
      <c r="B4664" t="s">
        <v>482</v>
      </c>
      <c r="C4664" t="s">
        <v>483</v>
      </c>
      <c r="D4664" t="s">
        <v>22456</v>
      </c>
      <c r="E4664">
        <v>424004</v>
      </c>
      <c r="F4664" t="s">
        <v>1</v>
      </c>
      <c r="G4664" t="s">
        <v>2</v>
      </c>
      <c r="H4664" t="s">
        <v>229</v>
      </c>
      <c r="I4664" t="s">
        <v>22457</v>
      </c>
      <c r="L4664" t="s">
        <v>581</v>
      </c>
      <c r="M4664" t="s">
        <v>582</v>
      </c>
      <c r="P4664" t="s">
        <v>5084</v>
      </c>
      <c r="Y4664" t="s">
        <v>3264</v>
      </c>
    </row>
    <row r="4665" spans="1:25" x14ac:dyDescent="0.25">
      <c r="A4665" t="str">
        <f>"1769572898"</f>
        <v>1769572898</v>
      </c>
      <c r="B4665" t="s">
        <v>18</v>
      </c>
      <c r="C4665" t="s">
        <v>16738</v>
      </c>
      <c r="D4665" t="s">
        <v>22458</v>
      </c>
      <c r="E4665">
        <v>424007</v>
      </c>
      <c r="F4665" t="s">
        <v>1</v>
      </c>
      <c r="G4665" t="s">
        <v>2</v>
      </c>
      <c r="H4665" t="s">
        <v>22459</v>
      </c>
      <c r="I4665" t="s">
        <v>22460</v>
      </c>
      <c r="P4665" t="s">
        <v>280</v>
      </c>
      <c r="Y4665" t="s">
        <v>22461</v>
      </c>
    </row>
    <row r="4666" spans="1:25" x14ac:dyDescent="0.25">
      <c r="A4666" t="str">
        <f>"1769691835"</f>
        <v>1769691835</v>
      </c>
      <c r="B4666" t="s">
        <v>18</v>
      </c>
      <c r="C4666" t="s">
        <v>2295</v>
      </c>
      <c r="D4666" t="s">
        <v>22462</v>
      </c>
      <c r="E4666">
        <v>424005</v>
      </c>
      <c r="F4666" t="s">
        <v>1</v>
      </c>
      <c r="G4666" t="s">
        <v>2</v>
      </c>
      <c r="H4666" t="s">
        <v>22463</v>
      </c>
      <c r="I4666" t="s">
        <v>22464</v>
      </c>
      <c r="P4666" t="s">
        <v>2296</v>
      </c>
      <c r="Y4666" t="s">
        <v>22465</v>
      </c>
    </row>
    <row r="4667" spans="1:25" x14ac:dyDescent="0.25">
      <c r="A4667" t="str">
        <f>"1769862591"</f>
        <v>1769862591</v>
      </c>
      <c r="B4667" t="s">
        <v>379</v>
      </c>
      <c r="C4667" t="s">
        <v>766</v>
      </c>
      <c r="D4667" t="s">
        <v>22466</v>
      </c>
      <c r="E4667">
        <v>424000</v>
      </c>
      <c r="F4667" t="s">
        <v>1</v>
      </c>
      <c r="G4667" t="s">
        <v>2</v>
      </c>
      <c r="H4667" t="s">
        <v>1531</v>
      </c>
      <c r="I4667" t="s">
        <v>21868</v>
      </c>
      <c r="L4667" t="s">
        <v>21869</v>
      </c>
      <c r="M4667" t="s">
        <v>21870</v>
      </c>
      <c r="P4667" t="s">
        <v>1855</v>
      </c>
      <c r="Y4667" t="s">
        <v>22467</v>
      </c>
    </row>
    <row r="4668" spans="1:25" x14ac:dyDescent="0.25">
      <c r="A4668" t="str">
        <f>"1770510808"</f>
        <v>1770510808</v>
      </c>
      <c r="B4668" t="s">
        <v>96</v>
      </c>
      <c r="C4668" t="s">
        <v>893</v>
      </c>
      <c r="D4668" t="s">
        <v>22468</v>
      </c>
      <c r="E4668">
        <v>424918</v>
      </c>
      <c r="F4668" t="s">
        <v>1</v>
      </c>
      <c r="G4668" t="s">
        <v>2</v>
      </c>
      <c r="H4668" t="s">
        <v>629</v>
      </c>
      <c r="I4668" t="s">
        <v>20946</v>
      </c>
      <c r="P4668" t="s">
        <v>630</v>
      </c>
      <c r="Y4668" t="s">
        <v>1744</v>
      </c>
    </row>
    <row r="4669" spans="1:25" x14ac:dyDescent="0.25">
      <c r="A4669" t="str">
        <f>"1770797309"</f>
        <v>1770797309</v>
      </c>
      <c r="B4669" t="s">
        <v>3700</v>
      </c>
      <c r="C4669" t="s">
        <v>4023</v>
      </c>
      <c r="D4669" t="s">
        <v>22469</v>
      </c>
      <c r="E4669">
        <v>424000</v>
      </c>
      <c r="F4669" t="s">
        <v>1</v>
      </c>
      <c r="G4669" t="s">
        <v>2</v>
      </c>
      <c r="H4669" t="s">
        <v>7297</v>
      </c>
      <c r="I4669" t="s">
        <v>22470</v>
      </c>
      <c r="P4669" t="s">
        <v>1404</v>
      </c>
      <c r="Y4669" t="s">
        <v>20875</v>
      </c>
    </row>
    <row r="4670" spans="1:25" x14ac:dyDescent="0.25">
      <c r="A4670" t="str">
        <f>"1771107384"</f>
        <v>1771107384</v>
      </c>
      <c r="B4670" t="s">
        <v>290</v>
      </c>
      <c r="C4670" t="s">
        <v>22473</v>
      </c>
      <c r="D4670" t="s">
        <v>22471</v>
      </c>
      <c r="E4670">
        <v>424006</v>
      </c>
      <c r="F4670" t="s">
        <v>1</v>
      </c>
      <c r="G4670" t="s">
        <v>2</v>
      </c>
      <c r="H4670" t="s">
        <v>13109</v>
      </c>
      <c r="J4670" t="s">
        <v>22472</v>
      </c>
      <c r="P4670" t="s">
        <v>216</v>
      </c>
      <c r="Y4670" t="s">
        <v>22474</v>
      </c>
    </row>
    <row r="4671" spans="1:25" x14ac:dyDescent="0.25">
      <c r="A4671" t="str">
        <f>"1771165219"</f>
        <v>1771165219</v>
      </c>
      <c r="B4671" t="s">
        <v>352</v>
      </c>
      <c r="C4671" t="s">
        <v>22479</v>
      </c>
      <c r="D4671" t="s">
        <v>22475</v>
      </c>
      <c r="E4671">
        <v>424031</v>
      </c>
      <c r="F4671" t="s">
        <v>1</v>
      </c>
      <c r="G4671" t="s">
        <v>2</v>
      </c>
      <c r="H4671" t="s">
        <v>3962</v>
      </c>
      <c r="I4671" t="s">
        <v>22476</v>
      </c>
      <c r="L4671" t="s">
        <v>22477</v>
      </c>
      <c r="M4671" t="s">
        <v>22478</v>
      </c>
      <c r="P4671" t="s">
        <v>390</v>
      </c>
      <c r="T4671" t="s">
        <v>22480</v>
      </c>
      <c r="V4671" t="s">
        <v>22481</v>
      </c>
      <c r="Y4671" t="s">
        <v>19108</v>
      </c>
    </row>
    <row r="4672" spans="1:25" x14ac:dyDescent="0.25">
      <c r="A4672" t="str">
        <f>"1771328017"</f>
        <v>1771328017</v>
      </c>
      <c r="B4672" t="s">
        <v>574</v>
      </c>
      <c r="C4672" t="s">
        <v>952</v>
      </c>
      <c r="D4672" t="s">
        <v>22471</v>
      </c>
      <c r="E4672">
        <v>424033</v>
      </c>
      <c r="F4672" t="s">
        <v>1</v>
      </c>
      <c r="G4672" t="s">
        <v>2</v>
      </c>
      <c r="H4672" t="s">
        <v>22482</v>
      </c>
      <c r="I4672" t="s">
        <v>22483</v>
      </c>
      <c r="J4672" t="s">
        <v>22472</v>
      </c>
      <c r="L4672" t="s">
        <v>22484</v>
      </c>
      <c r="M4672" t="s">
        <v>22485</v>
      </c>
      <c r="P4672" t="s">
        <v>216</v>
      </c>
      <c r="Q4672" t="s">
        <v>22486</v>
      </c>
      <c r="V4672" t="s">
        <v>22487</v>
      </c>
      <c r="Y4672" t="s">
        <v>22488</v>
      </c>
    </row>
    <row r="4673" spans="1:25" x14ac:dyDescent="0.25">
      <c r="A4673" t="str">
        <f>"1771483127"</f>
        <v>1771483127</v>
      </c>
      <c r="B4673" t="s">
        <v>348</v>
      </c>
      <c r="C4673" t="s">
        <v>4366</v>
      </c>
      <c r="D4673" t="s">
        <v>14703</v>
      </c>
      <c r="E4673">
        <v>424000</v>
      </c>
      <c r="F4673" t="s">
        <v>1</v>
      </c>
      <c r="G4673" t="s">
        <v>2</v>
      </c>
      <c r="H4673" t="s">
        <v>2202</v>
      </c>
      <c r="I4673" t="s">
        <v>22489</v>
      </c>
      <c r="P4673" t="s">
        <v>22490</v>
      </c>
      <c r="Y4673" t="s">
        <v>2204</v>
      </c>
    </row>
    <row r="4674" spans="1:25" x14ac:dyDescent="0.25">
      <c r="A4674" t="str">
        <f>"1771650789"</f>
        <v>1771650789</v>
      </c>
      <c r="B4674" t="s">
        <v>123</v>
      </c>
      <c r="C4674" t="s">
        <v>424</v>
      </c>
      <c r="D4674" t="s">
        <v>22491</v>
      </c>
      <c r="E4674">
        <v>424037</v>
      </c>
      <c r="F4674" t="s">
        <v>1</v>
      </c>
      <c r="G4674" t="s">
        <v>2</v>
      </c>
      <c r="H4674" t="s">
        <v>9342</v>
      </c>
      <c r="J4674" t="s">
        <v>22492</v>
      </c>
      <c r="L4674" t="s">
        <v>22493</v>
      </c>
      <c r="Q4674" t="s">
        <v>22494</v>
      </c>
      <c r="Y4674" t="s">
        <v>9347</v>
      </c>
    </row>
    <row r="4675" spans="1:25" x14ac:dyDescent="0.25">
      <c r="A4675" t="str">
        <f>"1771930467"</f>
        <v>1771930467</v>
      </c>
      <c r="B4675" t="s">
        <v>1152</v>
      </c>
      <c r="C4675" t="s">
        <v>13059</v>
      </c>
      <c r="D4675" t="s">
        <v>22495</v>
      </c>
      <c r="E4675">
        <v>424038</v>
      </c>
      <c r="F4675" t="s">
        <v>1</v>
      </c>
      <c r="G4675" t="s">
        <v>2</v>
      </c>
      <c r="H4675" t="s">
        <v>7518</v>
      </c>
      <c r="J4675" t="s">
        <v>22496</v>
      </c>
      <c r="P4675" t="s">
        <v>152</v>
      </c>
      <c r="Y4675" t="s">
        <v>22497</v>
      </c>
    </row>
    <row r="4676" spans="1:25" x14ac:dyDescent="0.25">
      <c r="A4676" t="str">
        <f>"1772310207"</f>
        <v>1772310207</v>
      </c>
      <c r="B4676" t="s">
        <v>22502</v>
      </c>
      <c r="C4676" t="s">
        <v>22503</v>
      </c>
      <c r="D4676" t="s">
        <v>22498</v>
      </c>
      <c r="E4676">
        <v>424006</v>
      </c>
      <c r="F4676" t="s">
        <v>1</v>
      </c>
      <c r="G4676" t="s">
        <v>2</v>
      </c>
      <c r="H4676" t="s">
        <v>14949</v>
      </c>
      <c r="J4676" t="s">
        <v>22499</v>
      </c>
      <c r="L4676" t="s">
        <v>22500</v>
      </c>
      <c r="M4676" t="s">
        <v>22501</v>
      </c>
      <c r="P4676" t="s">
        <v>22504</v>
      </c>
      <c r="Q4676" t="s">
        <v>22505</v>
      </c>
      <c r="T4676" t="s">
        <v>22506</v>
      </c>
      <c r="U4676" t="s">
        <v>22507</v>
      </c>
      <c r="Y4676" t="s">
        <v>22508</v>
      </c>
    </row>
    <row r="4677" spans="1:25" x14ac:dyDescent="0.25">
      <c r="A4677" t="str">
        <f>"1772316081"</f>
        <v>1772316081</v>
      </c>
      <c r="B4677" t="s">
        <v>1053</v>
      </c>
      <c r="C4677" t="s">
        <v>1927</v>
      </c>
      <c r="D4677" t="s">
        <v>22509</v>
      </c>
      <c r="E4677">
        <v>424031</v>
      </c>
      <c r="F4677" t="s">
        <v>1</v>
      </c>
      <c r="G4677" t="s">
        <v>2</v>
      </c>
      <c r="H4677" t="s">
        <v>8799</v>
      </c>
      <c r="I4677" t="s">
        <v>22510</v>
      </c>
      <c r="P4677" t="s">
        <v>1035</v>
      </c>
      <c r="Y4677" t="s">
        <v>8803</v>
      </c>
    </row>
    <row r="4678" spans="1:25" x14ac:dyDescent="0.25">
      <c r="A4678" t="str">
        <f>"1772831602"</f>
        <v>1772831602</v>
      </c>
      <c r="B4678" t="s">
        <v>328</v>
      </c>
      <c r="C4678" t="s">
        <v>5300</v>
      </c>
      <c r="D4678" t="s">
        <v>22511</v>
      </c>
      <c r="E4678">
        <v>424004</v>
      </c>
      <c r="F4678" t="s">
        <v>1</v>
      </c>
      <c r="G4678" t="s">
        <v>2</v>
      </c>
      <c r="H4678" t="s">
        <v>5226</v>
      </c>
      <c r="I4678" t="s">
        <v>22512</v>
      </c>
      <c r="L4678" t="s">
        <v>22513</v>
      </c>
      <c r="M4678" t="s">
        <v>22514</v>
      </c>
      <c r="P4678" t="s">
        <v>27</v>
      </c>
      <c r="Y4678" t="s">
        <v>6967</v>
      </c>
    </row>
    <row r="4679" spans="1:25" x14ac:dyDescent="0.25">
      <c r="A4679" t="str">
        <f>"1772860786"</f>
        <v>1772860786</v>
      </c>
      <c r="B4679" t="s">
        <v>4084</v>
      </c>
      <c r="C4679" t="s">
        <v>7951</v>
      </c>
      <c r="D4679" t="s">
        <v>22515</v>
      </c>
      <c r="E4679">
        <v>424030</v>
      </c>
      <c r="F4679" t="s">
        <v>1</v>
      </c>
      <c r="G4679" t="s">
        <v>2</v>
      </c>
      <c r="H4679" t="s">
        <v>22516</v>
      </c>
      <c r="I4679" t="s">
        <v>22517</v>
      </c>
      <c r="L4679" t="s">
        <v>22518</v>
      </c>
      <c r="P4679" t="s">
        <v>21106</v>
      </c>
      <c r="Y4679" t="s">
        <v>22519</v>
      </c>
    </row>
    <row r="4680" spans="1:25" x14ac:dyDescent="0.25">
      <c r="A4680" t="str">
        <f>"1772884923"</f>
        <v>1772884923</v>
      </c>
      <c r="B4680" t="s">
        <v>110</v>
      </c>
      <c r="C4680" t="s">
        <v>22522</v>
      </c>
      <c r="D4680" t="s">
        <v>22520</v>
      </c>
      <c r="E4680">
        <v>424033</v>
      </c>
      <c r="F4680" t="s">
        <v>1</v>
      </c>
      <c r="G4680" t="s">
        <v>2</v>
      </c>
      <c r="H4680" t="s">
        <v>4300</v>
      </c>
      <c r="I4680" t="s">
        <v>22521</v>
      </c>
      <c r="P4680" t="s">
        <v>399</v>
      </c>
      <c r="Y4680" t="s">
        <v>10046</v>
      </c>
    </row>
    <row r="4681" spans="1:25" x14ac:dyDescent="0.25">
      <c r="A4681" t="str">
        <f>"1773083187"</f>
        <v>1773083187</v>
      </c>
      <c r="B4681" t="s">
        <v>1222</v>
      </c>
      <c r="C4681" t="s">
        <v>12417</v>
      </c>
      <c r="D4681" t="s">
        <v>12414</v>
      </c>
      <c r="E4681">
        <v>424002</v>
      </c>
      <c r="F4681" t="s">
        <v>1</v>
      </c>
      <c r="G4681" t="s">
        <v>2</v>
      </c>
      <c r="H4681" t="s">
        <v>744</v>
      </c>
      <c r="J4681" t="s">
        <v>12415</v>
      </c>
      <c r="M4681" t="s">
        <v>12416</v>
      </c>
      <c r="P4681" t="s">
        <v>2923</v>
      </c>
      <c r="Y4681" t="s">
        <v>749</v>
      </c>
    </row>
    <row r="4682" spans="1:25" x14ac:dyDescent="0.25">
      <c r="A4682" t="str">
        <f>"1773293876"</f>
        <v>1773293876</v>
      </c>
      <c r="B4682" t="s">
        <v>1343</v>
      </c>
      <c r="C4682" t="s">
        <v>5308</v>
      </c>
      <c r="D4682" t="s">
        <v>22523</v>
      </c>
      <c r="E4682">
        <v>424026</v>
      </c>
      <c r="F4682" t="s">
        <v>1</v>
      </c>
      <c r="G4682" t="s">
        <v>2</v>
      </c>
      <c r="H4682" t="s">
        <v>7964</v>
      </c>
      <c r="J4682" t="s">
        <v>22524</v>
      </c>
      <c r="P4682" t="s">
        <v>22525</v>
      </c>
      <c r="Y4682" t="s">
        <v>6422</v>
      </c>
    </row>
    <row r="4683" spans="1:25" x14ac:dyDescent="0.25">
      <c r="A4683" t="str">
        <f>"1774399877"</f>
        <v>1774399877</v>
      </c>
      <c r="B4683" t="s">
        <v>96</v>
      </c>
      <c r="C4683" t="s">
        <v>893</v>
      </c>
      <c r="D4683" t="s">
        <v>22526</v>
      </c>
      <c r="E4683">
        <v>424918</v>
      </c>
      <c r="F4683" t="s">
        <v>1</v>
      </c>
      <c r="G4683" t="s">
        <v>2</v>
      </c>
      <c r="H4683" t="s">
        <v>629</v>
      </c>
      <c r="I4683" t="s">
        <v>20946</v>
      </c>
      <c r="P4683" t="s">
        <v>630</v>
      </c>
      <c r="Y4683" t="s">
        <v>1744</v>
      </c>
    </row>
    <row r="4684" spans="1:25" x14ac:dyDescent="0.25">
      <c r="A4684" t="str">
        <f>"1774436591"</f>
        <v>1774436591</v>
      </c>
      <c r="B4684" t="s">
        <v>88</v>
      </c>
      <c r="C4684" t="s">
        <v>22531</v>
      </c>
      <c r="D4684" t="s">
        <v>22527</v>
      </c>
      <c r="E4684">
        <v>424003</v>
      </c>
      <c r="F4684" t="s">
        <v>1</v>
      </c>
      <c r="G4684" t="s">
        <v>2</v>
      </c>
      <c r="H4684" t="s">
        <v>22528</v>
      </c>
      <c r="J4684" t="s">
        <v>22529</v>
      </c>
      <c r="L4684" t="s">
        <v>22530</v>
      </c>
      <c r="P4684" t="s">
        <v>1855</v>
      </c>
      <c r="Y4684" t="s">
        <v>22532</v>
      </c>
    </row>
    <row r="4685" spans="1:25" x14ac:dyDescent="0.25">
      <c r="A4685" t="str">
        <f>"1774920930"</f>
        <v>1774920930</v>
      </c>
      <c r="B4685" t="s">
        <v>574</v>
      </c>
      <c r="C4685" t="s">
        <v>22533</v>
      </c>
      <c r="D4685" t="s">
        <v>3057</v>
      </c>
      <c r="E4685">
        <v>424036</v>
      </c>
      <c r="F4685" t="s">
        <v>1</v>
      </c>
      <c r="G4685" t="s">
        <v>2</v>
      </c>
      <c r="H4685" t="s">
        <v>12444</v>
      </c>
      <c r="P4685" t="s">
        <v>216</v>
      </c>
      <c r="Y4685" t="s">
        <v>22534</v>
      </c>
    </row>
    <row r="4686" spans="1:25" x14ac:dyDescent="0.25">
      <c r="A4686" t="str">
        <f>"1774962552"</f>
        <v>1774962552</v>
      </c>
      <c r="B4686" t="s">
        <v>96</v>
      </c>
      <c r="C4686" t="s">
        <v>3621</v>
      </c>
      <c r="D4686" t="s">
        <v>22535</v>
      </c>
      <c r="E4686">
        <v>424918</v>
      </c>
      <c r="F4686" t="s">
        <v>1</v>
      </c>
      <c r="G4686" t="s">
        <v>2</v>
      </c>
      <c r="H4686" t="s">
        <v>629</v>
      </c>
      <c r="J4686" t="s">
        <v>22536</v>
      </c>
      <c r="P4686" t="s">
        <v>630</v>
      </c>
      <c r="Y4686" t="s">
        <v>22537</v>
      </c>
    </row>
    <row r="4687" spans="1:25" x14ac:dyDescent="0.25">
      <c r="A4687" t="str">
        <f>"1775351720"</f>
        <v>1775351720</v>
      </c>
      <c r="B4687" t="s">
        <v>18</v>
      </c>
      <c r="C4687" t="s">
        <v>22539</v>
      </c>
      <c r="D4687" t="s">
        <v>22538</v>
      </c>
      <c r="E4687">
        <v>424006</v>
      </c>
      <c r="F4687" t="s">
        <v>1</v>
      </c>
      <c r="G4687" t="s">
        <v>2</v>
      </c>
      <c r="H4687" t="s">
        <v>21691</v>
      </c>
      <c r="I4687" t="s">
        <v>21692</v>
      </c>
      <c r="P4687" t="s">
        <v>3690</v>
      </c>
      <c r="Q4687" t="s">
        <v>22540</v>
      </c>
      <c r="Y4687" t="s">
        <v>22541</v>
      </c>
    </row>
    <row r="4688" spans="1:25" x14ac:dyDescent="0.25">
      <c r="A4688" t="str">
        <f>"1775553178"</f>
        <v>1775553178</v>
      </c>
      <c r="B4688" t="s">
        <v>96</v>
      </c>
      <c r="C4688" t="s">
        <v>893</v>
      </c>
      <c r="D4688" t="s">
        <v>22542</v>
      </c>
      <c r="E4688">
        <v>424003</v>
      </c>
      <c r="F4688" t="s">
        <v>1</v>
      </c>
      <c r="G4688" t="s">
        <v>2</v>
      </c>
      <c r="H4688" t="s">
        <v>22543</v>
      </c>
      <c r="I4688" t="s">
        <v>22544</v>
      </c>
      <c r="J4688" t="s">
        <v>22545</v>
      </c>
      <c r="P4688" t="s">
        <v>941</v>
      </c>
      <c r="Y4688" t="s">
        <v>22546</v>
      </c>
    </row>
    <row r="4689" spans="1:25" x14ac:dyDescent="0.25">
      <c r="A4689" t="str">
        <f>"1775938616"</f>
        <v>1775938616</v>
      </c>
      <c r="B4689" t="s">
        <v>1475</v>
      </c>
      <c r="C4689" t="s">
        <v>22548</v>
      </c>
      <c r="D4689" t="s">
        <v>22547</v>
      </c>
      <c r="F4689" t="s">
        <v>1</v>
      </c>
      <c r="G4689" t="s">
        <v>2</v>
      </c>
      <c r="H4689" t="s">
        <v>21391</v>
      </c>
      <c r="P4689" t="s">
        <v>2738</v>
      </c>
      <c r="Y4689" t="s">
        <v>22549</v>
      </c>
    </row>
    <row r="4690" spans="1:25" x14ac:dyDescent="0.25">
      <c r="A4690" t="str">
        <f>"1776496825"</f>
        <v>1776496825</v>
      </c>
      <c r="B4690" t="s">
        <v>96</v>
      </c>
      <c r="C4690" t="s">
        <v>695</v>
      </c>
      <c r="D4690" t="s">
        <v>22550</v>
      </c>
      <c r="E4690">
        <v>424918</v>
      </c>
      <c r="F4690" t="s">
        <v>1</v>
      </c>
      <c r="G4690" t="s">
        <v>2</v>
      </c>
      <c r="H4690" t="s">
        <v>629</v>
      </c>
      <c r="I4690" t="s">
        <v>22551</v>
      </c>
      <c r="P4690" t="s">
        <v>13820</v>
      </c>
      <c r="Y4690" t="s">
        <v>22552</v>
      </c>
    </row>
    <row r="4691" spans="1:25" x14ac:dyDescent="0.25">
      <c r="A4691" t="str">
        <f>"1776870176"</f>
        <v>1776870176</v>
      </c>
      <c r="B4691" t="s">
        <v>574</v>
      </c>
      <c r="C4691" t="s">
        <v>646</v>
      </c>
      <c r="D4691" t="s">
        <v>22553</v>
      </c>
      <c r="E4691">
        <v>424002</v>
      </c>
      <c r="F4691" t="s">
        <v>1</v>
      </c>
      <c r="G4691" t="s">
        <v>2</v>
      </c>
      <c r="H4691" t="s">
        <v>22554</v>
      </c>
      <c r="P4691" t="s">
        <v>1505</v>
      </c>
      <c r="Y4691" t="s">
        <v>22555</v>
      </c>
    </row>
    <row r="4692" spans="1:25" x14ac:dyDescent="0.25">
      <c r="A4692" t="str">
        <f>"1776976764"</f>
        <v>1776976764</v>
      </c>
      <c r="B4692" t="s">
        <v>574</v>
      </c>
      <c r="C4692" t="s">
        <v>646</v>
      </c>
      <c r="D4692" t="s">
        <v>17775</v>
      </c>
      <c r="E4692">
        <v>424006</v>
      </c>
      <c r="F4692" t="s">
        <v>1</v>
      </c>
      <c r="G4692" t="s">
        <v>2</v>
      </c>
      <c r="H4692" t="s">
        <v>393</v>
      </c>
      <c r="J4692" t="s">
        <v>22556</v>
      </c>
      <c r="P4692" t="s">
        <v>22557</v>
      </c>
      <c r="Y4692" t="s">
        <v>22558</v>
      </c>
    </row>
    <row r="4693" spans="1:25" x14ac:dyDescent="0.25">
      <c r="A4693" t="str">
        <f>"1777087499"</f>
        <v>1777087499</v>
      </c>
      <c r="B4693" t="s">
        <v>482</v>
      </c>
      <c r="C4693" t="s">
        <v>4057</v>
      </c>
      <c r="D4693" t="s">
        <v>22559</v>
      </c>
      <c r="F4693" t="s">
        <v>1</v>
      </c>
      <c r="G4693" t="s">
        <v>2</v>
      </c>
      <c r="H4693" t="s">
        <v>2628</v>
      </c>
      <c r="I4693" t="s">
        <v>22560</v>
      </c>
      <c r="P4693" t="s">
        <v>2979</v>
      </c>
      <c r="Y4693" t="s">
        <v>22561</v>
      </c>
    </row>
    <row r="4694" spans="1:25" x14ac:dyDescent="0.25">
      <c r="A4694" t="str">
        <f>"1777207810"</f>
        <v>1777207810</v>
      </c>
      <c r="B4694" t="s">
        <v>574</v>
      </c>
      <c r="C4694" t="s">
        <v>952</v>
      </c>
      <c r="D4694" t="s">
        <v>7620</v>
      </c>
      <c r="E4694">
        <v>424036</v>
      </c>
      <c r="F4694" t="s">
        <v>1</v>
      </c>
      <c r="G4694" t="s">
        <v>2</v>
      </c>
      <c r="H4694" t="s">
        <v>16931</v>
      </c>
      <c r="P4694" t="s">
        <v>216</v>
      </c>
      <c r="Y4694" t="s">
        <v>22562</v>
      </c>
    </row>
    <row r="4695" spans="1:25" x14ac:dyDescent="0.25">
      <c r="A4695" t="str">
        <f>"1777474875"</f>
        <v>1777474875</v>
      </c>
      <c r="B4695" t="s">
        <v>703</v>
      </c>
      <c r="C4695" t="s">
        <v>22565</v>
      </c>
      <c r="D4695" t="s">
        <v>22563</v>
      </c>
      <c r="E4695">
        <v>424031</v>
      </c>
      <c r="F4695" t="s">
        <v>1</v>
      </c>
      <c r="G4695" t="s">
        <v>2</v>
      </c>
      <c r="H4695" t="s">
        <v>20058</v>
      </c>
      <c r="J4695" t="s">
        <v>22564</v>
      </c>
      <c r="P4695" t="s">
        <v>330</v>
      </c>
      <c r="Y4695" t="s">
        <v>20062</v>
      </c>
    </row>
    <row r="4696" spans="1:25" x14ac:dyDescent="0.25">
      <c r="A4696" t="str">
        <f>"1777678926"</f>
        <v>1777678926</v>
      </c>
      <c r="B4696" t="s">
        <v>188</v>
      </c>
      <c r="C4696" t="s">
        <v>22568</v>
      </c>
      <c r="D4696" t="s">
        <v>22566</v>
      </c>
      <c r="E4696">
        <v>424038</v>
      </c>
      <c r="F4696" t="s">
        <v>1</v>
      </c>
      <c r="G4696" t="s">
        <v>2</v>
      </c>
      <c r="H4696" t="s">
        <v>1366</v>
      </c>
      <c r="J4696" t="s">
        <v>22567</v>
      </c>
      <c r="P4696" t="s">
        <v>22569</v>
      </c>
      <c r="Y4696" t="s">
        <v>22570</v>
      </c>
    </row>
    <row r="4697" spans="1:25" x14ac:dyDescent="0.25">
      <c r="A4697" t="str">
        <f>"1778188196"</f>
        <v>1778188196</v>
      </c>
      <c r="B4697" t="s">
        <v>117</v>
      </c>
      <c r="C4697" t="s">
        <v>22576</v>
      </c>
      <c r="D4697" t="s">
        <v>22571</v>
      </c>
      <c r="E4697">
        <v>424019</v>
      </c>
      <c r="F4697" t="s">
        <v>1</v>
      </c>
      <c r="G4697" t="s">
        <v>2</v>
      </c>
      <c r="H4697" t="s">
        <v>22572</v>
      </c>
      <c r="I4697" t="s">
        <v>22573</v>
      </c>
      <c r="L4697" t="s">
        <v>22574</v>
      </c>
      <c r="M4697" t="s">
        <v>22575</v>
      </c>
      <c r="P4697" t="s">
        <v>20</v>
      </c>
      <c r="Y4697" t="s">
        <v>22577</v>
      </c>
    </row>
    <row r="4698" spans="1:25" x14ac:dyDescent="0.25">
      <c r="A4698" t="str">
        <f>"1778425500"</f>
        <v>1778425500</v>
      </c>
      <c r="B4698" t="s">
        <v>96</v>
      </c>
      <c r="C4698" t="s">
        <v>893</v>
      </c>
      <c r="D4698" t="s">
        <v>22578</v>
      </c>
      <c r="E4698">
        <v>424918</v>
      </c>
      <c r="F4698" t="s">
        <v>1</v>
      </c>
      <c r="G4698" t="s">
        <v>2</v>
      </c>
      <c r="H4698" t="s">
        <v>629</v>
      </c>
      <c r="I4698" t="s">
        <v>20946</v>
      </c>
      <c r="P4698" t="s">
        <v>630</v>
      </c>
      <c r="Y4698" t="s">
        <v>1744</v>
      </c>
    </row>
    <row r="4699" spans="1:25" x14ac:dyDescent="0.25">
      <c r="A4699" t="str">
        <f>"1778644765"</f>
        <v>1778644765</v>
      </c>
      <c r="B4699" t="s">
        <v>687</v>
      </c>
      <c r="C4699" t="s">
        <v>22583</v>
      </c>
      <c r="D4699" t="s">
        <v>22579</v>
      </c>
      <c r="E4699">
        <v>424003</v>
      </c>
      <c r="F4699" t="s">
        <v>1</v>
      </c>
      <c r="G4699" t="s">
        <v>2</v>
      </c>
      <c r="H4699" t="s">
        <v>22580</v>
      </c>
      <c r="J4699" t="s">
        <v>22581</v>
      </c>
      <c r="L4699" t="s">
        <v>22582</v>
      </c>
      <c r="P4699" t="s">
        <v>216</v>
      </c>
      <c r="Q4699" t="s">
        <v>22584</v>
      </c>
      <c r="Y4699" t="s">
        <v>22585</v>
      </c>
    </row>
    <row r="4700" spans="1:25" x14ac:dyDescent="0.25">
      <c r="A4700" t="str">
        <f>"1778680512"</f>
        <v>1778680512</v>
      </c>
      <c r="B4700" t="s">
        <v>352</v>
      </c>
      <c r="C4700" t="s">
        <v>22588</v>
      </c>
      <c r="D4700" t="s">
        <v>22586</v>
      </c>
      <c r="F4700" t="s">
        <v>1</v>
      </c>
      <c r="G4700" t="s">
        <v>2</v>
      </c>
      <c r="H4700" t="s">
        <v>7547</v>
      </c>
      <c r="I4700" t="s">
        <v>22587</v>
      </c>
      <c r="P4700" t="s">
        <v>2457</v>
      </c>
      <c r="Q4700" t="s">
        <v>22589</v>
      </c>
      <c r="Y4700" t="s">
        <v>22590</v>
      </c>
    </row>
    <row r="4701" spans="1:25" x14ac:dyDescent="0.25">
      <c r="A4701" t="str">
        <f>"1779466807"</f>
        <v>1779466807</v>
      </c>
      <c r="B4701" t="s">
        <v>96</v>
      </c>
      <c r="C4701" t="s">
        <v>20677</v>
      </c>
      <c r="D4701" t="s">
        <v>21407</v>
      </c>
      <c r="E4701">
        <v>424000</v>
      </c>
      <c r="F4701" t="s">
        <v>1</v>
      </c>
      <c r="G4701" t="s">
        <v>2</v>
      </c>
      <c r="H4701" t="s">
        <v>1531</v>
      </c>
      <c r="I4701" t="s">
        <v>21303</v>
      </c>
      <c r="P4701" t="s">
        <v>1404</v>
      </c>
      <c r="Y4701" t="s">
        <v>22591</v>
      </c>
    </row>
    <row r="4702" spans="1:25" x14ac:dyDescent="0.25">
      <c r="A4702" t="str">
        <f>"1779744413"</f>
        <v>1779744413</v>
      </c>
      <c r="B4702" t="s">
        <v>669</v>
      </c>
      <c r="C4702" t="s">
        <v>1292</v>
      </c>
      <c r="D4702" t="s">
        <v>22592</v>
      </c>
      <c r="E4702">
        <v>424038</v>
      </c>
      <c r="F4702" t="s">
        <v>1</v>
      </c>
      <c r="G4702" t="s">
        <v>2</v>
      </c>
      <c r="H4702" t="s">
        <v>10681</v>
      </c>
      <c r="I4702" t="s">
        <v>22593</v>
      </c>
      <c r="P4702" t="s">
        <v>20</v>
      </c>
      <c r="Y4702" t="s">
        <v>10684</v>
      </c>
    </row>
    <row r="4703" spans="1:25" x14ac:dyDescent="0.25">
      <c r="A4703" t="str">
        <f>"1779818916"</f>
        <v>1779818916</v>
      </c>
      <c r="B4703" t="s">
        <v>574</v>
      </c>
      <c r="C4703" t="s">
        <v>8436</v>
      </c>
      <c r="D4703" t="s">
        <v>22106</v>
      </c>
      <c r="E4703">
        <v>424003</v>
      </c>
      <c r="F4703" t="s">
        <v>1</v>
      </c>
      <c r="G4703" t="s">
        <v>2</v>
      </c>
      <c r="H4703" t="s">
        <v>22594</v>
      </c>
      <c r="P4703" t="s">
        <v>10285</v>
      </c>
      <c r="Y4703" t="s">
        <v>22595</v>
      </c>
    </row>
    <row r="4704" spans="1:25" x14ac:dyDescent="0.25">
      <c r="A4704" t="str">
        <f>"1780089546"</f>
        <v>1780089546</v>
      </c>
      <c r="B4704" t="s">
        <v>1222</v>
      </c>
      <c r="C4704" t="s">
        <v>2114</v>
      </c>
      <c r="D4704" t="s">
        <v>22596</v>
      </c>
      <c r="E4704">
        <v>424007</v>
      </c>
      <c r="F4704" t="s">
        <v>1</v>
      </c>
      <c r="G4704" t="s">
        <v>2</v>
      </c>
      <c r="H4704" t="s">
        <v>1566</v>
      </c>
      <c r="J4704" t="s">
        <v>22597</v>
      </c>
      <c r="L4704" t="s">
        <v>22598</v>
      </c>
      <c r="M4704" t="s">
        <v>22599</v>
      </c>
      <c r="P4704" t="s">
        <v>133</v>
      </c>
      <c r="Q4704" t="s">
        <v>22600</v>
      </c>
      <c r="V4704" t="s">
        <v>22601</v>
      </c>
      <c r="Y4704" t="s">
        <v>22602</v>
      </c>
    </row>
    <row r="4705" spans="1:25" x14ac:dyDescent="0.25">
      <c r="A4705" t="str">
        <f>"1780160317"</f>
        <v>1780160317</v>
      </c>
      <c r="B4705" t="s">
        <v>3573</v>
      </c>
      <c r="C4705" t="s">
        <v>3644</v>
      </c>
      <c r="D4705" t="s">
        <v>22603</v>
      </c>
      <c r="E4705">
        <v>424000</v>
      </c>
      <c r="F4705" t="s">
        <v>1</v>
      </c>
      <c r="G4705" t="s">
        <v>2</v>
      </c>
      <c r="H4705" t="s">
        <v>1531</v>
      </c>
      <c r="I4705" t="s">
        <v>15622</v>
      </c>
      <c r="Y4705" t="s">
        <v>4373</v>
      </c>
    </row>
    <row r="4706" spans="1:25" x14ac:dyDescent="0.25">
      <c r="A4706" t="str">
        <f>"1780650641"</f>
        <v>1780650641</v>
      </c>
      <c r="B4706" t="s">
        <v>319</v>
      </c>
      <c r="C4706" t="s">
        <v>320</v>
      </c>
      <c r="D4706" t="s">
        <v>13026</v>
      </c>
      <c r="E4706">
        <v>424031</v>
      </c>
      <c r="F4706" t="s">
        <v>1</v>
      </c>
      <c r="G4706" t="s">
        <v>2</v>
      </c>
      <c r="H4706" t="s">
        <v>16397</v>
      </c>
      <c r="P4706" t="s">
        <v>22604</v>
      </c>
      <c r="Y4706" t="s">
        <v>22605</v>
      </c>
    </row>
    <row r="4707" spans="1:25" x14ac:dyDescent="0.25">
      <c r="A4707" t="str">
        <f>"1781053256"</f>
        <v>1781053256</v>
      </c>
      <c r="B4707" t="s">
        <v>224</v>
      </c>
      <c r="C4707" t="s">
        <v>14572</v>
      </c>
      <c r="D4707" t="s">
        <v>22606</v>
      </c>
      <c r="F4707" t="s">
        <v>1</v>
      </c>
      <c r="G4707" t="s">
        <v>2</v>
      </c>
      <c r="H4707" t="s">
        <v>3696</v>
      </c>
      <c r="I4707" t="s">
        <v>22607</v>
      </c>
      <c r="L4707" t="s">
        <v>22608</v>
      </c>
      <c r="M4707" t="s">
        <v>22609</v>
      </c>
      <c r="P4707" t="s">
        <v>280</v>
      </c>
      <c r="Y4707" t="s">
        <v>11714</v>
      </c>
    </row>
    <row r="4708" spans="1:25" x14ac:dyDescent="0.25">
      <c r="A4708" t="str">
        <f>"1781079188"</f>
        <v>1781079188</v>
      </c>
      <c r="B4708" t="s">
        <v>96</v>
      </c>
      <c r="C4708" t="s">
        <v>8578</v>
      </c>
      <c r="D4708" t="s">
        <v>22610</v>
      </c>
      <c r="E4708">
        <v>424918</v>
      </c>
      <c r="F4708" t="s">
        <v>1</v>
      </c>
      <c r="G4708" t="s">
        <v>2</v>
      </c>
      <c r="H4708" t="s">
        <v>629</v>
      </c>
      <c r="I4708" t="s">
        <v>22611</v>
      </c>
      <c r="L4708" t="s">
        <v>22612</v>
      </c>
      <c r="M4708" t="s">
        <v>22613</v>
      </c>
      <c r="P4708" t="s">
        <v>630</v>
      </c>
      <c r="Y4708" t="s">
        <v>5594</v>
      </c>
    </row>
    <row r="4709" spans="1:25" x14ac:dyDescent="0.25">
      <c r="A4709" t="str">
        <f>"1781218928"</f>
        <v>1781218928</v>
      </c>
      <c r="B4709" t="s">
        <v>348</v>
      </c>
      <c r="C4709" t="s">
        <v>14131</v>
      </c>
      <c r="D4709" t="s">
        <v>22614</v>
      </c>
      <c r="E4709">
        <v>424002</v>
      </c>
      <c r="F4709" t="s">
        <v>1</v>
      </c>
      <c r="G4709" t="s">
        <v>2</v>
      </c>
      <c r="H4709" t="s">
        <v>2260</v>
      </c>
      <c r="I4709" t="s">
        <v>22615</v>
      </c>
      <c r="P4709" t="s">
        <v>2731</v>
      </c>
      <c r="Y4709" t="s">
        <v>22616</v>
      </c>
    </row>
    <row r="4710" spans="1:25" x14ac:dyDescent="0.25">
      <c r="A4710" t="str">
        <f>"1781467027"</f>
        <v>1781467027</v>
      </c>
      <c r="B4710" t="s">
        <v>930</v>
      </c>
      <c r="C4710" t="s">
        <v>22039</v>
      </c>
      <c r="D4710" t="s">
        <v>22617</v>
      </c>
      <c r="E4710">
        <v>424006</v>
      </c>
      <c r="F4710" t="s">
        <v>1</v>
      </c>
      <c r="G4710" t="s">
        <v>2</v>
      </c>
      <c r="H4710" t="s">
        <v>22618</v>
      </c>
      <c r="I4710" t="s">
        <v>22619</v>
      </c>
      <c r="L4710" t="s">
        <v>22620</v>
      </c>
      <c r="M4710" t="s">
        <v>22621</v>
      </c>
      <c r="P4710" t="s">
        <v>1000</v>
      </c>
      <c r="Y4710" t="s">
        <v>22622</v>
      </c>
    </row>
    <row r="4711" spans="1:25" x14ac:dyDescent="0.25">
      <c r="A4711" t="str">
        <f>"1781795801"</f>
        <v>1781795801</v>
      </c>
      <c r="B4711" t="s">
        <v>88</v>
      </c>
      <c r="C4711" t="s">
        <v>4246</v>
      </c>
      <c r="D4711" t="s">
        <v>22623</v>
      </c>
      <c r="E4711">
        <v>424002</v>
      </c>
      <c r="F4711" t="s">
        <v>1</v>
      </c>
      <c r="G4711" t="s">
        <v>2</v>
      </c>
      <c r="H4711" t="s">
        <v>16252</v>
      </c>
      <c r="I4711" t="s">
        <v>22624</v>
      </c>
      <c r="J4711" t="s">
        <v>22625</v>
      </c>
      <c r="P4711" t="s">
        <v>390</v>
      </c>
      <c r="Y4711" t="s">
        <v>16254</v>
      </c>
    </row>
    <row r="4712" spans="1:25" x14ac:dyDescent="0.25">
      <c r="A4712" t="str">
        <f>"1781832460"</f>
        <v>1781832460</v>
      </c>
      <c r="B4712" t="s">
        <v>1222</v>
      </c>
      <c r="C4712" t="s">
        <v>22628</v>
      </c>
      <c r="D4712" t="s">
        <v>22058</v>
      </c>
      <c r="E4712">
        <v>424003</v>
      </c>
      <c r="F4712" t="s">
        <v>1</v>
      </c>
      <c r="G4712" t="s">
        <v>2</v>
      </c>
      <c r="H4712" t="s">
        <v>3158</v>
      </c>
      <c r="J4712" t="s">
        <v>22626</v>
      </c>
      <c r="L4712" t="s">
        <v>22627</v>
      </c>
      <c r="P4712" t="s">
        <v>1760</v>
      </c>
      <c r="Q4712" t="s">
        <v>22629</v>
      </c>
      <c r="Y4712" t="s">
        <v>6780</v>
      </c>
    </row>
    <row r="4713" spans="1:25" x14ac:dyDescent="0.25">
      <c r="A4713" t="str">
        <f>"1782164581"</f>
        <v>1782164581</v>
      </c>
      <c r="B4713" t="s">
        <v>1053</v>
      </c>
      <c r="C4713" t="s">
        <v>1927</v>
      </c>
      <c r="D4713" t="s">
        <v>22630</v>
      </c>
      <c r="E4713">
        <v>424038</v>
      </c>
      <c r="F4713" t="s">
        <v>1</v>
      </c>
      <c r="G4713" t="s">
        <v>2</v>
      </c>
      <c r="H4713" t="s">
        <v>10681</v>
      </c>
      <c r="I4713" t="s">
        <v>22631</v>
      </c>
      <c r="P4713" t="s">
        <v>20</v>
      </c>
      <c r="Y4713" t="s">
        <v>10684</v>
      </c>
    </row>
    <row r="4714" spans="1:25" x14ac:dyDescent="0.25">
      <c r="A4714" t="str">
        <f>"1782428350"</f>
        <v>1782428350</v>
      </c>
      <c r="B4714" t="s">
        <v>456</v>
      </c>
      <c r="C4714" t="s">
        <v>22636</v>
      </c>
      <c r="D4714" t="s">
        <v>22632</v>
      </c>
      <c r="E4714">
        <v>424006</v>
      </c>
      <c r="F4714" t="s">
        <v>1</v>
      </c>
      <c r="G4714" t="s">
        <v>2</v>
      </c>
      <c r="H4714" t="s">
        <v>22633</v>
      </c>
      <c r="J4714" t="s">
        <v>22634</v>
      </c>
      <c r="L4714" t="s">
        <v>22635</v>
      </c>
      <c r="P4714" t="s">
        <v>330</v>
      </c>
      <c r="Q4714" t="s">
        <v>22637</v>
      </c>
      <c r="Y4714" t="s">
        <v>22638</v>
      </c>
    </row>
    <row r="4715" spans="1:25" x14ac:dyDescent="0.25">
      <c r="A4715" t="str">
        <f>"1782524684"</f>
        <v>1782524684</v>
      </c>
      <c r="B4715" t="s">
        <v>456</v>
      </c>
      <c r="C4715" t="s">
        <v>22645</v>
      </c>
      <c r="D4715" t="s">
        <v>22639</v>
      </c>
      <c r="E4715">
        <v>424019</v>
      </c>
      <c r="F4715" t="s">
        <v>1</v>
      </c>
      <c r="G4715" t="s">
        <v>2</v>
      </c>
      <c r="H4715" t="s">
        <v>22640</v>
      </c>
      <c r="I4715" t="s">
        <v>22641</v>
      </c>
      <c r="J4715" t="s">
        <v>22642</v>
      </c>
      <c r="L4715" t="s">
        <v>22643</v>
      </c>
      <c r="M4715" t="s">
        <v>22644</v>
      </c>
      <c r="P4715" t="s">
        <v>8133</v>
      </c>
      <c r="Q4715" t="s">
        <v>22646</v>
      </c>
      <c r="R4715" t="s">
        <v>22647</v>
      </c>
      <c r="Y4715" t="s">
        <v>22648</v>
      </c>
    </row>
    <row r="4716" spans="1:25" x14ac:dyDescent="0.25">
      <c r="A4716" t="str">
        <f>"1782848707"</f>
        <v>1782848707</v>
      </c>
      <c r="B4716" t="s">
        <v>18</v>
      </c>
      <c r="C4716" t="s">
        <v>4522</v>
      </c>
      <c r="D4716" t="s">
        <v>22649</v>
      </c>
      <c r="E4716">
        <v>424006</v>
      </c>
      <c r="F4716" t="s">
        <v>1</v>
      </c>
      <c r="G4716" t="s">
        <v>2</v>
      </c>
      <c r="H4716" t="s">
        <v>22650</v>
      </c>
      <c r="I4716" t="s">
        <v>22651</v>
      </c>
      <c r="J4716" t="s">
        <v>22652</v>
      </c>
      <c r="P4716" t="s">
        <v>4543</v>
      </c>
      <c r="Y4716" t="s">
        <v>22653</v>
      </c>
    </row>
    <row r="4717" spans="1:25" x14ac:dyDescent="0.25">
      <c r="A4717" t="str">
        <f>"1783092222"</f>
        <v>1783092222</v>
      </c>
      <c r="B4717" t="s">
        <v>1343</v>
      </c>
      <c r="C4717" t="s">
        <v>22656</v>
      </c>
      <c r="D4717" t="s">
        <v>22654</v>
      </c>
      <c r="E4717">
        <v>424004</v>
      </c>
      <c r="F4717" t="s">
        <v>1</v>
      </c>
      <c r="G4717" t="s">
        <v>2</v>
      </c>
      <c r="H4717" t="s">
        <v>3817</v>
      </c>
      <c r="J4717" t="s">
        <v>22655</v>
      </c>
      <c r="P4717" t="s">
        <v>11204</v>
      </c>
      <c r="Y4717" t="s">
        <v>22657</v>
      </c>
    </row>
    <row r="4718" spans="1:25" x14ac:dyDescent="0.25">
      <c r="A4718" t="str">
        <f>"1783236744"</f>
        <v>1783236744</v>
      </c>
      <c r="B4718" t="s">
        <v>397</v>
      </c>
      <c r="C4718" t="s">
        <v>11502</v>
      </c>
      <c r="D4718" t="s">
        <v>22658</v>
      </c>
      <c r="E4718">
        <v>424038</v>
      </c>
      <c r="F4718" t="s">
        <v>1</v>
      </c>
      <c r="G4718" t="s">
        <v>2</v>
      </c>
      <c r="H4718" t="s">
        <v>192</v>
      </c>
      <c r="J4718" t="s">
        <v>22659</v>
      </c>
      <c r="P4718" t="s">
        <v>7390</v>
      </c>
      <c r="Q4718" t="s">
        <v>22660</v>
      </c>
      <c r="Y4718" t="s">
        <v>198</v>
      </c>
    </row>
    <row r="4719" spans="1:25" x14ac:dyDescent="0.25">
      <c r="A4719" t="str">
        <f>"1783494039"</f>
        <v>1783494039</v>
      </c>
      <c r="B4719" t="s">
        <v>290</v>
      </c>
      <c r="C4719" t="s">
        <v>290</v>
      </c>
      <c r="D4719" t="s">
        <v>22661</v>
      </c>
      <c r="E4719">
        <v>424006</v>
      </c>
      <c r="F4719" t="s">
        <v>1</v>
      </c>
      <c r="G4719" t="s">
        <v>2</v>
      </c>
      <c r="H4719" t="s">
        <v>10216</v>
      </c>
      <c r="L4719" t="s">
        <v>22662</v>
      </c>
      <c r="M4719" t="s">
        <v>22663</v>
      </c>
      <c r="P4719" t="s">
        <v>7436</v>
      </c>
      <c r="Y4719" t="s">
        <v>22664</v>
      </c>
    </row>
    <row r="4720" spans="1:25" x14ac:dyDescent="0.25">
      <c r="A4720" t="str">
        <f>"1783507897"</f>
        <v>1783507897</v>
      </c>
      <c r="B4720" t="s">
        <v>110</v>
      </c>
      <c r="C4720" t="s">
        <v>22667</v>
      </c>
      <c r="D4720" t="s">
        <v>22665</v>
      </c>
      <c r="E4720">
        <v>424004</v>
      </c>
      <c r="F4720" t="s">
        <v>1</v>
      </c>
      <c r="G4720" t="s">
        <v>2</v>
      </c>
      <c r="H4720" t="s">
        <v>1590</v>
      </c>
      <c r="I4720" t="s">
        <v>22666</v>
      </c>
      <c r="P4720" t="s">
        <v>280</v>
      </c>
      <c r="Y4720" t="s">
        <v>1593</v>
      </c>
    </row>
    <row r="4721" spans="1:25" x14ac:dyDescent="0.25">
      <c r="A4721" t="str">
        <f>"1783585178"</f>
        <v>1783585178</v>
      </c>
      <c r="B4721" t="s">
        <v>930</v>
      </c>
      <c r="C4721" t="s">
        <v>6070</v>
      </c>
      <c r="D4721" t="s">
        <v>20039</v>
      </c>
      <c r="E4721">
        <v>424004</v>
      </c>
      <c r="F4721" t="s">
        <v>1</v>
      </c>
      <c r="G4721" t="s">
        <v>2</v>
      </c>
      <c r="H4721" t="s">
        <v>22668</v>
      </c>
      <c r="J4721" t="s">
        <v>22669</v>
      </c>
      <c r="M4721" t="s">
        <v>22670</v>
      </c>
      <c r="P4721" t="s">
        <v>330</v>
      </c>
      <c r="Y4721" t="s">
        <v>22671</v>
      </c>
    </row>
    <row r="4722" spans="1:25" x14ac:dyDescent="0.25">
      <c r="A4722" t="str">
        <f>"1783722737"</f>
        <v>1783722737</v>
      </c>
      <c r="B4722" t="s">
        <v>703</v>
      </c>
      <c r="C4722" t="s">
        <v>22673</v>
      </c>
      <c r="D4722" t="s">
        <v>10670</v>
      </c>
      <c r="F4722" t="s">
        <v>1</v>
      </c>
      <c r="G4722" t="s">
        <v>2</v>
      </c>
      <c r="H4722" t="s">
        <v>21972</v>
      </c>
      <c r="I4722" t="s">
        <v>22672</v>
      </c>
      <c r="P4722" t="s">
        <v>216</v>
      </c>
      <c r="Y4722" t="s">
        <v>21974</v>
      </c>
    </row>
    <row r="4723" spans="1:25" x14ac:dyDescent="0.25">
      <c r="A4723" t="str">
        <f>"1784113331"</f>
        <v>1784113331</v>
      </c>
      <c r="B4723" t="s">
        <v>188</v>
      </c>
      <c r="C4723" t="s">
        <v>8311</v>
      </c>
      <c r="D4723" t="s">
        <v>22674</v>
      </c>
      <c r="E4723">
        <v>424918</v>
      </c>
      <c r="F4723" t="s">
        <v>1</v>
      </c>
      <c r="G4723" t="s">
        <v>2</v>
      </c>
      <c r="H4723" t="s">
        <v>629</v>
      </c>
      <c r="I4723" t="s">
        <v>22675</v>
      </c>
      <c r="L4723" t="s">
        <v>22676</v>
      </c>
      <c r="M4723" t="s">
        <v>22677</v>
      </c>
      <c r="P4723" t="s">
        <v>630</v>
      </c>
      <c r="Q4723" t="s">
        <v>22678</v>
      </c>
      <c r="S4723" t="s">
        <v>22679</v>
      </c>
      <c r="T4723" t="s">
        <v>22680</v>
      </c>
      <c r="Y4723" t="s">
        <v>22681</v>
      </c>
    </row>
    <row r="4724" spans="1:25" x14ac:dyDescent="0.25">
      <c r="A4724" t="str">
        <f>"1784246664"</f>
        <v>1784246664</v>
      </c>
      <c r="B4724" t="s">
        <v>430</v>
      </c>
      <c r="C4724" t="s">
        <v>22684</v>
      </c>
      <c r="D4724" t="s">
        <v>22682</v>
      </c>
      <c r="E4724">
        <v>424918</v>
      </c>
      <c r="F4724" t="s">
        <v>1</v>
      </c>
      <c r="G4724" t="s">
        <v>2</v>
      </c>
      <c r="H4724" t="s">
        <v>629</v>
      </c>
      <c r="J4724" t="s">
        <v>22683</v>
      </c>
      <c r="P4724" t="s">
        <v>630</v>
      </c>
      <c r="Y4724" t="s">
        <v>1744</v>
      </c>
    </row>
    <row r="4725" spans="1:25" x14ac:dyDescent="0.25">
      <c r="A4725" t="str">
        <f>"1784278748"</f>
        <v>1784278748</v>
      </c>
      <c r="B4725" t="s">
        <v>151</v>
      </c>
      <c r="C4725" t="s">
        <v>881</v>
      </c>
      <c r="D4725" t="s">
        <v>22685</v>
      </c>
      <c r="F4725" t="s">
        <v>1</v>
      </c>
      <c r="G4725" t="s">
        <v>2</v>
      </c>
      <c r="H4725" t="s">
        <v>3984</v>
      </c>
      <c r="I4725" t="s">
        <v>22686</v>
      </c>
      <c r="J4725" t="s">
        <v>22687</v>
      </c>
      <c r="L4725" t="s">
        <v>22688</v>
      </c>
      <c r="M4725" t="s">
        <v>22689</v>
      </c>
      <c r="P4725" t="s">
        <v>5084</v>
      </c>
      <c r="Q4725" t="s">
        <v>12812</v>
      </c>
      <c r="Y4725" t="s">
        <v>4409</v>
      </c>
    </row>
    <row r="4726" spans="1:25" x14ac:dyDescent="0.25">
      <c r="A4726" t="str">
        <f>"1784391924"</f>
        <v>1784391924</v>
      </c>
      <c r="B4726" t="s">
        <v>151</v>
      </c>
      <c r="C4726" t="s">
        <v>4240</v>
      </c>
      <c r="D4726" t="s">
        <v>4240</v>
      </c>
      <c r="E4726">
        <v>424005</v>
      </c>
      <c r="F4726" t="s">
        <v>1</v>
      </c>
      <c r="G4726" t="s">
        <v>2</v>
      </c>
      <c r="H4726" t="s">
        <v>10957</v>
      </c>
      <c r="P4726" t="s">
        <v>152</v>
      </c>
      <c r="Y4726" t="s">
        <v>10962</v>
      </c>
    </row>
    <row r="4727" spans="1:25" x14ac:dyDescent="0.25">
      <c r="A4727" t="str">
        <f>"1784539625"</f>
        <v>1784539625</v>
      </c>
      <c r="B4727" t="s">
        <v>397</v>
      </c>
      <c r="C4727" t="s">
        <v>22694</v>
      </c>
      <c r="D4727" t="s">
        <v>22690</v>
      </c>
      <c r="E4727">
        <v>424004</v>
      </c>
      <c r="F4727" t="s">
        <v>1</v>
      </c>
      <c r="G4727" t="s">
        <v>2</v>
      </c>
      <c r="H4727" t="s">
        <v>351</v>
      </c>
      <c r="I4727" t="s">
        <v>21585</v>
      </c>
      <c r="J4727" t="s">
        <v>22691</v>
      </c>
      <c r="L4727" t="s">
        <v>22692</v>
      </c>
      <c r="M4727" t="s">
        <v>22693</v>
      </c>
      <c r="P4727" t="s">
        <v>330</v>
      </c>
      <c r="Y4727" t="s">
        <v>354</v>
      </c>
    </row>
    <row r="4728" spans="1:25" x14ac:dyDescent="0.25">
      <c r="A4728" t="str">
        <f>"1784551116"</f>
        <v>1784551116</v>
      </c>
      <c r="B4728" t="s">
        <v>687</v>
      </c>
      <c r="C4728" t="s">
        <v>22698</v>
      </c>
      <c r="D4728" t="s">
        <v>22695</v>
      </c>
      <c r="E4728">
        <v>424007</v>
      </c>
      <c r="F4728" t="s">
        <v>1</v>
      </c>
      <c r="G4728" t="s">
        <v>2</v>
      </c>
      <c r="H4728" t="s">
        <v>819</v>
      </c>
      <c r="I4728" t="s">
        <v>9714</v>
      </c>
      <c r="J4728" t="s">
        <v>22696</v>
      </c>
      <c r="L4728" t="s">
        <v>22697</v>
      </c>
      <c r="P4728" t="s">
        <v>2951</v>
      </c>
      <c r="Q4728" t="s">
        <v>22699</v>
      </c>
      <c r="Y4728" t="s">
        <v>821</v>
      </c>
    </row>
    <row r="4729" spans="1:25" x14ac:dyDescent="0.25">
      <c r="A4729" t="str">
        <f>"1784555976"</f>
        <v>1784555976</v>
      </c>
      <c r="B4729" t="s">
        <v>574</v>
      </c>
      <c r="C4729" t="s">
        <v>8436</v>
      </c>
      <c r="D4729" t="s">
        <v>22700</v>
      </c>
      <c r="F4729" t="s">
        <v>1</v>
      </c>
      <c r="G4729" t="s">
        <v>2</v>
      </c>
      <c r="H4729" t="s">
        <v>4315</v>
      </c>
      <c r="I4729" t="s">
        <v>22701</v>
      </c>
      <c r="L4729" t="s">
        <v>22702</v>
      </c>
      <c r="P4729" t="s">
        <v>2738</v>
      </c>
      <c r="Q4729" t="s">
        <v>22703</v>
      </c>
      <c r="Y4729" t="s">
        <v>22704</v>
      </c>
    </row>
    <row r="4730" spans="1:25" x14ac:dyDescent="0.25">
      <c r="A4730" t="str">
        <f>"1784572446"</f>
        <v>1784572446</v>
      </c>
      <c r="B4730" t="s">
        <v>80</v>
      </c>
      <c r="C4730" t="s">
        <v>3295</v>
      </c>
      <c r="D4730" t="s">
        <v>20951</v>
      </c>
      <c r="E4730">
        <v>424007</v>
      </c>
      <c r="F4730" t="s">
        <v>1</v>
      </c>
      <c r="G4730" t="s">
        <v>2</v>
      </c>
      <c r="H4730" t="s">
        <v>22705</v>
      </c>
      <c r="I4730" t="s">
        <v>22706</v>
      </c>
      <c r="P4730" t="s">
        <v>22707</v>
      </c>
      <c r="Y4730" t="s">
        <v>22708</v>
      </c>
    </row>
    <row r="4731" spans="1:25" x14ac:dyDescent="0.25">
      <c r="A4731" t="str">
        <f>"1784595945"</f>
        <v>1784595945</v>
      </c>
      <c r="B4731" t="s">
        <v>456</v>
      </c>
      <c r="C4731" t="s">
        <v>2773</v>
      </c>
      <c r="D4731" t="s">
        <v>22709</v>
      </c>
      <c r="E4731">
        <v>424004</v>
      </c>
      <c r="F4731" t="s">
        <v>1</v>
      </c>
      <c r="G4731" t="s">
        <v>2</v>
      </c>
      <c r="H4731" t="s">
        <v>351</v>
      </c>
      <c r="J4731" t="s">
        <v>22710</v>
      </c>
      <c r="L4731" t="s">
        <v>22711</v>
      </c>
      <c r="M4731" t="s">
        <v>22712</v>
      </c>
      <c r="P4731" t="s">
        <v>27</v>
      </c>
      <c r="Y4731" t="s">
        <v>22713</v>
      </c>
    </row>
    <row r="4732" spans="1:25" x14ac:dyDescent="0.25">
      <c r="A4732" t="str">
        <f>"1784610742"</f>
        <v>1784610742</v>
      </c>
      <c r="B4732" t="s">
        <v>1053</v>
      </c>
      <c r="C4732" t="s">
        <v>22716</v>
      </c>
      <c r="D4732" t="s">
        <v>22714</v>
      </c>
      <c r="F4732" t="s">
        <v>1</v>
      </c>
      <c r="G4732" t="s">
        <v>2</v>
      </c>
      <c r="H4732" t="s">
        <v>3984</v>
      </c>
      <c r="J4732" t="s">
        <v>22715</v>
      </c>
      <c r="P4732" t="s">
        <v>27</v>
      </c>
      <c r="Y4732" t="s">
        <v>4409</v>
      </c>
    </row>
    <row r="4733" spans="1:25" x14ac:dyDescent="0.25">
      <c r="A4733" t="str">
        <f>"1784967682"</f>
        <v>1784967682</v>
      </c>
      <c r="B4733" t="s">
        <v>888</v>
      </c>
      <c r="C4733" t="s">
        <v>4712</v>
      </c>
      <c r="D4733" t="s">
        <v>22717</v>
      </c>
      <c r="E4733">
        <v>424031</v>
      </c>
      <c r="F4733" t="s">
        <v>1</v>
      </c>
      <c r="G4733" t="s">
        <v>2</v>
      </c>
      <c r="H4733" t="s">
        <v>4622</v>
      </c>
      <c r="I4733" t="s">
        <v>22718</v>
      </c>
      <c r="P4733" t="s">
        <v>1027</v>
      </c>
      <c r="Y4733" t="s">
        <v>7838</v>
      </c>
    </row>
    <row r="4734" spans="1:25" x14ac:dyDescent="0.25">
      <c r="A4734" t="str">
        <f>"1785579700"</f>
        <v>1785579700</v>
      </c>
      <c r="B4734" t="s">
        <v>574</v>
      </c>
      <c r="C4734" t="s">
        <v>646</v>
      </c>
      <c r="D4734" t="s">
        <v>15232</v>
      </c>
      <c r="E4734">
        <v>424031</v>
      </c>
      <c r="F4734" t="s">
        <v>1</v>
      </c>
      <c r="G4734" t="s">
        <v>2</v>
      </c>
      <c r="H4734" t="s">
        <v>19611</v>
      </c>
      <c r="I4734" t="s">
        <v>22719</v>
      </c>
      <c r="P4734" t="s">
        <v>1505</v>
      </c>
      <c r="Y4734" t="s">
        <v>22720</v>
      </c>
    </row>
    <row r="4735" spans="1:25" x14ac:dyDescent="0.25">
      <c r="A4735" t="str">
        <f>"1785933026"</f>
        <v>1785933026</v>
      </c>
      <c r="B4735" t="s">
        <v>18</v>
      </c>
      <c r="C4735" t="s">
        <v>22725</v>
      </c>
      <c r="D4735" t="s">
        <v>22721</v>
      </c>
      <c r="E4735">
        <v>424004</v>
      </c>
      <c r="F4735" t="s">
        <v>1</v>
      </c>
      <c r="G4735" t="s">
        <v>2</v>
      </c>
      <c r="H4735" t="s">
        <v>4844</v>
      </c>
      <c r="J4735" t="s">
        <v>22722</v>
      </c>
      <c r="L4735" t="s">
        <v>22723</v>
      </c>
      <c r="M4735" t="s">
        <v>22724</v>
      </c>
      <c r="P4735" t="s">
        <v>22114</v>
      </c>
      <c r="Q4735" t="s">
        <v>22726</v>
      </c>
      <c r="Y4735" t="s">
        <v>22727</v>
      </c>
    </row>
    <row r="4736" spans="1:25" x14ac:dyDescent="0.25">
      <c r="A4736" t="str">
        <f>"1785976248"</f>
        <v>1785976248</v>
      </c>
      <c r="B4736" t="s">
        <v>290</v>
      </c>
      <c r="C4736" t="s">
        <v>290</v>
      </c>
      <c r="D4736" t="s">
        <v>22728</v>
      </c>
      <c r="E4736">
        <v>424000</v>
      </c>
      <c r="F4736" t="s">
        <v>1</v>
      </c>
      <c r="G4736" t="s">
        <v>2</v>
      </c>
      <c r="H4736" t="s">
        <v>4021</v>
      </c>
      <c r="I4736" t="s">
        <v>22729</v>
      </c>
      <c r="P4736" t="s">
        <v>7816</v>
      </c>
      <c r="Y4736" t="s">
        <v>22730</v>
      </c>
    </row>
    <row r="4737" spans="1:25" x14ac:dyDescent="0.25">
      <c r="A4737" t="str">
        <f>"1786660114"</f>
        <v>1786660114</v>
      </c>
      <c r="B4737" t="s">
        <v>352</v>
      </c>
      <c r="C4737" t="s">
        <v>15594</v>
      </c>
      <c r="D4737" t="s">
        <v>22731</v>
      </c>
      <c r="E4737">
        <v>424039</v>
      </c>
      <c r="F4737" t="s">
        <v>1</v>
      </c>
      <c r="G4737" t="s">
        <v>2</v>
      </c>
      <c r="H4737" t="s">
        <v>17375</v>
      </c>
      <c r="I4737" t="s">
        <v>22732</v>
      </c>
      <c r="J4737" t="s">
        <v>22733</v>
      </c>
      <c r="P4737" t="s">
        <v>22734</v>
      </c>
      <c r="Q4737" t="s">
        <v>22735</v>
      </c>
      <c r="Y4737" t="s">
        <v>20589</v>
      </c>
    </row>
    <row r="4738" spans="1:25" x14ac:dyDescent="0.25">
      <c r="A4738" t="str">
        <f>"1786948356"</f>
        <v>1786948356</v>
      </c>
      <c r="B4738" t="s">
        <v>32</v>
      </c>
      <c r="C4738" t="s">
        <v>182</v>
      </c>
      <c r="D4738" t="s">
        <v>22736</v>
      </c>
      <c r="E4738">
        <v>424000</v>
      </c>
      <c r="F4738" t="s">
        <v>1</v>
      </c>
      <c r="G4738" t="s">
        <v>2</v>
      </c>
      <c r="H4738" t="s">
        <v>5615</v>
      </c>
      <c r="I4738" t="s">
        <v>22737</v>
      </c>
      <c r="J4738" t="s">
        <v>22738</v>
      </c>
      <c r="P4738" t="s">
        <v>34</v>
      </c>
      <c r="V4738" t="s">
        <v>22739</v>
      </c>
      <c r="Y4738" t="s">
        <v>22740</v>
      </c>
    </row>
    <row r="4739" spans="1:25" x14ac:dyDescent="0.25">
      <c r="A4739" t="str">
        <f>"1786988816"</f>
        <v>1786988816</v>
      </c>
      <c r="B4739" t="s">
        <v>18</v>
      </c>
      <c r="C4739" t="s">
        <v>22745</v>
      </c>
      <c r="D4739" t="s">
        <v>22741</v>
      </c>
      <c r="E4739">
        <v>424004</v>
      </c>
      <c r="F4739" t="s">
        <v>1</v>
      </c>
      <c r="G4739" t="s">
        <v>2</v>
      </c>
      <c r="H4739" t="s">
        <v>3489</v>
      </c>
      <c r="J4739" t="s">
        <v>22742</v>
      </c>
      <c r="L4739" t="s">
        <v>22743</v>
      </c>
      <c r="M4739" t="s">
        <v>22744</v>
      </c>
      <c r="P4739" t="s">
        <v>27</v>
      </c>
      <c r="Y4739" t="s">
        <v>8402</v>
      </c>
    </row>
    <row r="4740" spans="1:25" x14ac:dyDescent="0.25">
      <c r="A4740" t="str">
        <f>"1787609030"</f>
        <v>1787609030</v>
      </c>
      <c r="B4740" t="s">
        <v>3652</v>
      </c>
      <c r="C4740" t="s">
        <v>22750</v>
      </c>
      <c r="D4740" t="s">
        <v>22746</v>
      </c>
      <c r="E4740">
        <v>424007</v>
      </c>
      <c r="F4740" t="s">
        <v>1</v>
      </c>
      <c r="G4740" t="s">
        <v>2</v>
      </c>
      <c r="H4740" t="s">
        <v>10252</v>
      </c>
      <c r="I4740" t="s">
        <v>22747</v>
      </c>
      <c r="L4740" t="s">
        <v>22748</v>
      </c>
      <c r="M4740" t="s">
        <v>22749</v>
      </c>
      <c r="P4740" t="s">
        <v>3938</v>
      </c>
      <c r="Q4740" t="s">
        <v>22751</v>
      </c>
      <c r="Y4740" t="s">
        <v>10258</v>
      </c>
    </row>
    <row r="4741" spans="1:25" x14ac:dyDescent="0.25">
      <c r="A4741" t="str">
        <f>"1787870439"</f>
        <v>1787870439</v>
      </c>
      <c r="B4741" t="s">
        <v>930</v>
      </c>
      <c r="C4741" t="s">
        <v>6070</v>
      </c>
      <c r="D4741" t="s">
        <v>22752</v>
      </c>
      <c r="E4741">
        <v>424003</v>
      </c>
      <c r="F4741" t="s">
        <v>1</v>
      </c>
      <c r="G4741" t="s">
        <v>2</v>
      </c>
      <c r="H4741" t="s">
        <v>22753</v>
      </c>
      <c r="J4741" t="s">
        <v>22754</v>
      </c>
      <c r="M4741" t="s">
        <v>22755</v>
      </c>
      <c r="P4741" t="s">
        <v>330</v>
      </c>
      <c r="Q4741" t="s">
        <v>22756</v>
      </c>
      <c r="Y4741" t="s">
        <v>22757</v>
      </c>
    </row>
    <row r="4742" spans="1:25" x14ac:dyDescent="0.25">
      <c r="A4742" t="str">
        <f>"1787981057"</f>
        <v>1787981057</v>
      </c>
      <c r="B4742" t="s">
        <v>348</v>
      </c>
      <c r="C4742" t="s">
        <v>7354</v>
      </c>
      <c r="D4742" t="s">
        <v>348</v>
      </c>
      <c r="E4742">
        <v>424019</v>
      </c>
      <c r="F4742" t="s">
        <v>1</v>
      </c>
      <c r="G4742" t="s">
        <v>2</v>
      </c>
      <c r="H4742" t="s">
        <v>15506</v>
      </c>
      <c r="J4742" t="s">
        <v>22758</v>
      </c>
      <c r="L4742" t="s">
        <v>1952</v>
      </c>
      <c r="M4742" t="s">
        <v>5244</v>
      </c>
      <c r="P4742" t="s">
        <v>941</v>
      </c>
      <c r="Y4742" t="s">
        <v>22759</v>
      </c>
    </row>
    <row r="4743" spans="1:25" x14ac:dyDescent="0.25">
      <c r="A4743" t="str">
        <f>"1788117535"</f>
        <v>1788117535</v>
      </c>
      <c r="B4743" t="s">
        <v>624</v>
      </c>
      <c r="C4743" t="s">
        <v>22764</v>
      </c>
      <c r="D4743" t="s">
        <v>22760</v>
      </c>
      <c r="E4743">
        <v>424006</v>
      </c>
      <c r="F4743" t="s">
        <v>1</v>
      </c>
      <c r="G4743" t="s">
        <v>2</v>
      </c>
      <c r="H4743" t="s">
        <v>6133</v>
      </c>
      <c r="J4743" t="s">
        <v>22761</v>
      </c>
      <c r="L4743" t="s">
        <v>22762</v>
      </c>
      <c r="M4743" t="s">
        <v>22763</v>
      </c>
      <c r="P4743" t="s">
        <v>1760</v>
      </c>
      <c r="Y4743" t="s">
        <v>22765</v>
      </c>
    </row>
    <row r="4744" spans="1:25" x14ac:dyDescent="0.25">
      <c r="A4744" t="str">
        <f>"1788275077"</f>
        <v>1788275077</v>
      </c>
      <c r="B4744" t="s">
        <v>2846</v>
      </c>
      <c r="C4744" t="s">
        <v>22768</v>
      </c>
      <c r="D4744" t="s">
        <v>22766</v>
      </c>
      <c r="E4744">
        <v>424038</v>
      </c>
      <c r="F4744" t="s">
        <v>1</v>
      </c>
      <c r="G4744" t="s">
        <v>2</v>
      </c>
      <c r="H4744" t="s">
        <v>546</v>
      </c>
      <c r="I4744" t="s">
        <v>21183</v>
      </c>
      <c r="J4744" t="s">
        <v>22767</v>
      </c>
      <c r="P4744" t="s">
        <v>152</v>
      </c>
      <c r="Y4744" t="s">
        <v>549</v>
      </c>
    </row>
    <row r="4745" spans="1:25" x14ac:dyDescent="0.25">
      <c r="A4745" t="str">
        <f>"1788448715"</f>
        <v>1788448715</v>
      </c>
      <c r="B4745" t="s">
        <v>352</v>
      </c>
      <c r="C4745" t="s">
        <v>8051</v>
      </c>
      <c r="D4745" t="s">
        <v>22769</v>
      </c>
      <c r="E4745">
        <v>424002</v>
      </c>
      <c r="F4745" t="s">
        <v>1</v>
      </c>
      <c r="G4745" t="s">
        <v>2</v>
      </c>
      <c r="H4745" t="s">
        <v>6656</v>
      </c>
      <c r="J4745" t="s">
        <v>22770</v>
      </c>
      <c r="P4745" t="s">
        <v>17885</v>
      </c>
      <c r="Y4745" t="s">
        <v>11652</v>
      </c>
    </row>
    <row r="4746" spans="1:25" x14ac:dyDescent="0.25">
      <c r="A4746" t="str">
        <f>"1788515147"</f>
        <v>1788515147</v>
      </c>
      <c r="B4746" t="s">
        <v>25</v>
      </c>
      <c r="C4746" t="s">
        <v>59</v>
      </c>
      <c r="D4746" t="s">
        <v>22771</v>
      </c>
      <c r="F4746" t="s">
        <v>1</v>
      </c>
      <c r="G4746" t="s">
        <v>2</v>
      </c>
      <c r="H4746" t="s">
        <v>3984</v>
      </c>
      <c r="I4746" t="s">
        <v>22772</v>
      </c>
      <c r="J4746" t="s">
        <v>22773</v>
      </c>
      <c r="P4746" t="s">
        <v>1232</v>
      </c>
      <c r="Y4746" t="s">
        <v>4409</v>
      </c>
    </row>
    <row r="4747" spans="1:25" x14ac:dyDescent="0.25">
      <c r="A4747" t="str">
        <f>"1788550541"</f>
        <v>1788550541</v>
      </c>
      <c r="B4747" t="s">
        <v>348</v>
      </c>
      <c r="C4747" t="s">
        <v>1954</v>
      </c>
      <c r="D4747" t="s">
        <v>22774</v>
      </c>
      <c r="F4747" t="s">
        <v>1</v>
      </c>
      <c r="G4747" t="s">
        <v>2</v>
      </c>
      <c r="H4747" t="s">
        <v>138</v>
      </c>
      <c r="J4747" t="s">
        <v>22775</v>
      </c>
      <c r="L4747" t="s">
        <v>21059</v>
      </c>
      <c r="P4747" t="s">
        <v>1855</v>
      </c>
      <c r="Q4747" t="s">
        <v>22776</v>
      </c>
      <c r="Y4747" t="s">
        <v>146</v>
      </c>
    </row>
    <row r="4748" spans="1:25" x14ac:dyDescent="0.25">
      <c r="A4748" t="str">
        <f>"1788702939"</f>
        <v>1788702939</v>
      </c>
      <c r="B4748" t="s">
        <v>482</v>
      </c>
      <c r="C4748" t="s">
        <v>6009</v>
      </c>
      <c r="D4748" t="s">
        <v>22777</v>
      </c>
      <c r="E4748">
        <v>424002</v>
      </c>
      <c r="F4748" t="s">
        <v>1</v>
      </c>
      <c r="G4748" t="s">
        <v>2</v>
      </c>
      <c r="H4748" t="s">
        <v>13141</v>
      </c>
      <c r="I4748" t="s">
        <v>22778</v>
      </c>
      <c r="P4748" t="s">
        <v>330</v>
      </c>
      <c r="Y4748" t="s">
        <v>22779</v>
      </c>
    </row>
    <row r="4749" spans="1:25" x14ac:dyDescent="0.25">
      <c r="A4749" t="str">
        <f>"1789313208"</f>
        <v>1789313208</v>
      </c>
      <c r="B4749" t="s">
        <v>1053</v>
      </c>
      <c r="C4749" t="s">
        <v>1927</v>
      </c>
      <c r="D4749" t="s">
        <v>22780</v>
      </c>
      <c r="E4749">
        <v>424006</v>
      </c>
      <c r="F4749" t="s">
        <v>1</v>
      </c>
      <c r="G4749" t="s">
        <v>2</v>
      </c>
      <c r="H4749" t="s">
        <v>478</v>
      </c>
      <c r="J4749" t="s">
        <v>22781</v>
      </c>
      <c r="P4749" t="s">
        <v>280</v>
      </c>
      <c r="Y4749" t="s">
        <v>22782</v>
      </c>
    </row>
    <row r="4750" spans="1:25" x14ac:dyDescent="0.25">
      <c r="A4750" t="str">
        <f>"1789424410"</f>
        <v>1789424410</v>
      </c>
      <c r="B4750" t="s">
        <v>1573</v>
      </c>
      <c r="C4750" t="s">
        <v>22788</v>
      </c>
      <c r="D4750" t="s">
        <v>22783</v>
      </c>
      <c r="E4750">
        <v>424032</v>
      </c>
      <c r="F4750" t="s">
        <v>1</v>
      </c>
      <c r="G4750" t="s">
        <v>2</v>
      </c>
      <c r="H4750" t="s">
        <v>11296</v>
      </c>
      <c r="I4750" t="s">
        <v>22784</v>
      </c>
      <c r="J4750" t="s">
        <v>22785</v>
      </c>
      <c r="L4750" t="s">
        <v>22786</v>
      </c>
      <c r="M4750" t="s">
        <v>22787</v>
      </c>
      <c r="P4750" t="s">
        <v>152</v>
      </c>
      <c r="Q4750" t="s">
        <v>22789</v>
      </c>
      <c r="Y4750" t="s">
        <v>22790</v>
      </c>
    </row>
    <row r="4751" spans="1:25" x14ac:dyDescent="0.25">
      <c r="A4751" t="str">
        <f>"1789794829"</f>
        <v>1789794829</v>
      </c>
      <c r="B4751" t="s">
        <v>930</v>
      </c>
      <c r="C4751" t="s">
        <v>22796</v>
      </c>
      <c r="D4751" t="s">
        <v>22791</v>
      </c>
      <c r="F4751" t="s">
        <v>1</v>
      </c>
      <c r="G4751" t="s">
        <v>2</v>
      </c>
      <c r="H4751" t="s">
        <v>3536</v>
      </c>
      <c r="I4751" t="s">
        <v>22792</v>
      </c>
      <c r="J4751" t="s">
        <v>22793</v>
      </c>
      <c r="L4751" t="s">
        <v>22794</v>
      </c>
      <c r="M4751" t="s">
        <v>22795</v>
      </c>
      <c r="P4751" t="s">
        <v>22797</v>
      </c>
      <c r="Q4751" t="s">
        <v>22798</v>
      </c>
      <c r="Y4751" t="s">
        <v>22799</v>
      </c>
    </row>
    <row r="4752" spans="1:25" x14ac:dyDescent="0.25">
      <c r="A4752" t="str">
        <f>"1789861907"</f>
        <v>1789861907</v>
      </c>
      <c r="B4752" t="s">
        <v>32</v>
      </c>
      <c r="C4752" t="s">
        <v>40</v>
      </c>
      <c r="D4752" t="s">
        <v>22800</v>
      </c>
      <c r="E4752">
        <v>424002</v>
      </c>
      <c r="F4752" t="s">
        <v>1</v>
      </c>
      <c r="G4752" t="s">
        <v>2</v>
      </c>
      <c r="H4752" t="s">
        <v>6344</v>
      </c>
      <c r="P4752" t="s">
        <v>1000</v>
      </c>
      <c r="Y4752" t="s">
        <v>22801</v>
      </c>
    </row>
    <row r="4753" spans="1:25" x14ac:dyDescent="0.25">
      <c r="A4753" t="str">
        <f>"1791008121"</f>
        <v>1791008121</v>
      </c>
      <c r="B4753" t="s">
        <v>1617</v>
      </c>
      <c r="C4753" t="s">
        <v>21001</v>
      </c>
      <c r="D4753" t="s">
        <v>20999</v>
      </c>
      <c r="F4753" t="s">
        <v>1</v>
      </c>
      <c r="G4753" t="s">
        <v>2</v>
      </c>
      <c r="H4753" t="s">
        <v>22802</v>
      </c>
      <c r="P4753" t="s">
        <v>21118</v>
      </c>
      <c r="Y4753" t="s">
        <v>22803</v>
      </c>
    </row>
    <row r="4754" spans="1:25" x14ac:dyDescent="0.25">
      <c r="A4754" t="str">
        <f>"1791297256"</f>
        <v>1791297256</v>
      </c>
      <c r="B4754" t="s">
        <v>574</v>
      </c>
      <c r="C4754" t="s">
        <v>646</v>
      </c>
      <c r="D4754" t="s">
        <v>4221</v>
      </c>
      <c r="E4754">
        <v>424038</v>
      </c>
      <c r="F4754" t="s">
        <v>1</v>
      </c>
      <c r="G4754" t="s">
        <v>2</v>
      </c>
      <c r="H4754" t="s">
        <v>22804</v>
      </c>
      <c r="P4754" t="s">
        <v>2738</v>
      </c>
      <c r="Y4754" t="s">
        <v>22805</v>
      </c>
    </row>
    <row r="4755" spans="1:25" x14ac:dyDescent="0.25">
      <c r="A4755" t="str">
        <f>"1791417079"</f>
        <v>1791417079</v>
      </c>
      <c r="B4755" t="s">
        <v>18</v>
      </c>
      <c r="C4755" t="s">
        <v>2593</v>
      </c>
      <c r="D4755" t="s">
        <v>22806</v>
      </c>
      <c r="E4755">
        <v>424007</v>
      </c>
      <c r="F4755" t="s">
        <v>1</v>
      </c>
      <c r="G4755" t="s">
        <v>2</v>
      </c>
      <c r="H4755" t="s">
        <v>4869</v>
      </c>
      <c r="I4755" t="s">
        <v>22807</v>
      </c>
      <c r="P4755" t="s">
        <v>5575</v>
      </c>
      <c r="Y4755" t="s">
        <v>5759</v>
      </c>
    </row>
    <row r="4756" spans="1:25" x14ac:dyDescent="0.25">
      <c r="A4756" t="str">
        <f>"1791708307"</f>
        <v>1791708307</v>
      </c>
      <c r="B4756" t="s">
        <v>430</v>
      </c>
      <c r="C4756" t="s">
        <v>612</v>
      </c>
      <c r="D4756" t="s">
        <v>9923</v>
      </c>
      <c r="E4756">
        <v>424037</v>
      </c>
      <c r="F4756" t="s">
        <v>1</v>
      </c>
      <c r="G4756" t="s">
        <v>2</v>
      </c>
      <c r="H4756" t="s">
        <v>22808</v>
      </c>
      <c r="I4756" t="s">
        <v>22809</v>
      </c>
      <c r="L4756" t="s">
        <v>610</v>
      </c>
      <c r="M4756" t="s">
        <v>611</v>
      </c>
      <c r="P4756" t="s">
        <v>330</v>
      </c>
      <c r="Y4756" t="s">
        <v>22810</v>
      </c>
    </row>
    <row r="4757" spans="1:25" x14ac:dyDescent="0.25">
      <c r="A4757" t="str">
        <f>"1791823407"</f>
        <v>1791823407</v>
      </c>
      <c r="B4757" t="s">
        <v>319</v>
      </c>
      <c r="C4757" t="s">
        <v>320</v>
      </c>
      <c r="D4757" t="s">
        <v>22811</v>
      </c>
      <c r="E4757">
        <v>424033</v>
      </c>
      <c r="F4757" t="s">
        <v>1</v>
      </c>
      <c r="G4757" t="s">
        <v>2</v>
      </c>
      <c r="H4757" t="s">
        <v>6126</v>
      </c>
      <c r="I4757" t="s">
        <v>22812</v>
      </c>
      <c r="P4757" t="s">
        <v>8133</v>
      </c>
      <c r="Y4757" t="s">
        <v>22813</v>
      </c>
    </row>
    <row r="4758" spans="1:25" x14ac:dyDescent="0.25">
      <c r="A4758" t="str">
        <f>"1792231580"</f>
        <v>1792231580</v>
      </c>
      <c r="B4758" t="s">
        <v>1552</v>
      </c>
      <c r="C4758" t="s">
        <v>12654</v>
      </c>
      <c r="D4758" t="s">
        <v>10127</v>
      </c>
      <c r="E4758">
        <v>424008</v>
      </c>
      <c r="F4758" t="s">
        <v>1</v>
      </c>
      <c r="G4758" t="s">
        <v>2</v>
      </c>
      <c r="H4758" t="s">
        <v>22814</v>
      </c>
      <c r="I4758" t="s">
        <v>22815</v>
      </c>
      <c r="J4758" t="s">
        <v>22816</v>
      </c>
      <c r="L4758" t="s">
        <v>10131</v>
      </c>
      <c r="M4758" t="s">
        <v>10132</v>
      </c>
      <c r="P4758" t="s">
        <v>19787</v>
      </c>
      <c r="Q4758" t="s">
        <v>22817</v>
      </c>
      <c r="Y4758" t="s">
        <v>22818</v>
      </c>
    </row>
    <row r="4759" spans="1:25" x14ac:dyDescent="0.25">
      <c r="A4759" t="str">
        <f>"1792322161"</f>
        <v>1792322161</v>
      </c>
      <c r="B4759" t="s">
        <v>388</v>
      </c>
      <c r="C4759" t="s">
        <v>2653</v>
      </c>
      <c r="D4759" t="s">
        <v>21367</v>
      </c>
      <c r="F4759" t="s">
        <v>1</v>
      </c>
      <c r="G4759" t="s">
        <v>2</v>
      </c>
      <c r="H4759" t="s">
        <v>13225</v>
      </c>
      <c r="I4759" t="s">
        <v>22819</v>
      </c>
      <c r="P4759" t="s">
        <v>27</v>
      </c>
      <c r="Y4759" t="s">
        <v>22820</v>
      </c>
    </row>
    <row r="4760" spans="1:25" x14ac:dyDescent="0.25">
      <c r="A4760" t="str">
        <f>"1792432777"</f>
        <v>1792432777</v>
      </c>
      <c r="B4760" t="s">
        <v>160</v>
      </c>
      <c r="C4760" t="s">
        <v>22823</v>
      </c>
      <c r="D4760" t="s">
        <v>21369</v>
      </c>
      <c r="E4760">
        <v>424038</v>
      </c>
      <c r="F4760" t="s">
        <v>1</v>
      </c>
      <c r="G4760" t="s">
        <v>2</v>
      </c>
      <c r="H4760" t="s">
        <v>22821</v>
      </c>
      <c r="I4760" t="s">
        <v>22822</v>
      </c>
      <c r="P4760" t="s">
        <v>330</v>
      </c>
      <c r="Y4760" t="s">
        <v>9441</v>
      </c>
    </row>
    <row r="4761" spans="1:25" x14ac:dyDescent="0.25">
      <c r="A4761" t="str">
        <f>"1793002126"</f>
        <v>1793002126</v>
      </c>
      <c r="B4761" t="s">
        <v>624</v>
      </c>
      <c r="C4761" t="s">
        <v>1637</v>
      </c>
      <c r="D4761" t="s">
        <v>22824</v>
      </c>
      <c r="E4761">
        <v>424004</v>
      </c>
      <c r="F4761" t="s">
        <v>1</v>
      </c>
      <c r="G4761" t="s">
        <v>2</v>
      </c>
      <c r="H4761" t="s">
        <v>1590</v>
      </c>
      <c r="I4761" t="s">
        <v>22825</v>
      </c>
      <c r="J4761" t="s">
        <v>22826</v>
      </c>
      <c r="P4761" t="s">
        <v>390</v>
      </c>
      <c r="Y4761" t="s">
        <v>1593</v>
      </c>
    </row>
    <row r="4762" spans="1:25" x14ac:dyDescent="0.25">
      <c r="A4762" t="str">
        <f>"1793150608"</f>
        <v>1793150608</v>
      </c>
      <c r="B4762" t="s">
        <v>1053</v>
      </c>
      <c r="C4762" t="s">
        <v>1927</v>
      </c>
      <c r="D4762" t="s">
        <v>22827</v>
      </c>
      <c r="E4762">
        <v>424033</v>
      </c>
      <c r="F4762" t="s">
        <v>1</v>
      </c>
      <c r="G4762" t="s">
        <v>2</v>
      </c>
      <c r="H4762" t="s">
        <v>7283</v>
      </c>
      <c r="I4762" t="s">
        <v>22828</v>
      </c>
      <c r="J4762" t="s">
        <v>22829</v>
      </c>
      <c r="P4762" t="s">
        <v>330</v>
      </c>
      <c r="Y4762" t="s">
        <v>7285</v>
      </c>
    </row>
    <row r="4763" spans="1:25" x14ac:dyDescent="0.25">
      <c r="A4763" t="str">
        <f>"1793150773"</f>
        <v>1793150773</v>
      </c>
      <c r="B4763" t="s">
        <v>18</v>
      </c>
      <c r="C4763" t="s">
        <v>2593</v>
      </c>
      <c r="D4763" t="s">
        <v>7960</v>
      </c>
      <c r="E4763">
        <v>424005</v>
      </c>
      <c r="F4763" t="s">
        <v>1</v>
      </c>
      <c r="G4763" t="s">
        <v>2</v>
      </c>
      <c r="H4763" t="s">
        <v>5843</v>
      </c>
      <c r="I4763" t="s">
        <v>22830</v>
      </c>
      <c r="P4763" t="s">
        <v>27</v>
      </c>
      <c r="Y4763" t="s">
        <v>5844</v>
      </c>
    </row>
    <row r="4764" spans="1:25" x14ac:dyDescent="0.25">
      <c r="A4764" t="str">
        <f>"1793165835"</f>
        <v>1793165835</v>
      </c>
      <c r="B4764" t="s">
        <v>2846</v>
      </c>
      <c r="C4764" t="s">
        <v>22835</v>
      </c>
      <c r="D4764" t="s">
        <v>22831</v>
      </c>
      <c r="E4764">
        <v>424007</v>
      </c>
      <c r="F4764" t="s">
        <v>1</v>
      </c>
      <c r="G4764" t="s">
        <v>2</v>
      </c>
      <c r="H4764" t="s">
        <v>3119</v>
      </c>
      <c r="J4764" t="s">
        <v>22832</v>
      </c>
      <c r="L4764" t="s">
        <v>22833</v>
      </c>
      <c r="M4764" t="s">
        <v>22834</v>
      </c>
      <c r="P4764" t="s">
        <v>280</v>
      </c>
      <c r="Y4764" t="s">
        <v>6812</v>
      </c>
    </row>
    <row r="4765" spans="1:25" x14ac:dyDescent="0.25">
      <c r="A4765" t="str">
        <f>"1793302647"</f>
        <v>1793302647</v>
      </c>
      <c r="B4765" t="s">
        <v>687</v>
      </c>
      <c r="C4765" t="s">
        <v>22842</v>
      </c>
      <c r="D4765" t="s">
        <v>22836</v>
      </c>
      <c r="E4765">
        <v>424006</v>
      </c>
      <c r="F4765" t="s">
        <v>1</v>
      </c>
      <c r="G4765" t="s">
        <v>2</v>
      </c>
      <c r="H4765" t="s">
        <v>5146</v>
      </c>
      <c r="I4765" t="s">
        <v>22837</v>
      </c>
      <c r="J4765" t="s">
        <v>22838</v>
      </c>
      <c r="K4765" t="s">
        <v>22839</v>
      </c>
      <c r="L4765" t="s">
        <v>22840</v>
      </c>
      <c r="M4765" t="s">
        <v>22841</v>
      </c>
      <c r="P4765" t="s">
        <v>22843</v>
      </c>
      <c r="Q4765" t="s">
        <v>22844</v>
      </c>
      <c r="Y4765" t="s">
        <v>22845</v>
      </c>
    </row>
    <row r="4766" spans="1:25" x14ac:dyDescent="0.25">
      <c r="A4766" t="str">
        <f>"1793427936"</f>
        <v>1793427936</v>
      </c>
      <c r="B4766" t="s">
        <v>379</v>
      </c>
      <c r="C4766" t="s">
        <v>380</v>
      </c>
      <c r="D4766" t="s">
        <v>8393</v>
      </c>
      <c r="E4766">
        <v>424028</v>
      </c>
      <c r="F4766" t="s">
        <v>1</v>
      </c>
      <c r="G4766" t="s">
        <v>2</v>
      </c>
      <c r="H4766" t="s">
        <v>7204</v>
      </c>
      <c r="I4766" t="s">
        <v>22846</v>
      </c>
      <c r="L4766" t="s">
        <v>8395</v>
      </c>
      <c r="M4766" t="s">
        <v>8396</v>
      </c>
      <c r="P4766" t="s">
        <v>22847</v>
      </c>
      <c r="Q4766" t="s">
        <v>8412</v>
      </c>
      <c r="R4766" t="s">
        <v>8399</v>
      </c>
      <c r="S4766" t="s">
        <v>8400</v>
      </c>
      <c r="T4766" t="s">
        <v>8401</v>
      </c>
      <c r="Y4766" t="s">
        <v>22848</v>
      </c>
    </row>
    <row r="4767" spans="1:25" x14ac:dyDescent="0.25">
      <c r="A4767" t="str">
        <f>"1793603408"</f>
        <v>1793603408</v>
      </c>
      <c r="B4767" t="s">
        <v>1152</v>
      </c>
      <c r="C4767" t="s">
        <v>1385</v>
      </c>
      <c r="D4767" t="s">
        <v>1385</v>
      </c>
      <c r="E4767">
        <v>424003</v>
      </c>
      <c r="F4767" t="s">
        <v>1</v>
      </c>
      <c r="G4767" t="s">
        <v>2</v>
      </c>
      <c r="H4767" t="s">
        <v>22849</v>
      </c>
      <c r="P4767" t="s">
        <v>22850</v>
      </c>
      <c r="Y4767" t="s">
        <v>22851</v>
      </c>
    </row>
    <row r="4768" spans="1:25" x14ac:dyDescent="0.25">
      <c r="A4768" t="str">
        <f>"1793930012"</f>
        <v>1793930012</v>
      </c>
      <c r="B4768" t="s">
        <v>456</v>
      </c>
      <c r="C4768" t="s">
        <v>1522</v>
      </c>
      <c r="D4768" t="s">
        <v>22852</v>
      </c>
      <c r="E4768">
        <v>424002</v>
      </c>
      <c r="F4768" t="s">
        <v>1</v>
      </c>
      <c r="G4768" t="s">
        <v>2</v>
      </c>
      <c r="H4768" t="s">
        <v>6502</v>
      </c>
      <c r="J4768" t="s">
        <v>22853</v>
      </c>
      <c r="L4768" t="s">
        <v>22854</v>
      </c>
      <c r="P4768" t="s">
        <v>27</v>
      </c>
      <c r="Y4768" t="s">
        <v>16586</v>
      </c>
    </row>
    <row r="4769" spans="1:25" x14ac:dyDescent="0.25">
      <c r="A4769" t="str">
        <f>"1794181289"</f>
        <v>1794181289</v>
      </c>
      <c r="B4769" t="s">
        <v>96</v>
      </c>
      <c r="C4769" t="s">
        <v>893</v>
      </c>
      <c r="D4769" t="s">
        <v>22855</v>
      </c>
      <c r="E4769">
        <v>424918</v>
      </c>
      <c r="F4769" t="s">
        <v>1</v>
      </c>
      <c r="G4769" t="s">
        <v>2</v>
      </c>
      <c r="H4769" t="s">
        <v>629</v>
      </c>
      <c r="I4769" t="s">
        <v>20946</v>
      </c>
      <c r="P4769" t="s">
        <v>630</v>
      </c>
      <c r="Y4769" t="s">
        <v>1744</v>
      </c>
    </row>
    <row r="4770" spans="1:25" x14ac:dyDescent="0.25">
      <c r="A4770" t="str">
        <f>"1794754007"</f>
        <v>1794754007</v>
      </c>
      <c r="B4770" t="s">
        <v>430</v>
      </c>
      <c r="C4770" t="s">
        <v>612</v>
      </c>
      <c r="D4770" t="s">
        <v>607</v>
      </c>
      <c r="E4770">
        <v>424038</v>
      </c>
      <c r="F4770" t="s">
        <v>1</v>
      </c>
      <c r="G4770" t="s">
        <v>2</v>
      </c>
      <c r="H4770" t="s">
        <v>6059</v>
      </c>
      <c r="I4770" t="s">
        <v>22856</v>
      </c>
      <c r="P4770" t="s">
        <v>216</v>
      </c>
      <c r="Y4770" t="s">
        <v>22857</v>
      </c>
    </row>
    <row r="4771" spans="1:25" x14ac:dyDescent="0.25">
      <c r="A4771" t="str">
        <f>"1794854852"</f>
        <v>1794854852</v>
      </c>
      <c r="B4771" t="s">
        <v>151</v>
      </c>
      <c r="C4771" t="s">
        <v>22861</v>
      </c>
      <c r="D4771" t="s">
        <v>22858</v>
      </c>
      <c r="E4771">
        <v>424031</v>
      </c>
      <c r="F4771" t="s">
        <v>1</v>
      </c>
      <c r="G4771" t="s">
        <v>2</v>
      </c>
      <c r="H4771" t="s">
        <v>10559</v>
      </c>
      <c r="I4771" t="s">
        <v>22859</v>
      </c>
      <c r="L4771" t="s">
        <v>22860</v>
      </c>
      <c r="P4771" t="s">
        <v>22862</v>
      </c>
      <c r="Q4771" t="s">
        <v>22863</v>
      </c>
      <c r="T4771" t="s">
        <v>22864</v>
      </c>
      <c r="Y4771" t="s">
        <v>22865</v>
      </c>
    </row>
    <row r="4772" spans="1:25" x14ac:dyDescent="0.25">
      <c r="A4772" t="str">
        <f>"1794984472"</f>
        <v>1794984472</v>
      </c>
      <c r="B4772" t="s">
        <v>96</v>
      </c>
      <c r="C4772" t="s">
        <v>893</v>
      </c>
      <c r="D4772" t="s">
        <v>22866</v>
      </c>
      <c r="E4772">
        <v>424918</v>
      </c>
      <c r="F4772" t="s">
        <v>1</v>
      </c>
      <c r="G4772" t="s">
        <v>2</v>
      </c>
      <c r="H4772" t="s">
        <v>629</v>
      </c>
      <c r="I4772" t="s">
        <v>20946</v>
      </c>
      <c r="P4772" t="s">
        <v>630</v>
      </c>
      <c r="Y4772" t="s">
        <v>1744</v>
      </c>
    </row>
    <row r="4773" spans="1:25" x14ac:dyDescent="0.25">
      <c r="A4773" t="str">
        <f>"1795270139"</f>
        <v>1795270139</v>
      </c>
      <c r="B4773" t="s">
        <v>96</v>
      </c>
      <c r="C4773" t="s">
        <v>893</v>
      </c>
      <c r="D4773" t="s">
        <v>22867</v>
      </c>
      <c r="E4773">
        <v>424033</v>
      </c>
      <c r="F4773" t="s">
        <v>1</v>
      </c>
      <c r="G4773" t="s">
        <v>2</v>
      </c>
      <c r="H4773" t="s">
        <v>22045</v>
      </c>
      <c r="I4773" t="s">
        <v>22868</v>
      </c>
      <c r="L4773" t="s">
        <v>22869</v>
      </c>
      <c r="P4773" t="s">
        <v>630</v>
      </c>
      <c r="Q4773" t="s">
        <v>22870</v>
      </c>
      <c r="Y4773" t="s">
        <v>22871</v>
      </c>
    </row>
    <row r="4774" spans="1:25" x14ac:dyDescent="0.25">
      <c r="A4774" t="str">
        <f>"1795332670"</f>
        <v>1795332670</v>
      </c>
      <c r="B4774" t="s">
        <v>117</v>
      </c>
      <c r="C4774" t="s">
        <v>6850</v>
      </c>
      <c r="D4774" t="s">
        <v>22872</v>
      </c>
      <c r="E4774">
        <v>424007</v>
      </c>
      <c r="F4774" t="s">
        <v>1</v>
      </c>
      <c r="G4774" t="s">
        <v>2</v>
      </c>
      <c r="H4774" t="s">
        <v>22873</v>
      </c>
      <c r="I4774" t="s">
        <v>22874</v>
      </c>
      <c r="M4774" t="s">
        <v>18585</v>
      </c>
      <c r="P4774" t="s">
        <v>330</v>
      </c>
      <c r="Y4774" t="s">
        <v>22875</v>
      </c>
    </row>
    <row r="4775" spans="1:25" x14ac:dyDescent="0.25">
      <c r="A4775" t="str">
        <f>"1796059949"</f>
        <v>1796059949</v>
      </c>
      <c r="B4775" t="s">
        <v>96</v>
      </c>
      <c r="C4775" t="s">
        <v>893</v>
      </c>
      <c r="D4775" t="s">
        <v>22876</v>
      </c>
      <c r="E4775">
        <v>424918</v>
      </c>
      <c r="F4775" t="s">
        <v>1</v>
      </c>
      <c r="G4775" t="s">
        <v>2</v>
      </c>
      <c r="H4775" t="s">
        <v>629</v>
      </c>
      <c r="I4775" t="s">
        <v>20946</v>
      </c>
      <c r="P4775" t="s">
        <v>630</v>
      </c>
      <c r="Y4775" t="s">
        <v>22877</v>
      </c>
    </row>
    <row r="4776" spans="1:25" x14ac:dyDescent="0.25">
      <c r="A4776" t="str">
        <f>"1796264780"</f>
        <v>1796264780</v>
      </c>
      <c r="B4776" t="s">
        <v>18</v>
      </c>
      <c r="C4776" t="s">
        <v>22881</v>
      </c>
      <c r="D4776" t="s">
        <v>22878</v>
      </c>
      <c r="F4776" t="s">
        <v>1</v>
      </c>
      <c r="G4776" t="s">
        <v>2</v>
      </c>
      <c r="H4776" t="s">
        <v>2956</v>
      </c>
      <c r="J4776" t="s">
        <v>22879</v>
      </c>
      <c r="M4776" t="s">
        <v>22880</v>
      </c>
      <c r="P4776" t="s">
        <v>2580</v>
      </c>
      <c r="Y4776" t="s">
        <v>22882</v>
      </c>
    </row>
    <row r="4777" spans="1:25" x14ac:dyDescent="0.25">
      <c r="A4777" t="str">
        <f>"1796594441"</f>
        <v>1796594441</v>
      </c>
      <c r="B4777" t="s">
        <v>1544</v>
      </c>
      <c r="C4777" t="s">
        <v>7974</v>
      </c>
      <c r="D4777" t="s">
        <v>22883</v>
      </c>
      <c r="E4777">
        <v>424007</v>
      </c>
      <c r="F4777" t="s">
        <v>1</v>
      </c>
      <c r="G4777" t="s">
        <v>2</v>
      </c>
      <c r="H4777" t="s">
        <v>3794</v>
      </c>
      <c r="I4777" t="s">
        <v>22884</v>
      </c>
      <c r="L4777" t="s">
        <v>3796</v>
      </c>
      <c r="M4777" t="s">
        <v>3797</v>
      </c>
      <c r="P4777" t="s">
        <v>22885</v>
      </c>
      <c r="Q4777" t="s">
        <v>3800</v>
      </c>
      <c r="T4777" t="s">
        <v>3802</v>
      </c>
      <c r="V4777" t="s">
        <v>22886</v>
      </c>
      <c r="Y4777" t="s">
        <v>22887</v>
      </c>
    </row>
    <row r="4778" spans="1:25" x14ac:dyDescent="0.25">
      <c r="A4778" t="str">
        <f>"1796817991"</f>
        <v>1796817991</v>
      </c>
      <c r="B4778" t="s">
        <v>348</v>
      </c>
      <c r="C4778" t="s">
        <v>22891</v>
      </c>
      <c r="D4778" t="s">
        <v>4419</v>
      </c>
      <c r="E4778">
        <v>424000</v>
      </c>
      <c r="F4778" t="s">
        <v>1</v>
      </c>
      <c r="G4778" t="s">
        <v>2</v>
      </c>
      <c r="H4778" t="s">
        <v>10803</v>
      </c>
      <c r="J4778" t="s">
        <v>22888</v>
      </c>
      <c r="L4778" t="s">
        <v>22889</v>
      </c>
      <c r="M4778" t="s">
        <v>22890</v>
      </c>
      <c r="P4778" t="s">
        <v>13021</v>
      </c>
      <c r="Q4778" t="s">
        <v>22892</v>
      </c>
      <c r="Y4778" t="s">
        <v>22893</v>
      </c>
    </row>
    <row r="4779" spans="1:25" x14ac:dyDescent="0.25">
      <c r="A4779" t="str">
        <f>"1797695637"</f>
        <v>1797695637</v>
      </c>
      <c r="B4779" t="s">
        <v>2055</v>
      </c>
      <c r="C4779" t="s">
        <v>22896</v>
      </c>
      <c r="D4779" t="s">
        <v>22894</v>
      </c>
      <c r="E4779">
        <v>424004</v>
      </c>
      <c r="F4779" t="s">
        <v>1</v>
      </c>
      <c r="G4779" t="s">
        <v>2</v>
      </c>
      <c r="H4779" t="s">
        <v>186</v>
      </c>
      <c r="I4779" t="s">
        <v>9969</v>
      </c>
      <c r="J4779" t="s">
        <v>22895</v>
      </c>
      <c r="K4779" t="s">
        <v>9969</v>
      </c>
      <c r="L4779" t="s">
        <v>9970</v>
      </c>
      <c r="P4779" t="s">
        <v>3456</v>
      </c>
      <c r="Y4779" t="s">
        <v>190</v>
      </c>
    </row>
    <row r="4780" spans="1:25" x14ac:dyDescent="0.25">
      <c r="A4780" t="str">
        <f>"1797948519"</f>
        <v>1797948519</v>
      </c>
      <c r="B4780" t="s">
        <v>151</v>
      </c>
      <c r="C4780" t="s">
        <v>1034</v>
      </c>
      <c r="D4780" t="s">
        <v>22897</v>
      </c>
      <c r="E4780">
        <v>424004</v>
      </c>
      <c r="F4780" t="s">
        <v>1</v>
      </c>
      <c r="G4780" t="s">
        <v>2</v>
      </c>
      <c r="H4780" t="s">
        <v>186</v>
      </c>
      <c r="I4780" t="s">
        <v>22898</v>
      </c>
      <c r="J4780" t="s">
        <v>22899</v>
      </c>
      <c r="L4780" t="s">
        <v>22900</v>
      </c>
      <c r="M4780" t="s">
        <v>22901</v>
      </c>
      <c r="P4780" t="s">
        <v>216</v>
      </c>
      <c r="Y4780" t="s">
        <v>190</v>
      </c>
    </row>
    <row r="4781" spans="1:25" x14ac:dyDescent="0.25">
      <c r="A4781" t="str">
        <f>"1798517193"</f>
        <v>1798517193</v>
      </c>
      <c r="B4781" t="s">
        <v>746</v>
      </c>
      <c r="C4781" t="s">
        <v>22905</v>
      </c>
      <c r="D4781" t="s">
        <v>22902</v>
      </c>
      <c r="E4781">
        <v>424007</v>
      </c>
      <c r="F4781" t="s">
        <v>1</v>
      </c>
      <c r="G4781" t="s">
        <v>2</v>
      </c>
      <c r="H4781" t="s">
        <v>499</v>
      </c>
      <c r="J4781" t="s">
        <v>22903</v>
      </c>
      <c r="L4781" t="s">
        <v>22904</v>
      </c>
      <c r="P4781" t="s">
        <v>330</v>
      </c>
      <c r="Q4781" t="s">
        <v>22906</v>
      </c>
      <c r="Y4781" t="s">
        <v>1598</v>
      </c>
    </row>
    <row r="4782" spans="1:25" x14ac:dyDescent="0.25">
      <c r="A4782" t="str">
        <f>"1798945218"</f>
        <v>1798945218</v>
      </c>
      <c r="B4782" t="s">
        <v>176</v>
      </c>
      <c r="C4782" t="s">
        <v>6380</v>
      </c>
      <c r="D4782" t="s">
        <v>22907</v>
      </c>
      <c r="E4782">
        <v>424002</v>
      </c>
      <c r="F4782" t="s">
        <v>1</v>
      </c>
      <c r="G4782" t="s">
        <v>2</v>
      </c>
      <c r="H4782" t="s">
        <v>22908</v>
      </c>
      <c r="I4782" t="s">
        <v>22909</v>
      </c>
      <c r="L4782" t="s">
        <v>22910</v>
      </c>
      <c r="M4782" t="s">
        <v>22911</v>
      </c>
      <c r="P4782" t="s">
        <v>6456</v>
      </c>
      <c r="Q4782" t="s">
        <v>22912</v>
      </c>
      <c r="V4782" t="s">
        <v>22913</v>
      </c>
      <c r="Y4782" t="s">
        <v>1284</v>
      </c>
    </row>
    <row r="4783" spans="1:25" x14ac:dyDescent="0.25">
      <c r="A4783" t="str">
        <f>"1799078906"</f>
        <v>1799078906</v>
      </c>
      <c r="B4783" t="s">
        <v>574</v>
      </c>
      <c r="C4783" t="s">
        <v>646</v>
      </c>
      <c r="D4783" t="s">
        <v>22914</v>
      </c>
      <c r="E4783">
        <v>424002</v>
      </c>
      <c r="F4783" t="s">
        <v>1</v>
      </c>
      <c r="G4783" t="s">
        <v>2</v>
      </c>
      <c r="H4783" t="s">
        <v>6502</v>
      </c>
      <c r="J4783" t="s">
        <v>22915</v>
      </c>
      <c r="P4783" t="s">
        <v>60</v>
      </c>
      <c r="Y4783" t="s">
        <v>16586</v>
      </c>
    </row>
    <row r="4784" spans="1:25" x14ac:dyDescent="0.25">
      <c r="A4784" t="str">
        <f>"1799367416"</f>
        <v>1799367416</v>
      </c>
      <c r="B4784" t="s">
        <v>1078</v>
      </c>
      <c r="C4784" t="s">
        <v>22917</v>
      </c>
      <c r="D4784" t="s">
        <v>16115</v>
      </c>
      <c r="E4784">
        <v>424020</v>
      </c>
      <c r="F4784" t="s">
        <v>1</v>
      </c>
      <c r="G4784" t="s">
        <v>2</v>
      </c>
      <c r="H4784" t="s">
        <v>1837</v>
      </c>
      <c r="I4784" t="s">
        <v>22916</v>
      </c>
      <c r="P4784" t="s">
        <v>152</v>
      </c>
      <c r="Y4784" t="s">
        <v>1842</v>
      </c>
    </row>
    <row r="4785" spans="1:25" x14ac:dyDescent="0.25">
      <c r="A4785" t="str">
        <f>"1799893718"</f>
        <v>1799893718</v>
      </c>
      <c r="B4785" t="s">
        <v>96</v>
      </c>
      <c r="C4785" t="s">
        <v>893</v>
      </c>
      <c r="D4785" t="s">
        <v>22918</v>
      </c>
      <c r="E4785">
        <v>424918</v>
      </c>
      <c r="F4785" t="s">
        <v>1</v>
      </c>
      <c r="G4785" t="s">
        <v>2</v>
      </c>
      <c r="H4785" t="s">
        <v>629</v>
      </c>
      <c r="P4785" t="s">
        <v>630</v>
      </c>
      <c r="Y4785" t="s">
        <v>22919</v>
      </c>
    </row>
    <row r="4786" spans="1:25" x14ac:dyDescent="0.25">
      <c r="A4786" t="str">
        <f>"1800196866"</f>
        <v>1800196866</v>
      </c>
      <c r="B4786" t="s">
        <v>96</v>
      </c>
      <c r="C4786" t="s">
        <v>695</v>
      </c>
      <c r="D4786" t="s">
        <v>2733</v>
      </c>
      <c r="E4786">
        <v>424028</v>
      </c>
      <c r="F4786" t="s">
        <v>1</v>
      </c>
      <c r="G4786" t="s">
        <v>2</v>
      </c>
      <c r="H4786" t="s">
        <v>22920</v>
      </c>
      <c r="J4786" t="s">
        <v>22921</v>
      </c>
      <c r="L4786" t="s">
        <v>22922</v>
      </c>
      <c r="M4786" t="s">
        <v>22923</v>
      </c>
      <c r="P4786" t="s">
        <v>1160</v>
      </c>
      <c r="Y4786" t="s">
        <v>22924</v>
      </c>
    </row>
    <row r="4787" spans="1:25" x14ac:dyDescent="0.25">
      <c r="A4787" t="str">
        <f>"1800353490"</f>
        <v>1800353490</v>
      </c>
      <c r="B4787" t="s">
        <v>96</v>
      </c>
      <c r="C4787" t="s">
        <v>12339</v>
      </c>
      <c r="D4787" t="s">
        <v>22925</v>
      </c>
      <c r="E4787">
        <v>424004</v>
      </c>
      <c r="F4787" t="s">
        <v>1</v>
      </c>
      <c r="G4787" t="s">
        <v>2</v>
      </c>
      <c r="H4787" t="s">
        <v>351</v>
      </c>
      <c r="J4787" t="s">
        <v>22926</v>
      </c>
      <c r="L4787" t="s">
        <v>22927</v>
      </c>
      <c r="P4787" t="s">
        <v>1027</v>
      </c>
      <c r="V4787" t="s">
        <v>22928</v>
      </c>
      <c r="Y4787" t="s">
        <v>354</v>
      </c>
    </row>
    <row r="4788" spans="1:25" x14ac:dyDescent="0.25">
      <c r="A4788" t="str">
        <f>"1800413590"</f>
        <v>1800413590</v>
      </c>
      <c r="B4788" t="s">
        <v>151</v>
      </c>
      <c r="C4788" t="s">
        <v>1034</v>
      </c>
      <c r="D4788" t="s">
        <v>22929</v>
      </c>
      <c r="E4788">
        <v>424008</v>
      </c>
      <c r="F4788" t="s">
        <v>1</v>
      </c>
      <c r="G4788" t="s">
        <v>2</v>
      </c>
      <c r="H4788" t="s">
        <v>6327</v>
      </c>
      <c r="J4788" t="s">
        <v>22930</v>
      </c>
      <c r="L4788" t="s">
        <v>22931</v>
      </c>
      <c r="M4788" t="s">
        <v>22932</v>
      </c>
      <c r="P4788" t="s">
        <v>216</v>
      </c>
      <c r="Y4788" t="s">
        <v>22933</v>
      </c>
    </row>
    <row r="4789" spans="1:25" x14ac:dyDescent="0.25">
      <c r="A4789" t="str">
        <f>"1800494784"</f>
        <v>1800494784</v>
      </c>
      <c r="B4789" t="s">
        <v>151</v>
      </c>
      <c r="C4789" t="s">
        <v>1034</v>
      </c>
      <c r="D4789" t="s">
        <v>22934</v>
      </c>
      <c r="F4789" t="s">
        <v>1</v>
      </c>
      <c r="G4789" t="s">
        <v>2</v>
      </c>
      <c r="H4789" t="s">
        <v>3984</v>
      </c>
      <c r="I4789" t="s">
        <v>22935</v>
      </c>
      <c r="J4789" t="s">
        <v>22936</v>
      </c>
      <c r="L4789" t="s">
        <v>22937</v>
      </c>
      <c r="M4789" t="s">
        <v>22938</v>
      </c>
      <c r="P4789" t="s">
        <v>216</v>
      </c>
      <c r="Q4789" t="s">
        <v>22939</v>
      </c>
      <c r="Y4789" t="s">
        <v>4409</v>
      </c>
    </row>
    <row r="4790" spans="1:25" x14ac:dyDescent="0.25">
      <c r="A4790" t="str">
        <f>"1800877995"</f>
        <v>1800877995</v>
      </c>
      <c r="B4790" t="s">
        <v>519</v>
      </c>
      <c r="C4790" t="s">
        <v>22942</v>
      </c>
      <c r="D4790" t="s">
        <v>22940</v>
      </c>
      <c r="E4790">
        <v>424004</v>
      </c>
      <c r="F4790" t="s">
        <v>1</v>
      </c>
      <c r="G4790" t="s">
        <v>2</v>
      </c>
      <c r="H4790" t="s">
        <v>351</v>
      </c>
      <c r="I4790" t="s">
        <v>22941</v>
      </c>
      <c r="P4790" t="s">
        <v>4831</v>
      </c>
      <c r="Y4790" t="s">
        <v>354</v>
      </c>
    </row>
    <row r="4791" spans="1:25" x14ac:dyDescent="0.25">
      <c r="A4791" t="str">
        <f>"1800991347"</f>
        <v>1800991347</v>
      </c>
      <c r="B4791" t="s">
        <v>96</v>
      </c>
      <c r="C4791" t="s">
        <v>8808</v>
      </c>
      <c r="D4791" t="s">
        <v>21435</v>
      </c>
      <c r="E4791">
        <v>424000</v>
      </c>
      <c r="F4791" t="s">
        <v>1</v>
      </c>
      <c r="G4791" t="s">
        <v>2</v>
      </c>
      <c r="H4791" t="s">
        <v>1473</v>
      </c>
      <c r="J4791" t="s">
        <v>21436</v>
      </c>
      <c r="P4791" t="s">
        <v>941</v>
      </c>
      <c r="Y4791" t="s">
        <v>22943</v>
      </c>
    </row>
    <row r="4792" spans="1:25" x14ac:dyDescent="0.25">
      <c r="A4792" t="str">
        <f>"1801032107"</f>
        <v>1801032107</v>
      </c>
      <c r="B4792" t="s">
        <v>1046</v>
      </c>
      <c r="C4792" t="s">
        <v>22946</v>
      </c>
      <c r="D4792" t="s">
        <v>22944</v>
      </c>
      <c r="E4792">
        <v>424038</v>
      </c>
      <c r="F4792" t="s">
        <v>1</v>
      </c>
      <c r="G4792" t="s">
        <v>2</v>
      </c>
      <c r="H4792" t="s">
        <v>7597</v>
      </c>
      <c r="M4792" t="s">
        <v>22945</v>
      </c>
      <c r="P4792" t="s">
        <v>1642</v>
      </c>
      <c r="Q4792" t="s">
        <v>22947</v>
      </c>
      <c r="Y4792" t="s">
        <v>16150</v>
      </c>
    </row>
    <row r="4793" spans="1:25" x14ac:dyDescent="0.25">
      <c r="A4793" t="str">
        <f>"1801208858"</f>
        <v>1801208858</v>
      </c>
      <c r="B4793" t="s">
        <v>88</v>
      </c>
      <c r="C4793" t="s">
        <v>6066</v>
      </c>
      <c r="D4793" t="s">
        <v>22948</v>
      </c>
      <c r="E4793">
        <v>424918</v>
      </c>
      <c r="F4793" t="s">
        <v>1</v>
      </c>
      <c r="G4793" t="s">
        <v>2</v>
      </c>
      <c r="H4793" t="s">
        <v>629</v>
      </c>
      <c r="I4793" t="s">
        <v>22949</v>
      </c>
      <c r="P4793" t="s">
        <v>630</v>
      </c>
      <c r="Y4793" t="s">
        <v>1744</v>
      </c>
    </row>
    <row r="4794" spans="1:25" x14ac:dyDescent="0.25">
      <c r="A4794" t="str">
        <f>"1801400491"</f>
        <v>1801400491</v>
      </c>
      <c r="B4794" t="s">
        <v>96</v>
      </c>
      <c r="C4794" t="s">
        <v>20677</v>
      </c>
      <c r="D4794" t="s">
        <v>22094</v>
      </c>
      <c r="E4794">
        <v>424007</v>
      </c>
      <c r="F4794" t="s">
        <v>1</v>
      </c>
      <c r="G4794" t="s">
        <v>2</v>
      </c>
      <c r="H4794" t="s">
        <v>5281</v>
      </c>
      <c r="I4794" t="s">
        <v>21303</v>
      </c>
      <c r="P4794" t="s">
        <v>1404</v>
      </c>
      <c r="Y4794" t="s">
        <v>22950</v>
      </c>
    </row>
    <row r="4795" spans="1:25" x14ac:dyDescent="0.25">
      <c r="A4795" t="str">
        <f>"1801451650"</f>
        <v>1801451650</v>
      </c>
      <c r="B4795" t="s">
        <v>1222</v>
      </c>
      <c r="C4795" t="s">
        <v>2114</v>
      </c>
      <c r="D4795" t="s">
        <v>22951</v>
      </c>
      <c r="E4795">
        <v>424003</v>
      </c>
      <c r="F4795" t="s">
        <v>1</v>
      </c>
      <c r="G4795" t="s">
        <v>2</v>
      </c>
      <c r="H4795" t="s">
        <v>3158</v>
      </c>
      <c r="I4795" t="s">
        <v>15534</v>
      </c>
      <c r="P4795" t="s">
        <v>941</v>
      </c>
      <c r="Y4795" t="s">
        <v>6780</v>
      </c>
    </row>
    <row r="4796" spans="1:25" x14ac:dyDescent="0.25">
      <c r="A4796" t="str">
        <f>"1801769137"</f>
        <v>1801769137</v>
      </c>
      <c r="B4796" t="s">
        <v>25</v>
      </c>
      <c r="C4796" t="s">
        <v>59</v>
      </c>
      <c r="D4796" t="s">
        <v>22952</v>
      </c>
      <c r="E4796">
        <v>424008</v>
      </c>
      <c r="F4796" t="s">
        <v>1</v>
      </c>
      <c r="G4796" t="s">
        <v>2</v>
      </c>
      <c r="H4796" t="s">
        <v>22953</v>
      </c>
      <c r="J4796" t="s">
        <v>22954</v>
      </c>
      <c r="P4796" t="s">
        <v>330</v>
      </c>
      <c r="Y4796" t="s">
        <v>22955</v>
      </c>
    </row>
    <row r="4797" spans="1:25" x14ac:dyDescent="0.25">
      <c r="A4797" t="str">
        <f>"1802198818"</f>
        <v>1802198818</v>
      </c>
      <c r="B4797" t="s">
        <v>1046</v>
      </c>
      <c r="C4797" t="s">
        <v>3497</v>
      </c>
      <c r="D4797" t="s">
        <v>22956</v>
      </c>
      <c r="E4797">
        <v>424039</v>
      </c>
      <c r="F4797" t="s">
        <v>1</v>
      </c>
      <c r="G4797" t="s">
        <v>2</v>
      </c>
      <c r="H4797" t="s">
        <v>22957</v>
      </c>
      <c r="I4797" t="s">
        <v>22958</v>
      </c>
      <c r="L4797" t="s">
        <v>22959</v>
      </c>
      <c r="P4797" t="s">
        <v>330</v>
      </c>
      <c r="Q4797" t="s">
        <v>22960</v>
      </c>
      <c r="Y4797" t="s">
        <v>22961</v>
      </c>
    </row>
    <row r="4798" spans="1:25" x14ac:dyDescent="0.25">
      <c r="A4798" t="str">
        <f>"1802348146"</f>
        <v>1802348146</v>
      </c>
      <c r="B4798" t="s">
        <v>96</v>
      </c>
      <c r="C4798" t="s">
        <v>893</v>
      </c>
      <c r="D4798" t="s">
        <v>22962</v>
      </c>
      <c r="E4798">
        <v>424918</v>
      </c>
      <c r="F4798" t="s">
        <v>1</v>
      </c>
      <c r="G4798" t="s">
        <v>2</v>
      </c>
      <c r="H4798" t="s">
        <v>629</v>
      </c>
      <c r="P4798" t="s">
        <v>630</v>
      </c>
      <c r="Y4798" t="s">
        <v>1744</v>
      </c>
    </row>
    <row r="4799" spans="1:25" x14ac:dyDescent="0.25">
      <c r="A4799" t="str">
        <f>"1802472400"</f>
        <v>1802472400</v>
      </c>
      <c r="B4799" t="s">
        <v>2055</v>
      </c>
      <c r="C4799" t="s">
        <v>22967</v>
      </c>
      <c r="D4799" t="s">
        <v>22963</v>
      </c>
      <c r="E4799">
        <v>424016</v>
      </c>
      <c r="F4799" t="s">
        <v>1</v>
      </c>
      <c r="G4799" t="s">
        <v>2</v>
      </c>
      <c r="H4799" t="s">
        <v>8350</v>
      </c>
      <c r="J4799" t="s">
        <v>22964</v>
      </c>
      <c r="L4799" t="s">
        <v>22965</v>
      </c>
      <c r="M4799" t="s">
        <v>22966</v>
      </c>
      <c r="P4799" t="s">
        <v>21202</v>
      </c>
      <c r="Y4799" t="s">
        <v>22968</v>
      </c>
    </row>
    <row r="4800" spans="1:25" x14ac:dyDescent="0.25">
      <c r="A4800" t="str">
        <f>"1802598642"</f>
        <v>1802598642</v>
      </c>
      <c r="B4800" t="s">
        <v>176</v>
      </c>
      <c r="C4800" t="s">
        <v>566</v>
      </c>
      <c r="D4800" t="s">
        <v>22969</v>
      </c>
      <c r="E4800">
        <v>424000</v>
      </c>
      <c r="F4800" t="s">
        <v>1</v>
      </c>
      <c r="G4800" t="s">
        <v>2</v>
      </c>
      <c r="H4800" t="s">
        <v>12507</v>
      </c>
      <c r="I4800" t="s">
        <v>22970</v>
      </c>
      <c r="L4800" t="s">
        <v>22971</v>
      </c>
      <c r="M4800" t="s">
        <v>22972</v>
      </c>
      <c r="P4800" t="s">
        <v>330</v>
      </c>
      <c r="Q4800" t="s">
        <v>22973</v>
      </c>
      <c r="Y4800" t="s">
        <v>22974</v>
      </c>
    </row>
    <row r="4801" spans="1:25" x14ac:dyDescent="0.25">
      <c r="A4801" t="str">
        <f>"1802679027"</f>
        <v>1802679027</v>
      </c>
      <c r="B4801" t="s">
        <v>530</v>
      </c>
      <c r="C4801" t="s">
        <v>5046</v>
      </c>
      <c r="D4801" t="s">
        <v>5046</v>
      </c>
      <c r="E4801">
        <v>424031</v>
      </c>
      <c r="F4801" t="s">
        <v>1</v>
      </c>
      <c r="G4801" t="s">
        <v>2</v>
      </c>
      <c r="H4801" t="s">
        <v>4622</v>
      </c>
      <c r="J4801" t="s">
        <v>22975</v>
      </c>
      <c r="P4801" t="s">
        <v>1071</v>
      </c>
      <c r="Y4801" t="s">
        <v>7838</v>
      </c>
    </row>
    <row r="4802" spans="1:25" x14ac:dyDescent="0.25">
      <c r="A4802" t="str">
        <f>"1803069090"</f>
        <v>1803069090</v>
      </c>
      <c r="B4802" t="s">
        <v>352</v>
      </c>
      <c r="C4802" t="s">
        <v>353</v>
      </c>
      <c r="D4802" t="s">
        <v>22976</v>
      </c>
      <c r="E4802">
        <v>424026</v>
      </c>
      <c r="F4802" t="s">
        <v>1</v>
      </c>
      <c r="G4802" t="s">
        <v>2</v>
      </c>
      <c r="H4802" t="s">
        <v>7964</v>
      </c>
      <c r="I4802" t="s">
        <v>18447</v>
      </c>
      <c r="L4802" t="s">
        <v>22977</v>
      </c>
      <c r="M4802" t="s">
        <v>22978</v>
      </c>
      <c r="P4802" t="s">
        <v>133</v>
      </c>
      <c r="Y4802" t="s">
        <v>22979</v>
      </c>
    </row>
    <row r="4803" spans="1:25" x14ac:dyDescent="0.25">
      <c r="A4803" t="str">
        <f>"1803703273"</f>
        <v>1803703273</v>
      </c>
      <c r="B4803" t="s">
        <v>151</v>
      </c>
      <c r="C4803" t="s">
        <v>22982</v>
      </c>
      <c r="D4803" t="s">
        <v>17591</v>
      </c>
      <c r="E4803">
        <v>424000</v>
      </c>
      <c r="F4803" t="s">
        <v>1</v>
      </c>
      <c r="G4803" t="s">
        <v>2</v>
      </c>
      <c r="H4803" t="s">
        <v>5615</v>
      </c>
      <c r="I4803" t="s">
        <v>22980</v>
      </c>
      <c r="J4803" t="s">
        <v>22981</v>
      </c>
      <c r="P4803" t="s">
        <v>280</v>
      </c>
      <c r="Y4803" t="s">
        <v>5619</v>
      </c>
    </row>
    <row r="4804" spans="1:25" x14ac:dyDescent="0.25">
      <c r="A4804" t="str">
        <f>"1803739696"</f>
        <v>1803739696</v>
      </c>
      <c r="B4804" t="s">
        <v>18</v>
      </c>
      <c r="C4804" t="s">
        <v>143</v>
      </c>
      <c r="D4804" t="s">
        <v>22983</v>
      </c>
      <c r="E4804">
        <v>424006</v>
      </c>
      <c r="F4804" t="s">
        <v>1</v>
      </c>
      <c r="G4804" t="s">
        <v>2</v>
      </c>
      <c r="H4804" t="s">
        <v>22984</v>
      </c>
      <c r="I4804" t="s">
        <v>22985</v>
      </c>
      <c r="L4804" t="s">
        <v>22986</v>
      </c>
      <c r="M4804" t="s">
        <v>22987</v>
      </c>
      <c r="P4804" t="s">
        <v>22988</v>
      </c>
      <c r="Y4804" t="s">
        <v>1006</v>
      </c>
    </row>
    <row r="4805" spans="1:25" x14ac:dyDescent="0.25">
      <c r="A4805" t="str">
        <f>"1804242152"</f>
        <v>1804242152</v>
      </c>
      <c r="B4805" t="s">
        <v>430</v>
      </c>
      <c r="C4805" t="s">
        <v>612</v>
      </c>
      <c r="D4805" t="s">
        <v>22989</v>
      </c>
      <c r="E4805">
        <v>424006</v>
      </c>
      <c r="F4805" t="s">
        <v>1</v>
      </c>
      <c r="G4805" t="s">
        <v>2</v>
      </c>
      <c r="H4805" t="s">
        <v>14254</v>
      </c>
      <c r="I4805" t="s">
        <v>22990</v>
      </c>
      <c r="J4805" t="s">
        <v>22991</v>
      </c>
      <c r="P4805" t="s">
        <v>7436</v>
      </c>
      <c r="Q4805" t="s">
        <v>22992</v>
      </c>
      <c r="Y4805" t="s">
        <v>22993</v>
      </c>
    </row>
    <row r="4806" spans="1:25" x14ac:dyDescent="0.25">
      <c r="A4806" t="str">
        <f>"1804480104"</f>
        <v>1804480104</v>
      </c>
      <c r="B4806" t="s">
        <v>4084</v>
      </c>
      <c r="C4806" t="s">
        <v>7951</v>
      </c>
      <c r="D4806" t="s">
        <v>22994</v>
      </c>
      <c r="E4806">
        <v>424031</v>
      </c>
      <c r="F4806" t="s">
        <v>1</v>
      </c>
      <c r="G4806" t="s">
        <v>2</v>
      </c>
      <c r="H4806" t="s">
        <v>22995</v>
      </c>
      <c r="I4806" t="s">
        <v>22996</v>
      </c>
      <c r="L4806" t="s">
        <v>22997</v>
      </c>
      <c r="M4806" t="s">
        <v>22998</v>
      </c>
      <c r="P4806" t="s">
        <v>22999</v>
      </c>
      <c r="Y4806" t="s">
        <v>23000</v>
      </c>
    </row>
    <row r="4807" spans="1:25" x14ac:dyDescent="0.25">
      <c r="A4807" t="str">
        <f>"1804600674"</f>
        <v>1804600674</v>
      </c>
      <c r="B4807" t="s">
        <v>930</v>
      </c>
      <c r="C4807" t="s">
        <v>15966</v>
      </c>
      <c r="D4807" t="s">
        <v>23001</v>
      </c>
      <c r="E4807">
        <v>424007</v>
      </c>
      <c r="F4807" t="s">
        <v>1</v>
      </c>
      <c r="G4807" t="s">
        <v>2</v>
      </c>
      <c r="H4807" t="s">
        <v>22873</v>
      </c>
      <c r="J4807" t="s">
        <v>23002</v>
      </c>
      <c r="P4807" t="s">
        <v>330</v>
      </c>
      <c r="Q4807" t="s">
        <v>23003</v>
      </c>
      <c r="Y4807" t="s">
        <v>23004</v>
      </c>
    </row>
    <row r="4808" spans="1:25" x14ac:dyDescent="0.25">
      <c r="A4808" t="str">
        <f>"1804652107"</f>
        <v>1804652107</v>
      </c>
      <c r="B4808" t="s">
        <v>160</v>
      </c>
      <c r="C4808" t="s">
        <v>1666</v>
      </c>
      <c r="D4808" t="s">
        <v>23005</v>
      </c>
      <c r="E4808">
        <v>424006</v>
      </c>
      <c r="F4808" t="s">
        <v>1</v>
      </c>
      <c r="G4808" t="s">
        <v>2</v>
      </c>
      <c r="H4808" t="s">
        <v>6628</v>
      </c>
      <c r="I4808" t="s">
        <v>23006</v>
      </c>
      <c r="P4808" t="s">
        <v>280</v>
      </c>
      <c r="Y4808" t="s">
        <v>23007</v>
      </c>
    </row>
    <row r="4809" spans="1:25" x14ac:dyDescent="0.25">
      <c r="A4809" t="str">
        <f>"1804916710"</f>
        <v>1804916710</v>
      </c>
      <c r="B4809" t="s">
        <v>7312</v>
      </c>
      <c r="C4809" t="s">
        <v>21136</v>
      </c>
      <c r="D4809" t="s">
        <v>23008</v>
      </c>
      <c r="E4809">
        <v>424004</v>
      </c>
      <c r="F4809" t="s">
        <v>1</v>
      </c>
      <c r="G4809" t="s">
        <v>2</v>
      </c>
      <c r="H4809" t="s">
        <v>3266</v>
      </c>
      <c r="Y4809" t="s">
        <v>22214</v>
      </c>
    </row>
    <row r="4810" spans="1:25" x14ac:dyDescent="0.25">
      <c r="A4810" t="str">
        <f>"1804918472"</f>
        <v>1804918472</v>
      </c>
      <c r="B4810" t="s">
        <v>352</v>
      </c>
      <c r="C4810" t="s">
        <v>353</v>
      </c>
      <c r="D4810" t="s">
        <v>23009</v>
      </c>
      <c r="E4810">
        <v>424030</v>
      </c>
      <c r="F4810" t="s">
        <v>1</v>
      </c>
      <c r="G4810" t="s">
        <v>2</v>
      </c>
      <c r="H4810" t="s">
        <v>23010</v>
      </c>
      <c r="J4810" t="s">
        <v>23011</v>
      </c>
      <c r="P4810" t="s">
        <v>280</v>
      </c>
      <c r="Y4810" t="s">
        <v>23012</v>
      </c>
    </row>
    <row r="4811" spans="1:25" x14ac:dyDescent="0.25">
      <c r="A4811" t="str">
        <f>"1804922293"</f>
        <v>1804922293</v>
      </c>
      <c r="B4811" t="s">
        <v>1544</v>
      </c>
      <c r="C4811" t="s">
        <v>3596</v>
      </c>
      <c r="D4811" t="s">
        <v>23013</v>
      </c>
      <c r="E4811">
        <v>424000</v>
      </c>
      <c r="F4811" t="s">
        <v>1</v>
      </c>
      <c r="G4811" t="s">
        <v>2</v>
      </c>
      <c r="H4811" t="s">
        <v>5717</v>
      </c>
      <c r="P4811" t="s">
        <v>4543</v>
      </c>
      <c r="Y4811" t="s">
        <v>23014</v>
      </c>
    </row>
    <row r="4812" spans="1:25" x14ac:dyDescent="0.25">
      <c r="A4812" t="str">
        <f>"1805292810"</f>
        <v>1805292810</v>
      </c>
      <c r="B4812" t="s">
        <v>388</v>
      </c>
      <c r="C4812" t="s">
        <v>7194</v>
      </c>
      <c r="D4812" t="s">
        <v>23015</v>
      </c>
      <c r="E4812">
        <v>424031</v>
      </c>
      <c r="F4812" t="s">
        <v>1</v>
      </c>
      <c r="G4812" t="s">
        <v>2</v>
      </c>
      <c r="H4812" t="s">
        <v>1524</v>
      </c>
      <c r="I4812" t="s">
        <v>23016</v>
      </c>
      <c r="L4812" t="s">
        <v>23017</v>
      </c>
      <c r="P4812" t="s">
        <v>2923</v>
      </c>
      <c r="Q4812" t="s">
        <v>23018</v>
      </c>
      <c r="Y4812" t="s">
        <v>5358</v>
      </c>
    </row>
    <row r="4813" spans="1:25" x14ac:dyDescent="0.25">
      <c r="A4813" t="str">
        <f>"1805385455"</f>
        <v>1805385455</v>
      </c>
      <c r="B4813" t="s">
        <v>160</v>
      </c>
      <c r="C4813" t="s">
        <v>1666</v>
      </c>
      <c r="D4813" t="s">
        <v>23019</v>
      </c>
      <c r="E4813">
        <v>424003</v>
      </c>
      <c r="F4813" t="s">
        <v>1</v>
      </c>
      <c r="G4813" t="s">
        <v>2</v>
      </c>
      <c r="H4813" t="s">
        <v>5311</v>
      </c>
      <c r="I4813" t="s">
        <v>23020</v>
      </c>
      <c r="P4813" t="s">
        <v>330</v>
      </c>
      <c r="Y4813" t="s">
        <v>10521</v>
      </c>
    </row>
    <row r="4814" spans="1:25" x14ac:dyDescent="0.25">
      <c r="A4814" t="str">
        <f>"1805877690"</f>
        <v>1805877690</v>
      </c>
      <c r="B4814" t="s">
        <v>1053</v>
      </c>
      <c r="C4814" t="s">
        <v>23024</v>
      </c>
      <c r="D4814" t="s">
        <v>23021</v>
      </c>
      <c r="E4814">
        <v>424020</v>
      </c>
      <c r="F4814" t="s">
        <v>1</v>
      </c>
      <c r="G4814" t="s">
        <v>2</v>
      </c>
      <c r="H4814" t="s">
        <v>23022</v>
      </c>
      <c r="J4814" t="s">
        <v>23023</v>
      </c>
      <c r="P4814" t="s">
        <v>216</v>
      </c>
      <c r="Y4814" t="s">
        <v>23025</v>
      </c>
    </row>
    <row r="4815" spans="1:25" x14ac:dyDescent="0.25">
      <c r="A4815" t="str">
        <f>"1806156933"</f>
        <v>1806156933</v>
      </c>
      <c r="B4815" t="s">
        <v>88</v>
      </c>
      <c r="C4815" t="s">
        <v>23027</v>
      </c>
      <c r="D4815" t="s">
        <v>17845</v>
      </c>
      <c r="F4815" t="s">
        <v>1</v>
      </c>
      <c r="G4815" t="s">
        <v>2</v>
      </c>
      <c r="H4815" t="s">
        <v>3711</v>
      </c>
      <c r="J4815" t="s">
        <v>23026</v>
      </c>
      <c r="P4815" t="s">
        <v>280</v>
      </c>
      <c r="Y4815" t="s">
        <v>3715</v>
      </c>
    </row>
    <row r="4816" spans="1:25" x14ac:dyDescent="0.25">
      <c r="A4816" t="str">
        <f>"1806441763"</f>
        <v>1806441763</v>
      </c>
      <c r="B4816" t="s">
        <v>930</v>
      </c>
      <c r="C4816" t="s">
        <v>11882</v>
      </c>
      <c r="D4816" t="s">
        <v>23028</v>
      </c>
      <c r="E4816">
        <v>424019</v>
      </c>
      <c r="F4816" t="s">
        <v>1</v>
      </c>
      <c r="G4816" t="s">
        <v>2</v>
      </c>
      <c r="H4816" t="s">
        <v>13705</v>
      </c>
      <c r="I4816" t="s">
        <v>23029</v>
      </c>
      <c r="P4816" t="s">
        <v>1160</v>
      </c>
      <c r="Y4816" t="s">
        <v>23030</v>
      </c>
    </row>
    <row r="4817" spans="1:25" x14ac:dyDescent="0.25">
      <c r="A4817" t="str">
        <f>"1806679441"</f>
        <v>1806679441</v>
      </c>
      <c r="B4817" t="s">
        <v>2846</v>
      </c>
      <c r="C4817" t="s">
        <v>11032</v>
      </c>
      <c r="D4817" t="s">
        <v>23031</v>
      </c>
      <c r="E4817">
        <v>424918</v>
      </c>
      <c r="F4817" t="s">
        <v>1</v>
      </c>
      <c r="G4817" t="s">
        <v>2</v>
      </c>
      <c r="H4817" t="s">
        <v>629</v>
      </c>
      <c r="J4817" t="s">
        <v>23032</v>
      </c>
      <c r="P4817" t="s">
        <v>630</v>
      </c>
      <c r="Y4817" t="s">
        <v>23033</v>
      </c>
    </row>
    <row r="4818" spans="1:25" x14ac:dyDescent="0.25">
      <c r="A4818" t="str">
        <f>"1806995715"</f>
        <v>1806995715</v>
      </c>
      <c r="B4818" t="s">
        <v>1053</v>
      </c>
      <c r="C4818" t="s">
        <v>23039</v>
      </c>
      <c r="D4818" t="s">
        <v>23034</v>
      </c>
      <c r="E4818">
        <v>424008</v>
      </c>
      <c r="F4818" t="s">
        <v>1</v>
      </c>
      <c r="G4818" t="s">
        <v>2</v>
      </c>
      <c r="H4818" t="s">
        <v>1012</v>
      </c>
      <c r="I4818" t="s">
        <v>23035</v>
      </c>
      <c r="J4818" t="s">
        <v>23036</v>
      </c>
      <c r="L4818" t="s">
        <v>23037</v>
      </c>
      <c r="M4818" t="s">
        <v>23038</v>
      </c>
      <c r="P4818" t="s">
        <v>216</v>
      </c>
      <c r="Y4818" t="s">
        <v>1016</v>
      </c>
    </row>
    <row r="4819" spans="1:25" x14ac:dyDescent="0.25">
      <c r="A4819" t="str">
        <f>"1807197096"</f>
        <v>1807197096</v>
      </c>
      <c r="B4819" t="s">
        <v>328</v>
      </c>
      <c r="C4819" t="s">
        <v>23044</v>
      </c>
      <c r="D4819" t="s">
        <v>23040</v>
      </c>
      <c r="E4819">
        <v>424002</v>
      </c>
      <c r="F4819" t="s">
        <v>1</v>
      </c>
      <c r="G4819" t="s">
        <v>2</v>
      </c>
      <c r="H4819" t="s">
        <v>2164</v>
      </c>
      <c r="J4819" t="s">
        <v>23041</v>
      </c>
      <c r="L4819" t="s">
        <v>23042</v>
      </c>
      <c r="M4819" t="s">
        <v>23043</v>
      </c>
      <c r="P4819" t="s">
        <v>280</v>
      </c>
      <c r="Y4819" t="s">
        <v>2166</v>
      </c>
    </row>
    <row r="4820" spans="1:25" x14ac:dyDescent="0.25">
      <c r="A4820" t="str">
        <f>"1807283031"</f>
        <v>1807283031</v>
      </c>
      <c r="B4820" t="s">
        <v>88</v>
      </c>
      <c r="C4820" t="s">
        <v>10367</v>
      </c>
      <c r="D4820" t="s">
        <v>23045</v>
      </c>
      <c r="E4820">
        <v>424002</v>
      </c>
      <c r="F4820" t="s">
        <v>1</v>
      </c>
      <c r="G4820" t="s">
        <v>2</v>
      </c>
      <c r="H4820" t="s">
        <v>8527</v>
      </c>
      <c r="I4820" t="s">
        <v>23046</v>
      </c>
      <c r="P4820" t="s">
        <v>1855</v>
      </c>
      <c r="Y4820" t="s">
        <v>8529</v>
      </c>
    </row>
    <row r="4821" spans="1:25" x14ac:dyDescent="0.25">
      <c r="A4821" t="str">
        <f>"1807420824"</f>
        <v>1807420824</v>
      </c>
      <c r="B4821" t="s">
        <v>841</v>
      </c>
      <c r="C4821" t="s">
        <v>23049</v>
      </c>
      <c r="D4821" t="s">
        <v>23047</v>
      </c>
      <c r="E4821">
        <v>424002</v>
      </c>
      <c r="F4821" t="s">
        <v>1</v>
      </c>
      <c r="G4821" t="s">
        <v>2</v>
      </c>
      <c r="H4821" t="s">
        <v>2338</v>
      </c>
      <c r="I4821" t="s">
        <v>23048</v>
      </c>
      <c r="P4821" t="s">
        <v>2050</v>
      </c>
      <c r="Y4821" t="s">
        <v>2954</v>
      </c>
    </row>
    <row r="4822" spans="1:25" x14ac:dyDescent="0.25">
      <c r="A4822" t="str">
        <f>"1807641273"</f>
        <v>1807641273</v>
      </c>
      <c r="B4822" t="s">
        <v>80</v>
      </c>
      <c r="C4822" t="s">
        <v>3295</v>
      </c>
      <c r="D4822" t="s">
        <v>23050</v>
      </c>
      <c r="E4822">
        <v>424003</v>
      </c>
      <c r="F4822" t="s">
        <v>1</v>
      </c>
      <c r="G4822" t="s">
        <v>2</v>
      </c>
      <c r="H4822" t="s">
        <v>1042</v>
      </c>
      <c r="J4822" t="s">
        <v>23051</v>
      </c>
      <c r="L4822" t="s">
        <v>23052</v>
      </c>
      <c r="P4822" t="s">
        <v>23053</v>
      </c>
      <c r="Y4822" t="s">
        <v>11321</v>
      </c>
    </row>
    <row r="4823" spans="1:25" x14ac:dyDescent="0.25">
      <c r="A4823" t="str">
        <f>"1808075620"</f>
        <v>1808075620</v>
      </c>
      <c r="B4823" t="s">
        <v>379</v>
      </c>
      <c r="C4823" t="s">
        <v>766</v>
      </c>
      <c r="D4823" t="s">
        <v>761</v>
      </c>
      <c r="E4823">
        <v>424002</v>
      </c>
      <c r="F4823" t="s">
        <v>1</v>
      </c>
      <c r="G4823" t="s">
        <v>2</v>
      </c>
      <c r="H4823" t="s">
        <v>5933</v>
      </c>
      <c r="I4823" t="s">
        <v>763</v>
      </c>
      <c r="L4823" t="s">
        <v>23054</v>
      </c>
      <c r="M4823" t="s">
        <v>765</v>
      </c>
      <c r="P4823" t="s">
        <v>23055</v>
      </c>
      <c r="Q4823" t="s">
        <v>768</v>
      </c>
      <c r="R4823" t="s">
        <v>769</v>
      </c>
      <c r="S4823" t="s">
        <v>770</v>
      </c>
      <c r="V4823" t="s">
        <v>772</v>
      </c>
      <c r="Y4823" t="s">
        <v>23056</v>
      </c>
    </row>
    <row r="4824" spans="1:25" x14ac:dyDescent="0.25">
      <c r="A4824" t="str">
        <f>"1808248727"</f>
        <v>1808248727</v>
      </c>
      <c r="B4824" t="s">
        <v>1352</v>
      </c>
      <c r="C4824" t="s">
        <v>1353</v>
      </c>
      <c r="D4824" t="s">
        <v>21037</v>
      </c>
      <c r="E4824">
        <v>424918</v>
      </c>
      <c r="F4824" t="s">
        <v>1</v>
      </c>
      <c r="G4824" t="s">
        <v>2</v>
      </c>
      <c r="H4824" t="s">
        <v>629</v>
      </c>
      <c r="J4824" t="s">
        <v>21038</v>
      </c>
      <c r="P4824" t="s">
        <v>630</v>
      </c>
      <c r="Y4824" t="s">
        <v>4797</v>
      </c>
    </row>
    <row r="4825" spans="1:25" x14ac:dyDescent="0.25">
      <c r="A4825" t="str">
        <f>"1808273636"</f>
        <v>1808273636</v>
      </c>
      <c r="B4825" t="s">
        <v>123</v>
      </c>
      <c r="C4825" t="s">
        <v>424</v>
      </c>
      <c r="D4825" t="s">
        <v>23057</v>
      </c>
      <c r="E4825">
        <v>424038</v>
      </c>
      <c r="F4825" t="s">
        <v>1</v>
      </c>
      <c r="G4825" t="s">
        <v>2</v>
      </c>
      <c r="H4825" t="s">
        <v>13118</v>
      </c>
      <c r="J4825" t="s">
        <v>23058</v>
      </c>
      <c r="P4825" t="s">
        <v>425</v>
      </c>
      <c r="Y4825" t="s">
        <v>23059</v>
      </c>
    </row>
    <row r="4826" spans="1:25" x14ac:dyDescent="0.25">
      <c r="A4826" t="str">
        <f>"1808323204"</f>
        <v>1808323204</v>
      </c>
      <c r="B4826" t="s">
        <v>3700</v>
      </c>
      <c r="C4826" t="s">
        <v>23065</v>
      </c>
      <c r="D4826" t="s">
        <v>23060</v>
      </c>
      <c r="E4826">
        <v>424918</v>
      </c>
      <c r="F4826" t="s">
        <v>1</v>
      </c>
      <c r="G4826" t="s">
        <v>2</v>
      </c>
      <c r="H4826" t="s">
        <v>629</v>
      </c>
      <c r="I4826" t="s">
        <v>23061</v>
      </c>
      <c r="J4826" t="s">
        <v>23062</v>
      </c>
      <c r="L4826" t="s">
        <v>23063</v>
      </c>
      <c r="M4826" t="s">
        <v>23064</v>
      </c>
      <c r="P4826" t="s">
        <v>2572</v>
      </c>
      <c r="Q4826" t="s">
        <v>23066</v>
      </c>
      <c r="T4826" t="s">
        <v>23067</v>
      </c>
      <c r="Y4826" t="s">
        <v>1744</v>
      </c>
    </row>
    <row r="4827" spans="1:25" x14ac:dyDescent="0.25">
      <c r="A4827" t="str">
        <f>"1808818831"</f>
        <v>1808818831</v>
      </c>
      <c r="B4827" t="s">
        <v>67</v>
      </c>
      <c r="C4827" t="s">
        <v>832</v>
      </c>
      <c r="D4827" t="s">
        <v>23068</v>
      </c>
      <c r="E4827">
        <v>424037</v>
      </c>
      <c r="F4827" t="s">
        <v>1</v>
      </c>
      <c r="G4827" t="s">
        <v>2</v>
      </c>
      <c r="H4827" t="s">
        <v>3765</v>
      </c>
      <c r="I4827" t="s">
        <v>23069</v>
      </c>
      <c r="L4827" t="s">
        <v>23070</v>
      </c>
      <c r="M4827" t="s">
        <v>23071</v>
      </c>
      <c r="P4827" t="s">
        <v>23072</v>
      </c>
      <c r="Q4827" t="s">
        <v>23073</v>
      </c>
      <c r="R4827" t="s">
        <v>23074</v>
      </c>
      <c r="T4827" t="s">
        <v>23075</v>
      </c>
      <c r="V4827" t="s">
        <v>23076</v>
      </c>
      <c r="Y4827" t="s">
        <v>23077</v>
      </c>
    </row>
    <row r="4828" spans="1:25" x14ac:dyDescent="0.25">
      <c r="A4828" t="str">
        <f>"1808931353"</f>
        <v>1808931353</v>
      </c>
      <c r="B4828" t="s">
        <v>319</v>
      </c>
      <c r="C4828" t="s">
        <v>320</v>
      </c>
      <c r="D4828" t="s">
        <v>7723</v>
      </c>
      <c r="E4828">
        <v>424031</v>
      </c>
      <c r="F4828" t="s">
        <v>1</v>
      </c>
      <c r="G4828" t="s">
        <v>2</v>
      </c>
      <c r="H4828" t="s">
        <v>11334</v>
      </c>
      <c r="I4828" t="s">
        <v>23078</v>
      </c>
      <c r="P4828" t="s">
        <v>2561</v>
      </c>
      <c r="Y4828" t="s">
        <v>23079</v>
      </c>
    </row>
    <row r="4829" spans="1:25" x14ac:dyDescent="0.25">
      <c r="A4829" t="str">
        <f>"1809670576"</f>
        <v>1809670576</v>
      </c>
      <c r="B4829" t="s">
        <v>624</v>
      </c>
      <c r="C4829" t="s">
        <v>1637</v>
      </c>
      <c r="D4829" t="s">
        <v>23080</v>
      </c>
      <c r="E4829">
        <v>424028</v>
      </c>
      <c r="F4829" t="s">
        <v>1</v>
      </c>
      <c r="G4829" t="s">
        <v>2</v>
      </c>
      <c r="H4829" t="s">
        <v>2942</v>
      </c>
      <c r="Y4829" t="s">
        <v>2944</v>
      </c>
    </row>
    <row r="4830" spans="1:25" x14ac:dyDescent="0.25">
      <c r="A4830" t="str">
        <f>"1809803006"</f>
        <v>1809803006</v>
      </c>
      <c r="B4830" t="s">
        <v>930</v>
      </c>
      <c r="C4830" t="s">
        <v>23081</v>
      </c>
      <c r="D4830" t="s">
        <v>11470</v>
      </c>
      <c r="E4830">
        <v>424004</v>
      </c>
      <c r="F4830" t="s">
        <v>1</v>
      </c>
      <c r="G4830" t="s">
        <v>2</v>
      </c>
      <c r="H4830" t="s">
        <v>22668</v>
      </c>
      <c r="P4830" t="s">
        <v>60</v>
      </c>
      <c r="Y4830" t="s">
        <v>23082</v>
      </c>
    </row>
    <row r="4831" spans="1:25" x14ac:dyDescent="0.25">
      <c r="A4831" t="str">
        <f>"1809870381"</f>
        <v>1809870381</v>
      </c>
      <c r="B4831" t="s">
        <v>1053</v>
      </c>
      <c r="C4831" t="s">
        <v>1799</v>
      </c>
      <c r="D4831" t="s">
        <v>23083</v>
      </c>
      <c r="E4831">
        <v>424033</v>
      </c>
      <c r="F4831" t="s">
        <v>1</v>
      </c>
      <c r="G4831" t="s">
        <v>2</v>
      </c>
      <c r="H4831" t="s">
        <v>4300</v>
      </c>
      <c r="I4831" t="s">
        <v>23084</v>
      </c>
      <c r="L4831" t="s">
        <v>23085</v>
      </c>
      <c r="M4831" t="s">
        <v>23086</v>
      </c>
      <c r="P4831" t="s">
        <v>133</v>
      </c>
      <c r="Q4831" t="s">
        <v>23087</v>
      </c>
      <c r="Y4831" t="s">
        <v>10046</v>
      </c>
    </row>
    <row r="4832" spans="1:25" x14ac:dyDescent="0.25">
      <c r="A4832" t="str">
        <f>"1809926612"</f>
        <v>1809926612</v>
      </c>
      <c r="B4832" t="s">
        <v>1053</v>
      </c>
      <c r="C4832" t="s">
        <v>23092</v>
      </c>
      <c r="D4832" t="s">
        <v>23088</v>
      </c>
      <c r="E4832">
        <v>424019</v>
      </c>
      <c r="F4832" t="s">
        <v>1</v>
      </c>
      <c r="G4832" t="s">
        <v>2</v>
      </c>
      <c r="H4832" t="s">
        <v>19290</v>
      </c>
      <c r="J4832" t="s">
        <v>23089</v>
      </c>
      <c r="L4832" t="s">
        <v>23090</v>
      </c>
      <c r="M4832" t="s">
        <v>23091</v>
      </c>
      <c r="P4832" t="s">
        <v>280</v>
      </c>
      <c r="Q4832" t="s">
        <v>23093</v>
      </c>
      <c r="V4832" t="s">
        <v>23094</v>
      </c>
      <c r="Y4832" t="s">
        <v>23095</v>
      </c>
    </row>
    <row r="4833" spans="1:25" x14ac:dyDescent="0.25">
      <c r="A4833" t="str">
        <f>"1810441667"</f>
        <v>1810441667</v>
      </c>
      <c r="B4833" t="s">
        <v>243</v>
      </c>
      <c r="C4833" t="s">
        <v>244</v>
      </c>
      <c r="D4833" t="s">
        <v>23096</v>
      </c>
      <c r="F4833" t="s">
        <v>1</v>
      </c>
      <c r="G4833" t="s">
        <v>2</v>
      </c>
      <c r="H4833" t="s">
        <v>1003</v>
      </c>
      <c r="I4833" t="s">
        <v>23097</v>
      </c>
      <c r="P4833" t="s">
        <v>9</v>
      </c>
      <c r="Y4833" t="s">
        <v>1006</v>
      </c>
    </row>
    <row r="4834" spans="1:25" x14ac:dyDescent="0.25">
      <c r="A4834" t="str">
        <f>"1811125602"</f>
        <v>1811125602</v>
      </c>
      <c r="B4834" t="s">
        <v>930</v>
      </c>
      <c r="C4834" t="s">
        <v>1096</v>
      </c>
      <c r="D4834" t="s">
        <v>23098</v>
      </c>
      <c r="E4834">
        <v>424008</v>
      </c>
      <c r="F4834" t="s">
        <v>1</v>
      </c>
      <c r="G4834" t="s">
        <v>2</v>
      </c>
      <c r="H4834" t="s">
        <v>6584</v>
      </c>
      <c r="I4834" t="s">
        <v>23099</v>
      </c>
      <c r="L4834" t="s">
        <v>1938</v>
      </c>
      <c r="M4834" t="s">
        <v>1939</v>
      </c>
      <c r="P4834" t="s">
        <v>23100</v>
      </c>
      <c r="Y4834" t="s">
        <v>23101</v>
      </c>
    </row>
    <row r="4835" spans="1:25" x14ac:dyDescent="0.25">
      <c r="A4835" t="str">
        <f>"1812897412"</f>
        <v>1812897412</v>
      </c>
      <c r="B4835" t="s">
        <v>123</v>
      </c>
      <c r="C4835" t="s">
        <v>18438</v>
      </c>
      <c r="D4835" t="s">
        <v>23102</v>
      </c>
      <c r="E4835">
        <v>424039</v>
      </c>
      <c r="F4835" t="s">
        <v>1</v>
      </c>
      <c r="G4835" t="s">
        <v>2</v>
      </c>
      <c r="H4835" t="s">
        <v>5195</v>
      </c>
      <c r="I4835" t="s">
        <v>23103</v>
      </c>
      <c r="P4835" t="s">
        <v>4006</v>
      </c>
      <c r="Y4835" t="s">
        <v>23104</v>
      </c>
    </row>
    <row r="4836" spans="1:25" x14ac:dyDescent="0.25">
      <c r="A4836" t="str">
        <f>"1813091380"</f>
        <v>1813091380</v>
      </c>
      <c r="B4836" t="s">
        <v>930</v>
      </c>
      <c r="C4836" t="s">
        <v>23108</v>
      </c>
      <c r="D4836" t="s">
        <v>23105</v>
      </c>
      <c r="E4836">
        <v>424006</v>
      </c>
      <c r="F4836" t="s">
        <v>1</v>
      </c>
      <c r="G4836" t="s">
        <v>2</v>
      </c>
      <c r="H4836" t="s">
        <v>20829</v>
      </c>
      <c r="I4836" t="s">
        <v>23106</v>
      </c>
      <c r="M4836" t="s">
        <v>23107</v>
      </c>
      <c r="P4836" t="s">
        <v>1160</v>
      </c>
      <c r="Y4836" t="s">
        <v>23109</v>
      </c>
    </row>
    <row r="4837" spans="1:25" x14ac:dyDescent="0.25">
      <c r="A4837" t="str">
        <f>"1814295003"</f>
        <v>1814295003</v>
      </c>
      <c r="B4837" t="s">
        <v>80</v>
      </c>
      <c r="C4837" t="s">
        <v>15234</v>
      </c>
      <c r="D4837" t="s">
        <v>20951</v>
      </c>
      <c r="E4837">
        <v>424000</v>
      </c>
      <c r="F4837" t="s">
        <v>1</v>
      </c>
      <c r="G4837" t="s">
        <v>2</v>
      </c>
      <c r="H4837" t="s">
        <v>1531</v>
      </c>
      <c r="I4837" t="s">
        <v>21438</v>
      </c>
      <c r="P4837" t="s">
        <v>330</v>
      </c>
      <c r="Y4837" t="s">
        <v>1707</v>
      </c>
    </row>
    <row r="4838" spans="1:25" x14ac:dyDescent="0.25">
      <c r="A4838" t="str">
        <f>"1815042121"</f>
        <v>1815042121</v>
      </c>
      <c r="B4838" t="s">
        <v>574</v>
      </c>
      <c r="C4838" t="s">
        <v>22533</v>
      </c>
      <c r="D4838" t="s">
        <v>3057</v>
      </c>
      <c r="E4838">
        <v>424032</v>
      </c>
      <c r="F4838" t="s">
        <v>1</v>
      </c>
      <c r="G4838" t="s">
        <v>2</v>
      </c>
      <c r="H4838" t="s">
        <v>6280</v>
      </c>
      <c r="P4838" t="s">
        <v>2457</v>
      </c>
      <c r="Y4838" t="s">
        <v>23110</v>
      </c>
    </row>
    <row r="4839" spans="1:25" x14ac:dyDescent="0.25">
      <c r="A4839" t="str">
        <f>"1815617472"</f>
        <v>1815617472</v>
      </c>
      <c r="B4839" t="s">
        <v>738</v>
      </c>
      <c r="C4839" t="s">
        <v>23115</v>
      </c>
      <c r="D4839" t="s">
        <v>23111</v>
      </c>
      <c r="E4839">
        <v>424000</v>
      </c>
      <c r="F4839" t="s">
        <v>1</v>
      </c>
      <c r="G4839" t="s">
        <v>2</v>
      </c>
      <c r="H4839" t="s">
        <v>3421</v>
      </c>
      <c r="I4839" t="s">
        <v>23112</v>
      </c>
      <c r="L4839" t="s">
        <v>23113</v>
      </c>
      <c r="M4839" t="s">
        <v>23114</v>
      </c>
      <c r="P4839" t="s">
        <v>133</v>
      </c>
      <c r="Y4839" t="s">
        <v>3425</v>
      </c>
    </row>
    <row r="4840" spans="1:25" x14ac:dyDescent="0.25">
      <c r="A4840" t="str">
        <f>"1815729159"</f>
        <v>1815729159</v>
      </c>
      <c r="B4840" t="s">
        <v>738</v>
      </c>
      <c r="C4840" t="s">
        <v>739</v>
      </c>
      <c r="D4840" t="s">
        <v>23116</v>
      </c>
      <c r="E4840">
        <v>424002</v>
      </c>
      <c r="F4840" t="s">
        <v>1</v>
      </c>
      <c r="G4840" t="s">
        <v>2</v>
      </c>
      <c r="H4840" t="s">
        <v>8832</v>
      </c>
      <c r="I4840" t="s">
        <v>23117</v>
      </c>
      <c r="J4840" t="s">
        <v>23118</v>
      </c>
      <c r="L4840" t="s">
        <v>23119</v>
      </c>
      <c r="M4840" t="s">
        <v>23120</v>
      </c>
      <c r="P4840" t="s">
        <v>2738</v>
      </c>
      <c r="Q4840" t="s">
        <v>23121</v>
      </c>
      <c r="V4840" t="s">
        <v>23122</v>
      </c>
      <c r="Y4840" t="s">
        <v>23123</v>
      </c>
    </row>
    <row r="4841" spans="1:25" x14ac:dyDescent="0.25">
      <c r="A4841" t="str">
        <f>"1816621370"</f>
        <v>1816621370</v>
      </c>
      <c r="B4841" t="s">
        <v>80</v>
      </c>
      <c r="C4841" t="s">
        <v>15234</v>
      </c>
      <c r="D4841" t="s">
        <v>20951</v>
      </c>
      <c r="E4841">
        <v>424000</v>
      </c>
      <c r="F4841" t="s">
        <v>1</v>
      </c>
      <c r="G4841" t="s">
        <v>2</v>
      </c>
      <c r="H4841" t="s">
        <v>211</v>
      </c>
      <c r="I4841" t="s">
        <v>23124</v>
      </c>
      <c r="J4841" t="s">
        <v>23125</v>
      </c>
      <c r="L4841" t="s">
        <v>16920</v>
      </c>
      <c r="M4841" t="s">
        <v>21439</v>
      </c>
      <c r="P4841" t="s">
        <v>5649</v>
      </c>
      <c r="Y4841" t="s">
        <v>4742</v>
      </c>
    </row>
    <row r="4842" spans="1:25" x14ac:dyDescent="0.25">
      <c r="A4842" t="str">
        <f>"1819314091"</f>
        <v>1819314091</v>
      </c>
      <c r="B4842" t="s">
        <v>1552</v>
      </c>
      <c r="C4842" t="s">
        <v>7588</v>
      </c>
      <c r="D4842" t="s">
        <v>23126</v>
      </c>
      <c r="E4842">
        <v>424038</v>
      </c>
      <c r="F4842" t="s">
        <v>1</v>
      </c>
      <c r="G4842" t="s">
        <v>2</v>
      </c>
      <c r="H4842" t="s">
        <v>10681</v>
      </c>
      <c r="J4842" t="s">
        <v>23127</v>
      </c>
      <c r="L4842" t="s">
        <v>23128</v>
      </c>
      <c r="P4842" t="s">
        <v>152</v>
      </c>
      <c r="Y4842" t="s">
        <v>23129</v>
      </c>
    </row>
    <row r="4843" spans="1:25" x14ac:dyDescent="0.25">
      <c r="A4843" t="str">
        <f>"1819661327"</f>
        <v>1819661327</v>
      </c>
      <c r="B4843" t="s">
        <v>123</v>
      </c>
      <c r="C4843" t="s">
        <v>731</v>
      </c>
      <c r="D4843" t="s">
        <v>23130</v>
      </c>
      <c r="E4843">
        <v>424007</v>
      </c>
      <c r="F4843" t="s">
        <v>1</v>
      </c>
      <c r="G4843" t="s">
        <v>2</v>
      </c>
      <c r="H4843" t="s">
        <v>23131</v>
      </c>
      <c r="I4843" t="s">
        <v>23132</v>
      </c>
      <c r="P4843" t="s">
        <v>425</v>
      </c>
      <c r="Y4843" t="s">
        <v>23133</v>
      </c>
    </row>
    <row r="4844" spans="1:25" x14ac:dyDescent="0.25">
      <c r="A4844" t="str">
        <f>"1819715418"</f>
        <v>1819715418</v>
      </c>
      <c r="B4844" t="s">
        <v>1053</v>
      </c>
      <c r="C4844" t="s">
        <v>23139</v>
      </c>
      <c r="D4844" t="s">
        <v>23134</v>
      </c>
      <c r="F4844" t="s">
        <v>1</v>
      </c>
      <c r="G4844" t="s">
        <v>2</v>
      </c>
      <c r="H4844" t="s">
        <v>23135</v>
      </c>
      <c r="I4844" t="s">
        <v>23136</v>
      </c>
      <c r="L4844" t="s">
        <v>23137</v>
      </c>
      <c r="M4844" t="s">
        <v>23138</v>
      </c>
      <c r="P4844" t="s">
        <v>27</v>
      </c>
      <c r="Q4844" t="s">
        <v>23140</v>
      </c>
      <c r="T4844" t="s">
        <v>23141</v>
      </c>
      <c r="Y4844" t="s">
        <v>23142</v>
      </c>
    </row>
    <row r="4845" spans="1:25" x14ac:dyDescent="0.25">
      <c r="A4845" t="str">
        <f>"1820104462"</f>
        <v>1820104462</v>
      </c>
      <c r="B4845" t="s">
        <v>930</v>
      </c>
      <c r="C4845" t="s">
        <v>927</v>
      </c>
      <c r="D4845" t="s">
        <v>927</v>
      </c>
      <c r="F4845" t="s">
        <v>1</v>
      </c>
      <c r="G4845" t="s">
        <v>2</v>
      </c>
      <c r="H4845" t="s">
        <v>10476</v>
      </c>
      <c r="J4845" t="s">
        <v>23143</v>
      </c>
      <c r="P4845" t="s">
        <v>816</v>
      </c>
      <c r="Y4845" t="s">
        <v>23144</v>
      </c>
    </row>
    <row r="4846" spans="1:25" x14ac:dyDescent="0.25">
      <c r="A4846" t="str">
        <f>"1820919773"</f>
        <v>1820919773</v>
      </c>
      <c r="B4846" t="s">
        <v>574</v>
      </c>
      <c r="C4846" t="s">
        <v>22533</v>
      </c>
      <c r="D4846" t="s">
        <v>3057</v>
      </c>
      <c r="E4846">
        <v>424005</v>
      </c>
      <c r="F4846" t="s">
        <v>1</v>
      </c>
      <c r="G4846" t="s">
        <v>2</v>
      </c>
      <c r="H4846" t="s">
        <v>5843</v>
      </c>
      <c r="P4846" t="s">
        <v>216</v>
      </c>
      <c r="Y4846" t="s">
        <v>23145</v>
      </c>
    </row>
    <row r="4847" spans="1:25" x14ac:dyDescent="0.25">
      <c r="A4847" t="str">
        <f>"1821027207"</f>
        <v>1821027207</v>
      </c>
      <c r="B4847" t="s">
        <v>930</v>
      </c>
      <c r="C4847" t="s">
        <v>927</v>
      </c>
      <c r="D4847" t="s">
        <v>927</v>
      </c>
      <c r="E4847">
        <v>424008</v>
      </c>
      <c r="F4847" t="s">
        <v>1</v>
      </c>
      <c r="G4847" t="s">
        <v>2</v>
      </c>
      <c r="H4847" t="s">
        <v>23146</v>
      </c>
      <c r="Y4847" t="s">
        <v>23147</v>
      </c>
    </row>
    <row r="4848" spans="1:25" x14ac:dyDescent="0.25">
      <c r="A4848" t="str">
        <f>"1821966197"</f>
        <v>1821966197</v>
      </c>
      <c r="B4848" t="s">
        <v>18</v>
      </c>
      <c r="C4848" t="s">
        <v>23152</v>
      </c>
      <c r="D4848" t="s">
        <v>23148</v>
      </c>
      <c r="E4848">
        <v>424028</v>
      </c>
      <c r="F4848" t="s">
        <v>1</v>
      </c>
      <c r="G4848" t="s">
        <v>2</v>
      </c>
      <c r="H4848" t="s">
        <v>23149</v>
      </c>
      <c r="I4848" t="s">
        <v>23150</v>
      </c>
      <c r="M4848" t="s">
        <v>23151</v>
      </c>
      <c r="Y4848" t="s">
        <v>23153</v>
      </c>
    </row>
    <row r="4849" spans="1:25" x14ac:dyDescent="0.25">
      <c r="A4849" t="str">
        <f>"1823882337"</f>
        <v>1823882337</v>
      </c>
      <c r="B4849" t="s">
        <v>1362</v>
      </c>
      <c r="C4849" t="s">
        <v>23155</v>
      </c>
      <c r="D4849" t="s">
        <v>14730</v>
      </c>
      <c r="E4849">
        <v>424003</v>
      </c>
      <c r="F4849" t="s">
        <v>1</v>
      </c>
      <c r="G4849" t="s">
        <v>2</v>
      </c>
      <c r="H4849" t="s">
        <v>5311</v>
      </c>
      <c r="I4849" t="s">
        <v>23154</v>
      </c>
      <c r="P4849" t="s">
        <v>330</v>
      </c>
      <c r="Y4849" t="s">
        <v>10521</v>
      </c>
    </row>
    <row r="4850" spans="1:25" x14ac:dyDescent="0.25">
      <c r="A4850" t="str">
        <f>"1825266553"</f>
        <v>1825266553</v>
      </c>
      <c r="B4850" t="s">
        <v>640</v>
      </c>
      <c r="C4850" t="s">
        <v>663</v>
      </c>
      <c r="D4850" t="s">
        <v>23156</v>
      </c>
      <c r="F4850" t="s">
        <v>1</v>
      </c>
      <c r="G4850" t="s">
        <v>2</v>
      </c>
      <c r="H4850" t="s">
        <v>3984</v>
      </c>
      <c r="I4850" t="s">
        <v>23157</v>
      </c>
      <c r="P4850" t="s">
        <v>5829</v>
      </c>
      <c r="Y4850" t="s">
        <v>4409</v>
      </c>
    </row>
    <row r="4851" spans="1:25" x14ac:dyDescent="0.25">
      <c r="A4851" t="str">
        <f>"1826043782"</f>
        <v>1826043782</v>
      </c>
      <c r="B4851" t="s">
        <v>348</v>
      </c>
      <c r="C4851" t="s">
        <v>12108</v>
      </c>
      <c r="D4851" t="s">
        <v>23158</v>
      </c>
      <c r="E4851">
        <v>424006</v>
      </c>
      <c r="F4851" t="s">
        <v>1</v>
      </c>
      <c r="G4851" t="s">
        <v>2</v>
      </c>
      <c r="H4851" t="s">
        <v>393</v>
      </c>
      <c r="I4851" t="s">
        <v>23159</v>
      </c>
      <c r="P4851" t="s">
        <v>112</v>
      </c>
      <c r="Y4851" t="s">
        <v>23160</v>
      </c>
    </row>
    <row r="4852" spans="1:25" x14ac:dyDescent="0.25">
      <c r="A4852" t="str">
        <f>"1826229006"</f>
        <v>1826229006</v>
      </c>
      <c r="B4852" t="s">
        <v>18</v>
      </c>
      <c r="C4852" t="s">
        <v>1419</v>
      </c>
      <c r="D4852" t="s">
        <v>23161</v>
      </c>
      <c r="E4852">
        <v>424004</v>
      </c>
      <c r="F4852" t="s">
        <v>1</v>
      </c>
      <c r="G4852" t="s">
        <v>2</v>
      </c>
      <c r="H4852" t="s">
        <v>23162</v>
      </c>
      <c r="I4852" t="s">
        <v>23163</v>
      </c>
      <c r="P4852" t="s">
        <v>696</v>
      </c>
      <c r="Y4852" t="s">
        <v>23164</v>
      </c>
    </row>
    <row r="4853" spans="1:25" x14ac:dyDescent="0.25">
      <c r="A4853" t="str">
        <f>"1826747871"</f>
        <v>1826747871</v>
      </c>
      <c r="B4853" t="s">
        <v>1544</v>
      </c>
      <c r="C4853" t="s">
        <v>15598</v>
      </c>
      <c r="D4853" t="s">
        <v>23165</v>
      </c>
      <c r="E4853">
        <v>424003</v>
      </c>
      <c r="F4853" t="s">
        <v>1</v>
      </c>
      <c r="G4853" t="s">
        <v>2</v>
      </c>
      <c r="H4853" t="s">
        <v>16749</v>
      </c>
      <c r="P4853" t="s">
        <v>7436</v>
      </c>
      <c r="Y4853" t="s">
        <v>23166</v>
      </c>
    </row>
    <row r="4854" spans="1:25" x14ac:dyDescent="0.25">
      <c r="A4854" t="str">
        <f>"1827081171"</f>
        <v>1827081171</v>
      </c>
      <c r="B4854" t="s">
        <v>553</v>
      </c>
      <c r="C4854" t="s">
        <v>23169</v>
      </c>
      <c r="D4854" t="s">
        <v>23167</v>
      </c>
      <c r="E4854">
        <v>424039</v>
      </c>
      <c r="F4854" t="s">
        <v>1</v>
      </c>
      <c r="G4854" t="s">
        <v>2</v>
      </c>
      <c r="H4854" t="s">
        <v>5827</v>
      </c>
      <c r="J4854" t="s">
        <v>23168</v>
      </c>
      <c r="P4854" t="s">
        <v>941</v>
      </c>
      <c r="Y4854" t="s">
        <v>10310</v>
      </c>
    </row>
    <row r="4855" spans="1:25" x14ac:dyDescent="0.25">
      <c r="A4855" t="str">
        <f>"1827273058"</f>
        <v>1827273058</v>
      </c>
      <c r="B4855" t="s">
        <v>88</v>
      </c>
      <c r="C4855" t="s">
        <v>8056</v>
      </c>
      <c r="D4855" t="s">
        <v>23170</v>
      </c>
      <c r="E4855">
        <v>424031</v>
      </c>
      <c r="F4855" t="s">
        <v>1</v>
      </c>
      <c r="G4855" t="s">
        <v>2</v>
      </c>
      <c r="H4855" t="s">
        <v>4606</v>
      </c>
      <c r="I4855" t="s">
        <v>23171</v>
      </c>
      <c r="P4855" t="s">
        <v>3379</v>
      </c>
      <c r="Y4855" t="s">
        <v>13861</v>
      </c>
    </row>
    <row r="4856" spans="1:25" x14ac:dyDescent="0.25">
      <c r="A4856" t="str">
        <f>"1827335637"</f>
        <v>1827335637</v>
      </c>
      <c r="B4856" t="s">
        <v>703</v>
      </c>
      <c r="C4856" t="s">
        <v>3518</v>
      </c>
      <c r="D4856" t="s">
        <v>23172</v>
      </c>
      <c r="E4856">
        <v>424004</v>
      </c>
      <c r="F4856" t="s">
        <v>1</v>
      </c>
      <c r="G4856" t="s">
        <v>2</v>
      </c>
      <c r="H4856" t="s">
        <v>4036</v>
      </c>
      <c r="I4856" t="s">
        <v>23173</v>
      </c>
      <c r="P4856" t="s">
        <v>280</v>
      </c>
      <c r="Y4856" t="s">
        <v>23174</v>
      </c>
    </row>
    <row r="4857" spans="1:25" x14ac:dyDescent="0.25">
      <c r="A4857" t="str">
        <f>"1829437977"</f>
        <v>1829437977</v>
      </c>
      <c r="B4857" t="s">
        <v>319</v>
      </c>
      <c r="C4857" t="s">
        <v>23177</v>
      </c>
      <c r="D4857" t="s">
        <v>23175</v>
      </c>
      <c r="E4857">
        <v>424000</v>
      </c>
      <c r="F4857" t="s">
        <v>1</v>
      </c>
      <c r="G4857" t="s">
        <v>2</v>
      </c>
      <c r="H4857" t="s">
        <v>2202</v>
      </c>
      <c r="I4857" t="s">
        <v>23176</v>
      </c>
      <c r="P4857" t="s">
        <v>6581</v>
      </c>
      <c r="Y4857" t="s">
        <v>2204</v>
      </c>
    </row>
    <row r="4858" spans="1:25" x14ac:dyDescent="0.25">
      <c r="A4858" t="str">
        <f>"1830032593"</f>
        <v>1830032593</v>
      </c>
      <c r="B4858" t="s">
        <v>32</v>
      </c>
      <c r="C4858" t="s">
        <v>23179</v>
      </c>
      <c r="D4858" t="s">
        <v>19532</v>
      </c>
      <c r="E4858">
        <v>424002</v>
      </c>
      <c r="F4858" t="s">
        <v>1</v>
      </c>
      <c r="G4858" t="s">
        <v>2</v>
      </c>
      <c r="H4858" t="s">
        <v>5381</v>
      </c>
      <c r="J4858" t="s">
        <v>23178</v>
      </c>
      <c r="P4858" t="s">
        <v>1760</v>
      </c>
      <c r="Q4858" t="s">
        <v>23180</v>
      </c>
      <c r="Y4858" t="s">
        <v>23181</v>
      </c>
    </row>
    <row r="4859" spans="1:25" x14ac:dyDescent="0.25">
      <c r="A4859" t="str">
        <f>"1833898216"</f>
        <v>1833898216</v>
      </c>
      <c r="B4859" t="s">
        <v>88</v>
      </c>
      <c r="C4859" t="s">
        <v>23183</v>
      </c>
      <c r="D4859" t="s">
        <v>14119</v>
      </c>
      <c r="E4859">
        <v>424020</v>
      </c>
      <c r="F4859" t="s">
        <v>1</v>
      </c>
      <c r="G4859" t="s">
        <v>2</v>
      </c>
      <c r="H4859" t="s">
        <v>6262</v>
      </c>
      <c r="J4859" t="s">
        <v>23182</v>
      </c>
      <c r="P4859" t="s">
        <v>6263</v>
      </c>
      <c r="Y4859" t="s">
        <v>23184</v>
      </c>
    </row>
    <row r="4860" spans="1:25" x14ac:dyDescent="0.25">
      <c r="A4860" t="str">
        <f>"1834276428"</f>
        <v>1834276428</v>
      </c>
      <c r="B4860" t="s">
        <v>334</v>
      </c>
      <c r="C4860" t="s">
        <v>2551</v>
      </c>
      <c r="D4860" t="s">
        <v>23185</v>
      </c>
      <c r="E4860">
        <v>424006</v>
      </c>
      <c r="F4860" t="s">
        <v>1</v>
      </c>
      <c r="G4860" t="s">
        <v>2</v>
      </c>
      <c r="H4860" t="s">
        <v>830</v>
      </c>
      <c r="I4860" t="s">
        <v>23186</v>
      </c>
      <c r="P4860" t="s">
        <v>27</v>
      </c>
      <c r="Y4860" t="s">
        <v>3830</v>
      </c>
    </row>
    <row r="4861" spans="1:25" x14ac:dyDescent="0.25">
      <c r="A4861" t="str">
        <f>"1834328645"</f>
        <v>1834328645</v>
      </c>
      <c r="B4861" t="s">
        <v>352</v>
      </c>
      <c r="C4861" t="s">
        <v>23192</v>
      </c>
      <c r="D4861" t="s">
        <v>23187</v>
      </c>
      <c r="E4861">
        <v>424006</v>
      </c>
      <c r="F4861" t="s">
        <v>1</v>
      </c>
      <c r="G4861" t="s">
        <v>2</v>
      </c>
      <c r="H4861" t="s">
        <v>2825</v>
      </c>
      <c r="I4861" t="s">
        <v>23188</v>
      </c>
      <c r="J4861" t="s">
        <v>23189</v>
      </c>
      <c r="L4861" t="s">
        <v>23190</v>
      </c>
      <c r="M4861" t="s">
        <v>23191</v>
      </c>
      <c r="P4861" t="s">
        <v>23193</v>
      </c>
      <c r="Y4861" t="s">
        <v>23194</v>
      </c>
    </row>
    <row r="4862" spans="1:25" x14ac:dyDescent="0.25">
      <c r="A4862" t="str">
        <f>"1835278201"</f>
        <v>1835278201</v>
      </c>
      <c r="B4862" t="s">
        <v>4084</v>
      </c>
      <c r="C4862" t="s">
        <v>23199</v>
      </c>
      <c r="D4862" t="s">
        <v>23195</v>
      </c>
      <c r="E4862">
        <v>424032</v>
      </c>
      <c r="F4862" t="s">
        <v>1</v>
      </c>
      <c r="G4862" t="s">
        <v>2</v>
      </c>
      <c r="H4862" t="s">
        <v>23196</v>
      </c>
      <c r="J4862" t="s">
        <v>23197</v>
      </c>
      <c r="M4862" t="s">
        <v>23198</v>
      </c>
      <c r="Y4862" t="s">
        <v>23200</v>
      </c>
    </row>
    <row r="4863" spans="1:25" x14ac:dyDescent="0.25">
      <c r="A4863" t="str">
        <f>"1835329877"</f>
        <v>1835329877</v>
      </c>
      <c r="B4863" t="s">
        <v>96</v>
      </c>
      <c r="C4863" t="s">
        <v>311</v>
      </c>
      <c r="D4863" t="s">
        <v>23201</v>
      </c>
      <c r="E4863">
        <v>424038</v>
      </c>
      <c r="F4863" t="s">
        <v>1</v>
      </c>
      <c r="G4863" t="s">
        <v>2</v>
      </c>
      <c r="H4863" t="s">
        <v>7597</v>
      </c>
      <c r="I4863" t="s">
        <v>23202</v>
      </c>
      <c r="P4863" t="s">
        <v>1642</v>
      </c>
      <c r="Y4863" t="s">
        <v>23203</v>
      </c>
    </row>
    <row r="4864" spans="1:25" x14ac:dyDescent="0.25">
      <c r="A4864" t="str">
        <f>"1835446205"</f>
        <v>1835446205</v>
      </c>
      <c r="B4864" t="s">
        <v>96</v>
      </c>
      <c r="C4864" t="s">
        <v>311</v>
      </c>
      <c r="D4864" t="s">
        <v>23204</v>
      </c>
      <c r="E4864">
        <v>424918</v>
      </c>
      <c r="F4864" t="s">
        <v>1</v>
      </c>
      <c r="G4864" t="s">
        <v>2</v>
      </c>
      <c r="H4864" t="s">
        <v>629</v>
      </c>
      <c r="I4864" t="s">
        <v>23205</v>
      </c>
      <c r="P4864" t="s">
        <v>630</v>
      </c>
      <c r="Y4864" t="s">
        <v>23206</v>
      </c>
    </row>
    <row r="4865" spans="1:25" x14ac:dyDescent="0.25">
      <c r="A4865" t="str">
        <f>"1836254249"</f>
        <v>1836254249</v>
      </c>
      <c r="B4865" t="s">
        <v>67</v>
      </c>
      <c r="C4865" t="s">
        <v>832</v>
      </c>
      <c r="D4865" t="s">
        <v>23207</v>
      </c>
      <c r="E4865">
        <v>424007</v>
      </c>
      <c r="F4865" t="s">
        <v>1</v>
      </c>
      <c r="G4865" t="s">
        <v>2</v>
      </c>
      <c r="H4865" t="s">
        <v>23208</v>
      </c>
      <c r="I4865" t="s">
        <v>8748</v>
      </c>
      <c r="L4865" t="s">
        <v>8749</v>
      </c>
      <c r="M4865" t="s">
        <v>23209</v>
      </c>
      <c r="P4865" t="s">
        <v>23210</v>
      </c>
      <c r="Q4865" t="s">
        <v>23211</v>
      </c>
      <c r="T4865" t="s">
        <v>23212</v>
      </c>
      <c r="V4865" t="s">
        <v>8757</v>
      </c>
      <c r="Y4865" t="s">
        <v>23213</v>
      </c>
    </row>
    <row r="4866" spans="1:25" x14ac:dyDescent="0.25">
      <c r="A4866" t="str">
        <f>"1836575792"</f>
        <v>1836575792</v>
      </c>
      <c r="B4866" t="s">
        <v>2601</v>
      </c>
      <c r="C4866" t="s">
        <v>23216</v>
      </c>
      <c r="D4866" t="s">
        <v>23214</v>
      </c>
      <c r="E4866">
        <v>424000</v>
      </c>
      <c r="F4866" t="s">
        <v>1</v>
      </c>
      <c r="G4866" t="s">
        <v>2</v>
      </c>
      <c r="H4866" t="s">
        <v>3749</v>
      </c>
      <c r="J4866" t="s">
        <v>23215</v>
      </c>
      <c r="P4866" t="s">
        <v>941</v>
      </c>
      <c r="Y4866" t="s">
        <v>23217</v>
      </c>
    </row>
    <row r="4867" spans="1:25" x14ac:dyDescent="0.25">
      <c r="A4867" t="str">
        <f>"1837346636"</f>
        <v>1837346636</v>
      </c>
      <c r="B4867" t="s">
        <v>430</v>
      </c>
      <c r="C4867" t="s">
        <v>16178</v>
      </c>
      <c r="D4867" t="s">
        <v>10135</v>
      </c>
      <c r="E4867">
        <v>424030</v>
      </c>
      <c r="F4867" t="s">
        <v>1</v>
      </c>
      <c r="G4867" t="s">
        <v>2</v>
      </c>
      <c r="H4867" t="s">
        <v>8006</v>
      </c>
      <c r="Y4867" t="s">
        <v>23218</v>
      </c>
    </row>
    <row r="4868" spans="1:25" x14ac:dyDescent="0.25">
      <c r="A4868" t="str">
        <f>"1837729507"</f>
        <v>1837729507</v>
      </c>
      <c r="B4868" t="s">
        <v>96</v>
      </c>
      <c r="C4868" t="s">
        <v>23223</v>
      </c>
      <c r="D4868" t="s">
        <v>23219</v>
      </c>
      <c r="F4868" t="s">
        <v>1</v>
      </c>
      <c r="G4868" t="s">
        <v>2</v>
      </c>
      <c r="H4868" t="s">
        <v>3984</v>
      </c>
      <c r="J4868" t="s">
        <v>23220</v>
      </c>
      <c r="L4868" t="s">
        <v>23221</v>
      </c>
      <c r="M4868" t="s">
        <v>23222</v>
      </c>
      <c r="P4868" t="s">
        <v>5084</v>
      </c>
      <c r="Q4868" t="s">
        <v>23224</v>
      </c>
      <c r="Y4868" t="s">
        <v>4409</v>
      </c>
    </row>
    <row r="4869" spans="1:25" x14ac:dyDescent="0.25">
      <c r="A4869" t="str">
        <f>"1837918646"</f>
        <v>1837918646</v>
      </c>
      <c r="B4869" t="s">
        <v>25</v>
      </c>
      <c r="C4869" t="s">
        <v>9873</v>
      </c>
      <c r="D4869" t="s">
        <v>23225</v>
      </c>
      <c r="E4869">
        <v>424000</v>
      </c>
      <c r="F4869" t="s">
        <v>1</v>
      </c>
      <c r="G4869" t="s">
        <v>2</v>
      </c>
      <c r="H4869" t="s">
        <v>523</v>
      </c>
      <c r="I4869" t="s">
        <v>23226</v>
      </c>
      <c r="P4869" t="s">
        <v>280</v>
      </c>
      <c r="Y4869" t="s">
        <v>526</v>
      </c>
    </row>
    <row r="4870" spans="1:25" x14ac:dyDescent="0.25">
      <c r="A4870" t="str">
        <f>"1840398004"</f>
        <v>1840398004</v>
      </c>
      <c r="B4870" t="s">
        <v>1152</v>
      </c>
      <c r="C4870" t="s">
        <v>10452</v>
      </c>
      <c r="D4870" t="s">
        <v>23227</v>
      </c>
      <c r="E4870">
        <v>424002</v>
      </c>
      <c r="F4870" t="s">
        <v>1</v>
      </c>
      <c r="G4870" t="s">
        <v>2</v>
      </c>
      <c r="H4870" t="s">
        <v>14916</v>
      </c>
      <c r="I4870" t="s">
        <v>23228</v>
      </c>
      <c r="J4870" t="s">
        <v>23229</v>
      </c>
      <c r="P4870" t="s">
        <v>15040</v>
      </c>
      <c r="Y4870" t="s">
        <v>23230</v>
      </c>
    </row>
    <row r="4871" spans="1:25" x14ac:dyDescent="0.25">
      <c r="A4871" t="str">
        <f>"1840995980"</f>
        <v>1840995980</v>
      </c>
      <c r="B4871" t="s">
        <v>1152</v>
      </c>
      <c r="C4871" t="s">
        <v>4682</v>
      </c>
      <c r="D4871" t="s">
        <v>23231</v>
      </c>
      <c r="E4871">
        <v>424002</v>
      </c>
      <c r="F4871" t="s">
        <v>1</v>
      </c>
      <c r="G4871" t="s">
        <v>2</v>
      </c>
      <c r="H4871" t="s">
        <v>11341</v>
      </c>
      <c r="I4871" t="s">
        <v>23232</v>
      </c>
      <c r="P4871" t="s">
        <v>1679</v>
      </c>
      <c r="Y4871" t="s">
        <v>11344</v>
      </c>
    </row>
    <row r="4872" spans="1:25" x14ac:dyDescent="0.25">
      <c r="A4872" t="str">
        <f>"1841002005"</f>
        <v>1841002005</v>
      </c>
      <c r="B4872" t="s">
        <v>110</v>
      </c>
      <c r="C4872" t="s">
        <v>23237</v>
      </c>
      <c r="D4872" t="s">
        <v>23233</v>
      </c>
      <c r="E4872">
        <v>424000</v>
      </c>
      <c r="F4872" t="s">
        <v>1</v>
      </c>
      <c r="G4872" t="s">
        <v>2</v>
      </c>
      <c r="H4872" t="s">
        <v>23234</v>
      </c>
      <c r="I4872" t="s">
        <v>23235</v>
      </c>
      <c r="M4872" t="s">
        <v>23236</v>
      </c>
      <c r="P4872" t="s">
        <v>23238</v>
      </c>
      <c r="Y4872" t="s">
        <v>23239</v>
      </c>
    </row>
    <row r="4873" spans="1:25" x14ac:dyDescent="0.25">
      <c r="A4873" t="str">
        <f>"1841447909"</f>
        <v>1841447909</v>
      </c>
      <c r="B4873" t="s">
        <v>348</v>
      </c>
      <c r="C4873" t="s">
        <v>12108</v>
      </c>
      <c r="D4873" t="s">
        <v>23240</v>
      </c>
      <c r="E4873">
        <v>424019</v>
      </c>
      <c r="F4873" t="s">
        <v>1</v>
      </c>
      <c r="G4873" t="s">
        <v>2</v>
      </c>
      <c r="H4873" t="s">
        <v>12105</v>
      </c>
      <c r="I4873" t="s">
        <v>23241</v>
      </c>
      <c r="L4873" t="s">
        <v>23242</v>
      </c>
      <c r="M4873" t="s">
        <v>23243</v>
      </c>
      <c r="P4873" t="s">
        <v>941</v>
      </c>
      <c r="Y4873" t="s">
        <v>14260</v>
      </c>
    </row>
    <row r="4874" spans="1:25" x14ac:dyDescent="0.25">
      <c r="A4874" t="str">
        <f>"1842228281"</f>
        <v>1842228281</v>
      </c>
      <c r="B4874" t="s">
        <v>18</v>
      </c>
      <c r="C4874" t="s">
        <v>5677</v>
      </c>
      <c r="D4874" t="s">
        <v>23244</v>
      </c>
      <c r="F4874" t="s">
        <v>1</v>
      </c>
      <c r="G4874" t="s">
        <v>2</v>
      </c>
      <c r="H4874" t="s">
        <v>9610</v>
      </c>
      <c r="I4874" t="s">
        <v>23245</v>
      </c>
      <c r="P4874" t="s">
        <v>280</v>
      </c>
      <c r="Y4874" t="s">
        <v>9612</v>
      </c>
    </row>
    <row r="4875" spans="1:25" x14ac:dyDescent="0.25">
      <c r="A4875" t="str">
        <f>"1843180024"</f>
        <v>1843180024</v>
      </c>
      <c r="B4875" t="s">
        <v>224</v>
      </c>
      <c r="C4875" t="s">
        <v>23249</v>
      </c>
      <c r="D4875" t="s">
        <v>23246</v>
      </c>
      <c r="E4875">
        <v>424008</v>
      </c>
      <c r="F4875" t="s">
        <v>1</v>
      </c>
      <c r="G4875" t="s">
        <v>2</v>
      </c>
      <c r="H4875" t="s">
        <v>23247</v>
      </c>
      <c r="I4875" t="s">
        <v>23248</v>
      </c>
      <c r="L4875" t="s">
        <v>12960</v>
      </c>
      <c r="M4875" t="s">
        <v>12961</v>
      </c>
      <c r="P4875" t="s">
        <v>280</v>
      </c>
      <c r="Y4875" t="s">
        <v>23250</v>
      </c>
    </row>
    <row r="4876" spans="1:25" x14ac:dyDescent="0.25">
      <c r="A4876" t="str">
        <f>"1843243209"</f>
        <v>1843243209</v>
      </c>
      <c r="B4876" t="s">
        <v>574</v>
      </c>
      <c r="C4876" t="s">
        <v>646</v>
      </c>
      <c r="D4876" t="s">
        <v>5285</v>
      </c>
      <c r="E4876">
        <v>424038</v>
      </c>
      <c r="F4876" t="s">
        <v>1</v>
      </c>
      <c r="G4876" t="s">
        <v>2</v>
      </c>
      <c r="H4876" t="s">
        <v>23251</v>
      </c>
      <c r="I4876" t="s">
        <v>23252</v>
      </c>
      <c r="P4876" t="s">
        <v>60</v>
      </c>
      <c r="Y4876" t="s">
        <v>23253</v>
      </c>
    </row>
    <row r="4877" spans="1:25" x14ac:dyDescent="0.25">
      <c r="A4877" t="str">
        <f>"1843531500"</f>
        <v>1843531500</v>
      </c>
      <c r="B4877" t="s">
        <v>1053</v>
      </c>
      <c r="C4877" t="s">
        <v>23256</v>
      </c>
      <c r="D4877" t="s">
        <v>7610</v>
      </c>
      <c r="F4877" t="s">
        <v>1</v>
      </c>
      <c r="G4877" t="s">
        <v>2</v>
      </c>
      <c r="H4877" t="s">
        <v>23254</v>
      </c>
      <c r="I4877" t="s">
        <v>23255</v>
      </c>
      <c r="P4877" t="s">
        <v>2050</v>
      </c>
      <c r="Y4877" t="s">
        <v>23257</v>
      </c>
    </row>
    <row r="4878" spans="1:25" x14ac:dyDescent="0.25">
      <c r="A4878" t="str">
        <f>"1844088618"</f>
        <v>1844088618</v>
      </c>
      <c r="B4878" t="s">
        <v>1544</v>
      </c>
      <c r="C4878" t="s">
        <v>11393</v>
      </c>
      <c r="D4878" t="s">
        <v>21345</v>
      </c>
      <c r="E4878">
        <v>424028</v>
      </c>
      <c r="F4878" t="s">
        <v>1</v>
      </c>
      <c r="G4878" t="s">
        <v>2</v>
      </c>
      <c r="H4878" t="s">
        <v>23258</v>
      </c>
      <c r="I4878" t="s">
        <v>23259</v>
      </c>
      <c r="M4878" t="s">
        <v>21348</v>
      </c>
      <c r="P4878" t="s">
        <v>13505</v>
      </c>
      <c r="Y4878" t="s">
        <v>23260</v>
      </c>
    </row>
    <row r="4879" spans="1:25" x14ac:dyDescent="0.25">
      <c r="A4879" t="str">
        <f>"1844118946"</f>
        <v>1844118946</v>
      </c>
      <c r="B4879" t="s">
        <v>790</v>
      </c>
      <c r="C4879" t="s">
        <v>23263</v>
      </c>
      <c r="D4879" t="s">
        <v>23261</v>
      </c>
      <c r="E4879">
        <v>424000</v>
      </c>
      <c r="F4879" t="s">
        <v>1</v>
      </c>
      <c r="G4879" t="s">
        <v>2</v>
      </c>
      <c r="H4879" t="s">
        <v>1531</v>
      </c>
      <c r="J4879" t="s">
        <v>23262</v>
      </c>
      <c r="P4879" t="s">
        <v>3379</v>
      </c>
      <c r="Y4879" t="s">
        <v>1707</v>
      </c>
    </row>
    <row r="4880" spans="1:25" x14ac:dyDescent="0.25">
      <c r="A4880" t="str">
        <f>"1844508886"</f>
        <v>1844508886</v>
      </c>
      <c r="B4880" t="s">
        <v>371</v>
      </c>
      <c r="C4880" t="s">
        <v>23269</v>
      </c>
      <c r="D4880" t="s">
        <v>23264</v>
      </c>
      <c r="E4880">
        <v>424006</v>
      </c>
      <c r="F4880" t="s">
        <v>1</v>
      </c>
      <c r="G4880" t="s">
        <v>2</v>
      </c>
      <c r="H4880" t="s">
        <v>1436</v>
      </c>
      <c r="I4880" t="s">
        <v>23265</v>
      </c>
      <c r="J4880" t="s">
        <v>23266</v>
      </c>
      <c r="L4880" t="s">
        <v>23267</v>
      </c>
      <c r="M4880" t="s">
        <v>23268</v>
      </c>
      <c r="P4880" t="s">
        <v>2296</v>
      </c>
      <c r="Q4880" t="s">
        <v>23270</v>
      </c>
      <c r="V4880" t="s">
        <v>23271</v>
      </c>
      <c r="Y4880" t="s">
        <v>23272</v>
      </c>
    </row>
    <row r="4881" spans="1:25" x14ac:dyDescent="0.25">
      <c r="A4881" t="str">
        <f>"1844553493"</f>
        <v>1844553493</v>
      </c>
      <c r="B4881" t="s">
        <v>6609</v>
      </c>
      <c r="C4881" t="s">
        <v>23278</v>
      </c>
      <c r="D4881" t="s">
        <v>23273</v>
      </c>
      <c r="F4881" t="s">
        <v>1</v>
      </c>
      <c r="G4881" t="s">
        <v>2</v>
      </c>
      <c r="H4881" t="s">
        <v>23274</v>
      </c>
      <c r="I4881" t="s">
        <v>23275</v>
      </c>
      <c r="J4881" t="s">
        <v>23276</v>
      </c>
      <c r="L4881" t="s">
        <v>23277</v>
      </c>
      <c r="P4881" t="s">
        <v>280</v>
      </c>
      <c r="Y4881" t="s">
        <v>23279</v>
      </c>
    </row>
    <row r="4882" spans="1:25" x14ac:dyDescent="0.25">
      <c r="A4882" t="str">
        <f>"1844748226"</f>
        <v>1844748226</v>
      </c>
      <c r="B4882" t="s">
        <v>88</v>
      </c>
      <c r="C4882" t="s">
        <v>23282</v>
      </c>
      <c r="D4882" t="s">
        <v>23280</v>
      </c>
      <c r="E4882">
        <v>424002</v>
      </c>
      <c r="F4882" t="s">
        <v>1</v>
      </c>
      <c r="G4882" t="s">
        <v>2</v>
      </c>
      <c r="H4882" t="s">
        <v>744</v>
      </c>
      <c r="J4882" t="s">
        <v>23281</v>
      </c>
      <c r="P4882" t="s">
        <v>23283</v>
      </c>
      <c r="Y4882" t="s">
        <v>23284</v>
      </c>
    </row>
    <row r="4883" spans="1:25" x14ac:dyDescent="0.25">
      <c r="A4883" t="str">
        <f>"1844964746"</f>
        <v>1844964746</v>
      </c>
      <c r="B4883" t="s">
        <v>319</v>
      </c>
      <c r="C4883" t="s">
        <v>23289</v>
      </c>
      <c r="D4883" t="s">
        <v>23285</v>
      </c>
      <c r="E4883">
        <v>424007</v>
      </c>
      <c r="F4883" t="s">
        <v>1</v>
      </c>
      <c r="G4883" t="s">
        <v>2</v>
      </c>
      <c r="H4883" t="s">
        <v>23286</v>
      </c>
      <c r="I4883" t="s">
        <v>23287</v>
      </c>
      <c r="L4883" t="s">
        <v>16920</v>
      </c>
      <c r="M4883" t="s">
        <v>23288</v>
      </c>
      <c r="P4883" t="s">
        <v>23290</v>
      </c>
      <c r="Y4883" t="s">
        <v>23291</v>
      </c>
    </row>
    <row r="4884" spans="1:25" x14ac:dyDescent="0.25">
      <c r="A4884" t="str">
        <f>"1845048308"</f>
        <v>1845048308</v>
      </c>
      <c r="B4884" t="s">
        <v>117</v>
      </c>
      <c r="C4884" t="s">
        <v>118</v>
      </c>
      <c r="D4884" t="s">
        <v>23292</v>
      </c>
      <c r="F4884" t="s">
        <v>1</v>
      </c>
      <c r="G4884" t="s">
        <v>2</v>
      </c>
      <c r="H4884" t="s">
        <v>5539</v>
      </c>
      <c r="I4884" t="s">
        <v>23293</v>
      </c>
      <c r="P4884" t="s">
        <v>330</v>
      </c>
      <c r="Y4884" t="s">
        <v>23294</v>
      </c>
    </row>
    <row r="4885" spans="1:25" x14ac:dyDescent="0.25">
      <c r="A4885" t="str">
        <f>"1845088004"</f>
        <v>1845088004</v>
      </c>
      <c r="B4885" t="s">
        <v>290</v>
      </c>
      <c r="C4885" t="s">
        <v>23296</v>
      </c>
      <c r="D4885" t="s">
        <v>21345</v>
      </c>
      <c r="E4885">
        <v>424005</v>
      </c>
      <c r="F4885" t="s">
        <v>1</v>
      </c>
      <c r="G4885" t="s">
        <v>2</v>
      </c>
      <c r="H4885" t="s">
        <v>5843</v>
      </c>
      <c r="I4885" t="s">
        <v>23295</v>
      </c>
      <c r="M4885" t="s">
        <v>21348</v>
      </c>
      <c r="P4885" t="s">
        <v>216</v>
      </c>
      <c r="Y4885" t="s">
        <v>23297</v>
      </c>
    </row>
    <row r="4886" spans="1:25" x14ac:dyDescent="0.25">
      <c r="A4886" t="str">
        <f>"1845591595"</f>
        <v>1845591595</v>
      </c>
      <c r="B4886" t="s">
        <v>738</v>
      </c>
      <c r="C4886" t="s">
        <v>23302</v>
      </c>
      <c r="D4886" t="s">
        <v>23298</v>
      </c>
      <c r="F4886" t="s">
        <v>1</v>
      </c>
      <c r="G4886" t="s">
        <v>2</v>
      </c>
      <c r="H4886" t="s">
        <v>4152</v>
      </c>
      <c r="I4886" t="s">
        <v>23299</v>
      </c>
      <c r="L4886" t="s">
        <v>23300</v>
      </c>
      <c r="M4886" t="s">
        <v>23301</v>
      </c>
      <c r="P4886" t="s">
        <v>22843</v>
      </c>
      <c r="Y4886" t="s">
        <v>23303</v>
      </c>
    </row>
    <row r="4887" spans="1:25" x14ac:dyDescent="0.25">
      <c r="A4887" t="str">
        <f>"1846955492"</f>
        <v>1846955492</v>
      </c>
      <c r="B4887" t="s">
        <v>397</v>
      </c>
      <c r="C4887" t="s">
        <v>22344</v>
      </c>
      <c r="D4887" t="s">
        <v>23304</v>
      </c>
      <c r="F4887" t="s">
        <v>1</v>
      </c>
      <c r="G4887" t="s">
        <v>2</v>
      </c>
      <c r="H4887" t="s">
        <v>6365</v>
      </c>
      <c r="I4887" t="s">
        <v>23305</v>
      </c>
      <c r="J4887" t="s">
        <v>23306</v>
      </c>
      <c r="P4887" t="s">
        <v>23307</v>
      </c>
      <c r="Y4887" t="s">
        <v>6368</v>
      </c>
    </row>
    <row r="4888" spans="1:25" x14ac:dyDescent="0.25">
      <c r="A4888" t="str">
        <f>"1847942634"</f>
        <v>1847942634</v>
      </c>
      <c r="B4888" t="s">
        <v>1152</v>
      </c>
      <c r="C4888" t="s">
        <v>1153</v>
      </c>
      <c r="D4888" t="s">
        <v>1153</v>
      </c>
      <c r="F4888" t="s">
        <v>1</v>
      </c>
      <c r="G4888" t="s">
        <v>2</v>
      </c>
      <c r="H4888" t="s">
        <v>23308</v>
      </c>
      <c r="Y4888" t="s">
        <v>23309</v>
      </c>
    </row>
    <row r="4889" spans="1:25" x14ac:dyDescent="0.25">
      <c r="A4889" t="str">
        <f>"1848417280"</f>
        <v>1848417280</v>
      </c>
      <c r="B4889" t="s">
        <v>7312</v>
      </c>
      <c r="C4889" t="s">
        <v>23312</v>
      </c>
      <c r="D4889" t="s">
        <v>23310</v>
      </c>
      <c r="E4889">
        <v>424003</v>
      </c>
      <c r="F4889" t="s">
        <v>1</v>
      </c>
      <c r="G4889" t="s">
        <v>2</v>
      </c>
      <c r="H4889" t="s">
        <v>6759</v>
      </c>
      <c r="I4889" t="s">
        <v>23311</v>
      </c>
      <c r="P4889" t="s">
        <v>9</v>
      </c>
      <c r="Y4889" t="s">
        <v>16868</v>
      </c>
    </row>
    <row r="4890" spans="1:25" x14ac:dyDescent="0.25">
      <c r="A4890" t="str">
        <f>"1848473575"</f>
        <v>1848473575</v>
      </c>
      <c r="B4890" t="s">
        <v>117</v>
      </c>
      <c r="C4890" t="s">
        <v>118</v>
      </c>
      <c r="D4890" t="s">
        <v>23313</v>
      </c>
      <c r="E4890">
        <v>424016</v>
      </c>
      <c r="F4890" t="s">
        <v>1</v>
      </c>
      <c r="G4890" t="s">
        <v>2</v>
      </c>
      <c r="H4890" t="s">
        <v>9674</v>
      </c>
      <c r="I4890" t="s">
        <v>23314</v>
      </c>
      <c r="P4890" t="s">
        <v>23315</v>
      </c>
      <c r="Y4890" t="s">
        <v>15749</v>
      </c>
    </row>
    <row r="4891" spans="1:25" x14ac:dyDescent="0.25">
      <c r="A4891" t="str">
        <f>"1848980248"</f>
        <v>1848980248</v>
      </c>
      <c r="B4891" t="s">
        <v>80</v>
      </c>
      <c r="C4891" t="s">
        <v>23319</v>
      </c>
      <c r="D4891" t="s">
        <v>23316</v>
      </c>
      <c r="E4891">
        <v>424000</v>
      </c>
      <c r="F4891" t="s">
        <v>1</v>
      </c>
      <c r="G4891" t="s">
        <v>2</v>
      </c>
      <c r="H4891" t="s">
        <v>12303</v>
      </c>
      <c r="I4891" t="s">
        <v>23317</v>
      </c>
      <c r="L4891" t="s">
        <v>23318</v>
      </c>
      <c r="P4891" t="s">
        <v>7826</v>
      </c>
      <c r="Q4891" t="s">
        <v>23320</v>
      </c>
      <c r="T4891" t="s">
        <v>23321</v>
      </c>
      <c r="Y4891" t="s">
        <v>23322</v>
      </c>
    </row>
    <row r="4892" spans="1:25" x14ac:dyDescent="0.25">
      <c r="A4892" t="str">
        <f>"1849091916"</f>
        <v>1849091916</v>
      </c>
      <c r="B4892" t="s">
        <v>18</v>
      </c>
      <c r="C4892" t="s">
        <v>23324</v>
      </c>
      <c r="D4892" t="s">
        <v>23323</v>
      </c>
      <c r="E4892">
        <v>424031</v>
      </c>
      <c r="F4892" t="s">
        <v>1</v>
      </c>
      <c r="G4892" t="s">
        <v>2</v>
      </c>
      <c r="H4892" t="s">
        <v>21909</v>
      </c>
      <c r="J4892" t="s">
        <v>8522</v>
      </c>
      <c r="P4892" t="s">
        <v>27</v>
      </c>
      <c r="Q4892" t="s">
        <v>23325</v>
      </c>
      <c r="Y4892" t="s">
        <v>23326</v>
      </c>
    </row>
    <row r="4893" spans="1:25" x14ac:dyDescent="0.25">
      <c r="A4893" t="str">
        <f>"1849558079"</f>
        <v>1849558079</v>
      </c>
      <c r="B4893" t="s">
        <v>290</v>
      </c>
      <c r="C4893" t="s">
        <v>23328</v>
      </c>
      <c r="D4893" t="s">
        <v>23327</v>
      </c>
      <c r="E4893">
        <v>424003</v>
      </c>
      <c r="F4893" t="s">
        <v>1</v>
      </c>
      <c r="G4893" t="s">
        <v>2</v>
      </c>
      <c r="H4893" t="s">
        <v>22849</v>
      </c>
      <c r="P4893" t="s">
        <v>1505</v>
      </c>
      <c r="Y4893" t="s">
        <v>23329</v>
      </c>
    </row>
    <row r="4894" spans="1:25" x14ac:dyDescent="0.25">
      <c r="A4894" t="str">
        <f>"1849655810"</f>
        <v>1849655810</v>
      </c>
      <c r="B4894" t="s">
        <v>2846</v>
      </c>
      <c r="C4894" t="s">
        <v>16956</v>
      </c>
      <c r="D4894" t="s">
        <v>23330</v>
      </c>
      <c r="E4894">
        <v>424000</v>
      </c>
      <c r="F4894" t="s">
        <v>1</v>
      </c>
      <c r="G4894" t="s">
        <v>2</v>
      </c>
      <c r="H4894" t="s">
        <v>2671</v>
      </c>
      <c r="I4894" t="s">
        <v>23331</v>
      </c>
      <c r="P4894" t="s">
        <v>410</v>
      </c>
      <c r="Y4894" t="s">
        <v>23332</v>
      </c>
    </row>
    <row r="4895" spans="1:25" x14ac:dyDescent="0.25">
      <c r="A4895" t="str">
        <f>"1850618859"</f>
        <v>1850618859</v>
      </c>
      <c r="B4895" t="s">
        <v>888</v>
      </c>
      <c r="C4895" t="s">
        <v>4712</v>
      </c>
      <c r="D4895" t="s">
        <v>23333</v>
      </c>
      <c r="E4895">
        <v>424033</v>
      </c>
      <c r="F4895" t="s">
        <v>1</v>
      </c>
      <c r="G4895" t="s">
        <v>2</v>
      </c>
      <c r="H4895" t="s">
        <v>9700</v>
      </c>
      <c r="I4895" t="s">
        <v>23334</v>
      </c>
      <c r="P4895" t="s">
        <v>16441</v>
      </c>
      <c r="Y4895" t="s">
        <v>23335</v>
      </c>
    </row>
    <row r="4896" spans="1:25" x14ac:dyDescent="0.25">
      <c r="A4896" t="str">
        <f>"1850858009"</f>
        <v>1850858009</v>
      </c>
      <c r="B4896" t="s">
        <v>930</v>
      </c>
      <c r="C4896" t="s">
        <v>13865</v>
      </c>
      <c r="D4896" t="s">
        <v>23336</v>
      </c>
      <c r="E4896">
        <v>424007</v>
      </c>
      <c r="F4896" t="s">
        <v>1</v>
      </c>
      <c r="G4896" t="s">
        <v>2</v>
      </c>
      <c r="H4896" t="s">
        <v>17849</v>
      </c>
      <c r="I4896" t="s">
        <v>23337</v>
      </c>
      <c r="J4896" t="s">
        <v>23338</v>
      </c>
      <c r="P4896" t="s">
        <v>23339</v>
      </c>
      <c r="Y4896" t="s">
        <v>20608</v>
      </c>
    </row>
    <row r="4897" spans="1:25" x14ac:dyDescent="0.25">
      <c r="A4897" t="str">
        <f>"1851285173"</f>
        <v>1851285173</v>
      </c>
      <c r="B4897" t="s">
        <v>3544</v>
      </c>
      <c r="C4897" t="s">
        <v>11303</v>
      </c>
      <c r="D4897" t="s">
        <v>23340</v>
      </c>
      <c r="F4897" t="s">
        <v>1</v>
      </c>
      <c r="G4897" t="s">
        <v>2</v>
      </c>
      <c r="H4897" t="s">
        <v>2586</v>
      </c>
      <c r="I4897" t="s">
        <v>23341</v>
      </c>
      <c r="P4897" t="s">
        <v>390</v>
      </c>
      <c r="Y4897" t="s">
        <v>23342</v>
      </c>
    </row>
    <row r="4898" spans="1:25" x14ac:dyDescent="0.25">
      <c r="A4898" t="str">
        <f>"1852077625"</f>
        <v>1852077625</v>
      </c>
      <c r="B4898" t="s">
        <v>1573</v>
      </c>
      <c r="C4898" t="s">
        <v>1817</v>
      </c>
      <c r="D4898" t="s">
        <v>1817</v>
      </c>
      <c r="E4898">
        <v>424030</v>
      </c>
      <c r="F4898" t="s">
        <v>1</v>
      </c>
      <c r="G4898" t="s">
        <v>2</v>
      </c>
      <c r="H4898" t="s">
        <v>5134</v>
      </c>
      <c r="Y4898" t="s">
        <v>23343</v>
      </c>
    </row>
    <row r="4899" spans="1:25" x14ac:dyDescent="0.25">
      <c r="A4899" t="str">
        <f>"1852671890"</f>
        <v>1852671890</v>
      </c>
      <c r="B4899" t="s">
        <v>574</v>
      </c>
      <c r="C4899" t="s">
        <v>952</v>
      </c>
      <c r="D4899" t="s">
        <v>1589</v>
      </c>
      <c r="E4899">
        <v>424006</v>
      </c>
      <c r="F4899" t="s">
        <v>1</v>
      </c>
      <c r="G4899" t="s">
        <v>2</v>
      </c>
      <c r="H4899" t="s">
        <v>1003</v>
      </c>
      <c r="I4899" t="s">
        <v>23344</v>
      </c>
      <c r="P4899" t="s">
        <v>23345</v>
      </c>
      <c r="Y4899" t="s">
        <v>1006</v>
      </c>
    </row>
    <row r="4900" spans="1:25" x14ac:dyDescent="0.25">
      <c r="A4900" t="str">
        <f>"1853043751"</f>
        <v>1853043751</v>
      </c>
      <c r="B4900" t="s">
        <v>204</v>
      </c>
      <c r="C4900" t="s">
        <v>23348</v>
      </c>
      <c r="D4900" t="s">
        <v>23346</v>
      </c>
      <c r="E4900">
        <v>424006</v>
      </c>
      <c r="F4900" t="s">
        <v>1</v>
      </c>
      <c r="G4900" t="s">
        <v>2</v>
      </c>
      <c r="H4900" t="s">
        <v>393</v>
      </c>
      <c r="J4900" t="s">
        <v>23347</v>
      </c>
      <c r="P4900" t="s">
        <v>10698</v>
      </c>
      <c r="Y4900" t="s">
        <v>23349</v>
      </c>
    </row>
    <row r="4901" spans="1:25" x14ac:dyDescent="0.25">
      <c r="A4901" t="str">
        <f>"1853079611"</f>
        <v>1853079611</v>
      </c>
      <c r="B4901" t="s">
        <v>397</v>
      </c>
      <c r="C4901" t="s">
        <v>23355</v>
      </c>
      <c r="D4901" t="s">
        <v>23350</v>
      </c>
      <c r="E4901">
        <v>424008</v>
      </c>
      <c r="F4901" t="s">
        <v>1</v>
      </c>
      <c r="G4901" t="s">
        <v>2</v>
      </c>
      <c r="H4901" t="s">
        <v>6584</v>
      </c>
      <c r="I4901" t="s">
        <v>23351</v>
      </c>
      <c r="J4901" t="s">
        <v>23352</v>
      </c>
      <c r="L4901" t="s">
        <v>23353</v>
      </c>
      <c r="M4901" t="s">
        <v>23354</v>
      </c>
      <c r="P4901" t="s">
        <v>458</v>
      </c>
      <c r="Q4901" t="s">
        <v>23356</v>
      </c>
      <c r="Y4901" t="s">
        <v>23357</v>
      </c>
    </row>
    <row r="4902" spans="1:25" x14ac:dyDescent="0.25">
      <c r="A4902" t="str">
        <f>"1853762075"</f>
        <v>1853762075</v>
      </c>
      <c r="B4902" t="s">
        <v>160</v>
      </c>
      <c r="C4902" t="s">
        <v>2327</v>
      </c>
      <c r="D4902" t="s">
        <v>23358</v>
      </c>
      <c r="E4902">
        <v>424002</v>
      </c>
      <c r="F4902" t="s">
        <v>1</v>
      </c>
      <c r="G4902" t="s">
        <v>2</v>
      </c>
      <c r="H4902" t="s">
        <v>1190</v>
      </c>
      <c r="I4902" t="s">
        <v>23359</v>
      </c>
      <c r="P4902" t="s">
        <v>280</v>
      </c>
      <c r="Y4902" t="s">
        <v>1284</v>
      </c>
    </row>
    <row r="4903" spans="1:25" x14ac:dyDescent="0.25">
      <c r="A4903" t="str">
        <f>"1853884828"</f>
        <v>1853884828</v>
      </c>
      <c r="B4903" t="s">
        <v>738</v>
      </c>
      <c r="C4903" t="s">
        <v>23363</v>
      </c>
      <c r="D4903" t="s">
        <v>23360</v>
      </c>
      <c r="E4903">
        <v>424038</v>
      </c>
      <c r="F4903" t="s">
        <v>1</v>
      </c>
      <c r="G4903" t="s">
        <v>2</v>
      </c>
      <c r="H4903" t="s">
        <v>2614</v>
      </c>
      <c r="I4903" t="s">
        <v>23361</v>
      </c>
      <c r="J4903" t="s">
        <v>23362</v>
      </c>
      <c r="P4903" t="s">
        <v>17269</v>
      </c>
      <c r="Y4903" t="s">
        <v>23364</v>
      </c>
    </row>
    <row r="4904" spans="1:25" x14ac:dyDescent="0.25">
      <c r="A4904" t="str">
        <f>"1856007584"</f>
        <v>1856007584</v>
      </c>
      <c r="B4904" t="s">
        <v>930</v>
      </c>
      <c r="C4904" t="s">
        <v>11882</v>
      </c>
      <c r="D4904" t="s">
        <v>927</v>
      </c>
      <c r="E4904">
        <v>424019</v>
      </c>
      <c r="F4904" t="s">
        <v>1</v>
      </c>
      <c r="G4904" t="s">
        <v>2</v>
      </c>
      <c r="H4904" t="s">
        <v>8974</v>
      </c>
      <c r="I4904" t="s">
        <v>23365</v>
      </c>
      <c r="J4904" t="s">
        <v>23366</v>
      </c>
      <c r="P4904" t="s">
        <v>10212</v>
      </c>
      <c r="Y4904" t="s">
        <v>23367</v>
      </c>
    </row>
    <row r="4905" spans="1:25" x14ac:dyDescent="0.25">
      <c r="A4905" t="str">
        <f>"1856833531"</f>
        <v>1856833531</v>
      </c>
      <c r="B4905" t="s">
        <v>456</v>
      </c>
      <c r="C4905" t="s">
        <v>23372</v>
      </c>
      <c r="D4905" t="s">
        <v>23368</v>
      </c>
      <c r="E4905">
        <v>424006</v>
      </c>
      <c r="F4905" t="s">
        <v>1</v>
      </c>
      <c r="G4905" t="s">
        <v>2</v>
      </c>
      <c r="H4905" t="s">
        <v>4821</v>
      </c>
      <c r="I4905" t="s">
        <v>23369</v>
      </c>
      <c r="L4905" t="s">
        <v>23370</v>
      </c>
      <c r="M4905" t="s">
        <v>23371</v>
      </c>
      <c r="P4905" t="s">
        <v>1160</v>
      </c>
      <c r="Q4905" t="s">
        <v>23373</v>
      </c>
      <c r="Y4905" t="s">
        <v>4825</v>
      </c>
    </row>
    <row r="4906" spans="1:25" x14ac:dyDescent="0.25">
      <c r="A4906" t="str">
        <f>"1858013893"</f>
        <v>1858013893</v>
      </c>
      <c r="B4906" t="s">
        <v>18</v>
      </c>
      <c r="C4906" t="s">
        <v>4393</v>
      </c>
      <c r="D4906" t="s">
        <v>18911</v>
      </c>
      <c r="E4906">
        <v>424007</v>
      </c>
      <c r="F4906" t="s">
        <v>1</v>
      </c>
      <c r="G4906" t="s">
        <v>2</v>
      </c>
      <c r="H4906" t="s">
        <v>11934</v>
      </c>
      <c r="I4906" t="s">
        <v>23374</v>
      </c>
      <c r="J4906" t="s">
        <v>23375</v>
      </c>
      <c r="L4906" t="s">
        <v>23376</v>
      </c>
      <c r="M4906" t="s">
        <v>23377</v>
      </c>
      <c r="P4906" t="s">
        <v>280</v>
      </c>
      <c r="Y4906" t="s">
        <v>11937</v>
      </c>
    </row>
    <row r="4907" spans="1:25" x14ac:dyDescent="0.25">
      <c r="A4907" t="str">
        <f>"1859296644"</f>
        <v>1859296644</v>
      </c>
      <c r="B4907" t="s">
        <v>18</v>
      </c>
      <c r="C4907" t="s">
        <v>23381</v>
      </c>
      <c r="D4907" t="s">
        <v>11340</v>
      </c>
      <c r="E4907">
        <v>424007</v>
      </c>
      <c r="F4907" t="s">
        <v>1</v>
      </c>
      <c r="G4907" t="s">
        <v>2</v>
      </c>
      <c r="H4907" t="s">
        <v>16262</v>
      </c>
      <c r="I4907" t="s">
        <v>23378</v>
      </c>
      <c r="J4907" t="s">
        <v>23379</v>
      </c>
      <c r="L4907" t="s">
        <v>15937</v>
      </c>
      <c r="M4907" t="s">
        <v>23380</v>
      </c>
      <c r="P4907" t="s">
        <v>410</v>
      </c>
      <c r="Y4907" t="s">
        <v>23382</v>
      </c>
    </row>
    <row r="4908" spans="1:25" x14ac:dyDescent="0.25">
      <c r="A4908" t="str">
        <f>"1859909993"</f>
        <v>1859909993</v>
      </c>
      <c r="B4908" t="s">
        <v>160</v>
      </c>
      <c r="C4908" t="s">
        <v>1666</v>
      </c>
      <c r="D4908" t="s">
        <v>23383</v>
      </c>
      <c r="E4908">
        <v>424020</v>
      </c>
      <c r="F4908" t="s">
        <v>1</v>
      </c>
      <c r="G4908" t="s">
        <v>2</v>
      </c>
      <c r="H4908" t="s">
        <v>23384</v>
      </c>
      <c r="J4908" t="s">
        <v>23385</v>
      </c>
      <c r="P4908" t="s">
        <v>5575</v>
      </c>
      <c r="Y4908" t="s">
        <v>23386</v>
      </c>
    </row>
    <row r="4909" spans="1:25" x14ac:dyDescent="0.25">
      <c r="A4909" t="str">
        <f>"1860329217"</f>
        <v>1860329217</v>
      </c>
      <c r="B4909" t="s">
        <v>1573</v>
      </c>
      <c r="C4909" t="s">
        <v>1817</v>
      </c>
      <c r="D4909" t="s">
        <v>20134</v>
      </c>
      <c r="E4909">
        <v>424006</v>
      </c>
      <c r="F4909" t="s">
        <v>1</v>
      </c>
      <c r="G4909" t="s">
        <v>2</v>
      </c>
      <c r="H4909" t="s">
        <v>3436</v>
      </c>
      <c r="I4909" t="s">
        <v>23387</v>
      </c>
      <c r="P4909" t="s">
        <v>23388</v>
      </c>
      <c r="Y4909" t="s">
        <v>23389</v>
      </c>
    </row>
    <row r="4910" spans="1:25" x14ac:dyDescent="0.25">
      <c r="A4910" t="str">
        <f>"1860349135"</f>
        <v>1860349135</v>
      </c>
      <c r="B4910" t="s">
        <v>2846</v>
      </c>
      <c r="C4910" t="s">
        <v>13079</v>
      </c>
      <c r="D4910" t="s">
        <v>23390</v>
      </c>
      <c r="E4910">
        <v>424007</v>
      </c>
      <c r="F4910" t="s">
        <v>1</v>
      </c>
      <c r="G4910" t="s">
        <v>2</v>
      </c>
      <c r="H4910" t="s">
        <v>5178</v>
      </c>
      <c r="J4910" t="s">
        <v>23391</v>
      </c>
      <c r="P4910" t="s">
        <v>2731</v>
      </c>
      <c r="Y4910" t="s">
        <v>23392</v>
      </c>
    </row>
    <row r="4911" spans="1:25" x14ac:dyDescent="0.25">
      <c r="A4911" t="str">
        <f>"1861373710"</f>
        <v>1861373710</v>
      </c>
      <c r="B4911" t="s">
        <v>930</v>
      </c>
      <c r="C4911" t="s">
        <v>23396</v>
      </c>
      <c r="D4911" t="s">
        <v>23393</v>
      </c>
      <c r="E4911">
        <v>424032</v>
      </c>
      <c r="F4911" t="s">
        <v>1</v>
      </c>
      <c r="G4911" t="s">
        <v>2</v>
      </c>
      <c r="H4911" t="s">
        <v>14657</v>
      </c>
      <c r="I4911" t="s">
        <v>23394</v>
      </c>
      <c r="J4911" t="s">
        <v>23395</v>
      </c>
      <c r="P4911" t="s">
        <v>3938</v>
      </c>
      <c r="Y4911" t="s">
        <v>23397</v>
      </c>
    </row>
    <row r="4912" spans="1:25" x14ac:dyDescent="0.25">
      <c r="A4912" t="str">
        <f>"1862699621"</f>
        <v>1862699621</v>
      </c>
      <c r="B4912" t="s">
        <v>3958</v>
      </c>
      <c r="C4912" t="s">
        <v>23400</v>
      </c>
      <c r="D4912" t="s">
        <v>23398</v>
      </c>
      <c r="E4912">
        <v>424031</v>
      </c>
      <c r="F4912" t="s">
        <v>1</v>
      </c>
      <c r="G4912" t="s">
        <v>2</v>
      </c>
      <c r="H4912" t="s">
        <v>9156</v>
      </c>
      <c r="I4912" t="s">
        <v>23399</v>
      </c>
      <c r="Y4912" t="s">
        <v>18288</v>
      </c>
    </row>
    <row r="4913" spans="1:25" x14ac:dyDescent="0.25">
      <c r="A4913" t="str">
        <f>"1864089918"</f>
        <v>1864089918</v>
      </c>
      <c r="B4913" t="s">
        <v>841</v>
      </c>
      <c r="C4913" t="s">
        <v>23405</v>
      </c>
      <c r="D4913" t="s">
        <v>23401</v>
      </c>
      <c r="E4913">
        <v>424004</v>
      </c>
      <c r="F4913" t="s">
        <v>1</v>
      </c>
      <c r="G4913" t="s">
        <v>2</v>
      </c>
      <c r="H4913" t="s">
        <v>12781</v>
      </c>
      <c r="J4913" t="s">
        <v>23402</v>
      </c>
      <c r="L4913" t="s">
        <v>23403</v>
      </c>
      <c r="M4913" t="s">
        <v>23404</v>
      </c>
      <c r="P4913" t="s">
        <v>2296</v>
      </c>
      <c r="Q4913" t="s">
        <v>23406</v>
      </c>
      <c r="R4913" t="s">
        <v>23407</v>
      </c>
      <c r="Y4913" t="s">
        <v>23408</v>
      </c>
    </row>
    <row r="4914" spans="1:25" x14ac:dyDescent="0.25">
      <c r="A4914" t="str">
        <f>"1864092022"</f>
        <v>1864092022</v>
      </c>
      <c r="B4914" t="s">
        <v>80</v>
      </c>
      <c r="C4914" t="s">
        <v>3295</v>
      </c>
      <c r="D4914" t="s">
        <v>3295</v>
      </c>
      <c r="F4914" t="s">
        <v>1</v>
      </c>
      <c r="G4914" t="s">
        <v>2</v>
      </c>
      <c r="H4914" t="s">
        <v>23409</v>
      </c>
      <c r="Y4914" t="s">
        <v>23410</v>
      </c>
    </row>
    <row r="4915" spans="1:25" x14ac:dyDescent="0.25">
      <c r="A4915" t="str">
        <f>"1864137084"</f>
        <v>1864137084</v>
      </c>
      <c r="B4915" t="s">
        <v>2846</v>
      </c>
      <c r="C4915" t="s">
        <v>23416</v>
      </c>
      <c r="D4915" t="s">
        <v>23411</v>
      </c>
      <c r="F4915" t="s">
        <v>1</v>
      </c>
      <c r="G4915" t="s">
        <v>2</v>
      </c>
      <c r="H4915" t="s">
        <v>633</v>
      </c>
      <c r="I4915" t="s">
        <v>23412</v>
      </c>
      <c r="J4915" t="s">
        <v>23413</v>
      </c>
      <c r="L4915" t="s">
        <v>23414</v>
      </c>
      <c r="M4915" t="s">
        <v>23415</v>
      </c>
      <c r="P4915" t="s">
        <v>152</v>
      </c>
      <c r="Y4915" t="s">
        <v>636</v>
      </c>
    </row>
    <row r="4916" spans="1:25" x14ac:dyDescent="0.25">
      <c r="A4916" t="str">
        <f>"1865046511"</f>
        <v>1865046511</v>
      </c>
      <c r="B4916" t="s">
        <v>25</v>
      </c>
      <c r="C4916" t="s">
        <v>1005</v>
      </c>
      <c r="D4916" t="s">
        <v>23417</v>
      </c>
      <c r="E4916">
        <v>424038</v>
      </c>
      <c r="F4916" t="s">
        <v>1</v>
      </c>
      <c r="G4916" t="s">
        <v>2</v>
      </c>
      <c r="H4916" t="s">
        <v>12580</v>
      </c>
      <c r="I4916" t="s">
        <v>23418</v>
      </c>
      <c r="P4916" t="s">
        <v>152</v>
      </c>
      <c r="Y4916" t="s">
        <v>12586</v>
      </c>
    </row>
    <row r="4917" spans="1:25" x14ac:dyDescent="0.25">
      <c r="A4917" t="str">
        <f>"1866209926"</f>
        <v>1866209926</v>
      </c>
      <c r="B4917" t="s">
        <v>88</v>
      </c>
      <c r="C4917" t="s">
        <v>23421</v>
      </c>
      <c r="D4917" t="s">
        <v>23419</v>
      </c>
      <c r="E4917">
        <v>424000</v>
      </c>
      <c r="F4917" t="s">
        <v>1</v>
      </c>
      <c r="G4917" t="s">
        <v>2</v>
      </c>
      <c r="H4917" t="s">
        <v>1746</v>
      </c>
      <c r="I4917" t="s">
        <v>23420</v>
      </c>
      <c r="P4917" t="s">
        <v>16824</v>
      </c>
      <c r="Y4917" t="s">
        <v>23422</v>
      </c>
    </row>
    <row r="4918" spans="1:25" x14ac:dyDescent="0.25">
      <c r="A4918" t="str">
        <f>"1867541744"</f>
        <v>1867541744</v>
      </c>
      <c r="B4918" t="s">
        <v>3008</v>
      </c>
      <c r="C4918" t="s">
        <v>23428</v>
      </c>
      <c r="D4918" t="s">
        <v>23423</v>
      </c>
      <c r="E4918">
        <v>424006</v>
      </c>
      <c r="F4918" t="s">
        <v>1</v>
      </c>
      <c r="G4918" t="s">
        <v>2</v>
      </c>
      <c r="H4918" t="s">
        <v>2012</v>
      </c>
      <c r="I4918" t="s">
        <v>23424</v>
      </c>
      <c r="J4918" t="s">
        <v>23425</v>
      </c>
      <c r="L4918" t="s">
        <v>23426</v>
      </c>
      <c r="M4918" t="s">
        <v>23427</v>
      </c>
      <c r="P4918" t="s">
        <v>20</v>
      </c>
      <c r="Y4918" t="s">
        <v>14262</v>
      </c>
    </row>
    <row r="4919" spans="1:25" x14ac:dyDescent="0.25">
      <c r="A4919" t="str">
        <f>"1868047651"</f>
        <v>1868047651</v>
      </c>
      <c r="B4919" t="s">
        <v>1053</v>
      </c>
      <c r="C4919" t="s">
        <v>23431</v>
      </c>
      <c r="D4919" t="s">
        <v>18776</v>
      </c>
      <c r="E4919">
        <v>424039</v>
      </c>
      <c r="F4919" t="s">
        <v>1</v>
      </c>
      <c r="G4919" t="s">
        <v>2</v>
      </c>
      <c r="H4919" t="s">
        <v>23429</v>
      </c>
      <c r="I4919" t="s">
        <v>23430</v>
      </c>
      <c r="P4919" t="s">
        <v>280</v>
      </c>
      <c r="Y4919" t="s">
        <v>23432</v>
      </c>
    </row>
    <row r="4920" spans="1:25" x14ac:dyDescent="0.25">
      <c r="A4920" t="str">
        <f>"1868433629"</f>
        <v>1868433629</v>
      </c>
      <c r="B4920" t="s">
        <v>10986</v>
      </c>
      <c r="C4920" t="s">
        <v>23436</v>
      </c>
      <c r="D4920" t="s">
        <v>23433</v>
      </c>
      <c r="E4920">
        <v>424040</v>
      </c>
      <c r="F4920" t="s">
        <v>1</v>
      </c>
      <c r="G4920" t="s">
        <v>2</v>
      </c>
      <c r="H4920" t="s">
        <v>7989</v>
      </c>
      <c r="I4920" t="s">
        <v>23434</v>
      </c>
      <c r="J4920" t="s">
        <v>23435</v>
      </c>
      <c r="P4920" t="s">
        <v>216</v>
      </c>
      <c r="Y4920" t="s">
        <v>11906</v>
      </c>
    </row>
    <row r="4921" spans="1:25" x14ac:dyDescent="0.25">
      <c r="A4921" t="str">
        <f>"1868771166"</f>
        <v>1868771166</v>
      </c>
      <c r="B4921" t="s">
        <v>160</v>
      </c>
      <c r="C4921" t="s">
        <v>14462</v>
      </c>
      <c r="D4921" t="s">
        <v>23437</v>
      </c>
      <c r="F4921" t="s">
        <v>1</v>
      </c>
      <c r="G4921" t="s">
        <v>2</v>
      </c>
      <c r="H4921" t="s">
        <v>23438</v>
      </c>
      <c r="I4921" t="s">
        <v>23439</v>
      </c>
      <c r="P4921" t="s">
        <v>330</v>
      </c>
      <c r="Y4921" t="s">
        <v>23440</v>
      </c>
    </row>
    <row r="4922" spans="1:25" x14ac:dyDescent="0.25">
      <c r="A4922" t="str">
        <f>"1869206432"</f>
        <v>1869206432</v>
      </c>
      <c r="B4922" t="s">
        <v>1152</v>
      </c>
      <c r="C4922" t="s">
        <v>1159</v>
      </c>
      <c r="D4922" t="s">
        <v>23441</v>
      </c>
      <c r="E4922">
        <v>424020</v>
      </c>
      <c r="F4922" t="s">
        <v>1</v>
      </c>
      <c r="G4922" t="s">
        <v>2</v>
      </c>
      <c r="H4922" t="s">
        <v>23442</v>
      </c>
      <c r="J4922" t="s">
        <v>23443</v>
      </c>
      <c r="L4922" t="s">
        <v>23444</v>
      </c>
      <c r="M4922" t="s">
        <v>23445</v>
      </c>
      <c r="P4922" t="s">
        <v>23446</v>
      </c>
      <c r="Y4922" t="s">
        <v>23447</v>
      </c>
    </row>
    <row r="4923" spans="1:25" x14ac:dyDescent="0.25">
      <c r="A4923" t="str">
        <f>"1869392654"</f>
        <v>1869392654</v>
      </c>
      <c r="B4923" t="s">
        <v>738</v>
      </c>
      <c r="C4923" t="s">
        <v>17323</v>
      </c>
      <c r="D4923" t="s">
        <v>23448</v>
      </c>
      <c r="E4923">
        <v>424913</v>
      </c>
      <c r="F4923" t="s">
        <v>1</v>
      </c>
      <c r="G4923" t="s">
        <v>2</v>
      </c>
      <c r="H4923" t="s">
        <v>22035</v>
      </c>
      <c r="I4923" t="s">
        <v>23449</v>
      </c>
      <c r="L4923" t="s">
        <v>23450</v>
      </c>
      <c r="M4923" t="s">
        <v>23451</v>
      </c>
      <c r="P4923" t="s">
        <v>22040</v>
      </c>
      <c r="Q4923" t="s">
        <v>23452</v>
      </c>
      <c r="U4923" t="s">
        <v>23453</v>
      </c>
      <c r="V4923" t="s">
        <v>23454</v>
      </c>
      <c r="Y4923" t="s">
        <v>23455</v>
      </c>
    </row>
    <row r="4924" spans="1:25" x14ac:dyDescent="0.25">
      <c r="A4924" t="str">
        <f>"1869504843"</f>
        <v>1869504843</v>
      </c>
      <c r="B4924" t="s">
        <v>978</v>
      </c>
      <c r="C4924" t="s">
        <v>23458</v>
      </c>
      <c r="D4924" t="s">
        <v>23456</v>
      </c>
      <c r="E4924">
        <v>424019</v>
      </c>
      <c r="F4924" t="s">
        <v>1</v>
      </c>
      <c r="G4924" t="s">
        <v>2</v>
      </c>
      <c r="H4924" t="s">
        <v>16472</v>
      </c>
      <c r="I4924" t="s">
        <v>23457</v>
      </c>
      <c r="P4924" t="s">
        <v>381</v>
      </c>
      <c r="Y4924" t="s">
        <v>23459</v>
      </c>
    </row>
    <row r="4925" spans="1:25" x14ac:dyDescent="0.25">
      <c r="A4925" t="str">
        <f>"1870585875"</f>
        <v>1870585875</v>
      </c>
      <c r="B4925" t="s">
        <v>574</v>
      </c>
      <c r="C4925" t="s">
        <v>23462</v>
      </c>
      <c r="D4925" t="s">
        <v>21849</v>
      </c>
      <c r="F4925" t="s">
        <v>1</v>
      </c>
      <c r="G4925" t="s">
        <v>2</v>
      </c>
      <c r="H4925" t="s">
        <v>23460</v>
      </c>
      <c r="I4925" t="s">
        <v>23461</v>
      </c>
      <c r="P4925" t="s">
        <v>1027</v>
      </c>
      <c r="Q4925" t="s">
        <v>23463</v>
      </c>
      <c r="Y4925" t="s">
        <v>23464</v>
      </c>
    </row>
    <row r="4926" spans="1:25" x14ac:dyDescent="0.25">
      <c r="A4926" t="str">
        <f>"1870945216"</f>
        <v>1870945216</v>
      </c>
      <c r="B4926" t="s">
        <v>224</v>
      </c>
      <c r="C4926" t="s">
        <v>3240</v>
      </c>
      <c r="D4926" t="s">
        <v>23465</v>
      </c>
      <c r="E4926">
        <v>424032</v>
      </c>
      <c r="F4926" t="s">
        <v>1</v>
      </c>
      <c r="G4926" t="s">
        <v>2</v>
      </c>
      <c r="H4926" t="s">
        <v>4808</v>
      </c>
      <c r="I4926" t="s">
        <v>23466</v>
      </c>
      <c r="J4926" t="s">
        <v>23467</v>
      </c>
      <c r="P4926" t="s">
        <v>799</v>
      </c>
      <c r="Y4926" t="s">
        <v>4812</v>
      </c>
    </row>
    <row r="4927" spans="1:25" x14ac:dyDescent="0.25">
      <c r="A4927" t="str">
        <f>"1871366007"</f>
        <v>1871366007</v>
      </c>
      <c r="B4927" t="s">
        <v>456</v>
      </c>
      <c r="C4927" t="s">
        <v>23472</v>
      </c>
      <c r="D4927" t="s">
        <v>23468</v>
      </c>
      <c r="E4927">
        <v>424006</v>
      </c>
      <c r="F4927" t="s">
        <v>1</v>
      </c>
      <c r="G4927" t="s">
        <v>2</v>
      </c>
      <c r="H4927" t="s">
        <v>6096</v>
      </c>
      <c r="I4927" t="s">
        <v>23469</v>
      </c>
      <c r="L4927" t="s">
        <v>23470</v>
      </c>
      <c r="M4927" t="s">
        <v>23471</v>
      </c>
      <c r="P4927" t="s">
        <v>235</v>
      </c>
      <c r="Q4927" t="s">
        <v>23473</v>
      </c>
      <c r="R4927" t="s">
        <v>23474</v>
      </c>
      <c r="S4927" t="s">
        <v>23475</v>
      </c>
      <c r="T4927" t="s">
        <v>23476</v>
      </c>
      <c r="V4927" t="s">
        <v>23477</v>
      </c>
      <c r="Y4927" t="s">
        <v>23478</v>
      </c>
    </row>
    <row r="4928" spans="1:25" x14ac:dyDescent="0.25">
      <c r="A4928" t="str">
        <f>"1871442207"</f>
        <v>1871442207</v>
      </c>
      <c r="B4928" t="s">
        <v>930</v>
      </c>
      <c r="C4928" t="s">
        <v>927</v>
      </c>
      <c r="D4928" t="s">
        <v>23479</v>
      </c>
      <c r="F4928" t="s">
        <v>1</v>
      </c>
      <c r="G4928" t="s">
        <v>2</v>
      </c>
      <c r="H4928" t="s">
        <v>23480</v>
      </c>
      <c r="I4928" t="s">
        <v>23481</v>
      </c>
      <c r="J4928" t="s">
        <v>23482</v>
      </c>
      <c r="P4928" t="s">
        <v>216</v>
      </c>
      <c r="Y4928" t="s">
        <v>23483</v>
      </c>
    </row>
    <row r="4929" spans="1:25" x14ac:dyDescent="0.25">
      <c r="A4929" t="str">
        <f>"1872138320"</f>
        <v>1872138320</v>
      </c>
      <c r="B4929" t="s">
        <v>88</v>
      </c>
      <c r="C4929" t="s">
        <v>89</v>
      </c>
      <c r="D4929" t="s">
        <v>23484</v>
      </c>
      <c r="E4929">
        <v>424002</v>
      </c>
      <c r="F4929" t="s">
        <v>1</v>
      </c>
      <c r="G4929" t="s">
        <v>2</v>
      </c>
      <c r="H4929" t="s">
        <v>5692</v>
      </c>
      <c r="I4929" t="s">
        <v>23485</v>
      </c>
      <c r="P4929" t="s">
        <v>340</v>
      </c>
      <c r="Y4929" t="s">
        <v>11243</v>
      </c>
    </row>
    <row r="4930" spans="1:25" x14ac:dyDescent="0.25">
      <c r="A4930" t="str">
        <f>"1872876032"</f>
        <v>1872876032</v>
      </c>
      <c r="B4930" t="s">
        <v>687</v>
      </c>
      <c r="C4930" t="s">
        <v>23490</v>
      </c>
      <c r="D4930" t="s">
        <v>23486</v>
      </c>
      <c r="E4930">
        <v>424007</v>
      </c>
      <c r="F4930" t="s">
        <v>1</v>
      </c>
      <c r="G4930" t="s">
        <v>2</v>
      </c>
      <c r="H4930" t="s">
        <v>11390</v>
      </c>
      <c r="I4930" t="s">
        <v>23487</v>
      </c>
      <c r="L4930" t="s">
        <v>23488</v>
      </c>
      <c r="M4930" t="s">
        <v>23489</v>
      </c>
      <c r="P4930" t="s">
        <v>23491</v>
      </c>
      <c r="Q4930" t="s">
        <v>23492</v>
      </c>
      <c r="R4930" t="s">
        <v>23493</v>
      </c>
      <c r="Y4930" t="s">
        <v>23494</v>
      </c>
    </row>
    <row r="4931" spans="1:25" x14ac:dyDescent="0.25">
      <c r="A4931" t="str">
        <f>"1873327894"</f>
        <v>1873327894</v>
      </c>
      <c r="B4931" t="s">
        <v>123</v>
      </c>
      <c r="C4931" t="s">
        <v>424</v>
      </c>
      <c r="D4931" t="s">
        <v>23495</v>
      </c>
      <c r="E4931">
        <v>424003</v>
      </c>
      <c r="F4931" t="s">
        <v>1</v>
      </c>
      <c r="G4931" t="s">
        <v>2</v>
      </c>
      <c r="H4931" t="s">
        <v>2518</v>
      </c>
      <c r="I4931" t="s">
        <v>23496</v>
      </c>
      <c r="P4931" t="s">
        <v>4998</v>
      </c>
      <c r="Y4931" t="s">
        <v>2523</v>
      </c>
    </row>
    <row r="4932" spans="1:25" x14ac:dyDescent="0.25">
      <c r="A4932" t="str">
        <f>"1873419211"</f>
        <v>1873419211</v>
      </c>
      <c r="B4932" t="s">
        <v>290</v>
      </c>
      <c r="C4932" t="s">
        <v>2757</v>
      </c>
      <c r="D4932" t="s">
        <v>23497</v>
      </c>
      <c r="E4932">
        <v>424020</v>
      </c>
      <c r="F4932" t="s">
        <v>1</v>
      </c>
      <c r="G4932" t="s">
        <v>2</v>
      </c>
      <c r="H4932" t="s">
        <v>23498</v>
      </c>
      <c r="I4932" t="s">
        <v>23499</v>
      </c>
      <c r="J4932" t="s">
        <v>23500</v>
      </c>
      <c r="M4932" t="s">
        <v>23501</v>
      </c>
      <c r="P4932" t="s">
        <v>1306</v>
      </c>
      <c r="Q4932" t="s">
        <v>23502</v>
      </c>
      <c r="V4932" t="s">
        <v>23503</v>
      </c>
      <c r="Y4932" t="s">
        <v>23504</v>
      </c>
    </row>
    <row r="4933" spans="1:25" x14ac:dyDescent="0.25">
      <c r="A4933" t="str">
        <f>"1874153187"</f>
        <v>1874153187</v>
      </c>
      <c r="B4933" t="s">
        <v>1152</v>
      </c>
      <c r="C4933" t="s">
        <v>23509</v>
      </c>
      <c r="D4933" t="s">
        <v>23505</v>
      </c>
      <c r="E4933">
        <v>424006</v>
      </c>
      <c r="F4933" t="s">
        <v>1</v>
      </c>
      <c r="G4933" t="s">
        <v>2</v>
      </c>
      <c r="H4933" t="s">
        <v>4799</v>
      </c>
      <c r="I4933" t="s">
        <v>23506</v>
      </c>
      <c r="J4933" t="s">
        <v>23507</v>
      </c>
      <c r="M4933" t="s">
        <v>23508</v>
      </c>
      <c r="P4933" t="s">
        <v>13505</v>
      </c>
      <c r="Q4933" t="s">
        <v>23510</v>
      </c>
      <c r="Y4933" t="s">
        <v>10272</v>
      </c>
    </row>
    <row r="4934" spans="1:25" x14ac:dyDescent="0.25">
      <c r="A4934" t="str">
        <f>"1874332567"</f>
        <v>1874332567</v>
      </c>
      <c r="B4934" t="s">
        <v>123</v>
      </c>
      <c r="C4934" t="s">
        <v>424</v>
      </c>
      <c r="D4934" t="s">
        <v>23511</v>
      </c>
      <c r="E4934">
        <v>424020</v>
      </c>
      <c r="F4934" t="s">
        <v>1</v>
      </c>
      <c r="G4934" t="s">
        <v>2</v>
      </c>
      <c r="H4934" t="s">
        <v>23512</v>
      </c>
      <c r="I4934" t="s">
        <v>23513</v>
      </c>
      <c r="J4934" t="s">
        <v>23514</v>
      </c>
      <c r="P4934" t="s">
        <v>18361</v>
      </c>
      <c r="Y4934" t="s">
        <v>23515</v>
      </c>
    </row>
    <row r="4935" spans="1:25" x14ac:dyDescent="0.25">
      <c r="A4935" t="str">
        <f>"1874489281"</f>
        <v>1874489281</v>
      </c>
      <c r="B4935" t="s">
        <v>574</v>
      </c>
      <c r="C4935" t="s">
        <v>22533</v>
      </c>
      <c r="D4935" t="s">
        <v>3057</v>
      </c>
      <c r="E4935">
        <v>424020</v>
      </c>
      <c r="F4935" t="s">
        <v>1</v>
      </c>
      <c r="G4935" t="s">
        <v>2</v>
      </c>
      <c r="H4935" t="s">
        <v>23516</v>
      </c>
      <c r="P4935" t="s">
        <v>2457</v>
      </c>
      <c r="Y4935" t="s">
        <v>23517</v>
      </c>
    </row>
    <row r="4936" spans="1:25" x14ac:dyDescent="0.25">
      <c r="A4936" t="str">
        <f>"1875100742"</f>
        <v>1875100742</v>
      </c>
      <c r="B4936" t="s">
        <v>574</v>
      </c>
      <c r="C4936" t="s">
        <v>23520</v>
      </c>
      <c r="D4936" t="s">
        <v>23518</v>
      </c>
      <c r="F4936" t="s">
        <v>1</v>
      </c>
      <c r="G4936" t="s">
        <v>2</v>
      </c>
      <c r="H4936" t="s">
        <v>23519</v>
      </c>
      <c r="Y4936" t="s">
        <v>23521</v>
      </c>
    </row>
    <row r="4937" spans="1:25" x14ac:dyDescent="0.25">
      <c r="A4937" t="str">
        <f>"1876222051"</f>
        <v>1876222051</v>
      </c>
      <c r="B4937" t="s">
        <v>2104</v>
      </c>
      <c r="C4937" t="s">
        <v>13387</v>
      </c>
      <c r="D4937" t="s">
        <v>15417</v>
      </c>
      <c r="E4937">
        <v>424004</v>
      </c>
      <c r="F4937" t="s">
        <v>1</v>
      </c>
      <c r="G4937" t="s">
        <v>2</v>
      </c>
      <c r="H4937" t="s">
        <v>23522</v>
      </c>
      <c r="I4937" t="s">
        <v>23523</v>
      </c>
      <c r="P4937" t="s">
        <v>2457</v>
      </c>
      <c r="Y4937" t="s">
        <v>23524</v>
      </c>
    </row>
    <row r="4938" spans="1:25" x14ac:dyDescent="0.25">
      <c r="A4938" t="str">
        <f>"1877662047"</f>
        <v>1877662047</v>
      </c>
      <c r="B4938" t="s">
        <v>1475</v>
      </c>
      <c r="C4938" t="s">
        <v>21539</v>
      </c>
      <c r="D4938" t="s">
        <v>21539</v>
      </c>
      <c r="E4938">
        <v>424038</v>
      </c>
      <c r="F4938" t="s">
        <v>1</v>
      </c>
      <c r="G4938" t="s">
        <v>2</v>
      </c>
      <c r="H4938" t="s">
        <v>1366</v>
      </c>
      <c r="P4938" t="s">
        <v>10150</v>
      </c>
      <c r="Y4938" t="s">
        <v>23525</v>
      </c>
    </row>
    <row r="4939" spans="1:25" x14ac:dyDescent="0.25">
      <c r="A4939" t="str">
        <f>"1878507434"</f>
        <v>1878507434</v>
      </c>
      <c r="B4939" t="s">
        <v>574</v>
      </c>
      <c r="C4939" t="s">
        <v>646</v>
      </c>
      <c r="D4939" t="s">
        <v>23526</v>
      </c>
      <c r="E4939">
        <v>424028</v>
      </c>
      <c r="F4939" t="s">
        <v>1</v>
      </c>
      <c r="G4939" t="s">
        <v>2</v>
      </c>
      <c r="H4939" t="s">
        <v>23527</v>
      </c>
      <c r="P4939" t="s">
        <v>7436</v>
      </c>
      <c r="Y4939" t="s">
        <v>23528</v>
      </c>
    </row>
    <row r="4940" spans="1:25" x14ac:dyDescent="0.25">
      <c r="A4940" t="str">
        <f>"1878579910"</f>
        <v>1878579910</v>
      </c>
      <c r="B4940" t="s">
        <v>160</v>
      </c>
      <c r="C4940" t="s">
        <v>23532</v>
      </c>
      <c r="D4940" t="s">
        <v>23529</v>
      </c>
      <c r="E4940">
        <v>424036</v>
      </c>
      <c r="F4940" t="s">
        <v>1</v>
      </c>
      <c r="G4940" t="s">
        <v>2</v>
      </c>
      <c r="H4940" t="s">
        <v>6072</v>
      </c>
      <c r="I4940" t="s">
        <v>23530</v>
      </c>
      <c r="J4940" t="s">
        <v>23531</v>
      </c>
      <c r="P4940" t="s">
        <v>280</v>
      </c>
      <c r="Y4940" t="s">
        <v>17197</v>
      </c>
    </row>
    <row r="4941" spans="1:25" x14ac:dyDescent="0.25">
      <c r="A4941" t="str">
        <f>"1879619260"</f>
        <v>1879619260</v>
      </c>
      <c r="B4941" t="s">
        <v>2104</v>
      </c>
      <c r="C4941" t="s">
        <v>2105</v>
      </c>
      <c r="D4941" t="s">
        <v>23533</v>
      </c>
      <c r="F4941" t="s">
        <v>1</v>
      </c>
      <c r="G4941" t="s">
        <v>2</v>
      </c>
      <c r="H4941" t="s">
        <v>23534</v>
      </c>
      <c r="I4941" t="s">
        <v>23535</v>
      </c>
      <c r="P4941" t="s">
        <v>2513</v>
      </c>
      <c r="Y4941" t="s">
        <v>23536</v>
      </c>
    </row>
    <row r="4942" spans="1:25" x14ac:dyDescent="0.25">
      <c r="A4942" t="str">
        <f>"1879670706"</f>
        <v>1879670706</v>
      </c>
      <c r="B4942" t="s">
        <v>417</v>
      </c>
      <c r="C4942" t="s">
        <v>418</v>
      </c>
      <c r="D4942" t="s">
        <v>417</v>
      </c>
      <c r="E4942">
        <v>424005</v>
      </c>
      <c r="F4942" t="s">
        <v>1</v>
      </c>
      <c r="G4942" t="s">
        <v>2</v>
      </c>
      <c r="H4942" t="s">
        <v>23537</v>
      </c>
      <c r="P4942" t="s">
        <v>23538</v>
      </c>
      <c r="Y4942" t="s">
        <v>23539</v>
      </c>
    </row>
    <row r="4943" spans="1:25" x14ac:dyDescent="0.25">
      <c r="A4943" t="str">
        <f>"1879891323"</f>
        <v>1879891323</v>
      </c>
      <c r="B4943" t="s">
        <v>1617</v>
      </c>
      <c r="C4943" t="s">
        <v>21001</v>
      </c>
      <c r="D4943" t="s">
        <v>20999</v>
      </c>
      <c r="E4943">
        <v>424005</v>
      </c>
      <c r="F4943" t="s">
        <v>1</v>
      </c>
      <c r="G4943" t="s">
        <v>2</v>
      </c>
      <c r="H4943" t="s">
        <v>7480</v>
      </c>
      <c r="P4943" t="s">
        <v>21118</v>
      </c>
      <c r="Y4943" t="s">
        <v>23540</v>
      </c>
    </row>
    <row r="4944" spans="1:25" x14ac:dyDescent="0.25">
      <c r="A4944" t="str">
        <f>"1880481627"</f>
        <v>1880481627</v>
      </c>
      <c r="B4944" t="s">
        <v>18</v>
      </c>
      <c r="C4944" t="s">
        <v>23544</v>
      </c>
      <c r="D4944" t="s">
        <v>23541</v>
      </c>
      <c r="E4944">
        <v>424007</v>
      </c>
      <c r="F4944" t="s">
        <v>1</v>
      </c>
      <c r="G4944" t="s">
        <v>2</v>
      </c>
      <c r="H4944" t="s">
        <v>5178</v>
      </c>
      <c r="I4944" t="s">
        <v>23542</v>
      </c>
      <c r="J4944" t="s">
        <v>23543</v>
      </c>
      <c r="P4944" t="s">
        <v>2050</v>
      </c>
      <c r="Y4944" t="s">
        <v>23545</v>
      </c>
    </row>
    <row r="4945" spans="1:25" x14ac:dyDescent="0.25">
      <c r="A4945" t="str">
        <f>"1880715814"</f>
        <v>1880715814</v>
      </c>
      <c r="B4945" t="s">
        <v>352</v>
      </c>
      <c r="C4945" t="s">
        <v>23550</v>
      </c>
      <c r="D4945" t="s">
        <v>23546</v>
      </c>
      <c r="E4945">
        <v>424002</v>
      </c>
      <c r="F4945" t="s">
        <v>1</v>
      </c>
      <c r="G4945" t="s">
        <v>2</v>
      </c>
      <c r="H4945" t="s">
        <v>662</v>
      </c>
      <c r="J4945" t="s">
        <v>23547</v>
      </c>
      <c r="L4945" t="s">
        <v>23548</v>
      </c>
      <c r="M4945" t="s">
        <v>23549</v>
      </c>
      <c r="P4945" t="s">
        <v>23551</v>
      </c>
      <c r="Q4945" t="s">
        <v>23552</v>
      </c>
      <c r="Y4945" t="s">
        <v>23553</v>
      </c>
    </row>
    <row r="4946" spans="1:25" x14ac:dyDescent="0.25">
      <c r="A4946" t="str">
        <f>"1882487110"</f>
        <v>1882487110</v>
      </c>
      <c r="B4946" t="s">
        <v>1152</v>
      </c>
      <c r="C4946" t="s">
        <v>1385</v>
      </c>
      <c r="D4946" t="s">
        <v>1385</v>
      </c>
      <c r="E4946">
        <v>424040</v>
      </c>
      <c r="F4946" t="s">
        <v>1</v>
      </c>
      <c r="G4946" t="s">
        <v>2</v>
      </c>
      <c r="H4946" t="s">
        <v>7989</v>
      </c>
      <c r="I4946" t="s">
        <v>23554</v>
      </c>
      <c r="P4946" t="s">
        <v>23555</v>
      </c>
      <c r="Y4946" t="s">
        <v>23556</v>
      </c>
    </row>
    <row r="4947" spans="1:25" x14ac:dyDescent="0.25">
      <c r="A4947" t="str">
        <f>"1882658338"</f>
        <v>1882658338</v>
      </c>
      <c r="B4947" t="s">
        <v>430</v>
      </c>
      <c r="C4947" t="s">
        <v>612</v>
      </c>
      <c r="D4947" t="s">
        <v>9923</v>
      </c>
      <c r="E4947">
        <v>424002</v>
      </c>
      <c r="F4947" t="s">
        <v>1</v>
      </c>
      <c r="G4947" t="s">
        <v>2</v>
      </c>
      <c r="H4947" t="s">
        <v>2164</v>
      </c>
      <c r="I4947" t="s">
        <v>23557</v>
      </c>
      <c r="L4947" t="s">
        <v>610</v>
      </c>
      <c r="M4947" t="s">
        <v>611</v>
      </c>
      <c r="P4947" t="s">
        <v>2457</v>
      </c>
      <c r="Y4947" t="s">
        <v>23558</v>
      </c>
    </row>
    <row r="4948" spans="1:25" x14ac:dyDescent="0.25">
      <c r="A4948" t="str">
        <f>"1883087086"</f>
        <v>1883087086</v>
      </c>
      <c r="B4948" t="s">
        <v>430</v>
      </c>
      <c r="C4948" t="s">
        <v>16178</v>
      </c>
      <c r="D4948" t="s">
        <v>10135</v>
      </c>
      <c r="E4948">
        <v>424007</v>
      </c>
      <c r="F4948" t="s">
        <v>1</v>
      </c>
      <c r="G4948" t="s">
        <v>2</v>
      </c>
      <c r="H4948" t="s">
        <v>5178</v>
      </c>
      <c r="P4948" t="s">
        <v>2731</v>
      </c>
      <c r="Y4948" t="s">
        <v>23559</v>
      </c>
    </row>
    <row r="4949" spans="1:25" x14ac:dyDescent="0.25">
      <c r="A4949" t="str">
        <f>"1883366515"</f>
        <v>1883366515</v>
      </c>
      <c r="B4949" t="s">
        <v>88</v>
      </c>
      <c r="C4949" t="s">
        <v>23563</v>
      </c>
      <c r="D4949" t="s">
        <v>23560</v>
      </c>
      <c r="E4949">
        <v>424003</v>
      </c>
      <c r="F4949" t="s">
        <v>1</v>
      </c>
      <c r="G4949" t="s">
        <v>2</v>
      </c>
      <c r="H4949" t="s">
        <v>5325</v>
      </c>
      <c r="I4949" t="s">
        <v>23561</v>
      </c>
      <c r="J4949" t="s">
        <v>23562</v>
      </c>
      <c r="P4949" t="s">
        <v>3814</v>
      </c>
      <c r="Y4949" t="s">
        <v>15790</v>
      </c>
    </row>
    <row r="4950" spans="1:25" x14ac:dyDescent="0.25">
      <c r="A4950" t="str">
        <f>"1883962504"</f>
        <v>1883962504</v>
      </c>
      <c r="B4950" t="s">
        <v>1552</v>
      </c>
      <c r="C4950" t="s">
        <v>23566</v>
      </c>
      <c r="D4950" t="s">
        <v>23564</v>
      </c>
      <c r="E4950">
        <v>424003</v>
      </c>
      <c r="F4950" t="s">
        <v>1</v>
      </c>
      <c r="G4950" t="s">
        <v>2</v>
      </c>
      <c r="H4950" t="s">
        <v>7152</v>
      </c>
      <c r="I4950" t="s">
        <v>23565</v>
      </c>
      <c r="L4950" t="s">
        <v>7672</v>
      </c>
      <c r="M4950" t="s">
        <v>7673</v>
      </c>
      <c r="P4950" t="s">
        <v>2580</v>
      </c>
      <c r="Y4950" t="s">
        <v>7157</v>
      </c>
    </row>
    <row r="4951" spans="1:25" x14ac:dyDescent="0.25">
      <c r="A4951" t="str">
        <f>"1884620291"</f>
        <v>1884620291</v>
      </c>
      <c r="B4951" t="s">
        <v>96</v>
      </c>
      <c r="C4951" t="s">
        <v>893</v>
      </c>
      <c r="D4951" t="s">
        <v>23567</v>
      </c>
      <c r="E4951">
        <v>424007</v>
      </c>
      <c r="F4951" t="s">
        <v>1</v>
      </c>
      <c r="G4951" t="s">
        <v>2</v>
      </c>
      <c r="H4951" t="s">
        <v>5178</v>
      </c>
      <c r="P4951" t="s">
        <v>2731</v>
      </c>
      <c r="Y4951" t="s">
        <v>23568</v>
      </c>
    </row>
    <row r="4952" spans="1:25" x14ac:dyDescent="0.25">
      <c r="A4952" t="str">
        <f>"1885245184"</f>
        <v>1885245184</v>
      </c>
      <c r="B4952" t="s">
        <v>1617</v>
      </c>
      <c r="C4952" t="s">
        <v>21001</v>
      </c>
      <c r="D4952" t="s">
        <v>20999</v>
      </c>
      <c r="E4952">
        <v>424020</v>
      </c>
      <c r="F4952" t="s">
        <v>1</v>
      </c>
      <c r="G4952" t="s">
        <v>2</v>
      </c>
      <c r="H4952" t="s">
        <v>802</v>
      </c>
      <c r="P4952" t="s">
        <v>23569</v>
      </c>
      <c r="Y4952" t="s">
        <v>23570</v>
      </c>
    </row>
    <row r="4953" spans="1:25" x14ac:dyDescent="0.25">
      <c r="A4953" t="str">
        <f>"1885845712"</f>
        <v>1885845712</v>
      </c>
      <c r="B4953" t="s">
        <v>574</v>
      </c>
      <c r="C4953" t="s">
        <v>23572</v>
      </c>
      <c r="D4953" t="s">
        <v>11854</v>
      </c>
      <c r="E4953">
        <v>424004</v>
      </c>
      <c r="F4953" t="s">
        <v>1</v>
      </c>
      <c r="G4953" t="s">
        <v>2</v>
      </c>
      <c r="H4953" t="s">
        <v>351</v>
      </c>
      <c r="I4953" t="s">
        <v>23571</v>
      </c>
      <c r="P4953" t="s">
        <v>330</v>
      </c>
      <c r="Y4953" t="s">
        <v>23573</v>
      </c>
    </row>
    <row r="4954" spans="1:25" x14ac:dyDescent="0.25">
      <c r="A4954" t="str">
        <f>"1886098328"</f>
        <v>1886098328</v>
      </c>
      <c r="B4954" t="s">
        <v>930</v>
      </c>
      <c r="C4954" t="s">
        <v>927</v>
      </c>
      <c r="D4954" t="s">
        <v>1094</v>
      </c>
      <c r="E4954">
        <v>424037</v>
      </c>
      <c r="F4954" t="s">
        <v>1</v>
      </c>
      <c r="G4954" t="s">
        <v>2</v>
      </c>
      <c r="H4954" t="s">
        <v>23574</v>
      </c>
      <c r="I4954" t="s">
        <v>23575</v>
      </c>
      <c r="P4954" t="s">
        <v>23576</v>
      </c>
      <c r="Y4954" t="s">
        <v>23577</v>
      </c>
    </row>
    <row r="4955" spans="1:25" x14ac:dyDescent="0.25">
      <c r="A4955" t="str">
        <f>"1886106670"</f>
        <v>1886106670</v>
      </c>
      <c r="B4955" t="s">
        <v>352</v>
      </c>
      <c r="C4955" t="s">
        <v>23581</v>
      </c>
      <c r="D4955" t="s">
        <v>3918</v>
      </c>
      <c r="E4955">
        <v>424006</v>
      </c>
      <c r="F4955" t="s">
        <v>1</v>
      </c>
      <c r="G4955" t="s">
        <v>2</v>
      </c>
      <c r="H4955" t="s">
        <v>1645</v>
      </c>
      <c r="J4955" t="s">
        <v>23578</v>
      </c>
      <c r="L4955" t="s">
        <v>23579</v>
      </c>
      <c r="M4955" t="s">
        <v>23580</v>
      </c>
      <c r="P4955" t="s">
        <v>27</v>
      </c>
      <c r="Y4955" t="s">
        <v>23582</v>
      </c>
    </row>
    <row r="4956" spans="1:25" x14ac:dyDescent="0.25">
      <c r="A4956" t="str">
        <f>"1886243765"</f>
        <v>1886243765</v>
      </c>
      <c r="B4956" t="s">
        <v>96</v>
      </c>
      <c r="C4956" t="s">
        <v>23587</v>
      </c>
      <c r="D4956" t="s">
        <v>10481</v>
      </c>
      <c r="F4956" t="s">
        <v>1</v>
      </c>
      <c r="G4956" t="s">
        <v>2</v>
      </c>
      <c r="H4956" t="s">
        <v>23583</v>
      </c>
      <c r="J4956" t="s">
        <v>23584</v>
      </c>
      <c r="L4956" t="s">
        <v>23585</v>
      </c>
      <c r="M4956" t="s">
        <v>23586</v>
      </c>
      <c r="P4956" t="s">
        <v>23588</v>
      </c>
      <c r="Y4956" t="s">
        <v>5804</v>
      </c>
    </row>
    <row r="4957" spans="1:25" x14ac:dyDescent="0.25">
      <c r="A4957" t="str">
        <f>"1887216633"</f>
        <v>1887216633</v>
      </c>
      <c r="B4957" t="s">
        <v>7312</v>
      </c>
      <c r="C4957" t="s">
        <v>9849</v>
      </c>
      <c r="D4957" t="s">
        <v>23589</v>
      </c>
      <c r="E4957">
        <v>424006</v>
      </c>
      <c r="F4957" t="s">
        <v>1</v>
      </c>
      <c r="G4957" t="s">
        <v>2</v>
      </c>
      <c r="H4957" t="s">
        <v>492</v>
      </c>
      <c r="P4957" t="s">
        <v>112</v>
      </c>
      <c r="Y4957" t="s">
        <v>23590</v>
      </c>
    </row>
    <row r="4958" spans="1:25" x14ac:dyDescent="0.25">
      <c r="A4958" t="str">
        <f>"1888003384"</f>
        <v>1888003384</v>
      </c>
      <c r="B4958" t="s">
        <v>1573</v>
      </c>
      <c r="C4958" t="s">
        <v>23593</v>
      </c>
      <c r="D4958" t="s">
        <v>23591</v>
      </c>
      <c r="E4958">
        <v>424019</v>
      </c>
      <c r="F4958" t="s">
        <v>1</v>
      </c>
      <c r="G4958" t="s">
        <v>2</v>
      </c>
      <c r="H4958" t="s">
        <v>12420</v>
      </c>
      <c r="I4958" t="s">
        <v>7823</v>
      </c>
      <c r="L4958" t="s">
        <v>11301</v>
      </c>
      <c r="M4958" t="s">
        <v>23592</v>
      </c>
      <c r="P4958" t="s">
        <v>23594</v>
      </c>
      <c r="Q4958" t="s">
        <v>23595</v>
      </c>
      <c r="R4958" t="s">
        <v>23596</v>
      </c>
      <c r="T4958" t="s">
        <v>23597</v>
      </c>
      <c r="V4958" t="s">
        <v>23598</v>
      </c>
      <c r="Y4958" t="s">
        <v>23599</v>
      </c>
    </row>
    <row r="4959" spans="1:25" x14ac:dyDescent="0.25">
      <c r="A4959" t="str">
        <f>"1888070277"</f>
        <v>1888070277</v>
      </c>
      <c r="B4959" t="s">
        <v>1604</v>
      </c>
      <c r="C4959" t="s">
        <v>2271</v>
      </c>
      <c r="D4959" t="s">
        <v>23600</v>
      </c>
      <c r="E4959">
        <v>424030</v>
      </c>
      <c r="F4959" t="s">
        <v>1</v>
      </c>
      <c r="G4959" t="s">
        <v>2</v>
      </c>
      <c r="H4959" t="s">
        <v>23601</v>
      </c>
      <c r="I4959" t="s">
        <v>23602</v>
      </c>
      <c r="P4959" t="s">
        <v>1638</v>
      </c>
      <c r="Y4959" t="s">
        <v>23603</v>
      </c>
    </row>
    <row r="4960" spans="1:25" x14ac:dyDescent="0.25">
      <c r="A4960" t="str">
        <f>"1888383184"</f>
        <v>1888383184</v>
      </c>
      <c r="B4960" t="s">
        <v>348</v>
      </c>
      <c r="C4960" t="s">
        <v>23607</v>
      </c>
      <c r="D4960" t="s">
        <v>23604</v>
      </c>
      <c r="E4960">
        <v>424006</v>
      </c>
      <c r="F4960" t="s">
        <v>1</v>
      </c>
      <c r="G4960" t="s">
        <v>2</v>
      </c>
      <c r="H4960" t="s">
        <v>23605</v>
      </c>
      <c r="J4960" t="s">
        <v>23606</v>
      </c>
      <c r="P4960" t="s">
        <v>280</v>
      </c>
      <c r="Y4960" t="s">
        <v>23608</v>
      </c>
    </row>
    <row r="4961" spans="1:25" x14ac:dyDescent="0.25">
      <c r="A4961" t="str">
        <f>"1888947564"</f>
        <v>1888947564</v>
      </c>
      <c r="B4961" t="s">
        <v>574</v>
      </c>
      <c r="C4961" t="s">
        <v>8436</v>
      </c>
      <c r="D4961" t="s">
        <v>23609</v>
      </c>
      <c r="E4961">
        <v>424007</v>
      </c>
      <c r="F4961" t="s">
        <v>1</v>
      </c>
      <c r="G4961" t="s">
        <v>2</v>
      </c>
      <c r="H4961" t="s">
        <v>11314</v>
      </c>
      <c r="P4961" t="s">
        <v>23610</v>
      </c>
      <c r="Q4961" t="s">
        <v>23611</v>
      </c>
      <c r="Y4961" t="s">
        <v>23612</v>
      </c>
    </row>
    <row r="4962" spans="1:25" x14ac:dyDescent="0.25">
      <c r="A4962" t="str">
        <f>"1889615781"</f>
        <v>1889615781</v>
      </c>
      <c r="B4962" t="s">
        <v>32</v>
      </c>
      <c r="C4962" t="s">
        <v>5623</v>
      </c>
      <c r="D4962" t="s">
        <v>40</v>
      </c>
      <c r="E4962">
        <v>424019</v>
      </c>
      <c r="F4962" t="s">
        <v>1</v>
      </c>
      <c r="G4962" t="s">
        <v>2</v>
      </c>
      <c r="H4962" t="s">
        <v>23613</v>
      </c>
      <c r="I4962" t="s">
        <v>23614</v>
      </c>
      <c r="P4962" t="s">
        <v>23615</v>
      </c>
      <c r="Y4962" t="s">
        <v>23616</v>
      </c>
    </row>
    <row r="4963" spans="1:25" x14ac:dyDescent="0.25">
      <c r="A4963" t="str">
        <f>"1890993126"</f>
        <v>1890993126</v>
      </c>
      <c r="B4963" t="s">
        <v>18</v>
      </c>
      <c r="C4963" t="s">
        <v>23617</v>
      </c>
      <c r="D4963" t="s">
        <v>9579</v>
      </c>
      <c r="E4963">
        <v>424006</v>
      </c>
      <c r="F4963" t="s">
        <v>1</v>
      </c>
      <c r="G4963" t="s">
        <v>2</v>
      </c>
      <c r="H4963" t="s">
        <v>15013</v>
      </c>
      <c r="P4963" t="s">
        <v>133</v>
      </c>
      <c r="Y4963" t="s">
        <v>23618</v>
      </c>
    </row>
    <row r="4964" spans="1:25" x14ac:dyDescent="0.25">
      <c r="A4964" t="str">
        <f>"1891138063"</f>
        <v>1891138063</v>
      </c>
      <c r="B4964" t="s">
        <v>930</v>
      </c>
      <c r="C4964" t="s">
        <v>4325</v>
      </c>
      <c r="D4964" t="s">
        <v>1094</v>
      </c>
      <c r="E4964">
        <v>424006</v>
      </c>
      <c r="F4964" t="s">
        <v>1</v>
      </c>
      <c r="G4964" t="s">
        <v>2</v>
      </c>
      <c r="H4964" t="s">
        <v>5146</v>
      </c>
      <c r="I4964" t="s">
        <v>23619</v>
      </c>
      <c r="P4964" t="s">
        <v>133</v>
      </c>
      <c r="Y4964" t="s">
        <v>5149</v>
      </c>
    </row>
    <row r="4965" spans="1:25" x14ac:dyDescent="0.25">
      <c r="A4965" t="str">
        <f>"1891183180"</f>
        <v>1891183180</v>
      </c>
      <c r="B4965" t="s">
        <v>456</v>
      </c>
      <c r="C4965" t="s">
        <v>23625</v>
      </c>
      <c r="D4965" t="s">
        <v>23620</v>
      </c>
      <c r="E4965">
        <v>424037</v>
      </c>
      <c r="F4965" t="s">
        <v>1</v>
      </c>
      <c r="G4965" t="s">
        <v>2</v>
      </c>
      <c r="H4965" t="s">
        <v>2781</v>
      </c>
      <c r="I4965" t="s">
        <v>23621</v>
      </c>
      <c r="J4965" t="s">
        <v>23622</v>
      </c>
      <c r="L4965" t="s">
        <v>23623</v>
      </c>
      <c r="M4965" t="s">
        <v>23624</v>
      </c>
      <c r="P4965" t="s">
        <v>23626</v>
      </c>
      <c r="Q4965" t="s">
        <v>23627</v>
      </c>
      <c r="Y4965" t="s">
        <v>23628</v>
      </c>
    </row>
    <row r="4966" spans="1:25" x14ac:dyDescent="0.25">
      <c r="A4966" t="str">
        <f>"1892386489"</f>
        <v>1892386489</v>
      </c>
      <c r="B4966" t="s">
        <v>1617</v>
      </c>
      <c r="C4966" t="s">
        <v>21001</v>
      </c>
      <c r="D4966" t="s">
        <v>20999</v>
      </c>
      <c r="E4966">
        <v>424008</v>
      </c>
      <c r="F4966" t="s">
        <v>1</v>
      </c>
      <c r="G4966" t="s">
        <v>2</v>
      </c>
      <c r="H4966" t="s">
        <v>23629</v>
      </c>
      <c r="Y4966" t="s">
        <v>23630</v>
      </c>
    </row>
    <row r="4967" spans="1:25" x14ac:dyDescent="0.25">
      <c r="A4967" t="str">
        <f>"1892685133"</f>
        <v>1892685133</v>
      </c>
      <c r="B4967" t="s">
        <v>88</v>
      </c>
      <c r="C4967" t="s">
        <v>23636</v>
      </c>
      <c r="D4967" t="s">
        <v>23631</v>
      </c>
      <c r="E4967">
        <v>424000</v>
      </c>
      <c r="F4967" t="s">
        <v>1</v>
      </c>
      <c r="G4967" t="s">
        <v>2</v>
      </c>
      <c r="H4967" t="s">
        <v>5814</v>
      </c>
      <c r="I4967" t="s">
        <v>23632</v>
      </c>
      <c r="J4967" t="s">
        <v>23633</v>
      </c>
      <c r="L4967" t="s">
        <v>23634</v>
      </c>
      <c r="M4967" t="s">
        <v>23635</v>
      </c>
      <c r="P4967" t="s">
        <v>362</v>
      </c>
      <c r="Q4967" t="s">
        <v>23637</v>
      </c>
      <c r="V4967" t="s">
        <v>23638</v>
      </c>
      <c r="Y4967" t="s">
        <v>23639</v>
      </c>
    </row>
    <row r="4968" spans="1:25" x14ac:dyDescent="0.25">
      <c r="A4968" t="str">
        <f>"1892877289"</f>
        <v>1892877289</v>
      </c>
      <c r="B4968" t="s">
        <v>348</v>
      </c>
      <c r="C4968" t="s">
        <v>3135</v>
      </c>
      <c r="D4968" t="s">
        <v>23640</v>
      </c>
      <c r="E4968">
        <v>424005</v>
      </c>
      <c r="F4968" t="s">
        <v>1</v>
      </c>
      <c r="G4968" t="s">
        <v>2</v>
      </c>
      <c r="H4968" t="s">
        <v>3053</v>
      </c>
      <c r="J4968" t="s">
        <v>23641</v>
      </c>
      <c r="L4968" t="s">
        <v>23642</v>
      </c>
      <c r="M4968" t="s">
        <v>23643</v>
      </c>
      <c r="P4968" t="s">
        <v>2738</v>
      </c>
      <c r="Y4968" t="s">
        <v>3056</v>
      </c>
    </row>
    <row r="4969" spans="1:25" x14ac:dyDescent="0.25">
      <c r="A4969" t="str">
        <f>"1893342496"</f>
        <v>1893342496</v>
      </c>
      <c r="B4969" t="s">
        <v>18</v>
      </c>
      <c r="C4969" t="s">
        <v>23646</v>
      </c>
      <c r="D4969" t="s">
        <v>23644</v>
      </c>
      <c r="E4969">
        <v>424028</v>
      </c>
      <c r="F4969" t="s">
        <v>1</v>
      </c>
      <c r="G4969" t="s">
        <v>2</v>
      </c>
      <c r="H4969" t="s">
        <v>15129</v>
      </c>
      <c r="I4969" t="s">
        <v>23645</v>
      </c>
      <c r="P4969" t="s">
        <v>10698</v>
      </c>
      <c r="Y4969" t="s">
        <v>23647</v>
      </c>
    </row>
    <row r="4970" spans="1:25" x14ac:dyDescent="0.25">
      <c r="A4970" t="str">
        <f>"1894297216"</f>
        <v>1894297216</v>
      </c>
      <c r="B4970" t="s">
        <v>290</v>
      </c>
      <c r="C4970" t="s">
        <v>23649</v>
      </c>
      <c r="D4970" t="s">
        <v>21345</v>
      </c>
      <c r="E4970">
        <v>424038</v>
      </c>
      <c r="F4970" t="s">
        <v>1</v>
      </c>
      <c r="G4970" t="s">
        <v>2</v>
      </c>
      <c r="H4970" t="s">
        <v>6059</v>
      </c>
      <c r="I4970" t="s">
        <v>23648</v>
      </c>
      <c r="M4970" t="s">
        <v>21348</v>
      </c>
      <c r="P4970" t="s">
        <v>13505</v>
      </c>
      <c r="Y4970" t="s">
        <v>23650</v>
      </c>
    </row>
    <row r="4971" spans="1:25" x14ac:dyDescent="0.25">
      <c r="A4971" t="str">
        <f>"1894912682"</f>
        <v>1894912682</v>
      </c>
      <c r="B4971" t="s">
        <v>32</v>
      </c>
      <c r="C4971" t="s">
        <v>40</v>
      </c>
      <c r="D4971" t="s">
        <v>11868</v>
      </c>
      <c r="E4971">
        <v>424039</v>
      </c>
      <c r="F4971" t="s">
        <v>1</v>
      </c>
      <c r="G4971" t="s">
        <v>2</v>
      </c>
      <c r="H4971" t="s">
        <v>23651</v>
      </c>
      <c r="I4971" t="s">
        <v>23652</v>
      </c>
      <c r="P4971" t="s">
        <v>23653</v>
      </c>
      <c r="Y4971" t="s">
        <v>23654</v>
      </c>
    </row>
    <row r="4972" spans="1:25" x14ac:dyDescent="0.25">
      <c r="A4972" t="str">
        <f>"1896025422"</f>
        <v>1896025422</v>
      </c>
      <c r="B4972" t="s">
        <v>888</v>
      </c>
      <c r="C4972" t="s">
        <v>18803</v>
      </c>
      <c r="D4972" t="s">
        <v>23655</v>
      </c>
      <c r="E4972">
        <v>424003</v>
      </c>
      <c r="F4972" t="s">
        <v>1</v>
      </c>
      <c r="G4972" t="s">
        <v>2</v>
      </c>
      <c r="H4972" t="s">
        <v>16890</v>
      </c>
      <c r="I4972" t="s">
        <v>23656</v>
      </c>
      <c r="L4972" t="s">
        <v>23657</v>
      </c>
      <c r="M4972" t="s">
        <v>23658</v>
      </c>
      <c r="P4972" t="s">
        <v>11831</v>
      </c>
      <c r="Q4972" t="s">
        <v>23659</v>
      </c>
      <c r="V4972" t="s">
        <v>23660</v>
      </c>
      <c r="Y4972" t="s">
        <v>16896</v>
      </c>
    </row>
    <row r="4973" spans="1:25" x14ac:dyDescent="0.25">
      <c r="A4973" t="str">
        <f>"1898493734"</f>
        <v>1898493734</v>
      </c>
      <c r="B4973" t="s">
        <v>930</v>
      </c>
      <c r="C4973" t="s">
        <v>23661</v>
      </c>
      <c r="D4973" t="s">
        <v>18876</v>
      </c>
      <c r="E4973">
        <v>424004</v>
      </c>
      <c r="F4973" t="s">
        <v>1</v>
      </c>
      <c r="G4973" t="s">
        <v>2</v>
      </c>
      <c r="H4973" t="s">
        <v>351</v>
      </c>
      <c r="P4973" t="s">
        <v>2050</v>
      </c>
      <c r="Y4973" t="s">
        <v>354</v>
      </c>
    </row>
    <row r="4974" spans="1:25" x14ac:dyDescent="0.25">
      <c r="A4974" t="str">
        <f>"1899014912"</f>
        <v>1899014912</v>
      </c>
      <c r="B4974" t="s">
        <v>32</v>
      </c>
      <c r="C4974" t="s">
        <v>20792</v>
      </c>
      <c r="D4974" t="s">
        <v>23662</v>
      </c>
      <c r="E4974">
        <v>424002</v>
      </c>
      <c r="F4974" t="s">
        <v>1</v>
      </c>
      <c r="G4974" t="s">
        <v>2</v>
      </c>
      <c r="H4974" t="s">
        <v>10546</v>
      </c>
      <c r="I4974" t="s">
        <v>23663</v>
      </c>
      <c r="P4974" t="s">
        <v>23664</v>
      </c>
      <c r="Y4974" t="s">
        <v>23665</v>
      </c>
    </row>
    <row r="4975" spans="1:25" x14ac:dyDescent="0.25">
      <c r="A4975" t="str">
        <f>"1899842861"</f>
        <v>1899842861</v>
      </c>
      <c r="B4975" t="s">
        <v>1046</v>
      </c>
      <c r="C4975" t="s">
        <v>22946</v>
      </c>
      <c r="D4975" t="s">
        <v>23666</v>
      </c>
      <c r="E4975">
        <v>424007</v>
      </c>
      <c r="F4975" t="s">
        <v>1</v>
      </c>
      <c r="G4975" t="s">
        <v>2</v>
      </c>
      <c r="H4975" t="s">
        <v>23667</v>
      </c>
      <c r="J4975" t="s">
        <v>23668</v>
      </c>
      <c r="P4975" t="s">
        <v>144</v>
      </c>
      <c r="Y4975" t="s">
        <v>23669</v>
      </c>
    </row>
    <row r="4976" spans="1:25" x14ac:dyDescent="0.25">
      <c r="A4976" t="str">
        <f>"1901675303"</f>
        <v>1901675303</v>
      </c>
      <c r="B4976" t="s">
        <v>110</v>
      </c>
      <c r="C4976" t="s">
        <v>111</v>
      </c>
      <c r="D4976" t="s">
        <v>23670</v>
      </c>
      <c r="E4976">
        <v>424002</v>
      </c>
      <c r="F4976" t="s">
        <v>1</v>
      </c>
      <c r="G4976" t="s">
        <v>2</v>
      </c>
      <c r="H4976" t="s">
        <v>3068</v>
      </c>
      <c r="I4976" t="s">
        <v>23671</v>
      </c>
      <c r="P4976" t="s">
        <v>27</v>
      </c>
      <c r="Y4976" t="s">
        <v>23672</v>
      </c>
    </row>
    <row r="4977" spans="1:25" x14ac:dyDescent="0.25">
      <c r="A4977" t="str">
        <f>"1901876274"</f>
        <v>1901876274</v>
      </c>
      <c r="B4977" t="s">
        <v>738</v>
      </c>
      <c r="C4977" t="s">
        <v>7441</v>
      </c>
      <c r="D4977" t="s">
        <v>23673</v>
      </c>
      <c r="E4977">
        <v>424005</v>
      </c>
      <c r="F4977" t="s">
        <v>1</v>
      </c>
      <c r="G4977" t="s">
        <v>2</v>
      </c>
      <c r="H4977" t="s">
        <v>3042</v>
      </c>
      <c r="I4977" t="s">
        <v>23674</v>
      </c>
      <c r="P4977" t="s">
        <v>6992</v>
      </c>
      <c r="Y4977" t="s">
        <v>23675</v>
      </c>
    </row>
    <row r="4978" spans="1:25" x14ac:dyDescent="0.25">
      <c r="A4978" t="str">
        <f>"1902018241"</f>
        <v>1902018241</v>
      </c>
      <c r="B4978" t="s">
        <v>738</v>
      </c>
      <c r="C4978" t="s">
        <v>13603</v>
      </c>
      <c r="D4978" t="s">
        <v>23676</v>
      </c>
      <c r="F4978" t="s">
        <v>1</v>
      </c>
      <c r="G4978" t="s">
        <v>2</v>
      </c>
      <c r="H4978" t="s">
        <v>13225</v>
      </c>
      <c r="I4978" t="s">
        <v>23677</v>
      </c>
      <c r="P4978" t="s">
        <v>3826</v>
      </c>
      <c r="Y4978" t="s">
        <v>23678</v>
      </c>
    </row>
    <row r="4979" spans="1:25" x14ac:dyDescent="0.25">
      <c r="A4979" t="str">
        <f>"1902239888"</f>
        <v>1902239888</v>
      </c>
      <c r="B4979" t="s">
        <v>18</v>
      </c>
      <c r="C4979" t="s">
        <v>14080</v>
      </c>
      <c r="D4979" t="s">
        <v>23679</v>
      </c>
      <c r="F4979" t="s">
        <v>1</v>
      </c>
      <c r="G4979" t="s">
        <v>2</v>
      </c>
      <c r="H4979" t="s">
        <v>4897</v>
      </c>
      <c r="I4979" t="s">
        <v>23680</v>
      </c>
      <c r="J4979" t="s">
        <v>23681</v>
      </c>
      <c r="L4979" t="s">
        <v>23579</v>
      </c>
      <c r="M4979" t="s">
        <v>23580</v>
      </c>
      <c r="P4979" t="s">
        <v>5396</v>
      </c>
      <c r="Y4979" t="s">
        <v>4900</v>
      </c>
    </row>
    <row r="4980" spans="1:25" x14ac:dyDescent="0.25">
      <c r="A4980" t="str">
        <f>"1903484937"</f>
        <v>1903484937</v>
      </c>
      <c r="B4980" t="s">
        <v>96</v>
      </c>
      <c r="C4980" t="s">
        <v>893</v>
      </c>
      <c r="D4980" t="s">
        <v>23682</v>
      </c>
      <c r="E4980">
        <v>424007</v>
      </c>
      <c r="F4980" t="s">
        <v>1</v>
      </c>
      <c r="G4980" t="s">
        <v>2</v>
      </c>
      <c r="H4980" t="s">
        <v>5178</v>
      </c>
      <c r="P4980" t="s">
        <v>2731</v>
      </c>
      <c r="Y4980" t="s">
        <v>23683</v>
      </c>
    </row>
    <row r="4981" spans="1:25" x14ac:dyDescent="0.25">
      <c r="A4981" t="str">
        <f>"1905838703"</f>
        <v>1905838703</v>
      </c>
      <c r="B4981" t="s">
        <v>25</v>
      </c>
      <c r="C4981" t="s">
        <v>59</v>
      </c>
      <c r="D4981" t="s">
        <v>6246</v>
      </c>
      <c r="E4981">
        <v>424002</v>
      </c>
      <c r="F4981" t="s">
        <v>1</v>
      </c>
      <c r="G4981" t="s">
        <v>2</v>
      </c>
      <c r="H4981" t="s">
        <v>11597</v>
      </c>
      <c r="J4981" t="s">
        <v>23684</v>
      </c>
      <c r="P4981" t="s">
        <v>152</v>
      </c>
      <c r="Y4981" t="s">
        <v>11600</v>
      </c>
    </row>
    <row r="4982" spans="1:25" x14ac:dyDescent="0.25">
      <c r="A4982" t="str">
        <f>"1906758692"</f>
        <v>1906758692</v>
      </c>
      <c r="B4982" t="s">
        <v>243</v>
      </c>
      <c r="C4982" t="s">
        <v>244</v>
      </c>
      <c r="D4982" t="s">
        <v>23685</v>
      </c>
      <c r="F4982" t="s">
        <v>1</v>
      </c>
      <c r="G4982" t="s">
        <v>2</v>
      </c>
      <c r="H4982" t="s">
        <v>1508</v>
      </c>
      <c r="I4982" t="s">
        <v>23686</v>
      </c>
      <c r="P4982" t="s">
        <v>280</v>
      </c>
      <c r="Y4982" t="s">
        <v>10196</v>
      </c>
    </row>
    <row r="4983" spans="1:25" x14ac:dyDescent="0.25">
      <c r="A4983" t="str">
        <f>"1907234231"</f>
        <v>1907234231</v>
      </c>
      <c r="B4983" t="s">
        <v>151</v>
      </c>
      <c r="C4983" t="s">
        <v>23690</v>
      </c>
      <c r="D4983" t="s">
        <v>23687</v>
      </c>
      <c r="E4983">
        <v>424000</v>
      </c>
      <c r="F4983" t="s">
        <v>1</v>
      </c>
      <c r="G4983" t="s">
        <v>2</v>
      </c>
      <c r="H4983" t="s">
        <v>2193</v>
      </c>
      <c r="I4983" t="s">
        <v>23688</v>
      </c>
      <c r="J4983" t="s">
        <v>23689</v>
      </c>
      <c r="P4983" t="s">
        <v>4831</v>
      </c>
      <c r="Y4983" t="s">
        <v>23691</v>
      </c>
    </row>
    <row r="4984" spans="1:25" x14ac:dyDescent="0.25">
      <c r="A4984" t="str">
        <f>"1908192530"</f>
        <v>1908192530</v>
      </c>
      <c r="B4984" t="s">
        <v>32</v>
      </c>
      <c r="C4984" t="s">
        <v>20137</v>
      </c>
      <c r="D4984" t="s">
        <v>23692</v>
      </c>
      <c r="E4984">
        <v>424038</v>
      </c>
      <c r="F4984" t="s">
        <v>1</v>
      </c>
      <c r="G4984" t="s">
        <v>2</v>
      </c>
      <c r="H4984" t="s">
        <v>16808</v>
      </c>
      <c r="I4984" t="s">
        <v>23693</v>
      </c>
      <c r="J4984" t="s">
        <v>23694</v>
      </c>
      <c r="P4984" t="s">
        <v>1404</v>
      </c>
      <c r="Y4984" t="s">
        <v>16810</v>
      </c>
    </row>
    <row r="4985" spans="1:25" x14ac:dyDescent="0.25">
      <c r="A4985" t="str">
        <f>"1909358218"</f>
        <v>1909358218</v>
      </c>
      <c r="B4985" t="s">
        <v>930</v>
      </c>
      <c r="C4985" t="s">
        <v>1096</v>
      </c>
      <c r="D4985" t="s">
        <v>23695</v>
      </c>
      <c r="E4985">
        <v>424020</v>
      </c>
      <c r="F4985" t="s">
        <v>1</v>
      </c>
      <c r="G4985" t="s">
        <v>2</v>
      </c>
      <c r="H4985" t="s">
        <v>3675</v>
      </c>
      <c r="J4985" t="s">
        <v>23696</v>
      </c>
      <c r="P4985" t="s">
        <v>152</v>
      </c>
      <c r="Y4985" t="s">
        <v>23697</v>
      </c>
    </row>
    <row r="4986" spans="1:25" x14ac:dyDescent="0.25">
      <c r="A4986" t="str">
        <f>"1909722548"</f>
        <v>1909722548</v>
      </c>
      <c r="B4986" t="s">
        <v>930</v>
      </c>
      <c r="C4986" t="s">
        <v>1096</v>
      </c>
      <c r="D4986" t="s">
        <v>23698</v>
      </c>
      <c r="E4986">
        <v>424028</v>
      </c>
      <c r="F4986" t="s">
        <v>1</v>
      </c>
      <c r="G4986" t="s">
        <v>2</v>
      </c>
      <c r="H4986" t="s">
        <v>23699</v>
      </c>
      <c r="I4986" t="s">
        <v>23700</v>
      </c>
      <c r="L4986" t="s">
        <v>23701</v>
      </c>
      <c r="P4986" t="s">
        <v>133</v>
      </c>
      <c r="Q4986" t="s">
        <v>23702</v>
      </c>
      <c r="Y4986" t="s">
        <v>23703</v>
      </c>
    </row>
    <row r="4987" spans="1:25" x14ac:dyDescent="0.25">
      <c r="A4987" t="str">
        <f>"1909764163"</f>
        <v>1909764163</v>
      </c>
      <c r="B4987" t="s">
        <v>123</v>
      </c>
      <c r="C4987" t="s">
        <v>424</v>
      </c>
      <c r="D4987" t="s">
        <v>5772</v>
      </c>
      <c r="E4987">
        <v>424005</v>
      </c>
      <c r="F4987" t="s">
        <v>1</v>
      </c>
      <c r="G4987" t="s">
        <v>2</v>
      </c>
      <c r="H4987" t="s">
        <v>6843</v>
      </c>
      <c r="I4987" t="s">
        <v>5774</v>
      </c>
      <c r="P4987" t="s">
        <v>4998</v>
      </c>
      <c r="Y4987" t="s">
        <v>6846</v>
      </c>
    </row>
    <row r="4988" spans="1:25" x14ac:dyDescent="0.25">
      <c r="A4988" t="str">
        <f>"1912556929"</f>
        <v>1912556929</v>
      </c>
      <c r="B4988" t="s">
        <v>538</v>
      </c>
      <c r="C4988" t="s">
        <v>539</v>
      </c>
      <c r="D4988" t="s">
        <v>11791</v>
      </c>
      <c r="E4988">
        <v>424037</v>
      </c>
      <c r="F4988" t="s">
        <v>1</v>
      </c>
      <c r="G4988" t="s">
        <v>2</v>
      </c>
      <c r="H4988" t="s">
        <v>11792</v>
      </c>
      <c r="I4988" t="s">
        <v>23704</v>
      </c>
      <c r="L4988" t="s">
        <v>581</v>
      </c>
      <c r="M4988" t="s">
        <v>582</v>
      </c>
      <c r="P4988" t="s">
        <v>280</v>
      </c>
      <c r="Y4988" t="s">
        <v>11796</v>
      </c>
    </row>
    <row r="4989" spans="1:25" x14ac:dyDescent="0.25">
      <c r="A4989" t="str">
        <f>"1913049669"</f>
        <v>1913049669</v>
      </c>
      <c r="B4989" t="s">
        <v>703</v>
      </c>
      <c r="C4989" t="s">
        <v>23707</v>
      </c>
      <c r="D4989" t="s">
        <v>23705</v>
      </c>
      <c r="E4989">
        <v>424040</v>
      </c>
      <c r="F4989" t="s">
        <v>1</v>
      </c>
      <c r="G4989" t="s">
        <v>2</v>
      </c>
      <c r="H4989" t="s">
        <v>5602</v>
      </c>
      <c r="J4989" t="s">
        <v>23706</v>
      </c>
      <c r="P4989" t="s">
        <v>216</v>
      </c>
      <c r="Y4989" t="s">
        <v>5606</v>
      </c>
    </row>
    <row r="4990" spans="1:25" x14ac:dyDescent="0.25">
      <c r="A4990" t="str">
        <f>"1913843225"</f>
        <v>1913843225</v>
      </c>
      <c r="B4990" t="s">
        <v>18</v>
      </c>
      <c r="C4990" t="s">
        <v>143</v>
      </c>
      <c r="D4990" t="s">
        <v>23708</v>
      </c>
      <c r="E4990">
        <v>424016</v>
      </c>
      <c r="F4990" t="s">
        <v>1</v>
      </c>
      <c r="G4990" t="s">
        <v>2</v>
      </c>
      <c r="H4990" t="s">
        <v>12014</v>
      </c>
      <c r="J4990" t="s">
        <v>23709</v>
      </c>
      <c r="L4990" t="s">
        <v>23710</v>
      </c>
      <c r="M4990" t="s">
        <v>23711</v>
      </c>
      <c r="P4990" t="s">
        <v>27</v>
      </c>
      <c r="Q4990" t="s">
        <v>23712</v>
      </c>
      <c r="V4990" t="s">
        <v>23713</v>
      </c>
      <c r="Y4990" t="s">
        <v>23714</v>
      </c>
    </row>
    <row r="4991" spans="1:25" x14ac:dyDescent="0.25">
      <c r="A4991" t="str">
        <f>"1914718205"</f>
        <v>1914718205</v>
      </c>
      <c r="B4991" t="s">
        <v>48</v>
      </c>
      <c r="C4991" t="s">
        <v>16070</v>
      </c>
      <c r="D4991" t="s">
        <v>23715</v>
      </c>
      <c r="E4991">
        <v>424040</v>
      </c>
      <c r="F4991" t="s">
        <v>1</v>
      </c>
      <c r="G4991" t="s">
        <v>2</v>
      </c>
      <c r="H4991" t="s">
        <v>7927</v>
      </c>
      <c r="I4991" t="s">
        <v>23716</v>
      </c>
      <c r="L4991" t="s">
        <v>23717</v>
      </c>
      <c r="M4991" t="s">
        <v>23718</v>
      </c>
      <c r="P4991" t="s">
        <v>23719</v>
      </c>
      <c r="Q4991" t="s">
        <v>23720</v>
      </c>
      <c r="U4991" t="s">
        <v>23721</v>
      </c>
      <c r="Y4991" t="s">
        <v>23722</v>
      </c>
    </row>
    <row r="4992" spans="1:25" x14ac:dyDescent="0.25">
      <c r="A4992" t="str">
        <f>"1915248493"</f>
        <v>1915248493</v>
      </c>
      <c r="B4992" t="s">
        <v>456</v>
      </c>
      <c r="C4992" t="s">
        <v>23727</v>
      </c>
      <c r="D4992" t="s">
        <v>23723</v>
      </c>
      <c r="E4992">
        <v>424006</v>
      </c>
      <c r="F4992" t="s">
        <v>1</v>
      </c>
      <c r="G4992" t="s">
        <v>2</v>
      </c>
      <c r="H4992" t="s">
        <v>478</v>
      </c>
      <c r="I4992" t="s">
        <v>23724</v>
      </c>
      <c r="L4992" t="s">
        <v>23725</v>
      </c>
      <c r="M4992" t="s">
        <v>23726</v>
      </c>
      <c r="P4992" t="s">
        <v>9</v>
      </c>
      <c r="Y4992" t="s">
        <v>926</v>
      </c>
    </row>
    <row r="4993" spans="1:25" x14ac:dyDescent="0.25">
      <c r="A4993" t="str">
        <f>"1915747165"</f>
        <v>1915747165</v>
      </c>
      <c r="B4993" t="s">
        <v>1391</v>
      </c>
      <c r="C4993" t="s">
        <v>23730</v>
      </c>
      <c r="D4993" t="s">
        <v>23728</v>
      </c>
      <c r="E4993">
        <v>424007</v>
      </c>
      <c r="F4993" t="s">
        <v>1</v>
      </c>
      <c r="G4993" t="s">
        <v>2</v>
      </c>
      <c r="H4993" t="s">
        <v>5647</v>
      </c>
      <c r="I4993" t="s">
        <v>23729</v>
      </c>
      <c r="P4993" t="s">
        <v>2979</v>
      </c>
      <c r="Y4993" t="s">
        <v>23731</v>
      </c>
    </row>
    <row r="4994" spans="1:25" x14ac:dyDescent="0.25">
      <c r="A4994" t="str">
        <f>"1916053766"</f>
        <v>1916053766</v>
      </c>
      <c r="B4994" t="s">
        <v>3200</v>
      </c>
      <c r="C4994" t="s">
        <v>18948</v>
      </c>
      <c r="D4994" t="s">
        <v>23732</v>
      </c>
      <c r="E4994">
        <v>424000</v>
      </c>
      <c r="F4994" t="s">
        <v>1</v>
      </c>
      <c r="G4994" t="s">
        <v>2</v>
      </c>
      <c r="H4994" t="s">
        <v>3483</v>
      </c>
      <c r="I4994" t="s">
        <v>23733</v>
      </c>
      <c r="P4994" t="s">
        <v>112</v>
      </c>
      <c r="Y4994" t="s">
        <v>23734</v>
      </c>
    </row>
    <row r="4995" spans="1:25" x14ac:dyDescent="0.25">
      <c r="A4995" t="str">
        <f>"1917008584"</f>
        <v>1917008584</v>
      </c>
      <c r="B4995" t="s">
        <v>738</v>
      </c>
      <c r="C4995" t="s">
        <v>21173</v>
      </c>
      <c r="D4995" t="s">
        <v>23735</v>
      </c>
      <c r="E4995">
        <v>424007</v>
      </c>
      <c r="F4995" t="s">
        <v>1</v>
      </c>
      <c r="G4995" t="s">
        <v>2</v>
      </c>
      <c r="H4995" t="s">
        <v>10252</v>
      </c>
      <c r="I4995" t="s">
        <v>23736</v>
      </c>
      <c r="L4995" t="s">
        <v>23737</v>
      </c>
      <c r="M4995" t="s">
        <v>23738</v>
      </c>
      <c r="P4995" t="s">
        <v>2438</v>
      </c>
      <c r="Q4995" t="s">
        <v>23739</v>
      </c>
      <c r="Y4995" t="s">
        <v>10258</v>
      </c>
    </row>
    <row r="4996" spans="1:25" x14ac:dyDescent="0.25">
      <c r="A4996" t="str">
        <f>"1917189020"</f>
        <v>1917189020</v>
      </c>
      <c r="B4996" t="s">
        <v>2361</v>
      </c>
      <c r="C4996" t="s">
        <v>2361</v>
      </c>
      <c r="D4996" t="s">
        <v>23740</v>
      </c>
      <c r="E4996">
        <v>424006</v>
      </c>
      <c r="F4996" t="s">
        <v>1</v>
      </c>
      <c r="G4996" t="s">
        <v>2</v>
      </c>
      <c r="H4996" t="s">
        <v>2012</v>
      </c>
      <c r="J4996" t="s">
        <v>23741</v>
      </c>
      <c r="P4996" t="s">
        <v>5084</v>
      </c>
      <c r="Y4996" t="s">
        <v>2016</v>
      </c>
    </row>
    <row r="4997" spans="1:25" x14ac:dyDescent="0.25">
      <c r="A4997" t="str">
        <f>"1917698371"</f>
        <v>1917698371</v>
      </c>
      <c r="B4997" t="s">
        <v>930</v>
      </c>
      <c r="C4997" t="s">
        <v>1096</v>
      </c>
      <c r="D4997" t="s">
        <v>23742</v>
      </c>
      <c r="E4997">
        <v>424037</v>
      </c>
      <c r="F4997" t="s">
        <v>1</v>
      </c>
      <c r="G4997" t="s">
        <v>2</v>
      </c>
      <c r="H4997" t="s">
        <v>3765</v>
      </c>
      <c r="I4997" t="s">
        <v>23743</v>
      </c>
      <c r="J4997" t="s">
        <v>23744</v>
      </c>
      <c r="P4997" t="s">
        <v>410</v>
      </c>
      <c r="Y4997" t="s">
        <v>23745</v>
      </c>
    </row>
    <row r="4998" spans="1:25" x14ac:dyDescent="0.25">
      <c r="A4998" t="str">
        <f>"1918046265"</f>
        <v>1918046265</v>
      </c>
      <c r="B4998" t="s">
        <v>640</v>
      </c>
      <c r="C4998" t="s">
        <v>663</v>
      </c>
      <c r="D4998" t="s">
        <v>23746</v>
      </c>
      <c r="E4998">
        <v>424000</v>
      </c>
      <c r="F4998" t="s">
        <v>1</v>
      </c>
      <c r="G4998" t="s">
        <v>2</v>
      </c>
      <c r="H4998" t="s">
        <v>1531</v>
      </c>
      <c r="I4998" t="s">
        <v>23747</v>
      </c>
      <c r="P4998" t="s">
        <v>23748</v>
      </c>
      <c r="Y4998" t="s">
        <v>23749</v>
      </c>
    </row>
    <row r="4999" spans="1:25" x14ac:dyDescent="0.25">
      <c r="A4999" t="str">
        <f>"1918405123"</f>
        <v>1918405123</v>
      </c>
      <c r="B4999" t="s">
        <v>456</v>
      </c>
      <c r="C4999" t="s">
        <v>17904</v>
      </c>
      <c r="D4999" t="s">
        <v>23750</v>
      </c>
      <c r="F4999" t="s">
        <v>1</v>
      </c>
      <c r="G4999" t="s">
        <v>2</v>
      </c>
      <c r="H4999" t="s">
        <v>2018</v>
      </c>
      <c r="J4999" t="s">
        <v>23751</v>
      </c>
      <c r="P4999" t="s">
        <v>27</v>
      </c>
      <c r="Y4999" t="s">
        <v>2131</v>
      </c>
    </row>
    <row r="5000" spans="1:25" x14ac:dyDescent="0.25">
      <c r="A5000" t="str">
        <f>"1919021726"</f>
        <v>1919021726</v>
      </c>
      <c r="B5000" t="s">
        <v>13538</v>
      </c>
      <c r="C5000" t="s">
        <v>13539</v>
      </c>
      <c r="D5000" t="s">
        <v>23752</v>
      </c>
      <c r="E5000">
        <v>424039</v>
      </c>
      <c r="F5000" t="s">
        <v>1</v>
      </c>
      <c r="G5000" t="s">
        <v>2</v>
      </c>
      <c r="H5000" t="s">
        <v>20272</v>
      </c>
      <c r="J5000" t="s">
        <v>23753</v>
      </c>
      <c r="L5000" t="s">
        <v>23754</v>
      </c>
      <c r="M5000" t="s">
        <v>23755</v>
      </c>
      <c r="P5000" t="s">
        <v>27</v>
      </c>
      <c r="Y5000" t="s">
        <v>20276</v>
      </c>
    </row>
    <row r="5001" spans="1:25" x14ac:dyDescent="0.25">
      <c r="A5001" t="str">
        <f>"1919567327"</f>
        <v>1919567327</v>
      </c>
      <c r="B5001" t="s">
        <v>32</v>
      </c>
      <c r="C5001" t="s">
        <v>40</v>
      </c>
      <c r="D5001" t="s">
        <v>23756</v>
      </c>
      <c r="E5001">
        <v>424016</v>
      </c>
      <c r="F5001" t="s">
        <v>1</v>
      </c>
      <c r="G5001" t="s">
        <v>2</v>
      </c>
      <c r="H5001" t="s">
        <v>5561</v>
      </c>
      <c r="I5001" t="s">
        <v>23757</v>
      </c>
      <c r="P5001" t="s">
        <v>2406</v>
      </c>
      <c r="Y5001" t="s">
        <v>5567</v>
      </c>
    </row>
    <row r="5002" spans="1:25" x14ac:dyDescent="0.25">
      <c r="A5002" t="str">
        <f>"1919876986"</f>
        <v>1919876986</v>
      </c>
      <c r="B5002" t="s">
        <v>32</v>
      </c>
      <c r="C5002" t="s">
        <v>182</v>
      </c>
      <c r="D5002" t="s">
        <v>23758</v>
      </c>
      <c r="E5002">
        <v>424038</v>
      </c>
      <c r="F5002" t="s">
        <v>1</v>
      </c>
      <c r="G5002" t="s">
        <v>2</v>
      </c>
      <c r="H5002" t="s">
        <v>9865</v>
      </c>
      <c r="J5002" t="s">
        <v>23759</v>
      </c>
      <c r="P5002" t="s">
        <v>2280</v>
      </c>
      <c r="Y5002" t="s">
        <v>9870</v>
      </c>
    </row>
    <row r="5003" spans="1:25" x14ac:dyDescent="0.25">
      <c r="A5003" t="str">
        <f>"1920306249"</f>
        <v>1920306249</v>
      </c>
      <c r="B5003" t="s">
        <v>123</v>
      </c>
      <c r="C5003" t="s">
        <v>424</v>
      </c>
      <c r="D5003" t="s">
        <v>23760</v>
      </c>
      <c r="E5003">
        <v>424004</v>
      </c>
      <c r="F5003" t="s">
        <v>1</v>
      </c>
      <c r="G5003" t="s">
        <v>2</v>
      </c>
      <c r="H5003" t="s">
        <v>23761</v>
      </c>
      <c r="J5003" t="s">
        <v>23762</v>
      </c>
      <c r="P5003" t="s">
        <v>4998</v>
      </c>
      <c r="Y5003" t="s">
        <v>23763</v>
      </c>
    </row>
    <row r="5004" spans="1:25" x14ac:dyDescent="0.25">
      <c r="A5004" t="str">
        <f>"1921723175"</f>
        <v>1921723175</v>
      </c>
      <c r="B5004" t="s">
        <v>96</v>
      </c>
      <c r="C5004" t="s">
        <v>23769</v>
      </c>
      <c r="D5004" t="s">
        <v>23764</v>
      </c>
      <c r="E5004">
        <v>424003</v>
      </c>
      <c r="F5004" t="s">
        <v>1</v>
      </c>
      <c r="G5004" t="s">
        <v>2</v>
      </c>
      <c r="H5004" t="s">
        <v>23765</v>
      </c>
      <c r="I5004" t="s">
        <v>23766</v>
      </c>
      <c r="L5004" t="s">
        <v>23767</v>
      </c>
      <c r="M5004" t="s">
        <v>23768</v>
      </c>
      <c r="P5004" t="s">
        <v>23770</v>
      </c>
      <c r="Q5004" t="s">
        <v>23771</v>
      </c>
      <c r="V5004" t="s">
        <v>23772</v>
      </c>
      <c r="Y5004" t="s">
        <v>23773</v>
      </c>
    </row>
    <row r="5005" spans="1:25" x14ac:dyDescent="0.25">
      <c r="A5005" t="str">
        <f>"1923870361"</f>
        <v>1923870361</v>
      </c>
      <c r="B5005" t="s">
        <v>348</v>
      </c>
      <c r="C5005" t="s">
        <v>23776</v>
      </c>
      <c r="D5005" t="s">
        <v>23774</v>
      </c>
      <c r="E5005">
        <v>424038</v>
      </c>
      <c r="F5005" t="s">
        <v>1</v>
      </c>
      <c r="G5005" t="s">
        <v>2</v>
      </c>
      <c r="H5005" t="s">
        <v>6550</v>
      </c>
      <c r="I5005" t="s">
        <v>23775</v>
      </c>
      <c r="P5005" t="s">
        <v>458</v>
      </c>
      <c r="Y5005" t="s">
        <v>23777</v>
      </c>
    </row>
    <row r="5006" spans="1:25" x14ac:dyDescent="0.25">
      <c r="A5006" t="str">
        <f>"1924352544"</f>
        <v>1924352544</v>
      </c>
      <c r="B5006" t="s">
        <v>574</v>
      </c>
      <c r="C5006" t="s">
        <v>23780</v>
      </c>
      <c r="D5006" t="s">
        <v>12461</v>
      </c>
      <c r="E5006">
        <v>424002</v>
      </c>
      <c r="F5006" t="s">
        <v>1</v>
      </c>
      <c r="G5006" t="s">
        <v>2</v>
      </c>
      <c r="H5006" t="s">
        <v>23778</v>
      </c>
      <c r="I5006" t="s">
        <v>23779</v>
      </c>
      <c r="P5006" t="s">
        <v>216</v>
      </c>
      <c r="Y5006" t="s">
        <v>23781</v>
      </c>
    </row>
    <row r="5007" spans="1:25" x14ac:dyDescent="0.25">
      <c r="A5007" t="str">
        <f>"1924380829"</f>
        <v>1924380829</v>
      </c>
      <c r="B5007" t="s">
        <v>574</v>
      </c>
      <c r="C5007" t="s">
        <v>14269</v>
      </c>
      <c r="D5007" t="s">
        <v>14267</v>
      </c>
      <c r="E5007">
        <v>424007</v>
      </c>
      <c r="F5007" t="s">
        <v>1</v>
      </c>
      <c r="G5007" t="s">
        <v>2</v>
      </c>
      <c r="H5007" t="s">
        <v>4321</v>
      </c>
      <c r="P5007" t="s">
        <v>13450</v>
      </c>
      <c r="Y5007" t="s">
        <v>23782</v>
      </c>
    </row>
    <row r="5008" spans="1:25" x14ac:dyDescent="0.25">
      <c r="A5008" t="str">
        <f>"1925666892"</f>
        <v>1925666892</v>
      </c>
      <c r="B5008" t="s">
        <v>482</v>
      </c>
      <c r="C5008" t="s">
        <v>483</v>
      </c>
      <c r="D5008" t="s">
        <v>23783</v>
      </c>
      <c r="E5008">
        <v>424007</v>
      </c>
      <c r="F5008" t="s">
        <v>1</v>
      </c>
      <c r="G5008" t="s">
        <v>2</v>
      </c>
      <c r="H5008" t="s">
        <v>11607</v>
      </c>
      <c r="J5008" t="s">
        <v>23784</v>
      </c>
      <c r="L5008" t="s">
        <v>23785</v>
      </c>
      <c r="M5008" t="s">
        <v>23786</v>
      </c>
      <c r="P5008" t="s">
        <v>133</v>
      </c>
      <c r="Q5008" t="s">
        <v>23787</v>
      </c>
      <c r="Y5008" t="s">
        <v>12398</v>
      </c>
    </row>
    <row r="5009" spans="1:25" x14ac:dyDescent="0.25">
      <c r="A5009" t="str">
        <f>"1926113556"</f>
        <v>1926113556</v>
      </c>
      <c r="B5009" t="s">
        <v>930</v>
      </c>
      <c r="C5009" t="s">
        <v>1096</v>
      </c>
      <c r="D5009" t="s">
        <v>1096</v>
      </c>
      <c r="E5009">
        <v>424004</v>
      </c>
      <c r="F5009" t="s">
        <v>1</v>
      </c>
      <c r="G5009" t="s">
        <v>2</v>
      </c>
      <c r="H5009" t="s">
        <v>4036</v>
      </c>
      <c r="I5009" t="s">
        <v>23788</v>
      </c>
      <c r="P5009" t="s">
        <v>27</v>
      </c>
      <c r="Y5009" t="s">
        <v>23789</v>
      </c>
    </row>
    <row r="5010" spans="1:25" x14ac:dyDescent="0.25">
      <c r="A5010" t="str">
        <f>"1926806917"</f>
        <v>1926806917</v>
      </c>
      <c r="B5010" t="s">
        <v>456</v>
      </c>
      <c r="C5010" t="s">
        <v>2773</v>
      </c>
      <c r="D5010" t="s">
        <v>23790</v>
      </c>
      <c r="E5010">
        <v>424007</v>
      </c>
      <c r="F5010" t="s">
        <v>1</v>
      </c>
      <c r="G5010" t="s">
        <v>2</v>
      </c>
      <c r="H5010" t="s">
        <v>23791</v>
      </c>
      <c r="J5010" t="s">
        <v>23792</v>
      </c>
      <c r="M5010" t="s">
        <v>23793</v>
      </c>
      <c r="P5010" t="s">
        <v>2457</v>
      </c>
      <c r="Q5010" t="s">
        <v>23794</v>
      </c>
      <c r="T5010" t="s">
        <v>23795</v>
      </c>
      <c r="V5010" t="s">
        <v>23796</v>
      </c>
      <c r="Y5010" t="s">
        <v>23797</v>
      </c>
    </row>
    <row r="5011" spans="1:25" x14ac:dyDescent="0.25">
      <c r="A5011" t="str">
        <f>"1927027892"</f>
        <v>1927027892</v>
      </c>
      <c r="B5011" t="s">
        <v>88</v>
      </c>
      <c r="C5011" t="s">
        <v>23802</v>
      </c>
      <c r="D5011" t="s">
        <v>23798</v>
      </c>
      <c r="E5011">
        <v>424007</v>
      </c>
      <c r="F5011" t="s">
        <v>1</v>
      </c>
      <c r="G5011" t="s">
        <v>2</v>
      </c>
      <c r="H5011" t="s">
        <v>1085</v>
      </c>
      <c r="J5011" t="s">
        <v>23799</v>
      </c>
      <c r="L5011" t="s">
        <v>23800</v>
      </c>
      <c r="M5011" t="s">
        <v>23801</v>
      </c>
      <c r="P5011" t="s">
        <v>330</v>
      </c>
      <c r="Q5011" t="s">
        <v>23803</v>
      </c>
      <c r="Y5011" t="s">
        <v>1412</v>
      </c>
    </row>
    <row r="5012" spans="1:25" x14ac:dyDescent="0.25">
      <c r="A5012" t="str">
        <f>"1928442330"</f>
        <v>1928442330</v>
      </c>
      <c r="B5012" t="s">
        <v>1152</v>
      </c>
      <c r="C5012" t="s">
        <v>4682</v>
      </c>
      <c r="D5012" t="s">
        <v>23804</v>
      </c>
      <c r="E5012">
        <v>424000</v>
      </c>
      <c r="F5012" t="s">
        <v>1</v>
      </c>
      <c r="G5012" t="s">
        <v>2</v>
      </c>
      <c r="H5012" t="s">
        <v>1531</v>
      </c>
      <c r="I5012" t="s">
        <v>23805</v>
      </c>
      <c r="J5012" t="s">
        <v>23806</v>
      </c>
      <c r="P5012" t="s">
        <v>23807</v>
      </c>
      <c r="Y5012" t="s">
        <v>1707</v>
      </c>
    </row>
    <row r="5013" spans="1:25" x14ac:dyDescent="0.25">
      <c r="A5013" t="str">
        <f>"1928975496"</f>
        <v>1928975496</v>
      </c>
      <c r="B5013" t="s">
        <v>930</v>
      </c>
      <c r="C5013" t="s">
        <v>11882</v>
      </c>
      <c r="D5013" t="s">
        <v>927</v>
      </c>
      <c r="E5013">
        <v>424004</v>
      </c>
      <c r="F5013" t="s">
        <v>1</v>
      </c>
      <c r="G5013" t="s">
        <v>2</v>
      </c>
      <c r="H5013" t="s">
        <v>23808</v>
      </c>
      <c r="I5013" t="s">
        <v>23809</v>
      </c>
      <c r="P5013" t="s">
        <v>280</v>
      </c>
      <c r="Y5013" t="s">
        <v>23810</v>
      </c>
    </row>
    <row r="5014" spans="1:25" x14ac:dyDescent="0.25">
      <c r="A5014" t="str">
        <f>"1929166286"</f>
        <v>1929166286</v>
      </c>
      <c r="B5014" t="s">
        <v>397</v>
      </c>
      <c r="C5014" t="s">
        <v>23817</v>
      </c>
      <c r="D5014" t="s">
        <v>23811</v>
      </c>
      <c r="E5014">
        <v>424028</v>
      </c>
      <c r="F5014" t="s">
        <v>1</v>
      </c>
      <c r="G5014" t="s">
        <v>2</v>
      </c>
      <c r="H5014" t="s">
        <v>23812</v>
      </c>
      <c r="I5014" t="s">
        <v>23813</v>
      </c>
      <c r="J5014" t="s">
        <v>23814</v>
      </c>
      <c r="L5014" t="s">
        <v>23815</v>
      </c>
      <c r="M5014" t="s">
        <v>23816</v>
      </c>
      <c r="P5014" t="s">
        <v>23818</v>
      </c>
      <c r="Y5014" t="s">
        <v>23819</v>
      </c>
    </row>
    <row r="5015" spans="1:25" x14ac:dyDescent="0.25">
      <c r="A5015" t="str">
        <f>"1929248593"</f>
        <v>1929248593</v>
      </c>
      <c r="B5015" t="s">
        <v>334</v>
      </c>
      <c r="C5015" t="s">
        <v>23824</v>
      </c>
      <c r="D5015" t="s">
        <v>23820</v>
      </c>
      <c r="E5015">
        <v>424004</v>
      </c>
      <c r="F5015" t="s">
        <v>1</v>
      </c>
      <c r="G5015" t="s">
        <v>2</v>
      </c>
      <c r="H5015" t="s">
        <v>2133</v>
      </c>
      <c r="I5015" t="s">
        <v>23821</v>
      </c>
      <c r="L5015" t="s">
        <v>23822</v>
      </c>
      <c r="M5015" t="s">
        <v>23823</v>
      </c>
      <c r="P5015" t="s">
        <v>330</v>
      </c>
      <c r="Q5015" t="s">
        <v>23825</v>
      </c>
      <c r="S5015" t="s">
        <v>23826</v>
      </c>
      <c r="T5015" t="s">
        <v>23827</v>
      </c>
      <c r="Y5015" t="s">
        <v>23828</v>
      </c>
    </row>
    <row r="5016" spans="1:25" x14ac:dyDescent="0.25">
      <c r="A5016" t="str">
        <f>"1931532676"</f>
        <v>1931532676</v>
      </c>
      <c r="B5016" t="s">
        <v>640</v>
      </c>
      <c r="C5016" t="s">
        <v>663</v>
      </c>
      <c r="D5016" t="s">
        <v>23829</v>
      </c>
      <c r="E5016">
        <v>424003</v>
      </c>
      <c r="F5016" t="s">
        <v>1</v>
      </c>
      <c r="G5016" t="s">
        <v>2</v>
      </c>
      <c r="H5016" t="s">
        <v>13256</v>
      </c>
      <c r="J5016" t="s">
        <v>23830</v>
      </c>
      <c r="P5016" t="s">
        <v>23831</v>
      </c>
      <c r="Y5016" t="s">
        <v>23832</v>
      </c>
    </row>
    <row r="5017" spans="1:25" x14ac:dyDescent="0.25">
      <c r="A5017" t="str">
        <f>"1931870541"</f>
        <v>1931870541</v>
      </c>
      <c r="B5017" t="s">
        <v>5840</v>
      </c>
      <c r="C5017" t="s">
        <v>23837</v>
      </c>
      <c r="D5017" t="s">
        <v>23833</v>
      </c>
      <c r="E5017">
        <v>424003</v>
      </c>
      <c r="F5017" t="s">
        <v>1</v>
      </c>
      <c r="G5017" t="s">
        <v>2</v>
      </c>
      <c r="H5017" t="s">
        <v>7152</v>
      </c>
      <c r="I5017" t="s">
        <v>23834</v>
      </c>
      <c r="L5017" t="s">
        <v>23835</v>
      </c>
      <c r="M5017" t="s">
        <v>23836</v>
      </c>
      <c r="P5017" t="s">
        <v>16418</v>
      </c>
      <c r="Y5017" t="s">
        <v>23838</v>
      </c>
    </row>
    <row r="5018" spans="1:25" x14ac:dyDescent="0.25">
      <c r="A5018" t="str">
        <f>"1932343874"</f>
        <v>1932343874</v>
      </c>
      <c r="B5018" t="s">
        <v>123</v>
      </c>
      <c r="C5018" t="s">
        <v>424</v>
      </c>
      <c r="D5018" t="s">
        <v>23511</v>
      </c>
      <c r="E5018">
        <v>424039</v>
      </c>
      <c r="F5018" t="s">
        <v>1</v>
      </c>
      <c r="G5018" t="s">
        <v>2</v>
      </c>
      <c r="H5018" t="s">
        <v>23839</v>
      </c>
      <c r="I5018" t="s">
        <v>23513</v>
      </c>
      <c r="J5018" t="s">
        <v>23514</v>
      </c>
      <c r="P5018" t="s">
        <v>18361</v>
      </c>
      <c r="Y5018" t="s">
        <v>23840</v>
      </c>
    </row>
    <row r="5019" spans="1:25" x14ac:dyDescent="0.25">
      <c r="A5019" t="str">
        <f>"1932345975"</f>
        <v>1932345975</v>
      </c>
      <c r="B5019" t="s">
        <v>32</v>
      </c>
      <c r="C5019" t="s">
        <v>182</v>
      </c>
      <c r="D5019" t="s">
        <v>3470</v>
      </c>
      <c r="E5019">
        <v>424004</v>
      </c>
      <c r="F5019" t="s">
        <v>1</v>
      </c>
      <c r="G5019" t="s">
        <v>2</v>
      </c>
      <c r="H5019" t="s">
        <v>351</v>
      </c>
      <c r="J5019" t="s">
        <v>23841</v>
      </c>
      <c r="P5019" t="s">
        <v>5649</v>
      </c>
      <c r="Y5019" t="s">
        <v>354</v>
      </c>
    </row>
    <row r="5020" spans="1:25" x14ac:dyDescent="0.25">
      <c r="A5020" t="str">
        <f>"1933229696"</f>
        <v>1933229696</v>
      </c>
      <c r="B5020" t="s">
        <v>18</v>
      </c>
      <c r="C5020" t="s">
        <v>959</v>
      </c>
      <c r="D5020" t="s">
        <v>23842</v>
      </c>
      <c r="E5020">
        <v>424000</v>
      </c>
      <c r="F5020" t="s">
        <v>1</v>
      </c>
      <c r="G5020" t="s">
        <v>2</v>
      </c>
      <c r="H5020" t="s">
        <v>5814</v>
      </c>
      <c r="P5020" t="s">
        <v>330</v>
      </c>
      <c r="Y5020" t="s">
        <v>5817</v>
      </c>
    </row>
    <row r="5021" spans="1:25" x14ac:dyDescent="0.25">
      <c r="A5021" t="str">
        <f>"1933427483"</f>
        <v>1933427483</v>
      </c>
      <c r="B5021" t="s">
        <v>930</v>
      </c>
      <c r="C5021" t="s">
        <v>1096</v>
      </c>
      <c r="D5021" t="s">
        <v>23843</v>
      </c>
      <c r="E5021">
        <v>424030</v>
      </c>
      <c r="F5021" t="s">
        <v>1</v>
      </c>
      <c r="G5021" t="s">
        <v>2</v>
      </c>
      <c r="H5021" t="s">
        <v>21722</v>
      </c>
      <c r="J5021" t="s">
        <v>23844</v>
      </c>
      <c r="P5021" t="s">
        <v>23845</v>
      </c>
      <c r="Y5021" t="s">
        <v>23846</v>
      </c>
    </row>
    <row r="5022" spans="1:25" x14ac:dyDescent="0.25">
      <c r="A5022" t="str">
        <f>"1933602523"</f>
        <v>1933602523</v>
      </c>
      <c r="B5022" t="s">
        <v>530</v>
      </c>
      <c r="C5022" t="s">
        <v>531</v>
      </c>
      <c r="D5022" t="s">
        <v>23847</v>
      </c>
      <c r="E5022">
        <v>424006</v>
      </c>
      <c r="F5022" t="s">
        <v>1</v>
      </c>
      <c r="G5022" t="s">
        <v>2</v>
      </c>
      <c r="H5022" t="s">
        <v>1645</v>
      </c>
      <c r="J5022" t="s">
        <v>23848</v>
      </c>
      <c r="L5022" t="s">
        <v>23849</v>
      </c>
      <c r="M5022" t="s">
        <v>23850</v>
      </c>
      <c r="P5022" t="s">
        <v>1071</v>
      </c>
      <c r="Y5022" t="s">
        <v>4478</v>
      </c>
    </row>
    <row r="5023" spans="1:25" x14ac:dyDescent="0.25">
      <c r="A5023" t="str">
        <f>"1935862887"</f>
        <v>1935862887</v>
      </c>
      <c r="B5023" t="s">
        <v>2846</v>
      </c>
      <c r="C5023" t="s">
        <v>22835</v>
      </c>
      <c r="D5023" t="s">
        <v>23851</v>
      </c>
      <c r="F5023" t="s">
        <v>1</v>
      </c>
      <c r="G5023" t="s">
        <v>2</v>
      </c>
      <c r="H5023" t="s">
        <v>23852</v>
      </c>
      <c r="I5023" t="s">
        <v>23853</v>
      </c>
      <c r="L5023" t="s">
        <v>23854</v>
      </c>
      <c r="M5023" t="s">
        <v>23855</v>
      </c>
      <c r="Q5023" t="s">
        <v>23856</v>
      </c>
      <c r="T5023" t="s">
        <v>23857</v>
      </c>
      <c r="Y5023" t="s">
        <v>23858</v>
      </c>
    </row>
    <row r="5024" spans="1:25" x14ac:dyDescent="0.25">
      <c r="A5024" t="str">
        <f>"1937015852"</f>
        <v>1937015852</v>
      </c>
      <c r="B5024" t="s">
        <v>1078</v>
      </c>
      <c r="C5024" t="s">
        <v>20325</v>
      </c>
      <c r="D5024" t="s">
        <v>7229</v>
      </c>
      <c r="E5024">
        <v>424030</v>
      </c>
      <c r="F5024" t="s">
        <v>1</v>
      </c>
      <c r="G5024" t="s">
        <v>2</v>
      </c>
      <c r="H5024" t="s">
        <v>5134</v>
      </c>
      <c r="I5024" t="s">
        <v>23859</v>
      </c>
      <c r="P5024" t="s">
        <v>748</v>
      </c>
      <c r="Y5024" t="s">
        <v>23860</v>
      </c>
    </row>
    <row r="5025" spans="1:25" x14ac:dyDescent="0.25">
      <c r="A5025" t="str">
        <f>"1937059973"</f>
        <v>1937059973</v>
      </c>
      <c r="B5025" t="s">
        <v>32</v>
      </c>
      <c r="C5025" t="s">
        <v>2996</v>
      </c>
      <c r="D5025" t="s">
        <v>22377</v>
      </c>
      <c r="F5025" t="s">
        <v>1</v>
      </c>
      <c r="G5025" t="s">
        <v>2</v>
      </c>
      <c r="H5025" t="s">
        <v>3984</v>
      </c>
      <c r="J5025" t="s">
        <v>23861</v>
      </c>
      <c r="P5025" t="s">
        <v>23862</v>
      </c>
      <c r="Q5025" t="s">
        <v>23863</v>
      </c>
      <c r="Y5025" t="s">
        <v>4409</v>
      </c>
    </row>
    <row r="5026" spans="1:25" x14ac:dyDescent="0.25">
      <c r="A5026" t="str">
        <f>"1938075732"</f>
        <v>1938075732</v>
      </c>
      <c r="B5026" t="s">
        <v>328</v>
      </c>
      <c r="C5026" t="s">
        <v>8392</v>
      </c>
      <c r="D5026" t="s">
        <v>23864</v>
      </c>
      <c r="F5026" t="s">
        <v>1</v>
      </c>
      <c r="G5026" t="s">
        <v>2</v>
      </c>
      <c r="H5026" t="s">
        <v>5539</v>
      </c>
      <c r="I5026" t="s">
        <v>23865</v>
      </c>
      <c r="J5026" t="s">
        <v>23866</v>
      </c>
      <c r="L5026" t="s">
        <v>23867</v>
      </c>
      <c r="M5026" t="s">
        <v>23868</v>
      </c>
      <c r="P5026" t="s">
        <v>2979</v>
      </c>
      <c r="Y5026" t="s">
        <v>5541</v>
      </c>
    </row>
    <row r="5027" spans="1:25" x14ac:dyDescent="0.25">
      <c r="A5027" t="str">
        <f>"1939890462"</f>
        <v>1939890462</v>
      </c>
      <c r="B5027" t="s">
        <v>1604</v>
      </c>
      <c r="C5027" t="s">
        <v>23871</v>
      </c>
      <c r="D5027" t="s">
        <v>23869</v>
      </c>
      <c r="E5027">
        <v>424006</v>
      </c>
      <c r="F5027" t="s">
        <v>1</v>
      </c>
      <c r="G5027" t="s">
        <v>2</v>
      </c>
      <c r="H5027" t="s">
        <v>1645</v>
      </c>
      <c r="I5027" t="s">
        <v>23870</v>
      </c>
      <c r="P5027" t="s">
        <v>27</v>
      </c>
      <c r="Y5027" t="s">
        <v>23872</v>
      </c>
    </row>
    <row r="5028" spans="1:25" x14ac:dyDescent="0.25">
      <c r="A5028" t="str">
        <f>"1940442175"</f>
        <v>1940442175</v>
      </c>
      <c r="B5028" t="s">
        <v>352</v>
      </c>
      <c r="C5028" t="s">
        <v>23875</v>
      </c>
      <c r="D5028" t="s">
        <v>23873</v>
      </c>
      <c r="E5028">
        <v>424000</v>
      </c>
      <c r="F5028" t="s">
        <v>1</v>
      </c>
      <c r="G5028" t="s">
        <v>2</v>
      </c>
      <c r="H5028" t="s">
        <v>12303</v>
      </c>
      <c r="I5028" t="s">
        <v>23874</v>
      </c>
      <c r="P5028" t="s">
        <v>27</v>
      </c>
      <c r="Y5028" t="s">
        <v>13335</v>
      </c>
    </row>
    <row r="5029" spans="1:25" x14ac:dyDescent="0.25">
      <c r="A5029" t="str">
        <f>"1940570329"</f>
        <v>1940570329</v>
      </c>
      <c r="B5029" t="s">
        <v>110</v>
      </c>
      <c r="C5029" t="s">
        <v>23881</v>
      </c>
      <c r="D5029" t="s">
        <v>23876</v>
      </c>
      <c r="E5029">
        <v>424028</v>
      </c>
      <c r="F5029" t="s">
        <v>1</v>
      </c>
      <c r="G5029" t="s">
        <v>2</v>
      </c>
      <c r="H5029" t="s">
        <v>1958</v>
      </c>
      <c r="I5029" t="s">
        <v>23877</v>
      </c>
      <c r="J5029" t="s">
        <v>23878</v>
      </c>
      <c r="L5029" t="s">
        <v>23879</v>
      </c>
      <c r="M5029" t="s">
        <v>23880</v>
      </c>
      <c r="P5029" t="s">
        <v>330</v>
      </c>
      <c r="Y5029" t="s">
        <v>23882</v>
      </c>
    </row>
    <row r="5030" spans="1:25" x14ac:dyDescent="0.25">
      <c r="A5030" t="str">
        <f>"1941214388"</f>
        <v>1941214388</v>
      </c>
      <c r="B5030" t="s">
        <v>117</v>
      </c>
      <c r="C5030" t="s">
        <v>118</v>
      </c>
      <c r="D5030" t="s">
        <v>23883</v>
      </c>
      <c r="E5030">
        <v>424030</v>
      </c>
      <c r="F5030" t="s">
        <v>1</v>
      </c>
      <c r="G5030" t="s">
        <v>2</v>
      </c>
      <c r="H5030" t="s">
        <v>21722</v>
      </c>
      <c r="I5030" t="s">
        <v>23884</v>
      </c>
      <c r="P5030" t="s">
        <v>23885</v>
      </c>
      <c r="Y5030" t="s">
        <v>23886</v>
      </c>
    </row>
    <row r="5031" spans="1:25" x14ac:dyDescent="0.25">
      <c r="A5031" t="str">
        <f>"1941412907"</f>
        <v>1941412907</v>
      </c>
      <c r="B5031" t="s">
        <v>574</v>
      </c>
      <c r="C5031" t="s">
        <v>21020</v>
      </c>
      <c r="D5031" t="s">
        <v>23887</v>
      </c>
      <c r="E5031">
        <v>424019</v>
      </c>
      <c r="F5031" t="s">
        <v>1</v>
      </c>
      <c r="G5031" t="s">
        <v>2</v>
      </c>
      <c r="H5031" t="s">
        <v>12420</v>
      </c>
      <c r="I5031" t="s">
        <v>23888</v>
      </c>
      <c r="P5031" t="s">
        <v>9840</v>
      </c>
      <c r="Y5031" t="s">
        <v>23889</v>
      </c>
    </row>
    <row r="5032" spans="1:25" x14ac:dyDescent="0.25">
      <c r="A5032" t="str">
        <f>"1941490397"</f>
        <v>1941490397</v>
      </c>
      <c r="B5032" t="s">
        <v>243</v>
      </c>
      <c r="C5032" t="s">
        <v>244</v>
      </c>
      <c r="D5032" t="s">
        <v>23890</v>
      </c>
      <c r="E5032">
        <v>424006</v>
      </c>
      <c r="F5032" t="s">
        <v>1</v>
      </c>
      <c r="G5032" t="s">
        <v>2</v>
      </c>
      <c r="H5032" t="s">
        <v>14867</v>
      </c>
      <c r="I5032" t="s">
        <v>23891</v>
      </c>
      <c r="J5032" t="s">
        <v>23892</v>
      </c>
      <c r="M5032" t="s">
        <v>23893</v>
      </c>
      <c r="P5032" t="s">
        <v>152</v>
      </c>
      <c r="Y5032" t="s">
        <v>23894</v>
      </c>
    </row>
    <row r="5033" spans="1:25" x14ac:dyDescent="0.25">
      <c r="A5033" t="str">
        <f>"1941550208"</f>
        <v>1941550208</v>
      </c>
      <c r="B5033" t="s">
        <v>1053</v>
      </c>
      <c r="C5033" t="s">
        <v>23898</v>
      </c>
      <c r="D5033" t="s">
        <v>23895</v>
      </c>
      <c r="E5033">
        <v>424007</v>
      </c>
      <c r="F5033" t="s">
        <v>1</v>
      </c>
      <c r="G5033" t="s">
        <v>2</v>
      </c>
      <c r="H5033" t="s">
        <v>23896</v>
      </c>
      <c r="I5033" t="s">
        <v>23897</v>
      </c>
      <c r="P5033" t="s">
        <v>7701</v>
      </c>
      <c r="Y5033" t="s">
        <v>23899</v>
      </c>
    </row>
    <row r="5034" spans="1:25" x14ac:dyDescent="0.25">
      <c r="A5034" t="str">
        <f>"1942496029"</f>
        <v>1942496029</v>
      </c>
      <c r="B5034" t="s">
        <v>5443</v>
      </c>
      <c r="C5034" t="s">
        <v>23902</v>
      </c>
      <c r="D5034" t="s">
        <v>23900</v>
      </c>
      <c r="E5034">
        <v>424918</v>
      </c>
      <c r="F5034" t="s">
        <v>1</v>
      </c>
      <c r="G5034" t="s">
        <v>2</v>
      </c>
      <c r="H5034" t="s">
        <v>629</v>
      </c>
      <c r="L5034" t="s">
        <v>5441</v>
      </c>
      <c r="M5034" t="s">
        <v>23901</v>
      </c>
      <c r="P5034" t="s">
        <v>630</v>
      </c>
      <c r="Y5034" t="s">
        <v>23903</v>
      </c>
    </row>
    <row r="5035" spans="1:25" x14ac:dyDescent="0.25">
      <c r="A5035" t="str">
        <f>"1942693934"</f>
        <v>1942693934</v>
      </c>
      <c r="B5035" t="s">
        <v>224</v>
      </c>
      <c r="C5035" t="s">
        <v>23907</v>
      </c>
      <c r="D5035" t="s">
        <v>23904</v>
      </c>
      <c r="E5035">
        <v>424003</v>
      </c>
      <c r="F5035" t="s">
        <v>1</v>
      </c>
      <c r="G5035" t="s">
        <v>2</v>
      </c>
      <c r="H5035" t="s">
        <v>2465</v>
      </c>
      <c r="J5035" t="s">
        <v>23905</v>
      </c>
      <c r="L5035" t="s">
        <v>23906</v>
      </c>
      <c r="P5035" t="s">
        <v>133</v>
      </c>
      <c r="Y5035" t="s">
        <v>2469</v>
      </c>
    </row>
    <row r="5036" spans="1:25" x14ac:dyDescent="0.25">
      <c r="A5036" t="str">
        <f>"1943136830"</f>
        <v>1943136830</v>
      </c>
      <c r="B5036" t="s">
        <v>1152</v>
      </c>
      <c r="C5036" t="s">
        <v>23911</v>
      </c>
      <c r="D5036" t="s">
        <v>23908</v>
      </c>
      <c r="E5036">
        <v>424028</v>
      </c>
      <c r="F5036" t="s">
        <v>1</v>
      </c>
      <c r="G5036" t="s">
        <v>2</v>
      </c>
      <c r="H5036" t="s">
        <v>23909</v>
      </c>
      <c r="J5036" t="s">
        <v>23910</v>
      </c>
      <c r="P5036" t="s">
        <v>1760</v>
      </c>
      <c r="Y5036" t="s">
        <v>23912</v>
      </c>
    </row>
    <row r="5037" spans="1:25" x14ac:dyDescent="0.25">
      <c r="A5037" t="str">
        <f>"1944369757"</f>
        <v>1944369757</v>
      </c>
      <c r="B5037" t="s">
        <v>13538</v>
      </c>
      <c r="C5037" t="s">
        <v>13539</v>
      </c>
      <c r="D5037" t="s">
        <v>23913</v>
      </c>
      <c r="E5037">
        <v>424004</v>
      </c>
      <c r="F5037" t="s">
        <v>1</v>
      </c>
      <c r="G5037" t="s">
        <v>2</v>
      </c>
      <c r="H5037" t="s">
        <v>4844</v>
      </c>
      <c r="I5037" t="s">
        <v>23914</v>
      </c>
      <c r="J5037" t="s">
        <v>23915</v>
      </c>
      <c r="P5037" t="s">
        <v>27</v>
      </c>
      <c r="Y5037" t="s">
        <v>21056</v>
      </c>
    </row>
    <row r="5038" spans="1:25" x14ac:dyDescent="0.25">
      <c r="A5038" t="str">
        <f>"1944399342"</f>
        <v>1944399342</v>
      </c>
      <c r="B5038" t="s">
        <v>930</v>
      </c>
      <c r="C5038" t="s">
        <v>23919</v>
      </c>
      <c r="D5038" t="s">
        <v>23916</v>
      </c>
      <c r="E5038">
        <v>424008</v>
      </c>
      <c r="F5038" t="s">
        <v>1</v>
      </c>
      <c r="G5038" t="s">
        <v>2</v>
      </c>
      <c r="H5038" t="s">
        <v>6283</v>
      </c>
      <c r="I5038" t="s">
        <v>23917</v>
      </c>
      <c r="J5038" t="s">
        <v>23918</v>
      </c>
      <c r="P5038" t="s">
        <v>1160</v>
      </c>
      <c r="Y5038" t="s">
        <v>13034</v>
      </c>
    </row>
    <row r="5039" spans="1:25" x14ac:dyDescent="0.25">
      <c r="A5039" t="str">
        <f>"2190185080"</f>
        <v>2190185080</v>
      </c>
      <c r="B5039" t="s">
        <v>96</v>
      </c>
      <c r="C5039" t="s">
        <v>893</v>
      </c>
      <c r="D5039" t="s">
        <v>23920</v>
      </c>
      <c r="E5039">
        <v>424039</v>
      </c>
      <c r="F5039" t="s">
        <v>1</v>
      </c>
      <c r="G5039" t="s">
        <v>2</v>
      </c>
      <c r="H5039" t="s">
        <v>5827</v>
      </c>
      <c r="P5039" t="s">
        <v>941</v>
      </c>
      <c r="Y5039" t="s">
        <v>23921</v>
      </c>
    </row>
    <row r="5040" spans="1:25" x14ac:dyDescent="0.25">
      <c r="A5040" t="str">
        <f>"2237480872"</f>
        <v>2237480872</v>
      </c>
      <c r="B5040" t="s">
        <v>32</v>
      </c>
      <c r="C5040" t="s">
        <v>182</v>
      </c>
      <c r="D5040" t="s">
        <v>23922</v>
      </c>
      <c r="E5040">
        <v>424000</v>
      </c>
      <c r="F5040" t="s">
        <v>1</v>
      </c>
      <c r="G5040" t="s">
        <v>2</v>
      </c>
      <c r="H5040" t="s">
        <v>1975</v>
      </c>
      <c r="Y5040" t="s">
        <v>23923</v>
      </c>
    </row>
    <row r="5041" spans="1:25" x14ac:dyDescent="0.25">
      <c r="A5041" t="str">
        <f>"2239280264"</f>
        <v>2239280264</v>
      </c>
      <c r="B5041" t="s">
        <v>640</v>
      </c>
      <c r="C5041" t="s">
        <v>663</v>
      </c>
      <c r="D5041" t="s">
        <v>23924</v>
      </c>
      <c r="E5041">
        <v>424003</v>
      </c>
      <c r="F5041" t="s">
        <v>1</v>
      </c>
      <c r="G5041" t="s">
        <v>2</v>
      </c>
      <c r="H5041" t="s">
        <v>1725</v>
      </c>
      <c r="Y5041" t="s">
        <v>23925</v>
      </c>
    </row>
    <row r="5042" spans="1:25" x14ac:dyDescent="0.25">
      <c r="A5042" t="str">
        <f>"2247246130"</f>
        <v>2247246130</v>
      </c>
      <c r="B5042" t="s">
        <v>574</v>
      </c>
      <c r="C5042" t="s">
        <v>952</v>
      </c>
      <c r="D5042" t="s">
        <v>7620</v>
      </c>
      <c r="E5042">
        <v>424038</v>
      </c>
      <c r="F5042" t="s">
        <v>1</v>
      </c>
      <c r="G5042" t="s">
        <v>2</v>
      </c>
      <c r="H5042" t="s">
        <v>10156</v>
      </c>
      <c r="P5042" t="s">
        <v>216</v>
      </c>
      <c r="Y5042" t="s">
        <v>23926</v>
      </c>
    </row>
    <row r="5043" spans="1:25" x14ac:dyDescent="0.25">
      <c r="A5043" t="str">
        <f>"2339419728"</f>
        <v>2339419728</v>
      </c>
      <c r="B5043" t="s">
        <v>790</v>
      </c>
      <c r="C5043" t="s">
        <v>23930</v>
      </c>
      <c r="D5043" t="s">
        <v>23927</v>
      </c>
      <c r="E5043">
        <v>424000</v>
      </c>
      <c r="F5043" t="s">
        <v>1</v>
      </c>
      <c r="G5043" t="s">
        <v>2</v>
      </c>
      <c r="H5043" t="s">
        <v>1531</v>
      </c>
      <c r="J5043" t="s">
        <v>23928</v>
      </c>
      <c r="M5043" t="s">
        <v>23929</v>
      </c>
      <c r="P5043" t="s">
        <v>251</v>
      </c>
      <c r="Q5043" t="s">
        <v>23931</v>
      </c>
      <c r="V5043" t="s">
        <v>23932</v>
      </c>
      <c r="Y5043" t="s">
        <v>23933</v>
      </c>
    </row>
    <row r="5044" spans="1:25" x14ac:dyDescent="0.25">
      <c r="A5044" t="str">
        <f>"2340055436"</f>
        <v>2340055436</v>
      </c>
      <c r="B5044" t="s">
        <v>930</v>
      </c>
      <c r="C5044" t="s">
        <v>1096</v>
      </c>
      <c r="D5044" t="s">
        <v>23934</v>
      </c>
      <c r="E5044">
        <v>424007</v>
      </c>
      <c r="F5044" t="s">
        <v>1</v>
      </c>
      <c r="G5044" t="s">
        <v>2</v>
      </c>
      <c r="H5044" t="s">
        <v>20520</v>
      </c>
      <c r="Y5044" t="s">
        <v>23935</v>
      </c>
    </row>
    <row r="5045" spans="1:25" x14ac:dyDescent="0.25">
      <c r="A5045" t="str">
        <f>"2391996729"</f>
        <v>2391996729</v>
      </c>
      <c r="B5045" t="s">
        <v>1152</v>
      </c>
      <c r="C5045" t="s">
        <v>1153</v>
      </c>
      <c r="D5045" t="s">
        <v>10280</v>
      </c>
      <c r="E5045">
        <v>424002</v>
      </c>
      <c r="F5045" t="s">
        <v>1</v>
      </c>
      <c r="G5045" t="s">
        <v>2</v>
      </c>
      <c r="H5045" t="s">
        <v>23936</v>
      </c>
      <c r="I5045" t="s">
        <v>22092</v>
      </c>
      <c r="M5045" t="s">
        <v>10284</v>
      </c>
      <c r="Q5045" t="s">
        <v>10286</v>
      </c>
      <c r="R5045" t="s">
        <v>10287</v>
      </c>
      <c r="S5045" t="s">
        <v>10288</v>
      </c>
      <c r="T5045" t="s">
        <v>10289</v>
      </c>
      <c r="U5045" t="s">
        <v>10290</v>
      </c>
      <c r="V5045" t="s">
        <v>10291</v>
      </c>
      <c r="Y5045" t="s">
        <v>23937</v>
      </c>
    </row>
    <row r="5046" spans="1:25" x14ac:dyDescent="0.25">
      <c r="A5046" t="str">
        <f>"2392138308"</f>
        <v>2392138308</v>
      </c>
      <c r="B5046" t="s">
        <v>1046</v>
      </c>
      <c r="C5046" t="s">
        <v>22946</v>
      </c>
      <c r="D5046" t="s">
        <v>22946</v>
      </c>
      <c r="E5046">
        <v>424005</v>
      </c>
      <c r="F5046" t="s">
        <v>1</v>
      </c>
      <c r="G5046" t="s">
        <v>2</v>
      </c>
      <c r="H5046" t="s">
        <v>23938</v>
      </c>
      <c r="Y5046" t="s">
        <v>23939</v>
      </c>
    </row>
    <row r="5047" spans="1:25" x14ac:dyDescent="0.25">
      <c r="A5047" t="str">
        <f>"2396173469"</f>
        <v>2396173469</v>
      </c>
      <c r="B5047" t="s">
        <v>482</v>
      </c>
      <c r="C5047" t="s">
        <v>23942</v>
      </c>
      <c r="D5047" t="s">
        <v>23940</v>
      </c>
      <c r="F5047" t="s">
        <v>1</v>
      </c>
      <c r="G5047" t="s">
        <v>2</v>
      </c>
      <c r="H5047" t="s">
        <v>23941</v>
      </c>
      <c r="P5047" t="s">
        <v>3822</v>
      </c>
      <c r="Y5047" t="s">
        <v>23943</v>
      </c>
    </row>
    <row r="5048" spans="1:25" x14ac:dyDescent="0.25">
      <c r="A5048" t="str">
        <f>"2407582025"</f>
        <v>2407582025</v>
      </c>
      <c r="B5048" t="s">
        <v>456</v>
      </c>
      <c r="C5048" t="s">
        <v>23948</v>
      </c>
      <c r="D5048" t="s">
        <v>23944</v>
      </c>
      <c r="E5048">
        <v>424002</v>
      </c>
      <c r="F5048" t="s">
        <v>1</v>
      </c>
      <c r="G5048" t="s">
        <v>2</v>
      </c>
      <c r="H5048" t="s">
        <v>3807</v>
      </c>
      <c r="I5048" t="s">
        <v>23945</v>
      </c>
      <c r="L5048" t="s">
        <v>23946</v>
      </c>
      <c r="M5048" t="s">
        <v>23947</v>
      </c>
      <c r="P5048" t="s">
        <v>330</v>
      </c>
      <c r="Y5048" t="s">
        <v>23949</v>
      </c>
    </row>
    <row r="5049" spans="1:25" x14ac:dyDescent="0.25">
      <c r="A5049" t="str">
        <f>"2449644493"</f>
        <v>2449644493</v>
      </c>
      <c r="B5049" t="s">
        <v>530</v>
      </c>
      <c r="C5049" t="s">
        <v>23950</v>
      </c>
      <c r="D5049" t="s">
        <v>23950</v>
      </c>
      <c r="E5049">
        <v>424005</v>
      </c>
      <c r="F5049" t="s">
        <v>1</v>
      </c>
      <c r="G5049" t="s">
        <v>2</v>
      </c>
      <c r="H5049" t="s">
        <v>6843</v>
      </c>
      <c r="Y5049" t="s">
        <v>23951</v>
      </c>
    </row>
    <row r="5050" spans="1:25" x14ac:dyDescent="0.25">
      <c r="A5050" t="str">
        <f>"2454582370"</f>
        <v>2454582370</v>
      </c>
      <c r="B5050" t="s">
        <v>1611</v>
      </c>
      <c r="C5050" t="s">
        <v>23954</v>
      </c>
      <c r="D5050" t="s">
        <v>23952</v>
      </c>
      <c r="E5050">
        <v>424037</v>
      </c>
      <c r="F5050" t="s">
        <v>1</v>
      </c>
      <c r="G5050" t="s">
        <v>2</v>
      </c>
      <c r="H5050" t="s">
        <v>1247</v>
      </c>
      <c r="I5050" t="s">
        <v>23953</v>
      </c>
      <c r="P5050" t="s">
        <v>330</v>
      </c>
      <c r="Y5050" t="s">
        <v>1872</v>
      </c>
    </row>
    <row r="5051" spans="1:25" x14ac:dyDescent="0.25">
      <c r="A5051" t="str">
        <f>"2484255059"</f>
        <v>2484255059</v>
      </c>
      <c r="B5051" t="s">
        <v>18</v>
      </c>
      <c r="C5051" t="s">
        <v>23961</v>
      </c>
      <c r="D5051" t="s">
        <v>23955</v>
      </c>
      <c r="E5051">
        <v>424019</v>
      </c>
      <c r="F5051" t="s">
        <v>1</v>
      </c>
      <c r="G5051" t="s">
        <v>2</v>
      </c>
      <c r="H5051" t="s">
        <v>23956</v>
      </c>
      <c r="I5051" t="s">
        <v>23957</v>
      </c>
      <c r="J5051" t="s">
        <v>23958</v>
      </c>
      <c r="L5051" t="s">
        <v>23959</v>
      </c>
      <c r="M5051" t="s">
        <v>23960</v>
      </c>
      <c r="P5051" t="s">
        <v>20992</v>
      </c>
      <c r="Q5051" t="s">
        <v>23962</v>
      </c>
      <c r="Y5051" t="s">
        <v>23963</v>
      </c>
    </row>
    <row r="5052" spans="1:25" x14ac:dyDescent="0.25">
      <c r="A5052" t="str">
        <f>"2526958042"</f>
        <v>2526958042</v>
      </c>
      <c r="B5052" t="s">
        <v>379</v>
      </c>
      <c r="C5052" t="s">
        <v>23968</v>
      </c>
      <c r="D5052" t="s">
        <v>23964</v>
      </c>
      <c r="E5052">
        <v>424020</v>
      </c>
      <c r="F5052" t="s">
        <v>1</v>
      </c>
      <c r="G5052" t="s">
        <v>2</v>
      </c>
      <c r="H5052" t="s">
        <v>1837</v>
      </c>
      <c r="J5052" t="s">
        <v>23965</v>
      </c>
      <c r="L5052" t="s">
        <v>23966</v>
      </c>
      <c r="M5052" t="s">
        <v>23967</v>
      </c>
      <c r="P5052" t="s">
        <v>330</v>
      </c>
      <c r="Y5052" t="s">
        <v>1842</v>
      </c>
    </row>
    <row r="5053" spans="1:25" x14ac:dyDescent="0.25">
      <c r="A5053" t="str">
        <f>"2554376317"</f>
        <v>2554376317</v>
      </c>
      <c r="B5053" t="s">
        <v>574</v>
      </c>
      <c r="C5053" t="s">
        <v>952</v>
      </c>
      <c r="D5053" t="s">
        <v>3388</v>
      </c>
      <c r="F5053" t="s">
        <v>1</v>
      </c>
      <c r="G5053" t="s">
        <v>2</v>
      </c>
      <c r="H5053" t="s">
        <v>23969</v>
      </c>
      <c r="P5053" t="s">
        <v>9840</v>
      </c>
      <c r="Y5053" t="s">
        <v>23970</v>
      </c>
    </row>
    <row r="5054" spans="1:25" x14ac:dyDescent="0.25">
      <c r="A5054" t="str">
        <f>"2563262102"</f>
        <v>2563262102</v>
      </c>
      <c r="B5054" t="s">
        <v>352</v>
      </c>
      <c r="C5054" t="s">
        <v>3028</v>
      </c>
      <c r="D5054" t="s">
        <v>23971</v>
      </c>
      <c r="E5054">
        <v>424019</v>
      </c>
      <c r="F5054" t="s">
        <v>1</v>
      </c>
      <c r="G5054" t="s">
        <v>2</v>
      </c>
      <c r="H5054" t="s">
        <v>9271</v>
      </c>
      <c r="J5054" t="s">
        <v>23972</v>
      </c>
      <c r="L5054" t="s">
        <v>23973</v>
      </c>
      <c r="M5054" t="s">
        <v>23974</v>
      </c>
      <c r="P5054" t="s">
        <v>152</v>
      </c>
      <c r="Y5054" t="s">
        <v>14680</v>
      </c>
    </row>
    <row r="5055" spans="1:25" x14ac:dyDescent="0.25">
      <c r="A5055" t="str">
        <f>"2694730570"</f>
        <v>2694730570</v>
      </c>
      <c r="B5055" t="s">
        <v>18</v>
      </c>
      <c r="C5055" t="s">
        <v>4522</v>
      </c>
      <c r="D5055" t="s">
        <v>23975</v>
      </c>
      <c r="E5055">
        <v>424005</v>
      </c>
      <c r="F5055" t="s">
        <v>1</v>
      </c>
      <c r="G5055" t="s">
        <v>2</v>
      </c>
      <c r="H5055" t="s">
        <v>6843</v>
      </c>
      <c r="Y5055" t="s">
        <v>23976</v>
      </c>
    </row>
    <row r="5056" spans="1:25" x14ac:dyDescent="0.25">
      <c r="A5056" t="str">
        <f>"2714302435"</f>
        <v>2714302435</v>
      </c>
      <c r="B5056" t="s">
        <v>25</v>
      </c>
      <c r="C5056" t="s">
        <v>13425</v>
      </c>
      <c r="D5056" t="s">
        <v>11760</v>
      </c>
      <c r="E5056">
        <v>424006</v>
      </c>
      <c r="F5056" t="s">
        <v>1</v>
      </c>
      <c r="G5056" t="s">
        <v>2</v>
      </c>
      <c r="H5056" t="s">
        <v>445</v>
      </c>
      <c r="Y5056" t="s">
        <v>449</v>
      </c>
    </row>
    <row r="5057" spans="1:25" x14ac:dyDescent="0.25">
      <c r="A5057" t="str">
        <f>"2736138372"</f>
        <v>2736138372</v>
      </c>
      <c r="B5057" t="s">
        <v>574</v>
      </c>
      <c r="C5057" t="s">
        <v>646</v>
      </c>
      <c r="D5057" t="s">
        <v>4221</v>
      </c>
      <c r="E5057">
        <v>424019</v>
      </c>
      <c r="F5057" t="s">
        <v>1</v>
      </c>
      <c r="G5057" t="s">
        <v>2</v>
      </c>
      <c r="H5057" t="s">
        <v>1801</v>
      </c>
      <c r="P5057" t="s">
        <v>216</v>
      </c>
      <c r="Y5057" t="s">
        <v>23977</v>
      </c>
    </row>
    <row r="5058" spans="1:25" x14ac:dyDescent="0.25">
      <c r="A5058" t="str">
        <f>"2762904611"</f>
        <v>2762904611</v>
      </c>
      <c r="B5058" t="s">
        <v>96</v>
      </c>
      <c r="C5058" t="s">
        <v>20281</v>
      </c>
      <c r="D5058" t="s">
        <v>23567</v>
      </c>
      <c r="E5058">
        <v>424038</v>
      </c>
      <c r="F5058" t="s">
        <v>1</v>
      </c>
      <c r="G5058" t="s">
        <v>2</v>
      </c>
      <c r="H5058" t="s">
        <v>23978</v>
      </c>
      <c r="Y5058" t="s">
        <v>23979</v>
      </c>
    </row>
    <row r="5059" spans="1:25" x14ac:dyDescent="0.25">
      <c r="A5059" t="str">
        <f>"2773540293"</f>
        <v>2773540293</v>
      </c>
      <c r="B5059" t="s">
        <v>1046</v>
      </c>
      <c r="C5059" t="s">
        <v>4959</v>
      </c>
      <c r="D5059" t="s">
        <v>23980</v>
      </c>
      <c r="E5059">
        <v>424002</v>
      </c>
      <c r="F5059" t="s">
        <v>1</v>
      </c>
      <c r="G5059" t="s">
        <v>2</v>
      </c>
      <c r="H5059" t="s">
        <v>6656</v>
      </c>
      <c r="Y5059" t="s">
        <v>23981</v>
      </c>
    </row>
    <row r="5060" spans="1:25" x14ac:dyDescent="0.25">
      <c r="A5060" t="str">
        <f>"2794983280"</f>
        <v>2794983280</v>
      </c>
      <c r="B5060" t="s">
        <v>188</v>
      </c>
      <c r="C5060" t="s">
        <v>23982</v>
      </c>
      <c r="D5060" t="s">
        <v>23982</v>
      </c>
      <c r="E5060">
        <v>424007</v>
      </c>
      <c r="F5060" t="s">
        <v>1</v>
      </c>
      <c r="G5060" t="s">
        <v>2</v>
      </c>
      <c r="H5060" t="s">
        <v>23983</v>
      </c>
      <c r="Y5060" t="s">
        <v>23984</v>
      </c>
    </row>
    <row r="5061" spans="1:25" x14ac:dyDescent="0.25">
      <c r="A5061" t="str">
        <f>"2847933693"</f>
        <v>2847933693</v>
      </c>
      <c r="B5061" t="s">
        <v>160</v>
      </c>
      <c r="C5061" t="s">
        <v>1666</v>
      </c>
      <c r="D5061" t="s">
        <v>23985</v>
      </c>
      <c r="E5061">
        <v>424000</v>
      </c>
      <c r="F5061" t="s">
        <v>1</v>
      </c>
      <c r="G5061" t="s">
        <v>2</v>
      </c>
      <c r="H5061" t="s">
        <v>3570</v>
      </c>
      <c r="I5061" t="s">
        <v>23986</v>
      </c>
      <c r="K5061" t="s">
        <v>23987</v>
      </c>
      <c r="L5061" t="s">
        <v>23988</v>
      </c>
      <c r="M5061" t="s">
        <v>23989</v>
      </c>
      <c r="P5061" t="s">
        <v>280</v>
      </c>
      <c r="Y5061" t="s">
        <v>6301</v>
      </c>
    </row>
    <row r="5062" spans="1:25" x14ac:dyDescent="0.25">
      <c r="A5062" t="str">
        <f>"2853194226"</f>
        <v>2853194226</v>
      </c>
      <c r="B5062" t="s">
        <v>18</v>
      </c>
      <c r="C5062" t="s">
        <v>23991</v>
      </c>
      <c r="D5062" t="s">
        <v>23990</v>
      </c>
      <c r="E5062">
        <v>424007</v>
      </c>
      <c r="F5062" t="s">
        <v>1</v>
      </c>
      <c r="G5062" t="s">
        <v>2</v>
      </c>
      <c r="H5062" t="s">
        <v>23896</v>
      </c>
      <c r="Y5062" t="s">
        <v>23992</v>
      </c>
    </row>
    <row r="5063" spans="1:25" x14ac:dyDescent="0.25">
      <c r="A5063" t="str">
        <f>"2884733285"</f>
        <v>2884733285</v>
      </c>
      <c r="B5063" t="s">
        <v>519</v>
      </c>
      <c r="C5063" t="s">
        <v>23996</v>
      </c>
      <c r="D5063" t="s">
        <v>23993</v>
      </c>
      <c r="E5063">
        <v>424007</v>
      </c>
      <c r="F5063" t="s">
        <v>1</v>
      </c>
      <c r="G5063" t="s">
        <v>2</v>
      </c>
      <c r="H5063" t="s">
        <v>23994</v>
      </c>
      <c r="J5063" t="s">
        <v>23995</v>
      </c>
      <c r="P5063" t="s">
        <v>144</v>
      </c>
      <c r="Q5063" t="s">
        <v>23997</v>
      </c>
      <c r="Y5063" t="s">
        <v>23998</v>
      </c>
    </row>
    <row r="5064" spans="1:25" x14ac:dyDescent="0.25">
      <c r="A5064" t="str">
        <f>"2917441617"</f>
        <v>2917441617</v>
      </c>
      <c r="B5064" t="s">
        <v>319</v>
      </c>
      <c r="C5064" t="s">
        <v>320</v>
      </c>
      <c r="D5064" t="s">
        <v>2556</v>
      </c>
      <c r="E5064">
        <v>424028</v>
      </c>
      <c r="F5064" t="s">
        <v>1</v>
      </c>
      <c r="G5064" t="s">
        <v>2</v>
      </c>
      <c r="H5064" t="s">
        <v>23999</v>
      </c>
      <c r="I5064" t="s">
        <v>24000</v>
      </c>
      <c r="L5064" t="s">
        <v>2559</v>
      </c>
      <c r="M5064" t="s">
        <v>17901</v>
      </c>
      <c r="P5064" t="s">
        <v>2561</v>
      </c>
      <c r="Y5064" t="s">
        <v>24001</v>
      </c>
    </row>
    <row r="5065" spans="1:25" x14ac:dyDescent="0.25">
      <c r="A5065" t="str">
        <f>"2957476419"</f>
        <v>2957476419</v>
      </c>
      <c r="B5065" t="s">
        <v>3908</v>
      </c>
      <c r="C5065" t="s">
        <v>24003</v>
      </c>
      <c r="D5065" t="s">
        <v>21587</v>
      </c>
      <c r="E5065">
        <v>424003</v>
      </c>
      <c r="F5065" t="s">
        <v>1</v>
      </c>
      <c r="G5065" t="s">
        <v>2</v>
      </c>
      <c r="H5065" t="s">
        <v>1042</v>
      </c>
      <c r="I5065" t="s">
        <v>24002</v>
      </c>
      <c r="P5065" t="s">
        <v>27</v>
      </c>
      <c r="Y5065" t="s">
        <v>11321</v>
      </c>
    </row>
    <row r="5066" spans="1:25" x14ac:dyDescent="0.25">
      <c r="A5066" t="str">
        <f>"2968730030"</f>
        <v>2968730030</v>
      </c>
      <c r="B5066" t="s">
        <v>1343</v>
      </c>
      <c r="C5066" t="s">
        <v>13544</v>
      </c>
      <c r="D5066" t="s">
        <v>24004</v>
      </c>
      <c r="E5066">
        <v>424000</v>
      </c>
      <c r="F5066" t="s">
        <v>1</v>
      </c>
      <c r="G5066" t="s">
        <v>2</v>
      </c>
      <c r="H5066" t="s">
        <v>1806</v>
      </c>
      <c r="J5066" t="s">
        <v>24005</v>
      </c>
      <c r="P5066" t="s">
        <v>941</v>
      </c>
      <c r="Y5066" t="s">
        <v>24006</v>
      </c>
    </row>
    <row r="5067" spans="1:25" x14ac:dyDescent="0.25">
      <c r="A5067" t="str">
        <f>"2997878517"</f>
        <v>2997878517</v>
      </c>
      <c r="B5067" t="s">
        <v>96</v>
      </c>
      <c r="C5067" t="s">
        <v>695</v>
      </c>
      <c r="D5067" t="s">
        <v>24007</v>
      </c>
      <c r="E5067">
        <v>424004</v>
      </c>
      <c r="F5067" t="s">
        <v>1</v>
      </c>
      <c r="G5067" t="s">
        <v>2</v>
      </c>
      <c r="H5067" t="s">
        <v>3817</v>
      </c>
      <c r="J5067" t="s">
        <v>24008</v>
      </c>
      <c r="Q5067" t="s">
        <v>24009</v>
      </c>
      <c r="Y5067" t="s">
        <v>24010</v>
      </c>
    </row>
    <row r="5068" spans="1:25" x14ac:dyDescent="0.25">
      <c r="A5068" t="str">
        <f>"3014083790"</f>
        <v>3014083790</v>
      </c>
      <c r="B5068" t="s">
        <v>1544</v>
      </c>
      <c r="C5068" t="s">
        <v>3596</v>
      </c>
      <c r="D5068" t="s">
        <v>3596</v>
      </c>
      <c r="F5068" t="s">
        <v>1</v>
      </c>
      <c r="G5068" t="s">
        <v>2</v>
      </c>
      <c r="H5068" t="s">
        <v>24011</v>
      </c>
      <c r="Y5068" t="s">
        <v>24012</v>
      </c>
    </row>
    <row r="5069" spans="1:25" x14ac:dyDescent="0.25">
      <c r="A5069" t="str">
        <f>"3053237761"</f>
        <v>3053237761</v>
      </c>
      <c r="B5069" t="s">
        <v>348</v>
      </c>
      <c r="C5069" t="s">
        <v>9150</v>
      </c>
      <c r="D5069" t="s">
        <v>24013</v>
      </c>
      <c r="F5069" t="s">
        <v>1</v>
      </c>
      <c r="G5069" t="s">
        <v>2</v>
      </c>
      <c r="H5069" t="s">
        <v>138</v>
      </c>
      <c r="J5069" t="s">
        <v>24014</v>
      </c>
      <c r="L5069" t="s">
        <v>24015</v>
      </c>
      <c r="M5069" t="s">
        <v>24016</v>
      </c>
      <c r="P5069" t="s">
        <v>144</v>
      </c>
      <c r="Y5069" t="s">
        <v>146</v>
      </c>
    </row>
    <row r="5070" spans="1:25" x14ac:dyDescent="0.25">
      <c r="A5070" t="str">
        <f>"3059416155"</f>
        <v>3059416155</v>
      </c>
      <c r="B5070" t="s">
        <v>117</v>
      </c>
      <c r="C5070" t="s">
        <v>873</v>
      </c>
      <c r="D5070" t="s">
        <v>873</v>
      </c>
      <c r="F5070" t="s">
        <v>1</v>
      </c>
      <c r="G5070" t="s">
        <v>2</v>
      </c>
      <c r="H5070" t="s">
        <v>24017</v>
      </c>
      <c r="Y5070" t="s">
        <v>24018</v>
      </c>
    </row>
    <row r="5071" spans="1:25" x14ac:dyDescent="0.25">
      <c r="A5071" t="str">
        <f>"3064205875"</f>
        <v>3064205875</v>
      </c>
      <c r="B5071" t="s">
        <v>96</v>
      </c>
      <c r="C5071" t="s">
        <v>893</v>
      </c>
      <c r="D5071" t="s">
        <v>24019</v>
      </c>
      <c r="E5071">
        <v>424007</v>
      </c>
      <c r="F5071" t="s">
        <v>1</v>
      </c>
      <c r="G5071" t="s">
        <v>2</v>
      </c>
      <c r="H5071" t="s">
        <v>5178</v>
      </c>
      <c r="P5071" t="s">
        <v>2731</v>
      </c>
      <c r="Y5071" t="s">
        <v>24020</v>
      </c>
    </row>
    <row r="5072" spans="1:25" x14ac:dyDescent="0.25">
      <c r="A5072" t="str">
        <f>"3068816387"</f>
        <v>3068816387</v>
      </c>
      <c r="B5072" t="s">
        <v>25</v>
      </c>
      <c r="C5072" t="s">
        <v>24024</v>
      </c>
      <c r="D5072" t="s">
        <v>24021</v>
      </c>
      <c r="E5072">
        <v>424028</v>
      </c>
      <c r="F5072" t="s">
        <v>1</v>
      </c>
      <c r="G5072" t="s">
        <v>2</v>
      </c>
      <c r="H5072" t="s">
        <v>18467</v>
      </c>
      <c r="I5072" t="s">
        <v>24022</v>
      </c>
      <c r="J5072" t="s">
        <v>24023</v>
      </c>
      <c r="P5072" t="s">
        <v>2084</v>
      </c>
      <c r="Q5072" t="s">
        <v>24025</v>
      </c>
      <c r="T5072" t="s">
        <v>24026</v>
      </c>
      <c r="V5072" t="s">
        <v>24027</v>
      </c>
      <c r="Y5072" t="s">
        <v>24028</v>
      </c>
    </row>
    <row r="5073" spans="1:25" x14ac:dyDescent="0.25">
      <c r="A5073" t="str">
        <f>"3071235374"</f>
        <v>3071235374</v>
      </c>
      <c r="B5073" t="s">
        <v>117</v>
      </c>
      <c r="C5073" t="s">
        <v>873</v>
      </c>
      <c r="D5073" t="s">
        <v>873</v>
      </c>
      <c r="F5073" t="s">
        <v>1</v>
      </c>
      <c r="G5073" t="s">
        <v>2</v>
      </c>
      <c r="H5073" t="s">
        <v>24029</v>
      </c>
      <c r="Y5073" t="s">
        <v>24030</v>
      </c>
    </row>
    <row r="5074" spans="1:25" x14ac:dyDescent="0.25">
      <c r="A5074" t="str">
        <f>"3111125617"</f>
        <v>3111125617</v>
      </c>
      <c r="B5074" t="s">
        <v>1152</v>
      </c>
      <c r="C5074" t="s">
        <v>24032</v>
      </c>
      <c r="D5074" t="s">
        <v>16258</v>
      </c>
      <c r="E5074">
        <v>424000</v>
      </c>
      <c r="F5074" t="s">
        <v>1</v>
      </c>
      <c r="G5074" t="s">
        <v>2</v>
      </c>
      <c r="H5074" t="s">
        <v>1531</v>
      </c>
      <c r="I5074" t="s">
        <v>24031</v>
      </c>
      <c r="P5074" t="s">
        <v>10212</v>
      </c>
      <c r="Y5074" t="s">
        <v>1707</v>
      </c>
    </row>
    <row r="5075" spans="1:25" x14ac:dyDescent="0.25">
      <c r="A5075" t="str">
        <f>"3119588545"</f>
        <v>3119588545</v>
      </c>
      <c r="B5075" t="s">
        <v>2104</v>
      </c>
      <c r="C5075" t="s">
        <v>2105</v>
      </c>
      <c r="D5075" t="s">
        <v>24033</v>
      </c>
      <c r="E5075">
        <v>424004</v>
      </c>
      <c r="F5075" t="s">
        <v>1</v>
      </c>
      <c r="G5075" t="s">
        <v>2</v>
      </c>
      <c r="H5075" t="s">
        <v>17461</v>
      </c>
      <c r="L5075" t="s">
        <v>24034</v>
      </c>
      <c r="P5075" t="s">
        <v>1642</v>
      </c>
      <c r="Y5075" t="s">
        <v>24035</v>
      </c>
    </row>
    <row r="5076" spans="1:25" x14ac:dyDescent="0.25">
      <c r="A5076" t="str">
        <f>"3127861042"</f>
        <v>3127861042</v>
      </c>
      <c r="B5076" t="s">
        <v>574</v>
      </c>
      <c r="C5076" t="s">
        <v>646</v>
      </c>
      <c r="D5076" t="s">
        <v>24036</v>
      </c>
      <c r="E5076">
        <v>424004</v>
      </c>
      <c r="F5076" t="s">
        <v>1</v>
      </c>
      <c r="G5076" t="s">
        <v>2</v>
      </c>
      <c r="H5076" t="s">
        <v>505</v>
      </c>
      <c r="Y5076" t="s">
        <v>24037</v>
      </c>
    </row>
    <row r="5077" spans="1:25" x14ac:dyDescent="0.25">
      <c r="A5077" t="str">
        <f>"3169698830"</f>
        <v>3169698830</v>
      </c>
      <c r="B5077" t="s">
        <v>430</v>
      </c>
      <c r="C5077" t="s">
        <v>612</v>
      </c>
      <c r="D5077" t="s">
        <v>24038</v>
      </c>
      <c r="E5077">
        <v>424030</v>
      </c>
      <c r="F5077" t="s">
        <v>1</v>
      </c>
      <c r="G5077" t="s">
        <v>2</v>
      </c>
      <c r="H5077" t="s">
        <v>13962</v>
      </c>
      <c r="Y5077" t="s">
        <v>24039</v>
      </c>
    </row>
    <row r="5078" spans="1:25" x14ac:dyDescent="0.25">
      <c r="A5078" t="str">
        <f>"3189689995"</f>
        <v>3189689995</v>
      </c>
      <c r="B5078" t="s">
        <v>96</v>
      </c>
      <c r="C5078" t="s">
        <v>24042</v>
      </c>
      <c r="D5078" t="s">
        <v>24040</v>
      </c>
      <c r="E5078">
        <v>424016</v>
      </c>
      <c r="F5078" t="s">
        <v>1</v>
      </c>
      <c r="G5078" t="s">
        <v>2</v>
      </c>
      <c r="H5078" t="s">
        <v>24041</v>
      </c>
      <c r="Y5078" t="s">
        <v>24043</v>
      </c>
    </row>
    <row r="5079" spans="1:25" x14ac:dyDescent="0.25">
      <c r="A5079" t="str">
        <f>"3206653922"</f>
        <v>3206653922</v>
      </c>
      <c r="B5079" t="s">
        <v>1053</v>
      </c>
      <c r="C5079" t="s">
        <v>5092</v>
      </c>
      <c r="D5079" t="s">
        <v>24044</v>
      </c>
      <c r="E5079">
        <v>424006</v>
      </c>
      <c r="F5079" t="s">
        <v>1</v>
      </c>
      <c r="G5079" t="s">
        <v>2</v>
      </c>
      <c r="H5079" t="s">
        <v>1483</v>
      </c>
      <c r="I5079" t="s">
        <v>24045</v>
      </c>
      <c r="P5079" t="s">
        <v>410</v>
      </c>
      <c r="Y5079" t="s">
        <v>24046</v>
      </c>
    </row>
    <row r="5080" spans="1:25" x14ac:dyDescent="0.25">
      <c r="A5080" t="str">
        <f>"3216199343"</f>
        <v>3216199343</v>
      </c>
      <c r="B5080" t="s">
        <v>530</v>
      </c>
      <c r="C5080" t="s">
        <v>23950</v>
      </c>
      <c r="D5080" t="s">
        <v>23950</v>
      </c>
      <c r="F5080" t="s">
        <v>1</v>
      </c>
      <c r="G5080" t="s">
        <v>2</v>
      </c>
      <c r="H5080" t="s">
        <v>24047</v>
      </c>
      <c r="Y5080" t="s">
        <v>24048</v>
      </c>
    </row>
    <row r="5081" spans="1:25" x14ac:dyDescent="0.25">
      <c r="A5081" t="str">
        <f>"3227127234"</f>
        <v>3227127234</v>
      </c>
      <c r="B5081" t="s">
        <v>1152</v>
      </c>
      <c r="C5081" t="s">
        <v>1385</v>
      </c>
      <c r="D5081" t="s">
        <v>24049</v>
      </c>
      <c r="E5081">
        <v>424002</v>
      </c>
      <c r="F5081" t="s">
        <v>1</v>
      </c>
      <c r="G5081" t="s">
        <v>2</v>
      </c>
      <c r="H5081" t="s">
        <v>24050</v>
      </c>
      <c r="J5081" t="s">
        <v>24051</v>
      </c>
      <c r="P5081" t="s">
        <v>911</v>
      </c>
      <c r="Y5081" t="s">
        <v>24052</v>
      </c>
    </row>
    <row r="5082" spans="1:25" x14ac:dyDescent="0.25">
      <c r="A5082" t="str">
        <f>"3239965273"</f>
        <v>3239965273</v>
      </c>
      <c r="B5082" t="s">
        <v>1053</v>
      </c>
      <c r="C5082" t="s">
        <v>24057</v>
      </c>
      <c r="D5082" t="s">
        <v>24053</v>
      </c>
      <c r="E5082">
        <v>424006</v>
      </c>
      <c r="F5082" t="s">
        <v>1</v>
      </c>
      <c r="G5082" t="s">
        <v>2</v>
      </c>
      <c r="H5082" t="s">
        <v>4821</v>
      </c>
      <c r="J5082" t="s">
        <v>24054</v>
      </c>
      <c r="L5082" t="s">
        <v>24055</v>
      </c>
      <c r="M5082" t="s">
        <v>24056</v>
      </c>
      <c r="P5082" t="s">
        <v>27</v>
      </c>
      <c r="Y5082" t="s">
        <v>4825</v>
      </c>
    </row>
    <row r="5083" spans="1:25" x14ac:dyDescent="0.25">
      <c r="A5083" t="str">
        <f>"3272764178"</f>
        <v>3272764178</v>
      </c>
      <c r="B5083" t="s">
        <v>738</v>
      </c>
      <c r="C5083" t="s">
        <v>17323</v>
      </c>
      <c r="D5083" t="s">
        <v>24058</v>
      </c>
      <c r="E5083">
        <v>424006</v>
      </c>
      <c r="F5083" t="s">
        <v>1</v>
      </c>
      <c r="G5083" t="s">
        <v>2</v>
      </c>
      <c r="H5083" t="s">
        <v>4346</v>
      </c>
      <c r="I5083" t="s">
        <v>24059</v>
      </c>
      <c r="J5083" t="s">
        <v>24060</v>
      </c>
      <c r="L5083" t="s">
        <v>24061</v>
      </c>
      <c r="M5083" t="s">
        <v>24062</v>
      </c>
      <c r="P5083" t="s">
        <v>2050</v>
      </c>
      <c r="Q5083" t="s">
        <v>24063</v>
      </c>
      <c r="Y5083" t="s">
        <v>24064</v>
      </c>
    </row>
    <row r="5084" spans="1:25" x14ac:dyDescent="0.25">
      <c r="A5084" t="str">
        <f>"3296553445"</f>
        <v>3296553445</v>
      </c>
      <c r="B5084" t="s">
        <v>290</v>
      </c>
      <c r="C5084" t="s">
        <v>290</v>
      </c>
      <c r="D5084" t="s">
        <v>24065</v>
      </c>
      <c r="E5084">
        <v>424006</v>
      </c>
      <c r="F5084" t="s">
        <v>1</v>
      </c>
      <c r="G5084" t="s">
        <v>2</v>
      </c>
      <c r="H5084" t="s">
        <v>24066</v>
      </c>
      <c r="P5084" t="s">
        <v>24067</v>
      </c>
      <c r="Y5084" t="s">
        <v>24068</v>
      </c>
    </row>
    <row r="5085" spans="1:25" x14ac:dyDescent="0.25">
      <c r="A5085" t="str">
        <f>"3297656938"</f>
        <v>3297656938</v>
      </c>
      <c r="B5085" t="s">
        <v>160</v>
      </c>
      <c r="C5085" t="s">
        <v>1666</v>
      </c>
      <c r="D5085" t="s">
        <v>24069</v>
      </c>
      <c r="F5085" t="s">
        <v>1</v>
      </c>
      <c r="G5085" t="s">
        <v>2</v>
      </c>
      <c r="H5085" t="s">
        <v>16645</v>
      </c>
      <c r="Y5085" t="s">
        <v>24070</v>
      </c>
    </row>
    <row r="5086" spans="1:25" x14ac:dyDescent="0.25">
      <c r="A5086" t="str">
        <f>"3311542715"</f>
        <v>3311542715</v>
      </c>
      <c r="B5086" t="s">
        <v>1152</v>
      </c>
      <c r="C5086" t="s">
        <v>1153</v>
      </c>
      <c r="D5086" t="s">
        <v>24071</v>
      </c>
      <c r="E5086">
        <v>424000</v>
      </c>
      <c r="F5086" t="s">
        <v>1</v>
      </c>
      <c r="G5086" t="s">
        <v>2</v>
      </c>
      <c r="H5086" t="s">
        <v>1473</v>
      </c>
      <c r="P5086" t="s">
        <v>941</v>
      </c>
      <c r="Y5086" t="s">
        <v>24072</v>
      </c>
    </row>
    <row r="5087" spans="1:25" x14ac:dyDescent="0.25">
      <c r="A5087" t="str">
        <f>"3321943412"</f>
        <v>3321943412</v>
      </c>
      <c r="B5087" t="s">
        <v>18</v>
      </c>
      <c r="C5087" t="s">
        <v>3386</v>
      </c>
      <c r="D5087" t="s">
        <v>24073</v>
      </c>
      <c r="E5087">
        <v>424031</v>
      </c>
      <c r="F5087" t="s">
        <v>1</v>
      </c>
      <c r="G5087" t="s">
        <v>2</v>
      </c>
      <c r="H5087" t="s">
        <v>10166</v>
      </c>
      <c r="Y5087" t="s">
        <v>24074</v>
      </c>
    </row>
    <row r="5088" spans="1:25" x14ac:dyDescent="0.25">
      <c r="A5088" t="str">
        <f>"3326986914"</f>
        <v>3326986914</v>
      </c>
      <c r="B5088" t="s">
        <v>930</v>
      </c>
      <c r="C5088" t="s">
        <v>24078</v>
      </c>
      <c r="D5088" t="s">
        <v>24075</v>
      </c>
      <c r="F5088" t="s">
        <v>1</v>
      </c>
      <c r="G5088" t="s">
        <v>2</v>
      </c>
      <c r="H5088" t="s">
        <v>24076</v>
      </c>
      <c r="J5088" t="s">
        <v>24077</v>
      </c>
      <c r="P5088" t="s">
        <v>27</v>
      </c>
      <c r="Y5088" t="s">
        <v>24079</v>
      </c>
    </row>
    <row r="5089" spans="1:25" x14ac:dyDescent="0.25">
      <c r="A5089" t="str">
        <f>"3362562579"</f>
        <v>3362562579</v>
      </c>
      <c r="B5089" t="s">
        <v>96</v>
      </c>
      <c r="C5089" t="s">
        <v>893</v>
      </c>
      <c r="D5089" t="s">
        <v>24080</v>
      </c>
      <c r="E5089">
        <v>424039</v>
      </c>
      <c r="F5089" t="s">
        <v>1</v>
      </c>
      <c r="G5089" t="s">
        <v>2</v>
      </c>
      <c r="H5089" t="s">
        <v>5827</v>
      </c>
      <c r="Y5089" t="s">
        <v>24081</v>
      </c>
    </row>
    <row r="5090" spans="1:25" x14ac:dyDescent="0.25">
      <c r="A5090" t="str">
        <f>"3391764811"</f>
        <v>3391764811</v>
      </c>
      <c r="B5090" t="s">
        <v>151</v>
      </c>
      <c r="C5090" t="s">
        <v>4240</v>
      </c>
      <c r="D5090" t="s">
        <v>24082</v>
      </c>
      <c r="E5090">
        <v>424008</v>
      </c>
      <c r="F5090" t="s">
        <v>1</v>
      </c>
      <c r="G5090" t="s">
        <v>2</v>
      </c>
      <c r="H5090" t="s">
        <v>1031</v>
      </c>
      <c r="Y5090" t="s">
        <v>5039</v>
      </c>
    </row>
    <row r="5091" spans="1:25" x14ac:dyDescent="0.25">
      <c r="A5091" t="str">
        <f>"3430831727"</f>
        <v>3430831727</v>
      </c>
      <c r="B5091" t="s">
        <v>574</v>
      </c>
      <c r="C5091" t="s">
        <v>24087</v>
      </c>
      <c r="D5091" t="s">
        <v>24083</v>
      </c>
      <c r="E5091">
        <v>424033</v>
      </c>
      <c r="F5091" t="s">
        <v>1</v>
      </c>
      <c r="G5091" t="s">
        <v>2</v>
      </c>
      <c r="H5091" t="s">
        <v>22290</v>
      </c>
      <c r="I5091" t="s">
        <v>24084</v>
      </c>
      <c r="L5091" t="s">
        <v>24085</v>
      </c>
      <c r="M5091" t="s">
        <v>24086</v>
      </c>
      <c r="P5091" t="s">
        <v>1027</v>
      </c>
      <c r="Q5091" t="s">
        <v>24088</v>
      </c>
      <c r="Y5091" t="s">
        <v>24089</v>
      </c>
    </row>
    <row r="5092" spans="1:25" x14ac:dyDescent="0.25">
      <c r="A5092" t="str">
        <f>"3446384598"</f>
        <v>3446384598</v>
      </c>
      <c r="B5092" t="s">
        <v>790</v>
      </c>
      <c r="C5092" t="s">
        <v>24094</v>
      </c>
      <c r="D5092" t="s">
        <v>24090</v>
      </c>
      <c r="E5092">
        <v>424002</v>
      </c>
      <c r="F5092" t="s">
        <v>1</v>
      </c>
      <c r="G5092" t="s">
        <v>2</v>
      </c>
      <c r="H5092" t="s">
        <v>5998</v>
      </c>
      <c r="J5092" t="s">
        <v>24091</v>
      </c>
      <c r="L5092" t="s">
        <v>24092</v>
      </c>
      <c r="M5092" t="s">
        <v>24093</v>
      </c>
      <c r="P5092" t="s">
        <v>2050</v>
      </c>
      <c r="Q5092" t="s">
        <v>24095</v>
      </c>
      <c r="V5092" t="s">
        <v>24096</v>
      </c>
      <c r="Y5092" t="s">
        <v>24097</v>
      </c>
    </row>
    <row r="5093" spans="1:25" x14ac:dyDescent="0.25">
      <c r="A5093" t="str">
        <f>"3448434953"</f>
        <v>3448434953</v>
      </c>
      <c r="B5093" t="s">
        <v>574</v>
      </c>
      <c r="C5093" t="s">
        <v>646</v>
      </c>
      <c r="D5093" t="s">
        <v>4221</v>
      </c>
      <c r="E5093">
        <v>424032</v>
      </c>
      <c r="F5093" t="s">
        <v>1</v>
      </c>
      <c r="G5093" t="s">
        <v>2</v>
      </c>
      <c r="H5093" t="s">
        <v>2250</v>
      </c>
      <c r="P5093" t="s">
        <v>2513</v>
      </c>
      <c r="Y5093" t="s">
        <v>24098</v>
      </c>
    </row>
    <row r="5094" spans="1:25" x14ac:dyDescent="0.25">
      <c r="A5094" t="str">
        <f>"3459219608"</f>
        <v>3459219608</v>
      </c>
      <c r="B5094" t="s">
        <v>96</v>
      </c>
      <c r="C5094" t="s">
        <v>893</v>
      </c>
      <c r="D5094" t="s">
        <v>2111</v>
      </c>
      <c r="E5094">
        <v>424000</v>
      </c>
      <c r="F5094" t="s">
        <v>1</v>
      </c>
      <c r="G5094" t="s">
        <v>2</v>
      </c>
      <c r="H5094" t="s">
        <v>2671</v>
      </c>
      <c r="Y5094" t="s">
        <v>2674</v>
      </c>
    </row>
    <row r="5095" spans="1:25" x14ac:dyDescent="0.25">
      <c r="A5095" t="str">
        <f>"3593566297"</f>
        <v>3593566297</v>
      </c>
      <c r="B5095" t="s">
        <v>1352</v>
      </c>
      <c r="C5095" t="s">
        <v>1353</v>
      </c>
      <c r="D5095" t="s">
        <v>24099</v>
      </c>
      <c r="E5095">
        <v>424002</v>
      </c>
      <c r="F5095" t="s">
        <v>1</v>
      </c>
      <c r="G5095" t="s">
        <v>2</v>
      </c>
      <c r="H5095" t="s">
        <v>57</v>
      </c>
      <c r="M5095" t="s">
        <v>24100</v>
      </c>
      <c r="Y5095" t="s">
        <v>3783</v>
      </c>
    </row>
    <row r="5096" spans="1:25" x14ac:dyDescent="0.25">
      <c r="A5096" t="str">
        <f>"3805221127"</f>
        <v>3805221127</v>
      </c>
      <c r="B5096" t="s">
        <v>530</v>
      </c>
      <c r="C5096" t="s">
        <v>23950</v>
      </c>
      <c r="D5096" t="s">
        <v>23950</v>
      </c>
      <c r="F5096" t="s">
        <v>1</v>
      </c>
      <c r="G5096" t="s">
        <v>2</v>
      </c>
      <c r="H5096" t="s">
        <v>254</v>
      </c>
      <c r="Y5096" t="s">
        <v>24101</v>
      </c>
    </row>
    <row r="5097" spans="1:25" x14ac:dyDescent="0.25">
      <c r="A5097" t="str">
        <f>"3807636333"</f>
        <v>3807636333</v>
      </c>
      <c r="B5097" t="s">
        <v>716</v>
      </c>
      <c r="C5097" t="s">
        <v>24107</v>
      </c>
      <c r="D5097" t="s">
        <v>24102</v>
      </c>
      <c r="E5097">
        <v>424038</v>
      </c>
      <c r="F5097" t="s">
        <v>1</v>
      </c>
      <c r="G5097" t="s">
        <v>2</v>
      </c>
      <c r="H5097" t="s">
        <v>7597</v>
      </c>
      <c r="I5097" t="s">
        <v>24103</v>
      </c>
      <c r="J5097" t="s">
        <v>24104</v>
      </c>
      <c r="L5097" t="s">
        <v>24105</v>
      </c>
      <c r="M5097" t="s">
        <v>24106</v>
      </c>
      <c r="P5097" t="s">
        <v>330</v>
      </c>
      <c r="Q5097" t="s">
        <v>24108</v>
      </c>
      <c r="V5097" t="s">
        <v>24109</v>
      </c>
      <c r="Y5097" t="s">
        <v>24110</v>
      </c>
    </row>
    <row r="5098" spans="1:25" x14ac:dyDescent="0.25">
      <c r="A5098" t="str">
        <f>"3821564301"</f>
        <v>3821564301</v>
      </c>
      <c r="B5098" t="s">
        <v>96</v>
      </c>
      <c r="C5098" t="s">
        <v>24111</v>
      </c>
      <c r="D5098" t="s">
        <v>22550</v>
      </c>
      <c r="E5098">
        <v>424002</v>
      </c>
      <c r="F5098" t="s">
        <v>1</v>
      </c>
      <c r="G5098" t="s">
        <v>2</v>
      </c>
      <c r="H5098" t="s">
        <v>11341</v>
      </c>
      <c r="P5098" t="s">
        <v>24112</v>
      </c>
      <c r="Y5098" t="s">
        <v>24113</v>
      </c>
    </row>
    <row r="5099" spans="1:25" x14ac:dyDescent="0.25">
      <c r="A5099" t="str">
        <f>"3830528452"</f>
        <v>3830528452</v>
      </c>
      <c r="B5099" t="s">
        <v>25</v>
      </c>
      <c r="C5099" t="s">
        <v>59</v>
      </c>
      <c r="D5099" t="s">
        <v>15454</v>
      </c>
      <c r="E5099">
        <v>424003</v>
      </c>
      <c r="F5099" t="s">
        <v>1</v>
      </c>
      <c r="G5099" t="s">
        <v>2</v>
      </c>
      <c r="H5099" t="s">
        <v>15183</v>
      </c>
      <c r="J5099" t="s">
        <v>24114</v>
      </c>
      <c r="P5099" t="s">
        <v>330</v>
      </c>
      <c r="Y5099" t="s">
        <v>15185</v>
      </c>
    </row>
    <row r="5100" spans="1:25" x14ac:dyDescent="0.25">
      <c r="A5100" t="str">
        <f>"3852623233"</f>
        <v>3852623233</v>
      </c>
      <c r="B5100" t="s">
        <v>574</v>
      </c>
      <c r="C5100" t="s">
        <v>646</v>
      </c>
      <c r="D5100" t="s">
        <v>24115</v>
      </c>
      <c r="E5100">
        <v>424004</v>
      </c>
      <c r="F5100" t="s">
        <v>1</v>
      </c>
      <c r="G5100" t="s">
        <v>2</v>
      </c>
      <c r="H5100" t="s">
        <v>3489</v>
      </c>
      <c r="P5100" t="s">
        <v>24116</v>
      </c>
      <c r="Y5100" t="s">
        <v>8402</v>
      </c>
    </row>
    <row r="5101" spans="1:25" x14ac:dyDescent="0.25">
      <c r="A5101" t="str">
        <f>"3868792898"</f>
        <v>3868792898</v>
      </c>
      <c r="B5101" t="s">
        <v>32</v>
      </c>
      <c r="C5101" t="s">
        <v>13642</v>
      </c>
      <c r="D5101" t="s">
        <v>24117</v>
      </c>
      <c r="E5101">
        <v>424037</v>
      </c>
      <c r="F5101" t="s">
        <v>1</v>
      </c>
      <c r="G5101" t="s">
        <v>2</v>
      </c>
      <c r="H5101" t="s">
        <v>1116</v>
      </c>
      <c r="I5101" t="s">
        <v>24118</v>
      </c>
      <c r="J5101" t="s">
        <v>24119</v>
      </c>
      <c r="Q5101" t="s">
        <v>24120</v>
      </c>
      <c r="Y5101" t="s">
        <v>11769</v>
      </c>
    </row>
    <row r="5102" spans="1:25" x14ac:dyDescent="0.25">
      <c r="A5102" t="str">
        <f>"3877159517"</f>
        <v>3877159517</v>
      </c>
      <c r="B5102" t="s">
        <v>669</v>
      </c>
      <c r="C5102" t="s">
        <v>670</v>
      </c>
      <c r="D5102" t="s">
        <v>24121</v>
      </c>
      <c r="E5102">
        <v>424004</v>
      </c>
      <c r="F5102" t="s">
        <v>1</v>
      </c>
      <c r="G5102" t="s">
        <v>2</v>
      </c>
      <c r="H5102" t="s">
        <v>12781</v>
      </c>
      <c r="I5102" t="s">
        <v>24122</v>
      </c>
      <c r="Y5102" t="s">
        <v>14082</v>
      </c>
    </row>
    <row r="5103" spans="1:25" x14ac:dyDescent="0.25">
      <c r="A5103" t="str">
        <f>"3919995127"</f>
        <v>3919995127</v>
      </c>
      <c r="B5103" t="s">
        <v>24124</v>
      </c>
      <c r="C5103" t="s">
        <v>24125</v>
      </c>
      <c r="D5103" t="s">
        <v>18414</v>
      </c>
      <c r="E5103">
        <v>424004</v>
      </c>
      <c r="F5103" t="s">
        <v>1</v>
      </c>
      <c r="G5103" t="s">
        <v>2</v>
      </c>
      <c r="H5103" t="s">
        <v>229</v>
      </c>
      <c r="I5103" t="s">
        <v>24123</v>
      </c>
      <c r="P5103" t="s">
        <v>133</v>
      </c>
      <c r="Q5103" t="s">
        <v>24126</v>
      </c>
      <c r="Y5103" t="s">
        <v>237</v>
      </c>
    </row>
    <row r="5104" spans="1:25" x14ac:dyDescent="0.25">
      <c r="A5104" t="str">
        <f>"3947894021"</f>
        <v>3947894021</v>
      </c>
      <c r="B5104" t="s">
        <v>96</v>
      </c>
      <c r="C5104" t="s">
        <v>24042</v>
      </c>
      <c r="D5104" t="s">
        <v>24127</v>
      </c>
      <c r="E5104">
        <v>424038</v>
      </c>
      <c r="F5104" t="s">
        <v>1</v>
      </c>
      <c r="G5104" t="s">
        <v>2</v>
      </c>
      <c r="H5104" t="s">
        <v>4399</v>
      </c>
      <c r="Y5104" t="s">
        <v>24128</v>
      </c>
    </row>
    <row r="5105" spans="1:25" x14ac:dyDescent="0.25">
      <c r="A5105" t="str">
        <f>"3970288586"</f>
        <v>3970288586</v>
      </c>
      <c r="B5105" t="s">
        <v>319</v>
      </c>
      <c r="C5105" t="s">
        <v>320</v>
      </c>
      <c r="D5105" t="s">
        <v>24129</v>
      </c>
      <c r="E5105">
        <v>424033</v>
      </c>
      <c r="F5105" t="s">
        <v>1</v>
      </c>
      <c r="G5105" t="s">
        <v>2</v>
      </c>
      <c r="H5105" t="s">
        <v>2597</v>
      </c>
      <c r="I5105" t="s">
        <v>24130</v>
      </c>
      <c r="M5105" t="s">
        <v>24131</v>
      </c>
      <c r="P5105" t="s">
        <v>2457</v>
      </c>
      <c r="Y5105" t="s">
        <v>2718</v>
      </c>
    </row>
    <row r="5106" spans="1:25" x14ac:dyDescent="0.25">
      <c r="A5106" t="str">
        <f>"4034001068"</f>
        <v>4034001068</v>
      </c>
      <c r="B5106" t="s">
        <v>18</v>
      </c>
      <c r="C5106" t="s">
        <v>12289</v>
      </c>
      <c r="D5106" t="s">
        <v>24042</v>
      </c>
      <c r="E5106">
        <v>424006</v>
      </c>
      <c r="F5106" t="s">
        <v>1</v>
      </c>
      <c r="G5106" t="s">
        <v>2</v>
      </c>
      <c r="H5106" t="s">
        <v>5846</v>
      </c>
      <c r="Y5106" t="s">
        <v>17495</v>
      </c>
    </row>
    <row r="5107" spans="1:25" x14ac:dyDescent="0.25">
      <c r="A5107" t="str">
        <f>"4048627841"</f>
        <v>4048627841</v>
      </c>
      <c r="B5107" t="s">
        <v>430</v>
      </c>
      <c r="C5107" t="s">
        <v>24136</v>
      </c>
      <c r="D5107" t="s">
        <v>24132</v>
      </c>
      <c r="F5107" t="s">
        <v>1</v>
      </c>
      <c r="G5107" t="s">
        <v>2</v>
      </c>
      <c r="H5107" t="s">
        <v>24133</v>
      </c>
      <c r="I5107" t="s">
        <v>24134</v>
      </c>
      <c r="J5107" t="s">
        <v>24135</v>
      </c>
      <c r="P5107" t="s">
        <v>24137</v>
      </c>
      <c r="Q5107" t="s">
        <v>24138</v>
      </c>
      <c r="Y5107" t="s">
        <v>24139</v>
      </c>
    </row>
    <row r="5108" spans="1:25" x14ac:dyDescent="0.25">
      <c r="A5108" t="str">
        <f>"4182191189"</f>
        <v>4182191189</v>
      </c>
      <c r="B5108" t="s">
        <v>591</v>
      </c>
      <c r="C5108" t="s">
        <v>1904</v>
      </c>
      <c r="D5108" t="s">
        <v>1904</v>
      </c>
      <c r="E5108">
        <v>424020</v>
      </c>
      <c r="F5108" t="s">
        <v>1</v>
      </c>
      <c r="G5108" t="s">
        <v>2</v>
      </c>
      <c r="H5108" t="s">
        <v>24140</v>
      </c>
      <c r="Y5108" t="s">
        <v>24141</v>
      </c>
    </row>
    <row r="5109" spans="1:25" x14ac:dyDescent="0.25">
      <c r="A5109" t="str">
        <f>"4191542643"</f>
        <v>4191542643</v>
      </c>
      <c r="B5109" t="s">
        <v>1152</v>
      </c>
      <c r="C5109" t="s">
        <v>24144</v>
      </c>
      <c r="D5109" t="s">
        <v>24142</v>
      </c>
      <c r="E5109">
        <v>424003</v>
      </c>
      <c r="F5109" t="s">
        <v>1</v>
      </c>
      <c r="G5109" t="s">
        <v>2</v>
      </c>
      <c r="H5109" t="s">
        <v>15497</v>
      </c>
      <c r="J5109" t="s">
        <v>24143</v>
      </c>
      <c r="P5109" t="s">
        <v>144</v>
      </c>
      <c r="Y5109" t="s">
        <v>24145</v>
      </c>
    </row>
    <row r="5110" spans="1:25" x14ac:dyDescent="0.25">
      <c r="A5110" t="str">
        <f>"4249000151"</f>
        <v>4249000151</v>
      </c>
      <c r="B5110" t="s">
        <v>10383</v>
      </c>
      <c r="C5110" t="s">
        <v>24146</v>
      </c>
      <c r="D5110" t="s">
        <v>24146</v>
      </c>
      <c r="F5110" t="s">
        <v>1</v>
      </c>
      <c r="G5110" t="s">
        <v>2</v>
      </c>
      <c r="H5110" t="s">
        <v>7547</v>
      </c>
      <c r="Y5110" t="s">
        <v>24147</v>
      </c>
    </row>
    <row r="5111" spans="1:25" x14ac:dyDescent="0.25">
      <c r="A5111" t="str">
        <f>"4250521134"</f>
        <v>4250521134</v>
      </c>
      <c r="B5111" t="s">
        <v>3573</v>
      </c>
      <c r="C5111" t="s">
        <v>5816</v>
      </c>
      <c r="D5111" t="s">
        <v>19092</v>
      </c>
      <c r="E5111">
        <v>424008</v>
      </c>
      <c r="F5111" t="s">
        <v>1</v>
      </c>
      <c r="G5111" t="s">
        <v>2</v>
      </c>
      <c r="H5111" t="s">
        <v>3812</v>
      </c>
      <c r="J5111" t="s">
        <v>19093</v>
      </c>
      <c r="P5111" t="s">
        <v>133</v>
      </c>
      <c r="Y5111" t="s">
        <v>21883</v>
      </c>
    </row>
    <row r="5112" spans="1:25" x14ac:dyDescent="0.25">
      <c r="A5112" t="str">
        <f>"4270559782"</f>
        <v>4270559782</v>
      </c>
      <c r="B5112" t="s">
        <v>1053</v>
      </c>
      <c r="C5112" t="s">
        <v>1927</v>
      </c>
      <c r="D5112" t="s">
        <v>24148</v>
      </c>
      <c r="E5112">
        <v>424006</v>
      </c>
      <c r="F5112" t="s">
        <v>1</v>
      </c>
      <c r="G5112" t="s">
        <v>2</v>
      </c>
      <c r="H5112" t="s">
        <v>24149</v>
      </c>
      <c r="J5112" t="s">
        <v>24150</v>
      </c>
      <c r="P5112" t="s">
        <v>5084</v>
      </c>
      <c r="Y5112" t="s">
        <v>22653</v>
      </c>
    </row>
    <row r="5113" spans="1:25" x14ac:dyDescent="0.25">
      <c r="A5113" t="str">
        <f>"4369057697"</f>
        <v>4369057697</v>
      </c>
      <c r="B5113" t="s">
        <v>176</v>
      </c>
      <c r="C5113" t="s">
        <v>24152</v>
      </c>
      <c r="D5113" t="s">
        <v>23495</v>
      </c>
      <c r="E5113">
        <v>424003</v>
      </c>
      <c r="F5113" t="s">
        <v>1</v>
      </c>
      <c r="G5113" t="s">
        <v>2</v>
      </c>
      <c r="H5113" t="s">
        <v>8724</v>
      </c>
      <c r="I5113" t="s">
        <v>24151</v>
      </c>
      <c r="P5113" t="s">
        <v>4998</v>
      </c>
      <c r="Q5113" t="s">
        <v>24153</v>
      </c>
      <c r="Y5113" t="s">
        <v>24154</v>
      </c>
    </row>
    <row r="5114" spans="1:25" x14ac:dyDescent="0.25">
      <c r="A5114" t="str">
        <f>"4380104112"</f>
        <v>4380104112</v>
      </c>
      <c r="B5114" t="s">
        <v>88</v>
      </c>
      <c r="C5114" t="s">
        <v>6066</v>
      </c>
      <c r="D5114" t="s">
        <v>24155</v>
      </c>
      <c r="E5114">
        <v>424918</v>
      </c>
      <c r="F5114" t="s">
        <v>1</v>
      </c>
      <c r="G5114" t="s">
        <v>2</v>
      </c>
      <c r="H5114" t="s">
        <v>629</v>
      </c>
      <c r="L5114" t="s">
        <v>24156</v>
      </c>
      <c r="P5114" t="s">
        <v>630</v>
      </c>
      <c r="Y5114" t="s">
        <v>24157</v>
      </c>
    </row>
    <row r="5115" spans="1:25" x14ac:dyDescent="0.25">
      <c r="A5115" t="str">
        <f>"4383375472"</f>
        <v>4383375472</v>
      </c>
      <c r="B5115" t="s">
        <v>1343</v>
      </c>
      <c r="C5115" t="s">
        <v>5308</v>
      </c>
      <c r="D5115" t="s">
        <v>24158</v>
      </c>
      <c r="E5115">
        <v>424028</v>
      </c>
      <c r="F5115" t="s">
        <v>1</v>
      </c>
      <c r="G5115" t="s">
        <v>2</v>
      </c>
      <c r="H5115" t="s">
        <v>24159</v>
      </c>
      <c r="Y5115" t="s">
        <v>24160</v>
      </c>
    </row>
    <row r="5116" spans="1:25" x14ac:dyDescent="0.25">
      <c r="A5116" t="str">
        <f>"4425095191"</f>
        <v>4425095191</v>
      </c>
      <c r="B5116" t="s">
        <v>1053</v>
      </c>
      <c r="C5116" t="s">
        <v>24165</v>
      </c>
      <c r="D5116" t="s">
        <v>24161</v>
      </c>
      <c r="E5116">
        <v>424006</v>
      </c>
      <c r="F5116" t="s">
        <v>1</v>
      </c>
      <c r="G5116" t="s">
        <v>2</v>
      </c>
      <c r="H5116" t="s">
        <v>1923</v>
      </c>
      <c r="J5116" t="s">
        <v>24162</v>
      </c>
      <c r="L5116" t="s">
        <v>24163</v>
      </c>
      <c r="M5116" t="s">
        <v>24164</v>
      </c>
      <c r="P5116" t="s">
        <v>330</v>
      </c>
      <c r="Q5116" t="s">
        <v>24166</v>
      </c>
      <c r="V5116" t="s">
        <v>24167</v>
      </c>
      <c r="Y5116" t="s">
        <v>1928</v>
      </c>
    </row>
    <row r="5117" spans="1:25" x14ac:dyDescent="0.25">
      <c r="A5117" t="str">
        <f>"4486578112"</f>
        <v>4486578112</v>
      </c>
      <c r="B5117" t="s">
        <v>24124</v>
      </c>
      <c r="C5117" t="s">
        <v>24125</v>
      </c>
      <c r="D5117" t="s">
        <v>24168</v>
      </c>
      <c r="F5117" t="s">
        <v>1</v>
      </c>
      <c r="G5117" t="s">
        <v>2</v>
      </c>
      <c r="H5117" t="s">
        <v>24169</v>
      </c>
      <c r="J5117" t="s">
        <v>24170</v>
      </c>
      <c r="L5117" t="s">
        <v>24171</v>
      </c>
      <c r="Q5117" t="s">
        <v>24172</v>
      </c>
      <c r="Y5117" t="s">
        <v>24173</v>
      </c>
    </row>
    <row r="5118" spans="1:25" x14ac:dyDescent="0.25">
      <c r="A5118" t="str">
        <f>"4488937253"</f>
        <v>4488937253</v>
      </c>
      <c r="B5118" t="s">
        <v>1758</v>
      </c>
      <c r="C5118" t="s">
        <v>8089</v>
      </c>
      <c r="D5118" t="s">
        <v>24174</v>
      </c>
      <c r="E5118">
        <v>424000</v>
      </c>
      <c r="F5118" t="s">
        <v>1</v>
      </c>
      <c r="G5118" t="s">
        <v>2</v>
      </c>
      <c r="H5118" t="s">
        <v>24175</v>
      </c>
      <c r="Y5118" t="s">
        <v>24176</v>
      </c>
    </row>
    <row r="5119" spans="1:25" x14ac:dyDescent="0.25">
      <c r="A5119" t="str">
        <f>"4530404673"</f>
        <v>4530404673</v>
      </c>
      <c r="B5119" t="s">
        <v>669</v>
      </c>
      <c r="C5119" t="s">
        <v>2689</v>
      </c>
      <c r="D5119" t="s">
        <v>8455</v>
      </c>
      <c r="E5119">
        <v>424028</v>
      </c>
      <c r="F5119" t="s">
        <v>1</v>
      </c>
      <c r="G5119" t="s">
        <v>2</v>
      </c>
      <c r="H5119" t="s">
        <v>13799</v>
      </c>
      <c r="I5119" t="s">
        <v>24177</v>
      </c>
      <c r="K5119" t="s">
        <v>24178</v>
      </c>
      <c r="P5119" t="s">
        <v>280</v>
      </c>
      <c r="Y5119" t="s">
        <v>13801</v>
      </c>
    </row>
    <row r="5120" spans="1:25" x14ac:dyDescent="0.25">
      <c r="A5120" t="str">
        <f>"4579855441"</f>
        <v>4579855441</v>
      </c>
      <c r="B5120" t="s">
        <v>123</v>
      </c>
      <c r="C5120" t="s">
        <v>196</v>
      </c>
      <c r="D5120" t="s">
        <v>24179</v>
      </c>
      <c r="E5120">
        <v>424038</v>
      </c>
      <c r="F5120" t="s">
        <v>1</v>
      </c>
      <c r="G5120" t="s">
        <v>2</v>
      </c>
      <c r="H5120" t="s">
        <v>1366</v>
      </c>
      <c r="Y5120" t="s">
        <v>7381</v>
      </c>
    </row>
    <row r="5121" spans="1:25" x14ac:dyDescent="0.25">
      <c r="A5121" t="str">
        <f>"4584205801"</f>
        <v>4584205801</v>
      </c>
      <c r="B5121" t="s">
        <v>176</v>
      </c>
      <c r="C5121" t="s">
        <v>24184</v>
      </c>
      <c r="D5121" t="s">
        <v>24180</v>
      </c>
      <c r="F5121" t="s">
        <v>1</v>
      </c>
      <c r="G5121" t="s">
        <v>2</v>
      </c>
      <c r="H5121" t="s">
        <v>19499</v>
      </c>
      <c r="I5121" t="s">
        <v>24181</v>
      </c>
      <c r="J5121" t="s">
        <v>24182</v>
      </c>
      <c r="L5121" t="s">
        <v>24183</v>
      </c>
      <c r="P5121" t="s">
        <v>144</v>
      </c>
      <c r="Y5121" t="s">
        <v>24185</v>
      </c>
    </row>
    <row r="5122" spans="1:25" x14ac:dyDescent="0.25">
      <c r="A5122" t="str">
        <f>"4598438387"</f>
        <v>4598438387</v>
      </c>
      <c r="B5122" t="s">
        <v>96</v>
      </c>
      <c r="C5122" t="s">
        <v>24190</v>
      </c>
      <c r="D5122" t="s">
        <v>24186</v>
      </c>
      <c r="E5122">
        <v>424038</v>
      </c>
      <c r="F5122" t="s">
        <v>1</v>
      </c>
      <c r="G5122" t="s">
        <v>2</v>
      </c>
      <c r="H5122" t="s">
        <v>7597</v>
      </c>
      <c r="I5122" t="s">
        <v>24187</v>
      </c>
      <c r="L5122" t="s">
        <v>24188</v>
      </c>
      <c r="M5122" t="s">
        <v>24189</v>
      </c>
      <c r="P5122" t="s">
        <v>1642</v>
      </c>
      <c r="Q5122" t="s">
        <v>24191</v>
      </c>
      <c r="T5122" t="s">
        <v>24192</v>
      </c>
      <c r="U5122" t="s">
        <v>24193</v>
      </c>
      <c r="V5122" t="s">
        <v>24194</v>
      </c>
      <c r="Y5122" t="s">
        <v>24195</v>
      </c>
    </row>
    <row r="5123" spans="1:25" x14ac:dyDescent="0.25">
      <c r="A5123" t="str">
        <f>"4600445295"</f>
        <v>4600445295</v>
      </c>
      <c r="B5123" t="s">
        <v>18</v>
      </c>
      <c r="C5123" t="s">
        <v>24200</v>
      </c>
      <c r="D5123" t="s">
        <v>24196</v>
      </c>
      <c r="E5123">
        <v>424007</v>
      </c>
      <c r="F5123" t="s">
        <v>1</v>
      </c>
      <c r="G5123" t="s">
        <v>2</v>
      </c>
      <c r="H5123" t="s">
        <v>5450</v>
      </c>
      <c r="I5123" t="s">
        <v>24197</v>
      </c>
      <c r="L5123" t="s">
        <v>24198</v>
      </c>
      <c r="M5123" t="s">
        <v>24199</v>
      </c>
      <c r="P5123" t="s">
        <v>390</v>
      </c>
      <c r="Y5123" t="s">
        <v>24201</v>
      </c>
    </row>
    <row r="5124" spans="1:25" x14ac:dyDescent="0.25">
      <c r="A5124" t="str">
        <f>"4603437373"</f>
        <v>4603437373</v>
      </c>
      <c r="B5124" t="s">
        <v>1573</v>
      </c>
      <c r="C5124" t="s">
        <v>1817</v>
      </c>
      <c r="D5124" t="s">
        <v>13283</v>
      </c>
      <c r="E5124">
        <v>424003</v>
      </c>
      <c r="F5124" t="s">
        <v>1</v>
      </c>
      <c r="G5124" t="s">
        <v>2</v>
      </c>
      <c r="H5124" t="s">
        <v>22528</v>
      </c>
      <c r="L5124" t="s">
        <v>13286</v>
      </c>
      <c r="M5124" t="s">
        <v>13287</v>
      </c>
      <c r="Y5124" t="s">
        <v>24202</v>
      </c>
    </row>
    <row r="5125" spans="1:25" x14ac:dyDescent="0.25">
      <c r="A5125" t="str">
        <f>"4607642484"</f>
        <v>4607642484</v>
      </c>
      <c r="B5125" t="s">
        <v>1617</v>
      </c>
      <c r="C5125" t="s">
        <v>21001</v>
      </c>
      <c r="D5125" t="s">
        <v>24203</v>
      </c>
      <c r="E5125">
        <v>424006</v>
      </c>
      <c r="F5125" t="s">
        <v>1</v>
      </c>
      <c r="G5125" t="s">
        <v>2</v>
      </c>
      <c r="H5125" t="s">
        <v>478</v>
      </c>
      <c r="Y5125" t="s">
        <v>24204</v>
      </c>
    </row>
    <row r="5126" spans="1:25" x14ac:dyDescent="0.25">
      <c r="A5126" t="str">
        <f>"4634571655"</f>
        <v>4634571655</v>
      </c>
      <c r="B5126" t="s">
        <v>456</v>
      </c>
      <c r="C5126" t="s">
        <v>9602</v>
      </c>
      <c r="D5126" t="s">
        <v>24205</v>
      </c>
      <c r="E5126">
        <v>424033</v>
      </c>
      <c r="F5126" t="s">
        <v>1</v>
      </c>
      <c r="G5126" t="s">
        <v>2</v>
      </c>
      <c r="H5126" t="s">
        <v>2597</v>
      </c>
      <c r="J5126" t="s">
        <v>24206</v>
      </c>
      <c r="L5126" t="s">
        <v>24207</v>
      </c>
      <c r="M5126" t="s">
        <v>24208</v>
      </c>
      <c r="P5126" t="s">
        <v>27</v>
      </c>
      <c r="Q5126" t="s">
        <v>24209</v>
      </c>
      <c r="Y5126" t="s">
        <v>2718</v>
      </c>
    </row>
    <row r="5127" spans="1:25" x14ac:dyDescent="0.25">
      <c r="A5127" t="str">
        <f>"4658911333"</f>
        <v>4658911333</v>
      </c>
      <c r="B5127" t="s">
        <v>2104</v>
      </c>
      <c r="C5127" t="s">
        <v>2105</v>
      </c>
      <c r="D5127" t="s">
        <v>24210</v>
      </c>
      <c r="E5127">
        <v>424028</v>
      </c>
      <c r="F5127" t="s">
        <v>1</v>
      </c>
      <c r="G5127" t="s">
        <v>2</v>
      </c>
      <c r="H5127" t="s">
        <v>7204</v>
      </c>
      <c r="P5127" t="s">
        <v>1642</v>
      </c>
      <c r="Y5127" t="s">
        <v>24211</v>
      </c>
    </row>
    <row r="5128" spans="1:25" x14ac:dyDescent="0.25">
      <c r="A5128" t="str">
        <f>"4681190452"</f>
        <v>4681190452</v>
      </c>
      <c r="B5128" t="s">
        <v>574</v>
      </c>
      <c r="C5128" t="s">
        <v>952</v>
      </c>
      <c r="D5128" t="s">
        <v>22405</v>
      </c>
      <c r="E5128">
        <v>424039</v>
      </c>
      <c r="F5128" t="s">
        <v>1</v>
      </c>
      <c r="G5128" t="s">
        <v>2</v>
      </c>
      <c r="H5128" t="s">
        <v>24212</v>
      </c>
      <c r="Y5128" t="s">
        <v>24213</v>
      </c>
    </row>
    <row r="5129" spans="1:25" x14ac:dyDescent="0.25">
      <c r="A5129" t="str">
        <f>"4698590381"</f>
        <v>4698590381</v>
      </c>
      <c r="B5129" t="s">
        <v>574</v>
      </c>
      <c r="C5129" t="s">
        <v>21805</v>
      </c>
      <c r="D5129" t="s">
        <v>24214</v>
      </c>
      <c r="E5129">
        <v>424019</v>
      </c>
      <c r="F5129" t="s">
        <v>1</v>
      </c>
      <c r="G5129" t="s">
        <v>2</v>
      </c>
      <c r="H5129" t="s">
        <v>12105</v>
      </c>
      <c r="J5129" t="s">
        <v>24215</v>
      </c>
      <c r="P5129" t="s">
        <v>216</v>
      </c>
      <c r="Y5129" t="s">
        <v>24216</v>
      </c>
    </row>
    <row r="5130" spans="1:25" x14ac:dyDescent="0.25">
      <c r="A5130" t="str">
        <f>"4702256042"</f>
        <v>4702256042</v>
      </c>
      <c r="B5130" t="s">
        <v>188</v>
      </c>
      <c r="C5130" t="s">
        <v>23982</v>
      </c>
      <c r="D5130" t="s">
        <v>23982</v>
      </c>
      <c r="E5130">
        <v>424038</v>
      </c>
      <c r="F5130" t="s">
        <v>1</v>
      </c>
      <c r="G5130" t="s">
        <v>2</v>
      </c>
      <c r="H5130" t="s">
        <v>13986</v>
      </c>
      <c r="Y5130" t="s">
        <v>24217</v>
      </c>
    </row>
    <row r="5131" spans="1:25" x14ac:dyDescent="0.25">
      <c r="A5131" t="str">
        <f>"4702749008"</f>
        <v>4702749008</v>
      </c>
      <c r="B5131" t="s">
        <v>1262</v>
      </c>
      <c r="C5131" t="s">
        <v>3214</v>
      </c>
      <c r="D5131" t="s">
        <v>24218</v>
      </c>
      <c r="E5131">
        <v>424028</v>
      </c>
      <c r="F5131" t="s">
        <v>1</v>
      </c>
      <c r="G5131" t="s">
        <v>2</v>
      </c>
      <c r="H5131" t="s">
        <v>24219</v>
      </c>
      <c r="J5131" t="s">
        <v>24220</v>
      </c>
      <c r="L5131" t="s">
        <v>24221</v>
      </c>
      <c r="M5131" t="s">
        <v>24222</v>
      </c>
      <c r="P5131" t="s">
        <v>280</v>
      </c>
      <c r="Y5131" t="s">
        <v>24223</v>
      </c>
    </row>
    <row r="5132" spans="1:25" x14ac:dyDescent="0.25">
      <c r="A5132" t="str">
        <f>"4718199633"</f>
        <v>4718199633</v>
      </c>
      <c r="B5132" t="s">
        <v>96</v>
      </c>
      <c r="C5132" t="s">
        <v>659</v>
      </c>
      <c r="D5132" t="s">
        <v>24224</v>
      </c>
      <c r="E5132">
        <v>424000</v>
      </c>
      <c r="F5132" t="s">
        <v>1</v>
      </c>
      <c r="G5132" t="s">
        <v>2</v>
      </c>
      <c r="H5132" t="s">
        <v>1531</v>
      </c>
      <c r="Y5132" t="s">
        <v>1707</v>
      </c>
    </row>
    <row r="5133" spans="1:25" x14ac:dyDescent="0.25">
      <c r="A5133" t="str">
        <f>"4721440552"</f>
        <v>4721440552</v>
      </c>
      <c r="B5133" t="s">
        <v>1544</v>
      </c>
      <c r="C5133" t="s">
        <v>3596</v>
      </c>
      <c r="D5133" t="s">
        <v>3596</v>
      </c>
      <c r="E5133">
        <v>424006</v>
      </c>
      <c r="F5133" t="s">
        <v>1</v>
      </c>
      <c r="G5133" t="s">
        <v>2</v>
      </c>
      <c r="H5133" t="s">
        <v>24225</v>
      </c>
      <c r="Y5133" t="s">
        <v>24226</v>
      </c>
    </row>
    <row r="5134" spans="1:25" x14ac:dyDescent="0.25">
      <c r="A5134" t="str">
        <f>"4766690430"</f>
        <v>4766690430</v>
      </c>
      <c r="B5134" t="s">
        <v>32</v>
      </c>
      <c r="C5134" t="s">
        <v>2996</v>
      </c>
      <c r="D5134" t="s">
        <v>24227</v>
      </c>
      <c r="E5134">
        <v>424020</v>
      </c>
      <c r="F5134" t="s">
        <v>1</v>
      </c>
      <c r="G5134" t="s">
        <v>2</v>
      </c>
      <c r="H5134" t="s">
        <v>23</v>
      </c>
      <c r="Y5134" t="s">
        <v>24228</v>
      </c>
    </row>
    <row r="5135" spans="1:25" x14ac:dyDescent="0.25">
      <c r="A5135" t="str">
        <f>"4843833533"</f>
        <v>4843833533</v>
      </c>
      <c r="B5135" t="s">
        <v>888</v>
      </c>
      <c r="C5135" t="s">
        <v>4712</v>
      </c>
      <c r="D5135" t="s">
        <v>24229</v>
      </c>
      <c r="E5135">
        <v>424007</v>
      </c>
      <c r="F5135" t="s">
        <v>1</v>
      </c>
      <c r="G5135" t="s">
        <v>2</v>
      </c>
      <c r="H5135" t="s">
        <v>1319</v>
      </c>
      <c r="I5135" t="s">
        <v>24230</v>
      </c>
      <c r="J5135" t="s">
        <v>24231</v>
      </c>
      <c r="P5135" t="s">
        <v>1270</v>
      </c>
      <c r="Y5135" t="s">
        <v>18331</v>
      </c>
    </row>
    <row r="5136" spans="1:25" x14ac:dyDescent="0.25">
      <c r="A5136" t="str">
        <f>"4848671598"</f>
        <v>4848671598</v>
      </c>
      <c r="B5136" t="s">
        <v>930</v>
      </c>
      <c r="C5136" t="s">
        <v>11882</v>
      </c>
      <c r="D5136" t="s">
        <v>24232</v>
      </c>
      <c r="F5136" t="s">
        <v>1</v>
      </c>
      <c r="G5136" t="s">
        <v>2</v>
      </c>
      <c r="H5136" t="s">
        <v>8743</v>
      </c>
      <c r="I5136" t="s">
        <v>24233</v>
      </c>
      <c r="M5136" t="s">
        <v>24234</v>
      </c>
      <c r="P5136" t="s">
        <v>216</v>
      </c>
      <c r="Q5136" t="s">
        <v>24235</v>
      </c>
      <c r="R5136" t="s">
        <v>24236</v>
      </c>
      <c r="S5136" t="s">
        <v>24237</v>
      </c>
      <c r="T5136" t="s">
        <v>24238</v>
      </c>
      <c r="V5136" t="s">
        <v>24239</v>
      </c>
      <c r="Y5136" t="s">
        <v>24240</v>
      </c>
    </row>
    <row r="5137" spans="1:25" x14ac:dyDescent="0.25">
      <c r="A5137" t="str">
        <f>"4852390535"</f>
        <v>4852390535</v>
      </c>
      <c r="B5137" t="s">
        <v>117</v>
      </c>
      <c r="C5137" t="s">
        <v>118</v>
      </c>
      <c r="D5137" t="s">
        <v>24241</v>
      </c>
      <c r="E5137">
        <v>424028</v>
      </c>
      <c r="F5137" t="s">
        <v>1</v>
      </c>
      <c r="G5137" t="s">
        <v>2</v>
      </c>
      <c r="H5137" t="s">
        <v>10741</v>
      </c>
      <c r="Y5137" t="s">
        <v>24242</v>
      </c>
    </row>
    <row r="5138" spans="1:25" x14ac:dyDescent="0.25">
      <c r="A5138" t="str">
        <f>"4870996215"</f>
        <v>4870996215</v>
      </c>
      <c r="B5138" t="s">
        <v>176</v>
      </c>
      <c r="C5138" t="s">
        <v>566</v>
      </c>
      <c r="D5138" t="s">
        <v>24243</v>
      </c>
      <c r="E5138">
        <v>424000</v>
      </c>
      <c r="F5138" t="s">
        <v>1</v>
      </c>
      <c r="G5138" t="s">
        <v>2</v>
      </c>
      <c r="H5138" t="s">
        <v>1531</v>
      </c>
      <c r="Y5138" t="s">
        <v>1707</v>
      </c>
    </row>
    <row r="5139" spans="1:25" x14ac:dyDescent="0.25">
      <c r="A5139" t="str">
        <f>"4894802449"</f>
        <v>4894802449</v>
      </c>
      <c r="B5139" t="s">
        <v>1152</v>
      </c>
      <c r="C5139" t="s">
        <v>1152</v>
      </c>
      <c r="D5139" t="s">
        <v>24244</v>
      </c>
      <c r="E5139">
        <v>424038</v>
      </c>
      <c r="F5139" t="s">
        <v>1</v>
      </c>
      <c r="G5139" t="s">
        <v>2</v>
      </c>
      <c r="H5139" t="s">
        <v>7518</v>
      </c>
      <c r="J5139" t="s">
        <v>24245</v>
      </c>
      <c r="M5139" t="s">
        <v>24246</v>
      </c>
      <c r="P5139" t="s">
        <v>27</v>
      </c>
      <c r="Q5139" t="s">
        <v>24247</v>
      </c>
      <c r="Y5139" t="s">
        <v>24248</v>
      </c>
    </row>
    <row r="5140" spans="1:25" x14ac:dyDescent="0.25">
      <c r="A5140" t="str">
        <f>"4921288875"</f>
        <v>4921288875</v>
      </c>
      <c r="B5140" t="s">
        <v>1544</v>
      </c>
      <c r="C5140" t="s">
        <v>3596</v>
      </c>
      <c r="D5140" t="s">
        <v>24249</v>
      </c>
      <c r="E5140">
        <v>424000</v>
      </c>
      <c r="F5140" t="s">
        <v>1</v>
      </c>
      <c r="G5140" t="s">
        <v>2</v>
      </c>
      <c r="H5140" t="s">
        <v>13410</v>
      </c>
      <c r="I5140" t="s">
        <v>24250</v>
      </c>
      <c r="P5140" t="s">
        <v>340</v>
      </c>
      <c r="Y5140" t="s">
        <v>24251</v>
      </c>
    </row>
    <row r="5141" spans="1:25" x14ac:dyDescent="0.25">
      <c r="A5141" t="str">
        <f>"4947444236"</f>
        <v>4947444236</v>
      </c>
      <c r="B5141" t="s">
        <v>7312</v>
      </c>
      <c r="C5141" t="s">
        <v>19097</v>
      </c>
      <c r="D5141" t="s">
        <v>24252</v>
      </c>
      <c r="E5141">
        <v>424037</v>
      </c>
      <c r="F5141" t="s">
        <v>1</v>
      </c>
      <c r="G5141" t="s">
        <v>2</v>
      </c>
      <c r="H5141" t="s">
        <v>20142</v>
      </c>
      <c r="Y5141" t="s">
        <v>24253</v>
      </c>
    </row>
    <row r="5142" spans="1:25" x14ac:dyDescent="0.25">
      <c r="A5142" t="str">
        <f>"4968887530"</f>
        <v>4968887530</v>
      </c>
      <c r="B5142" t="s">
        <v>1323</v>
      </c>
      <c r="C5142" t="s">
        <v>1324</v>
      </c>
      <c r="D5142" t="s">
        <v>24254</v>
      </c>
      <c r="E5142">
        <v>424002</v>
      </c>
      <c r="F5142" t="s">
        <v>1</v>
      </c>
      <c r="G5142" t="s">
        <v>2</v>
      </c>
      <c r="H5142" t="s">
        <v>6397</v>
      </c>
      <c r="Y5142" t="s">
        <v>24255</v>
      </c>
    </row>
    <row r="5143" spans="1:25" x14ac:dyDescent="0.25">
      <c r="A5143" t="str">
        <f>"4987499517"</f>
        <v>4987499517</v>
      </c>
      <c r="B5143" t="s">
        <v>456</v>
      </c>
      <c r="C5143" t="s">
        <v>2773</v>
      </c>
      <c r="D5143" t="s">
        <v>24256</v>
      </c>
      <c r="F5143" t="s">
        <v>1</v>
      </c>
      <c r="G5143" t="s">
        <v>2</v>
      </c>
      <c r="H5143" t="s">
        <v>24257</v>
      </c>
      <c r="I5143" t="s">
        <v>21772</v>
      </c>
      <c r="L5143" t="s">
        <v>24258</v>
      </c>
      <c r="M5143" t="s">
        <v>24259</v>
      </c>
      <c r="P5143" t="s">
        <v>4998</v>
      </c>
      <c r="Y5143" t="s">
        <v>24260</v>
      </c>
    </row>
    <row r="5144" spans="1:25" x14ac:dyDescent="0.25">
      <c r="A5144" t="str">
        <f>"5002925557"</f>
        <v>5002925557</v>
      </c>
      <c r="B5144" t="s">
        <v>1152</v>
      </c>
      <c r="C5144" t="s">
        <v>10452</v>
      </c>
      <c r="D5144" t="s">
        <v>1507</v>
      </c>
      <c r="E5144">
        <v>424033</v>
      </c>
      <c r="F5144" t="s">
        <v>1</v>
      </c>
      <c r="G5144" t="s">
        <v>2</v>
      </c>
      <c r="H5144" t="s">
        <v>2597</v>
      </c>
      <c r="I5144" t="s">
        <v>24261</v>
      </c>
      <c r="M5144" t="s">
        <v>1512</v>
      </c>
      <c r="P5144" t="s">
        <v>1760</v>
      </c>
      <c r="Q5144" t="s">
        <v>4065</v>
      </c>
      <c r="R5144" t="s">
        <v>4066</v>
      </c>
      <c r="Y5144" t="s">
        <v>2718</v>
      </c>
    </row>
    <row r="5145" spans="1:25" x14ac:dyDescent="0.25">
      <c r="A5145" t="str">
        <f>"5028091281"</f>
        <v>5028091281</v>
      </c>
      <c r="B5145" t="s">
        <v>558</v>
      </c>
      <c r="C5145" t="s">
        <v>559</v>
      </c>
      <c r="D5145" t="s">
        <v>24262</v>
      </c>
      <c r="E5145">
        <v>424038</v>
      </c>
      <c r="F5145" t="s">
        <v>1</v>
      </c>
      <c r="G5145" t="s">
        <v>2</v>
      </c>
      <c r="H5145" t="s">
        <v>24263</v>
      </c>
      <c r="I5145" t="s">
        <v>24264</v>
      </c>
      <c r="P5145" t="s">
        <v>13051</v>
      </c>
      <c r="Y5145" t="s">
        <v>24265</v>
      </c>
    </row>
    <row r="5146" spans="1:25" x14ac:dyDescent="0.25">
      <c r="A5146" t="str">
        <f>"5036352890"</f>
        <v>5036352890</v>
      </c>
      <c r="B5146" t="s">
        <v>574</v>
      </c>
      <c r="C5146" t="s">
        <v>14269</v>
      </c>
      <c r="D5146" t="s">
        <v>21166</v>
      </c>
      <c r="E5146">
        <v>424038</v>
      </c>
      <c r="F5146" t="s">
        <v>1</v>
      </c>
      <c r="G5146" t="s">
        <v>2</v>
      </c>
      <c r="H5146" t="s">
        <v>2103</v>
      </c>
      <c r="Y5146" t="s">
        <v>24266</v>
      </c>
    </row>
    <row r="5147" spans="1:25" x14ac:dyDescent="0.25">
      <c r="A5147" t="str">
        <f>"5039301069"</f>
        <v>5039301069</v>
      </c>
      <c r="B5147" t="s">
        <v>1475</v>
      </c>
      <c r="C5147" t="s">
        <v>1476</v>
      </c>
      <c r="D5147" t="s">
        <v>24267</v>
      </c>
      <c r="E5147">
        <v>424019</v>
      </c>
      <c r="F5147" t="s">
        <v>1</v>
      </c>
      <c r="G5147" t="s">
        <v>2</v>
      </c>
      <c r="H5147" t="s">
        <v>24268</v>
      </c>
      <c r="I5147" t="s">
        <v>24269</v>
      </c>
      <c r="P5147" t="s">
        <v>330</v>
      </c>
      <c r="Y5147" t="s">
        <v>24270</v>
      </c>
    </row>
    <row r="5148" spans="1:25" x14ac:dyDescent="0.25">
      <c r="A5148" t="str">
        <f>"5070294321"</f>
        <v>5070294321</v>
      </c>
      <c r="B5148" t="s">
        <v>379</v>
      </c>
      <c r="C5148" t="s">
        <v>380</v>
      </c>
      <c r="D5148" t="s">
        <v>24271</v>
      </c>
      <c r="E5148">
        <v>424006</v>
      </c>
      <c r="F5148" t="s">
        <v>1</v>
      </c>
      <c r="G5148" t="s">
        <v>2</v>
      </c>
      <c r="H5148" t="s">
        <v>20740</v>
      </c>
      <c r="L5148" t="s">
        <v>24272</v>
      </c>
      <c r="M5148" t="s">
        <v>24273</v>
      </c>
      <c r="P5148" t="s">
        <v>410</v>
      </c>
      <c r="T5148" t="s">
        <v>24274</v>
      </c>
      <c r="U5148" t="s">
        <v>24275</v>
      </c>
      <c r="Y5148" t="s">
        <v>24276</v>
      </c>
    </row>
    <row r="5149" spans="1:25" x14ac:dyDescent="0.25">
      <c r="A5149" t="str">
        <f>"5102576500"</f>
        <v>5102576500</v>
      </c>
      <c r="B5149" t="s">
        <v>88</v>
      </c>
      <c r="C5149" t="s">
        <v>24279</v>
      </c>
      <c r="D5149" t="s">
        <v>24277</v>
      </c>
      <c r="E5149">
        <v>424033</v>
      </c>
      <c r="F5149" t="s">
        <v>1</v>
      </c>
      <c r="G5149" t="s">
        <v>2</v>
      </c>
      <c r="H5149" t="s">
        <v>4225</v>
      </c>
      <c r="I5149" t="s">
        <v>4226</v>
      </c>
      <c r="L5149" t="s">
        <v>4227</v>
      </c>
      <c r="M5149" t="s">
        <v>24278</v>
      </c>
      <c r="P5149" t="s">
        <v>27</v>
      </c>
      <c r="Q5149" t="s">
        <v>24280</v>
      </c>
      <c r="Y5149" t="s">
        <v>24281</v>
      </c>
    </row>
    <row r="5150" spans="1:25" x14ac:dyDescent="0.25">
      <c r="A5150" t="str">
        <f>"5102947090"</f>
        <v>5102947090</v>
      </c>
      <c r="B5150" t="s">
        <v>1046</v>
      </c>
      <c r="C5150" t="s">
        <v>3497</v>
      </c>
      <c r="D5150" t="s">
        <v>24282</v>
      </c>
      <c r="E5150">
        <v>424016</v>
      </c>
      <c r="F5150" t="s">
        <v>1</v>
      </c>
      <c r="G5150" t="s">
        <v>2</v>
      </c>
      <c r="H5150" t="s">
        <v>24283</v>
      </c>
      <c r="I5150" t="s">
        <v>24284</v>
      </c>
      <c r="M5150" t="s">
        <v>24285</v>
      </c>
      <c r="P5150" t="s">
        <v>330</v>
      </c>
      <c r="Y5150" t="s">
        <v>24286</v>
      </c>
    </row>
    <row r="5151" spans="1:25" x14ac:dyDescent="0.25">
      <c r="A5151" t="str">
        <f>"5103162430"</f>
        <v>5103162430</v>
      </c>
      <c r="B5151" t="s">
        <v>456</v>
      </c>
      <c r="C5151" t="s">
        <v>24291</v>
      </c>
      <c r="D5151" t="s">
        <v>24287</v>
      </c>
      <c r="E5151">
        <v>424038</v>
      </c>
      <c r="F5151" t="s">
        <v>1</v>
      </c>
      <c r="G5151" t="s">
        <v>2</v>
      </c>
      <c r="H5151" t="s">
        <v>21388</v>
      </c>
      <c r="I5151" t="s">
        <v>24288</v>
      </c>
      <c r="L5151" t="s">
        <v>24289</v>
      </c>
      <c r="M5151" t="s">
        <v>24290</v>
      </c>
      <c r="P5151" t="s">
        <v>1642</v>
      </c>
      <c r="Q5151" t="s">
        <v>24292</v>
      </c>
      <c r="Y5151" t="s">
        <v>24293</v>
      </c>
    </row>
    <row r="5152" spans="1:25" x14ac:dyDescent="0.25">
      <c r="A5152" t="str">
        <f>"5129454125"</f>
        <v>5129454125</v>
      </c>
      <c r="B5152" t="s">
        <v>469</v>
      </c>
      <c r="C5152" t="s">
        <v>24296</v>
      </c>
      <c r="D5152" t="s">
        <v>24294</v>
      </c>
      <c r="E5152">
        <v>424033</v>
      </c>
      <c r="F5152" t="s">
        <v>1</v>
      </c>
      <c r="G5152" t="s">
        <v>2</v>
      </c>
      <c r="H5152" t="s">
        <v>2597</v>
      </c>
      <c r="M5152" t="s">
        <v>24295</v>
      </c>
      <c r="Y5152" t="s">
        <v>24297</v>
      </c>
    </row>
    <row r="5153" spans="1:25" x14ac:dyDescent="0.25">
      <c r="A5153" t="str">
        <f>"5149648614"</f>
        <v>5149648614</v>
      </c>
      <c r="B5153" t="s">
        <v>1611</v>
      </c>
      <c r="C5153" t="s">
        <v>11688</v>
      </c>
      <c r="D5153" t="s">
        <v>24298</v>
      </c>
      <c r="E5153">
        <v>424002</v>
      </c>
      <c r="F5153" t="s">
        <v>1</v>
      </c>
      <c r="G5153" t="s">
        <v>2</v>
      </c>
      <c r="H5153" t="s">
        <v>20175</v>
      </c>
      <c r="I5153" t="s">
        <v>24299</v>
      </c>
      <c r="L5153" t="s">
        <v>24300</v>
      </c>
      <c r="M5153" t="s">
        <v>20178</v>
      </c>
      <c r="P5153" t="s">
        <v>330</v>
      </c>
      <c r="Y5153" t="s">
        <v>24301</v>
      </c>
    </row>
    <row r="5154" spans="1:25" x14ac:dyDescent="0.25">
      <c r="A5154" t="str">
        <f>"5157452257"</f>
        <v>5157452257</v>
      </c>
      <c r="B5154" t="s">
        <v>2104</v>
      </c>
      <c r="C5154" t="s">
        <v>13387</v>
      </c>
      <c r="D5154" t="s">
        <v>15417</v>
      </c>
      <c r="E5154">
        <v>424005</v>
      </c>
      <c r="F5154" t="s">
        <v>1</v>
      </c>
      <c r="G5154" t="s">
        <v>2</v>
      </c>
      <c r="H5154" t="s">
        <v>5843</v>
      </c>
      <c r="I5154" t="s">
        <v>24302</v>
      </c>
      <c r="P5154" t="s">
        <v>8133</v>
      </c>
      <c r="Y5154" t="s">
        <v>24303</v>
      </c>
    </row>
    <row r="5155" spans="1:25" x14ac:dyDescent="0.25">
      <c r="A5155" t="str">
        <f>"5169928163"</f>
        <v>5169928163</v>
      </c>
      <c r="B5155" t="s">
        <v>1046</v>
      </c>
      <c r="C5155" t="s">
        <v>22946</v>
      </c>
      <c r="D5155" t="s">
        <v>22946</v>
      </c>
      <c r="E5155">
        <v>424005</v>
      </c>
      <c r="F5155" t="s">
        <v>1</v>
      </c>
      <c r="G5155" t="s">
        <v>2</v>
      </c>
      <c r="H5155" t="s">
        <v>24304</v>
      </c>
      <c r="Y5155" t="s">
        <v>24305</v>
      </c>
    </row>
    <row r="5156" spans="1:25" x14ac:dyDescent="0.25">
      <c r="A5156" t="str">
        <f>"5178051848"</f>
        <v>5178051848</v>
      </c>
      <c r="B5156" t="s">
        <v>1544</v>
      </c>
      <c r="C5156" t="s">
        <v>7974</v>
      </c>
      <c r="D5156" t="s">
        <v>24306</v>
      </c>
      <c r="E5156">
        <v>424032</v>
      </c>
      <c r="F5156" t="s">
        <v>1</v>
      </c>
      <c r="G5156" t="s">
        <v>2</v>
      </c>
      <c r="H5156" t="s">
        <v>24307</v>
      </c>
      <c r="J5156" t="s">
        <v>24308</v>
      </c>
      <c r="P5156" t="s">
        <v>330</v>
      </c>
      <c r="Q5156" t="s">
        <v>24309</v>
      </c>
      <c r="Y5156" t="s">
        <v>24310</v>
      </c>
    </row>
    <row r="5157" spans="1:25" x14ac:dyDescent="0.25">
      <c r="A5157" t="str">
        <f>"5202496203"</f>
        <v>5202496203</v>
      </c>
      <c r="B5157" t="s">
        <v>1573</v>
      </c>
      <c r="C5157" t="s">
        <v>1574</v>
      </c>
      <c r="D5157" t="s">
        <v>1753</v>
      </c>
      <c r="E5157">
        <v>424032</v>
      </c>
      <c r="F5157" t="s">
        <v>1</v>
      </c>
      <c r="G5157" t="s">
        <v>2</v>
      </c>
      <c r="H5157" t="s">
        <v>5699</v>
      </c>
      <c r="Y5157" t="s">
        <v>24311</v>
      </c>
    </row>
    <row r="5158" spans="1:25" x14ac:dyDescent="0.25">
      <c r="A5158" t="str">
        <f>"5211414050"</f>
        <v>5211414050</v>
      </c>
      <c r="B5158" t="s">
        <v>96</v>
      </c>
      <c r="C5158" t="s">
        <v>12115</v>
      </c>
      <c r="D5158" t="s">
        <v>24312</v>
      </c>
      <c r="E5158">
        <v>424033</v>
      </c>
      <c r="F5158" t="s">
        <v>1</v>
      </c>
      <c r="G5158" t="s">
        <v>2</v>
      </c>
      <c r="H5158" t="s">
        <v>2597</v>
      </c>
      <c r="J5158" t="s">
        <v>24313</v>
      </c>
      <c r="P5158" t="s">
        <v>2050</v>
      </c>
      <c r="V5158" t="s">
        <v>24314</v>
      </c>
      <c r="Y5158" t="s">
        <v>24315</v>
      </c>
    </row>
    <row r="5159" spans="1:25" x14ac:dyDescent="0.25">
      <c r="A5159" t="str">
        <f>"5232249407"</f>
        <v>5232249407</v>
      </c>
      <c r="B5159" t="s">
        <v>233</v>
      </c>
      <c r="C5159" t="s">
        <v>14003</v>
      </c>
      <c r="D5159" t="s">
        <v>24316</v>
      </c>
      <c r="E5159">
        <v>424030</v>
      </c>
      <c r="F5159" t="s">
        <v>1</v>
      </c>
      <c r="G5159" t="s">
        <v>2</v>
      </c>
      <c r="H5159" t="s">
        <v>24317</v>
      </c>
      <c r="P5159" t="s">
        <v>410</v>
      </c>
      <c r="Y5159" t="s">
        <v>24318</v>
      </c>
    </row>
    <row r="5160" spans="1:25" x14ac:dyDescent="0.25">
      <c r="A5160" t="str">
        <f>"5249131651"</f>
        <v>5249131651</v>
      </c>
      <c r="B5160" t="s">
        <v>290</v>
      </c>
      <c r="C5160" t="s">
        <v>290</v>
      </c>
      <c r="D5160" t="s">
        <v>24319</v>
      </c>
      <c r="F5160" t="s">
        <v>1</v>
      </c>
      <c r="G5160" t="s">
        <v>2</v>
      </c>
      <c r="H5160" t="s">
        <v>4957</v>
      </c>
      <c r="P5160" t="s">
        <v>330</v>
      </c>
      <c r="Y5160" t="s">
        <v>24320</v>
      </c>
    </row>
    <row r="5161" spans="1:25" x14ac:dyDescent="0.25">
      <c r="A5161" t="str">
        <f>"5303680746"</f>
        <v>5303680746</v>
      </c>
      <c r="B5161" t="s">
        <v>1573</v>
      </c>
      <c r="C5161" t="s">
        <v>24325</v>
      </c>
      <c r="D5161" t="s">
        <v>24321</v>
      </c>
      <c r="E5161">
        <v>424006</v>
      </c>
      <c r="F5161" t="s">
        <v>1</v>
      </c>
      <c r="G5161" t="s">
        <v>2</v>
      </c>
      <c r="H5161" t="s">
        <v>5726</v>
      </c>
      <c r="J5161" t="s">
        <v>24322</v>
      </c>
      <c r="L5161" t="s">
        <v>24323</v>
      </c>
      <c r="M5161" t="s">
        <v>24324</v>
      </c>
      <c r="P5161" t="s">
        <v>280</v>
      </c>
      <c r="Y5161" t="s">
        <v>24326</v>
      </c>
    </row>
    <row r="5162" spans="1:25" x14ac:dyDescent="0.25">
      <c r="A5162" t="str">
        <f>"5368302735"</f>
        <v>5368302735</v>
      </c>
      <c r="B5162" t="s">
        <v>2104</v>
      </c>
      <c r="C5162" t="s">
        <v>13387</v>
      </c>
      <c r="D5162" t="s">
        <v>24033</v>
      </c>
      <c r="E5162">
        <v>424039</v>
      </c>
      <c r="F5162" t="s">
        <v>1</v>
      </c>
      <c r="G5162" t="s">
        <v>2</v>
      </c>
      <c r="H5162" t="s">
        <v>24327</v>
      </c>
      <c r="Y5162" t="s">
        <v>24328</v>
      </c>
    </row>
    <row r="5163" spans="1:25" x14ac:dyDescent="0.25">
      <c r="A5163" t="str">
        <f>"5408738606"</f>
        <v>5408738606</v>
      </c>
      <c r="B5163" t="s">
        <v>640</v>
      </c>
      <c r="C5163" t="s">
        <v>663</v>
      </c>
      <c r="D5163" t="s">
        <v>24329</v>
      </c>
      <c r="E5163">
        <v>424003</v>
      </c>
      <c r="F5163" t="s">
        <v>1</v>
      </c>
      <c r="G5163" t="s">
        <v>2</v>
      </c>
      <c r="H5163" t="s">
        <v>1725</v>
      </c>
      <c r="M5163" t="s">
        <v>24330</v>
      </c>
      <c r="Y5163" t="s">
        <v>24331</v>
      </c>
    </row>
    <row r="5164" spans="1:25" x14ac:dyDescent="0.25">
      <c r="A5164" t="str">
        <f>"5432485989"</f>
        <v>5432485989</v>
      </c>
      <c r="B5164" t="s">
        <v>96</v>
      </c>
      <c r="C5164" t="s">
        <v>11891</v>
      </c>
      <c r="D5164" t="s">
        <v>18885</v>
      </c>
      <c r="E5164">
        <v>424918</v>
      </c>
      <c r="F5164" t="s">
        <v>1</v>
      </c>
      <c r="G5164" t="s">
        <v>2</v>
      </c>
      <c r="H5164" t="s">
        <v>629</v>
      </c>
      <c r="P5164" t="s">
        <v>630</v>
      </c>
      <c r="Y5164" t="s">
        <v>24332</v>
      </c>
    </row>
    <row r="5165" spans="1:25" x14ac:dyDescent="0.25">
      <c r="A5165" t="str">
        <f>"5441461352"</f>
        <v>5441461352</v>
      </c>
      <c r="B5165" t="s">
        <v>1352</v>
      </c>
      <c r="C5165" t="s">
        <v>1353</v>
      </c>
      <c r="D5165" t="s">
        <v>24333</v>
      </c>
      <c r="F5165" t="s">
        <v>1</v>
      </c>
      <c r="G5165" t="s">
        <v>2</v>
      </c>
      <c r="H5165" t="s">
        <v>19499</v>
      </c>
      <c r="I5165" t="s">
        <v>24334</v>
      </c>
      <c r="J5165" t="s">
        <v>24335</v>
      </c>
      <c r="L5165" t="s">
        <v>24336</v>
      </c>
      <c r="P5165" t="s">
        <v>144</v>
      </c>
      <c r="Q5165" t="s">
        <v>24337</v>
      </c>
      <c r="V5165" t="s">
        <v>24338</v>
      </c>
      <c r="Y5165" t="s">
        <v>24339</v>
      </c>
    </row>
    <row r="5166" spans="1:25" x14ac:dyDescent="0.25">
      <c r="A5166" t="str">
        <f>"5468590007"</f>
        <v>5468590007</v>
      </c>
      <c r="B5166" t="s">
        <v>319</v>
      </c>
      <c r="C5166" t="s">
        <v>320</v>
      </c>
      <c r="D5166" t="s">
        <v>24340</v>
      </c>
      <c r="E5166">
        <v>424028</v>
      </c>
      <c r="F5166" t="s">
        <v>1</v>
      </c>
      <c r="G5166" t="s">
        <v>2</v>
      </c>
      <c r="H5166" t="s">
        <v>5121</v>
      </c>
      <c r="I5166" t="s">
        <v>24341</v>
      </c>
      <c r="L5166" t="s">
        <v>24342</v>
      </c>
      <c r="M5166" t="s">
        <v>24343</v>
      </c>
      <c r="P5166" t="s">
        <v>2457</v>
      </c>
      <c r="Q5166" t="s">
        <v>24344</v>
      </c>
      <c r="T5166" t="s">
        <v>24345</v>
      </c>
      <c r="V5166" t="s">
        <v>24346</v>
      </c>
      <c r="Y5166" t="s">
        <v>24347</v>
      </c>
    </row>
    <row r="5167" spans="1:25" x14ac:dyDescent="0.25">
      <c r="A5167" t="str">
        <f>"5471845523"</f>
        <v>5471845523</v>
      </c>
      <c r="B5167" t="s">
        <v>96</v>
      </c>
      <c r="C5167" t="s">
        <v>659</v>
      </c>
      <c r="D5167" t="s">
        <v>24348</v>
      </c>
      <c r="E5167">
        <v>424000</v>
      </c>
      <c r="F5167" t="s">
        <v>1</v>
      </c>
      <c r="G5167" t="s">
        <v>2</v>
      </c>
      <c r="H5167" t="s">
        <v>2671</v>
      </c>
      <c r="I5167" t="s">
        <v>24349</v>
      </c>
      <c r="J5167" t="s">
        <v>24350</v>
      </c>
      <c r="L5167" t="s">
        <v>24351</v>
      </c>
      <c r="M5167" t="s">
        <v>24352</v>
      </c>
      <c r="P5167" t="s">
        <v>2738</v>
      </c>
      <c r="Q5167" t="s">
        <v>24353</v>
      </c>
      <c r="T5167" t="s">
        <v>24354</v>
      </c>
      <c r="Y5167" t="s">
        <v>2674</v>
      </c>
    </row>
    <row r="5168" spans="1:25" x14ac:dyDescent="0.25">
      <c r="A5168" t="str">
        <f>"5489696306"</f>
        <v>5489696306</v>
      </c>
      <c r="B5168" t="s">
        <v>319</v>
      </c>
      <c r="C5168" t="s">
        <v>24358</v>
      </c>
      <c r="D5168" t="s">
        <v>24355</v>
      </c>
      <c r="E5168">
        <v>424918</v>
      </c>
      <c r="F5168" t="s">
        <v>1</v>
      </c>
      <c r="G5168" t="s">
        <v>2</v>
      </c>
      <c r="H5168" t="s">
        <v>629</v>
      </c>
      <c r="J5168" t="s">
        <v>24356</v>
      </c>
      <c r="L5168" t="s">
        <v>24357</v>
      </c>
      <c r="P5168" t="s">
        <v>630</v>
      </c>
      <c r="Y5168" t="s">
        <v>1744</v>
      </c>
    </row>
    <row r="5169" spans="1:25" x14ac:dyDescent="0.25">
      <c r="A5169" t="str">
        <f>"5504976667"</f>
        <v>5504976667</v>
      </c>
      <c r="B5169" t="s">
        <v>1573</v>
      </c>
      <c r="C5169" t="s">
        <v>24361</v>
      </c>
      <c r="D5169" t="s">
        <v>24359</v>
      </c>
      <c r="E5169">
        <v>424016</v>
      </c>
      <c r="F5169" t="s">
        <v>1</v>
      </c>
      <c r="G5169" t="s">
        <v>2</v>
      </c>
      <c r="H5169" t="s">
        <v>2637</v>
      </c>
      <c r="I5169" t="s">
        <v>24360</v>
      </c>
      <c r="P5169" t="s">
        <v>280</v>
      </c>
      <c r="Y5169" t="s">
        <v>16336</v>
      </c>
    </row>
    <row r="5170" spans="1:25" x14ac:dyDescent="0.25">
      <c r="A5170" t="str">
        <f>"5508412831"</f>
        <v>5508412831</v>
      </c>
      <c r="B5170" t="s">
        <v>348</v>
      </c>
      <c r="C5170" t="s">
        <v>24364</v>
      </c>
      <c r="D5170" t="s">
        <v>24362</v>
      </c>
      <c r="F5170" t="s">
        <v>1</v>
      </c>
      <c r="G5170" t="s">
        <v>2</v>
      </c>
      <c r="H5170" t="s">
        <v>4315</v>
      </c>
      <c r="I5170" t="s">
        <v>24363</v>
      </c>
      <c r="P5170" t="s">
        <v>2923</v>
      </c>
      <c r="Y5170" t="s">
        <v>4319</v>
      </c>
    </row>
    <row r="5171" spans="1:25" x14ac:dyDescent="0.25">
      <c r="A5171" t="str">
        <f>"5518530825"</f>
        <v>5518530825</v>
      </c>
      <c r="B5171" t="s">
        <v>18</v>
      </c>
      <c r="C5171" t="s">
        <v>143</v>
      </c>
      <c r="D5171" t="s">
        <v>24365</v>
      </c>
      <c r="E5171">
        <v>424033</v>
      </c>
      <c r="F5171" t="s">
        <v>1</v>
      </c>
      <c r="G5171" t="s">
        <v>2</v>
      </c>
      <c r="H5171" t="s">
        <v>4300</v>
      </c>
      <c r="Y5171" t="s">
        <v>24366</v>
      </c>
    </row>
    <row r="5172" spans="1:25" x14ac:dyDescent="0.25">
      <c r="A5172" t="str">
        <f>"5534847168"</f>
        <v>5534847168</v>
      </c>
      <c r="B5172" t="s">
        <v>319</v>
      </c>
      <c r="C5172" t="s">
        <v>320</v>
      </c>
      <c r="D5172" t="s">
        <v>24367</v>
      </c>
      <c r="E5172">
        <v>424002</v>
      </c>
      <c r="F5172" t="s">
        <v>1</v>
      </c>
      <c r="G5172" t="s">
        <v>2</v>
      </c>
      <c r="H5172" t="s">
        <v>1950</v>
      </c>
      <c r="I5172" t="s">
        <v>24368</v>
      </c>
      <c r="M5172" t="s">
        <v>24369</v>
      </c>
      <c r="P5172" t="s">
        <v>216</v>
      </c>
      <c r="Q5172" t="s">
        <v>24370</v>
      </c>
      <c r="R5172" t="s">
        <v>24371</v>
      </c>
      <c r="T5172" t="s">
        <v>24372</v>
      </c>
      <c r="U5172" t="s">
        <v>24373</v>
      </c>
      <c r="V5172" t="s">
        <v>24374</v>
      </c>
      <c r="Y5172" t="s">
        <v>10453</v>
      </c>
    </row>
    <row r="5173" spans="1:25" x14ac:dyDescent="0.25">
      <c r="A5173" t="str">
        <f>"5615883198"</f>
        <v>5615883198</v>
      </c>
      <c r="B5173" t="s">
        <v>1053</v>
      </c>
      <c r="C5173" t="s">
        <v>24380</v>
      </c>
      <c r="D5173" t="s">
        <v>24375</v>
      </c>
      <c r="E5173">
        <v>424007</v>
      </c>
      <c r="F5173" t="s">
        <v>1</v>
      </c>
      <c r="G5173" t="s">
        <v>2</v>
      </c>
      <c r="H5173" t="s">
        <v>3243</v>
      </c>
      <c r="I5173" t="s">
        <v>24376</v>
      </c>
      <c r="J5173" t="s">
        <v>24377</v>
      </c>
      <c r="L5173" t="s">
        <v>24378</v>
      </c>
      <c r="M5173" t="s">
        <v>24379</v>
      </c>
      <c r="P5173" t="s">
        <v>17225</v>
      </c>
      <c r="Q5173" t="s">
        <v>24381</v>
      </c>
      <c r="Y5173" t="s">
        <v>24382</v>
      </c>
    </row>
    <row r="5174" spans="1:25" x14ac:dyDescent="0.25">
      <c r="A5174" t="str">
        <f>"5673732513"</f>
        <v>5673732513</v>
      </c>
      <c r="B5174" t="s">
        <v>2104</v>
      </c>
      <c r="C5174" t="s">
        <v>2105</v>
      </c>
      <c r="D5174" t="s">
        <v>24383</v>
      </c>
      <c r="F5174" t="s">
        <v>1</v>
      </c>
      <c r="G5174" t="s">
        <v>2</v>
      </c>
      <c r="H5174" t="s">
        <v>24384</v>
      </c>
      <c r="Y5174" t="s">
        <v>24385</v>
      </c>
    </row>
    <row r="5175" spans="1:25" x14ac:dyDescent="0.25">
      <c r="A5175" t="str">
        <f>"5715416823"</f>
        <v>5715416823</v>
      </c>
      <c r="B5175" t="s">
        <v>224</v>
      </c>
      <c r="C5175" t="s">
        <v>24388</v>
      </c>
      <c r="D5175" t="s">
        <v>24386</v>
      </c>
      <c r="E5175">
        <v>424007</v>
      </c>
      <c r="F5175" t="s">
        <v>1</v>
      </c>
      <c r="G5175" t="s">
        <v>2</v>
      </c>
      <c r="H5175" t="s">
        <v>21885</v>
      </c>
      <c r="J5175" t="s">
        <v>24387</v>
      </c>
      <c r="P5175" t="s">
        <v>280</v>
      </c>
      <c r="Y5175" t="s">
        <v>21889</v>
      </c>
    </row>
    <row r="5176" spans="1:25" x14ac:dyDescent="0.25">
      <c r="A5176" t="str">
        <f>"5735942945"</f>
        <v>5735942945</v>
      </c>
      <c r="B5176" t="s">
        <v>1046</v>
      </c>
      <c r="C5176" t="s">
        <v>22946</v>
      </c>
      <c r="D5176" t="s">
        <v>22946</v>
      </c>
      <c r="E5176">
        <v>424006</v>
      </c>
      <c r="F5176" t="s">
        <v>1</v>
      </c>
      <c r="G5176" t="s">
        <v>2</v>
      </c>
      <c r="H5176" t="s">
        <v>24389</v>
      </c>
      <c r="Y5176" t="s">
        <v>24390</v>
      </c>
    </row>
    <row r="5177" spans="1:25" x14ac:dyDescent="0.25">
      <c r="A5177" t="str">
        <f>"5823727937"</f>
        <v>5823727937</v>
      </c>
      <c r="B5177" t="s">
        <v>379</v>
      </c>
      <c r="C5177" t="s">
        <v>766</v>
      </c>
      <c r="D5177" t="s">
        <v>24391</v>
      </c>
      <c r="E5177">
        <v>424000</v>
      </c>
      <c r="F5177" t="s">
        <v>1</v>
      </c>
      <c r="G5177" t="s">
        <v>2</v>
      </c>
      <c r="H5177" t="s">
        <v>1531</v>
      </c>
      <c r="I5177" t="s">
        <v>24392</v>
      </c>
      <c r="L5177" t="s">
        <v>24393</v>
      </c>
      <c r="M5177" t="s">
        <v>24394</v>
      </c>
      <c r="P5177" t="s">
        <v>2738</v>
      </c>
      <c r="Q5177" t="s">
        <v>24395</v>
      </c>
      <c r="V5177" t="s">
        <v>24396</v>
      </c>
      <c r="Y5177" t="s">
        <v>24397</v>
      </c>
    </row>
    <row r="5178" spans="1:25" x14ac:dyDescent="0.25">
      <c r="A5178" t="str">
        <f>"5879707940"</f>
        <v>5879707940</v>
      </c>
      <c r="B5178" t="s">
        <v>624</v>
      </c>
      <c r="C5178" t="s">
        <v>24400</v>
      </c>
      <c r="D5178" t="s">
        <v>24398</v>
      </c>
      <c r="F5178" t="s">
        <v>1</v>
      </c>
      <c r="G5178" t="s">
        <v>2</v>
      </c>
      <c r="H5178" t="s">
        <v>24399</v>
      </c>
      <c r="P5178" t="s">
        <v>14729</v>
      </c>
      <c r="Y5178" t="s">
        <v>16742</v>
      </c>
    </row>
    <row r="5179" spans="1:25" x14ac:dyDescent="0.25">
      <c r="A5179" t="str">
        <f>"5946708834"</f>
        <v>5946708834</v>
      </c>
      <c r="B5179" t="s">
        <v>96</v>
      </c>
      <c r="C5179" t="s">
        <v>24401</v>
      </c>
      <c r="D5179" t="s">
        <v>24401</v>
      </c>
      <c r="E5179">
        <v>424020</v>
      </c>
      <c r="F5179" t="s">
        <v>1</v>
      </c>
      <c r="G5179" t="s">
        <v>2</v>
      </c>
      <c r="H5179" t="s">
        <v>24402</v>
      </c>
      <c r="Y5179" t="s">
        <v>24403</v>
      </c>
    </row>
    <row r="5180" spans="1:25" x14ac:dyDescent="0.25">
      <c r="A5180" t="str">
        <f>"5976115787"</f>
        <v>5976115787</v>
      </c>
      <c r="B5180" t="s">
        <v>574</v>
      </c>
      <c r="C5180" t="s">
        <v>24405</v>
      </c>
      <c r="D5180" t="s">
        <v>24404</v>
      </c>
      <c r="E5180">
        <v>424005</v>
      </c>
      <c r="F5180" t="s">
        <v>1</v>
      </c>
      <c r="G5180" t="s">
        <v>2</v>
      </c>
      <c r="H5180" t="s">
        <v>7480</v>
      </c>
      <c r="Y5180" t="s">
        <v>24406</v>
      </c>
    </row>
    <row r="5181" spans="1:25" x14ac:dyDescent="0.25">
      <c r="A5181" t="str">
        <f>"5977919145"</f>
        <v>5977919145</v>
      </c>
      <c r="B5181" t="s">
        <v>25</v>
      </c>
      <c r="C5181" t="s">
        <v>24410</v>
      </c>
      <c r="D5181" t="s">
        <v>5236</v>
      </c>
      <c r="E5181">
        <v>424019</v>
      </c>
      <c r="F5181" t="s">
        <v>1</v>
      </c>
      <c r="G5181" t="s">
        <v>2</v>
      </c>
      <c r="H5181" t="s">
        <v>24407</v>
      </c>
      <c r="I5181" t="s">
        <v>24408</v>
      </c>
      <c r="L5181" t="s">
        <v>5239</v>
      </c>
      <c r="M5181" t="s">
        <v>24409</v>
      </c>
      <c r="Y5181" t="s">
        <v>24411</v>
      </c>
    </row>
    <row r="5182" spans="1:25" x14ac:dyDescent="0.25">
      <c r="A5182" t="str">
        <f>"5987683841"</f>
        <v>5987683841</v>
      </c>
      <c r="B5182" t="s">
        <v>519</v>
      </c>
      <c r="C5182" t="s">
        <v>24414</v>
      </c>
      <c r="D5182" t="s">
        <v>24412</v>
      </c>
      <c r="E5182">
        <v>424006</v>
      </c>
      <c r="F5182" t="s">
        <v>1</v>
      </c>
      <c r="G5182" t="s">
        <v>2</v>
      </c>
      <c r="H5182" t="s">
        <v>478</v>
      </c>
      <c r="J5182" t="s">
        <v>24413</v>
      </c>
      <c r="P5182" t="s">
        <v>24415</v>
      </c>
      <c r="Y5182" t="s">
        <v>926</v>
      </c>
    </row>
    <row r="5183" spans="1:25" x14ac:dyDescent="0.25">
      <c r="A5183" t="str">
        <f>"5990542729"</f>
        <v>5990542729</v>
      </c>
      <c r="B5183" t="s">
        <v>233</v>
      </c>
      <c r="C5183" t="s">
        <v>24418</v>
      </c>
      <c r="D5183" t="s">
        <v>24416</v>
      </c>
      <c r="E5183">
        <v>424004</v>
      </c>
      <c r="F5183" t="s">
        <v>1</v>
      </c>
      <c r="G5183" t="s">
        <v>2</v>
      </c>
      <c r="H5183" t="s">
        <v>186</v>
      </c>
      <c r="I5183" t="s">
        <v>24417</v>
      </c>
      <c r="P5183" t="s">
        <v>280</v>
      </c>
      <c r="Y5183" t="s">
        <v>190</v>
      </c>
    </row>
    <row r="5184" spans="1:25" x14ac:dyDescent="0.25">
      <c r="A5184" t="str">
        <f>"6028110691"</f>
        <v>6028110691</v>
      </c>
      <c r="B5184" t="s">
        <v>18</v>
      </c>
      <c r="C5184" t="s">
        <v>24420</v>
      </c>
      <c r="D5184" t="s">
        <v>1815</v>
      </c>
      <c r="E5184">
        <v>424040</v>
      </c>
      <c r="F5184" t="s">
        <v>1</v>
      </c>
      <c r="G5184" t="s">
        <v>2</v>
      </c>
      <c r="H5184" t="s">
        <v>7989</v>
      </c>
      <c r="I5184" t="s">
        <v>24419</v>
      </c>
      <c r="P5184" t="s">
        <v>1404</v>
      </c>
      <c r="Y5184" t="s">
        <v>11906</v>
      </c>
    </row>
    <row r="5185" spans="1:25" x14ac:dyDescent="0.25">
      <c r="A5185" t="str">
        <f>"6049817449"</f>
        <v>6049817449</v>
      </c>
      <c r="B5185" t="s">
        <v>18</v>
      </c>
      <c r="C5185" t="s">
        <v>24423</v>
      </c>
      <c r="D5185" t="s">
        <v>24421</v>
      </c>
      <c r="E5185">
        <v>424000</v>
      </c>
      <c r="F5185" t="s">
        <v>1</v>
      </c>
      <c r="G5185" t="s">
        <v>2</v>
      </c>
      <c r="H5185" t="s">
        <v>164</v>
      </c>
      <c r="J5185" t="s">
        <v>24422</v>
      </c>
      <c r="P5185" t="s">
        <v>24424</v>
      </c>
      <c r="Y5185" t="s">
        <v>24425</v>
      </c>
    </row>
    <row r="5186" spans="1:25" x14ac:dyDescent="0.25">
      <c r="A5186" t="str">
        <f>"6109469108"</f>
        <v>6109469108</v>
      </c>
      <c r="B5186" t="s">
        <v>574</v>
      </c>
      <c r="C5186" t="s">
        <v>24427</v>
      </c>
      <c r="D5186" t="s">
        <v>24426</v>
      </c>
      <c r="E5186">
        <v>424036</v>
      </c>
      <c r="F5186" t="s">
        <v>1</v>
      </c>
      <c r="G5186" t="s">
        <v>2</v>
      </c>
      <c r="H5186" t="s">
        <v>7812</v>
      </c>
      <c r="Y5186" t="s">
        <v>24428</v>
      </c>
    </row>
    <row r="5187" spans="1:25" x14ac:dyDescent="0.25">
      <c r="A5187" t="str">
        <f>"6112889852"</f>
        <v>6112889852</v>
      </c>
      <c r="B5187" t="s">
        <v>96</v>
      </c>
      <c r="C5187" t="s">
        <v>893</v>
      </c>
      <c r="D5187" t="s">
        <v>24429</v>
      </c>
      <c r="E5187">
        <v>424004</v>
      </c>
      <c r="F5187" t="s">
        <v>1</v>
      </c>
      <c r="G5187" t="s">
        <v>2</v>
      </c>
      <c r="H5187" t="s">
        <v>3266</v>
      </c>
      <c r="Y5187" t="s">
        <v>24430</v>
      </c>
    </row>
    <row r="5188" spans="1:25" x14ac:dyDescent="0.25">
      <c r="A5188" t="str">
        <f>"6119439949"</f>
        <v>6119439949</v>
      </c>
      <c r="B5188" t="s">
        <v>888</v>
      </c>
      <c r="C5188" t="s">
        <v>24435</v>
      </c>
      <c r="D5188" t="s">
        <v>24431</v>
      </c>
      <c r="E5188">
        <v>424006</v>
      </c>
      <c r="F5188" t="s">
        <v>1</v>
      </c>
      <c r="G5188" t="s">
        <v>2</v>
      </c>
      <c r="H5188" t="s">
        <v>4710</v>
      </c>
      <c r="I5188" t="s">
        <v>24432</v>
      </c>
      <c r="J5188" t="s">
        <v>24433</v>
      </c>
      <c r="M5188" t="s">
        <v>24434</v>
      </c>
      <c r="P5188" t="s">
        <v>13585</v>
      </c>
      <c r="Q5188" t="s">
        <v>13347</v>
      </c>
      <c r="V5188" t="s">
        <v>24436</v>
      </c>
      <c r="Y5188" t="s">
        <v>24437</v>
      </c>
    </row>
    <row r="5189" spans="1:25" x14ac:dyDescent="0.25">
      <c r="A5189" t="str">
        <f>"6121946742"</f>
        <v>6121946742</v>
      </c>
      <c r="B5189" t="s">
        <v>96</v>
      </c>
      <c r="C5189" t="s">
        <v>893</v>
      </c>
      <c r="D5189" t="s">
        <v>24438</v>
      </c>
      <c r="E5189">
        <v>424918</v>
      </c>
      <c r="F5189" t="s">
        <v>1</v>
      </c>
      <c r="G5189" t="s">
        <v>2</v>
      </c>
      <c r="H5189" t="s">
        <v>629</v>
      </c>
      <c r="P5189" t="s">
        <v>630</v>
      </c>
      <c r="Y5189" t="s">
        <v>24439</v>
      </c>
    </row>
    <row r="5190" spans="1:25" x14ac:dyDescent="0.25">
      <c r="A5190" t="str">
        <f>"6151986079"</f>
        <v>6151986079</v>
      </c>
      <c r="B5190" t="s">
        <v>96</v>
      </c>
      <c r="C5190" t="s">
        <v>24441</v>
      </c>
      <c r="D5190" t="s">
        <v>24440</v>
      </c>
      <c r="E5190">
        <v>424000</v>
      </c>
      <c r="F5190" t="s">
        <v>1</v>
      </c>
      <c r="G5190" t="s">
        <v>2</v>
      </c>
      <c r="H5190" t="s">
        <v>1531</v>
      </c>
      <c r="Y5190" t="s">
        <v>1707</v>
      </c>
    </row>
    <row r="5191" spans="1:25" x14ac:dyDescent="0.25">
      <c r="A5191" t="str">
        <f>"6219717977"</f>
        <v>6219717977</v>
      </c>
      <c r="B5191" t="s">
        <v>456</v>
      </c>
      <c r="C5191" t="s">
        <v>24446</v>
      </c>
      <c r="D5191" t="s">
        <v>24442</v>
      </c>
      <c r="E5191">
        <v>424026</v>
      </c>
      <c r="F5191" t="s">
        <v>1</v>
      </c>
      <c r="G5191" t="s">
        <v>2</v>
      </c>
      <c r="H5191" t="s">
        <v>7964</v>
      </c>
      <c r="I5191" t="s">
        <v>24443</v>
      </c>
      <c r="L5191" t="s">
        <v>24444</v>
      </c>
      <c r="M5191" t="s">
        <v>24445</v>
      </c>
      <c r="P5191" t="s">
        <v>330</v>
      </c>
      <c r="Y5191" t="s">
        <v>6422</v>
      </c>
    </row>
    <row r="5192" spans="1:25" x14ac:dyDescent="0.25">
      <c r="A5192" t="str">
        <f>"6248754148"</f>
        <v>6248754148</v>
      </c>
      <c r="B5192" t="s">
        <v>654</v>
      </c>
      <c r="C5192" t="s">
        <v>14448</v>
      </c>
      <c r="D5192" t="s">
        <v>24447</v>
      </c>
      <c r="E5192">
        <v>424019</v>
      </c>
      <c r="F5192" t="s">
        <v>1</v>
      </c>
      <c r="G5192" t="s">
        <v>2</v>
      </c>
      <c r="H5192" t="s">
        <v>9271</v>
      </c>
      <c r="Y5192" t="s">
        <v>24448</v>
      </c>
    </row>
    <row r="5193" spans="1:25" x14ac:dyDescent="0.25">
      <c r="A5193" t="str">
        <f>"6249500065"</f>
        <v>6249500065</v>
      </c>
      <c r="B5193" t="s">
        <v>1544</v>
      </c>
      <c r="C5193" t="s">
        <v>7974</v>
      </c>
      <c r="D5193" t="s">
        <v>24449</v>
      </c>
      <c r="E5193">
        <v>424028</v>
      </c>
      <c r="F5193" t="s">
        <v>1</v>
      </c>
      <c r="G5193" t="s">
        <v>2</v>
      </c>
      <c r="H5193" t="s">
        <v>1969</v>
      </c>
      <c r="Y5193" t="s">
        <v>24450</v>
      </c>
    </row>
    <row r="5194" spans="1:25" x14ac:dyDescent="0.25">
      <c r="A5194" t="str">
        <f>"6272068161"</f>
        <v>6272068161</v>
      </c>
      <c r="B5194" t="s">
        <v>96</v>
      </c>
      <c r="C5194" t="s">
        <v>8479</v>
      </c>
      <c r="D5194" t="s">
        <v>24451</v>
      </c>
      <c r="E5194">
        <v>424000</v>
      </c>
      <c r="F5194" t="s">
        <v>1</v>
      </c>
      <c r="G5194" t="s">
        <v>2</v>
      </c>
      <c r="H5194" t="s">
        <v>265</v>
      </c>
      <c r="J5194" t="s">
        <v>24452</v>
      </c>
      <c r="P5194" t="s">
        <v>941</v>
      </c>
      <c r="Y5194" t="s">
        <v>11205</v>
      </c>
    </row>
    <row r="5195" spans="1:25" x14ac:dyDescent="0.25">
      <c r="A5195" t="str">
        <f>"6273746188"</f>
        <v>6273746188</v>
      </c>
      <c r="B5195" t="s">
        <v>18</v>
      </c>
      <c r="C5195" t="s">
        <v>24458</v>
      </c>
      <c r="D5195" t="s">
        <v>24453</v>
      </c>
      <c r="E5195">
        <v>424031</v>
      </c>
      <c r="F5195" t="s">
        <v>1</v>
      </c>
      <c r="G5195" t="s">
        <v>2</v>
      </c>
      <c r="H5195" t="s">
        <v>812</v>
      </c>
      <c r="I5195" t="s">
        <v>24454</v>
      </c>
      <c r="J5195" t="s">
        <v>24455</v>
      </c>
      <c r="L5195" t="s">
        <v>24456</v>
      </c>
      <c r="M5195" t="s">
        <v>24457</v>
      </c>
      <c r="P5195" t="s">
        <v>1232</v>
      </c>
      <c r="Q5195" t="s">
        <v>24459</v>
      </c>
      <c r="V5195" t="s">
        <v>24460</v>
      </c>
      <c r="Y5195" t="s">
        <v>24461</v>
      </c>
    </row>
    <row r="5196" spans="1:25" x14ac:dyDescent="0.25">
      <c r="A5196" t="str">
        <f>"6291842237"</f>
        <v>6291842237</v>
      </c>
      <c r="B5196" t="s">
        <v>1046</v>
      </c>
      <c r="C5196" t="s">
        <v>22946</v>
      </c>
      <c r="D5196" t="s">
        <v>22946</v>
      </c>
      <c r="E5196">
        <v>424002</v>
      </c>
      <c r="F5196" t="s">
        <v>1</v>
      </c>
      <c r="G5196" t="s">
        <v>2</v>
      </c>
      <c r="H5196" t="s">
        <v>24462</v>
      </c>
      <c r="Y5196" t="s">
        <v>24463</v>
      </c>
    </row>
    <row r="5197" spans="1:25" x14ac:dyDescent="0.25">
      <c r="A5197" t="str">
        <f>"6309986456"</f>
        <v>6309986456</v>
      </c>
      <c r="B5197" t="s">
        <v>1343</v>
      </c>
      <c r="C5197" t="s">
        <v>10464</v>
      </c>
      <c r="D5197" t="s">
        <v>24319</v>
      </c>
      <c r="E5197">
        <v>424028</v>
      </c>
      <c r="F5197" t="s">
        <v>1</v>
      </c>
      <c r="G5197" t="s">
        <v>2</v>
      </c>
      <c r="H5197" t="s">
        <v>3359</v>
      </c>
      <c r="Y5197" t="s">
        <v>24464</v>
      </c>
    </row>
    <row r="5198" spans="1:25" x14ac:dyDescent="0.25">
      <c r="A5198" t="str">
        <f>"6327357078"</f>
        <v>6327357078</v>
      </c>
      <c r="B5198" t="s">
        <v>96</v>
      </c>
      <c r="C5198" t="s">
        <v>695</v>
      </c>
      <c r="D5198" t="s">
        <v>24312</v>
      </c>
      <c r="E5198">
        <v>424007</v>
      </c>
      <c r="F5198" t="s">
        <v>1</v>
      </c>
      <c r="G5198" t="s">
        <v>2</v>
      </c>
      <c r="H5198" t="s">
        <v>5281</v>
      </c>
      <c r="J5198" t="s">
        <v>24465</v>
      </c>
      <c r="P5198" t="s">
        <v>1404</v>
      </c>
      <c r="Y5198" t="s">
        <v>16121</v>
      </c>
    </row>
    <row r="5199" spans="1:25" x14ac:dyDescent="0.25">
      <c r="A5199" t="str">
        <f>"6346179646"</f>
        <v>6346179646</v>
      </c>
      <c r="B5199" t="s">
        <v>25</v>
      </c>
      <c r="C5199" t="s">
        <v>13425</v>
      </c>
      <c r="D5199" t="s">
        <v>13425</v>
      </c>
      <c r="E5199">
        <v>424020</v>
      </c>
      <c r="F5199" t="s">
        <v>1</v>
      </c>
      <c r="G5199" t="s">
        <v>2</v>
      </c>
      <c r="H5199" t="s">
        <v>23</v>
      </c>
      <c r="Y5199" t="s">
        <v>6162</v>
      </c>
    </row>
    <row r="5200" spans="1:25" x14ac:dyDescent="0.25">
      <c r="A5200" t="str">
        <f>"6361423122"</f>
        <v>6361423122</v>
      </c>
      <c r="B5200" t="s">
        <v>24468</v>
      </c>
      <c r="C5200" t="s">
        <v>24469</v>
      </c>
      <c r="D5200" t="s">
        <v>24466</v>
      </c>
      <c r="E5200">
        <v>424002</v>
      </c>
      <c r="F5200" t="s">
        <v>1</v>
      </c>
      <c r="G5200" t="s">
        <v>2</v>
      </c>
      <c r="H5200" t="s">
        <v>6344</v>
      </c>
      <c r="J5200" t="s">
        <v>24467</v>
      </c>
      <c r="P5200" t="s">
        <v>24470</v>
      </c>
      <c r="Y5200" t="s">
        <v>24471</v>
      </c>
    </row>
    <row r="5201" spans="1:25" x14ac:dyDescent="0.25">
      <c r="A5201" t="str">
        <f>"6364206001"</f>
        <v>6364206001</v>
      </c>
      <c r="B5201" t="s">
        <v>32</v>
      </c>
      <c r="C5201" t="s">
        <v>20137</v>
      </c>
      <c r="D5201" t="s">
        <v>24472</v>
      </c>
      <c r="E5201">
        <v>424003</v>
      </c>
      <c r="F5201" t="s">
        <v>1</v>
      </c>
      <c r="G5201" t="s">
        <v>2</v>
      </c>
      <c r="H5201" t="s">
        <v>2465</v>
      </c>
      <c r="J5201" t="s">
        <v>24473</v>
      </c>
      <c r="P5201" t="s">
        <v>133</v>
      </c>
      <c r="Q5201" t="s">
        <v>24474</v>
      </c>
      <c r="V5201" t="s">
        <v>24475</v>
      </c>
      <c r="Y5201" t="s">
        <v>24476</v>
      </c>
    </row>
    <row r="5202" spans="1:25" x14ac:dyDescent="0.25">
      <c r="A5202" t="str">
        <f>"6391187338"</f>
        <v>6391187338</v>
      </c>
      <c r="B5202" t="s">
        <v>1152</v>
      </c>
      <c r="C5202" t="s">
        <v>1385</v>
      </c>
      <c r="D5202" t="s">
        <v>24477</v>
      </c>
      <c r="E5202">
        <v>424031</v>
      </c>
      <c r="F5202" t="s">
        <v>1</v>
      </c>
      <c r="G5202" t="s">
        <v>2</v>
      </c>
      <c r="H5202" t="s">
        <v>413</v>
      </c>
      <c r="J5202" t="s">
        <v>24478</v>
      </c>
      <c r="P5202" t="s">
        <v>3321</v>
      </c>
      <c r="Y5202" t="s">
        <v>1421</v>
      </c>
    </row>
    <row r="5203" spans="1:25" x14ac:dyDescent="0.25">
      <c r="A5203" t="str">
        <f>"6446960203"</f>
        <v>6446960203</v>
      </c>
      <c r="B5203" t="s">
        <v>88</v>
      </c>
      <c r="C5203" t="s">
        <v>6066</v>
      </c>
      <c r="D5203" t="s">
        <v>24479</v>
      </c>
      <c r="E5203">
        <v>424000</v>
      </c>
      <c r="F5203" t="s">
        <v>1</v>
      </c>
      <c r="G5203" t="s">
        <v>2</v>
      </c>
      <c r="H5203" t="s">
        <v>937</v>
      </c>
      <c r="Y5203" t="s">
        <v>24480</v>
      </c>
    </row>
    <row r="5204" spans="1:25" x14ac:dyDescent="0.25">
      <c r="A5204" t="str">
        <f>"6456592818"</f>
        <v>6456592818</v>
      </c>
      <c r="B5204" t="s">
        <v>456</v>
      </c>
      <c r="C5204" t="s">
        <v>24484</v>
      </c>
      <c r="D5204" t="s">
        <v>24481</v>
      </c>
      <c r="E5204">
        <v>424000</v>
      </c>
      <c r="F5204" t="s">
        <v>1</v>
      </c>
      <c r="G5204" t="s">
        <v>2</v>
      </c>
      <c r="H5204" t="s">
        <v>8365</v>
      </c>
      <c r="J5204" t="s">
        <v>24482</v>
      </c>
      <c r="L5204" t="s">
        <v>13369</v>
      </c>
      <c r="M5204" t="s">
        <v>24483</v>
      </c>
      <c r="P5204" t="s">
        <v>27</v>
      </c>
      <c r="Q5204" t="s">
        <v>24485</v>
      </c>
      <c r="U5204" t="s">
        <v>24486</v>
      </c>
      <c r="V5204" t="s">
        <v>24487</v>
      </c>
      <c r="Y5204" t="s">
        <v>8369</v>
      </c>
    </row>
    <row r="5205" spans="1:25" x14ac:dyDescent="0.25">
      <c r="A5205" t="str">
        <f>"6457183579"</f>
        <v>6457183579</v>
      </c>
      <c r="B5205" t="s">
        <v>574</v>
      </c>
      <c r="C5205" t="s">
        <v>9802</v>
      </c>
      <c r="D5205" t="s">
        <v>24488</v>
      </c>
      <c r="E5205">
        <v>424002</v>
      </c>
      <c r="F5205" t="s">
        <v>1</v>
      </c>
      <c r="G5205" t="s">
        <v>2</v>
      </c>
      <c r="H5205" t="s">
        <v>24489</v>
      </c>
      <c r="Y5205" t="s">
        <v>24490</v>
      </c>
    </row>
    <row r="5206" spans="1:25" x14ac:dyDescent="0.25">
      <c r="A5206" t="str">
        <f>"6465531871"</f>
        <v>6465531871</v>
      </c>
      <c r="B5206" t="s">
        <v>930</v>
      </c>
      <c r="C5206" t="s">
        <v>1096</v>
      </c>
      <c r="D5206" t="s">
        <v>24491</v>
      </c>
      <c r="F5206" t="s">
        <v>1</v>
      </c>
      <c r="G5206" t="s">
        <v>2</v>
      </c>
      <c r="H5206" t="s">
        <v>7547</v>
      </c>
      <c r="I5206" t="s">
        <v>24492</v>
      </c>
      <c r="J5206" t="s">
        <v>24493</v>
      </c>
      <c r="P5206" t="s">
        <v>1027</v>
      </c>
      <c r="Y5206" t="s">
        <v>24494</v>
      </c>
    </row>
    <row r="5207" spans="1:25" x14ac:dyDescent="0.25">
      <c r="A5207" t="str">
        <f>"6469456463"</f>
        <v>6469456463</v>
      </c>
      <c r="B5207" t="s">
        <v>18</v>
      </c>
      <c r="C5207" t="s">
        <v>24496</v>
      </c>
      <c r="D5207" t="s">
        <v>12281</v>
      </c>
      <c r="E5207">
        <v>424002</v>
      </c>
      <c r="F5207" t="s">
        <v>1</v>
      </c>
      <c r="G5207" t="s">
        <v>2</v>
      </c>
      <c r="H5207" t="s">
        <v>662</v>
      </c>
      <c r="I5207" t="s">
        <v>24495</v>
      </c>
      <c r="P5207" t="s">
        <v>1160</v>
      </c>
      <c r="Y5207" t="s">
        <v>24497</v>
      </c>
    </row>
    <row r="5208" spans="1:25" x14ac:dyDescent="0.25">
      <c r="A5208" t="str">
        <f>"6473599909"</f>
        <v>6473599909</v>
      </c>
      <c r="B5208" t="s">
        <v>574</v>
      </c>
      <c r="C5208" t="s">
        <v>646</v>
      </c>
      <c r="D5208" t="s">
        <v>4221</v>
      </c>
      <c r="E5208">
        <v>424007</v>
      </c>
      <c r="F5208" t="s">
        <v>1</v>
      </c>
      <c r="G5208" t="s">
        <v>2</v>
      </c>
      <c r="H5208" t="s">
        <v>24498</v>
      </c>
      <c r="Y5208" t="s">
        <v>24499</v>
      </c>
    </row>
    <row r="5209" spans="1:25" x14ac:dyDescent="0.25">
      <c r="A5209" t="str">
        <f>"6477806010"</f>
        <v>6477806010</v>
      </c>
      <c r="B5209" t="s">
        <v>1544</v>
      </c>
      <c r="C5209" t="s">
        <v>7974</v>
      </c>
      <c r="D5209" t="s">
        <v>24500</v>
      </c>
      <c r="F5209" t="s">
        <v>1</v>
      </c>
      <c r="G5209" t="s">
        <v>2</v>
      </c>
      <c r="H5209" t="s">
        <v>17767</v>
      </c>
      <c r="Y5209" t="s">
        <v>24501</v>
      </c>
    </row>
    <row r="5210" spans="1:25" x14ac:dyDescent="0.25">
      <c r="A5210" t="str">
        <f>"6518528526"</f>
        <v>6518528526</v>
      </c>
      <c r="B5210" t="s">
        <v>574</v>
      </c>
      <c r="C5210" t="s">
        <v>646</v>
      </c>
      <c r="D5210" t="s">
        <v>24502</v>
      </c>
      <c r="E5210">
        <v>424028</v>
      </c>
      <c r="F5210" t="s">
        <v>1</v>
      </c>
      <c r="G5210" t="s">
        <v>2</v>
      </c>
      <c r="H5210" t="s">
        <v>24503</v>
      </c>
      <c r="J5210" t="s">
        <v>24504</v>
      </c>
      <c r="P5210" t="s">
        <v>330</v>
      </c>
      <c r="Y5210" t="s">
        <v>22102</v>
      </c>
    </row>
    <row r="5211" spans="1:25" x14ac:dyDescent="0.25">
      <c r="A5211" t="str">
        <f>"6533439776"</f>
        <v>6533439776</v>
      </c>
      <c r="B5211" t="s">
        <v>1573</v>
      </c>
      <c r="C5211" t="s">
        <v>24508</v>
      </c>
      <c r="D5211" t="s">
        <v>24505</v>
      </c>
      <c r="E5211">
        <v>424033</v>
      </c>
      <c r="F5211" t="s">
        <v>1</v>
      </c>
      <c r="G5211" t="s">
        <v>2</v>
      </c>
      <c r="H5211" t="s">
        <v>10720</v>
      </c>
      <c r="I5211" t="s">
        <v>24506</v>
      </c>
      <c r="J5211" t="s">
        <v>24507</v>
      </c>
      <c r="P5211" t="s">
        <v>14017</v>
      </c>
      <c r="Y5211" t="s">
        <v>24509</v>
      </c>
    </row>
    <row r="5212" spans="1:25" x14ac:dyDescent="0.25">
      <c r="A5212" t="str">
        <f>"6559765443"</f>
        <v>6559765443</v>
      </c>
      <c r="B5212" t="s">
        <v>574</v>
      </c>
      <c r="C5212" t="s">
        <v>14269</v>
      </c>
      <c r="D5212" t="s">
        <v>24510</v>
      </c>
      <c r="F5212" t="s">
        <v>1</v>
      </c>
      <c r="G5212" t="s">
        <v>2</v>
      </c>
      <c r="H5212" t="s">
        <v>24511</v>
      </c>
      <c r="P5212" t="s">
        <v>24512</v>
      </c>
      <c r="Y5212" t="s">
        <v>24513</v>
      </c>
    </row>
    <row r="5213" spans="1:25" x14ac:dyDescent="0.25">
      <c r="A5213" t="str">
        <f>"6564364234"</f>
        <v>6564364234</v>
      </c>
      <c r="B5213" t="s">
        <v>790</v>
      </c>
      <c r="C5213" t="s">
        <v>4583</v>
      </c>
      <c r="D5213" t="s">
        <v>24514</v>
      </c>
      <c r="E5213">
        <v>424038</v>
      </c>
      <c r="F5213" t="s">
        <v>1</v>
      </c>
      <c r="G5213" t="s">
        <v>2</v>
      </c>
      <c r="H5213" t="s">
        <v>7597</v>
      </c>
      <c r="I5213" t="s">
        <v>24515</v>
      </c>
      <c r="J5213" t="s">
        <v>24516</v>
      </c>
      <c r="P5213" t="s">
        <v>1642</v>
      </c>
      <c r="Q5213" t="s">
        <v>24517</v>
      </c>
      <c r="V5213" t="s">
        <v>24518</v>
      </c>
      <c r="Y5213" t="s">
        <v>24519</v>
      </c>
    </row>
    <row r="5214" spans="1:25" x14ac:dyDescent="0.25">
      <c r="A5214" t="str">
        <f>"6565029235"</f>
        <v>6565029235</v>
      </c>
      <c r="B5214" t="s">
        <v>738</v>
      </c>
      <c r="C5214" t="s">
        <v>13603</v>
      </c>
      <c r="D5214" t="s">
        <v>24520</v>
      </c>
      <c r="F5214" t="s">
        <v>1</v>
      </c>
      <c r="G5214" t="s">
        <v>2</v>
      </c>
      <c r="H5214" t="s">
        <v>19499</v>
      </c>
      <c r="P5214" t="s">
        <v>144</v>
      </c>
      <c r="Y5214" t="s">
        <v>24521</v>
      </c>
    </row>
    <row r="5215" spans="1:25" x14ac:dyDescent="0.25">
      <c r="A5215" t="str">
        <f>"6615453054"</f>
        <v>6615453054</v>
      </c>
      <c r="B5215" t="s">
        <v>1053</v>
      </c>
      <c r="C5215" t="s">
        <v>1927</v>
      </c>
      <c r="D5215" t="s">
        <v>24522</v>
      </c>
      <c r="E5215">
        <v>424004</v>
      </c>
      <c r="F5215" t="s">
        <v>1</v>
      </c>
      <c r="G5215" t="s">
        <v>2</v>
      </c>
      <c r="H5215" t="s">
        <v>24523</v>
      </c>
      <c r="J5215" t="s">
        <v>24524</v>
      </c>
      <c r="K5215" t="s">
        <v>24525</v>
      </c>
      <c r="P5215" t="s">
        <v>24526</v>
      </c>
      <c r="Y5215" t="s">
        <v>3841</v>
      </c>
    </row>
    <row r="5216" spans="1:25" x14ac:dyDescent="0.25">
      <c r="A5216" t="str">
        <f>"6626936563"</f>
        <v>6626936563</v>
      </c>
      <c r="B5216" t="s">
        <v>654</v>
      </c>
      <c r="C5216" t="s">
        <v>2195</v>
      </c>
      <c r="D5216" t="s">
        <v>24527</v>
      </c>
      <c r="E5216">
        <v>424002</v>
      </c>
      <c r="F5216" t="s">
        <v>1</v>
      </c>
      <c r="G5216" t="s">
        <v>2</v>
      </c>
      <c r="H5216" t="s">
        <v>5041</v>
      </c>
      <c r="P5216" t="s">
        <v>27</v>
      </c>
      <c r="Y5216" t="s">
        <v>24528</v>
      </c>
    </row>
    <row r="5217" spans="1:25" x14ac:dyDescent="0.25">
      <c r="A5217" t="str">
        <f>"6631387570"</f>
        <v>6631387570</v>
      </c>
      <c r="B5217" t="s">
        <v>151</v>
      </c>
      <c r="C5217" t="s">
        <v>24533</v>
      </c>
      <c r="D5217" t="s">
        <v>24529</v>
      </c>
      <c r="F5217" t="s">
        <v>1</v>
      </c>
      <c r="G5217" t="s">
        <v>2</v>
      </c>
      <c r="H5217" t="s">
        <v>1600</v>
      </c>
      <c r="J5217" t="s">
        <v>24530</v>
      </c>
      <c r="L5217" t="s">
        <v>24531</v>
      </c>
      <c r="M5217" t="s">
        <v>24532</v>
      </c>
      <c r="P5217" t="s">
        <v>2738</v>
      </c>
      <c r="Y5217" t="s">
        <v>2417</v>
      </c>
    </row>
    <row r="5218" spans="1:25" x14ac:dyDescent="0.25">
      <c r="A5218" t="str">
        <f>"6633379698"</f>
        <v>6633379698</v>
      </c>
      <c r="B5218" t="s">
        <v>738</v>
      </c>
      <c r="C5218" t="s">
        <v>24535</v>
      </c>
      <c r="D5218" t="s">
        <v>13207</v>
      </c>
      <c r="E5218">
        <v>424016</v>
      </c>
      <c r="F5218" t="s">
        <v>1</v>
      </c>
      <c r="G5218" t="s">
        <v>2</v>
      </c>
      <c r="H5218" t="s">
        <v>5561</v>
      </c>
      <c r="J5218" t="s">
        <v>24534</v>
      </c>
      <c r="P5218" t="s">
        <v>410</v>
      </c>
      <c r="Y5218" t="s">
        <v>24536</v>
      </c>
    </row>
    <row r="5219" spans="1:25" x14ac:dyDescent="0.25">
      <c r="A5219" t="str">
        <f>"6642476765"</f>
        <v>6642476765</v>
      </c>
      <c r="B5219" t="s">
        <v>176</v>
      </c>
      <c r="C5219" t="s">
        <v>566</v>
      </c>
      <c r="D5219" t="s">
        <v>24537</v>
      </c>
      <c r="E5219">
        <v>424006</v>
      </c>
      <c r="F5219" t="s">
        <v>1</v>
      </c>
      <c r="G5219" t="s">
        <v>2</v>
      </c>
      <c r="H5219" t="s">
        <v>6133</v>
      </c>
      <c r="P5219" t="s">
        <v>8945</v>
      </c>
      <c r="Y5219" t="s">
        <v>24538</v>
      </c>
    </row>
    <row r="5220" spans="1:25" x14ac:dyDescent="0.25">
      <c r="A5220" t="str">
        <f>"6648009576"</f>
        <v>6648009576</v>
      </c>
      <c r="B5220" t="s">
        <v>88</v>
      </c>
      <c r="C5220" t="s">
        <v>6066</v>
      </c>
      <c r="D5220" t="s">
        <v>24539</v>
      </c>
      <c r="E5220">
        <v>424001</v>
      </c>
      <c r="F5220" t="s">
        <v>1</v>
      </c>
      <c r="G5220" t="s">
        <v>2</v>
      </c>
      <c r="H5220" t="s">
        <v>919</v>
      </c>
      <c r="I5220" t="s">
        <v>3641</v>
      </c>
      <c r="J5220" t="s">
        <v>3642</v>
      </c>
      <c r="P5220" t="s">
        <v>27</v>
      </c>
      <c r="Y5220" t="s">
        <v>923</v>
      </c>
    </row>
    <row r="5221" spans="1:25" x14ac:dyDescent="0.25">
      <c r="A5221" t="str">
        <f>"6668964887"</f>
        <v>6668964887</v>
      </c>
      <c r="B5221" t="s">
        <v>18</v>
      </c>
      <c r="C5221" t="s">
        <v>1070</v>
      </c>
      <c r="D5221" t="s">
        <v>24540</v>
      </c>
      <c r="E5221">
        <v>424016</v>
      </c>
      <c r="F5221" t="s">
        <v>1</v>
      </c>
      <c r="G5221" t="s">
        <v>2</v>
      </c>
      <c r="H5221" t="s">
        <v>5561</v>
      </c>
      <c r="J5221" t="s">
        <v>1067</v>
      </c>
      <c r="L5221" t="s">
        <v>1068</v>
      </c>
      <c r="M5221" t="s">
        <v>24541</v>
      </c>
      <c r="P5221" t="s">
        <v>1071</v>
      </c>
      <c r="Y5221" t="s">
        <v>5567</v>
      </c>
    </row>
    <row r="5222" spans="1:25" x14ac:dyDescent="0.25">
      <c r="A5222" t="str">
        <f>"6712805793"</f>
        <v>6712805793</v>
      </c>
      <c r="B5222" t="s">
        <v>290</v>
      </c>
      <c r="C5222" t="s">
        <v>24546</v>
      </c>
      <c r="D5222" t="s">
        <v>24542</v>
      </c>
      <c r="E5222">
        <v>424006</v>
      </c>
      <c r="F5222" t="s">
        <v>1</v>
      </c>
      <c r="G5222" t="s">
        <v>2</v>
      </c>
      <c r="H5222" t="s">
        <v>10019</v>
      </c>
      <c r="I5222" t="s">
        <v>24543</v>
      </c>
      <c r="L5222" t="s">
        <v>24544</v>
      </c>
      <c r="M5222" t="s">
        <v>24545</v>
      </c>
      <c r="P5222" t="s">
        <v>8361</v>
      </c>
      <c r="Q5222" t="s">
        <v>24547</v>
      </c>
      <c r="V5222" t="s">
        <v>24548</v>
      </c>
      <c r="Y5222" t="s">
        <v>24549</v>
      </c>
    </row>
    <row r="5223" spans="1:25" x14ac:dyDescent="0.25">
      <c r="A5223" t="str">
        <f>"6716926693"</f>
        <v>6716926693</v>
      </c>
      <c r="B5223" t="s">
        <v>574</v>
      </c>
      <c r="C5223" t="s">
        <v>952</v>
      </c>
      <c r="D5223" t="s">
        <v>3388</v>
      </c>
      <c r="E5223">
        <v>424000</v>
      </c>
      <c r="F5223" t="s">
        <v>1</v>
      </c>
      <c r="G5223" t="s">
        <v>2</v>
      </c>
      <c r="H5223" t="s">
        <v>2202</v>
      </c>
      <c r="P5223" t="s">
        <v>9840</v>
      </c>
      <c r="Y5223" t="s">
        <v>24550</v>
      </c>
    </row>
    <row r="5224" spans="1:25" x14ac:dyDescent="0.25">
      <c r="A5224" t="str">
        <f>"6720967241"</f>
        <v>6720967241</v>
      </c>
      <c r="B5224" t="s">
        <v>1544</v>
      </c>
      <c r="C5224" t="s">
        <v>24552</v>
      </c>
      <c r="D5224" t="s">
        <v>24551</v>
      </c>
      <c r="E5224">
        <v>424004</v>
      </c>
      <c r="F5224" t="s">
        <v>1</v>
      </c>
      <c r="G5224" t="s">
        <v>2</v>
      </c>
      <c r="H5224" t="s">
        <v>3817</v>
      </c>
      <c r="P5224" t="s">
        <v>24553</v>
      </c>
      <c r="Q5224" t="s">
        <v>24554</v>
      </c>
      <c r="V5224" t="s">
        <v>24555</v>
      </c>
      <c r="Y5224" t="s">
        <v>24556</v>
      </c>
    </row>
    <row r="5225" spans="1:25" x14ac:dyDescent="0.25">
      <c r="A5225" t="str">
        <f>"6723801676"</f>
        <v>6723801676</v>
      </c>
      <c r="B5225" t="s">
        <v>348</v>
      </c>
      <c r="C5225" t="s">
        <v>12325</v>
      </c>
      <c r="D5225" t="s">
        <v>24557</v>
      </c>
      <c r="E5225">
        <v>424019</v>
      </c>
      <c r="F5225" t="s">
        <v>1</v>
      </c>
      <c r="G5225" t="s">
        <v>2</v>
      </c>
      <c r="H5225" t="s">
        <v>1467</v>
      </c>
      <c r="I5225" t="s">
        <v>24558</v>
      </c>
      <c r="J5225" t="s">
        <v>24559</v>
      </c>
      <c r="L5225" t="s">
        <v>24560</v>
      </c>
      <c r="M5225" t="s">
        <v>24561</v>
      </c>
      <c r="P5225" t="s">
        <v>12743</v>
      </c>
      <c r="Q5225" t="s">
        <v>24562</v>
      </c>
      <c r="Y5225" t="s">
        <v>1630</v>
      </c>
    </row>
    <row r="5226" spans="1:25" x14ac:dyDescent="0.25">
      <c r="A5226" t="str">
        <f>"6827526265"</f>
        <v>6827526265</v>
      </c>
      <c r="B5226" t="s">
        <v>25</v>
      </c>
      <c r="C5226" t="s">
        <v>4458</v>
      </c>
      <c r="D5226" t="s">
        <v>24563</v>
      </c>
      <c r="F5226" t="s">
        <v>1</v>
      </c>
      <c r="G5226" t="s">
        <v>2</v>
      </c>
      <c r="H5226" t="s">
        <v>5546</v>
      </c>
      <c r="I5226" t="s">
        <v>7706</v>
      </c>
      <c r="P5226" t="s">
        <v>4179</v>
      </c>
      <c r="Y5226" t="s">
        <v>7707</v>
      </c>
    </row>
    <row r="5227" spans="1:25" x14ac:dyDescent="0.25">
      <c r="A5227" t="str">
        <f>"6835792117"</f>
        <v>6835792117</v>
      </c>
      <c r="B5227" t="s">
        <v>430</v>
      </c>
      <c r="C5227" t="s">
        <v>24566</v>
      </c>
      <c r="D5227" t="s">
        <v>24564</v>
      </c>
      <c r="E5227">
        <v>424020</v>
      </c>
      <c r="F5227" t="s">
        <v>1</v>
      </c>
      <c r="G5227" t="s">
        <v>2</v>
      </c>
      <c r="H5227" t="s">
        <v>1837</v>
      </c>
      <c r="J5227" t="s">
        <v>24565</v>
      </c>
      <c r="P5227" t="s">
        <v>5084</v>
      </c>
      <c r="Y5227" t="s">
        <v>24567</v>
      </c>
    </row>
    <row r="5228" spans="1:25" x14ac:dyDescent="0.25">
      <c r="A5228" t="str">
        <f>"6871861796"</f>
        <v>6871861796</v>
      </c>
      <c r="B5228" t="s">
        <v>188</v>
      </c>
      <c r="C5228" t="s">
        <v>24568</v>
      </c>
      <c r="D5228" t="s">
        <v>24568</v>
      </c>
      <c r="F5228" t="s">
        <v>1</v>
      </c>
      <c r="G5228" t="s">
        <v>2</v>
      </c>
      <c r="H5228" t="s">
        <v>17767</v>
      </c>
      <c r="Y5228" t="s">
        <v>24569</v>
      </c>
    </row>
    <row r="5229" spans="1:25" x14ac:dyDescent="0.25">
      <c r="A5229" t="str">
        <f>"6900984332"</f>
        <v>6900984332</v>
      </c>
      <c r="B5229" t="s">
        <v>290</v>
      </c>
      <c r="C5229" t="s">
        <v>11603</v>
      </c>
      <c r="D5229" t="s">
        <v>24570</v>
      </c>
      <c r="F5229" t="s">
        <v>1</v>
      </c>
      <c r="G5229" t="s">
        <v>2</v>
      </c>
      <c r="H5229" t="s">
        <v>24571</v>
      </c>
      <c r="J5229" t="s">
        <v>24572</v>
      </c>
      <c r="P5229" t="s">
        <v>1027</v>
      </c>
      <c r="Y5229" t="s">
        <v>24573</v>
      </c>
    </row>
    <row r="5230" spans="1:25" x14ac:dyDescent="0.25">
      <c r="A5230" t="str">
        <f>"6910811028"</f>
        <v>6910811028</v>
      </c>
      <c r="B5230" t="s">
        <v>348</v>
      </c>
      <c r="C5230" t="s">
        <v>4366</v>
      </c>
      <c r="D5230" t="s">
        <v>21762</v>
      </c>
      <c r="E5230">
        <v>424019</v>
      </c>
      <c r="F5230" t="s">
        <v>1</v>
      </c>
      <c r="G5230" t="s">
        <v>2</v>
      </c>
      <c r="H5230" t="s">
        <v>15506</v>
      </c>
      <c r="J5230" t="s">
        <v>24574</v>
      </c>
      <c r="P5230" t="s">
        <v>941</v>
      </c>
      <c r="Y5230" t="s">
        <v>24575</v>
      </c>
    </row>
    <row r="5231" spans="1:25" x14ac:dyDescent="0.25">
      <c r="A5231" t="str">
        <f>"6922637966"</f>
        <v>6922637966</v>
      </c>
      <c r="B5231" t="s">
        <v>96</v>
      </c>
      <c r="C5231" t="s">
        <v>8808</v>
      </c>
      <c r="D5231" t="s">
        <v>24576</v>
      </c>
      <c r="E5231">
        <v>424002</v>
      </c>
      <c r="F5231" t="s">
        <v>1</v>
      </c>
      <c r="G5231" t="s">
        <v>2</v>
      </c>
      <c r="H5231" t="s">
        <v>3864</v>
      </c>
      <c r="J5231" t="s">
        <v>24577</v>
      </c>
      <c r="P5231" t="s">
        <v>144</v>
      </c>
      <c r="Y5231" t="s">
        <v>3867</v>
      </c>
    </row>
    <row r="5232" spans="1:25" x14ac:dyDescent="0.25">
      <c r="A5232" t="str">
        <f>"7019319149"</f>
        <v>7019319149</v>
      </c>
      <c r="B5232" t="s">
        <v>553</v>
      </c>
      <c r="C5232" t="s">
        <v>554</v>
      </c>
      <c r="D5232" t="s">
        <v>24578</v>
      </c>
      <c r="E5232">
        <v>424004</v>
      </c>
      <c r="F5232" t="s">
        <v>1</v>
      </c>
      <c r="G5232" t="s">
        <v>2</v>
      </c>
      <c r="H5232" t="s">
        <v>2589</v>
      </c>
      <c r="I5232" t="s">
        <v>24579</v>
      </c>
      <c r="P5232" t="s">
        <v>152</v>
      </c>
      <c r="Y5232" t="s">
        <v>2595</v>
      </c>
    </row>
    <row r="5233" spans="1:25" x14ac:dyDescent="0.25">
      <c r="A5233" t="str">
        <f>"7129421720"</f>
        <v>7129421720</v>
      </c>
      <c r="B5233" t="s">
        <v>1475</v>
      </c>
      <c r="C5233" t="s">
        <v>1476</v>
      </c>
      <c r="D5233" t="s">
        <v>24580</v>
      </c>
      <c r="E5233">
        <v>424038</v>
      </c>
      <c r="F5233" t="s">
        <v>1</v>
      </c>
      <c r="G5233" t="s">
        <v>2</v>
      </c>
      <c r="H5233" t="s">
        <v>23978</v>
      </c>
      <c r="Y5233" t="s">
        <v>24581</v>
      </c>
    </row>
    <row r="5234" spans="1:25" x14ac:dyDescent="0.25">
      <c r="A5234" t="str">
        <f>"7155823427"</f>
        <v>7155823427</v>
      </c>
      <c r="B5234" t="s">
        <v>1552</v>
      </c>
      <c r="C5234" t="s">
        <v>24585</v>
      </c>
      <c r="D5234" t="s">
        <v>24582</v>
      </c>
      <c r="E5234">
        <v>424006</v>
      </c>
      <c r="F5234" t="s">
        <v>1</v>
      </c>
      <c r="G5234" t="s">
        <v>2</v>
      </c>
      <c r="H5234" t="s">
        <v>24583</v>
      </c>
      <c r="I5234" t="s">
        <v>23565</v>
      </c>
      <c r="J5234" t="s">
        <v>24584</v>
      </c>
      <c r="L5234" t="s">
        <v>7672</v>
      </c>
      <c r="M5234" t="s">
        <v>7673</v>
      </c>
      <c r="P5234" t="s">
        <v>2580</v>
      </c>
      <c r="Y5234" t="s">
        <v>24586</v>
      </c>
    </row>
    <row r="5235" spans="1:25" x14ac:dyDescent="0.25">
      <c r="A5235" t="str">
        <f>"7171192111"</f>
        <v>7171192111</v>
      </c>
      <c r="B5235" t="s">
        <v>18</v>
      </c>
      <c r="C5235" t="s">
        <v>143</v>
      </c>
      <c r="D5235" t="s">
        <v>17876</v>
      </c>
      <c r="E5235">
        <v>424032</v>
      </c>
      <c r="F5235" t="s">
        <v>1</v>
      </c>
      <c r="G5235" t="s">
        <v>2</v>
      </c>
      <c r="H5235" t="s">
        <v>5699</v>
      </c>
      <c r="J5235" t="s">
        <v>24587</v>
      </c>
      <c r="P5235" t="s">
        <v>2050</v>
      </c>
      <c r="Y5235" t="s">
        <v>5709</v>
      </c>
    </row>
    <row r="5236" spans="1:25" x14ac:dyDescent="0.25">
      <c r="A5236" t="str">
        <f>"7186824715"</f>
        <v>7186824715</v>
      </c>
      <c r="B5236" t="s">
        <v>151</v>
      </c>
      <c r="C5236" t="s">
        <v>1034</v>
      </c>
      <c r="D5236" t="s">
        <v>24588</v>
      </c>
      <c r="F5236" t="s">
        <v>1</v>
      </c>
      <c r="G5236" t="s">
        <v>2</v>
      </c>
      <c r="H5236" t="s">
        <v>757</v>
      </c>
      <c r="J5236" t="s">
        <v>24589</v>
      </c>
      <c r="P5236" t="s">
        <v>4848</v>
      </c>
      <c r="Y5236" t="s">
        <v>24590</v>
      </c>
    </row>
    <row r="5237" spans="1:25" x14ac:dyDescent="0.25">
      <c r="A5237" t="str">
        <f>"7217979713"</f>
        <v>7217979713</v>
      </c>
      <c r="B5237" t="s">
        <v>624</v>
      </c>
      <c r="C5237" t="s">
        <v>24593</v>
      </c>
      <c r="D5237" t="s">
        <v>24591</v>
      </c>
      <c r="F5237" t="s">
        <v>1</v>
      </c>
      <c r="G5237" t="s">
        <v>2</v>
      </c>
      <c r="H5237" t="s">
        <v>21719</v>
      </c>
      <c r="I5237" t="s">
        <v>24592</v>
      </c>
      <c r="P5237" t="s">
        <v>2951</v>
      </c>
      <c r="Y5237" t="s">
        <v>24594</v>
      </c>
    </row>
    <row r="5238" spans="1:25" x14ac:dyDescent="0.25">
      <c r="A5238" t="str">
        <f>"7218198890"</f>
        <v>7218198890</v>
      </c>
      <c r="B5238" t="s">
        <v>88</v>
      </c>
      <c r="C5238" t="s">
        <v>6066</v>
      </c>
      <c r="D5238" t="s">
        <v>24595</v>
      </c>
      <c r="E5238">
        <v>424000</v>
      </c>
      <c r="F5238" t="s">
        <v>1</v>
      </c>
      <c r="G5238" t="s">
        <v>2</v>
      </c>
      <c r="H5238" t="s">
        <v>2671</v>
      </c>
      <c r="Y5238" t="s">
        <v>24596</v>
      </c>
    </row>
    <row r="5239" spans="1:25" x14ac:dyDescent="0.25">
      <c r="A5239" t="str">
        <f>"7251352756"</f>
        <v>7251352756</v>
      </c>
      <c r="B5239" t="s">
        <v>32</v>
      </c>
      <c r="C5239" t="s">
        <v>182</v>
      </c>
      <c r="D5239" t="s">
        <v>11181</v>
      </c>
      <c r="E5239">
        <v>424019</v>
      </c>
      <c r="F5239" t="s">
        <v>1</v>
      </c>
      <c r="G5239" t="s">
        <v>2</v>
      </c>
      <c r="H5239" t="s">
        <v>24597</v>
      </c>
      <c r="Y5239" t="s">
        <v>24598</v>
      </c>
    </row>
    <row r="5240" spans="1:25" x14ac:dyDescent="0.25">
      <c r="A5240" t="str">
        <f>"7272315730"</f>
        <v>7272315730</v>
      </c>
      <c r="B5240" t="s">
        <v>110</v>
      </c>
      <c r="C5240" t="s">
        <v>24601</v>
      </c>
      <c r="D5240" t="s">
        <v>24599</v>
      </c>
      <c r="F5240" t="s">
        <v>1</v>
      </c>
      <c r="G5240" t="s">
        <v>2</v>
      </c>
      <c r="H5240" t="s">
        <v>21391</v>
      </c>
      <c r="J5240" t="s">
        <v>24600</v>
      </c>
      <c r="P5240" t="s">
        <v>9533</v>
      </c>
      <c r="Y5240" t="s">
        <v>24602</v>
      </c>
    </row>
    <row r="5241" spans="1:25" x14ac:dyDescent="0.25">
      <c r="A5241" t="str">
        <f>"7284081455"</f>
        <v>7284081455</v>
      </c>
      <c r="B5241" t="s">
        <v>7312</v>
      </c>
      <c r="C5241" t="s">
        <v>9849</v>
      </c>
      <c r="D5241" t="s">
        <v>793</v>
      </c>
      <c r="E5241">
        <v>424006</v>
      </c>
      <c r="F5241" t="s">
        <v>1</v>
      </c>
      <c r="G5241" t="s">
        <v>2</v>
      </c>
      <c r="H5241" t="s">
        <v>15013</v>
      </c>
      <c r="P5241" t="s">
        <v>133</v>
      </c>
      <c r="Y5241" t="s">
        <v>24603</v>
      </c>
    </row>
    <row r="5242" spans="1:25" x14ac:dyDescent="0.25">
      <c r="A5242" t="str">
        <f>"7299142310"</f>
        <v>7299142310</v>
      </c>
      <c r="B5242" t="s">
        <v>574</v>
      </c>
      <c r="C5242" t="s">
        <v>24608</v>
      </c>
      <c r="D5242" t="s">
        <v>24604</v>
      </c>
      <c r="E5242">
        <v>424033</v>
      </c>
      <c r="F5242" t="s">
        <v>1</v>
      </c>
      <c r="G5242" t="s">
        <v>2</v>
      </c>
      <c r="H5242" t="s">
        <v>1782</v>
      </c>
      <c r="I5242" t="s">
        <v>24605</v>
      </c>
      <c r="L5242" t="s">
        <v>24606</v>
      </c>
      <c r="M5242" t="s">
        <v>24607</v>
      </c>
      <c r="Y5242" t="s">
        <v>24609</v>
      </c>
    </row>
    <row r="5243" spans="1:25" x14ac:dyDescent="0.25">
      <c r="A5243" t="str">
        <f>"7303351725"</f>
        <v>7303351725</v>
      </c>
      <c r="B5243" t="s">
        <v>96</v>
      </c>
      <c r="C5243" t="s">
        <v>659</v>
      </c>
      <c r="D5243" t="s">
        <v>24610</v>
      </c>
      <c r="E5243">
        <v>424918</v>
      </c>
      <c r="F5243" t="s">
        <v>1</v>
      </c>
      <c r="G5243" t="s">
        <v>2</v>
      </c>
      <c r="H5243" t="s">
        <v>629</v>
      </c>
      <c r="P5243" t="s">
        <v>630</v>
      </c>
      <c r="Y5243" t="s">
        <v>24611</v>
      </c>
    </row>
    <row r="5244" spans="1:25" x14ac:dyDescent="0.25">
      <c r="A5244" t="str">
        <f>"7304591468"</f>
        <v>7304591468</v>
      </c>
      <c r="B5244" t="s">
        <v>123</v>
      </c>
      <c r="C5244" t="s">
        <v>424</v>
      </c>
      <c r="D5244" t="s">
        <v>24612</v>
      </c>
      <c r="E5244">
        <v>424004</v>
      </c>
      <c r="F5244" t="s">
        <v>1</v>
      </c>
      <c r="G5244" t="s">
        <v>2</v>
      </c>
      <c r="H5244" t="s">
        <v>7422</v>
      </c>
      <c r="I5244" t="s">
        <v>24613</v>
      </c>
      <c r="L5244" t="s">
        <v>7424</v>
      </c>
      <c r="M5244" t="s">
        <v>7425</v>
      </c>
      <c r="P5244" t="s">
        <v>3039</v>
      </c>
      <c r="Y5244" t="s">
        <v>24614</v>
      </c>
    </row>
    <row r="5245" spans="1:25" x14ac:dyDescent="0.25">
      <c r="A5245" t="str">
        <f>"7315390040"</f>
        <v>7315390040</v>
      </c>
      <c r="B5245" t="s">
        <v>530</v>
      </c>
      <c r="C5245" t="s">
        <v>23950</v>
      </c>
      <c r="D5245" t="s">
        <v>23950</v>
      </c>
      <c r="E5245">
        <v>424002</v>
      </c>
      <c r="F5245" t="s">
        <v>1</v>
      </c>
      <c r="G5245" t="s">
        <v>2</v>
      </c>
      <c r="H5245" t="s">
        <v>2047</v>
      </c>
      <c r="Y5245" t="s">
        <v>24615</v>
      </c>
    </row>
    <row r="5246" spans="1:25" x14ac:dyDescent="0.25">
      <c r="A5246" t="str">
        <f>"7347620418"</f>
        <v>7347620418</v>
      </c>
      <c r="B5246" t="s">
        <v>1552</v>
      </c>
      <c r="C5246" t="s">
        <v>5112</v>
      </c>
      <c r="D5246" t="s">
        <v>24616</v>
      </c>
      <c r="E5246">
        <v>424000</v>
      </c>
      <c r="F5246" t="s">
        <v>1</v>
      </c>
      <c r="G5246" t="s">
        <v>2</v>
      </c>
      <c r="H5246" t="s">
        <v>24617</v>
      </c>
      <c r="P5246" t="s">
        <v>20874</v>
      </c>
      <c r="Y5246" t="s">
        <v>24618</v>
      </c>
    </row>
    <row r="5247" spans="1:25" x14ac:dyDescent="0.25">
      <c r="A5247" t="str">
        <f>"7360719143"</f>
        <v>7360719143</v>
      </c>
      <c r="B5247" t="s">
        <v>1262</v>
      </c>
      <c r="C5247" t="s">
        <v>3214</v>
      </c>
      <c r="D5247" t="s">
        <v>24619</v>
      </c>
      <c r="E5247">
        <v>424032</v>
      </c>
      <c r="F5247" t="s">
        <v>1</v>
      </c>
      <c r="G5247" t="s">
        <v>2</v>
      </c>
      <c r="H5247" t="s">
        <v>4808</v>
      </c>
      <c r="Y5247" t="s">
        <v>4812</v>
      </c>
    </row>
    <row r="5248" spans="1:25" x14ac:dyDescent="0.25">
      <c r="A5248" t="str">
        <f>"7408319884"</f>
        <v>7408319884</v>
      </c>
      <c r="B5248" t="s">
        <v>1152</v>
      </c>
      <c r="C5248" t="s">
        <v>9448</v>
      </c>
      <c r="D5248" t="s">
        <v>24620</v>
      </c>
      <c r="E5248">
        <v>424037</v>
      </c>
      <c r="F5248" t="s">
        <v>1</v>
      </c>
      <c r="G5248" t="s">
        <v>2</v>
      </c>
      <c r="H5248" t="s">
        <v>3765</v>
      </c>
      <c r="I5248" t="s">
        <v>24621</v>
      </c>
      <c r="J5248" t="s">
        <v>24622</v>
      </c>
      <c r="L5248" t="s">
        <v>24623</v>
      </c>
      <c r="M5248" t="s">
        <v>24624</v>
      </c>
      <c r="P5248" t="s">
        <v>2738</v>
      </c>
      <c r="Q5248" t="s">
        <v>24625</v>
      </c>
      <c r="T5248" t="s">
        <v>24626</v>
      </c>
      <c r="V5248" t="s">
        <v>24627</v>
      </c>
      <c r="Y5248" t="s">
        <v>24628</v>
      </c>
    </row>
    <row r="5249" spans="1:25" x14ac:dyDescent="0.25">
      <c r="A5249" t="str">
        <f>"7443955486"</f>
        <v>7443955486</v>
      </c>
      <c r="B5249" t="s">
        <v>397</v>
      </c>
      <c r="C5249" t="s">
        <v>5148</v>
      </c>
      <c r="D5249" t="s">
        <v>24629</v>
      </c>
      <c r="E5249">
        <v>424036</v>
      </c>
      <c r="F5249" t="s">
        <v>1</v>
      </c>
      <c r="G5249" t="s">
        <v>2</v>
      </c>
      <c r="H5249" t="s">
        <v>5317</v>
      </c>
      <c r="I5249" t="s">
        <v>24630</v>
      </c>
      <c r="P5249" t="s">
        <v>24631</v>
      </c>
      <c r="Y5249" t="s">
        <v>24632</v>
      </c>
    </row>
    <row r="5250" spans="1:25" x14ac:dyDescent="0.25">
      <c r="A5250" t="str">
        <f>"7469936759"</f>
        <v>7469936759</v>
      </c>
      <c r="B5250" t="s">
        <v>2104</v>
      </c>
      <c r="C5250" t="s">
        <v>11739</v>
      </c>
      <c r="D5250" t="s">
        <v>24633</v>
      </c>
      <c r="E5250">
        <v>424019</v>
      </c>
      <c r="F5250" t="s">
        <v>1</v>
      </c>
      <c r="G5250" t="s">
        <v>2</v>
      </c>
      <c r="H5250" t="s">
        <v>1801</v>
      </c>
      <c r="J5250" t="s">
        <v>24634</v>
      </c>
      <c r="Y5250" t="s">
        <v>1804</v>
      </c>
    </row>
    <row r="5251" spans="1:25" x14ac:dyDescent="0.25">
      <c r="A5251" t="str">
        <f>"7565885473"</f>
        <v>7565885473</v>
      </c>
      <c r="B5251" t="s">
        <v>96</v>
      </c>
      <c r="C5251" t="s">
        <v>659</v>
      </c>
      <c r="D5251" t="s">
        <v>24635</v>
      </c>
      <c r="E5251">
        <v>424918</v>
      </c>
      <c r="F5251" t="s">
        <v>1</v>
      </c>
      <c r="G5251" t="s">
        <v>2</v>
      </c>
      <c r="H5251" t="s">
        <v>629</v>
      </c>
      <c r="P5251" t="s">
        <v>630</v>
      </c>
      <c r="Y5251" t="s">
        <v>24636</v>
      </c>
    </row>
    <row r="5252" spans="1:25" x14ac:dyDescent="0.25">
      <c r="A5252" t="str">
        <f>"7582395821"</f>
        <v>7582395821</v>
      </c>
      <c r="B5252" t="s">
        <v>188</v>
      </c>
      <c r="C5252" t="s">
        <v>8311</v>
      </c>
      <c r="D5252" t="s">
        <v>22566</v>
      </c>
      <c r="E5252">
        <v>424003</v>
      </c>
      <c r="F5252" t="s">
        <v>1</v>
      </c>
      <c r="G5252" t="s">
        <v>2</v>
      </c>
      <c r="H5252" t="s">
        <v>8472</v>
      </c>
      <c r="J5252" t="s">
        <v>24637</v>
      </c>
      <c r="P5252" t="s">
        <v>24638</v>
      </c>
      <c r="Y5252" t="s">
        <v>24639</v>
      </c>
    </row>
    <row r="5253" spans="1:25" x14ac:dyDescent="0.25">
      <c r="A5253" t="str">
        <f>"7603811107"</f>
        <v>7603811107</v>
      </c>
      <c r="B5253" t="s">
        <v>151</v>
      </c>
      <c r="C5253" t="s">
        <v>23690</v>
      </c>
      <c r="D5253" t="s">
        <v>24640</v>
      </c>
      <c r="E5253">
        <v>424004</v>
      </c>
      <c r="F5253" t="s">
        <v>1</v>
      </c>
      <c r="G5253" t="s">
        <v>2</v>
      </c>
      <c r="H5253" t="s">
        <v>17461</v>
      </c>
      <c r="Y5253" t="s">
        <v>24641</v>
      </c>
    </row>
    <row r="5254" spans="1:25" x14ac:dyDescent="0.25">
      <c r="A5254" t="str">
        <f>"7626493402"</f>
        <v>7626493402</v>
      </c>
      <c r="B5254" t="s">
        <v>3544</v>
      </c>
      <c r="C5254" t="s">
        <v>24644</v>
      </c>
      <c r="D5254" t="s">
        <v>24642</v>
      </c>
      <c r="F5254" t="s">
        <v>1</v>
      </c>
      <c r="G5254" t="s">
        <v>2</v>
      </c>
      <c r="H5254" t="s">
        <v>3711</v>
      </c>
      <c r="J5254" t="s">
        <v>24643</v>
      </c>
      <c r="P5254" t="s">
        <v>280</v>
      </c>
      <c r="Y5254" t="s">
        <v>3715</v>
      </c>
    </row>
    <row r="5255" spans="1:25" x14ac:dyDescent="0.25">
      <c r="A5255" t="str">
        <f>"7720733609"</f>
        <v>7720733609</v>
      </c>
      <c r="B5255" t="s">
        <v>176</v>
      </c>
      <c r="C5255" t="s">
        <v>250</v>
      </c>
      <c r="D5255" t="s">
        <v>24645</v>
      </c>
      <c r="E5255">
        <v>424003</v>
      </c>
      <c r="F5255" t="s">
        <v>1</v>
      </c>
      <c r="G5255" t="s">
        <v>2</v>
      </c>
      <c r="H5255" t="s">
        <v>3647</v>
      </c>
      <c r="Y5255" t="s">
        <v>24646</v>
      </c>
    </row>
    <row r="5256" spans="1:25" x14ac:dyDescent="0.25">
      <c r="A5256" t="str">
        <f>"7741447770"</f>
        <v>7741447770</v>
      </c>
      <c r="B5256" t="s">
        <v>3008</v>
      </c>
      <c r="C5256" t="s">
        <v>24649</v>
      </c>
      <c r="D5256" t="s">
        <v>24647</v>
      </c>
      <c r="E5256">
        <v>424033</v>
      </c>
      <c r="F5256" t="s">
        <v>1</v>
      </c>
      <c r="G5256" t="s">
        <v>2</v>
      </c>
      <c r="H5256" t="s">
        <v>4225</v>
      </c>
      <c r="J5256" t="s">
        <v>24648</v>
      </c>
      <c r="P5256" t="s">
        <v>7436</v>
      </c>
      <c r="Y5256" t="s">
        <v>24650</v>
      </c>
    </row>
    <row r="5257" spans="1:25" x14ac:dyDescent="0.25">
      <c r="A5257" t="str">
        <f>"7766168594"</f>
        <v>7766168594</v>
      </c>
      <c r="B5257" t="s">
        <v>530</v>
      </c>
      <c r="C5257" t="s">
        <v>23950</v>
      </c>
      <c r="D5257" t="s">
        <v>23950</v>
      </c>
      <c r="F5257" t="s">
        <v>1</v>
      </c>
      <c r="G5257" t="s">
        <v>2</v>
      </c>
      <c r="H5257" t="s">
        <v>24651</v>
      </c>
      <c r="Y5257" t="s">
        <v>24652</v>
      </c>
    </row>
    <row r="5258" spans="1:25" x14ac:dyDescent="0.25">
      <c r="A5258" t="str">
        <f>"7773299754"</f>
        <v>7773299754</v>
      </c>
      <c r="B5258" t="s">
        <v>530</v>
      </c>
      <c r="C5258" t="s">
        <v>5046</v>
      </c>
      <c r="D5258" t="s">
        <v>24653</v>
      </c>
      <c r="E5258">
        <v>424004</v>
      </c>
      <c r="F5258" t="s">
        <v>1</v>
      </c>
      <c r="G5258" t="s">
        <v>2</v>
      </c>
      <c r="H5258" t="s">
        <v>24654</v>
      </c>
      <c r="J5258" t="s">
        <v>24655</v>
      </c>
      <c r="Y5258" t="s">
        <v>1593</v>
      </c>
    </row>
    <row r="5259" spans="1:25" x14ac:dyDescent="0.25">
      <c r="A5259" t="str">
        <f>"7803947478"</f>
        <v>7803947478</v>
      </c>
      <c r="B5259" t="s">
        <v>96</v>
      </c>
      <c r="C5259" t="s">
        <v>893</v>
      </c>
      <c r="D5259" t="s">
        <v>24656</v>
      </c>
      <c r="E5259">
        <v>424038</v>
      </c>
      <c r="F5259" t="s">
        <v>1</v>
      </c>
      <c r="G5259" t="s">
        <v>2</v>
      </c>
      <c r="H5259" t="s">
        <v>7597</v>
      </c>
      <c r="P5259" t="s">
        <v>1642</v>
      </c>
      <c r="Y5259" t="s">
        <v>16150</v>
      </c>
    </row>
    <row r="5260" spans="1:25" x14ac:dyDescent="0.25">
      <c r="A5260" t="str">
        <f>"7808541504"</f>
        <v>7808541504</v>
      </c>
      <c r="B5260" t="s">
        <v>640</v>
      </c>
      <c r="C5260" t="s">
        <v>24659</v>
      </c>
      <c r="D5260" t="s">
        <v>24657</v>
      </c>
      <c r="E5260">
        <v>424000</v>
      </c>
      <c r="F5260" t="s">
        <v>1</v>
      </c>
      <c r="G5260" t="s">
        <v>2</v>
      </c>
      <c r="H5260" t="s">
        <v>128</v>
      </c>
      <c r="I5260" t="s">
        <v>24658</v>
      </c>
      <c r="P5260" t="s">
        <v>24660</v>
      </c>
      <c r="Y5260" t="s">
        <v>5640</v>
      </c>
    </row>
    <row r="5261" spans="1:25" x14ac:dyDescent="0.25">
      <c r="A5261" t="str">
        <f>"7812436660"</f>
        <v>7812436660</v>
      </c>
      <c r="B5261" t="s">
        <v>25</v>
      </c>
      <c r="C5261" t="s">
        <v>4458</v>
      </c>
      <c r="D5261" t="s">
        <v>24661</v>
      </c>
      <c r="E5261">
        <v>424004</v>
      </c>
      <c r="F5261" t="s">
        <v>1</v>
      </c>
      <c r="G5261" t="s">
        <v>2</v>
      </c>
      <c r="H5261" t="s">
        <v>186</v>
      </c>
      <c r="Y5261" t="s">
        <v>190</v>
      </c>
    </row>
    <row r="5262" spans="1:25" x14ac:dyDescent="0.25">
      <c r="A5262" t="str">
        <f>"7816952897"</f>
        <v>7816952897</v>
      </c>
      <c r="B5262" t="s">
        <v>18</v>
      </c>
      <c r="C5262" t="s">
        <v>24668</v>
      </c>
      <c r="D5262" t="s">
        <v>24662</v>
      </c>
      <c r="E5262">
        <v>424007</v>
      </c>
      <c r="F5262" t="s">
        <v>1</v>
      </c>
      <c r="G5262" t="s">
        <v>2</v>
      </c>
      <c r="H5262" t="s">
        <v>24663</v>
      </c>
      <c r="I5262" t="s">
        <v>24664</v>
      </c>
      <c r="J5262" t="s">
        <v>24665</v>
      </c>
      <c r="L5262" t="s">
        <v>24666</v>
      </c>
      <c r="M5262" t="s">
        <v>24667</v>
      </c>
      <c r="Y5262" t="s">
        <v>24669</v>
      </c>
    </row>
    <row r="5263" spans="1:25" x14ac:dyDescent="0.25">
      <c r="A5263" t="str">
        <f>"7839478592"</f>
        <v>7839478592</v>
      </c>
      <c r="B5263" t="s">
        <v>530</v>
      </c>
      <c r="C5263" t="s">
        <v>23950</v>
      </c>
      <c r="D5263" t="s">
        <v>23950</v>
      </c>
      <c r="F5263" t="s">
        <v>1</v>
      </c>
      <c r="G5263" t="s">
        <v>2</v>
      </c>
      <c r="H5263" t="s">
        <v>24670</v>
      </c>
      <c r="Y5263" t="s">
        <v>24671</v>
      </c>
    </row>
    <row r="5264" spans="1:25" x14ac:dyDescent="0.25">
      <c r="A5264" t="str">
        <f>"7874543123"</f>
        <v>7874543123</v>
      </c>
      <c r="B5264" t="s">
        <v>243</v>
      </c>
      <c r="C5264" t="s">
        <v>244</v>
      </c>
      <c r="D5264" t="s">
        <v>24672</v>
      </c>
      <c r="E5264">
        <v>424004</v>
      </c>
      <c r="F5264" t="s">
        <v>1</v>
      </c>
      <c r="G5264" t="s">
        <v>2</v>
      </c>
      <c r="H5264" t="s">
        <v>906</v>
      </c>
      <c r="I5264" t="s">
        <v>24673</v>
      </c>
      <c r="J5264" t="s">
        <v>24674</v>
      </c>
      <c r="L5264" t="s">
        <v>24675</v>
      </c>
      <c r="M5264" t="s">
        <v>24676</v>
      </c>
      <c r="P5264" t="s">
        <v>27</v>
      </c>
      <c r="Y5264" t="s">
        <v>7005</v>
      </c>
    </row>
    <row r="5265" spans="1:25" x14ac:dyDescent="0.25">
      <c r="A5265" t="str">
        <f>"7876990853"</f>
        <v>7876990853</v>
      </c>
      <c r="B5265" t="s">
        <v>2601</v>
      </c>
      <c r="C5265" t="s">
        <v>24678</v>
      </c>
      <c r="D5265" t="s">
        <v>24677</v>
      </c>
      <c r="E5265">
        <v>424031</v>
      </c>
      <c r="F5265" t="s">
        <v>1</v>
      </c>
      <c r="G5265" t="s">
        <v>2</v>
      </c>
      <c r="H5265" t="s">
        <v>16588</v>
      </c>
      <c r="Y5265" t="s">
        <v>24679</v>
      </c>
    </row>
    <row r="5266" spans="1:25" x14ac:dyDescent="0.25">
      <c r="A5266" t="str">
        <f>"7897822156"</f>
        <v>7897822156</v>
      </c>
      <c r="B5266" t="s">
        <v>188</v>
      </c>
      <c r="C5266" t="s">
        <v>23982</v>
      </c>
      <c r="D5266" t="s">
        <v>23982</v>
      </c>
      <c r="E5266">
        <v>424005</v>
      </c>
      <c r="F5266" t="s">
        <v>1</v>
      </c>
      <c r="G5266" t="s">
        <v>2</v>
      </c>
      <c r="H5266" t="s">
        <v>11368</v>
      </c>
      <c r="Y5266" t="s">
        <v>24680</v>
      </c>
    </row>
    <row r="5267" spans="1:25" x14ac:dyDescent="0.25">
      <c r="A5267" t="str">
        <f>"7925018982"</f>
        <v>7925018982</v>
      </c>
      <c r="B5267" t="s">
        <v>640</v>
      </c>
      <c r="C5267" t="s">
        <v>663</v>
      </c>
      <c r="D5267" t="s">
        <v>5646</v>
      </c>
      <c r="E5267">
        <v>424007</v>
      </c>
      <c r="F5267" t="s">
        <v>1</v>
      </c>
      <c r="G5267" t="s">
        <v>2</v>
      </c>
      <c r="H5267" t="s">
        <v>1992</v>
      </c>
      <c r="Y5267" t="s">
        <v>24681</v>
      </c>
    </row>
    <row r="5268" spans="1:25" x14ac:dyDescent="0.25">
      <c r="A5268" t="str">
        <f>"7926231988"</f>
        <v>7926231988</v>
      </c>
      <c r="B5268" t="s">
        <v>188</v>
      </c>
      <c r="C5268" t="s">
        <v>24568</v>
      </c>
      <c r="D5268" t="s">
        <v>24568</v>
      </c>
      <c r="E5268">
        <v>424003</v>
      </c>
      <c r="F5268" t="s">
        <v>1</v>
      </c>
      <c r="G5268" t="s">
        <v>2</v>
      </c>
      <c r="H5268" t="s">
        <v>24682</v>
      </c>
      <c r="Y5268" t="s">
        <v>24683</v>
      </c>
    </row>
    <row r="5269" spans="1:25" x14ac:dyDescent="0.25">
      <c r="A5269" t="str">
        <f>"7926795466"</f>
        <v>7926795466</v>
      </c>
      <c r="B5269" t="s">
        <v>319</v>
      </c>
      <c r="C5269" t="s">
        <v>320</v>
      </c>
      <c r="D5269" t="s">
        <v>320</v>
      </c>
      <c r="E5269">
        <v>424006</v>
      </c>
      <c r="F5269" t="s">
        <v>1</v>
      </c>
      <c r="G5269" t="s">
        <v>2</v>
      </c>
      <c r="H5269" t="s">
        <v>2042</v>
      </c>
      <c r="Y5269" t="s">
        <v>24684</v>
      </c>
    </row>
    <row r="5270" spans="1:25" x14ac:dyDescent="0.25">
      <c r="A5270" t="str">
        <f>"7991839098"</f>
        <v>7991839098</v>
      </c>
      <c r="B5270" t="s">
        <v>32</v>
      </c>
      <c r="C5270" t="s">
        <v>182</v>
      </c>
      <c r="D5270" t="s">
        <v>24685</v>
      </c>
      <c r="E5270">
        <v>424039</v>
      </c>
      <c r="F5270" t="s">
        <v>1</v>
      </c>
      <c r="G5270" t="s">
        <v>2</v>
      </c>
      <c r="H5270" t="s">
        <v>8694</v>
      </c>
      <c r="P5270" t="s">
        <v>24686</v>
      </c>
      <c r="Y5270" t="s">
        <v>12226</v>
      </c>
    </row>
    <row r="5271" spans="1:25" x14ac:dyDescent="0.25">
      <c r="A5271" t="str">
        <f>"8009734134"</f>
        <v>8009734134</v>
      </c>
      <c r="B5271" t="s">
        <v>80</v>
      </c>
      <c r="C5271" t="s">
        <v>12533</v>
      </c>
      <c r="D5271" t="s">
        <v>24687</v>
      </c>
      <c r="E5271">
        <v>424019</v>
      </c>
      <c r="F5271" t="s">
        <v>1</v>
      </c>
      <c r="G5271" t="s">
        <v>2</v>
      </c>
      <c r="H5271" t="s">
        <v>7643</v>
      </c>
      <c r="J5271" t="s">
        <v>24688</v>
      </c>
      <c r="L5271" t="s">
        <v>24689</v>
      </c>
      <c r="P5271" t="s">
        <v>24690</v>
      </c>
      <c r="Q5271" t="s">
        <v>24691</v>
      </c>
      <c r="Y5271" t="s">
        <v>24692</v>
      </c>
    </row>
    <row r="5272" spans="1:25" x14ac:dyDescent="0.25">
      <c r="A5272" t="str">
        <f>"8035018265"</f>
        <v>8035018265</v>
      </c>
      <c r="B5272" t="s">
        <v>574</v>
      </c>
      <c r="C5272" t="s">
        <v>23462</v>
      </c>
      <c r="D5272" t="s">
        <v>24693</v>
      </c>
      <c r="E5272">
        <v>424038</v>
      </c>
      <c r="F5272" t="s">
        <v>1</v>
      </c>
      <c r="G5272" t="s">
        <v>2</v>
      </c>
      <c r="H5272" t="s">
        <v>2855</v>
      </c>
      <c r="Y5272" t="s">
        <v>8933</v>
      </c>
    </row>
    <row r="5273" spans="1:25" x14ac:dyDescent="0.25">
      <c r="A5273" t="str">
        <f>"8038509801"</f>
        <v>8038509801</v>
      </c>
      <c r="B5273" t="s">
        <v>25</v>
      </c>
      <c r="C5273" t="s">
        <v>24410</v>
      </c>
      <c r="D5273" t="s">
        <v>24694</v>
      </c>
      <c r="F5273" t="s">
        <v>1</v>
      </c>
      <c r="G5273" t="s">
        <v>2</v>
      </c>
      <c r="H5273" t="s">
        <v>24695</v>
      </c>
      <c r="I5273" t="s">
        <v>24696</v>
      </c>
      <c r="L5273" t="s">
        <v>24697</v>
      </c>
      <c r="M5273" t="s">
        <v>24698</v>
      </c>
      <c r="Y5273" t="s">
        <v>24699</v>
      </c>
    </row>
    <row r="5274" spans="1:25" x14ac:dyDescent="0.25">
      <c r="A5274" t="str">
        <f>"8047532287"</f>
        <v>8047532287</v>
      </c>
      <c r="B5274" t="s">
        <v>640</v>
      </c>
      <c r="C5274" t="s">
        <v>24700</v>
      </c>
      <c r="D5274" t="s">
        <v>2854</v>
      </c>
      <c r="E5274">
        <v>424038</v>
      </c>
      <c r="F5274" t="s">
        <v>1</v>
      </c>
      <c r="G5274" t="s">
        <v>2</v>
      </c>
      <c r="H5274" t="s">
        <v>16988</v>
      </c>
      <c r="Y5274" t="s">
        <v>24701</v>
      </c>
    </row>
    <row r="5275" spans="1:25" x14ac:dyDescent="0.25">
      <c r="A5275" t="str">
        <f>"8053767273"</f>
        <v>8053767273</v>
      </c>
      <c r="B5275" t="s">
        <v>25</v>
      </c>
      <c r="C5275" t="s">
        <v>59</v>
      </c>
      <c r="D5275" t="s">
        <v>24702</v>
      </c>
      <c r="F5275" t="s">
        <v>1</v>
      </c>
      <c r="G5275" t="s">
        <v>2</v>
      </c>
      <c r="H5275" t="s">
        <v>24703</v>
      </c>
      <c r="Y5275" t="s">
        <v>24704</v>
      </c>
    </row>
    <row r="5276" spans="1:25" x14ac:dyDescent="0.25">
      <c r="A5276" t="str">
        <f>"8066573486"</f>
        <v>8066573486</v>
      </c>
      <c r="B5276" t="s">
        <v>530</v>
      </c>
      <c r="C5276" t="s">
        <v>23950</v>
      </c>
      <c r="D5276" t="s">
        <v>23950</v>
      </c>
      <c r="F5276" t="s">
        <v>1</v>
      </c>
      <c r="G5276" t="s">
        <v>2</v>
      </c>
      <c r="H5276" t="s">
        <v>24705</v>
      </c>
      <c r="Y5276" t="s">
        <v>24706</v>
      </c>
    </row>
    <row r="5277" spans="1:25" x14ac:dyDescent="0.25">
      <c r="A5277" t="str">
        <f>"8115258335"</f>
        <v>8115258335</v>
      </c>
      <c r="B5277" t="s">
        <v>1046</v>
      </c>
      <c r="C5277" t="s">
        <v>22946</v>
      </c>
      <c r="D5277" t="s">
        <v>22946</v>
      </c>
      <c r="E5277">
        <v>424033</v>
      </c>
      <c r="F5277" t="s">
        <v>1</v>
      </c>
      <c r="G5277" t="s">
        <v>2</v>
      </c>
      <c r="H5277" t="s">
        <v>24707</v>
      </c>
      <c r="Y5277" t="s">
        <v>24708</v>
      </c>
    </row>
    <row r="5278" spans="1:25" x14ac:dyDescent="0.25">
      <c r="A5278" t="str">
        <f>"8116584567"</f>
        <v>8116584567</v>
      </c>
      <c r="B5278" t="s">
        <v>18</v>
      </c>
      <c r="C5278" t="s">
        <v>12714</v>
      </c>
      <c r="D5278" t="s">
        <v>24709</v>
      </c>
      <c r="E5278">
        <v>424006</v>
      </c>
      <c r="F5278" t="s">
        <v>1</v>
      </c>
      <c r="G5278" t="s">
        <v>2</v>
      </c>
      <c r="H5278" t="s">
        <v>24710</v>
      </c>
      <c r="I5278" t="s">
        <v>24711</v>
      </c>
      <c r="L5278" t="s">
        <v>24712</v>
      </c>
      <c r="M5278" t="s">
        <v>24713</v>
      </c>
      <c r="P5278" t="s">
        <v>280</v>
      </c>
      <c r="Y5278" t="s">
        <v>24714</v>
      </c>
    </row>
    <row r="5279" spans="1:25" x14ac:dyDescent="0.25">
      <c r="A5279" t="str">
        <f>"8160882944"</f>
        <v>8160882944</v>
      </c>
      <c r="B5279" t="s">
        <v>930</v>
      </c>
      <c r="C5279" t="s">
        <v>927</v>
      </c>
      <c r="D5279" t="s">
        <v>927</v>
      </c>
      <c r="E5279">
        <v>424019</v>
      </c>
      <c r="F5279" t="s">
        <v>1</v>
      </c>
      <c r="G5279" t="s">
        <v>2</v>
      </c>
      <c r="H5279" t="s">
        <v>19488</v>
      </c>
      <c r="Y5279" t="s">
        <v>24715</v>
      </c>
    </row>
    <row r="5280" spans="1:25" x14ac:dyDescent="0.25">
      <c r="A5280" t="str">
        <f>"8163910348"</f>
        <v>8163910348</v>
      </c>
      <c r="B5280" t="s">
        <v>1152</v>
      </c>
      <c r="C5280" t="s">
        <v>1153</v>
      </c>
      <c r="D5280" t="s">
        <v>10280</v>
      </c>
      <c r="F5280" t="s">
        <v>1</v>
      </c>
      <c r="G5280" t="s">
        <v>2</v>
      </c>
      <c r="H5280" t="s">
        <v>24716</v>
      </c>
      <c r="I5280" t="s">
        <v>22092</v>
      </c>
      <c r="M5280" t="s">
        <v>10284</v>
      </c>
      <c r="P5280" t="s">
        <v>4006</v>
      </c>
      <c r="Q5280" t="s">
        <v>10286</v>
      </c>
      <c r="R5280" t="s">
        <v>10287</v>
      </c>
      <c r="S5280" t="s">
        <v>10288</v>
      </c>
      <c r="T5280" t="s">
        <v>10289</v>
      </c>
      <c r="U5280" t="s">
        <v>10290</v>
      </c>
      <c r="V5280" t="s">
        <v>10291</v>
      </c>
      <c r="Y5280" t="s">
        <v>24717</v>
      </c>
    </row>
    <row r="5281" spans="1:25" x14ac:dyDescent="0.25">
      <c r="A5281" t="str">
        <f>"8178394053"</f>
        <v>8178394053</v>
      </c>
      <c r="B5281" t="s">
        <v>1611</v>
      </c>
      <c r="C5281" t="s">
        <v>3218</v>
      </c>
      <c r="D5281" t="s">
        <v>24718</v>
      </c>
      <c r="E5281">
        <v>424031</v>
      </c>
      <c r="F5281" t="s">
        <v>1</v>
      </c>
      <c r="G5281" t="s">
        <v>2</v>
      </c>
      <c r="H5281" t="s">
        <v>20058</v>
      </c>
      <c r="I5281" t="s">
        <v>24719</v>
      </c>
      <c r="L5281" t="s">
        <v>3217</v>
      </c>
      <c r="P5281" t="s">
        <v>5396</v>
      </c>
      <c r="Y5281" t="s">
        <v>20062</v>
      </c>
    </row>
    <row r="5282" spans="1:25" x14ac:dyDescent="0.25">
      <c r="A5282" t="str">
        <f>"8218620813"</f>
        <v>8218620813</v>
      </c>
      <c r="B5282" t="s">
        <v>888</v>
      </c>
      <c r="C5282" t="s">
        <v>18803</v>
      </c>
      <c r="D5282" t="s">
        <v>24720</v>
      </c>
      <c r="E5282">
        <v>424007</v>
      </c>
      <c r="F5282" t="s">
        <v>1</v>
      </c>
      <c r="G5282" t="s">
        <v>2</v>
      </c>
      <c r="H5282" t="s">
        <v>4869</v>
      </c>
      <c r="I5282" t="s">
        <v>24721</v>
      </c>
      <c r="J5282" t="s">
        <v>24722</v>
      </c>
      <c r="L5282" t="s">
        <v>24723</v>
      </c>
      <c r="M5282" t="s">
        <v>24724</v>
      </c>
      <c r="P5282" t="s">
        <v>2050</v>
      </c>
      <c r="Y5282" t="s">
        <v>5759</v>
      </c>
    </row>
    <row r="5283" spans="1:25" x14ac:dyDescent="0.25">
      <c r="A5283" t="str">
        <f>"8222972005"</f>
        <v>8222972005</v>
      </c>
      <c r="B5283" t="s">
        <v>1573</v>
      </c>
      <c r="C5283" t="s">
        <v>24726</v>
      </c>
      <c r="D5283" t="s">
        <v>24725</v>
      </c>
      <c r="E5283">
        <v>424031</v>
      </c>
      <c r="F5283" t="s">
        <v>1</v>
      </c>
      <c r="G5283" t="s">
        <v>2</v>
      </c>
      <c r="H5283" t="s">
        <v>413</v>
      </c>
      <c r="Y5283" t="s">
        <v>24727</v>
      </c>
    </row>
    <row r="5284" spans="1:25" x14ac:dyDescent="0.25">
      <c r="A5284" t="str">
        <f>"8225549570"</f>
        <v>8225549570</v>
      </c>
      <c r="B5284" t="s">
        <v>5840</v>
      </c>
      <c r="C5284" t="s">
        <v>23837</v>
      </c>
      <c r="D5284" t="s">
        <v>24728</v>
      </c>
      <c r="E5284">
        <v>424016</v>
      </c>
      <c r="F5284" t="s">
        <v>1</v>
      </c>
      <c r="G5284" t="s">
        <v>2</v>
      </c>
      <c r="H5284" t="s">
        <v>24729</v>
      </c>
      <c r="Y5284" t="s">
        <v>24730</v>
      </c>
    </row>
    <row r="5285" spans="1:25" x14ac:dyDescent="0.25">
      <c r="A5285" t="str">
        <f>"8266919691"</f>
        <v>8266919691</v>
      </c>
      <c r="B5285" t="s">
        <v>530</v>
      </c>
      <c r="C5285" t="s">
        <v>23950</v>
      </c>
      <c r="D5285" t="s">
        <v>23950</v>
      </c>
      <c r="E5285">
        <v>424007</v>
      </c>
      <c r="F5285" t="s">
        <v>1</v>
      </c>
      <c r="G5285" t="s">
        <v>2</v>
      </c>
      <c r="H5285" t="s">
        <v>24731</v>
      </c>
      <c r="Y5285" t="s">
        <v>24732</v>
      </c>
    </row>
    <row r="5286" spans="1:25" x14ac:dyDescent="0.25">
      <c r="A5286" t="str">
        <f>"8270031016"</f>
        <v>8270031016</v>
      </c>
      <c r="B5286" t="s">
        <v>96</v>
      </c>
      <c r="C5286" t="s">
        <v>15131</v>
      </c>
      <c r="D5286" t="s">
        <v>24733</v>
      </c>
      <c r="E5286">
        <v>424002</v>
      </c>
      <c r="F5286" t="s">
        <v>1</v>
      </c>
      <c r="G5286" t="s">
        <v>2</v>
      </c>
      <c r="H5286" t="s">
        <v>9138</v>
      </c>
      <c r="Y5286" t="s">
        <v>24734</v>
      </c>
    </row>
    <row r="5287" spans="1:25" x14ac:dyDescent="0.25">
      <c r="A5287" t="str">
        <f>"8324615916"</f>
        <v>8324615916</v>
      </c>
      <c r="B5287" t="s">
        <v>96</v>
      </c>
      <c r="C5287" t="s">
        <v>893</v>
      </c>
      <c r="D5287" t="s">
        <v>3871</v>
      </c>
      <c r="E5287">
        <v>424002</v>
      </c>
      <c r="F5287" t="s">
        <v>1</v>
      </c>
      <c r="G5287" t="s">
        <v>2</v>
      </c>
      <c r="H5287" t="s">
        <v>744</v>
      </c>
      <c r="P5287" t="s">
        <v>748</v>
      </c>
      <c r="Y5287" t="s">
        <v>749</v>
      </c>
    </row>
    <row r="5288" spans="1:25" x14ac:dyDescent="0.25">
      <c r="A5288" t="str">
        <f>"8327623187"</f>
        <v>8327623187</v>
      </c>
      <c r="B5288" t="s">
        <v>574</v>
      </c>
      <c r="C5288" t="s">
        <v>24405</v>
      </c>
      <c r="D5288" t="s">
        <v>24404</v>
      </c>
      <c r="E5288">
        <v>424036</v>
      </c>
      <c r="F5288" t="s">
        <v>1</v>
      </c>
      <c r="G5288" t="s">
        <v>2</v>
      </c>
      <c r="H5288" t="s">
        <v>7822</v>
      </c>
      <c r="Y5288" t="s">
        <v>24735</v>
      </c>
    </row>
    <row r="5289" spans="1:25" x14ac:dyDescent="0.25">
      <c r="A5289" t="str">
        <f>"8347874227"</f>
        <v>8347874227</v>
      </c>
      <c r="B5289" t="s">
        <v>1475</v>
      </c>
      <c r="C5289" t="s">
        <v>1476</v>
      </c>
      <c r="D5289" t="s">
        <v>24736</v>
      </c>
      <c r="E5289">
        <v>424038</v>
      </c>
      <c r="F5289" t="s">
        <v>1</v>
      </c>
      <c r="G5289" t="s">
        <v>2</v>
      </c>
      <c r="H5289" t="s">
        <v>1366</v>
      </c>
      <c r="P5289" t="s">
        <v>8994</v>
      </c>
      <c r="Y5289" t="s">
        <v>24737</v>
      </c>
    </row>
    <row r="5290" spans="1:25" x14ac:dyDescent="0.25">
      <c r="A5290" t="str">
        <f>"8358508779"</f>
        <v>8358508779</v>
      </c>
      <c r="B5290" t="s">
        <v>1343</v>
      </c>
      <c r="C5290" t="s">
        <v>1344</v>
      </c>
      <c r="D5290" t="s">
        <v>1340</v>
      </c>
      <c r="E5290">
        <v>424028</v>
      </c>
      <c r="F5290" t="s">
        <v>1</v>
      </c>
      <c r="G5290" t="s">
        <v>2</v>
      </c>
      <c r="H5290" t="s">
        <v>21920</v>
      </c>
      <c r="Y5290" t="s">
        <v>24738</v>
      </c>
    </row>
    <row r="5291" spans="1:25" x14ac:dyDescent="0.25">
      <c r="A5291" t="str">
        <f>"8374194924"</f>
        <v>8374194924</v>
      </c>
      <c r="B5291" t="s">
        <v>117</v>
      </c>
      <c r="C5291" t="s">
        <v>873</v>
      </c>
      <c r="D5291" t="s">
        <v>873</v>
      </c>
      <c r="E5291">
        <v>424028</v>
      </c>
      <c r="F5291" t="s">
        <v>1</v>
      </c>
      <c r="G5291" t="s">
        <v>2</v>
      </c>
      <c r="H5291" t="s">
        <v>24739</v>
      </c>
      <c r="Y5291" t="s">
        <v>24740</v>
      </c>
    </row>
    <row r="5292" spans="1:25" x14ac:dyDescent="0.25">
      <c r="A5292" t="str">
        <f>"8421566259"</f>
        <v>8421566259</v>
      </c>
      <c r="B5292" t="s">
        <v>123</v>
      </c>
      <c r="C5292" t="s">
        <v>196</v>
      </c>
      <c r="D5292" t="s">
        <v>24741</v>
      </c>
      <c r="E5292">
        <v>424040</v>
      </c>
      <c r="F5292" t="s">
        <v>1</v>
      </c>
      <c r="G5292" t="s">
        <v>2</v>
      </c>
      <c r="H5292" t="s">
        <v>6712</v>
      </c>
      <c r="I5292" t="s">
        <v>24742</v>
      </c>
      <c r="J5292" t="s">
        <v>24743</v>
      </c>
      <c r="P5292" t="s">
        <v>24744</v>
      </c>
      <c r="Y5292" t="s">
        <v>24745</v>
      </c>
    </row>
    <row r="5293" spans="1:25" x14ac:dyDescent="0.25">
      <c r="A5293" t="str">
        <f>"8494546524"</f>
        <v>8494546524</v>
      </c>
      <c r="B5293" t="s">
        <v>430</v>
      </c>
      <c r="C5293" t="s">
        <v>8739</v>
      </c>
      <c r="D5293" t="s">
        <v>24746</v>
      </c>
      <c r="E5293">
        <v>424008</v>
      </c>
      <c r="F5293" t="s">
        <v>1</v>
      </c>
      <c r="G5293" t="s">
        <v>2</v>
      </c>
      <c r="H5293" t="s">
        <v>11207</v>
      </c>
      <c r="I5293" t="s">
        <v>24747</v>
      </c>
      <c r="J5293" t="s">
        <v>24748</v>
      </c>
      <c r="P5293" t="s">
        <v>216</v>
      </c>
      <c r="Q5293" t="s">
        <v>24749</v>
      </c>
      <c r="Y5293" t="s">
        <v>24750</v>
      </c>
    </row>
    <row r="5294" spans="1:25" x14ac:dyDescent="0.25">
      <c r="A5294" t="str">
        <f>"8505136529"</f>
        <v>8505136529</v>
      </c>
      <c r="B5294" t="s">
        <v>530</v>
      </c>
      <c r="C5294" t="s">
        <v>23950</v>
      </c>
      <c r="D5294" t="s">
        <v>23950</v>
      </c>
      <c r="F5294" t="s">
        <v>1</v>
      </c>
      <c r="G5294" t="s">
        <v>2</v>
      </c>
      <c r="H5294" t="s">
        <v>24751</v>
      </c>
      <c r="Y5294" t="s">
        <v>24752</v>
      </c>
    </row>
    <row r="5295" spans="1:25" x14ac:dyDescent="0.25">
      <c r="A5295" t="str">
        <f>"8514468999"</f>
        <v>8514468999</v>
      </c>
      <c r="B5295" t="s">
        <v>96</v>
      </c>
      <c r="C5295" t="s">
        <v>24756</v>
      </c>
      <c r="D5295" t="s">
        <v>24753</v>
      </c>
      <c r="E5295">
        <v>424003</v>
      </c>
      <c r="F5295" t="s">
        <v>1</v>
      </c>
      <c r="G5295" t="s">
        <v>2</v>
      </c>
      <c r="H5295" t="s">
        <v>24754</v>
      </c>
      <c r="J5295" t="s">
        <v>24755</v>
      </c>
      <c r="P5295" t="s">
        <v>390</v>
      </c>
      <c r="Y5295" t="s">
        <v>24757</v>
      </c>
    </row>
    <row r="5296" spans="1:25" x14ac:dyDescent="0.25">
      <c r="A5296" t="str">
        <f>"8516046255"</f>
        <v>8516046255</v>
      </c>
      <c r="B5296" t="s">
        <v>1343</v>
      </c>
      <c r="C5296" t="s">
        <v>1344</v>
      </c>
      <c r="D5296" t="s">
        <v>20882</v>
      </c>
      <c r="E5296">
        <v>424007</v>
      </c>
      <c r="F5296" t="s">
        <v>1</v>
      </c>
      <c r="G5296" t="s">
        <v>2</v>
      </c>
      <c r="H5296" t="s">
        <v>23983</v>
      </c>
      <c r="Y5296" t="s">
        <v>24758</v>
      </c>
    </row>
    <row r="5297" spans="1:25" x14ac:dyDescent="0.25">
      <c r="A5297" t="str">
        <f>"8534128609"</f>
        <v>8534128609</v>
      </c>
      <c r="B5297" t="s">
        <v>204</v>
      </c>
      <c r="C5297" t="s">
        <v>23348</v>
      </c>
      <c r="D5297" t="s">
        <v>24759</v>
      </c>
      <c r="E5297">
        <v>424000</v>
      </c>
      <c r="F5297" t="s">
        <v>1</v>
      </c>
      <c r="G5297" t="s">
        <v>2</v>
      </c>
      <c r="H5297" t="s">
        <v>265</v>
      </c>
      <c r="Y5297" t="s">
        <v>11205</v>
      </c>
    </row>
    <row r="5298" spans="1:25" x14ac:dyDescent="0.25">
      <c r="A5298" t="str">
        <f>"8553073541"</f>
        <v>8553073541</v>
      </c>
      <c r="B5298" t="s">
        <v>67</v>
      </c>
      <c r="C5298" t="s">
        <v>269</v>
      </c>
      <c r="D5298" t="s">
        <v>24760</v>
      </c>
      <c r="E5298">
        <v>424019</v>
      </c>
      <c r="F5298" t="s">
        <v>1</v>
      </c>
      <c r="G5298" t="s">
        <v>2</v>
      </c>
      <c r="H5298" t="s">
        <v>7785</v>
      </c>
      <c r="I5298" t="s">
        <v>24761</v>
      </c>
      <c r="L5298" t="s">
        <v>24762</v>
      </c>
      <c r="M5298" t="s">
        <v>24763</v>
      </c>
      <c r="P5298" t="s">
        <v>98</v>
      </c>
      <c r="Q5298" t="s">
        <v>24764</v>
      </c>
      <c r="R5298" t="s">
        <v>24765</v>
      </c>
      <c r="S5298" t="s">
        <v>24766</v>
      </c>
      <c r="T5298" t="s">
        <v>24767</v>
      </c>
      <c r="V5298" t="s">
        <v>24768</v>
      </c>
      <c r="Y5298" t="s">
        <v>24769</v>
      </c>
    </row>
    <row r="5299" spans="1:25" x14ac:dyDescent="0.25">
      <c r="A5299" t="str">
        <f>"8555466420"</f>
        <v>8555466420</v>
      </c>
      <c r="B5299" t="s">
        <v>1475</v>
      </c>
      <c r="C5299" t="s">
        <v>1476</v>
      </c>
      <c r="D5299" t="s">
        <v>24770</v>
      </c>
      <c r="F5299" t="s">
        <v>1</v>
      </c>
      <c r="G5299" t="s">
        <v>2</v>
      </c>
      <c r="H5299" t="s">
        <v>7547</v>
      </c>
      <c r="Y5299" t="s">
        <v>24771</v>
      </c>
    </row>
    <row r="5300" spans="1:25" x14ac:dyDescent="0.25">
      <c r="A5300" t="str">
        <f>"8622314975"</f>
        <v>8622314975</v>
      </c>
      <c r="B5300" t="s">
        <v>176</v>
      </c>
      <c r="C5300" t="s">
        <v>2838</v>
      </c>
      <c r="D5300" t="s">
        <v>24772</v>
      </c>
      <c r="E5300">
        <v>424030</v>
      </c>
      <c r="F5300" t="s">
        <v>1</v>
      </c>
      <c r="G5300" t="s">
        <v>2</v>
      </c>
      <c r="H5300" t="s">
        <v>5134</v>
      </c>
      <c r="P5300" t="s">
        <v>24773</v>
      </c>
      <c r="Y5300" t="s">
        <v>24774</v>
      </c>
    </row>
    <row r="5301" spans="1:25" x14ac:dyDescent="0.25">
      <c r="A5301" t="str">
        <f>"8636392839"</f>
        <v>8636392839</v>
      </c>
      <c r="B5301" t="s">
        <v>3573</v>
      </c>
      <c r="C5301" t="s">
        <v>24778</v>
      </c>
      <c r="D5301" t="s">
        <v>24775</v>
      </c>
      <c r="E5301">
        <v>424003</v>
      </c>
      <c r="F5301" t="s">
        <v>1</v>
      </c>
      <c r="G5301" t="s">
        <v>2</v>
      </c>
      <c r="H5301" t="s">
        <v>11570</v>
      </c>
      <c r="L5301" t="s">
        <v>24776</v>
      </c>
      <c r="M5301" t="s">
        <v>24777</v>
      </c>
      <c r="Y5301" t="s">
        <v>11573</v>
      </c>
    </row>
    <row r="5302" spans="1:25" x14ac:dyDescent="0.25">
      <c r="A5302" t="str">
        <f>"8665930222"</f>
        <v>8665930222</v>
      </c>
      <c r="B5302" t="s">
        <v>430</v>
      </c>
      <c r="C5302" t="s">
        <v>940</v>
      </c>
      <c r="D5302" t="s">
        <v>24779</v>
      </c>
      <c r="E5302">
        <v>424006</v>
      </c>
      <c r="F5302" t="s">
        <v>1</v>
      </c>
      <c r="G5302" t="s">
        <v>2</v>
      </c>
      <c r="H5302" t="s">
        <v>24780</v>
      </c>
      <c r="I5302" t="s">
        <v>24781</v>
      </c>
      <c r="L5302" t="s">
        <v>24782</v>
      </c>
      <c r="M5302" t="s">
        <v>24783</v>
      </c>
      <c r="P5302" t="s">
        <v>24784</v>
      </c>
      <c r="Y5302" t="s">
        <v>24785</v>
      </c>
    </row>
    <row r="5303" spans="1:25" x14ac:dyDescent="0.25">
      <c r="A5303" t="str">
        <f>"8684961588"</f>
        <v>8684961588</v>
      </c>
      <c r="B5303" t="s">
        <v>430</v>
      </c>
      <c r="C5303" t="s">
        <v>16178</v>
      </c>
      <c r="D5303" t="s">
        <v>16178</v>
      </c>
      <c r="E5303">
        <v>424002</v>
      </c>
      <c r="F5303" t="s">
        <v>1</v>
      </c>
      <c r="G5303" t="s">
        <v>2</v>
      </c>
      <c r="H5303" t="s">
        <v>5162</v>
      </c>
      <c r="P5303" t="s">
        <v>2738</v>
      </c>
      <c r="Y5303" t="s">
        <v>5931</v>
      </c>
    </row>
    <row r="5304" spans="1:25" x14ac:dyDescent="0.25">
      <c r="A5304" t="str">
        <f>"8695618818"</f>
        <v>8695618818</v>
      </c>
      <c r="B5304" t="s">
        <v>151</v>
      </c>
      <c r="C5304" t="s">
        <v>151</v>
      </c>
      <c r="D5304" t="s">
        <v>24786</v>
      </c>
      <c r="E5304">
        <v>424002</v>
      </c>
      <c r="F5304" t="s">
        <v>1</v>
      </c>
      <c r="G5304" t="s">
        <v>2</v>
      </c>
      <c r="H5304" t="s">
        <v>6679</v>
      </c>
      <c r="J5304" t="s">
        <v>19821</v>
      </c>
      <c r="P5304" t="s">
        <v>9</v>
      </c>
      <c r="Y5304" t="s">
        <v>20635</v>
      </c>
    </row>
    <row r="5305" spans="1:25" x14ac:dyDescent="0.25">
      <c r="A5305" t="str">
        <f>"8786661115"</f>
        <v>8786661115</v>
      </c>
      <c r="B5305" t="s">
        <v>574</v>
      </c>
      <c r="C5305" t="s">
        <v>14269</v>
      </c>
      <c r="D5305" t="s">
        <v>24787</v>
      </c>
      <c r="E5305">
        <v>424038</v>
      </c>
      <c r="F5305" t="s">
        <v>1</v>
      </c>
      <c r="G5305" t="s">
        <v>2</v>
      </c>
      <c r="H5305" t="s">
        <v>24788</v>
      </c>
      <c r="M5305" t="s">
        <v>24789</v>
      </c>
      <c r="P5305" t="s">
        <v>24790</v>
      </c>
      <c r="Y5305" t="s">
        <v>24791</v>
      </c>
    </row>
    <row r="5306" spans="1:25" x14ac:dyDescent="0.25">
      <c r="A5306" t="str">
        <f>"8790960780"</f>
        <v>8790960780</v>
      </c>
      <c r="B5306" t="s">
        <v>25</v>
      </c>
      <c r="C5306" t="s">
        <v>20320</v>
      </c>
      <c r="D5306" t="s">
        <v>24792</v>
      </c>
      <c r="E5306">
        <v>424020</v>
      </c>
      <c r="F5306" t="s">
        <v>1</v>
      </c>
      <c r="G5306" t="s">
        <v>2</v>
      </c>
      <c r="H5306" t="s">
        <v>9442</v>
      </c>
      <c r="Y5306" t="s">
        <v>24793</v>
      </c>
    </row>
    <row r="5307" spans="1:25" x14ac:dyDescent="0.25">
      <c r="A5307" t="str">
        <f>"8811176006"</f>
        <v>8811176006</v>
      </c>
      <c r="B5307" t="s">
        <v>88</v>
      </c>
      <c r="C5307" t="s">
        <v>19306</v>
      </c>
      <c r="D5307" t="s">
        <v>24794</v>
      </c>
      <c r="E5307">
        <v>424006</v>
      </c>
      <c r="F5307" t="s">
        <v>1</v>
      </c>
      <c r="G5307" t="s">
        <v>2</v>
      </c>
      <c r="H5307" t="s">
        <v>9984</v>
      </c>
      <c r="P5307" t="s">
        <v>2280</v>
      </c>
      <c r="Y5307" t="s">
        <v>1699</v>
      </c>
    </row>
    <row r="5308" spans="1:25" x14ac:dyDescent="0.25">
      <c r="A5308" t="str">
        <f>"8817119324"</f>
        <v>8817119324</v>
      </c>
      <c r="B5308" t="s">
        <v>574</v>
      </c>
      <c r="C5308" t="s">
        <v>14269</v>
      </c>
      <c r="D5308" t="s">
        <v>24795</v>
      </c>
      <c r="F5308" t="s">
        <v>1</v>
      </c>
      <c r="G5308" t="s">
        <v>2</v>
      </c>
      <c r="H5308" t="s">
        <v>24796</v>
      </c>
      <c r="Y5308" t="s">
        <v>24797</v>
      </c>
    </row>
    <row r="5309" spans="1:25" x14ac:dyDescent="0.25">
      <c r="A5309" t="str">
        <f>"8824850614"</f>
        <v>8824850614</v>
      </c>
      <c r="B5309" t="s">
        <v>25</v>
      </c>
      <c r="C5309" t="s">
        <v>24800</v>
      </c>
      <c r="D5309" t="s">
        <v>24798</v>
      </c>
      <c r="E5309">
        <v>424031</v>
      </c>
      <c r="F5309" t="s">
        <v>1</v>
      </c>
      <c r="G5309" t="s">
        <v>2</v>
      </c>
      <c r="H5309" t="s">
        <v>4622</v>
      </c>
      <c r="I5309" t="s">
        <v>24799</v>
      </c>
      <c r="P5309" t="s">
        <v>5649</v>
      </c>
      <c r="T5309" t="s">
        <v>24801</v>
      </c>
      <c r="Y5309" t="s">
        <v>24802</v>
      </c>
    </row>
    <row r="5310" spans="1:25" x14ac:dyDescent="0.25">
      <c r="A5310" t="str">
        <f>"8826079968"</f>
        <v>8826079968</v>
      </c>
      <c r="B5310" t="s">
        <v>25</v>
      </c>
      <c r="C5310" t="s">
        <v>59</v>
      </c>
      <c r="D5310" t="s">
        <v>24803</v>
      </c>
      <c r="E5310">
        <v>424000</v>
      </c>
      <c r="F5310" t="s">
        <v>1</v>
      </c>
      <c r="G5310" t="s">
        <v>2</v>
      </c>
      <c r="H5310" t="s">
        <v>2202</v>
      </c>
      <c r="I5310" t="s">
        <v>24804</v>
      </c>
      <c r="P5310" t="s">
        <v>27</v>
      </c>
      <c r="Y5310" t="s">
        <v>2204</v>
      </c>
    </row>
    <row r="5311" spans="1:25" x14ac:dyDescent="0.25">
      <c r="A5311" t="str">
        <f>"8849643207"</f>
        <v>8849643207</v>
      </c>
      <c r="B5311" t="s">
        <v>574</v>
      </c>
      <c r="C5311" t="s">
        <v>8884</v>
      </c>
      <c r="D5311" t="s">
        <v>4221</v>
      </c>
      <c r="E5311">
        <v>424004</v>
      </c>
      <c r="F5311" t="s">
        <v>1</v>
      </c>
      <c r="G5311" t="s">
        <v>2</v>
      </c>
      <c r="H5311" t="s">
        <v>3266</v>
      </c>
      <c r="I5311" t="s">
        <v>24805</v>
      </c>
      <c r="P5311" t="s">
        <v>17482</v>
      </c>
      <c r="Y5311" t="s">
        <v>24806</v>
      </c>
    </row>
    <row r="5312" spans="1:25" x14ac:dyDescent="0.25">
      <c r="A5312" t="str">
        <f>"8947420286"</f>
        <v>8947420286</v>
      </c>
      <c r="B5312" t="s">
        <v>25</v>
      </c>
      <c r="C5312" t="s">
        <v>59</v>
      </c>
      <c r="D5312" t="s">
        <v>24807</v>
      </c>
      <c r="E5312">
        <v>424020</v>
      </c>
      <c r="F5312" t="s">
        <v>1</v>
      </c>
      <c r="G5312" t="s">
        <v>2</v>
      </c>
      <c r="H5312" t="s">
        <v>24808</v>
      </c>
      <c r="I5312" t="s">
        <v>24809</v>
      </c>
      <c r="J5312" t="s">
        <v>24810</v>
      </c>
      <c r="M5312" t="s">
        <v>24811</v>
      </c>
      <c r="P5312" t="s">
        <v>330</v>
      </c>
      <c r="Y5312" t="s">
        <v>24812</v>
      </c>
    </row>
    <row r="5313" spans="1:25" x14ac:dyDescent="0.25">
      <c r="A5313" t="str">
        <f>"8951191854"</f>
        <v>8951191854</v>
      </c>
      <c r="B5313" t="s">
        <v>574</v>
      </c>
      <c r="C5313" t="s">
        <v>14269</v>
      </c>
      <c r="D5313" t="s">
        <v>24813</v>
      </c>
      <c r="E5313">
        <v>424000</v>
      </c>
      <c r="F5313" t="s">
        <v>1</v>
      </c>
      <c r="G5313" t="s">
        <v>2</v>
      </c>
      <c r="H5313" t="s">
        <v>265</v>
      </c>
      <c r="Y5313" t="s">
        <v>24814</v>
      </c>
    </row>
    <row r="5314" spans="1:25" x14ac:dyDescent="0.25">
      <c r="A5314" t="str">
        <f>"8977406594"</f>
        <v>8977406594</v>
      </c>
      <c r="B5314" t="s">
        <v>888</v>
      </c>
      <c r="C5314" t="s">
        <v>24819</v>
      </c>
      <c r="D5314" t="s">
        <v>24815</v>
      </c>
      <c r="E5314">
        <v>424006</v>
      </c>
      <c r="F5314" t="s">
        <v>1</v>
      </c>
      <c r="G5314" t="s">
        <v>2</v>
      </c>
      <c r="H5314" t="s">
        <v>22650</v>
      </c>
      <c r="I5314" t="s">
        <v>24816</v>
      </c>
      <c r="J5314" t="s">
        <v>24817</v>
      </c>
      <c r="M5314" t="s">
        <v>24818</v>
      </c>
      <c r="P5314" t="s">
        <v>1760</v>
      </c>
      <c r="Q5314" t="s">
        <v>24820</v>
      </c>
      <c r="V5314" t="s">
        <v>24821</v>
      </c>
      <c r="Y5314" t="s">
        <v>24822</v>
      </c>
    </row>
    <row r="5315" spans="1:25" x14ac:dyDescent="0.25">
      <c r="A5315" t="str">
        <f>"8989592603"</f>
        <v>8989592603</v>
      </c>
      <c r="B5315" t="s">
        <v>348</v>
      </c>
      <c r="C5315" t="s">
        <v>4366</v>
      </c>
      <c r="D5315" t="s">
        <v>24823</v>
      </c>
      <c r="E5315">
        <v>424006</v>
      </c>
      <c r="F5315" t="s">
        <v>1</v>
      </c>
      <c r="G5315" t="s">
        <v>2</v>
      </c>
      <c r="H5315" t="s">
        <v>2042</v>
      </c>
      <c r="I5315" t="s">
        <v>24824</v>
      </c>
      <c r="J5315" t="s">
        <v>24825</v>
      </c>
      <c r="P5315" t="s">
        <v>24826</v>
      </c>
      <c r="Y5315" t="s">
        <v>24827</v>
      </c>
    </row>
    <row r="5316" spans="1:25" x14ac:dyDescent="0.25">
      <c r="A5316" t="str">
        <f>"9005686878"</f>
        <v>9005686878</v>
      </c>
      <c r="B5316" t="s">
        <v>25</v>
      </c>
      <c r="C5316" t="s">
        <v>59</v>
      </c>
      <c r="D5316" t="s">
        <v>24828</v>
      </c>
      <c r="F5316" t="s">
        <v>1</v>
      </c>
      <c r="G5316" t="s">
        <v>2</v>
      </c>
      <c r="H5316" t="s">
        <v>3984</v>
      </c>
      <c r="J5316" t="s">
        <v>24829</v>
      </c>
      <c r="P5316" t="s">
        <v>340</v>
      </c>
      <c r="Y5316" t="s">
        <v>24830</v>
      </c>
    </row>
    <row r="5317" spans="1:25" x14ac:dyDescent="0.25">
      <c r="A5317" t="str">
        <f>"9014358374"</f>
        <v>9014358374</v>
      </c>
      <c r="B5317" t="s">
        <v>18</v>
      </c>
      <c r="C5317" t="s">
        <v>16044</v>
      </c>
      <c r="D5317" t="s">
        <v>24831</v>
      </c>
      <c r="F5317" t="s">
        <v>1</v>
      </c>
      <c r="G5317" t="s">
        <v>2</v>
      </c>
      <c r="H5317" t="s">
        <v>23852</v>
      </c>
      <c r="J5317" t="s">
        <v>24832</v>
      </c>
      <c r="Y5317" t="s">
        <v>24833</v>
      </c>
    </row>
    <row r="5318" spans="1:25" x14ac:dyDescent="0.25">
      <c r="A5318" t="str">
        <f>"9072547876"</f>
        <v>9072547876</v>
      </c>
      <c r="B5318" t="s">
        <v>519</v>
      </c>
      <c r="C5318" t="s">
        <v>6385</v>
      </c>
      <c r="D5318" t="s">
        <v>24834</v>
      </c>
      <c r="E5318">
        <v>424031</v>
      </c>
      <c r="F5318" t="s">
        <v>1</v>
      </c>
      <c r="G5318" t="s">
        <v>2</v>
      </c>
      <c r="H5318" t="s">
        <v>18356</v>
      </c>
      <c r="J5318" t="s">
        <v>24835</v>
      </c>
      <c r="L5318" t="s">
        <v>24836</v>
      </c>
      <c r="M5318" t="s">
        <v>24837</v>
      </c>
      <c r="P5318" t="s">
        <v>12632</v>
      </c>
      <c r="Q5318" t="s">
        <v>24838</v>
      </c>
      <c r="Y5318" t="s">
        <v>24839</v>
      </c>
    </row>
    <row r="5319" spans="1:25" x14ac:dyDescent="0.25">
      <c r="A5319" t="str">
        <f>"9086320968"</f>
        <v>9086320968</v>
      </c>
      <c r="B5319" t="s">
        <v>530</v>
      </c>
      <c r="C5319" t="s">
        <v>23950</v>
      </c>
      <c r="D5319" t="s">
        <v>23950</v>
      </c>
      <c r="E5319">
        <v>424004</v>
      </c>
      <c r="F5319" t="s">
        <v>1</v>
      </c>
      <c r="G5319" t="s">
        <v>2</v>
      </c>
      <c r="H5319" t="s">
        <v>24840</v>
      </c>
      <c r="Y5319" t="s">
        <v>24841</v>
      </c>
    </row>
    <row r="5320" spans="1:25" x14ac:dyDescent="0.25">
      <c r="A5320" t="str">
        <f>"9108124716"</f>
        <v>9108124716</v>
      </c>
      <c r="B5320" t="s">
        <v>18</v>
      </c>
      <c r="C5320" t="s">
        <v>143</v>
      </c>
      <c r="D5320" t="s">
        <v>24842</v>
      </c>
      <c r="E5320">
        <v>424031</v>
      </c>
      <c r="F5320" t="s">
        <v>1</v>
      </c>
      <c r="G5320" t="s">
        <v>2</v>
      </c>
      <c r="H5320" t="s">
        <v>10559</v>
      </c>
      <c r="Y5320" t="s">
        <v>11702</v>
      </c>
    </row>
    <row r="5321" spans="1:25" x14ac:dyDescent="0.25">
      <c r="A5321" t="str">
        <f>"9167221379"</f>
        <v>9167221379</v>
      </c>
      <c r="B5321" t="s">
        <v>18</v>
      </c>
      <c r="C5321" t="s">
        <v>3386</v>
      </c>
      <c r="D5321" t="s">
        <v>24843</v>
      </c>
      <c r="E5321">
        <v>424007</v>
      </c>
      <c r="F5321" t="s">
        <v>1</v>
      </c>
      <c r="G5321" t="s">
        <v>2</v>
      </c>
      <c r="H5321" t="s">
        <v>2609</v>
      </c>
      <c r="I5321" t="s">
        <v>24844</v>
      </c>
      <c r="P5321" t="s">
        <v>280</v>
      </c>
      <c r="Y5321" t="s">
        <v>5834</v>
      </c>
    </row>
    <row r="5322" spans="1:25" x14ac:dyDescent="0.25">
      <c r="A5322" t="str">
        <f>"9176835060"</f>
        <v>9176835060</v>
      </c>
      <c r="B5322" t="s">
        <v>456</v>
      </c>
      <c r="C5322" t="s">
        <v>24849</v>
      </c>
      <c r="D5322" t="s">
        <v>24845</v>
      </c>
      <c r="E5322">
        <v>424038</v>
      </c>
      <c r="F5322" t="s">
        <v>1</v>
      </c>
      <c r="G5322" t="s">
        <v>2</v>
      </c>
      <c r="H5322" t="s">
        <v>7597</v>
      </c>
      <c r="I5322" t="s">
        <v>24846</v>
      </c>
      <c r="L5322" t="s">
        <v>24847</v>
      </c>
      <c r="M5322" t="s">
        <v>24848</v>
      </c>
      <c r="P5322" t="s">
        <v>1642</v>
      </c>
      <c r="Q5322" t="s">
        <v>24850</v>
      </c>
      <c r="T5322" t="s">
        <v>24851</v>
      </c>
      <c r="V5322" t="s">
        <v>24852</v>
      </c>
      <c r="Y5322" t="s">
        <v>24853</v>
      </c>
    </row>
    <row r="5323" spans="1:25" x14ac:dyDescent="0.25">
      <c r="A5323" t="str">
        <f>"9182234871"</f>
        <v>9182234871</v>
      </c>
      <c r="B5323" t="s">
        <v>1573</v>
      </c>
      <c r="C5323" t="s">
        <v>24855</v>
      </c>
      <c r="D5323" t="s">
        <v>24854</v>
      </c>
      <c r="E5323">
        <v>424039</v>
      </c>
      <c r="F5323" t="s">
        <v>1</v>
      </c>
      <c r="G5323" t="s">
        <v>2</v>
      </c>
      <c r="H5323" t="s">
        <v>23651</v>
      </c>
      <c r="I5323" t="s">
        <v>3279</v>
      </c>
      <c r="L5323" t="s">
        <v>3280</v>
      </c>
      <c r="M5323" t="s">
        <v>3281</v>
      </c>
      <c r="Y5323" t="s">
        <v>24856</v>
      </c>
    </row>
    <row r="5324" spans="1:25" x14ac:dyDescent="0.25">
      <c r="A5324" t="str">
        <f>"9209409745"</f>
        <v>9209409745</v>
      </c>
      <c r="B5324" t="s">
        <v>123</v>
      </c>
      <c r="C5324" t="s">
        <v>18438</v>
      </c>
      <c r="D5324" t="s">
        <v>24857</v>
      </c>
      <c r="E5324">
        <v>424037</v>
      </c>
      <c r="F5324" t="s">
        <v>1</v>
      </c>
      <c r="G5324" t="s">
        <v>2</v>
      </c>
      <c r="H5324" t="s">
        <v>1849</v>
      </c>
      <c r="I5324" t="s">
        <v>24858</v>
      </c>
      <c r="P5324" t="s">
        <v>24859</v>
      </c>
      <c r="Y5324" t="s">
        <v>12620</v>
      </c>
    </row>
    <row r="5325" spans="1:25" x14ac:dyDescent="0.25">
      <c r="A5325" t="str">
        <f>"9225634535"</f>
        <v>9225634535</v>
      </c>
      <c r="B5325" t="s">
        <v>624</v>
      </c>
      <c r="C5325" t="s">
        <v>24861</v>
      </c>
      <c r="D5325" t="s">
        <v>24505</v>
      </c>
      <c r="E5325">
        <v>424016</v>
      </c>
      <c r="F5325" t="s">
        <v>1</v>
      </c>
      <c r="G5325" t="s">
        <v>2</v>
      </c>
      <c r="H5325" t="s">
        <v>848</v>
      </c>
      <c r="J5325" t="s">
        <v>24860</v>
      </c>
      <c r="P5325" t="s">
        <v>152</v>
      </c>
      <c r="Y5325" t="s">
        <v>855</v>
      </c>
    </row>
    <row r="5326" spans="1:25" x14ac:dyDescent="0.25">
      <c r="A5326" t="str">
        <f>"9277796983"</f>
        <v>9277796983</v>
      </c>
      <c r="B5326" t="s">
        <v>3908</v>
      </c>
      <c r="C5326" t="s">
        <v>10425</v>
      </c>
      <c r="D5326" t="s">
        <v>24862</v>
      </c>
      <c r="E5326">
        <v>424038</v>
      </c>
      <c r="F5326" t="s">
        <v>1</v>
      </c>
      <c r="G5326" t="s">
        <v>2</v>
      </c>
      <c r="H5326" t="s">
        <v>11821</v>
      </c>
      <c r="I5326" t="s">
        <v>24863</v>
      </c>
      <c r="L5326" t="s">
        <v>24864</v>
      </c>
      <c r="M5326" t="s">
        <v>24865</v>
      </c>
      <c r="P5326" t="s">
        <v>24866</v>
      </c>
      <c r="Y5326" t="s">
        <v>24867</v>
      </c>
    </row>
    <row r="5327" spans="1:25" x14ac:dyDescent="0.25">
      <c r="A5327" t="str">
        <f>"9279784004"</f>
        <v>9279784004</v>
      </c>
      <c r="B5327" t="s">
        <v>1343</v>
      </c>
      <c r="C5327" t="s">
        <v>24870</v>
      </c>
      <c r="D5327" t="s">
        <v>24868</v>
      </c>
      <c r="E5327">
        <v>424038</v>
      </c>
      <c r="F5327" t="s">
        <v>1</v>
      </c>
      <c r="G5327" t="s">
        <v>2</v>
      </c>
      <c r="H5327" t="s">
        <v>6247</v>
      </c>
      <c r="J5327" t="s">
        <v>24869</v>
      </c>
      <c r="P5327" t="s">
        <v>1404</v>
      </c>
      <c r="Y5327" t="s">
        <v>24871</v>
      </c>
    </row>
    <row r="5328" spans="1:25" x14ac:dyDescent="0.25">
      <c r="A5328" t="str">
        <f>"9303048072"</f>
        <v>9303048072</v>
      </c>
      <c r="B5328" t="s">
        <v>25</v>
      </c>
      <c r="C5328" t="s">
        <v>4458</v>
      </c>
      <c r="D5328" t="s">
        <v>24872</v>
      </c>
      <c r="E5328">
        <v>424002</v>
      </c>
      <c r="F5328" t="s">
        <v>1</v>
      </c>
      <c r="G5328" t="s">
        <v>2</v>
      </c>
      <c r="H5328" t="s">
        <v>57</v>
      </c>
      <c r="Y5328" t="s">
        <v>3783</v>
      </c>
    </row>
    <row r="5329" spans="1:25" x14ac:dyDescent="0.25">
      <c r="A5329" t="str">
        <f>"9333596698"</f>
        <v>9333596698</v>
      </c>
      <c r="B5329" t="s">
        <v>319</v>
      </c>
      <c r="C5329" t="s">
        <v>320</v>
      </c>
      <c r="D5329" t="s">
        <v>24873</v>
      </c>
      <c r="E5329">
        <v>424005</v>
      </c>
      <c r="F5329" t="s">
        <v>1</v>
      </c>
      <c r="G5329" t="s">
        <v>2</v>
      </c>
      <c r="H5329" t="s">
        <v>24874</v>
      </c>
      <c r="I5329" t="s">
        <v>24875</v>
      </c>
      <c r="P5329" t="s">
        <v>1584</v>
      </c>
      <c r="Y5329" t="s">
        <v>24876</v>
      </c>
    </row>
    <row r="5330" spans="1:25" x14ac:dyDescent="0.25">
      <c r="A5330" t="str">
        <f>"9344505317"</f>
        <v>9344505317</v>
      </c>
      <c r="B5330" t="s">
        <v>930</v>
      </c>
      <c r="C5330" t="s">
        <v>24879</v>
      </c>
      <c r="D5330" t="s">
        <v>24877</v>
      </c>
      <c r="E5330">
        <v>424037</v>
      </c>
      <c r="F5330" t="s">
        <v>1</v>
      </c>
      <c r="G5330" t="s">
        <v>2</v>
      </c>
      <c r="H5330" t="s">
        <v>12690</v>
      </c>
      <c r="I5330" t="s">
        <v>24878</v>
      </c>
      <c r="P5330" t="s">
        <v>1160</v>
      </c>
      <c r="Y5330" t="s">
        <v>12695</v>
      </c>
    </row>
    <row r="5331" spans="1:25" x14ac:dyDescent="0.25">
      <c r="A5331" t="str">
        <f>"9364173291"</f>
        <v>9364173291</v>
      </c>
      <c r="B5331" t="s">
        <v>654</v>
      </c>
      <c r="C5331" t="s">
        <v>14448</v>
      </c>
      <c r="D5331" t="s">
        <v>14448</v>
      </c>
      <c r="E5331">
        <v>424007</v>
      </c>
      <c r="F5331" t="s">
        <v>1</v>
      </c>
      <c r="G5331" t="s">
        <v>2</v>
      </c>
      <c r="H5331" t="s">
        <v>5178</v>
      </c>
      <c r="P5331" t="s">
        <v>2731</v>
      </c>
      <c r="Y5331" t="s">
        <v>24880</v>
      </c>
    </row>
    <row r="5332" spans="1:25" x14ac:dyDescent="0.25">
      <c r="A5332" t="str">
        <f>"9367569877"</f>
        <v>9367569877</v>
      </c>
      <c r="B5332" t="s">
        <v>96</v>
      </c>
      <c r="C5332" t="s">
        <v>893</v>
      </c>
      <c r="D5332" t="s">
        <v>24881</v>
      </c>
      <c r="E5332">
        <v>424000</v>
      </c>
      <c r="F5332" t="s">
        <v>1</v>
      </c>
      <c r="G5332" t="s">
        <v>2</v>
      </c>
      <c r="H5332" t="s">
        <v>6578</v>
      </c>
      <c r="Y5332" t="s">
        <v>24882</v>
      </c>
    </row>
    <row r="5333" spans="1:25" x14ac:dyDescent="0.25">
      <c r="A5333" t="str">
        <f>"9411396682"</f>
        <v>9411396682</v>
      </c>
      <c r="B5333" t="s">
        <v>469</v>
      </c>
      <c r="C5333" t="s">
        <v>24886</v>
      </c>
      <c r="D5333" t="s">
        <v>24883</v>
      </c>
      <c r="E5333">
        <v>424000</v>
      </c>
      <c r="F5333" t="s">
        <v>1</v>
      </c>
      <c r="G5333" t="s">
        <v>2</v>
      </c>
      <c r="H5333" t="s">
        <v>265</v>
      </c>
      <c r="I5333" t="s">
        <v>24884</v>
      </c>
      <c r="M5333" t="s">
        <v>24885</v>
      </c>
      <c r="P5333" t="s">
        <v>2738</v>
      </c>
      <c r="Y5333" t="s">
        <v>24887</v>
      </c>
    </row>
    <row r="5334" spans="1:25" x14ac:dyDescent="0.25">
      <c r="A5334" t="str">
        <f>"9411570551"</f>
        <v>9411570551</v>
      </c>
      <c r="B5334" t="s">
        <v>96</v>
      </c>
      <c r="C5334" t="s">
        <v>695</v>
      </c>
      <c r="D5334" t="s">
        <v>24312</v>
      </c>
      <c r="E5334">
        <v>424039</v>
      </c>
      <c r="F5334" t="s">
        <v>1</v>
      </c>
      <c r="G5334" t="s">
        <v>2</v>
      </c>
      <c r="H5334" t="s">
        <v>5827</v>
      </c>
      <c r="J5334" t="s">
        <v>24465</v>
      </c>
      <c r="P5334" t="s">
        <v>1855</v>
      </c>
      <c r="Y5334" t="s">
        <v>23921</v>
      </c>
    </row>
    <row r="5335" spans="1:25" x14ac:dyDescent="0.25">
      <c r="A5335" t="str">
        <f>"9424098938"</f>
        <v>9424098938</v>
      </c>
      <c r="B5335" t="s">
        <v>456</v>
      </c>
      <c r="C5335" t="s">
        <v>24892</v>
      </c>
      <c r="D5335" t="s">
        <v>24888</v>
      </c>
      <c r="E5335">
        <v>424003</v>
      </c>
      <c r="F5335" t="s">
        <v>1</v>
      </c>
      <c r="G5335" t="s">
        <v>2</v>
      </c>
      <c r="H5335" t="s">
        <v>2465</v>
      </c>
      <c r="I5335" t="s">
        <v>24889</v>
      </c>
      <c r="L5335" t="s">
        <v>24890</v>
      </c>
      <c r="M5335" t="s">
        <v>24891</v>
      </c>
      <c r="P5335" t="s">
        <v>280</v>
      </c>
      <c r="Q5335" t="s">
        <v>24893</v>
      </c>
      <c r="S5335" t="s">
        <v>24894</v>
      </c>
      <c r="T5335" t="s">
        <v>24895</v>
      </c>
      <c r="U5335" t="s">
        <v>24896</v>
      </c>
      <c r="V5335" t="s">
        <v>24897</v>
      </c>
      <c r="Y5335" t="s">
        <v>2469</v>
      </c>
    </row>
    <row r="5336" spans="1:25" x14ac:dyDescent="0.25">
      <c r="A5336" t="str">
        <f>"9442268582"</f>
        <v>9442268582</v>
      </c>
      <c r="B5336" t="s">
        <v>290</v>
      </c>
      <c r="C5336" t="s">
        <v>2757</v>
      </c>
      <c r="D5336" t="s">
        <v>24898</v>
      </c>
      <c r="E5336">
        <v>424028</v>
      </c>
      <c r="F5336" t="s">
        <v>1</v>
      </c>
      <c r="G5336" t="s">
        <v>2</v>
      </c>
      <c r="H5336" t="s">
        <v>24899</v>
      </c>
      <c r="I5336" t="s">
        <v>24900</v>
      </c>
      <c r="P5336" t="s">
        <v>2513</v>
      </c>
      <c r="Y5336" t="s">
        <v>24901</v>
      </c>
    </row>
    <row r="5337" spans="1:25" x14ac:dyDescent="0.25">
      <c r="A5337" t="str">
        <f>"9448013419"</f>
        <v>9448013419</v>
      </c>
      <c r="B5337" t="s">
        <v>1493</v>
      </c>
      <c r="C5337" t="s">
        <v>1494</v>
      </c>
      <c r="D5337" t="s">
        <v>24902</v>
      </c>
      <c r="E5337">
        <v>424006</v>
      </c>
      <c r="F5337" t="s">
        <v>1</v>
      </c>
      <c r="G5337" t="s">
        <v>2</v>
      </c>
      <c r="H5337" t="s">
        <v>6133</v>
      </c>
      <c r="I5337" t="s">
        <v>24903</v>
      </c>
      <c r="J5337" t="s">
        <v>24904</v>
      </c>
      <c r="P5337" t="s">
        <v>330</v>
      </c>
      <c r="Y5337" t="s">
        <v>24905</v>
      </c>
    </row>
    <row r="5338" spans="1:25" x14ac:dyDescent="0.25">
      <c r="A5338" t="str">
        <f>"9448484474"</f>
        <v>9448484474</v>
      </c>
      <c r="B5338" t="s">
        <v>1152</v>
      </c>
      <c r="C5338" t="s">
        <v>1153</v>
      </c>
      <c r="D5338" t="s">
        <v>24906</v>
      </c>
      <c r="E5338">
        <v>424033</v>
      </c>
      <c r="F5338" t="s">
        <v>1</v>
      </c>
      <c r="G5338" t="s">
        <v>2</v>
      </c>
      <c r="H5338" t="s">
        <v>2597</v>
      </c>
      <c r="I5338" t="s">
        <v>24907</v>
      </c>
      <c r="L5338" t="s">
        <v>24908</v>
      </c>
      <c r="M5338" t="s">
        <v>24909</v>
      </c>
      <c r="P5338" t="s">
        <v>2457</v>
      </c>
      <c r="Q5338" t="s">
        <v>24910</v>
      </c>
      <c r="T5338" t="s">
        <v>24911</v>
      </c>
      <c r="Y5338" t="s">
        <v>24912</v>
      </c>
    </row>
    <row r="5339" spans="1:25" x14ac:dyDescent="0.25">
      <c r="A5339" t="str">
        <f>"9473925581"</f>
        <v>9473925581</v>
      </c>
      <c r="B5339" t="s">
        <v>319</v>
      </c>
      <c r="C5339" t="s">
        <v>320</v>
      </c>
      <c r="D5339" t="s">
        <v>24913</v>
      </c>
      <c r="E5339">
        <v>424003</v>
      </c>
      <c r="F5339" t="s">
        <v>1</v>
      </c>
      <c r="G5339" t="s">
        <v>2</v>
      </c>
      <c r="H5339" t="s">
        <v>21660</v>
      </c>
      <c r="J5339" t="s">
        <v>24914</v>
      </c>
      <c r="L5339" t="s">
        <v>24915</v>
      </c>
      <c r="M5339" t="s">
        <v>24916</v>
      </c>
      <c r="P5339" t="s">
        <v>216</v>
      </c>
      <c r="Y5339" t="s">
        <v>24917</v>
      </c>
    </row>
    <row r="5340" spans="1:25" x14ac:dyDescent="0.25">
      <c r="A5340" t="str">
        <f>"9476079815"</f>
        <v>9476079815</v>
      </c>
      <c r="B5340" t="s">
        <v>3008</v>
      </c>
      <c r="C5340" t="s">
        <v>15481</v>
      </c>
      <c r="D5340" t="s">
        <v>24918</v>
      </c>
      <c r="E5340">
        <v>424006</v>
      </c>
      <c r="F5340" t="s">
        <v>1</v>
      </c>
      <c r="G5340" t="s">
        <v>2</v>
      </c>
      <c r="H5340" t="s">
        <v>8622</v>
      </c>
      <c r="P5340" t="s">
        <v>4848</v>
      </c>
      <c r="Y5340" t="s">
        <v>8866</v>
      </c>
    </row>
    <row r="5341" spans="1:25" x14ac:dyDescent="0.25">
      <c r="A5341" t="str">
        <f>"9522611952"</f>
        <v>9522611952</v>
      </c>
      <c r="B5341" t="s">
        <v>1152</v>
      </c>
      <c r="C5341" t="s">
        <v>1153</v>
      </c>
      <c r="D5341" t="s">
        <v>10280</v>
      </c>
      <c r="E5341">
        <v>424032</v>
      </c>
      <c r="F5341" t="s">
        <v>1</v>
      </c>
      <c r="G5341" t="s">
        <v>2</v>
      </c>
      <c r="H5341" t="s">
        <v>7583</v>
      </c>
      <c r="Y5341" t="s">
        <v>24919</v>
      </c>
    </row>
    <row r="5342" spans="1:25" x14ac:dyDescent="0.25">
      <c r="A5342" t="str">
        <f>"9525888320"</f>
        <v>9525888320</v>
      </c>
      <c r="B5342" t="s">
        <v>319</v>
      </c>
      <c r="C5342" t="s">
        <v>320</v>
      </c>
      <c r="D5342" t="s">
        <v>320</v>
      </c>
      <c r="E5342">
        <v>424008</v>
      </c>
      <c r="F5342" t="s">
        <v>1</v>
      </c>
      <c r="G5342" t="s">
        <v>2</v>
      </c>
      <c r="H5342" t="s">
        <v>1895</v>
      </c>
      <c r="Y5342" t="s">
        <v>24920</v>
      </c>
    </row>
    <row r="5343" spans="1:25" x14ac:dyDescent="0.25">
      <c r="A5343" t="str">
        <f>"9571852856"</f>
        <v>9571852856</v>
      </c>
      <c r="B5343" t="s">
        <v>574</v>
      </c>
      <c r="C5343" t="s">
        <v>24922</v>
      </c>
      <c r="D5343" t="s">
        <v>24921</v>
      </c>
      <c r="E5343">
        <v>424007</v>
      </c>
      <c r="F5343" t="s">
        <v>1</v>
      </c>
      <c r="G5343" t="s">
        <v>2</v>
      </c>
      <c r="H5343" t="s">
        <v>23983</v>
      </c>
      <c r="Y5343" t="s">
        <v>24923</v>
      </c>
    </row>
    <row r="5344" spans="1:25" x14ac:dyDescent="0.25">
      <c r="A5344" t="str">
        <f>"9589360314"</f>
        <v>9589360314</v>
      </c>
      <c r="B5344" t="s">
        <v>591</v>
      </c>
      <c r="C5344" t="s">
        <v>592</v>
      </c>
      <c r="D5344" t="s">
        <v>24924</v>
      </c>
      <c r="E5344">
        <v>424028</v>
      </c>
      <c r="F5344" t="s">
        <v>1</v>
      </c>
      <c r="G5344" t="s">
        <v>2</v>
      </c>
      <c r="H5344" t="s">
        <v>15129</v>
      </c>
      <c r="P5344" t="s">
        <v>1404</v>
      </c>
      <c r="Y5344" t="s">
        <v>24925</v>
      </c>
    </row>
    <row r="5345" spans="1:25" x14ac:dyDescent="0.25">
      <c r="A5345" t="str">
        <f>"9594804631"</f>
        <v>9594804631</v>
      </c>
      <c r="B5345" t="s">
        <v>574</v>
      </c>
      <c r="C5345" t="s">
        <v>646</v>
      </c>
      <c r="D5345" t="s">
        <v>7972</v>
      </c>
      <c r="F5345" t="s">
        <v>1</v>
      </c>
      <c r="G5345" t="s">
        <v>2</v>
      </c>
      <c r="H5345" t="s">
        <v>7547</v>
      </c>
      <c r="Y5345" t="s">
        <v>24926</v>
      </c>
    </row>
    <row r="5346" spans="1:25" x14ac:dyDescent="0.25">
      <c r="A5346" t="str">
        <f>"9596033065"</f>
        <v>9596033065</v>
      </c>
      <c r="B5346" t="s">
        <v>25</v>
      </c>
      <c r="C5346" t="s">
        <v>24929</v>
      </c>
      <c r="D5346" t="s">
        <v>24927</v>
      </c>
      <c r="E5346">
        <v>424002</v>
      </c>
      <c r="F5346" t="s">
        <v>1</v>
      </c>
      <c r="G5346" t="s">
        <v>2</v>
      </c>
      <c r="H5346" t="s">
        <v>5933</v>
      </c>
      <c r="I5346" t="s">
        <v>24928</v>
      </c>
      <c r="P5346" t="s">
        <v>24930</v>
      </c>
      <c r="Y5346" t="s">
        <v>24931</v>
      </c>
    </row>
    <row r="5347" spans="1:25" x14ac:dyDescent="0.25">
      <c r="A5347" t="str">
        <f>"9613243851"</f>
        <v>9613243851</v>
      </c>
      <c r="B5347" t="s">
        <v>188</v>
      </c>
      <c r="C5347" t="s">
        <v>8311</v>
      </c>
      <c r="D5347" t="s">
        <v>8906</v>
      </c>
      <c r="E5347">
        <v>424002</v>
      </c>
      <c r="F5347" t="s">
        <v>1</v>
      </c>
      <c r="G5347" t="s">
        <v>2</v>
      </c>
      <c r="H5347" t="s">
        <v>6656</v>
      </c>
      <c r="Y5347" t="s">
        <v>11652</v>
      </c>
    </row>
    <row r="5348" spans="1:25" x14ac:dyDescent="0.25">
      <c r="A5348" t="str">
        <f>"9616483379"</f>
        <v>9616483379</v>
      </c>
      <c r="B5348" t="s">
        <v>574</v>
      </c>
      <c r="C5348" t="s">
        <v>24933</v>
      </c>
      <c r="D5348" t="s">
        <v>24932</v>
      </c>
      <c r="E5348">
        <v>424036</v>
      </c>
      <c r="F5348" t="s">
        <v>1</v>
      </c>
      <c r="G5348" t="s">
        <v>2</v>
      </c>
      <c r="H5348" t="s">
        <v>375</v>
      </c>
      <c r="Y5348" t="s">
        <v>384</v>
      </c>
    </row>
    <row r="5349" spans="1:25" x14ac:dyDescent="0.25">
      <c r="A5349" t="str">
        <f>"9624976036"</f>
        <v>9624976036</v>
      </c>
      <c r="B5349" t="s">
        <v>25</v>
      </c>
      <c r="C5349" t="s">
        <v>24938</v>
      </c>
      <c r="D5349" t="s">
        <v>24934</v>
      </c>
      <c r="F5349" t="s">
        <v>1</v>
      </c>
      <c r="G5349" t="s">
        <v>2</v>
      </c>
      <c r="H5349" t="s">
        <v>24935</v>
      </c>
      <c r="I5349" t="s">
        <v>24936</v>
      </c>
      <c r="L5349" t="s">
        <v>15100</v>
      </c>
      <c r="M5349" t="s">
        <v>24937</v>
      </c>
      <c r="Y5349" t="s">
        <v>24939</v>
      </c>
    </row>
    <row r="5350" spans="1:25" x14ac:dyDescent="0.25">
      <c r="A5350" t="str">
        <f>"9631458984"</f>
        <v>9631458984</v>
      </c>
      <c r="B5350" t="s">
        <v>3008</v>
      </c>
      <c r="C5350" t="s">
        <v>24944</v>
      </c>
      <c r="D5350" t="s">
        <v>24940</v>
      </c>
      <c r="E5350">
        <v>424037</v>
      </c>
      <c r="F5350" t="s">
        <v>1</v>
      </c>
      <c r="G5350" t="s">
        <v>2</v>
      </c>
      <c r="H5350" t="s">
        <v>2680</v>
      </c>
      <c r="I5350" t="s">
        <v>24941</v>
      </c>
      <c r="L5350" t="s">
        <v>24942</v>
      </c>
      <c r="M5350" t="s">
        <v>24943</v>
      </c>
      <c r="P5350" t="s">
        <v>1027</v>
      </c>
      <c r="Y5350" t="s">
        <v>22281</v>
      </c>
    </row>
    <row r="5351" spans="1:25" x14ac:dyDescent="0.25">
      <c r="A5351" t="str">
        <f>"9642396334"</f>
        <v>9642396334</v>
      </c>
      <c r="B5351" t="s">
        <v>188</v>
      </c>
      <c r="C5351" t="s">
        <v>24568</v>
      </c>
      <c r="D5351" t="s">
        <v>24568</v>
      </c>
      <c r="F5351" t="s">
        <v>1</v>
      </c>
      <c r="G5351" t="s">
        <v>2</v>
      </c>
      <c r="H5351" t="s">
        <v>24945</v>
      </c>
      <c r="Y5351" t="s">
        <v>24946</v>
      </c>
    </row>
    <row r="5352" spans="1:25" x14ac:dyDescent="0.25">
      <c r="A5352" t="str">
        <f>"9644265513"</f>
        <v>9644265513</v>
      </c>
      <c r="B5352" t="s">
        <v>553</v>
      </c>
      <c r="C5352" t="s">
        <v>554</v>
      </c>
      <c r="D5352" t="s">
        <v>24947</v>
      </c>
      <c r="F5352" t="s">
        <v>1</v>
      </c>
      <c r="G5352" t="s">
        <v>2</v>
      </c>
      <c r="H5352" t="s">
        <v>24948</v>
      </c>
      <c r="J5352" t="s">
        <v>24949</v>
      </c>
      <c r="P5352" t="s">
        <v>1035</v>
      </c>
      <c r="Y5352" t="s">
        <v>24950</v>
      </c>
    </row>
    <row r="5353" spans="1:25" x14ac:dyDescent="0.25">
      <c r="A5353" t="str">
        <f>"9684562636"</f>
        <v>9684562636</v>
      </c>
      <c r="B5353" t="s">
        <v>574</v>
      </c>
      <c r="C5353" t="s">
        <v>24952</v>
      </c>
      <c r="D5353" t="s">
        <v>24951</v>
      </c>
      <c r="E5353">
        <v>424031</v>
      </c>
      <c r="F5353" t="s">
        <v>1</v>
      </c>
      <c r="G5353" t="s">
        <v>2</v>
      </c>
      <c r="H5353" t="s">
        <v>10141</v>
      </c>
      <c r="Y5353" t="s">
        <v>10144</v>
      </c>
    </row>
    <row r="5354" spans="1:25" x14ac:dyDescent="0.25">
      <c r="A5354" t="str">
        <f>"9698932080"</f>
        <v>9698932080</v>
      </c>
      <c r="B5354" t="s">
        <v>32</v>
      </c>
      <c r="C5354" t="s">
        <v>40</v>
      </c>
      <c r="D5354" t="s">
        <v>16396</v>
      </c>
      <c r="E5354">
        <v>424019</v>
      </c>
      <c r="F5354" t="s">
        <v>1</v>
      </c>
      <c r="G5354" t="s">
        <v>2</v>
      </c>
      <c r="H5354" t="s">
        <v>21626</v>
      </c>
      <c r="Y5354" t="s">
        <v>24953</v>
      </c>
    </row>
    <row r="5355" spans="1:25" x14ac:dyDescent="0.25">
      <c r="A5355" t="str">
        <f>"9717664227"</f>
        <v>9717664227</v>
      </c>
      <c r="B5355" t="s">
        <v>469</v>
      </c>
      <c r="C5355" t="s">
        <v>24886</v>
      </c>
      <c r="D5355" t="s">
        <v>24954</v>
      </c>
      <c r="E5355">
        <v>424000</v>
      </c>
      <c r="F5355" t="s">
        <v>1</v>
      </c>
      <c r="G5355" t="s">
        <v>2</v>
      </c>
      <c r="H5355" t="s">
        <v>265</v>
      </c>
      <c r="I5355" t="s">
        <v>24955</v>
      </c>
      <c r="J5355" t="s">
        <v>24956</v>
      </c>
      <c r="Q5355" t="s">
        <v>24957</v>
      </c>
      <c r="Y5355" t="s">
        <v>11205</v>
      </c>
    </row>
    <row r="5356" spans="1:25" x14ac:dyDescent="0.25">
      <c r="A5356" t="str">
        <f>"9717876022"</f>
        <v>9717876022</v>
      </c>
      <c r="B5356" t="s">
        <v>388</v>
      </c>
      <c r="C5356" t="s">
        <v>4731</v>
      </c>
      <c r="D5356" t="s">
        <v>24958</v>
      </c>
      <c r="F5356" t="s">
        <v>1</v>
      </c>
      <c r="G5356" t="s">
        <v>2</v>
      </c>
      <c r="H5356" t="s">
        <v>1600</v>
      </c>
      <c r="Y5356" t="s">
        <v>2417</v>
      </c>
    </row>
    <row r="5357" spans="1:25" x14ac:dyDescent="0.25">
      <c r="A5357" t="str">
        <f>"9720543253"</f>
        <v>9720543253</v>
      </c>
      <c r="B5357" t="s">
        <v>841</v>
      </c>
      <c r="C5357" t="s">
        <v>11986</v>
      </c>
      <c r="D5357" t="s">
        <v>24959</v>
      </c>
      <c r="E5357">
        <v>424918</v>
      </c>
      <c r="F5357" t="s">
        <v>1</v>
      </c>
      <c r="G5357" t="s">
        <v>2</v>
      </c>
      <c r="H5357" t="s">
        <v>629</v>
      </c>
      <c r="P5357" t="s">
        <v>630</v>
      </c>
      <c r="Y5357" t="s">
        <v>1744</v>
      </c>
    </row>
    <row r="5358" spans="1:25" x14ac:dyDescent="0.25">
      <c r="A5358" t="str">
        <f>"9758578134"</f>
        <v>9758578134</v>
      </c>
      <c r="B5358" t="s">
        <v>456</v>
      </c>
      <c r="C5358" t="s">
        <v>24964</v>
      </c>
      <c r="D5358" t="s">
        <v>24960</v>
      </c>
      <c r="E5358">
        <v>424003</v>
      </c>
      <c r="F5358" t="s">
        <v>1</v>
      </c>
      <c r="G5358" t="s">
        <v>2</v>
      </c>
      <c r="H5358" t="s">
        <v>24961</v>
      </c>
      <c r="J5358" t="s">
        <v>24962</v>
      </c>
      <c r="L5358" t="s">
        <v>24963</v>
      </c>
      <c r="P5358" t="s">
        <v>330</v>
      </c>
      <c r="Q5358" t="s">
        <v>24965</v>
      </c>
      <c r="V5358" t="s">
        <v>24966</v>
      </c>
      <c r="Y5358" t="s">
        <v>24967</v>
      </c>
    </row>
    <row r="5359" spans="1:25" x14ac:dyDescent="0.25">
      <c r="A5359" t="str">
        <f>"9760558952"</f>
        <v>9760558952</v>
      </c>
      <c r="B5359" t="s">
        <v>117</v>
      </c>
      <c r="C5359" t="s">
        <v>118</v>
      </c>
      <c r="D5359" t="s">
        <v>24968</v>
      </c>
      <c r="F5359" t="s">
        <v>1</v>
      </c>
      <c r="G5359" t="s">
        <v>2</v>
      </c>
      <c r="H5359" t="s">
        <v>7547</v>
      </c>
      <c r="Y5359" t="s">
        <v>24969</v>
      </c>
    </row>
    <row r="5360" spans="1:25" x14ac:dyDescent="0.25">
      <c r="A5360" t="str">
        <f>"9807216887"</f>
        <v>9807216887</v>
      </c>
      <c r="B5360" t="s">
        <v>930</v>
      </c>
      <c r="C5360" t="s">
        <v>10263</v>
      </c>
      <c r="D5360" t="s">
        <v>10475</v>
      </c>
      <c r="F5360" t="s">
        <v>1</v>
      </c>
      <c r="G5360" t="s">
        <v>2</v>
      </c>
      <c r="H5360" t="s">
        <v>10476</v>
      </c>
      <c r="I5360" t="s">
        <v>24970</v>
      </c>
      <c r="P5360" t="s">
        <v>2457</v>
      </c>
      <c r="Y5360" t="s">
        <v>24971</v>
      </c>
    </row>
    <row r="5361" spans="1:25" x14ac:dyDescent="0.25">
      <c r="A5361" t="str">
        <f>"9816305291"</f>
        <v>9816305291</v>
      </c>
      <c r="B5361" t="s">
        <v>574</v>
      </c>
      <c r="C5361" t="s">
        <v>14652</v>
      </c>
      <c r="D5361" t="s">
        <v>24972</v>
      </c>
      <c r="E5361">
        <v>424005</v>
      </c>
      <c r="F5361" t="s">
        <v>1</v>
      </c>
      <c r="G5361" t="s">
        <v>2</v>
      </c>
      <c r="H5361" t="s">
        <v>24973</v>
      </c>
      <c r="Y5361" t="s">
        <v>24974</v>
      </c>
    </row>
    <row r="5362" spans="1:25" x14ac:dyDescent="0.25">
      <c r="A5362" t="str">
        <f>"9822405375"</f>
        <v>9822405375</v>
      </c>
      <c r="B5362" t="s">
        <v>430</v>
      </c>
      <c r="C5362" t="s">
        <v>24979</v>
      </c>
      <c r="D5362" t="s">
        <v>24975</v>
      </c>
      <c r="E5362">
        <v>424033</v>
      </c>
      <c r="F5362" t="s">
        <v>1</v>
      </c>
      <c r="G5362" t="s">
        <v>2</v>
      </c>
      <c r="H5362" t="s">
        <v>24976</v>
      </c>
      <c r="I5362" t="s">
        <v>24977</v>
      </c>
      <c r="J5362" t="s">
        <v>24978</v>
      </c>
      <c r="P5362" t="s">
        <v>24980</v>
      </c>
      <c r="V5362" t="s">
        <v>24981</v>
      </c>
      <c r="Y5362" t="s">
        <v>24982</v>
      </c>
    </row>
    <row r="5363" spans="1:25" x14ac:dyDescent="0.25">
      <c r="A5363" t="str">
        <f>"9826741830"</f>
        <v>9826741830</v>
      </c>
      <c r="B5363" t="s">
        <v>388</v>
      </c>
      <c r="C5363" t="s">
        <v>5565</v>
      </c>
      <c r="D5363" t="s">
        <v>5560</v>
      </c>
      <c r="E5363">
        <v>424002</v>
      </c>
      <c r="F5363" t="s">
        <v>1</v>
      </c>
      <c r="G5363" t="s">
        <v>2</v>
      </c>
      <c r="H5363" t="s">
        <v>57</v>
      </c>
      <c r="I5363" t="s">
        <v>24983</v>
      </c>
      <c r="L5363" t="s">
        <v>24984</v>
      </c>
      <c r="P5363" t="s">
        <v>2258</v>
      </c>
      <c r="Y5363" t="s">
        <v>3783</v>
      </c>
    </row>
    <row r="5364" spans="1:25" x14ac:dyDescent="0.25">
      <c r="A5364" t="str">
        <f>"9833829311"</f>
        <v>9833829311</v>
      </c>
      <c r="B5364" t="s">
        <v>1573</v>
      </c>
      <c r="C5364" t="s">
        <v>1817</v>
      </c>
      <c r="D5364" t="s">
        <v>24985</v>
      </c>
      <c r="E5364">
        <v>424040</v>
      </c>
      <c r="F5364" t="s">
        <v>1</v>
      </c>
      <c r="G5364" t="s">
        <v>2</v>
      </c>
      <c r="H5364" t="s">
        <v>5602</v>
      </c>
      <c r="Y5364" t="s">
        <v>5606</v>
      </c>
    </row>
    <row r="5365" spans="1:25" x14ac:dyDescent="0.25">
      <c r="A5365" t="str">
        <f>"9876719127"</f>
        <v>9876719127</v>
      </c>
      <c r="B5365" t="s">
        <v>2104</v>
      </c>
      <c r="C5365" t="s">
        <v>2105</v>
      </c>
      <c r="D5365" t="s">
        <v>24033</v>
      </c>
      <c r="E5365">
        <v>424028</v>
      </c>
      <c r="F5365" t="s">
        <v>1</v>
      </c>
      <c r="G5365" t="s">
        <v>2</v>
      </c>
      <c r="H5365" t="s">
        <v>24899</v>
      </c>
      <c r="P5365" t="s">
        <v>1642</v>
      </c>
      <c r="Y5365" t="s">
        <v>24986</v>
      </c>
    </row>
    <row r="5366" spans="1:25" x14ac:dyDescent="0.25">
      <c r="A5366" t="str">
        <f>"9895752819"</f>
        <v>9895752819</v>
      </c>
      <c r="B5366" t="s">
        <v>8011</v>
      </c>
      <c r="C5366" t="s">
        <v>24988</v>
      </c>
      <c r="D5366" t="s">
        <v>24987</v>
      </c>
      <c r="E5366">
        <v>424020</v>
      </c>
      <c r="F5366" t="s">
        <v>1</v>
      </c>
      <c r="G5366" t="s">
        <v>2</v>
      </c>
      <c r="H5366" t="s">
        <v>14120</v>
      </c>
      <c r="Y5366" t="s">
        <v>24989</v>
      </c>
    </row>
    <row r="5367" spans="1:25" x14ac:dyDescent="0.25">
      <c r="A5367" t="str">
        <f>"9920258227"</f>
        <v>9920258227</v>
      </c>
      <c r="B5367" t="s">
        <v>3008</v>
      </c>
      <c r="C5367" t="s">
        <v>24994</v>
      </c>
      <c r="D5367" t="s">
        <v>24990</v>
      </c>
      <c r="E5367">
        <v>424003</v>
      </c>
      <c r="F5367" t="s">
        <v>1</v>
      </c>
      <c r="G5367" t="s">
        <v>2</v>
      </c>
      <c r="H5367" t="s">
        <v>2465</v>
      </c>
      <c r="I5367" t="s">
        <v>24991</v>
      </c>
      <c r="J5367" t="s">
        <v>24992</v>
      </c>
      <c r="L5367" t="s">
        <v>24993</v>
      </c>
      <c r="P5367" t="s">
        <v>8655</v>
      </c>
      <c r="Q5367" t="s">
        <v>24995</v>
      </c>
      <c r="V5367" t="s">
        <v>24996</v>
      </c>
      <c r="Y5367" t="s">
        <v>2469</v>
      </c>
    </row>
    <row r="5368" spans="1:25" x14ac:dyDescent="0.25">
      <c r="A5368" t="str">
        <f>"9934517776"</f>
        <v>9934517776</v>
      </c>
      <c r="B5368" t="s">
        <v>96</v>
      </c>
      <c r="C5368" t="s">
        <v>12339</v>
      </c>
      <c r="D5368" t="s">
        <v>24997</v>
      </c>
      <c r="E5368">
        <v>424019</v>
      </c>
      <c r="F5368" t="s">
        <v>1</v>
      </c>
      <c r="G5368" t="s">
        <v>2</v>
      </c>
      <c r="H5368" t="s">
        <v>7785</v>
      </c>
      <c r="J5368" t="s">
        <v>24998</v>
      </c>
      <c r="P5368" t="s">
        <v>98</v>
      </c>
      <c r="Q5368" t="s">
        <v>24999</v>
      </c>
      <c r="V5368" t="s">
        <v>25000</v>
      </c>
      <c r="Y5368" t="s">
        <v>25001</v>
      </c>
    </row>
    <row r="5369" spans="1:25" x14ac:dyDescent="0.25">
      <c r="A5369" t="str">
        <f>"9962105134"</f>
        <v>9962105134</v>
      </c>
      <c r="B5369" t="s">
        <v>18</v>
      </c>
      <c r="C5369" t="s">
        <v>143</v>
      </c>
      <c r="D5369" t="s">
        <v>25002</v>
      </c>
      <c r="E5369">
        <v>424006</v>
      </c>
      <c r="F5369" t="s">
        <v>1</v>
      </c>
      <c r="G5369" t="s">
        <v>2</v>
      </c>
      <c r="H5369" t="s">
        <v>2012</v>
      </c>
      <c r="I5369" t="s">
        <v>25003</v>
      </c>
      <c r="L5369" t="s">
        <v>25004</v>
      </c>
      <c r="M5369" t="s">
        <v>25005</v>
      </c>
      <c r="Y5369" t="s">
        <v>2016</v>
      </c>
    </row>
    <row r="5370" spans="1:25" x14ac:dyDescent="0.25">
      <c r="A5370" t="str">
        <f>"9995361963"</f>
        <v>9995361963</v>
      </c>
      <c r="B5370" t="s">
        <v>797</v>
      </c>
      <c r="C5370" t="s">
        <v>5123</v>
      </c>
      <c r="D5370" t="s">
        <v>25006</v>
      </c>
      <c r="E5370">
        <v>424031</v>
      </c>
      <c r="F5370" t="s">
        <v>1</v>
      </c>
      <c r="G5370" t="s">
        <v>2</v>
      </c>
      <c r="H5370" t="s">
        <v>3271</v>
      </c>
      <c r="Y5370" t="s">
        <v>3274</v>
      </c>
    </row>
    <row r="5371" spans="1:25" x14ac:dyDescent="0.25">
      <c r="A5371" t="str">
        <f>"9998875160"</f>
        <v>9998875160</v>
      </c>
      <c r="B5371" t="s">
        <v>530</v>
      </c>
      <c r="C5371" t="s">
        <v>23950</v>
      </c>
      <c r="D5371" t="s">
        <v>23950</v>
      </c>
      <c r="F5371" t="s">
        <v>1</v>
      </c>
      <c r="G5371" t="s">
        <v>2</v>
      </c>
      <c r="H5371" t="s">
        <v>25007</v>
      </c>
      <c r="Y5371" t="s">
        <v>25008</v>
      </c>
    </row>
    <row r="5372" spans="1:25" x14ac:dyDescent="0.25">
      <c r="A5372" t="str">
        <f>"10007521579"</f>
        <v>10007521579</v>
      </c>
      <c r="B5372" t="s">
        <v>1475</v>
      </c>
      <c r="C5372" t="s">
        <v>1476</v>
      </c>
      <c r="D5372" t="s">
        <v>25009</v>
      </c>
      <c r="E5372">
        <v>424006</v>
      </c>
      <c r="F5372" t="s">
        <v>1</v>
      </c>
      <c r="G5372" t="s">
        <v>2</v>
      </c>
      <c r="H5372" t="s">
        <v>5846</v>
      </c>
      <c r="Y5372" t="s">
        <v>17495</v>
      </c>
    </row>
    <row r="5373" spans="1:25" x14ac:dyDescent="0.25">
      <c r="A5373" t="str">
        <f>"10016911717"</f>
        <v>10016911717</v>
      </c>
      <c r="B5373" t="s">
        <v>930</v>
      </c>
      <c r="C5373" t="s">
        <v>25012</v>
      </c>
      <c r="D5373" t="s">
        <v>25010</v>
      </c>
      <c r="F5373" t="s">
        <v>1</v>
      </c>
      <c r="G5373" t="s">
        <v>2</v>
      </c>
      <c r="H5373" t="s">
        <v>1428</v>
      </c>
      <c r="I5373" t="s">
        <v>25011</v>
      </c>
      <c r="P5373" t="s">
        <v>4831</v>
      </c>
      <c r="Y5373" t="s">
        <v>25013</v>
      </c>
    </row>
    <row r="5374" spans="1:25" x14ac:dyDescent="0.25">
      <c r="A5374" t="str">
        <f>"10067276188"</f>
        <v>10067276188</v>
      </c>
      <c r="B5374" t="s">
        <v>930</v>
      </c>
      <c r="C5374" t="s">
        <v>6070</v>
      </c>
      <c r="D5374" t="s">
        <v>6068</v>
      </c>
      <c r="E5374">
        <v>424007</v>
      </c>
      <c r="F5374" t="s">
        <v>1</v>
      </c>
      <c r="G5374" t="s">
        <v>2</v>
      </c>
      <c r="H5374" t="s">
        <v>18554</v>
      </c>
      <c r="I5374" t="s">
        <v>25014</v>
      </c>
      <c r="J5374" t="s">
        <v>25015</v>
      </c>
      <c r="P5374" t="s">
        <v>330</v>
      </c>
      <c r="Y5374" t="s">
        <v>18556</v>
      </c>
    </row>
    <row r="5375" spans="1:25" x14ac:dyDescent="0.25">
      <c r="A5375" t="str">
        <f>"10070206001"</f>
        <v>10070206001</v>
      </c>
      <c r="B5375" t="s">
        <v>574</v>
      </c>
      <c r="C5375" t="s">
        <v>646</v>
      </c>
      <c r="D5375" t="s">
        <v>17643</v>
      </c>
      <c r="E5375">
        <v>424002</v>
      </c>
      <c r="F5375" t="s">
        <v>1</v>
      </c>
      <c r="G5375" t="s">
        <v>2</v>
      </c>
      <c r="H5375" t="s">
        <v>5692</v>
      </c>
      <c r="Y5375" t="s">
        <v>25016</v>
      </c>
    </row>
    <row r="5376" spans="1:25" x14ac:dyDescent="0.25">
      <c r="A5376" t="str">
        <f>"10147367948"</f>
        <v>10147367948</v>
      </c>
      <c r="B5376" t="s">
        <v>530</v>
      </c>
      <c r="C5376" t="s">
        <v>23950</v>
      </c>
      <c r="D5376" t="s">
        <v>23950</v>
      </c>
      <c r="F5376" t="s">
        <v>1</v>
      </c>
      <c r="G5376" t="s">
        <v>2</v>
      </c>
      <c r="H5376" t="s">
        <v>25017</v>
      </c>
      <c r="Y5376" t="s">
        <v>25018</v>
      </c>
    </row>
    <row r="5377" spans="1:25" x14ac:dyDescent="0.25">
      <c r="A5377" t="str">
        <f>"10149359371"</f>
        <v>10149359371</v>
      </c>
      <c r="B5377" t="s">
        <v>482</v>
      </c>
      <c r="C5377" t="s">
        <v>4057</v>
      </c>
      <c r="D5377" t="s">
        <v>25019</v>
      </c>
      <c r="E5377">
        <v>424033</v>
      </c>
      <c r="F5377" t="s">
        <v>1</v>
      </c>
      <c r="G5377" t="s">
        <v>2</v>
      </c>
      <c r="H5377" t="s">
        <v>6126</v>
      </c>
      <c r="I5377" t="s">
        <v>25020</v>
      </c>
      <c r="J5377" t="s">
        <v>25021</v>
      </c>
      <c r="L5377" t="s">
        <v>25022</v>
      </c>
      <c r="P5377" t="s">
        <v>27</v>
      </c>
      <c r="Q5377" t="s">
        <v>25023</v>
      </c>
      <c r="Y5377" t="s">
        <v>25024</v>
      </c>
    </row>
    <row r="5378" spans="1:25" x14ac:dyDescent="0.25">
      <c r="A5378" t="str">
        <f>"10149486534"</f>
        <v>10149486534</v>
      </c>
      <c r="B5378" t="s">
        <v>574</v>
      </c>
      <c r="C5378" t="s">
        <v>25030</v>
      </c>
      <c r="D5378" t="s">
        <v>25025</v>
      </c>
      <c r="E5378">
        <v>424002</v>
      </c>
      <c r="F5378" t="s">
        <v>1</v>
      </c>
      <c r="G5378" t="s">
        <v>2</v>
      </c>
      <c r="H5378" t="s">
        <v>4001</v>
      </c>
      <c r="I5378" t="s">
        <v>25026</v>
      </c>
      <c r="J5378" t="s">
        <v>25027</v>
      </c>
      <c r="L5378" t="s">
        <v>25028</v>
      </c>
      <c r="M5378" t="s">
        <v>25029</v>
      </c>
      <c r="P5378" t="s">
        <v>216</v>
      </c>
      <c r="Q5378" t="s">
        <v>25031</v>
      </c>
      <c r="T5378" t="s">
        <v>25032</v>
      </c>
      <c r="V5378" t="s">
        <v>25033</v>
      </c>
      <c r="Y5378" t="s">
        <v>25034</v>
      </c>
    </row>
    <row r="5379" spans="1:25" x14ac:dyDescent="0.25">
      <c r="A5379" t="str">
        <f>"10163147602"</f>
        <v>10163147602</v>
      </c>
      <c r="B5379" t="s">
        <v>32</v>
      </c>
      <c r="C5379" t="s">
        <v>777</v>
      </c>
      <c r="D5379" t="s">
        <v>25035</v>
      </c>
      <c r="E5379">
        <v>424028</v>
      </c>
      <c r="F5379" t="s">
        <v>1</v>
      </c>
      <c r="G5379" t="s">
        <v>2</v>
      </c>
      <c r="H5379" t="s">
        <v>5121</v>
      </c>
      <c r="Y5379" t="s">
        <v>5124</v>
      </c>
    </row>
    <row r="5380" spans="1:25" x14ac:dyDescent="0.25">
      <c r="A5380" t="str">
        <f>"10194109875"</f>
        <v>10194109875</v>
      </c>
      <c r="B5380" t="s">
        <v>25</v>
      </c>
      <c r="C5380" t="s">
        <v>11919</v>
      </c>
      <c r="D5380" t="s">
        <v>5805</v>
      </c>
      <c r="F5380" t="s">
        <v>1</v>
      </c>
      <c r="G5380" t="s">
        <v>2</v>
      </c>
      <c r="H5380" t="s">
        <v>25036</v>
      </c>
      <c r="J5380" t="s">
        <v>25037</v>
      </c>
      <c r="L5380" t="s">
        <v>25038</v>
      </c>
      <c r="P5380" t="s">
        <v>27</v>
      </c>
      <c r="Q5380" t="s">
        <v>25039</v>
      </c>
      <c r="V5380" t="s">
        <v>25040</v>
      </c>
      <c r="Y5380" t="s">
        <v>25041</v>
      </c>
    </row>
    <row r="5381" spans="1:25" x14ac:dyDescent="0.25">
      <c r="A5381" t="str">
        <f>"10210926336"</f>
        <v>10210926336</v>
      </c>
      <c r="B5381" t="s">
        <v>591</v>
      </c>
      <c r="C5381" t="s">
        <v>1904</v>
      </c>
      <c r="D5381" t="s">
        <v>13039</v>
      </c>
      <c r="E5381">
        <v>424004</v>
      </c>
      <c r="F5381" t="s">
        <v>1</v>
      </c>
      <c r="G5381" t="s">
        <v>2</v>
      </c>
      <c r="H5381" t="s">
        <v>4844</v>
      </c>
      <c r="P5381" t="s">
        <v>25042</v>
      </c>
      <c r="Y5381" t="s">
        <v>21056</v>
      </c>
    </row>
    <row r="5382" spans="1:25" x14ac:dyDescent="0.25">
      <c r="A5382" t="str">
        <f>"10228881965"</f>
        <v>10228881965</v>
      </c>
      <c r="B5382" t="s">
        <v>1046</v>
      </c>
      <c r="C5382" t="s">
        <v>22946</v>
      </c>
      <c r="D5382" t="s">
        <v>22946</v>
      </c>
      <c r="E5382">
        <v>424005</v>
      </c>
      <c r="F5382" t="s">
        <v>1</v>
      </c>
      <c r="G5382" t="s">
        <v>2</v>
      </c>
      <c r="H5382" t="s">
        <v>25043</v>
      </c>
      <c r="Y5382" t="s">
        <v>25044</v>
      </c>
    </row>
    <row r="5383" spans="1:25" x14ac:dyDescent="0.25">
      <c r="A5383" t="str">
        <f>"10232590264"</f>
        <v>10232590264</v>
      </c>
      <c r="B5383" t="s">
        <v>519</v>
      </c>
      <c r="C5383" t="s">
        <v>23996</v>
      </c>
      <c r="D5383" t="s">
        <v>25045</v>
      </c>
      <c r="E5383">
        <v>424003</v>
      </c>
      <c r="F5383" t="s">
        <v>1</v>
      </c>
      <c r="G5383" t="s">
        <v>2</v>
      </c>
      <c r="H5383" t="s">
        <v>14928</v>
      </c>
      <c r="Y5383" t="s">
        <v>25046</v>
      </c>
    </row>
    <row r="5384" spans="1:25" x14ac:dyDescent="0.25">
      <c r="A5384" t="str">
        <f>"10239093737"</f>
        <v>10239093737</v>
      </c>
      <c r="B5384" t="s">
        <v>388</v>
      </c>
      <c r="C5384" t="s">
        <v>4509</v>
      </c>
      <c r="D5384" t="s">
        <v>25047</v>
      </c>
      <c r="E5384">
        <v>424003</v>
      </c>
      <c r="F5384" t="s">
        <v>1</v>
      </c>
      <c r="G5384" t="s">
        <v>2</v>
      </c>
      <c r="H5384" t="s">
        <v>25048</v>
      </c>
      <c r="I5384" t="s">
        <v>25049</v>
      </c>
      <c r="M5384" t="s">
        <v>25050</v>
      </c>
      <c r="P5384" t="s">
        <v>330</v>
      </c>
      <c r="Y5384" t="s">
        <v>25051</v>
      </c>
    </row>
    <row r="5385" spans="1:25" x14ac:dyDescent="0.25">
      <c r="A5385" t="str">
        <f>"10268135853"</f>
        <v>10268135853</v>
      </c>
      <c r="B5385" t="s">
        <v>151</v>
      </c>
      <c r="C5385" t="s">
        <v>151</v>
      </c>
      <c r="D5385" t="s">
        <v>25052</v>
      </c>
      <c r="E5385">
        <v>424019</v>
      </c>
      <c r="F5385" t="s">
        <v>1</v>
      </c>
      <c r="G5385" t="s">
        <v>2</v>
      </c>
      <c r="H5385" t="s">
        <v>25053</v>
      </c>
      <c r="J5385" t="s">
        <v>25054</v>
      </c>
      <c r="P5385" t="s">
        <v>280</v>
      </c>
      <c r="Y5385" t="s">
        <v>25055</v>
      </c>
    </row>
    <row r="5386" spans="1:25" x14ac:dyDescent="0.25">
      <c r="A5386" t="str">
        <f>"10355291480"</f>
        <v>10355291480</v>
      </c>
      <c r="B5386" t="s">
        <v>379</v>
      </c>
      <c r="C5386" t="s">
        <v>4852</v>
      </c>
      <c r="D5386" t="s">
        <v>25056</v>
      </c>
      <c r="E5386">
        <v>424033</v>
      </c>
      <c r="F5386" t="s">
        <v>1</v>
      </c>
      <c r="G5386" t="s">
        <v>2</v>
      </c>
      <c r="H5386" t="s">
        <v>4225</v>
      </c>
      <c r="I5386" t="s">
        <v>25057</v>
      </c>
      <c r="J5386" t="s">
        <v>25058</v>
      </c>
      <c r="P5386" t="s">
        <v>799</v>
      </c>
      <c r="Y5386" t="s">
        <v>24281</v>
      </c>
    </row>
    <row r="5387" spans="1:25" x14ac:dyDescent="0.25">
      <c r="A5387" t="str">
        <f>"10397368477"</f>
        <v>10397368477</v>
      </c>
      <c r="B5387" t="s">
        <v>96</v>
      </c>
      <c r="C5387" t="s">
        <v>25061</v>
      </c>
      <c r="D5387" t="s">
        <v>25059</v>
      </c>
      <c r="E5387">
        <v>424000</v>
      </c>
      <c r="F5387" t="s">
        <v>1</v>
      </c>
      <c r="G5387" t="s">
        <v>2</v>
      </c>
      <c r="H5387" t="s">
        <v>1531</v>
      </c>
      <c r="J5387" t="s">
        <v>25060</v>
      </c>
      <c r="P5387" t="s">
        <v>941</v>
      </c>
      <c r="Y5387" t="s">
        <v>1707</v>
      </c>
    </row>
    <row r="5388" spans="1:25" x14ac:dyDescent="0.25">
      <c r="A5388" t="str">
        <f>"10401698291"</f>
        <v>10401698291</v>
      </c>
      <c r="B5388" t="s">
        <v>319</v>
      </c>
      <c r="C5388" t="s">
        <v>320</v>
      </c>
      <c r="D5388" t="s">
        <v>25062</v>
      </c>
      <c r="E5388">
        <v>424003</v>
      </c>
      <c r="F5388" t="s">
        <v>1</v>
      </c>
      <c r="G5388" t="s">
        <v>2</v>
      </c>
      <c r="H5388" t="s">
        <v>38</v>
      </c>
      <c r="I5388" t="s">
        <v>25063</v>
      </c>
      <c r="L5388" t="s">
        <v>25064</v>
      </c>
      <c r="M5388" t="s">
        <v>25065</v>
      </c>
      <c r="P5388" t="s">
        <v>2457</v>
      </c>
      <c r="Y5388" t="s">
        <v>25066</v>
      </c>
    </row>
    <row r="5389" spans="1:25" x14ac:dyDescent="0.25">
      <c r="A5389" t="str">
        <f>"10432445645"</f>
        <v>10432445645</v>
      </c>
      <c r="B5389" t="s">
        <v>1299</v>
      </c>
      <c r="C5389" t="s">
        <v>1300</v>
      </c>
      <c r="D5389" t="s">
        <v>14525</v>
      </c>
      <c r="E5389">
        <v>424037</v>
      </c>
      <c r="F5389" t="s">
        <v>1</v>
      </c>
      <c r="G5389" t="s">
        <v>2</v>
      </c>
      <c r="H5389" t="s">
        <v>1116</v>
      </c>
      <c r="Y5389" t="s">
        <v>25067</v>
      </c>
    </row>
    <row r="5390" spans="1:25" x14ac:dyDescent="0.25">
      <c r="A5390" t="str">
        <f>"10434434495"</f>
        <v>10434434495</v>
      </c>
      <c r="B5390" t="s">
        <v>790</v>
      </c>
      <c r="C5390" t="s">
        <v>25073</v>
      </c>
      <c r="D5390" t="s">
        <v>25068</v>
      </c>
      <c r="E5390">
        <v>424002</v>
      </c>
      <c r="F5390" t="s">
        <v>1</v>
      </c>
      <c r="G5390" t="s">
        <v>2</v>
      </c>
      <c r="H5390" t="s">
        <v>3864</v>
      </c>
      <c r="I5390" t="s">
        <v>25069</v>
      </c>
      <c r="J5390" t="s">
        <v>25070</v>
      </c>
      <c r="L5390" t="s">
        <v>25071</v>
      </c>
      <c r="M5390" t="s">
        <v>25072</v>
      </c>
      <c r="P5390" t="s">
        <v>2738</v>
      </c>
      <c r="Q5390" t="s">
        <v>25074</v>
      </c>
      <c r="S5390" t="s">
        <v>25075</v>
      </c>
      <c r="T5390" t="s">
        <v>25076</v>
      </c>
      <c r="U5390" t="s">
        <v>25077</v>
      </c>
      <c r="V5390" t="s">
        <v>25078</v>
      </c>
      <c r="Y5390" t="s">
        <v>25079</v>
      </c>
    </row>
    <row r="5391" spans="1:25" x14ac:dyDescent="0.25">
      <c r="A5391" t="str">
        <f>"10478295379"</f>
        <v>10478295379</v>
      </c>
      <c r="B5391" t="s">
        <v>96</v>
      </c>
      <c r="C5391" t="s">
        <v>25084</v>
      </c>
      <c r="D5391" t="s">
        <v>25080</v>
      </c>
      <c r="E5391">
        <v>424918</v>
      </c>
      <c r="F5391" t="s">
        <v>1</v>
      </c>
      <c r="G5391" t="s">
        <v>2</v>
      </c>
      <c r="H5391" t="s">
        <v>629</v>
      </c>
      <c r="J5391" t="s">
        <v>25081</v>
      </c>
      <c r="L5391" t="s">
        <v>25082</v>
      </c>
      <c r="M5391" t="s">
        <v>25083</v>
      </c>
      <c r="P5391" t="s">
        <v>630</v>
      </c>
      <c r="Q5391" t="s">
        <v>25085</v>
      </c>
      <c r="Y5391" t="s">
        <v>1744</v>
      </c>
    </row>
    <row r="5392" spans="1:25" x14ac:dyDescent="0.25">
      <c r="A5392" t="str">
        <f>"10520368379"</f>
        <v>10520368379</v>
      </c>
      <c r="B5392" t="s">
        <v>123</v>
      </c>
      <c r="C5392" t="s">
        <v>18438</v>
      </c>
      <c r="D5392" t="s">
        <v>25086</v>
      </c>
      <c r="E5392">
        <v>424006</v>
      </c>
      <c r="F5392" t="s">
        <v>1</v>
      </c>
      <c r="G5392" t="s">
        <v>2</v>
      </c>
      <c r="H5392" t="s">
        <v>2966</v>
      </c>
      <c r="Y5392" t="s">
        <v>25087</v>
      </c>
    </row>
    <row r="5393" spans="1:25" x14ac:dyDescent="0.25">
      <c r="A5393" t="str">
        <f>"10529665653"</f>
        <v>10529665653</v>
      </c>
      <c r="B5393" t="s">
        <v>716</v>
      </c>
      <c r="C5393" t="s">
        <v>717</v>
      </c>
      <c r="D5393" t="s">
        <v>25088</v>
      </c>
      <c r="E5393">
        <v>424000</v>
      </c>
      <c r="F5393" t="s">
        <v>1</v>
      </c>
      <c r="G5393" t="s">
        <v>2</v>
      </c>
      <c r="H5393" t="s">
        <v>4726</v>
      </c>
      <c r="J5393" t="s">
        <v>25089</v>
      </c>
      <c r="P5393" t="s">
        <v>27</v>
      </c>
      <c r="Q5393" t="s">
        <v>25090</v>
      </c>
      <c r="Y5393" t="s">
        <v>25091</v>
      </c>
    </row>
    <row r="5394" spans="1:25" x14ac:dyDescent="0.25">
      <c r="A5394" t="str">
        <f>"10565249284"</f>
        <v>10565249284</v>
      </c>
      <c r="B5394" t="s">
        <v>1573</v>
      </c>
      <c r="C5394" t="s">
        <v>1817</v>
      </c>
      <c r="D5394" t="s">
        <v>25092</v>
      </c>
      <c r="E5394">
        <v>424038</v>
      </c>
      <c r="F5394" t="s">
        <v>1</v>
      </c>
      <c r="G5394" t="s">
        <v>2</v>
      </c>
      <c r="H5394" t="s">
        <v>23978</v>
      </c>
      <c r="Y5394" t="s">
        <v>25093</v>
      </c>
    </row>
    <row r="5395" spans="1:25" x14ac:dyDescent="0.25">
      <c r="A5395" t="str">
        <f>"10618851768"</f>
        <v>10618851768</v>
      </c>
      <c r="B5395" t="s">
        <v>18</v>
      </c>
      <c r="C5395" t="s">
        <v>25096</v>
      </c>
      <c r="D5395" t="s">
        <v>25094</v>
      </c>
      <c r="E5395">
        <v>424038</v>
      </c>
      <c r="F5395" t="s">
        <v>1</v>
      </c>
      <c r="G5395" t="s">
        <v>2</v>
      </c>
      <c r="H5395" t="s">
        <v>14026</v>
      </c>
      <c r="J5395" t="s">
        <v>25095</v>
      </c>
      <c r="P5395" t="s">
        <v>98</v>
      </c>
      <c r="Y5395" t="s">
        <v>25097</v>
      </c>
    </row>
    <row r="5396" spans="1:25" x14ac:dyDescent="0.25">
      <c r="A5396" t="str">
        <f>"10641881515"</f>
        <v>10641881515</v>
      </c>
      <c r="B5396" t="s">
        <v>1611</v>
      </c>
      <c r="C5396" t="s">
        <v>14699</v>
      </c>
      <c r="D5396" t="s">
        <v>25098</v>
      </c>
      <c r="E5396">
        <v>424038</v>
      </c>
      <c r="F5396" t="s">
        <v>1</v>
      </c>
      <c r="G5396" t="s">
        <v>2</v>
      </c>
      <c r="H5396" t="s">
        <v>1862</v>
      </c>
      <c r="I5396" t="s">
        <v>25099</v>
      </c>
      <c r="L5396" t="s">
        <v>25100</v>
      </c>
      <c r="M5396" t="s">
        <v>25101</v>
      </c>
      <c r="P5396" t="s">
        <v>216</v>
      </c>
      <c r="Y5396" t="s">
        <v>3870</v>
      </c>
    </row>
    <row r="5397" spans="1:25" x14ac:dyDescent="0.25">
      <c r="A5397" t="str">
        <f>"10650389743"</f>
        <v>10650389743</v>
      </c>
      <c r="B5397" t="s">
        <v>10383</v>
      </c>
      <c r="C5397" t="s">
        <v>24146</v>
      </c>
      <c r="D5397" t="s">
        <v>24146</v>
      </c>
      <c r="F5397" t="s">
        <v>1</v>
      </c>
      <c r="G5397" t="s">
        <v>2</v>
      </c>
      <c r="H5397" t="s">
        <v>25102</v>
      </c>
      <c r="Y5397" t="s">
        <v>25103</v>
      </c>
    </row>
    <row r="5398" spans="1:25" x14ac:dyDescent="0.25">
      <c r="A5398" t="str">
        <f>"10662815521"</f>
        <v>10662815521</v>
      </c>
      <c r="B5398" t="s">
        <v>10383</v>
      </c>
      <c r="C5398" t="s">
        <v>24146</v>
      </c>
      <c r="D5398" t="s">
        <v>24146</v>
      </c>
      <c r="F5398" t="s">
        <v>1</v>
      </c>
      <c r="G5398" t="s">
        <v>2</v>
      </c>
      <c r="H5398" t="s">
        <v>7547</v>
      </c>
      <c r="Y5398" t="s">
        <v>25104</v>
      </c>
    </row>
    <row r="5399" spans="1:25" x14ac:dyDescent="0.25">
      <c r="A5399" t="str">
        <f>"10714235474"</f>
        <v>10714235474</v>
      </c>
      <c r="B5399" t="s">
        <v>430</v>
      </c>
      <c r="C5399" t="s">
        <v>16178</v>
      </c>
      <c r="D5399" t="s">
        <v>25105</v>
      </c>
      <c r="E5399">
        <v>424033</v>
      </c>
      <c r="F5399" t="s">
        <v>1</v>
      </c>
      <c r="G5399" t="s">
        <v>2</v>
      </c>
      <c r="H5399" t="s">
        <v>2597</v>
      </c>
      <c r="P5399" t="s">
        <v>330</v>
      </c>
      <c r="V5399" t="s">
        <v>25106</v>
      </c>
      <c r="Y5399" t="s">
        <v>2718</v>
      </c>
    </row>
    <row r="5400" spans="1:25" x14ac:dyDescent="0.25">
      <c r="A5400" t="str">
        <f>"10717585257"</f>
        <v>10717585257</v>
      </c>
      <c r="B5400" t="s">
        <v>1343</v>
      </c>
      <c r="C5400" t="s">
        <v>5308</v>
      </c>
      <c r="D5400" t="s">
        <v>25107</v>
      </c>
      <c r="E5400">
        <v>424038</v>
      </c>
      <c r="F5400" t="s">
        <v>1</v>
      </c>
      <c r="G5400" t="s">
        <v>2</v>
      </c>
      <c r="H5400" t="s">
        <v>23978</v>
      </c>
      <c r="Y5400" t="s">
        <v>25108</v>
      </c>
    </row>
    <row r="5401" spans="1:25" x14ac:dyDescent="0.25">
      <c r="A5401" t="str">
        <f>"10732203404"</f>
        <v>10732203404</v>
      </c>
      <c r="B5401" t="s">
        <v>1475</v>
      </c>
      <c r="C5401" t="s">
        <v>21539</v>
      </c>
      <c r="D5401" t="s">
        <v>25109</v>
      </c>
      <c r="E5401">
        <v>424008</v>
      </c>
      <c r="F5401" t="s">
        <v>1</v>
      </c>
      <c r="G5401" t="s">
        <v>2</v>
      </c>
      <c r="H5401" t="s">
        <v>1031</v>
      </c>
      <c r="P5401" t="s">
        <v>410</v>
      </c>
      <c r="Y5401" t="s">
        <v>25110</v>
      </c>
    </row>
    <row r="5402" spans="1:25" x14ac:dyDescent="0.25">
      <c r="A5402" t="str">
        <f>"10749700510"</f>
        <v>10749700510</v>
      </c>
      <c r="B5402" t="s">
        <v>1315</v>
      </c>
      <c r="C5402" t="s">
        <v>25117</v>
      </c>
      <c r="D5402" t="s">
        <v>25111</v>
      </c>
      <c r="F5402" t="s">
        <v>1</v>
      </c>
      <c r="G5402" t="s">
        <v>2</v>
      </c>
      <c r="H5402" t="s">
        <v>25112</v>
      </c>
      <c r="I5402" t="s">
        <v>25113</v>
      </c>
      <c r="J5402" t="s">
        <v>25114</v>
      </c>
      <c r="L5402" t="s">
        <v>25115</v>
      </c>
      <c r="M5402" t="s">
        <v>25116</v>
      </c>
      <c r="P5402" t="s">
        <v>20</v>
      </c>
      <c r="Y5402" t="s">
        <v>25118</v>
      </c>
    </row>
    <row r="5403" spans="1:25" x14ac:dyDescent="0.25">
      <c r="A5403" t="str">
        <f>"10755495946"</f>
        <v>10755495946</v>
      </c>
      <c r="B5403" t="s">
        <v>151</v>
      </c>
      <c r="C5403" t="s">
        <v>151</v>
      </c>
      <c r="D5403" t="s">
        <v>25119</v>
      </c>
      <c r="E5403">
        <v>424000</v>
      </c>
      <c r="F5403" t="s">
        <v>1</v>
      </c>
      <c r="G5403" t="s">
        <v>2</v>
      </c>
      <c r="H5403" t="s">
        <v>5615</v>
      </c>
      <c r="J5403" t="s">
        <v>25120</v>
      </c>
      <c r="P5403" t="s">
        <v>13306</v>
      </c>
      <c r="Y5403" t="s">
        <v>5619</v>
      </c>
    </row>
    <row r="5404" spans="1:25" x14ac:dyDescent="0.25">
      <c r="A5404" t="str">
        <f>"10834537974"</f>
        <v>10834537974</v>
      </c>
      <c r="B5404" t="s">
        <v>1343</v>
      </c>
      <c r="C5404" t="s">
        <v>25123</v>
      </c>
      <c r="D5404" t="s">
        <v>25121</v>
      </c>
      <c r="E5404">
        <v>424016</v>
      </c>
      <c r="F5404" t="s">
        <v>1</v>
      </c>
      <c r="G5404" t="s">
        <v>2</v>
      </c>
      <c r="H5404" t="s">
        <v>16436</v>
      </c>
      <c r="I5404" t="s">
        <v>16437</v>
      </c>
      <c r="J5404" t="s">
        <v>25122</v>
      </c>
      <c r="P5404" t="s">
        <v>16441</v>
      </c>
      <c r="Q5404" t="s">
        <v>25124</v>
      </c>
      <c r="Y5404" t="s">
        <v>25125</v>
      </c>
    </row>
    <row r="5405" spans="1:25" x14ac:dyDescent="0.25">
      <c r="A5405" t="str">
        <f>"10862602189"</f>
        <v>10862602189</v>
      </c>
      <c r="B5405" t="s">
        <v>1391</v>
      </c>
      <c r="C5405" t="s">
        <v>25127</v>
      </c>
      <c r="D5405" t="s">
        <v>25126</v>
      </c>
      <c r="E5405">
        <v>424003</v>
      </c>
      <c r="F5405" t="s">
        <v>1</v>
      </c>
      <c r="G5405" t="s">
        <v>2</v>
      </c>
      <c r="H5405" t="s">
        <v>5773</v>
      </c>
      <c r="Y5405" t="s">
        <v>5775</v>
      </c>
    </row>
    <row r="5406" spans="1:25" x14ac:dyDescent="0.25">
      <c r="A5406" t="str">
        <f>"10874753100"</f>
        <v>10874753100</v>
      </c>
      <c r="B5406" t="s">
        <v>18</v>
      </c>
      <c r="C5406" t="s">
        <v>25129</v>
      </c>
      <c r="D5406" t="s">
        <v>25128</v>
      </c>
      <c r="E5406">
        <v>424004</v>
      </c>
      <c r="F5406" t="s">
        <v>1</v>
      </c>
      <c r="G5406" t="s">
        <v>2</v>
      </c>
      <c r="H5406" t="s">
        <v>20918</v>
      </c>
      <c r="Y5406" t="s">
        <v>20921</v>
      </c>
    </row>
    <row r="5407" spans="1:25" x14ac:dyDescent="0.25">
      <c r="A5407" t="str">
        <f>"10875538928"</f>
        <v>10875538928</v>
      </c>
      <c r="B5407" t="s">
        <v>519</v>
      </c>
      <c r="C5407" t="s">
        <v>25132</v>
      </c>
      <c r="D5407" t="s">
        <v>25130</v>
      </c>
      <c r="E5407">
        <v>424038</v>
      </c>
      <c r="F5407" t="s">
        <v>1</v>
      </c>
      <c r="G5407" t="s">
        <v>2</v>
      </c>
      <c r="H5407" t="s">
        <v>4399</v>
      </c>
      <c r="I5407" t="s">
        <v>25131</v>
      </c>
      <c r="Y5407" t="s">
        <v>25133</v>
      </c>
    </row>
    <row r="5408" spans="1:25" x14ac:dyDescent="0.25">
      <c r="A5408" t="str">
        <f>"10876793045"</f>
        <v>10876793045</v>
      </c>
      <c r="B5408" t="s">
        <v>530</v>
      </c>
      <c r="C5408" t="s">
        <v>23950</v>
      </c>
      <c r="D5408" t="s">
        <v>23950</v>
      </c>
      <c r="F5408" t="s">
        <v>1</v>
      </c>
      <c r="G5408" t="s">
        <v>2</v>
      </c>
      <c r="H5408" t="s">
        <v>25134</v>
      </c>
      <c r="Y5408" t="s">
        <v>25135</v>
      </c>
    </row>
    <row r="5409" spans="1:25" x14ac:dyDescent="0.25">
      <c r="A5409" t="str">
        <f>"10900769210"</f>
        <v>10900769210</v>
      </c>
      <c r="B5409" t="s">
        <v>352</v>
      </c>
      <c r="C5409" t="s">
        <v>3028</v>
      </c>
      <c r="D5409" t="s">
        <v>25136</v>
      </c>
      <c r="E5409">
        <v>424038</v>
      </c>
      <c r="F5409" t="s">
        <v>1</v>
      </c>
      <c r="G5409" t="s">
        <v>2</v>
      </c>
      <c r="H5409" t="s">
        <v>5286</v>
      </c>
      <c r="I5409" t="s">
        <v>5287</v>
      </c>
      <c r="Y5409" t="s">
        <v>25137</v>
      </c>
    </row>
    <row r="5410" spans="1:25" x14ac:dyDescent="0.25">
      <c r="A5410" t="str">
        <f>"10901159000"</f>
        <v>10901159000</v>
      </c>
      <c r="B5410" t="s">
        <v>1352</v>
      </c>
      <c r="C5410" t="s">
        <v>25143</v>
      </c>
      <c r="D5410" t="s">
        <v>25138</v>
      </c>
      <c r="E5410">
        <v>424918</v>
      </c>
      <c r="F5410" t="s">
        <v>1</v>
      </c>
      <c r="G5410" t="s">
        <v>2</v>
      </c>
      <c r="H5410" t="s">
        <v>629</v>
      </c>
      <c r="I5410" t="s">
        <v>25139</v>
      </c>
      <c r="J5410" t="s">
        <v>25140</v>
      </c>
      <c r="L5410" t="s">
        <v>25141</v>
      </c>
      <c r="M5410" t="s">
        <v>25142</v>
      </c>
      <c r="P5410" t="s">
        <v>630</v>
      </c>
      <c r="Y5410" t="s">
        <v>25144</v>
      </c>
    </row>
    <row r="5411" spans="1:25" x14ac:dyDescent="0.25">
      <c r="A5411" t="str">
        <f>"10903049061"</f>
        <v>10903049061</v>
      </c>
      <c r="B5411" t="s">
        <v>18</v>
      </c>
      <c r="C5411" t="s">
        <v>2593</v>
      </c>
      <c r="D5411" t="s">
        <v>16715</v>
      </c>
      <c r="E5411">
        <v>424006</v>
      </c>
      <c r="F5411" t="s">
        <v>1</v>
      </c>
      <c r="G5411" t="s">
        <v>2</v>
      </c>
      <c r="H5411" t="s">
        <v>1436</v>
      </c>
      <c r="I5411" t="s">
        <v>25145</v>
      </c>
      <c r="J5411" t="s">
        <v>25146</v>
      </c>
      <c r="P5411" t="s">
        <v>2738</v>
      </c>
      <c r="Y5411" t="s">
        <v>1443</v>
      </c>
    </row>
    <row r="5412" spans="1:25" x14ac:dyDescent="0.25">
      <c r="A5412" t="str">
        <f>"10919404126"</f>
        <v>10919404126</v>
      </c>
      <c r="B5412" t="s">
        <v>176</v>
      </c>
      <c r="C5412" t="s">
        <v>177</v>
      </c>
      <c r="D5412" t="s">
        <v>25147</v>
      </c>
      <c r="E5412">
        <v>424019</v>
      </c>
      <c r="F5412" t="s">
        <v>1</v>
      </c>
      <c r="G5412" t="s">
        <v>2</v>
      </c>
      <c r="H5412" t="s">
        <v>174</v>
      </c>
      <c r="I5412" t="s">
        <v>175</v>
      </c>
      <c r="J5412" t="s">
        <v>25148</v>
      </c>
      <c r="P5412" t="s">
        <v>330</v>
      </c>
      <c r="Y5412" t="s">
        <v>25149</v>
      </c>
    </row>
    <row r="5413" spans="1:25" x14ac:dyDescent="0.25">
      <c r="A5413" t="str">
        <f>"10955785894"</f>
        <v>10955785894</v>
      </c>
      <c r="B5413" t="s">
        <v>1544</v>
      </c>
      <c r="C5413" t="s">
        <v>15598</v>
      </c>
      <c r="D5413" t="s">
        <v>25150</v>
      </c>
      <c r="F5413" t="s">
        <v>1</v>
      </c>
      <c r="G5413" t="s">
        <v>2</v>
      </c>
      <c r="H5413" t="s">
        <v>10643</v>
      </c>
      <c r="Y5413" t="s">
        <v>25151</v>
      </c>
    </row>
    <row r="5414" spans="1:25" x14ac:dyDescent="0.25">
      <c r="A5414" t="str">
        <f>"10990071280"</f>
        <v>10990071280</v>
      </c>
      <c r="B5414" t="s">
        <v>1544</v>
      </c>
      <c r="C5414" t="s">
        <v>24552</v>
      </c>
      <c r="D5414" t="s">
        <v>25152</v>
      </c>
      <c r="E5414">
        <v>424006</v>
      </c>
      <c r="F5414" t="s">
        <v>1</v>
      </c>
      <c r="G5414" t="s">
        <v>2</v>
      </c>
      <c r="H5414" t="s">
        <v>7687</v>
      </c>
      <c r="P5414" t="s">
        <v>25153</v>
      </c>
      <c r="Y5414" t="s">
        <v>25154</v>
      </c>
    </row>
    <row r="5415" spans="1:25" x14ac:dyDescent="0.25">
      <c r="A5415" t="str">
        <f>"11003222630"</f>
        <v>11003222630</v>
      </c>
      <c r="B5415" t="s">
        <v>96</v>
      </c>
      <c r="C5415" t="s">
        <v>3621</v>
      </c>
      <c r="D5415" t="s">
        <v>25155</v>
      </c>
      <c r="E5415">
        <v>424038</v>
      </c>
      <c r="F5415" t="s">
        <v>1</v>
      </c>
      <c r="G5415" t="s">
        <v>2</v>
      </c>
      <c r="H5415" t="s">
        <v>2614</v>
      </c>
      <c r="Y5415" t="s">
        <v>2617</v>
      </c>
    </row>
    <row r="5416" spans="1:25" x14ac:dyDescent="0.25">
      <c r="A5416" t="str">
        <f>"11038431010"</f>
        <v>11038431010</v>
      </c>
      <c r="B5416" t="s">
        <v>319</v>
      </c>
      <c r="C5416" t="s">
        <v>320</v>
      </c>
      <c r="D5416" t="s">
        <v>2556</v>
      </c>
      <c r="E5416">
        <v>424038</v>
      </c>
      <c r="F5416" t="s">
        <v>1</v>
      </c>
      <c r="G5416" t="s">
        <v>2</v>
      </c>
      <c r="H5416" t="s">
        <v>5779</v>
      </c>
      <c r="Y5416" t="s">
        <v>25156</v>
      </c>
    </row>
    <row r="5417" spans="1:25" x14ac:dyDescent="0.25">
      <c r="A5417" t="str">
        <f>"11040203482"</f>
        <v>11040203482</v>
      </c>
      <c r="B5417" t="s">
        <v>4027</v>
      </c>
      <c r="C5417" t="s">
        <v>25159</v>
      </c>
      <c r="D5417" t="s">
        <v>25157</v>
      </c>
      <c r="E5417">
        <v>424003</v>
      </c>
      <c r="F5417" t="s">
        <v>1</v>
      </c>
      <c r="G5417" t="s">
        <v>2</v>
      </c>
      <c r="H5417" t="s">
        <v>7888</v>
      </c>
      <c r="J5417" t="s">
        <v>25158</v>
      </c>
      <c r="P5417" t="s">
        <v>330</v>
      </c>
      <c r="Y5417" t="s">
        <v>25160</v>
      </c>
    </row>
    <row r="5418" spans="1:25" x14ac:dyDescent="0.25">
      <c r="A5418" t="str">
        <f>"11053816760"</f>
        <v>11053816760</v>
      </c>
      <c r="B5418" t="s">
        <v>25</v>
      </c>
      <c r="C5418" t="s">
        <v>59</v>
      </c>
      <c r="D5418" t="s">
        <v>25161</v>
      </c>
      <c r="E5418">
        <v>424033</v>
      </c>
      <c r="F5418" t="s">
        <v>1</v>
      </c>
      <c r="G5418" t="s">
        <v>2</v>
      </c>
      <c r="H5418" t="s">
        <v>4300</v>
      </c>
      <c r="J5418" t="s">
        <v>25162</v>
      </c>
      <c r="P5418" t="s">
        <v>2280</v>
      </c>
      <c r="Y5418" t="s">
        <v>5872</v>
      </c>
    </row>
    <row r="5419" spans="1:25" x14ac:dyDescent="0.25">
      <c r="A5419" t="str">
        <f>"11061686431"</f>
        <v>11061686431</v>
      </c>
      <c r="B5419" t="s">
        <v>574</v>
      </c>
      <c r="C5419" t="s">
        <v>25167</v>
      </c>
      <c r="D5419" t="s">
        <v>25163</v>
      </c>
      <c r="F5419" t="s">
        <v>1</v>
      </c>
      <c r="G5419" t="s">
        <v>2</v>
      </c>
      <c r="H5419" t="s">
        <v>25164</v>
      </c>
      <c r="J5419" t="s">
        <v>25165</v>
      </c>
      <c r="M5419" t="s">
        <v>25166</v>
      </c>
      <c r="P5419" t="s">
        <v>4848</v>
      </c>
      <c r="Y5419" t="s">
        <v>25168</v>
      </c>
    </row>
    <row r="5420" spans="1:25" x14ac:dyDescent="0.25">
      <c r="A5420" t="str">
        <f>"11062577425"</f>
        <v>11062577425</v>
      </c>
      <c r="B5420" t="s">
        <v>18</v>
      </c>
      <c r="C5420" t="s">
        <v>12289</v>
      </c>
      <c r="D5420" t="s">
        <v>25169</v>
      </c>
      <c r="E5420">
        <v>424020</v>
      </c>
      <c r="F5420" t="s">
        <v>1</v>
      </c>
      <c r="G5420" t="s">
        <v>2</v>
      </c>
      <c r="H5420" t="s">
        <v>19901</v>
      </c>
      <c r="I5420" t="s">
        <v>25170</v>
      </c>
      <c r="P5420" t="s">
        <v>2079</v>
      </c>
      <c r="Y5420" t="s">
        <v>25171</v>
      </c>
    </row>
    <row r="5421" spans="1:25" x14ac:dyDescent="0.25">
      <c r="A5421" t="str">
        <f>"11062591052"</f>
        <v>11062591052</v>
      </c>
      <c r="B5421" t="s">
        <v>574</v>
      </c>
      <c r="C5421" t="s">
        <v>952</v>
      </c>
      <c r="D5421" t="s">
        <v>25172</v>
      </c>
      <c r="E5421">
        <v>424038</v>
      </c>
      <c r="F5421" t="s">
        <v>1</v>
      </c>
      <c r="G5421" t="s">
        <v>2</v>
      </c>
      <c r="H5421" t="s">
        <v>2614</v>
      </c>
      <c r="Y5421" t="s">
        <v>2617</v>
      </c>
    </row>
    <row r="5422" spans="1:25" x14ac:dyDescent="0.25">
      <c r="A5422" t="str">
        <f>"11099163452"</f>
        <v>11099163452</v>
      </c>
      <c r="B5422" t="s">
        <v>96</v>
      </c>
      <c r="C5422" t="s">
        <v>25174</v>
      </c>
      <c r="D5422" t="s">
        <v>25173</v>
      </c>
      <c r="E5422">
        <v>424020</v>
      </c>
      <c r="F5422" t="s">
        <v>1</v>
      </c>
      <c r="G5422" t="s">
        <v>2</v>
      </c>
      <c r="H5422" t="s">
        <v>23</v>
      </c>
      <c r="Y5422" t="s">
        <v>25175</v>
      </c>
    </row>
    <row r="5423" spans="1:25" x14ac:dyDescent="0.25">
      <c r="A5423" t="str">
        <f>"11128418468"</f>
        <v>11128418468</v>
      </c>
      <c r="B5423" t="s">
        <v>8011</v>
      </c>
      <c r="C5423" t="s">
        <v>25177</v>
      </c>
      <c r="D5423" t="s">
        <v>12536</v>
      </c>
      <c r="E5423">
        <v>424038</v>
      </c>
      <c r="F5423" t="s">
        <v>1</v>
      </c>
      <c r="G5423" t="s">
        <v>2</v>
      </c>
      <c r="H5423" t="s">
        <v>21507</v>
      </c>
      <c r="J5423" t="s">
        <v>25176</v>
      </c>
      <c r="P5423" t="s">
        <v>7638</v>
      </c>
      <c r="Y5423" t="s">
        <v>25178</v>
      </c>
    </row>
    <row r="5424" spans="1:25" x14ac:dyDescent="0.25">
      <c r="A5424" t="str">
        <f>"11141113794"</f>
        <v>11141113794</v>
      </c>
      <c r="B5424" t="s">
        <v>1573</v>
      </c>
      <c r="C5424" t="s">
        <v>1753</v>
      </c>
      <c r="D5424" t="s">
        <v>25179</v>
      </c>
      <c r="F5424" t="s">
        <v>1</v>
      </c>
      <c r="G5424" t="s">
        <v>2</v>
      </c>
      <c r="H5424" t="s">
        <v>25180</v>
      </c>
      <c r="Y5424" t="s">
        <v>25181</v>
      </c>
    </row>
    <row r="5425" spans="1:25" x14ac:dyDescent="0.25">
      <c r="A5425" t="str">
        <f>"11144571671"</f>
        <v>11144571671</v>
      </c>
      <c r="B5425" t="s">
        <v>574</v>
      </c>
      <c r="C5425" t="s">
        <v>22533</v>
      </c>
      <c r="D5425" t="s">
        <v>3057</v>
      </c>
      <c r="E5425">
        <v>424028</v>
      </c>
      <c r="F5425" t="s">
        <v>1</v>
      </c>
      <c r="G5425" t="s">
        <v>2</v>
      </c>
      <c r="H5425" t="s">
        <v>17393</v>
      </c>
      <c r="P5425" t="s">
        <v>216</v>
      </c>
      <c r="Y5425" t="s">
        <v>25182</v>
      </c>
    </row>
    <row r="5426" spans="1:25" x14ac:dyDescent="0.25">
      <c r="A5426" t="str">
        <f>"11148326991"</f>
        <v>11148326991</v>
      </c>
      <c r="B5426" t="s">
        <v>176</v>
      </c>
      <c r="C5426" t="s">
        <v>25184</v>
      </c>
      <c r="D5426" t="s">
        <v>7960</v>
      </c>
      <c r="E5426">
        <v>424031</v>
      </c>
      <c r="F5426" t="s">
        <v>1</v>
      </c>
      <c r="G5426" t="s">
        <v>2</v>
      </c>
      <c r="H5426" t="s">
        <v>1900</v>
      </c>
      <c r="I5426" t="s">
        <v>25183</v>
      </c>
      <c r="P5426" t="s">
        <v>1420</v>
      </c>
      <c r="Y5426" t="s">
        <v>25185</v>
      </c>
    </row>
    <row r="5427" spans="1:25" x14ac:dyDescent="0.25">
      <c r="A5427" t="str">
        <f>"11158640493"</f>
        <v>11158640493</v>
      </c>
      <c r="B5427" t="s">
        <v>1343</v>
      </c>
      <c r="C5427" t="s">
        <v>25123</v>
      </c>
      <c r="D5427" t="s">
        <v>25186</v>
      </c>
      <c r="E5427">
        <v>424038</v>
      </c>
      <c r="F5427" t="s">
        <v>1</v>
      </c>
      <c r="G5427" t="s">
        <v>2</v>
      </c>
      <c r="H5427" t="s">
        <v>23978</v>
      </c>
      <c r="P5427" t="s">
        <v>10416</v>
      </c>
      <c r="Q5427" t="s">
        <v>25187</v>
      </c>
      <c r="V5427" t="s">
        <v>25188</v>
      </c>
      <c r="Y5427" t="s">
        <v>25189</v>
      </c>
    </row>
    <row r="5428" spans="1:25" x14ac:dyDescent="0.25">
      <c r="A5428" t="str">
        <f>"11162799066"</f>
        <v>11162799066</v>
      </c>
      <c r="B5428" t="s">
        <v>888</v>
      </c>
      <c r="C5428" t="s">
        <v>4712</v>
      </c>
      <c r="D5428" t="s">
        <v>25190</v>
      </c>
      <c r="E5428">
        <v>424003</v>
      </c>
      <c r="F5428" t="s">
        <v>1</v>
      </c>
      <c r="G5428" t="s">
        <v>2</v>
      </c>
      <c r="H5428" t="s">
        <v>1725</v>
      </c>
      <c r="Y5428" t="s">
        <v>3999</v>
      </c>
    </row>
    <row r="5429" spans="1:25" x14ac:dyDescent="0.25">
      <c r="A5429" t="str">
        <f>"11163248269"</f>
        <v>11163248269</v>
      </c>
      <c r="B5429" t="s">
        <v>841</v>
      </c>
      <c r="C5429" t="s">
        <v>25195</v>
      </c>
      <c r="D5429" t="s">
        <v>25191</v>
      </c>
      <c r="E5429">
        <v>424002</v>
      </c>
      <c r="F5429" t="s">
        <v>1</v>
      </c>
      <c r="G5429" t="s">
        <v>2</v>
      </c>
      <c r="H5429" t="s">
        <v>3864</v>
      </c>
      <c r="I5429" t="s">
        <v>25192</v>
      </c>
      <c r="J5429" t="s">
        <v>25193</v>
      </c>
      <c r="M5429" t="s">
        <v>25194</v>
      </c>
      <c r="P5429" t="s">
        <v>4831</v>
      </c>
      <c r="U5429" t="s">
        <v>25196</v>
      </c>
      <c r="Y5429" t="s">
        <v>25197</v>
      </c>
    </row>
    <row r="5430" spans="1:25" x14ac:dyDescent="0.25">
      <c r="A5430" t="str">
        <f>"11167581089"</f>
        <v>11167581089</v>
      </c>
      <c r="B5430" t="s">
        <v>2062</v>
      </c>
      <c r="C5430" t="s">
        <v>3293</v>
      </c>
      <c r="D5430" t="s">
        <v>25198</v>
      </c>
      <c r="E5430">
        <v>424036</v>
      </c>
      <c r="F5430" t="s">
        <v>1</v>
      </c>
      <c r="G5430" t="s">
        <v>2</v>
      </c>
      <c r="H5430" t="s">
        <v>5317</v>
      </c>
      <c r="I5430" t="s">
        <v>25199</v>
      </c>
      <c r="J5430" t="s">
        <v>25200</v>
      </c>
      <c r="L5430" t="s">
        <v>25201</v>
      </c>
      <c r="M5430" t="s">
        <v>25202</v>
      </c>
      <c r="P5430" t="s">
        <v>9213</v>
      </c>
      <c r="Y5430" t="s">
        <v>25203</v>
      </c>
    </row>
    <row r="5431" spans="1:25" x14ac:dyDescent="0.25">
      <c r="A5431" t="str">
        <f>"11203965937"</f>
        <v>11203965937</v>
      </c>
      <c r="B5431" t="s">
        <v>96</v>
      </c>
      <c r="C5431" t="s">
        <v>25207</v>
      </c>
      <c r="D5431" t="s">
        <v>25204</v>
      </c>
      <c r="E5431">
        <v>424032</v>
      </c>
      <c r="F5431" t="s">
        <v>1</v>
      </c>
      <c r="G5431" t="s">
        <v>2</v>
      </c>
      <c r="H5431" t="s">
        <v>5699</v>
      </c>
      <c r="J5431" t="s">
        <v>25205</v>
      </c>
      <c r="L5431" t="s">
        <v>25206</v>
      </c>
      <c r="P5431" t="s">
        <v>340</v>
      </c>
      <c r="Q5431" t="s">
        <v>25208</v>
      </c>
      <c r="Y5431" t="s">
        <v>5709</v>
      </c>
    </row>
    <row r="5432" spans="1:25" x14ac:dyDescent="0.25">
      <c r="A5432" t="str">
        <f>"11207861174"</f>
        <v>11207861174</v>
      </c>
      <c r="B5432" t="s">
        <v>123</v>
      </c>
      <c r="C5432" t="s">
        <v>18438</v>
      </c>
      <c r="D5432" t="s">
        <v>25209</v>
      </c>
      <c r="E5432">
        <v>424008</v>
      </c>
      <c r="F5432" t="s">
        <v>1</v>
      </c>
      <c r="G5432" t="s">
        <v>2</v>
      </c>
      <c r="H5432" t="s">
        <v>3812</v>
      </c>
      <c r="J5432" t="s">
        <v>25210</v>
      </c>
      <c r="U5432" t="s">
        <v>25211</v>
      </c>
      <c r="Y5432" t="s">
        <v>25212</v>
      </c>
    </row>
    <row r="5433" spans="1:25" x14ac:dyDescent="0.25">
      <c r="A5433" t="str">
        <f>"11218260082"</f>
        <v>11218260082</v>
      </c>
      <c r="B5433" t="s">
        <v>32</v>
      </c>
      <c r="C5433" t="s">
        <v>25216</v>
      </c>
      <c r="D5433" t="s">
        <v>25213</v>
      </c>
      <c r="E5433">
        <v>424000</v>
      </c>
      <c r="F5433" t="s">
        <v>1</v>
      </c>
      <c r="G5433" t="s">
        <v>2</v>
      </c>
      <c r="H5433" t="s">
        <v>4726</v>
      </c>
      <c r="I5433" t="s">
        <v>25214</v>
      </c>
      <c r="M5433" t="s">
        <v>25215</v>
      </c>
      <c r="P5433" t="s">
        <v>10285</v>
      </c>
      <c r="Q5433" t="s">
        <v>25217</v>
      </c>
      <c r="V5433" t="s">
        <v>25218</v>
      </c>
      <c r="Y5433" t="s">
        <v>4728</v>
      </c>
    </row>
    <row r="5434" spans="1:25" x14ac:dyDescent="0.25">
      <c r="A5434" t="str">
        <f>"11230881502"</f>
        <v>11230881502</v>
      </c>
      <c r="B5434" t="s">
        <v>32</v>
      </c>
      <c r="C5434" t="s">
        <v>777</v>
      </c>
      <c r="D5434" t="s">
        <v>25219</v>
      </c>
      <c r="E5434">
        <v>424003</v>
      </c>
      <c r="F5434" t="s">
        <v>1</v>
      </c>
      <c r="G5434" t="s">
        <v>2</v>
      </c>
      <c r="H5434" t="s">
        <v>2465</v>
      </c>
      <c r="J5434" t="s">
        <v>25220</v>
      </c>
      <c r="L5434" t="s">
        <v>25221</v>
      </c>
      <c r="M5434" t="s">
        <v>25222</v>
      </c>
      <c r="Q5434" t="s">
        <v>25223</v>
      </c>
      <c r="V5434" t="s">
        <v>25224</v>
      </c>
      <c r="Y5434" t="s">
        <v>25225</v>
      </c>
    </row>
    <row r="5435" spans="1:25" x14ac:dyDescent="0.25">
      <c r="A5435" t="str">
        <f>"11279494134"</f>
        <v>11279494134</v>
      </c>
      <c r="B5435" t="s">
        <v>348</v>
      </c>
      <c r="C5435" t="s">
        <v>4366</v>
      </c>
      <c r="D5435" t="s">
        <v>15779</v>
      </c>
      <c r="E5435">
        <v>424038</v>
      </c>
      <c r="F5435" t="s">
        <v>1</v>
      </c>
      <c r="G5435" t="s">
        <v>2</v>
      </c>
      <c r="H5435" t="s">
        <v>16183</v>
      </c>
      <c r="I5435" t="s">
        <v>25226</v>
      </c>
      <c r="J5435" t="s">
        <v>25227</v>
      </c>
      <c r="P5435" t="s">
        <v>941</v>
      </c>
      <c r="Y5435" t="s">
        <v>25228</v>
      </c>
    </row>
    <row r="5436" spans="1:25" x14ac:dyDescent="0.25">
      <c r="A5436" t="str">
        <f>"11293357052"</f>
        <v>11293357052</v>
      </c>
      <c r="B5436" t="s">
        <v>348</v>
      </c>
      <c r="C5436" t="s">
        <v>12325</v>
      </c>
      <c r="D5436" t="s">
        <v>4366</v>
      </c>
      <c r="E5436">
        <v>424033</v>
      </c>
      <c r="F5436" t="s">
        <v>1</v>
      </c>
      <c r="G5436" t="s">
        <v>2</v>
      </c>
      <c r="H5436" t="s">
        <v>10720</v>
      </c>
      <c r="Y5436" t="s">
        <v>25229</v>
      </c>
    </row>
    <row r="5437" spans="1:25" x14ac:dyDescent="0.25">
      <c r="A5437" t="str">
        <f>"11298415482"</f>
        <v>11298415482</v>
      </c>
      <c r="B5437" t="s">
        <v>530</v>
      </c>
      <c r="C5437" t="s">
        <v>23950</v>
      </c>
      <c r="D5437" t="s">
        <v>23950</v>
      </c>
      <c r="E5437">
        <v>424000</v>
      </c>
      <c r="F5437" t="s">
        <v>1</v>
      </c>
      <c r="G5437" t="s">
        <v>2</v>
      </c>
      <c r="H5437" t="s">
        <v>2174</v>
      </c>
      <c r="Y5437" t="s">
        <v>25230</v>
      </c>
    </row>
    <row r="5438" spans="1:25" x14ac:dyDescent="0.25">
      <c r="A5438" t="str">
        <f>"11302096363"</f>
        <v>11302096363</v>
      </c>
      <c r="B5438" t="s">
        <v>334</v>
      </c>
      <c r="C5438" t="s">
        <v>334</v>
      </c>
      <c r="D5438" t="s">
        <v>25231</v>
      </c>
      <c r="E5438">
        <v>424033</v>
      </c>
      <c r="F5438" t="s">
        <v>1</v>
      </c>
      <c r="G5438" t="s">
        <v>2</v>
      </c>
      <c r="H5438" t="s">
        <v>76</v>
      </c>
      <c r="I5438" t="s">
        <v>25232</v>
      </c>
      <c r="P5438" t="s">
        <v>630</v>
      </c>
      <c r="Y5438" t="s">
        <v>17629</v>
      </c>
    </row>
    <row r="5439" spans="1:25" x14ac:dyDescent="0.25">
      <c r="A5439" t="str">
        <f>"11308568152"</f>
        <v>11308568152</v>
      </c>
      <c r="B5439" t="s">
        <v>188</v>
      </c>
      <c r="C5439" t="s">
        <v>23982</v>
      </c>
      <c r="D5439" t="s">
        <v>23982</v>
      </c>
      <c r="E5439">
        <v>424000</v>
      </c>
      <c r="F5439" t="s">
        <v>1</v>
      </c>
      <c r="G5439" t="s">
        <v>2</v>
      </c>
      <c r="H5439" t="s">
        <v>7015</v>
      </c>
      <c r="Y5439" t="s">
        <v>25233</v>
      </c>
    </row>
    <row r="5440" spans="1:25" x14ac:dyDescent="0.25">
      <c r="A5440" t="str">
        <f>"11315695897"</f>
        <v>11315695897</v>
      </c>
      <c r="B5440" t="s">
        <v>930</v>
      </c>
      <c r="C5440" t="s">
        <v>1096</v>
      </c>
      <c r="D5440" t="s">
        <v>1094</v>
      </c>
      <c r="E5440">
        <v>424003</v>
      </c>
      <c r="F5440" t="s">
        <v>1</v>
      </c>
      <c r="G5440" t="s">
        <v>2</v>
      </c>
      <c r="H5440" t="s">
        <v>25234</v>
      </c>
      <c r="J5440" t="s">
        <v>25235</v>
      </c>
      <c r="P5440" t="s">
        <v>15033</v>
      </c>
      <c r="Q5440" t="s">
        <v>25236</v>
      </c>
      <c r="Y5440" t="s">
        <v>25237</v>
      </c>
    </row>
    <row r="5441" spans="1:25" x14ac:dyDescent="0.25">
      <c r="A5441" t="str">
        <f>"11321623877"</f>
        <v>11321623877</v>
      </c>
      <c r="B5441" t="s">
        <v>18</v>
      </c>
      <c r="C5441" t="s">
        <v>25242</v>
      </c>
      <c r="D5441" t="s">
        <v>25238</v>
      </c>
      <c r="E5441">
        <v>424032</v>
      </c>
      <c r="F5441" t="s">
        <v>1</v>
      </c>
      <c r="G5441" t="s">
        <v>2</v>
      </c>
      <c r="H5441" t="s">
        <v>5699</v>
      </c>
      <c r="I5441" t="s">
        <v>25239</v>
      </c>
      <c r="L5441" t="s">
        <v>25240</v>
      </c>
      <c r="M5441" t="s">
        <v>25241</v>
      </c>
      <c r="P5441" t="s">
        <v>25243</v>
      </c>
      <c r="Q5441" t="s">
        <v>25244</v>
      </c>
      <c r="V5441" t="s">
        <v>25245</v>
      </c>
      <c r="Y5441" t="s">
        <v>5709</v>
      </c>
    </row>
    <row r="5442" spans="1:25" x14ac:dyDescent="0.25">
      <c r="A5442" t="str">
        <f>"11323377484"</f>
        <v>11323377484</v>
      </c>
      <c r="B5442" t="s">
        <v>530</v>
      </c>
      <c r="C5442" t="s">
        <v>23950</v>
      </c>
      <c r="D5442" t="s">
        <v>23950</v>
      </c>
      <c r="E5442">
        <v>424031</v>
      </c>
      <c r="F5442" t="s">
        <v>1</v>
      </c>
      <c r="G5442" t="s">
        <v>2</v>
      </c>
      <c r="H5442" t="s">
        <v>3271</v>
      </c>
      <c r="Y5442" t="s">
        <v>25246</v>
      </c>
    </row>
    <row r="5443" spans="1:25" x14ac:dyDescent="0.25">
      <c r="A5443" t="str">
        <f>"11325740221"</f>
        <v>11325740221</v>
      </c>
      <c r="B5443" t="s">
        <v>574</v>
      </c>
      <c r="C5443" t="s">
        <v>952</v>
      </c>
      <c r="D5443" t="s">
        <v>25247</v>
      </c>
      <c r="F5443" t="s">
        <v>1</v>
      </c>
      <c r="G5443" t="s">
        <v>2</v>
      </c>
      <c r="H5443" t="s">
        <v>2042</v>
      </c>
      <c r="L5443" t="s">
        <v>25248</v>
      </c>
      <c r="M5443" t="s">
        <v>25249</v>
      </c>
      <c r="V5443" t="s">
        <v>25250</v>
      </c>
      <c r="Y5443" t="s">
        <v>22444</v>
      </c>
    </row>
    <row r="5444" spans="1:25" x14ac:dyDescent="0.25">
      <c r="A5444" t="str">
        <f>"11334847617"</f>
        <v>11334847617</v>
      </c>
      <c r="B5444" t="s">
        <v>96</v>
      </c>
      <c r="C5444" t="s">
        <v>24042</v>
      </c>
      <c r="D5444" t="s">
        <v>24127</v>
      </c>
      <c r="E5444">
        <v>424006</v>
      </c>
      <c r="F5444" t="s">
        <v>1</v>
      </c>
      <c r="G5444" t="s">
        <v>2</v>
      </c>
      <c r="H5444" t="s">
        <v>2775</v>
      </c>
      <c r="Y5444" t="s">
        <v>25251</v>
      </c>
    </row>
    <row r="5445" spans="1:25" x14ac:dyDescent="0.25">
      <c r="A5445" t="str">
        <f>"11367227649"</f>
        <v>11367227649</v>
      </c>
      <c r="B5445" t="s">
        <v>930</v>
      </c>
      <c r="C5445" t="s">
        <v>10263</v>
      </c>
      <c r="D5445" t="s">
        <v>25252</v>
      </c>
      <c r="F5445" t="s">
        <v>1</v>
      </c>
      <c r="G5445" t="s">
        <v>2</v>
      </c>
      <c r="H5445" t="s">
        <v>12610</v>
      </c>
      <c r="I5445" t="s">
        <v>25253</v>
      </c>
      <c r="L5445" t="s">
        <v>25254</v>
      </c>
      <c r="P5445" t="s">
        <v>330</v>
      </c>
      <c r="Q5445" t="s">
        <v>25255</v>
      </c>
      <c r="Y5445" t="s">
        <v>25256</v>
      </c>
    </row>
    <row r="5446" spans="1:25" x14ac:dyDescent="0.25">
      <c r="A5446" t="str">
        <f>"11387476541"</f>
        <v>11387476541</v>
      </c>
      <c r="B5446" t="s">
        <v>1617</v>
      </c>
      <c r="C5446" t="s">
        <v>25261</v>
      </c>
      <c r="D5446" t="s">
        <v>25257</v>
      </c>
      <c r="E5446">
        <v>424020</v>
      </c>
      <c r="F5446" t="s">
        <v>1</v>
      </c>
      <c r="G5446" t="s">
        <v>2</v>
      </c>
      <c r="H5446" t="s">
        <v>288</v>
      </c>
      <c r="I5446" t="s">
        <v>25258</v>
      </c>
      <c r="L5446" t="s">
        <v>25259</v>
      </c>
      <c r="M5446" t="s">
        <v>25260</v>
      </c>
      <c r="P5446" t="s">
        <v>27</v>
      </c>
      <c r="Q5446" t="s">
        <v>25262</v>
      </c>
      <c r="Y5446" t="s">
        <v>17289</v>
      </c>
    </row>
    <row r="5447" spans="1:25" x14ac:dyDescent="0.25">
      <c r="A5447" t="str">
        <f>"11403940707"</f>
        <v>11403940707</v>
      </c>
      <c r="B5447" t="s">
        <v>96</v>
      </c>
      <c r="C5447" t="s">
        <v>24441</v>
      </c>
      <c r="D5447" t="s">
        <v>25263</v>
      </c>
      <c r="E5447">
        <v>424039</v>
      </c>
      <c r="F5447" t="s">
        <v>1</v>
      </c>
      <c r="G5447" t="s">
        <v>2</v>
      </c>
      <c r="H5447" t="s">
        <v>5827</v>
      </c>
      <c r="Y5447" t="s">
        <v>23921</v>
      </c>
    </row>
    <row r="5448" spans="1:25" x14ac:dyDescent="0.25">
      <c r="A5448" t="str">
        <f>"11421666711"</f>
        <v>11421666711</v>
      </c>
      <c r="B5448" t="s">
        <v>188</v>
      </c>
      <c r="C5448" t="s">
        <v>8311</v>
      </c>
      <c r="D5448" t="s">
        <v>25264</v>
      </c>
      <c r="E5448">
        <v>424038</v>
      </c>
      <c r="F5448" t="s">
        <v>1</v>
      </c>
      <c r="G5448" t="s">
        <v>2</v>
      </c>
      <c r="H5448" t="s">
        <v>546</v>
      </c>
      <c r="I5448" t="s">
        <v>8623</v>
      </c>
      <c r="L5448" t="s">
        <v>25265</v>
      </c>
      <c r="M5448" t="s">
        <v>25266</v>
      </c>
      <c r="P5448" t="s">
        <v>13820</v>
      </c>
      <c r="V5448" t="s">
        <v>25267</v>
      </c>
      <c r="Y5448" t="s">
        <v>549</v>
      </c>
    </row>
    <row r="5449" spans="1:25" x14ac:dyDescent="0.25">
      <c r="A5449" t="str">
        <f>"11432649340"</f>
        <v>11432649340</v>
      </c>
      <c r="B5449" t="s">
        <v>290</v>
      </c>
      <c r="C5449" t="s">
        <v>290</v>
      </c>
      <c r="D5449" t="s">
        <v>25268</v>
      </c>
      <c r="E5449">
        <v>424003</v>
      </c>
      <c r="F5449" t="s">
        <v>1</v>
      </c>
      <c r="G5449" t="s">
        <v>2</v>
      </c>
      <c r="H5449" t="s">
        <v>16749</v>
      </c>
      <c r="P5449" t="s">
        <v>7436</v>
      </c>
      <c r="Y5449" t="s">
        <v>25269</v>
      </c>
    </row>
    <row r="5450" spans="1:25" x14ac:dyDescent="0.25">
      <c r="A5450" t="str">
        <f>"11441955533"</f>
        <v>11441955533</v>
      </c>
      <c r="B5450" t="s">
        <v>18</v>
      </c>
      <c r="C5450" t="s">
        <v>12289</v>
      </c>
      <c r="D5450" t="s">
        <v>25270</v>
      </c>
      <c r="E5450">
        <v>424006</v>
      </c>
      <c r="F5450" t="s">
        <v>1</v>
      </c>
      <c r="G5450" t="s">
        <v>2</v>
      </c>
      <c r="H5450" t="s">
        <v>10686</v>
      </c>
      <c r="Y5450" t="s">
        <v>25271</v>
      </c>
    </row>
    <row r="5451" spans="1:25" x14ac:dyDescent="0.25">
      <c r="A5451" t="str">
        <f>"11447617847"</f>
        <v>11447617847</v>
      </c>
      <c r="B5451" t="s">
        <v>888</v>
      </c>
      <c r="C5451" t="s">
        <v>25274</v>
      </c>
      <c r="D5451" t="s">
        <v>25272</v>
      </c>
      <c r="E5451">
        <v>424036</v>
      </c>
      <c r="F5451" t="s">
        <v>1</v>
      </c>
      <c r="G5451" t="s">
        <v>2</v>
      </c>
      <c r="H5451" t="s">
        <v>2291</v>
      </c>
      <c r="J5451" t="s">
        <v>25273</v>
      </c>
      <c r="Q5451" t="s">
        <v>25275</v>
      </c>
      <c r="Y5451" t="s">
        <v>25276</v>
      </c>
    </row>
    <row r="5452" spans="1:25" x14ac:dyDescent="0.25">
      <c r="A5452" t="str">
        <f>"11456616878"</f>
        <v>11456616878</v>
      </c>
      <c r="B5452" t="s">
        <v>930</v>
      </c>
      <c r="C5452" t="s">
        <v>1096</v>
      </c>
      <c r="D5452" t="s">
        <v>8988</v>
      </c>
      <c r="F5452" t="s">
        <v>1</v>
      </c>
      <c r="G5452" t="s">
        <v>2</v>
      </c>
      <c r="H5452" t="s">
        <v>8989</v>
      </c>
      <c r="J5452" t="s">
        <v>25277</v>
      </c>
      <c r="L5452" t="s">
        <v>8992</v>
      </c>
      <c r="P5452" t="s">
        <v>216</v>
      </c>
      <c r="Q5452" t="s">
        <v>8995</v>
      </c>
      <c r="Y5452" t="s">
        <v>25278</v>
      </c>
    </row>
    <row r="5453" spans="1:25" x14ac:dyDescent="0.25">
      <c r="A5453" t="str">
        <f>"11460973830"</f>
        <v>11460973830</v>
      </c>
      <c r="B5453" t="s">
        <v>8011</v>
      </c>
      <c r="C5453" t="s">
        <v>25281</v>
      </c>
      <c r="D5453" t="s">
        <v>25279</v>
      </c>
      <c r="E5453">
        <v>424031</v>
      </c>
      <c r="F5453" t="s">
        <v>1</v>
      </c>
      <c r="G5453" t="s">
        <v>2</v>
      </c>
      <c r="H5453" t="s">
        <v>8799</v>
      </c>
      <c r="M5453" t="s">
        <v>25280</v>
      </c>
      <c r="Y5453" t="s">
        <v>8803</v>
      </c>
    </row>
    <row r="5454" spans="1:25" x14ac:dyDescent="0.25">
      <c r="A5454" t="str">
        <f>"11486623965"</f>
        <v>11486623965</v>
      </c>
      <c r="B5454" t="s">
        <v>32</v>
      </c>
      <c r="C5454" t="s">
        <v>25283</v>
      </c>
      <c r="D5454" t="s">
        <v>25282</v>
      </c>
      <c r="E5454">
        <v>424031</v>
      </c>
      <c r="F5454" t="s">
        <v>1</v>
      </c>
      <c r="G5454" t="s">
        <v>2</v>
      </c>
      <c r="H5454" t="s">
        <v>4158</v>
      </c>
      <c r="Y5454" t="s">
        <v>25284</v>
      </c>
    </row>
    <row r="5455" spans="1:25" x14ac:dyDescent="0.25">
      <c r="A5455" t="str">
        <f>"11493063728"</f>
        <v>11493063728</v>
      </c>
      <c r="B5455" t="s">
        <v>7312</v>
      </c>
      <c r="C5455" t="s">
        <v>19097</v>
      </c>
      <c r="D5455" t="s">
        <v>12553</v>
      </c>
      <c r="E5455">
        <v>424038</v>
      </c>
      <c r="F5455" t="s">
        <v>1</v>
      </c>
      <c r="G5455" t="s">
        <v>2</v>
      </c>
      <c r="H5455" t="s">
        <v>16808</v>
      </c>
      <c r="Y5455" t="s">
        <v>25285</v>
      </c>
    </row>
    <row r="5456" spans="1:25" x14ac:dyDescent="0.25">
      <c r="A5456" t="str">
        <f>"11538318841"</f>
        <v>11538318841</v>
      </c>
      <c r="B5456" t="s">
        <v>574</v>
      </c>
      <c r="C5456" t="s">
        <v>14652</v>
      </c>
      <c r="D5456" t="s">
        <v>24972</v>
      </c>
      <c r="E5456">
        <v>424038</v>
      </c>
      <c r="F5456" t="s">
        <v>1</v>
      </c>
      <c r="G5456" t="s">
        <v>2</v>
      </c>
      <c r="H5456" t="s">
        <v>25286</v>
      </c>
      <c r="Y5456" t="s">
        <v>2323</v>
      </c>
    </row>
    <row r="5457" spans="1:25" x14ac:dyDescent="0.25">
      <c r="A5457" t="str">
        <f>"11576950390"</f>
        <v>11576950390</v>
      </c>
      <c r="B5457" t="s">
        <v>7</v>
      </c>
      <c r="C5457" t="s">
        <v>25292</v>
      </c>
      <c r="D5457" t="s">
        <v>25287</v>
      </c>
      <c r="F5457" t="s">
        <v>1</v>
      </c>
      <c r="G5457" t="s">
        <v>2</v>
      </c>
      <c r="H5457" t="s">
        <v>25288</v>
      </c>
      <c r="I5457" t="s">
        <v>25289</v>
      </c>
      <c r="L5457" t="s">
        <v>25290</v>
      </c>
      <c r="M5457" t="s">
        <v>25291</v>
      </c>
      <c r="Q5457" t="s">
        <v>25293</v>
      </c>
      <c r="S5457" t="s">
        <v>25294</v>
      </c>
      <c r="T5457" t="s">
        <v>25295</v>
      </c>
      <c r="Y5457" t="s">
        <v>25296</v>
      </c>
    </row>
    <row r="5458" spans="1:25" x14ac:dyDescent="0.25">
      <c r="A5458" t="str">
        <f>"11593296835"</f>
        <v>11593296835</v>
      </c>
      <c r="B5458" t="s">
        <v>388</v>
      </c>
      <c r="C5458" t="s">
        <v>7194</v>
      </c>
      <c r="D5458" t="s">
        <v>25297</v>
      </c>
      <c r="E5458">
        <v>424003</v>
      </c>
      <c r="F5458" t="s">
        <v>1</v>
      </c>
      <c r="G5458" t="s">
        <v>2</v>
      </c>
      <c r="H5458" t="s">
        <v>6759</v>
      </c>
      <c r="I5458" t="s">
        <v>25298</v>
      </c>
      <c r="J5458" t="s">
        <v>25299</v>
      </c>
      <c r="L5458" t="s">
        <v>25300</v>
      </c>
      <c r="M5458" t="s">
        <v>25301</v>
      </c>
      <c r="P5458" t="s">
        <v>27</v>
      </c>
      <c r="V5458" t="s">
        <v>25302</v>
      </c>
      <c r="Y5458" t="s">
        <v>25303</v>
      </c>
    </row>
    <row r="5459" spans="1:25" x14ac:dyDescent="0.25">
      <c r="A5459" t="str">
        <f>"11607239486"</f>
        <v>11607239486</v>
      </c>
      <c r="B5459" t="s">
        <v>2104</v>
      </c>
      <c r="C5459" t="s">
        <v>25306</v>
      </c>
      <c r="D5459" t="s">
        <v>25304</v>
      </c>
      <c r="E5459">
        <v>424002</v>
      </c>
      <c r="F5459" t="s">
        <v>1</v>
      </c>
      <c r="G5459" t="s">
        <v>2</v>
      </c>
      <c r="H5459" t="s">
        <v>18134</v>
      </c>
      <c r="J5459" t="s">
        <v>25305</v>
      </c>
      <c r="P5459" t="s">
        <v>1642</v>
      </c>
      <c r="Y5459" t="s">
        <v>25307</v>
      </c>
    </row>
    <row r="5460" spans="1:25" x14ac:dyDescent="0.25">
      <c r="A5460" t="str">
        <f>"11619155178"</f>
        <v>11619155178</v>
      </c>
      <c r="B5460" t="s">
        <v>1323</v>
      </c>
      <c r="C5460" t="s">
        <v>1324</v>
      </c>
      <c r="D5460" t="s">
        <v>25308</v>
      </c>
      <c r="E5460">
        <v>424031</v>
      </c>
      <c r="F5460" t="s">
        <v>1</v>
      </c>
      <c r="G5460" t="s">
        <v>2</v>
      </c>
      <c r="H5460" t="s">
        <v>25309</v>
      </c>
      <c r="Y5460" t="s">
        <v>25310</v>
      </c>
    </row>
    <row r="5461" spans="1:25" x14ac:dyDescent="0.25">
      <c r="A5461" t="str">
        <f>"11631458204"</f>
        <v>11631458204</v>
      </c>
      <c r="B5461" t="s">
        <v>1152</v>
      </c>
      <c r="C5461" t="s">
        <v>25314</v>
      </c>
      <c r="D5461" t="s">
        <v>25311</v>
      </c>
      <c r="E5461">
        <v>424000</v>
      </c>
      <c r="F5461" t="s">
        <v>1</v>
      </c>
      <c r="G5461" t="s">
        <v>2</v>
      </c>
      <c r="H5461" t="s">
        <v>1531</v>
      </c>
      <c r="J5461" t="s">
        <v>25312</v>
      </c>
      <c r="L5461" t="s">
        <v>25313</v>
      </c>
      <c r="P5461" t="s">
        <v>1027</v>
      </c>
      <c r="Y5461" t="s">
        <v>25315</v>
      </c>
    </row>
    <row r="5462" spans="1:25" x14ac:dyDescent="0.25">
      <c r="A5462" t="str">
        <f>"11632597865"</f>
        <v>11632597865</v>
      </c>
      <c r="B5462" t="s">
        <v>18</v>
      </c>
      <c r="C5462" t="s">
        <v>25320</v>
      </c>
      <c r="D5462" t="s">
        <v>25316</v>
      </c>
      <c r="E5462">
        <v>424028</v>
      </c>
      <c r="F5462" t="s">
        <v>1</v>
      </c>
      <c r="G5462" t="s">
        <v>2</v>
      </c>
      <c r="H5462" t="s">
        <v>25317</v>
      </c>
      <c r="L5462" t="s">
        <v>25318</v>
      </c>
      <c r="M5462" t="s">
        <v>25319</v>
      </c>
      <c r="P5462" t="s">
        <v>25321</v>
      </c>
      <c r="Y5462" t="s">
        <v>25322</v>
      </c>
    </row>
    <row r="5463" spans="1:25" x14ac:dyDescent="0.25">
      <c r="A5463" t="str">
        <f>"11676591664"</f>
        <v>11676591664</v>
      </c>
      <c r="B5463" t="s">
        <v>430</v>
      </c>
      <c r="C5463" t="s">
        <v>8739</v>
      </c>
      <c r="D5463" t="s">
        <v>25323</v>
      </c>
      <c r="E5463">
        <v>424002</v>
      </c>
      <c r="F5463" t="s">
        <v>1</v>
      </c>
      <c r="G5463" t="s">
        <v>2</v>
      </c>
      <c r="H5463" t="s">
        <v>7132</v>
      </c>
      <c r="P5463" t="s">
        <v>133</v>
      </c>
      <c r="Y5463" t="s">
        <v>25324</v>
      </c>
    </row>
    <row r="5464" spans="1:25" x14ac:dyDescent="0.25">
      <c r="A5464" t="str">
        <f>"11680904987"</f>
        <v>11680904987</v>
      </c>
      <c r="B5464" t="s">
        <v>1152</v>
      </c>
      <c r="C5464" t="s">
        <v>1153</v>
      </c>
      <c r="D5464" t="s">
        <v>25325</v>
      </c>
      <c r="E5464">
        <v>424918</v>
      </c>
      <c r="F5464" t="s">
        <v>1</v>
      </c>
      <c r="G5464" t="s">
        <v>2</v>
      </c>
      <c r="H5464" t="s">
        <v>629</v>
      </c>
      <c r="I5464" t="s">
        <v>25326</v>
      </c>
      <c r="L5464" t="s">
        <v>25327</v>
      </c>
      <c r="M5464" t="s">
        <v>25328</v>
      </c>
      <c r="P5464" t="s">
        <v>630</v>
      </c>
      <c r="Q5464" t="s">
        <v>25329</v>
      </c>
      <c r="T5464" t="s">
        <v>25330</v>
      </c>
      <c r="Y5464" t="s">
        <v>1744</v>
      </c>
    </row>
    <row r="5465" spans="1:25" x14ac:dyDescent="0.25">
      <c r="A5465" t="str">
        <f>"11728974602"</f>
        <v>11728974602</v>
      </c>
      <c r="B5465" t="s">
        <v>530</v>
      </c>
      <c r="C5465" t="s">
        <v>23950</v>
      </c>
      <c r="D5465" t="s">
        <v>23950</v>
      </c>
      <c r="E5465">
        <v>424028</v>
      </c>
      <c r="F5465" t="s">
        <v>1</v>
      </c>
      <c r="G5465" t="s">
        <v>2</v>
      </c>
      <c r="H5465" t="s">
        <v>25331</v>
      </c>
      <c r="Y5465" t="s">
        <v>25332</v>
      </c>
    </row>
    <row r="5466" spans="1:25" x14ac:dyDescent="0.25">
      <c r="A5466" t="str">
        <f>"11770272250"</f>
        <v>11770272250</v>
      </c>
      <c r="B5466" t="s">
        <v>290</v>
      </c>
      <c r="C5466" t="s">
        <v>290</v>
      </c>
      <c r="D5466" t="s">
        <v>24306</v>
      </c>
      <c r="E5466">
        <v>424006</v>
      </c>
      <c r="F5466" t="s">
        <v>1</v>
      </c>
      <c r="G5466" t="s">
        <v>2</v>
      </c>
      <c r="H5466" t="s">
        <v>15013</v>
      </c>
      <c r="Y5466" t="s">
        <v>25333</v>
      </c>
    </row>
    <row r="5467" spans="1:25" x14ac:dyDescent="0.25">
      <c r="A5467" t="str">
        <f>"11785344036"</f>
        <v>11785344036</v>
      </c>
      <c r="B5467" t="s">
        <v>7849</v>
      </c>
      <c r="C5467" t="s">
        <v>10351</v>
      </c>
      <c r="D5467" t="s">
        <v>21762</v>
      </c>
      <c r="E5467">
        <v>424000</v>
      </c>
      <c r="F5467" t="s">
        <v>1</v>
      </c>
      <c r="G5467" t="s">
        <v>2</v>
      </c>
      <c r="H5467" t="s">
        <v>8365</v>
      </c>
      <c r="P5467" t="s">
        <v>330</v>
      </c>
      <c r="Y5467" t="s">
        <v>25334</v>
      </c>
    </row>
    <row r="5468" spans="1:25" x14ac:dyDescent="0.25">
      <c r="A5468" t="str">
        <f>"11845310605"</f>
        <v>11845310605</v>
      </c>
      <c r="B5468" t="s">
        <v>1152</v>
      </c>
      <c r="C5468" t="s">
        <v>1385</v>
      </c>
      <c r="D5468" t="s">
        <v>25335</v>
      </c>
      <c r="E5468">
        <v>424000</v>
      </c>
      <c r="F5468" t="s">
        <v>1</v>
      </c>
      <c r="G5468" t="s">
        <v>2</v>
      </c>
      <c r="H5468" t="s">
        <v>265</v>
      </c>
      <c r="Y5468" t="s">
        <v>25336</v>
      </c>
    </row>
    <row r="5469" spans="1:25" x14ac:dyDescent="0.25">
      <c r="A5469" t="str">
        <f>"11845774028"</f>
        <v>11845774028</v>
      </c>
      <c r="B5469" t="s">
        <v>2055</v>
      </c>
      <c r="C5469" t="s">
        <v>6421</v>
      </c>
      <c r="D5469" t="s">
        <v>1179</v>
      </c>
      <c r="E5469">
        <v>424020</v>
      </c>
      <c r="F5469" t="s">
        <v>1</v>
      </c>
      <c r="G5469" t="s">
        <v>2</v>
      </c>
      <c r="H5469" t="s">
        <v>1997</v>
      </c>
      <c r="I5469" t="s">
        <v>25337</v>
      </c>
      <c r="P5469" t="s">
        <v>27</v>
      </c>
      <c r="Y5469" t="s">
        <v>1999</v>
      </c>
    </row>
    <row r="5470" spans="1:25" x14ac:dyDescent="0.25">
      <c r="A5470" t="str">
        <f>"11870950254"</f>
        <v>11870950254</v>
      </c>
      <c r="B5470" t="s">
        <v>930</v>
      </c>
      <c r="C5470" t="s">
        <v>10263</v>
      </c>
      <c r="D5470" t="s">
        <v>10263</v>
      </c>
      <c r="F5470" t="s">
        <v>1</v>
      </c>
      <c r="G5470" t="s">
        <v>2</v>
      </c>
      <c r="H5470" t="s">
        <v>25338</v>
      </c>
      <c r="Y5470" t="s">
        <v>25339</v>
      </c>
    </row>
    <row r="5471" spans="1:25" x14ac:dyDescent="0.25">
      <c r="A5471" t="str">
        <f>"11872835466"</f>
        <v>11872835466</v>
      </c>
      <c r="B5471" t="s">
        <v>96</v>
      </c>
      <c r="C5471" t="s">
        <v>893</v>
      </c>
      <c r="D5471" t="s">
        <v>25340</v>
      </c>
      <c r="E5471">
        <v>424918</v>
      </c>
      <c r="F5471" t="s">
        <v>1</v>
      </c>
      <c r="G5471" t="s">
        <v>2</v>
      </c>
      <c r="H5471" t="s">
        <v>629</v>
      </c>
      <c r="P5471" t="s">
        <v>630</v>
      </c>
      <c r="Y5471" t="s">
        <v>25341</v>
      </c>
    </row>
    <row r="5472" spans="1:25" x14ac:dyDescent="0.25">
      <c r="A5472" t="str">
        <f>"11874361092"</f>
        <v>11874361092</v>
      </c>
      <c r="B5472" t="s">
        <v>430</v>
      </c>
      <c r="C5472" t="s">
        <v>612</v>
      </c>
      <c r="D5472" t="s">
        <v>25342</v>
      </c>
      <c r="E5472">
        <v>424000</v>
      </c>
      <c r="F5472" t="s">
        <v>1</v>
      </c>
      <c r="G5472" t="s">
        <v>2</v>
      </c>
      <c r="H5472" t="s">
        <v>2671</v>
      </c>
      <c r="I5472" t="s">
        <v>25343</v>
      </c>
      <c r="L5472" t="s">
        <v>25344</v>
      </c>
      <c r="M5472" t="s">
        <v>25345</v>
      </c>
      <c r="P5472" t="s">
        <v>216</v>
      </c>
      <c r="Y5472" t="s">
        <v>2674</v>
      </c>
    </row>
    <row r="5473" spans="1:25" x14ac:dyDescent="0.25">
      <c r="A5473" t="str">
        <f>"11894548502"</f>
        <v>11894548502</v>
      </c>
      <c r="B5473" t="s">
        <v>18</v>
      </c>
      <c r="C5473" t="s">
        <v>3386</v>
      </c>
      <c r="D5473" t="s">
        <v>25346</v>
      </c>
      <c r="E5473">
        <v>424003</v>
      </c>
      <c r="F5473" t="s">
        <v>1</v>
      </c>
      <c r="G5473" t="s">
        <v>2</v>
      </c>
      <c r="H5473" t="s">
        <v>7258</v>
      </c>
      <c r="I5473" t="s">
        <v>25347</v>
      </c>
      <c r="L5473" t="s">
        <v>25348</v>
      </c>
      <c r="M5473" t="s">
        <v>25349</v>
      </c>
      <c r="P5473" t="s">
        <v>1760</v>
      </c>
      <c r="Y5473" t="s">
        <v>25350</v>
      </c>
    </row>
    <row r="5474" spans="1:25" x14ac:dyDescent="0.25">
      <c r="A5474" t="str">
        <f>"11896562811"</f>
        <v>11896562811</v>
      </c>
      <c r="B5474" t="s">
        <v>290</v>
      </c>
      <c r="C5474" t="s">
        <v>290</v>
      </c>
      <c r="D5474" t="s">
        <v>25351</v>
      </c>
      <c r="E5474">
        <v>424033</v>
      </c>
      <c r="F5474" t="s">
        <v>1</v>
      </c>
      <c r="G5474" t="s">
        <v>2</v>
      </c>
      <c r="H5474" t="s">
        <v>22290</v>
      </c>
      <c r="I5474" t="s">
        <v>25352</v>
      </c>
      <c r="J5474" t="s">
        <v>25353</v>
      </c>
      <c r="P5474" t="s">
        <v>1760</v>
      </c>
      <c r="Y5474" t="s">
        <v>25354</v>
      </c>
    </row>
    <row r="5475" spans="1:25" x14ac:dyDescent="0.25">
      <c r="A5475" t="str">
        <f>"11908703644"</f>
        <v>11908703644</v>
      </c>
      <c r="B5475" t="s">
        <v>930</v>
      </c>
      <c r="C5475" t="s">
        <v>10263</v>
      </c>
      <c r="D5475" t="s">
        <v>25355</v>
      </c>
      <c r="F5475" t="s">
        <v>1</v>
      </c>
      <c r="G5475" t="s">
        <v>2</v>
      </c>
      <c r="H5475" t="s">
        <v>6365</v>
      </c>
      <c r="I5475" t="s">
        <v>25356</v>
      </c>
      <c r="P5475" t="s">
        <v>216</v>
      </c>
      <c r="Y5475" t="s">
        <v>25357</v>
      </c>
    </row>
    <row r="5476" spans="1:25" x14ac:dyDescent="0.25">
      <c r="A5476" t="str">
        <f>"11938505200"</f>
        <v>11938505200</v>
      </c>
      <c r="B5476" t="s">
        <v>1046</v>
      </c>
      <c r="C5476" t="s">
        <v>22946</v>
      </c>
      <c r="D5476" t="s">
        <v>22946</v>
      </c>
      <c r="E5476">
        <v>424039</v>
      </c>
      <c r="F5476" t="s">
        <v>1</v>
      </c>
      <c r="G5476" t="s">
        <v>2</v>
      </c>
      <c r="H5476" t="s">
        <v>148</v>
      </c>
      <c r="Y5476" t="s">
        <v>25358</v>
      </c>
    </row>
    <row r="5477" spans="1:25" x14ac:dyDescent="0.25">
      <c r="A5477" t="str">
        <f>"11944290868"</f>
        <v>11944290868</v>
      </c>
      <c r="B5477" t="s">
        <v>1475</v>
      </c>
      <c r="C5477" t="s">
        <v>1476</v>
      </c>
      <c r="D5477" t="s">
        <v>20219</v>
      </c>
      <c r="F5477" t="s">
        <v>1</v>
      </c>
      <c r="G5477" t="s">
        <v>2</v>
      </c>
      <c r="H5477" t="s">
        <v>7547</v>
      </c>
      <c r="Y5477" t="s">
        <v>25359</v>
      </c>
    </row>
    <row r="5478" spans="1:25" x14ac:dyDescent="0.25">
      <c r="A5478" t="str">
        <f>"11953230952"</f>
        <v>11953230952</v>
      </c>
      <c r="B5478" t="s">
        <v>530</v>
      </c>
      <c r="C5478" t="s">
        <v>23950</v>
      </c>
      <c r="D5478" t="s">
        <v>23950</v>
      </c>
      <c r="F5478" t="s">
        <v>1</v>
      </c>
      <c r="G5478" t="s">
        <v>2</v>
      </c>
      <c r="H5478" t="s">
        <v>25360</v>
      </c>
      <c r="Y5478" t="s">
        <v>25361</v>
      </c>
    </row>
    <row r="5479" spans="1:25" x14ac:dyDescent="0.25">
      <c r="A5479" t="str">
        <f>"12047368757"</f>
        <v>12047368757</v>
      </c>
      <c r="B5479" t="s">
        <v>48</v>
      </c>
      <c r="C5479" t="s">
        <v>16070</v>
      </c>
      <c r="D5479" t="s">
        <v>15808</v>
      </c>
      <c r="E5479">
        <v>424038</v>
      </c>
      <c r="F5479" t="s">
        <v>1</v>
      </c>
      <c r="G5479" t="s">
        <v>2</v>
      </c>
      <c r="H5479" t="s">
        <v>13095</v>
      </c>
      <c r="Y5479" t="s">
        <v>25362</v>
      </c>
    </row>
    <row r="5480" spans="1:25" x14ac:dyDescent="0.25">
      <c r="A5480" t="str">
        <f>"12074011100"</f>
        <v>12074011100</v>
      </c>
      <c r="B5480" t="s">
        <v>379</v>
      </c>
      <c r="C5480" t="s">
        <v>25366</v>
      </c>
      <c r="D5480" t="s">
        <v>18876</v>
      </c>
      <c r="E5480">
        <v>424005</v>
      </c>
      <c r="F5480" t="s">
        <v>1</v>
      </c>
      <c r="G5480" t="s">
        <v>2</v>
      </c>
      <c r="H5480" t="s">
        <v>1298</v>
      </c>
      <c r="I5480" t="s">
        <v>25363</v>
      </c>
      <c r="L5480" t="s">
        <v>25364</v>
      </c>
      <c r="M5480" t="s">
        <v>25365</v>
      </c>
      <c r="P5480" t="s">
        <v>330</v>
      </c>
      <c r="Q5480" t="s">
        <v>25367</v>
      </c>
      <c r="R5480" t="s">
        <v>25368</v>
      </c>
      <c r="T5480" t="s">
        <v>25369</v>
      </c>
      <c r="V5480" t="s">
        <v>25370</v>
      </c>
      <c r="Y5480" t="s">
        <v>25371</v>
      </c>
    </row>
    <row r="5481" spans="1:25" x14ac:dyDescent="0.25">
      <c r="A5481" t="str">
        <f>"12079870062"</f>
        <v>12079870062</v>
      </c>
      <c r="B5481" t="s">
        <v>1152</v>
      </c>
      <c r="C5481" t="s">
        <v>1153</v>
      </c>
      <c r="D5481" t="s">
        <v>10280</v>
      </c>
      <c r="E5481">
        <v>424038</v>
      </c>
      <c r="F5481" t="s">
        <v>1</v>
      </c>
      <c r="G5481" t="s">
        <v>2</v>
      </c>
      <c r="H5481" t="s">
        <v>5779</v>
      </c>
      <c r="I5481" t="s">
        <v>22092</v>
      </c>
      <c r="M5481" t="s">
        <v>10284</v>
      </c>
      <c r="Q5481" t="s">
        <v>10286</v>
      </c>
      <c r="R5481" t="s">
        <v>10287</v>
      </c>
      <c r="S5481" t="s">
        <v>10288</v>
      </c>
      <c r="T5481" t="s">
        <v>10289</v>
      </c>
      <c r="U5481" t="s">
        <v>10290</v>
      </c>
      <c r="V5481" t="s">
        <v>10291</v>
      </c>
      <c r="Y5481" t="s">
        <v>5780</v>
      </c>
    </row>
    <row r="5482" spans="1:25" x14ac:dyDescent="0.25">
      <c r="A5482" t="str">
        <f>"12086855420"</f>
        <v>12086855420</v>
      </c>
      <c r="B5482" t="s">
        <v>888</v>
      </c>
      <c r="C5482" t="s">
        <v>888</v>
      </c>
      <c r="D5482" t="s">
        <v>25372</v>
      </c>
      <c r="E5482">
        <v>424007</v>
      </c>
      <c r="F5482" t="s">
        <v>1</v>
      </c>
      <c r="G5482" t="s">
        <v>2</v>
      </c>
      <c r="H5482" t="s">
        <v>1319</v>
      </c>
      <c r="J5482" t="s">
        <v>25373</v>
      </c>
      <c r="L5482" t="s">
        <v>25374</v>
      </c>
      <c r="M5482" t="s">
        <v>25375</v>
      </c>
      <c r="P5482" t="s">
        <v>20</v>
      </c>
      <c r="Y5482" t="s">
        <v>25376</v>
      </c>
    </row>
    <row r="5483" spans="1:25" x14ac:dyDescent="0.25">
      <c r="A5483" t="str">
        <f>"12098983887"</f>
        <v>12098983887</v>
      </c>
      <c r="B5483" t="s">
        <v>7312</v>
      </c>
      <c r="C5483" t="s">
        <v>21136</v>
      </c>
      <c r="D5483" t="s">
        <v>25377</v>
      </c>
      <c r="E5483">
        <v>424020</v>
      </c>
      <c r="F5483" t="s">
        <v>1</v>
      </c>
      <c r="G5483" t="s">
        <v>2</v>
      </c>
      <c r="H5483" t="s">
        <v>6262</v>
      </c>
      <c r="Y5483" t="s">
        <v>6264</v>
      </c>
    </row>
    <row r="5484" spans="1:25" x14ac:dyDescent="0.25">
      <c r="A5484" t="str">
        <f>"12107309948"</f>
        <v>12107309948</v>
      </c>
      <c r="B5484" t="s">
        <v>32</v>
      </c>
      <c r="C5484" t="s">
        <v>25380</v>
      </c>
      <c r="D5484" t="s">
        <v>25378</v>
      </c>
      <c r="E5484">
        <v>424038</v>
      </c>
      <c r="F5484" t="s">
        <v>1</v>
      </c>
      <c r="G5484" t="s">
        <v>2</v>
      </c>
      <c r="H5484" t="s">
        <v>13118</v>
      </c>
      <c r="I5484" t="s">
        <v>25379</v>
      </c>
      <c r="P5484" t="s">
        <v>13898</v>
      </c>
      <c r="Y5484" t="s">
        <v>25381</v>
      </c>
    </row>
    <row r="5485" spans="1:25" x14ac:dyDescent="0.25">
      <c r="A5485" t="str">
        <f>"12123102744"</f>
        <v>12123102744</v>
      </c>
      <c r="B5485" t="s">
        <v>117</v>
      </c>
      <c r="C5485" t="s">
        <v>118</v>
      </c>
      <c r="D5485" t="s">
        <v>25382</v>
      </c>
      <c r="F5485" t="s">
        <v>1</v>
      </c>
      <c r="G5485" t="s">
        <v>2</v>
      </c>
      <c r="H5485" t="s">
        <v>25383</v>
      </c>
      <c r="Y5485" t="s">
        <v>25384</v>
      </c>
    </row>
    <row r="5486" spans="1:25" x14ac:dyDescent="0.25">
      <c r="A5486" t="str">
        <f>"12142835280"</f>
        <v>12142835280</v>
      </c>
      <c r="B5486" t="s">
        <v>1152</v>
      </c>
      <c r="C5486" t="s">
        <v>25386</v>
      </c>
      <c r="D5486" t="s">
        <v>25385</v>
      </c>
      <c r="E5486">
        <v>424039</v>
      </c>
      <c r="F5486" t="s">
        <v>1</v>
      </c>
      <c r="G5486" t="s">
        <v>2</v>
      </c>
      <c r="H5486" t="s">
        <v>2729</v>
      </c>
      <c r="Y5486" t="s">
        <v>25387</v>
      </c>
    </row>
    <row r="5487" spans="1:25" x14ac:dyDescent="0.25">
      <c r="A5487" t="str">
        <f>"12150427161"</f>
        <v>12150427161</v>
      </c>
      <c r="B5487" t="s">
        <v>18</v>
      </c>
      <c r="C5487" t="s">
        <v>143</v>
      </c>
      <c r="D5487" t="s">
        <v>25388</v>
      </c>
      <c r="E5487">
        <v>424004</v>
      </c>
      <c r="F5487" t="s">
        <v>1</v>
      </c>
      <c r="G5487" t="s">
        <v>2</v>
      </c>
      <c r="H5487" t="s">
        <v>3489</v>
      </c>
      <c r="I5487" t="s">
        <v>25389</v>
      </c>
      <c r="L5487" t="s">
        <v>25390</v>
      </c>
      <c r="M5487" t="s">
        <v>25391</v>
      </c>
      <c r="P5487" t="s">
        <v>13196</v>
      </c>
      <c r="Y5487" t="s">
        <v>25392</v>
      </c>
    </row>
    <row r="5488" spans="1:25" x14ac:dyDescent="0.25">
      <c r="A5488" t="str">
        <f>"12156354036"</f>
        <v>12156354036</v>
      </c>
      <c r="B5488" t="s">
        <v>841</v>
      </c>
      <c r="C5488" t="s">
        <v>11986</v>
      </c>
      <c r="D5488" t="s">
        <v>25393</v>
      </c>
      <c r="E5488">
        <v>424030</v>
      </c>
      <c r="F5488" t="s">
        <v>1</v>
      </c>
      <c r="G5488" t="s">
        <v>2</v>
      </c>
      <c r="H5488" t="s">
        <v>25394</v>
      </c>
      <c r="J5488" t="s">
        <v>25395</v>
      </c>
      <c r="P5488" t="s">
        <v>7294</v>
      </c>
      <c r="Q5488" t="s">
        <v>25396</v>
      </c>
      <c r="Y5488" t="s">
        <v>25397</v>
      </c>
    </row>
    <row r="5489" spans="1:25" x14ac:dyDescent="0.25">
      <c r="A5489" t="str">
        <f>"12193519999"</f>
        <v>12193519999</v>
      </c>
      <c r="B5489" t="s">
        <v>530</v>
      </c>
      <c r="C5489" t="s">
        <v>531</v>
      </c>
      <c r="D5489" t="s">
        <v>25398</v>
      </c>
      <c r="E5489">
        <v>424016</v>
      </c>
      <c r="F5489" t="s">
        <v>1</v>
      </c>
      <c r="G5489" t="s">
        <v>2</v>
      </c>
      <c r="H5489" t="s">
        <v>5202</v>
      </c>
      <c r="Y5489" t="s">
        <v>5210</v>
      </c>
    </row>
    <row r="5490" spans="1:25" x14ac:dyDescent="0.25">
      <c r="A5490" t="str">
        <f>"12200531038"</f>
        <v>12200531038</v>
      </c>
      <c r="B5490" t="s">
        <v>352</v>
      </c>
      <c r="C5490" t="s">
        <v>25402</v>
      </c>
      <c r="D5490" t="s">
        <v>25399</v>
      </c>
      <c r="F5490" t="s">
        <v>1</v>
      </c>
      <c r="G5490" t="s">
        <v>2</v>
      </c>
      <c r="H5490" t="s">
        <v>3696</v>
      </c>
      <c r="I5490" t="s">
        <v>25400</v>
      </c>
      <c r="J5490" t="s">
        <v>25401</v>
      </c>
      <c r="P5490" t="s">
        <v>6456</v>
      </c>
      <c r="Y5490" t="s">
        <v>3701</v>
      </c>
    </row>
    <row r="5491" spans="1:25" x14ac:dyDescent="0.25">
      <c r="A5491" t="str">
        <f>"12231015531"</f>
        <v>12231015531</v>
      </c>
      <c r="B5491" t="s">
        <v>930</v>
      </c>
      <c r="C5491" t="s">
        <v>25405</v>
      </c>
      <c r="D5491" t="s">
        <v>25403</v>
      </c>
      <c r="F5491" t="s">
        <v>1</v>
      </c>
      <c r="G5491" t="s">
        <v>2</v>
      </c>
      <c r="H5491" t="s">
        <v>8106</v>
      </c>
      <c r="J5491" t="s">
        <v>25404</v>
      </c>
      <c r="P5491" t="s">
        <v>34</v>
      </c>
      <c r="Y5491" t="s">
        <v>25406</v>
      </c>
    </row>
    <row r="5492" spans="1:25" x14ac:dyDescent="0.25">
      <c r="A5492" t="str">
        <f>"12263816198"</f>
        <v>12263816198</v>
      </c>
      <c r="B5492" t="s">
        <v>1046</v>
      </c>
      <c r="C5492" t="s">
        <v>22946</v>
      </c>
      <c r="D5492" t="s">
        <v>22946</v>
      </c>
      <c r="E5492">
        <v>424005</v>
      </c>
      <c r="F5492" t="s">
        <v>1</v>
      </c>
      <c r="G5492" t="s">
        <v>2</v>
      </c>
      <c r="H5492" t="s">
        <v>25407</v>
      </c>
      <c r="Y5492" t="s">
        <v>25408</v>
      </c>
    </row>
    <row r="5493" spans="1:25" x14ac:dyDescent="0.25">
      <c r="A5493" t="str">
        <f>"12268654428"</f>
        <v>12268654428</v>
      </c>
      <c r="B5493" t="s">
        <v>32</v>
      </c>
      <c r="C5493" t="s">
        <v>40</v>
      </c>
      <c r="D5493" t="s">
        <v>11333</v>
      </c>
      <c r="E5493">
        <v>424037</v>
      </c>
      <c r="F5493" t="s">
        <v>1</v>
      </c>
      <c r="G5493" t="s">
        <v>2</v>
      </c>
      <c r="H5493" t="s">
        <v>17756</v>
      </c>
      <c r="I5493" t="s">
        <v>25409</v>
      </c>
      <c r="P5493" t="s">
        <v>3690</v>
      </c>
      <c r="Y5493" t="s">
        <v>25410</v>
      </c>
    </row>
    <row r="5494" spans="1:25" x14ac:dyDescent="0.25">
      <c r="A5494" t="str">
        <f>"12279267008"</f>
        <v>12279267008</v>
      </c>
      <c r="B5494" t="s">
        <v>1475</v>
      </c>
      <c r="C5494" t="s">
        <v>1476</v>
      </c>
      <c r="D5494" t="s">
        <v>7032</v>
      </c>
      <c r="F5494" t="s">
        <v>1</v>
      </c>
      <c r="G5494" t="s">
        <v>2</v>
      </c>
      <c r="H5494" t="s">
        <v>19499</v>
      </c>
      <c r="I5494" t="s">
        <v>25411</v>
      </c>
      <c r="P5494" t="s">
        <v>144</v>
      </c>
      <c r="Y5494" t="s">
        <v>25412</v>
      </c>
    </row>
    <row r="5495" spans="1:25" x14ac:dyDescent="0.25">
      <c r="A5495" t="str">
        <f>"12296537900"</f>
        <v>12296537900</v>
      </c>
      <c r="B5495" t="s">
        <v>352</v>
      </c>
      <c r="C5495" t="s">
        <v>8051</v>
      </c>
      <c r="D5495" t="s">
        <v>18913</v>
      </c>
      <c r="E5495">
        <v>424007</v>
      </c>
      <c r="F5495" t="s">
        <v>1</v>
      </c>
      <c r="G5495" t="s">
        <v>2</v>
      </c>
      <c r="H5495" t="s">
        <v>499</v>
      </c>
      <c r="Y5495" t="s">
        <v>1598</v>
      </c>
    </row>
    <row r="5496" spans="1:25" x14ac:dyDescent="0.25">
      <c r="A5496" t="str">
        <f>"12335586475"</f>
        <v>12335586475</v>
      </c>
      <c r="B5496" t="s">
        <v>25</v>
      </c>
      <c r="C5496" t="s">
        <v>20320</v>
      </c>
      <c r="D5496" t="s">
        <v>25413</v>
      </c>
      <c r="F5496" t="s">
        <v>1</v>
      </c>
      <c r="G5496" t="s">
        <v>2</v>
      </c>
      <c r="H5496" t="s">
        <v>25414</v>
      </c>
      <c r="J5496" t="s">
        <v>25415</v>
      </c>
      <c r="Q5496" t="s">
        <v>25416</v>
      </c>
      <c r="T5496" t="s">
        <v>25417</v>
      </c>
      <c r="V5496" t="s">
        <v>25418</v>
      </c>
      <c r="Y5496" t="s">
        <v>25419</v>
      </c>
    </row>
    <row r="5497" spans="1:25" x14ac:dyDescent="0.25">
      <c r="A5497" t="str">
        <f>"12358080036"</f>
        <v>12358080036</v>
      </c>
      <c r="B5497" t="s">
        <v>574</v>
      </c>
      <c r="C5497" t="s">
        <v>25422</v>
      </c>
      <c r="D5497" t="s">
        <v>25420</v>
      </c>
      <c r="F5497" t="s">
        <v>1</v>
      </c>
      <c r="G5497" t="s">
        <v>2</v>
      </c>
      <c r="H5497" t="s">
        <v>25421</v>
      </c>
      <c r="P5497" t="s">
        <v>216</v>
      </c>
      <c r="Y5497" t="s">
        <v>25423</v>
      </c>
    </row>
    <row r="5498" spans="1:25" x14ac:dyDescent="0.25">
      <c r="A5498" t="str">
        <f>"12372314999"</f>
        <v>12372314999</v>
      </c>
      <c r="B5498" t="s">
        <v>1343</v>
      </c>
      <c r="C5498" t="s">
        <v>13544</v>
      </c>
      <c r="D5498" t="s">
        <v>25424</v>
      </c>
      <c r="E5498">
        <v>424000</v>
      </c>
      <c r="F5498" t="s">
        <v>1</v>
      </c>
      <c r="G5498" t="s">
        <v>2</v>
      </c>
      <c r="H5498" t="s">
        <v>1473</v>
      </c>
      <c r="J5498" t="s">
        <v>25425</v>
      </c>
      <c r="P5498" t="s">
        <v>941</v>
      </c>
      <c r="Y5498" t="s">
        <v>4067</v>
      </c>
    </row>
    <row r="5499" spans="1:25" x14ac:dyDescent="0.25">
      <c r="A5499" t="str">
        <f>"12446875412"</f>
        <v>12446875412</v>
      </c>
      <c r="B5499" t="s">
        <v>738</v>
      </c>
      <c r="C5499" t="s">
        <v>25427</v>
      </c>
      <c r="D5499" t="s">
        <v>13464</v>
      </c>
      <c r="E5499">
        <v>424008</v>
      </c>
      <c r="F5499" t="s">
        <v>1</v>
      </c>
      <c r="G5499" t="s">
        <v>2</v>
      </c>
      <c r="H5499" t="s">
        <v>6327</v>
      </c>
      <c r="I5499" t="s">
        <v>25426</v>
      </c>
      <c r="Q5499" t="s">
        <v>6333</v>
      </c>
      <c r="Y5499" t="s">
        <v>22933</v>
      </c>
    </row>
    <row r="5500" spans="1:25" x14ac:dyDescent="0.25">
      <c r="A5500" t="str">
        <f>"12464740310"</f>
        <v>12464740310</v>
      </c>
      <c r="B5500" t="s">
        <v>1152</v>
      </c>
      <c r="C5500" t="s">
        <v>1153</v>
      </c>
      <c r="D5500" t="s">
        <v>24071</v>
      </c>
      <c r="E5500">
        <v>424036</v>
      </c>
      <c r="F5500" t="s">
        <v>1</v>
      </c>
      <c r="G5500" t="s">
        <v>2</v>
      </c>
      <c r="H5500" t="s">
        <v>7822</v>
      </c>
      <c r="Y5500" t="s">
        <v>25428</v>
      </c>
    </row>
    <row r="5501" spans="1:25" x14ac:dyDescent="0.25">
      <c r="A5501" t="str">
        <f>"12467150811"</f>
        <v>12467150811</v>
      </c>
      <c r="B5501" t="s">
        <v>96</v>
      </c>
      <c r="C5501" t="s">
        <v>25433</v>
      </c>
      <c r="D5501" t="s">
        <v>25429</v>
      </c>
      <c r="E5501">
        <v>424038</v>
      </c>
      <c r="F5501" t="s">
        <v>1</v>
      </c>
      <c r="G5501" t="s">
        <v>2</v>
      </c>
      <c r="H5501" t="s">
        <v>7597</v>
      </c>
      <c r="I5501" t="s">
        <v>25430</v>
      </c>
      <c r="L5501" t="s">
        <v>25431</v>
      </c>
      <c r="M5501" t="s">
        <v>25432</v>
      </c>
      <c r="P5501" t="s">
        <v>1642</v>
      </c>
      <c r="Q5501" t="s">
        <v>25434</v>
      </c>
      <c r="T5501" t="s">
        <v>25435</v>
      </c>
      <c r="V5501" t="s">
        <v>25436</v>
      </c>
      <c r="Y5501" t="s">
        <v>16150</v>
      </c>
    </row>
    <row r="5502" spans="1:25" x14ac:dyDescent="0.25">
      <c r="A5502" t="str">
        <f>"12484931227"</f>
        <v>12484931227</v>
      </c>
      <c r="B5502" t="s">
        <v>790</v>
      </c>
      <c r="C5502" t="s">
        <v>25438</v>
      </c>
      <c r="D5502" t="s">
        <v>25437</v>
      </c>
      <c r="E5502">
        <v>424000</v>
      </c>
      <c r="F5502" t="s">
        <v>1</v>
      </c>
      <c r="G5502" t="s">
        <v>2</v>
      </c>
      <c r="H5502" t="s">
        <v>1531</v>
      </c>
      <c r="Y5502" t="s">
        <v>1707</v>
      </c>
    </row>
    <row r="5503" spans="1:25" x14ac:dyDescent="0.25">
      <c r="A5503" t="str">
        <f>"12490136345"</f>
        <v>12490136345</v>
      </c>
      <c r="B5503" t="s">
        <v>1611</v>
      </c>
      <c r="C5503" t="s">
        <v>3218</v>
      </c>
      <c r="D5503" t="s">
        <v>25439</v>
      </c>
      <c r="E5503">
        <v>424005</v>
      </c>
      <c r="F5503" t="s">
        <v>1</v>
      </c>
      <c r="G5503" t="s">
        <v>2</v>
      </c>
      <c r="H5503" t="s">
        <v>5429</v>
      </c>
      <c r="M5503" t="s">
        <v>25440</v>
      </c>
      <c r="P5503" t="s">
        <v>330</v>
      </c>
      <c r="Y5503" t="s">
        <v>5431</v>
      </c>
    </row>
    <row r="5504" spans="1:25" x14ac:dyDescent="0.25">
      <c r="A5504" t="str">
        <f>"12505615805"</f>
        <v>12505615805</v>
      </c>
      <c r="B5504" t="s">
        <v>96</v>
      </c>
      <c r="C5504" t="s">
        <v>12339</v>
      </c>
      <c r="D5504" t="s">
        <v>25441</v>
      </c>
      <c r="E5504">
        <v>424003</v>
      </c>
      <c r="F5504" t="s">
        <v>1</v>
      </c>
      <c r="G5504" t="s">
        <v>2</v>
      </c>
      <c r="H5504" t="s">
        <v>8472</v>
      </c>
      <c r="J5504" t="s">
        <v>25442</v>
      </c>
      <c r="P5504" t="s">
        <v>25443</v>
      </c>
      <c r="Y5504" t="s">
        <v>25444</v>
      </c>
    </row>
    <row r="5505" spans="1:25" x14ac:dyDescent="0.25">
      <c r="A5505" t="str">
        <f>"12518131419"</f>
        <v>12518131419</v>
      </c>
      <c r="B5505" t="s">
        <v>348</v>
      </c>
      <c r="C5505" t="s">
        <v>4366</v>
      </c>
      <c r="D5505" t="s">
        <v>25445</v>
      </c>
      <c r="E5505">
        <v>424038</v>
      </c>
      <c r="F5505" t="s">
        <v>1</v>
      </c>
      <c r="G5505" t="s">
        <v>2</v>
      </c>
      <c r="H5505" t="s">
        <v>1366</v>
      </c>
      <c r="Y5505" t="s">
        <v>25446</v>
      </c>
    </row>
    <row r="5506" spans="1:25" x14ac:dyDescent="0.25">
      <c r="A5506" t="str">
        <f>"12523878070"</f>
        <v>12523878070</v>
      </c>
      <c r="B5506" t="s">
        <v>18</v>
      </c>
      <c r="C5506" t="s">
        <v>4522</v>
      </c>
      <c r="D5506" t="s">
        <v>25447</v>
      </c>
      <c r="F5506" t="s">
        <v>1</v>
      </c>
      <c r="G5506" t="s">
        <v>2</v>
      </c>
      <c r="H5506" t="s">
        <v>25448</v>
      </c>
      <c r="Y5506" t="s">
        <v>25449</v>
      </c>
    </row>
    <row r="5507" spans="1:25" x14ac:dyDescent="0.25">
      <c r="A5507" t="str">
        <f>"12543667047"</f>
        <v>12543667047</v>
      </c>
      <c r="B5507" t="s">
        <v>397</v>
      </c>
      <c r="C5507" t="s">
        <v>2800</v>
      </c>
      <c r="D5507" t="s">
        <v>25450</v>
      </c>
      <c r="F5507" t="s">
        <v>1</v>
      </c>
      <c r="G5507" t="s">
        <v>2</v>
      </c>
      <c r="H5507" t="s">
        <v>25451</v>
      </c>
      <c r="I5507" t="s">
        <v>25452</v>
      </c>
      <c r="J5507" t="s">
        <v>25453</v>
      </c>
      <c r="L5507" t="s">
        <v>25454</v>
      </c>
      <c r="M5507" t="s">
        <v>25455</v>
      </c>
      <c r="P5507" t="s">
        <v>2362</v>
      </c>
      <c r="Q5507" t="s">
        <v>25456</v>
      </c>
      <c r="V5507" t="s">
        <v>25457</v>
      </c>
      <c r="Y5507" t="s">
        <v>25458</v>
      </c>
    </row>
    <row r="5508" spans="1:25" x14ac:dyDescent="0.25">
      <c r="A5508" t="str">
        <f>"12603182568"</f>
        <v>12603182568</v>
      </c>
      <c r="B5508" t="s">
        <v>530</v>
      </c>
      <c r="C5508" t="s">
        <v>5046</v>
      </c>
      <c r="D5508" t="s">
        <v>25459</v>
      </c>
      <c r="E5508">
        <v>424006</v>
      </c>
      <c r="F5508" t="s">
        <v>1</v>
      </c>
      <c r="G5508" t="s">
        <v>2</v>
      </c>
      <c r="H5508" t="s">
        <v>1195</v>
      </c>
      <c r="I5508" t="s">
        <v>25460</v>
      </c>
      <c r="M5508" t="s">
        <v>25461</v>
      </c>
      <c r="P5508" t="s">
        <v>20</v>
      </c>
      <c r="Y5508" t="s">
        <v>1201</v>
      </c>
    </row>
    <row r="5509" spans="1:25" x14ac:dyDescent="0.25">
      <c r="A5509" t="str">
        <f>"12670658598"</f>
        <v>12670658598</v>
      </c>
      <c r="B5509" t="s">
        <v>25</v>
      </c>
      <c r="C5509" t="s">
        <v>24938</v>
      </c>
      <c r="D5509" t="s">
        <v>25462</v>
      </c>
      <c r="F5509" t="s">
        <v>1</v>
      </c>
      <c r="G5509" t="s">
        <v>2</v>
      </c>
      <c r="H5509" t="s">
        <v>25463</v>
      </c>
      <c r="I5509" t="s">
        <v>25464</v>
      </c>
      <c r="L5509" t="s">
        <v>25465</v>
      </c>
      <c r="M5509" t="s">
        <v>25466</v>
      </c>
      <c r="Y5509" t="s">
        <v>25467</v>
      </c>
    </row>
    <row r="5510" spans="1:25" x14ac:dyDescent="0.25">
      <c r="A5510" t="str">
        <f>"12707140025"</f>
        <v>12707140025</v>
      </c>
      <c r="B5510" t="s">
        <v>654</v>
      </c>
      <c r="C5510" t="s">
        <v>25469</v>
      </c>
      <c r="D5510" t="s">
        <v>25468</v>
      </c>
      <c r="E5510">
        <v>424020</v>
      </c>
      <c r="F5510" t="s">
        <v>1</v>
      </c>
      <c r="G5510" t="s">
        <v>2</v>
      </c>
      <c r="H5510" t="s">
        <v>1837</v>
      </c>
      <c r="P5510" t="s">
        <v>2296</v>
      </c>
      <c r="Q5510" t="s">
        <v>25470</v>
      </c>
      <c r="V5510" t="s">
        <v>25471</v>
      </c>
      <c r="Y5510" t="s">
        <v>1842</v>
      </c>
    </row>
    <row r="5511" spans="1:25" x14ac:dyDescent="0.25">
      <c r="A5511" t="str">
        <f>"12717261364"</f>
        <v>12717261364</v>
      </c>
      <c r="B5511" t="s">
        <v>388</v>
      </c>
      <c r="C5511" t="s">
        <v>25472</v>
      </c>
      <c r="D5511" t="s">
        <v>4941</v>
      </c>
      <c r="E5511">
        <v>424019</v>
      </c>
      <c r="F5511" t="s">
        <v>1</v>
      </c>
      <c r="G5511" t="s">
        <v>2</v>
      </c>
      <c r="H5511" t="s">
        <v>1801</v>
      </c>
      <c r="Y5511" t="s">
        <v>25473</v>
      </c>
    </row>
    <row r="5512" spans="1:25" x14ac:dyDescent="0.25">
      <c r="A5512" t="str">
        <f>"12733906223"</f>
        <v>12733906223</v>
      </c>
      <c r="B5512" t="s">
        <v>18</v>
      </c>
      <c r="C5512" t="s">
        <v>25476</v>
      </c>
      <c r="D5512" t="s">
        <v>25474</v>
      </c>
      <c r="E5512">
        <v>424007</v>
      </c>
      <c r="F5512" t="s">
        <v>1</v>
      </c>
      <c r="G5512" t="s">
        <v>2</v>
      </c>
      <c r="H5512" t="s">
        <v>10252</v>
      </c>
      <c r="J5512" t="s">
        <v>25475</v>
      </c>
      <c r="P5512" t="s">
        <v>280</v>
      </c>
      <c r="Y5512" t="s">
        <v>10258</v>
      </c>
    </row>
    <row r="5513" spans="1:25" x14ac:dyDescent="0.25">
      <c r="A5513" t="str">
        <f>"12748538655"</f>
        <v>12748538655</v>
      </c>
      <c r="B5513" t="s">
        <v>1078</v>
      </c>
      <c r="C5513" t="s">
        <v>25481</v>
      </c>
      <c r="D5513" t="s">
        <v>25477</v>
      </c>
      <c r="F5513" t="s">
        <v>1</v>
      </c>
      <c r="G5513" t="s">
        <v>2</v>
      </c>
      <c r="H5513" t="s">
        <v>21391</v>
      </c>
      <c r="I5513" t="s">
        <v>25478</v>
      </c>
      <c r="L5513" t="s">
        <v>25479</v>
      </c>
      <c r="M5513" t="s">
        <v>25480</v>
      </c>
      <c r="P5513" t="s">
        <v>1027</v>
      </c>
      <c r="Q5513" t="s">
        <v>25482</v>
      </c>
      <c r="R5513" t="s">
        <v>25483</v>
      </c>
      <c r="V5513" t="s">
        <v>25484</v>
      </c>
      <c r="Y5513" t="s">
        <v>25485</v>
      </c>
    </row>
    <row r="5514" spans="1:25" x14ac:dyDescent="0.25">
      <c r="A5514" t="str">
        <f>"12777207973"</f>
        <v>12777207973</v>
      </c>
      <c r="B5514" t="s">
        <v>574</v>
      </c>
      <c r="C5514" t="s">
        <v>25489</v>
      </c>
      <c r="D5514" t="s">
        <v>25486</v>
      </c>
      <c r="E5514">
        <v>424038</v>
      </c>
      <c r="F5514" t="s">
        <v>1</v>
      </c>
      <c r="G5514" t="s">
        <v>2</v>
      </c>
      <c r="H5514" t="s">
        <v>25487</v>
      </c>
      <c r="I5514" t="s">
        <v>25488</v>
      </c>
      <c r="P5514" t="s">
        <v>647</v>
      </c>
      <c r="Q5514" t="s">
        <v>25490</v>
      </c>
      <c r="Y5514" t="s">
        <v>25491</v>
      </c>
    </row>
    <row r="5515" spans="1:25" x14ac:dyDescent="0.25">
      <c r="A5515" t="str">
        <f>"12914066687"</f>
        <v>12914066687</v>
      </c>
      <c r="B5515" t="s">
        <v>123</v>
      </c>
      <c r="C5515" t="s">
        <v>20251</v>
      </c>
      <c r="D5515" t="s">
        <v>14790</v>
      </c>
      <c r="E5515">
        <v>424036</v>
      </c>
      <c r="F5515" t="s">
        <v>1</v>
      </c>
      <c r="G5515" t="s">
        <v>2</v>
      </c>
      <c r="H5515" t="s">
        <v>5317</v>
      </c>
      <c r="J5515" t="s">
        <v>25492</v>
      </c>
      <c r="P5515" t="s">
        <v>25493</v>
      </c>
      <c r="Y5515" t="s">
        <v>25494</v>
      </c>
    </row>
    <row r="5516" spans="1:25" x14ac:dyDescent="0.25">
      <c r="A5516" t="str">
        <f>"12940010035"</f>
        <v>12940010035</v>
      </c>
      <c r="B5516" t="s">
        <v>738</v>
      </c>
      <c r="C5516" t="s">
        <v>25498</v>
      </c>
      <c r="D5516" t="s">
        <v>25495</v>
      </c>
      <c r="E5516">
        <v>424007</v>
      </c>
      <c r="F5516" t="s">
        <v>1</v>
      </c>
      <c r="G5516" t="s">
        <v>2</v>
      </c>
      <c r="H5516" t="s">
        <v>4869</v>
      </c>
      <c r="I5516" t="s">
        <v>25496</v>
      </c>
      <c r="L5516" t="s">
        <v>25497</v>
      </c>
      <c r="P5516" t="s">
        <v>280</v>
      </c>
      <c r="Y5516" t="s">
        <v>25499</v>
      </c>
    </row>
    <row r="5517" spans="1:25" x14ac:dyDescent="0.25">
      <c r="A5517" t="str">
        <f>"12985123006"</f>
        <v>12985123006</v>
      </c>
      <c r="B5517" t="s">
        <v>25</v>
      </c>
      <c r="C5517" t="s">
        <v>13425</v>
      </c>
      <c r="D5517" t="s">
        <v>25019</v>
      </c>
      <c r="E5517">
        <v>424033</v>
      </c>
      <c r="F5517" t="s">
        <v>1</v>
      </c>
      <c r="G5517" t="s">
        <v>2</v>
      </c>
      <c r="H5517" t="s">
        <v>6126</v>
      </c>
      <c r="Y5517" t="s">
        <v>25500</v>
      </c>
    </row>
    <row r="5518" spans="1:25" x14ac:dyDescent="0.25">
      <c r="A5518" t="str">
        <f>"13014301174"</f>
        <v>13014301174</v>
      </c>
      <c r="B5518" t="s">
        <v>176</v>
      </c>
      <c r="C5518" t="s">
        <v>2838</v>
      </c>
      <c r="D5518" t="s">
        <v>16481</v>
      </c>
      <c r="E5518">
        <v>424038</v>
      </c>
      <c r="F5518" t="s">
        <v>1</v>
      </c>
      <c r="G5518" t="s">
        <v>2</v>
      </c>
      <c r="H5518" t="s">
        <v>10766</v>
      </c>
      <c r="J5518" t="s">
        <v>16483</v>
      </c>
      <c r="P5518" t="s">
        <v>216</v>
      </c>
      <c r="Y5518" t="s">
        <v>9441</v>
      </c>
    </row>
    <row r="5519" spans="1:25" x14ac:dyDescent="0.25">
      <c r="A5519" t="str">
        <f>"13015691581"</f>
        <v>13015691581</v>
      </c>
      <c r="B5519" t="s">
        <v>1046</v>
      </c>
      <c r="C5519" t="s">
        <v>22946</v>
      </c>
      <c r="D5519" t="s">
        <v>22946</v>
      </c>
      <c r="E5519">
        <v>424003</v>
      </c>
      <c r="F5519" t="s">
        <v>1</v>
      </c>
      <c r="G5519" t="s">
        <v>2</v>
      </c>
      <c r="H5519" t="s">
        <v>25501</v>
      </c>
      <c r="Y5519" t="s">
        <v>25502</v>
      </c>
    </row>
    <row r="5520" spans="1:25" x14ac:dyDescent="0.25">
      <c r="A5520" t="str">
        <f>"13032927229"</f>
        <v>13032927229</v>
      </c>
      <c r="B5520" t="s">
        <v>1544</v>
      </c>
      <c r="C5520" t="s">
        <v>25507</v>
      </c>
      <c r="D5520" t="s">
        <v>25503</v>
      </c>
      <c r="E5520">
        <v>424038</v>
      </c>
      <c r="F5520" t="s">
        <v>1</v>
      </c>
      <c r="G5520" t="s">
        <v>2</v>
      </c>
      <c r="H5520" t="s">
        <v>7597</v>
      </c>
      <c r="I5520" t="s">
        <v>25504</v>
      </c>
      <c r="L5520" t="s">
        <v>25505</v>
      </c>
      <c r="M5520" t="s">
        <v>25506</v>
      </c>
      <c r="P5520" t="s">
        <v>1642</v>
      </c>
      <c r="Q5520" t="s">
        <v>25508</v>
      </c>
      <c r="T5520" t="s">
        <v>25509</v>
      </c>
      <c r="V5520" t="s">
        <v>25510</v>
      </c>
      <c r="Y5520" t="s">
        <v>16150</v>
      </c>
    </row>
    <row r="5521" spans="1:25" x14ac:dyDescent="0.25">
      <c r="A5521" t="str">
        <f>"13057149647"</f>
        <v>13057149647</v>
      </c>
      <c r="B5521" t="s">
        <v>2601</v>
      </c>
      <c r="C5521" t="s">
        <v>25512</v>
      </c>
      <c r="D5521" t="s">
        <v>25511</v>
      </c>
      <c r="E5521">
        <v>424039</v>
      </c>
      <c r="F5521" t="s">
        <v>1</v>
      </c>
      <c r="G5521" t="s">
        <v>2</v>
      </c>
      <c r="H5521" t="s">
        <v>2729</v>
      </c>
      <c r="Y5521" t="s">
        <v>25513</v>
      </c>
    </row>
    <row r="5522" spans="1:25" x14ac:dyDescent="0.25">
      <c r="A5522" t="str">
        <f>"13059732367"</f>
        <v>13059732367</v>
      </c>
      <c r="B5522" t="s">
        <v>574</v>
      </c>
      <c r="C5522" t="s">
        <v>23462</v>
      </c>
      <c r="D5522" t="s">
        <v>25514</v>
      </c>
      <c r="E5522">
        <v>424033</v>
      </c>
      <c r="F5522" t="s">
        <v>1</v>
      </c>
      <c r="G5522" t="s">
        <v>2</v>
      </c>
      <c r="H5522" t="s">
        <v>1383</v>
      </c>
      <c r="P5522" t="s">
        <v>25515</v>
      </c>
      <c r="Y5522" t="s">
        <v>25516</v>
      </c>
    </row>
    <row r="5523" spans="1:25" x14ac:dyDescent="0.25">
      <c r="A5523" t="str">
        <f>"13076604109"</f>
        <v>13076604109</v>
      </c>
      <c r="B5523" t="s">
        <v>117</v>
      </c>
      <c r="C5523" t="s">
        <v>118</v>
      </c>
      <c r="D5523" t="s">
        <v>10260</v>
      </c>
      <c r="F5523" t="s">
        <v>1</v>
      </c>
      <c r="G5523" t="s">
        <v>2</v>
      </c>
      <c r="H5523" t="s">
        <v>25517</v>
      </c>
      <c r="Y5523" t="s">
        <v>25518</v>
      </c>
    </row>
    <row r="5524" spans="1:25" x14ac:dyDescent="0.25">
      <c r="A5524" t="str">
        <f>"13078256058"</f>
        <v>13078256058</v>
      </c>
      <c r="B5524" t="s">
        <v>18</v>
      </c>
      <c r="C5524" t="s">
        <v>25521</v>
      </c>
      <c r="D5524" t="s">
        <v>25519</v>
      </c>
      <c r="E5524">
        <v>424020</v>
      </c>
      <c r="F5524" t="s">
        <v>1</v>
      </c>
      <c r="G5524" t="s">
        <v>2</v>
      </c>
      <c r="H5524" t="s">
        <v>1837</v>
      </c>
      <c r="J5524" t="s">
        <v>25520</v>
      </c>
      <c r="P5524" t="s">
        <v>18882</v>
      </c>
      <c r="Y5524" t="s">
        <v>1842</v>
      </c>
    </row>
    <row r="5525" spans="1:25" x14ac:dyDescent="0.25">
      <c r="A5525" t="str">
        <f>"13125753372"</f>
        <v>13125753372</v>
      </c>
      <c r="B5525" t="s">
        <v>530</v>
      </c>
      <c r="C5525" t="s">
        <v>23950</v>
      </c>
      <c r="D5525" t="s">
        <v>23950</v>
      </c>
      <c r="F5525" t="s">
        <v>1</v>
      </c>
      <c r="G5525" t="s">
        <v>2</v>
      </c>
      <c r="H5525" t="s">
        <v>25007</v>
      </c>
      <c r="Y5525" t="s">
        <v>25522</v>
      </c>
    </row>
    <row r="5526" spans="1:25" x14ac:dyDescent="0.25">
      <c r="A5526" t="str">
        <f>"13140843612"</f>
        <v>13140843612</v>
      </c>
      <c r="B5526" t="s">
        <v>1315</v>
      </c>
      <c r="C5526" t="s">
        <v>4274</v>
      </c>
      <c r="D5526" t="s">
        <v>25523</v>
      </c>
      <c r="F5526" t="s">
        <v>1</v>
      </c>
      <c r="G5526" t="s">
        <v>2</v>
      </c>
      <c r="H5526" t="s">
        <v>3711</v>
      </c>
      <c r="J5526" t="s">
        <v>25524</v>
      </c>
      <c r="L5526" t="s">
        <v>25525</v>
      </c>
      <c r="M5526" t="s">
        <v>25526</v>
      </c>
      <c r="P5526" t="s">
        <v>34</v>
      </c>
      <c r="Y5526" t="s">
        <v>3715</v>
      </c>
    </row>
    <row r="5527" spans="1:25" x14ac:dyDescent="0.25">
      <c r="A5527" t="str">
        <f>"13150445421"</f>
        <v>13150445421</v>
      </c>
      <c r="B5527" t="s">
        <v>32</v>
      </c>
      <c r="C5527" t="s">
        <v>182</v>
      </c>
      <c r="D5527" t="s">
        <v>25527</v>
      </c>
      <c r="E5527">
        <v>424038</v>
      </c>
      <c r="F5527" t="s">
        <v>1</v>
      </c>
      <c r="G5527" t="s">
        <v>2</v>
      </c>
      <c r="H5527" t="s">
        <v>1366</v>
      </c>
      <c r="Y5527" t="s">
        <v>25528</v>
      </c>
    </row>
    <row r="5528" spans="1:25" x14ac:dyDescent="0.25">
      <c r="A5528" t="str">
        <f>"13197790786"</f>
        <v>13197790786</v>
      </c>
      <c r="B5528" t="s">
        <v>290</v>
      </c>
      <c r="C5528" t="s">
        <v>14990</v>
      </c>
      <c r="D5528" t="s">
        <v>25529</v>
      </c>
      <c r="E5528">
        <v>424031</v>
      </c>
      <c r="F5528" t="s">
        <v>1</v>
      </c>
      <c r="G5528" t="s">
        <v>2</v>
      </c>
      <c r="H5528" t="s">
        <v>239</v>
      </c>
      <c r="J5528" t="s">
        <v>25530</v>
      </c>
      <c r="P5528" t="s">
        <v>25531</v>
      </c>
      <c r="Y5528" t="s">
        <v>25532</v>
      </c>
    </row>
    <row r="5529" spans="1:25" x14ac:dyDescent="0.25">
      <c r="A5529" t="str">
        <f>"13231639366"</f>
        <v>13231639366</v>
      </c>
      <c r="B5529" t="s">
        <v>930</v>
      </c>
      <c r="C5529" t="s">
        <v>9679</v>
      </c>
      <c r="D5529" t="s">
        <v>1094</v>
      </c>
      <c r="E5529">
        <v>424039</v>
      </c>
      <c r="F5529" t="s">
        <v>1</v>
      </c>
      <c r="G5529" t="s">
        <v>2</v>
      </c>
      <c r="H5529" t="s">
        <v>25533</v>
      </c>
      <c r="J5529" t="s">
        <v>25534</v>
      </c>
      <c r="P5529" t="s">
        <v>280</v>
      </c>
      <c r="Y5529" t="s">
        <v>25535</v>
      </c>
    </row>
    <row r="5530" spans="1:25" x14ac:dyDescent="0.25">
      <c r="A5530" t="str">
        <f>"13234197606"</f>
        <v>13234197606</v>
      </c>
      <c r="B5530" t="s">
        <v>574</v>
      </c>
      <c r="C5530" t="s">
        <v>24922</v>
      </c>
      <c r="D5530" t="s">
        <v>25536</v>
      </c>
      <c r="E5530">
        <v>424020</v>
      </c>
      <c r="F5530" t="s">
        <v>1</v>
      </c>
      <c r="G5530" t="s">
        <v>2</v>
      </c>
      <c r="H5530" t="s">
        <v>19901</v>
      </c>
      <c r="J5530" t="s">
        <v>25537</v>
      </c>
      <c r="P5530" t="s">
        <v>216</v>
      </c>
      <c r="Y5530" t="s">
        <v>25171</v>
      </c>
    </row>
    <row r="5531" spans="1:25" x14ac:dyDescent="0.25">
      <c r="A5531" t="str">
        <f>"13236339227"</f>
        <v>13236339227</v>
      </c>
      <c r="B5531" t="s">
        <v>1323</v>
      </c>
      <c r="C5531" t="s">
        <v>1324</v>
      </c>
      <c r="D5531" t="s">
        <v>7983</v>
      </c>
      <c r="E5531">
        <v>424006</v>
      </c>
      <c r="F5531" t="s">
        <v>1</v>
      </c>
      <c r="G5531" t="s">
        <v>2</v>
      </c>
      <c r="H5531" t="s">
        <v>25538</v>
      </c>
      <c r="J5531" t="s">
        <v>25539</v>
      </c>
      <c r="P5531" t="s">
        <v>7701</v>
      </c>
      <c r="Y5531" t="s">
        <v>25540</v>
      </c>
    </row>
    <row r="5532" spans="1:25" x14ac:dyDescent="0.25">
      <c r="A5532" t="str">
        <f>"13244602654"</f>
        <v>13244602654</v>
      </c>
      <c r="B5532" t="s">
        <v>2104</v>
      </c>
      <c r="C5532" t="s">
        <v>25543</v>
      </c>
      <c r="D5532" t="s">
        <v>11677</v>
      </c>
      <c r="E5532">
        <v>424038</v>
      </c>
      <c r="F5532" t="s">
        <v>1</v>
      </c>
      <c r="G5532" t="s">
        <v>2</v>
      </c>
      <c r="H5532" t="s">
        <v>465</v>
      </c>
      <c r="I5532" t="s">
        <v>466</v>
      </c>
      <c r="L5532" t="s">
        <v>25541</v>
      </c>
      <c r="M5532" t="s">
        <v>25542</v>
      </c>
      <c r="P5532" t="s">
        <v>471</v>
      </c>
      <c r="Q5532" t="s">
        <v>472</v>
      </c>
      <c r="Y5532" t="s">
        <v>476</v>
      </c>
    </row>
    <row r="5533" spans="1:25" x14ac:dyDescent="0.25">
      <c r="A5533" t="str">
        <f>"13261803326"</f>
        <v>13261803326</v>
      </c>
      <c r="B5533" t="s">
        <v>469</v>
      </c>
      <c r="C5533" t="s">
        <v>19365</v>
      </c>
      <c r="D5533" t="s">
        <v>25544</v>
      </c>
      <c r="E5533">
        <v>424020</v>
      </c>
      <c r="F5533" t="s">
        <v>1</v>
      </c>
      <c r="G5533" t="s">
        <v>2</v>
      </c>
      <c r="H5533" t="s">
        <v>7063</v>
      </c>
      <c r="I5533" t="s">
        <v>25545</v>
      </c>
      <c r="L5533" t="s">
        <v>25546</v>
      </c>
      <c r="M5533" t="s">
        <v>25547</v>
      </c>
      <c r="P5533" t="s">
        <v>3734</v>
      </c>
      <c r="Q5533" t="s">
        <v>25548</v>
      </c>
      <c r="T5533" t="s">
        <v>25549</v>
      </c>
      <c r="U5533" t="s">
        <v>25550</v>
      </c>
      <c r="V5533" t="s">
        <v>25551</v>
      </c>
      <c r="Y5533" t="s">
        <v>25552</v>
      </c>
    </row>
    <row r="5534" spans="1:25" x14ac:dyDescent="0.25">
      <c r="A5534" t="str">
        <f>"13269617572"</f>
        <v>13269617572</v>
      </c>
      <c r="B5534" t="s">
        <v>574</v>
      </c>
      <c r="C5534" t="s">
        <v>646</v>
      </c>
      <c r="D5534" t="s">
        <v>646</v>
      </c>
      <c r="E5534">
        <v>424032</v>
      </c>
      <c r="F5534" t="s">
        <v>1</v>
      </c>
      <c r="G5534" t="s">
        <v>2</v>
      </c>
      <c r="H5534" t="s">
        <v>25553</v>
      </c>
      <c r="Y5534" t="s">
        <v>25554</v>
      </c>
    </row>
    <row r="5535" spans="1:25" x14ac:dyDescent="0.25">
      <c r="A5535" t="str">
        <f>"13276618340"</f>
        <v>13276618340</v>
      </c>
      <c r="B5535" t="s">
        <v>530</v>
      </c>
      <c r="C5535" t="s">
        <v>23950</v>
      </c>
      <c r="D5535" t="s">
        <v>23950</v>
      </c>
      <c r="E5535">
        <v>424002</v>
      </c>
      <c r="F5535" t="s">
        <v>1</v>
      </c>
      <c r="G5535" t="s">
        <v>2</v>
      </c>
      <c r="H5535" t="s">
        <v>2338</v>
      </c>
      <c r="Y5535" t="s">
        <v>25555</v>
      </c>
    </row>
    <row r="5536" spans="1:25" x14ac:dyDescent="0.25">
      <c r="A5536" t="str">
        <f>"13299355410"</f>
        <v>13299355410</v>
      </c>
      <c r="B5536" t="s">
        <v>25</v>
      </c>
      <c r="C5536" t="s">
        <v>20320</v>
      </c>
      <c r="D5536" t="s">
        <v>25556</v>
      </c>
      <c r="E5536">
        <v>424006</v>
      </c>
      <c r="F5536" t="s">
        <v>1</v>
      </c>
      <c r="G5536" t="s">
        <v>2</v>
      </c>
      <c r="H5536" t="s">
        <v>18935</v>
      </c>
      <c r="Y5536" t="s">
        <v>25557</v>
      </c>
    </row>
    <row r="5537" spans="1:25" x14ac:dyDescent="0.25">
      <c r="A5537" t="str">
        <f>"13305131207"</f>
        <v>13305131207</v>
      </c>
      <c r="B5537" t="s">
        <v>1544</v>
      </c>
      <c r="C5537" t="s">
        <v>15598</v>
      </c>
      <c r="D5537" t="s">
        <v>23165</v>
      </c>
      <c r="E5537">
        <v>424003</v>
      </c>
      <c r="F5537" t="s">
        <v>1</v>
      </c>
      <c r="G5537" t="s">
        <v>2</v>
      </c>
      <c r="H5537" t="s">
        <v>720</v>
      </c>
      <c r="P5537" t="s">
        <v>1505</v>
      </c>
      <c r="Y5537" t="s">
        <v>25558</v>
      </c>
    </row>
    <row r="5538" spans="1:25" x14ac:dyDescent="0.25">
      <c r="A5538" t="str">
        <f>"13308081428"</f>
        <v>13308081428</v>
      </c>
      <c r="B5538" t="s">
        <v>530</v>
      </c>
      <c r="C5538" t="s">
        <v>23950</v>
      </c>
      <c r="D5538" t="s">
        <v>23950</v>
      </c>
      <c r="F5538" t="s">
        <v>1</v>
      </c>
      <c r="G5538" t="s">
        <v>2</v>
      </c>
      <c r="H5538" t="s">
        <v>25559</v>
      </c>
      <c r="Y5538" t="s">
        <v>25560</v>
      </c>
    </row>
    <row r="5539" spans="1:25" x14ac:dyDescent="0.25">
      <c r="A5539" t="str">
        <f>"13350643675"</f>
        <v>13350643675</v>
      </c>
      <c r="B5539" t="s">
        <v>624</v>
      </c>
      <c r="C5539" t="s">
        <v>1637</v>
      </c>
      <c r="D5539" t="s">
        <v>25561</v>
      </c>
      <c r="E5539">
        <v>424028</v>
      </c>
      <c r="F5539" t="s">
        <v>1</v>
      </c>
      <c r="G5539" t="s">
        <v>2</v>
      </c>
      <c r="H5539" t="s">
        <v>25562</v>
      </c>
      <c r="I5539" t="s">
        <v>25563</v>
      </c>
      <c r="P5539" t="s">
        <v>2457</v>
      </c>
      <c r="Y5539" t="s">
        <v>25564</v>
      </c>
    </row>
    <row r="5540" spans="1:25" x14ac:dyDescent="0.25">
      <c r="A5540" t="str">
        <f>"13363059245"</f>
        <v>13363059245</v>
      </c>
      <c r="B5540" t="s">
        <v>624</v>
      </c>
      <c r="C5540" t="s">
        <v>2640</v>
      </c>
      <c r="D5540" t="s">
        <v>7708</v>
      </c>
      <c r="E5540">
        <v>424033</v>
      </c>
      <c r="F5540" t="s">
        <v>1</v>
      </c>
      <c r="G5540" t="s">
        <v>2</v>
      </c>
      <c r="H5540" t="s">
        <v>25565</v>
      </c>
      <c r="Y5540" t="s">
        <v>25566</v>
      </c>
    </row>
    <row r="5541" spans="1:25" x14ac:dyDescent="0.25">
      <c r="A5541" t="str">
        <f>"13371296857"</f>
        <v>13371296857</v>
      </c>
      <c r="B5541" t="s">
        <v>117</v>
      </c>
      <c r="C5541" t="s">
        <v>873</v>
      </c>
      <c r="D5541" t="s">
        <v>873</v>
      </c>
      <c r="F5541" t="s">
        <v>1</v>
      </c>
      <c r="G5541" t="s">
        <v>2</v>
      </c>
      <c r="H5541" t="s">
        <v>7547</v>
      </c>
      <c r="Y5541" t="s">
        <v>25567</v>
      </c>
    </row>
    <row r="5542" spans="1:25" x14ac:dyDescent="0.25">
      <c r="A5542" t="str">
        <f>"13374132097"</f>
        <v>13374132097</v>
      </c>
      <c r="B5542" t="s">
        <v>1078</v>
      </c>
      <c r="C5542" t="s">
        <v>25570</v>
      </c>
      <c r="D5542" t="s">
        <v>1340</v>
      </c>
      <c r="E5542">
        <v>424020</v>
      </c>
      <c r="F5542" t="s">
        <v>1</v>
      </c>
      <c r="G5542" t="s">
        <v>2</v>
      </c>
      <c r="H5542" t="s">
        <v>802</v>
      </c>
      <c r="J5542" t="s">
        <v>25568</v>
      </c>
      <c r="L5542" t="s">
        <v>25569</v>
      </c>
      <c r="P5542" t="s">
        <v>25571</v>
      </c>
      <c r="Q5542" t="s">
        <v>25572</v>
      </c>
      <c r="Y5542" t="s">
        <v>25573</v>
      </c>
    </row>
    <row r="5543" spans="1:25" x14ac:dyDescent="0.25">
      <c r="A5543" t="str">
        <f>"13374302332"</f>
        <v>13374302332</v>
      </c>
      <c r="B5543" t="s">
        <v>18</v>
      </c>
      <c r="C5543" t="s">
        <v>21015</v>
      </c>
      <c r="D5543" t="s">
        <v>9990</v>
      </c>
      <c r="E5543">
        <v>424016</v>
      </c>
      <c r="F5543" t="s">
        <v>1</v>
      </c>
      <c r="G5543" t="s">
        <v>2</v>
      </c>
      <c r="H5543" t="s">
        <v>673</v>
      </c>
      <c r="I5543" t="s">
        <v>25574</v>
      </c>
      <c r="P5543" t="s">
        <v>3473</v>
      </c>
      <c r="Q5543" t="s">
        <v>25575</v>
      </c>
      <c r="Y5543" t="s">
        <v>1072</v>
      </c>
    </row>
    <row r="5544" spans="1:25" x14ac:dyDescent="0.25">
      <c r="A5544" t="str">
        <f>"13471832752"</f>
        <v>13471832752</v>
      </c>
      <c r="B5544" t="s">
        <v>456</v>
      </c>
      <c r="C5544" t="s">
        <v>25580</v>
      </c>
      <c r="D5544" t="s">
        <v>25576</v>
      </c>
      <c r="E5544">
        <v>424002</v>
      </c>
      <c r="F5544" t="s">
        <v>1</v>
      </c>
      <c r="G5544" t="s">
        <v>2</v>
      </c>
      <c r="H5544" t="s">
        <v>570</v>
      </c>
      <c r="I5544" t="s">
        <v>25577</v>
      </c>
      <c r="L5544" t="s">
        <v>25578</v>
      </c>
      <c r="M5544" t="s">
        <v>25579</v>
      </c>
      <c r="P5544" t="s">
        <v>740</v>
      </c>
      <c r="Q5544" t="s">
        <v>25581</v>
      </c>
      <c r="Y5544" t="s">
        <v>18782</v>
      </c>
    </row>
    <row r="5545" spans="1:25" x14ac:dyDescent="0.25">
      <c r="A5545" t="str">
        <f>"13492219902"</f>
        <v>13492219902</v>
      </c>
      <c r="B5545" t="s">
        <v>2818</v>
      </c>
      <c r="C5545" t="s">
        <v>6466</v>
      </c>
      <c r="D5545" t="s">
        <v>16444</v>
      </c>
      <c r="E5545">
        <v>424028</v>
      </c>
      <c r="F5545" t="s">
        <v>1</v>
      </c>
      <c r="G5545" t="s">
        <v>2</v>
      </c>
      <c r="H5545" t="s">
        <v>24503</v>
      </c>
      <c r="I5545" t="s">
        <v>25582</v>
      </c>
      <c r="L5545" t="s">
        <v>25583</v>
      </c>
      <c r="M5545" t="s">
        <v>25584</v>
      </c>
      <c r="P5545" t="s">
        <v>4280</v>
      </c>
      <c r="Y5545" t="s">
        <v>25585</v>
      </c>
    </row>
    <row r="5546" spans="1:25" x14ac:dyDescent="0.25">
      <c r="A5546" t="str">
        <f>"13509271328"</f>
        <v>13509271328</v>
      </c>
      <c r="B5546" t="s">
        <v>2790</v>
      </c>
      <c r="C5546" t="s">
        <v>3528</v>
      </c>
      <c r="D5546" t="s">
        <v>25586</v>
      </c>
      <c r="E5546">
        <v>424003</v>
      </c>
      <c r="F5546" t="s">
        <v>1</v>
      </c>
      <c r="G5546" t="s">
        <v>2</v>
      </c>
      <c r="H5546" t="s">
        <v>528</v>
      </c>
      <c r="Y5546" t="s">
        <v>25587</v>
      </c>
    </row>
    <row r="5547" spans="1:25" x14ac:dyDescent="0.25">
      <c r="A5547" t="str">
        <f>"13523289859"</f>
        <v>13523289859</v>
      </c>
      <c r="B5547" t="s">
        <v>18</v>
      </c>
      <c r="C5547" t="s">
        <v>25589</v>
      </c>
      <c r="D5547" t="s">
        <v>16383</v>
      </c>
      <c r="F5547" t="s">
        <v>1</v>
      </c>
      <c r="G5547" t="s">
        <v>2</v>
      </c>
      <c r="H5547" t="s">
        <v>25588</v>
      </c>
      <c r="Y5547" t="s">
        <v>25590</v>
      </c>
    </row>
    <row r="5548" spans="1:25" x14ac:dyDescent="0.25">
      <c r="A5548" t="str">
        <f>"13550416554"</f>
        <v>13550416554</v>
      </c>
      <c r="B5548" t="s">
        <v>1061</v>
      </c>
      <c r="C5548" t="s">
        <v>25591</v>
      </c>
      <c r="D5548" t="s">
        <v>25591</v>
      </c>
      <c r="F5548" t="s">
        <v>1</v>
      </c>
      <c r="G5548" t="s">
        <v>2</v>
      </c>
      <c r="H5548" t="s">
        <v>7547</v>
      </c>
      <c r="Y5548" t="s">
        <v>25592</v>
      </c>
    </row>
    <row r="5549" spans="1:25" x14ac:dyDescent="0.25">
      <c r="A5549" t="str">
        <f>"13565869746"</f>
        <v>13565869746</v>
      </c>
      <c r="B5549" t="s">
        <v>462</v>
      </c>
      <c r="C5549" t="s">
        <v>25597</v>
      </c>
      <c r="D5549" t="s">
        <v>25593</v>
      </c>
      <c r="E5549">
        <v>424032</v>
      </c>
      <c r="F5549" t="s">
        <v>1</v>
      </c>
      <c r="G5549" t="s">
        <v>2</v>
      </c>
      <c r="H5549" t="s">
        <v>11296</v>
      </c>
      <c r="I5549" t="s">
        <v>25594</v>
      </c>
      <c r="L5549" t="s">
        <v>25595</v>
      </c>
      <c r="M5549" t="s">
        <v>25596</v>
      </c>
      <c r="P5549" t="s">
        <v>11831</v>
      </c>
      <c r="Y5549" t="s">
        <v>11299</v>
      </c>
    </row>
    <row r="5550" spans="1:25" x14ac:dyDescent="0.25">
      <c r="A5550" t="str">
        <f>"13590697683"</f>
        <v>13590697683</v>
      </c>
      <c r="B5550" t="s">
        <v>388</v>
      </c>
      <c r="C5550" t="s">
        <v>18679</v>
      </c>
      <c r="D5550" t="s">
        <v>25598</v>
      </c>
      <c r="E5550">
        <v>424032</v>
      </c>
      <c r="F5550" t="s">
        <v>1</v>
      </c>
      <c r="G5550" t="s">
        <v>2</v>
      </c>
      <c r="H5550" t="s">
        <v>11296</v>
      </c>
      <c r="I5550" t="s">
        <v>25599</v>
      </c>
      <c r="P5550" t="s">
        <v>20</v>
      </c>
      <c r="Y5550" t="s">
        <v>11299</v>
      </c>
    </row>
    <row r="5551" spans="1:25" x14ac:dyDescent="0.25">
      <c r="A5551" t="str">
        <f>"13600883021"</f>
        <v>13600883021</v>
      </c>
      <c r="B5551" t="s">
        <v>1493</v>
      </c>
      <c r="C5551" t="s">
        <v>25603</v>
      </c>
      <c r="D5551" t="s">
        <v>16347</v>
      </c>
      <c r="E5551">
        <v>424007</v>
      </c>
      <c r="F5551" t="s">
        <v>1</v>
      </c>
      <c r="G5551" t="s">
        <v>2</v>
      </c>
      <c r="H5551" t="s">
        <v>819</v>
      </c>
      <c r="J5551" t="s">
        <v>25600</v>
      </c>
      <c r="L5551" t="s">
        <v>25601</v>
      </c>
      <c r="M5551" t="s">
        <v>25602</v>
      </c>
      <c r="P5551" t="s">
        <v>16914</v>
      </c>
      <c r="V5551" t="s">
        <v>25604</v>
      </c>
      <c r="Y5551" t="s">
        <v>821</v>
      </c>
    </row>
    <row r="5552" spans="1:25" x14ac:dyDescent="0.25">
      <c r="A5552" t="str">
        <f>"13654395219"</f>
        <v>13654395219</v>
      </c>
      <c r="B5552" t="s">
        <v>3008</v>
      </c>
      <c r="C5552" t="s">
        <v>25605</v>
      </c>
      <c r="D5552" t="s">
        <v>14981</v>
      </c>
      <c r="E5552">
        <v>424031</v>
      </c>
      <c r="F5552" t="s">
        <v>1</v>
      </c>
      <c r="G5552" t="s">
        <v>2</v>
      </c>
      <c r="H5552" t="s">
        <v>4622</v>
      </c>
      <c r="Y5552" t="s">
        <v>7838</v>
      </c>
    </row>
    <row r="5553" spans="1:25" x14ac:dyDescent="0.25">
      <c r="A5553" t="str">
        <f>"13667283649"</f>
        <v>13667283649</v>
      </c>
      <c r="B5553" t="s">
        <v>117</v>
      </c>
      <c r="C5553" t="s">
        <v>6850</v>
      </c>
      <c r="D5553" t="s">
        <v>25606</v>
      </c>
      <c r="E5553">
        <v>424008</v>
      </c>
      <c r="F5553" t="s">
        <v>1</v>
      </c>
      <c r="G5553" t="s">
        <v>2</v>
      </c>
      <c r="H5553" t="s">
        <v>25607</v>
      </c>
      <c r="I5553" t="s">
        <v>25608</v>
      </c>
      <c r="L5553" t="s">
        <v>17611</v>
      </c>
      <c r="M5553" t="s">
        <v>17612</v>
      </c>
      <c r="P5553" t="s">
        <v>330</v>
      </c>
      <c r="Y5553" t="s">
        <v>25609</v>
      </c>
    </row>
    <row r="5554" spans="1:25" x14ac:dyDescent="0.25">
      <c r="A5554" t="str">
        <f>"13707680202"</f>
        <v>13707680202</v>
      </c>
      <c r="B5554" t="s">
        <v>797</v>
      </c>
      <c r="C5554" t="s">
        <v>5123</v>
      </c>
      <c r="D5554" t="s">
        <v>25610</v>
      </c>
      <c r="F5554" t="s">
        <v>1</v>
      </c>
      <c r="G5554" t="s">
        <v>2</v>
      </c>
      <c r="H5554" t="s">
        <v>16051</v>
      </c>
      <c r="Y5554" t="s">
        <v>25611</v>
      </c>
    </row>
    <row r="5555" spans="1:25" x14ac:dyDescent="0.25">
      <c r="A5555" t="str">
        <f>"13710218504"</f>
        <v>13710218504</v>
      </c>
      <c r="B5555" t="s">
        <v>574</v>
      </c>
      <c r="C5555" t="s">
        <v>22533</v>
      </c>
      <c r="D5555" t="s">
        <v>3057</v>
      </c>
      <c r="E5555">
        <v>424040</v>
      </c>
      <c r="F5555" t="s">
        <v>1</v>
      </c>
      <c r="G5555" t="s">
        <v>2</v>
      </c>
      <c r="H5555" t="s">
        <v>25612</v>
      </c>
      <c r="P5555" t="s">
        <v>216</v>
      </c>
      <c r="Y5555" t="s">
        <v>25613</v>
      </c>
    </row>
    <row r="5556" spans="1:25" x14ac:dyDescent="0.25">
      <c r="A5556" t="str">
        <f>"13713559787"</f>
        <v>13713559787</v>
      </c>
      <c r="B5556" t="s">
        <v>1315</v>
      </c>
      <c r="C5556" t="s">
        <v>4274</v>
      </c>
      <c r="D5556" t="s">
        <v>25614</v>
      </c>
      <c r="E5556">
        <v>424007</v>
      </c>
      <c r="F5556" t="s">
        <v>1</v>
      </c>
      <c r="G5556" t="s">
        <v>2</v>
      </c>
      <c r="H5556" t="s">
        <v>10906</v>
      </c>
      <c r="I5556" t="s">
        <v>25615</v>
      </c>
      <c r="L5556" t="s">
        <v>22013</v>
      </c>
      <c r="M5556" t="s">
        <v>22014</v>
      </c>
      <c r="P5556" t="s">
        <v>280</v>
      </c>
      <c r="Y5556" t="s">
        <v>25616</v>
      </c>
    </row>
    <row r="5557" spans="1:25" x14ac:dyDescent="0.25">
      <c r="A5557" t="str">
        <f>"13754236323"</f>
        <v>13754236323</v>
      </c>
      <c r="B5557" t="s">
        <v>574</v>
      </c>
      <c r="C5557" t="s">
        <v>952</v>
      </c>
      <c r="D5557" t="s">
        <v>3388</v>
      </c>
      <c r="E5557">
        <v>424037</v>
      </c>
      <c r="F5557" t="s">
        <v>1</v>
      </c>
      <c r="G5557" t="s">
        <v>2</v>
      </c>
      <c r="H5557" t="s">
        <v>315</v>
      </c>
      <c r="P5557" t="s">
        <v>9840</v>
      </c>
      <c r="Y5557" t="s">
        <v>25617</v>
      </c>
    </row>
    <row r="5558" spans="1:25" x14ac:dyDescent="0.25">
      <c r="A5558" t="str">
        <f>"13792396190"</f>
        <v>13792396190</v>
      </c>
      <c r="B5558" t="s">
        <v>1544</v>
      </c>
      <c r="C5558" t="s">
        <v>7974</v>
      </c>
      <c r="D5558" t="s">
        <v>25618</v>
      </c>
      <c r="E5558">
        <v>424002</v>
      </c>
      <c r="F5558" t="s">
        <v>1</v>
      </c>
      <c r="G5558" t="s">
        <v>2</v>
      </c>
      <c r="H5558" t="s">
        <v>1190</v>
      </c>
      <c r="Y5558" t="s">
        <v>1193</v>
      </c>
    </row>
    <row r="5559" spans="1:25" x14ac:dyDescent="0.25">
      <c r="A5559" t="str">
        <f>"13804337477"</f>
        <v>13804337477</v>
      </c>
      <c r="B5559" t="s">
        <v>290</v>
      </c>
      <c r="C5559" t="s">
        <v>5937</v>
      </c>
      <c r="D5559" t="s">
        <v>25619</v>
      </c>
      <c r="E5559">
        <v>424031</v>
      </c>
      <c r="F5559" t="s">
        <v>1</v>
      </c>
      <c r="G5559" t="s">
        <v>2</v>
      </c>
      <c r="H5559" t="s">
        <v>25620</v>
      </c>
      <c r="Y5559" t="s">
        <v>25621</v>
      </c>
    </row>
    <row r="5560" spans="1:25" x14ac:dyDescent="0.25">
      <c r="A5560" t="str">
        <f>"13808038139"</f>
        <v>13808038139</v>
      </c>
      <c r="B5560" t="s">
        <v>319</v>
      </c>
      <c r="C5560" t="s">
        <v>25627</v>
      </c>
      <c r="D5560" t="s">
        <v>25622</v>
      </c>
      <c r="E5560">
        <v>424000</v>
      </c>
      <c r="F5560" t="s">
        <v>1</v>
      </c>
      <c r="G5560" t="s">
        <v>2</v>
      </c>
      <c r="H5560" t="s">
        <v>2202</v>
      </c>
      <c r="I5560" t="s">
        <v>25623</v>
      </c>
      <c r="J5560" t="s">
        <v>25624</v>
      </c>
      <c r="L5560" t="s">
        <v>25625</v>
      </c>
      <c r="M5560" t="s">
        <v>25626</v>
      </c>
      <c r="P5560" t="s">
        <v>3379</v>
      </c>
      <c r="Q5560" t="s">
        <v>25628</v>
      </c>
      <c r="R5560" t="s">
        <v>25629</v>
      </c>
      <c r="T5560" t="s">
        <v>25630</v>
      </c>
      <c r="U5560" t="s">
        <v>25631</v>
      </c>
      <c r="V5560" t="s">
        <v>25632</v>
      </c>
      <c r="Y5560" t="s">
        <v>25633</v>
      </c>
    </row>
    <row r="5561" spans="1:25" x14ac:dyDescent="0.25">
      <c r="A5561" t="str">
        <f>"13831428367"</f>
        <v>13831428367</v>
      </c>
      <c r="B5561" t="s">
        <v>930</v>
      </c>
      <c r="C5561" t="s">
        <v>13865</v>
      </c>
      <c r="D5561" t="s">
        <v>25634</v>
      </c>
      <c r="E5561">
        <v>424006</v>
      </c>
      <c r="F5561" t="s">
        <v>1</v>
      </c>
      <c r="G5561" t="s">
        <v>2</v>
      </c>
      <c r="H5561" t="s">
        <v>25635</v>
      </c>
      <c r="I5561" t="s">
        <v>25636</v>
      </c>
      <c r="J5561" t="s">
        <v>25637</v>
      </c>
      <c r="P5561" t="s">
        <v>216</v>
      </c>
      <c r="Y5561" t="s">
        <v>25638</v>
      </c>
    </row>
    <row r="5562" spans="1:25" x14ac:dyDescent="0.25">
      <c r="A5562" t="str">
        <f>"13905214103"</f>
        <v>13905214103</v>
      </c>
      <c r="B5562" t="s">
        <v>519</v>
      </c>
      <c r="C5562" t="s">
        <v>22942</v>
      </c>
      <c r="D5562" t="s">
        <v>25639</v>
      </c>
      <c r="E5562">
        <v>424038</v>
      </c>
      <c r="F5562" t="s">
        <v>1</v>
      </c>
      <c r="G5562" t="s">
        <v>2</v>
      </c>
      <c r="H5562" t="s">
        <v>762</v>
      </c>
      <c r="Y5562" t="s">
        <v>25640</v>
      </c>
    </row>
    <row r="5563" spans="1:25" x14ac:dyDescent="0.25">
      <c r="A5563" t="str">
        <f>"13915736016"</f>
        <v>13915736016</v>
      </c>
      <c r="B5563" t="s">
        <v>930</v>
      </c>
      <c r="C5563" t="s">
        <v>2543</v>
      </c>
      <c r="D5563" t="s">
        <v>25641</v>
      </c>
      <c r="F5563" t="s">
        <v>1</v>
      </c>
      <c r="G5563" t="s">
        <v>2</v>
      </c>
      <c r="H5563" t="s">
        <v>25642</v>
      </c>
      <c r="I5563" t="s">
        <v>25643</v>
      </c>
      <c r="P5563" t="s">
        <v>41</v>
      </c>
      <c r="Y5563" t="s">
        <v>25644</v>
      </c>
    </row>
    <row r="5564" spans="1:25" x14ac:dyDescent="0.25">
      <c r="A5564" t="str">
        <f>"13980661574"</f>
        <v>13980661574</v>
      </c>
      <c r="B5564" t="s">
        <v>1611</v>
      </c>
      <c r="C5564" t="s">
        <v>25647</v>
      </c>
      <c r="D5564" t="s">
        <v>25645</v>
      </c>
      <c r="E5564">
        <v>424000</v>
      </c>
      <c r="F5564" t="s">
        <v>1</v>
      </c>
      <c r="G5564" t="s">
        <v>2</v>
      </c>
      <c r="H5564" t="s">
        <v>25646</v>
      </c>
      <c r="Y5564" t="s">
        <v>25648</v>
      </c>
    </row>
    <row r="5565" spans="1:25" x14ac:dyDescent="0.25">
      <c r="A5565" t="str">
        <f>"14038614354"</f>
        <v>14038614354</v>
      </c>
      <c r="B5565" t="s">
        <v>1758</v>
      </c>
      <c r="C5565" t="s">
        <v>8089</v>
      </c>
      <c r="D5565" t="s">
        <v>1805</v>
      </c>
      <c r="E5565">
        <v>424007</v>
      </c>
      <c r="F5565" t="s">
        <v>1</v>
      </c>
      <c r="G5565" t="s">
        <v>2</v>
      </c>
      <c r="H5565" t="s">
        <v>5178</v>
      </c>
      <c r="I5565" t="s">
        <v>25649</v>
      </c>
      <c r="J5565" t="s">
        <v>25650</v>
      </c>
      <c r="P5565" t="s">
        <v>3456</v>
      </c>
      <c r="Y5565" t="s">
        <v>25651</v>
      </c>
    </row>
    <row r="5566" spans="1:25" x14ac:dyDescent="0.25">
      <c r="A5566" t="str">
        <f>"14041578109"</f>
        <v>14041578109</v>
      </c>
      <c r="B5566" t="s">
        <v>96</v>
      </c>
      <c r="C5566" t="s">
        <v>893</v>
      </c>
      <c r="D5566" t="s">
        <v>25652</v>
      </c>
      <c r="E5566">
        <v>424000</v>
      </c>
      <c r="F5566" t="s">
        <v>1</v>
      </c>
      <c r="G5566" t="s">
        <v>2</v>
      </c>
      <c r="H5566" t="s">
        <v>10803</v>
      </c>
      <c r="Y5566" t="s">
        <v>10805</v>
      </c>
    </row>
    <row r="5567" spans="1:25" x14ac:dyDescent="0.25">
      <c r="A5567" t="str">
        <f>"14064488335"</f>
        <v>14064488335</v>
      </c>
      <c r="B5567" t="s">
        <v>188</v>
      </c>
      <c r="C5567" t="s">
        <v>24568</v>
      </c>
      <c r="D5567" t="s">
        <v>24568</v>
      </c>
      <c r="E5567">
        <v>424003</v>
      </c>
      <c r="F5567" t="s">
        <v>1</v>
      </c>
      <c r="G5567" t="s">
        <v>2</v>
      </c>
      <c r="H5567" t="s">
        <v>16749</v>
      </c>
      <c r="P5567" t="s">
        <v>7436</v>
      </c>
      <c r="Y5567" t="s">
        <v>25653</v>
      </c>
    </row>
    <row r="5568" spans="1:25" x14ac:dyDescent="0.25">
      <c r="A5568" t="str">
        <f>"14069872556"</f>
        <v>14069872556</v>
      </c>
      <c r="B5568" t="s">
        <v>1391</v>
      </c>
      <c r="C5568" t="s">
        <v>1392</v>
      </c>
      <c r="D5568" t="s">
        <v>25654</v>
      </c>
      <c r="E5568">
        <v>424031</v>
      </c>
      <c r="F5568" t="s">
        <v>1</v>
      </c>
      <c r="G5568" t="s">
        <v>2</v>
      </c>
      <c r="H5568" t="s">
        <v>1524</v>
      </c>
      <c r="I5568" t="s">
        <v>25655</v>
      </c>
      <c r="P5568" t="s">
        <v>20</v>
      </c>
      <c r="Y5568" t="s">
        <v>5358</v>
      </c>
    </row>
    <row r="5569" spans="1:25" x14ac:dyDescent="0.25">
      <c r="A5569" t="str">
        <f>"14084907916"</f>
        <v>14084907916</v>
      </c>
      <c r="B5569" t="s">
        <v>1573</v>
      </c>
      <c r="C5569" t="s">
        <v>1817</v>
      </c>
      <c r="D5569" t="s">
        <v>25656</v>
      </c>
      <c r="E5569">
        <v>424005</v>
      </c>
      <c r="F5569" t="s">
        <v>1</v>
      </c>
      <c r="G5569" t="s">
        <v>2</v>
      </c>
      <c r="H5569" t="s">
        <v>1298</v>
      </c>
      <c r="L5569" t="s">
        <v>25657</v>
      </c>
      <c r="M5569" t="s">
        <v>25658</v>
      </c>
      <c r="Q5569" t="s">
        <v>25659</v>
      </c>
      <c r="V5569" t="s">
        <v>25660</v>
      </c>
      <c r="Y5569" t="s">
        <v>1301</v>
      </c>
    </row>
    <row r="5570" spans="1:25" x14ac:dyDescent="0.25">
      <c r="A5570" t="str">
        <f>"14087144814"</f>
        <v>14087144814</v>
      </c>
      <c r="B5570" t="s">
        <v>25664</v>
      </c>
      <c r="C5570" t="s">
        <v>25665</v>
      </c>
      <c r="D5570" t="s">
        <v>25661</v>
      </c>
      <c r="E5570">
        <v>424006</v>
      </c>
      <c r="F5570" t="s">
        <v>1</v>
      </c>
      <c r="G5570" t="s">
        <v>2</v>
      </c>
      <c r="H5570" t="s">
        <v>6902</v>
      </c>
      <c r="I5570" t="s">
        <v>25662</v>
      </c>
      <c r="M5570" t="s">
        <v>25663</v>
      </c>
      <c r="P5570" t="s">
        <v>6907</v>
      </c>
      <c r="Y5570" t="s">
        <v>25666</v>
      </c>
    </row>
    <row r="5571" spans="1:25" x14ac:dyDescent="0.25">
      <c r="A5571" t="str">
        <f>"14097368743"</f>
        <v>14097368743</v>
      </c>
      <c r="B5571" t="s">
        <v>530</v>
      </c>
      <c r="C5571" t="s">
        <v>23950</v>
      </c>
      <c r="D5571" t="s">
        <v>23950</v>
      </c>
      <c r="F5571" t="s">
        <v>1</v>
      </c>
      <c r="G5571" t="s">
        <v>2</v>
      </c>
      <c r="H5571" t="s">
        <v>25667</v>
      </c>
      <c r="Y5571" t="s">
        <v>25668</v>
      </c>
    </row>
    <row r="5572" spans="1:25" x14ac:dyDescent="0.25">
      <c r="A5572" t="str">
        <f>"14101516760"</f>
        <v>14101516760</v>
      </c>
      <c r="B5572" t="s">
        <v>574</v>
      </c>
      <c r="C5572" t="s">
        <v>25670</v>
      </c>
      <c r="D5572" t="s">
        <v>8307</v>
      </c>
      <c r="E5572">
        <v>424036</v>
      </c>
      <c r="F5572" t="s">
        <v>1</v>
      </c>
      <c r="G5572" t="s">
        <v>2</v>
      </c>
      <c r="H5572" t="s">
        <v>2291</v>
      </c>
      <c r="I5572" t="s">
        <v>25669</v>
      </c>
      <c r="P5572" t="s">
        <v>4126</v>
      </c>
      <c r="Y5572" t="s">
        <v>8313</v>
      </c>
    </row>
    <row r="5573" spans="1:25" x14ac:dyDescent="0.25">
      <c r="A5573" t="str">
        <f>"14121304848"</f>
        <v>14121304848</v>
      </c>
      <c r="B5573" t="s">
        <v>319</v>
      </c>
      <c r="C5573" t="s">
        <v>320</v>
      </c>
      <c r="D5573" t="s">
        <v>21234</v>
      </c>
      <c r="E5573">
        <v>424003</v>
      </c>
      <c r="F5573" t="s">
        <v>1</v>
      </c>
      <c r="G5573" t="s">
        <v>2</v>
      </c>
      <c r="H5573" t="s">
        <v>1042</v>
      </c>
      <c r="J5573" t="s">
        <v>21235</v>
      </c>
      <c r="P5573" t="s">
        <v>13820</v>
      </c>
      <c r="Y5573" t="s">
        <v>11321</v>
      </c>
    </row>
    <row r="5574" spans="1:25" x14ac:dyDescent="0.25">
      <c r="A5574" t="str">
        <f>"14127541203"</f>
        <v>14127541203</v>
      </c>
      <c r="B5574" t="s">
        <v>18</v>
      </c>
      <c r="C5574" t="s">
        <v>25672</v>
      </c>
      <c r="D5574" t="s">
        <v>25671</v>
      </c>
      <c r="E5574">
        <v>424036</v>
      </c>
      <c r="F5574" t="s">
        <v>1</v>
      </c>
      <c r="G5574" t="s">
        <v>2</v>
      </c>
      <c r="H5574" t="s">
        <v>2874</v>
      </c>
      <c r="Y5574" t="s">
        <v>25673</v>
      </c>
    </row>
    <row r="5575" spans="1:25" x14ac:dyDescent="0.25">
      <c r="A5575" t="str">
        <f>"14135599111"</f>
        <v>14135599111</v>
      </c>
      <c r="B5575" t="s">
        <v>930</v>
      </c>
      <c r="C5575" t="s">
        <v>1096</v>
      </c>
      <c r="D5575" t="s">
        <v>25674</v>
      </c>
      <c r="F5575" t="s">
        <v>1</v>
      </c>
      <c r="G5575" t="s">
        <v>2</v>
      </c>
      <c r="H5575" t="s">
        <v>1508</v>
      </c>
      <c r="I5575" t="s">
        <v>25675</v>
      </c>
      <c r="L5575" t="s">
        <v>25676</v>
      </c>
      <c r="M5575" t="s">
        <v>25677</v>
      </c>
      <c r="P5575" t="s">
        <v>27</v>
      </c>
      <c r="Y5575" t="s">
        <v>10196</v>
      </c>
    </row>
    <row r="5576" spans="1:25" x14ac:dyDescent="0.25">
      <c r="A5576" t="str">
        <f>"14142477072"</f>
        <v>14142477072</v>
      </c>
      <c r="B5576" t="s">
        <v>7312</v>
      </c>
      <c r="C5576" t="s">
        <v>25678</v>
      </c>
      <c r="D5576" t="s">
        <v>14703</v>
      </c>
      <c r="E5576">
        <v>424007</v>
      </c>
      <c r="F5576" t="s">
        <v>1</v>
      </c>
      <c r="G5576" t="s">
        <v>2</v>
      </c>
      <c r="H5576" t="s">
        <v>5178</v>
      </c>
      <c r="P5576" t="s">
        <v>2731</v>
      </c>
      <c r="Y5576" t="s">
        <v>25679</v>
      </c>
    </row>
    <row r="5577" spans="1:25" x14ac:dyDescent="0.25">
      <c r="A5577" t="str">
        <f>"14165220876"</f>
        <v>14165220876</v>
      </c>
      <c r="B5577" t="s">
        <v>18</v>
      </c>
      <c r="C5577" t="s">
        <v>25684</v>
      </c>
      <c r="D5577" t="s">
        <v>25680</v>
      </c>
      <c r="E5577">
        <v>424003</v>
      </c>
      <c r="F5577" t="s">
        <v>1</v>
      </c>
      <c r="G5577" t="s">
        <v>2</v>
      </c>
      <c r="H5577" t="s">
        <v>22849</v>
      </c>
      <c r="I5577" t="s">
        <v>25681</v>
      </c>
      <c r="L5577" t="s">
        <v>25682</v>
      </c>
      <c r="M5577" t="s">
        <v>25683</v>
      </c>
      <c r="Q5577" t="s">
        <v>25685</v>
      </c>
      <c r="S5577" t="s">
        <v>25686</v>
      </c>
      <c r="T5577" t="s">
        <v>25687</v>
      </c>
      <c r="U5577" t="s">
        <v>25688</v>
      </c>
      <c r="V5577" t="s">
        <v>25689</v>
      </c>
      <c r="Y5577" t="s">
        <v>25690</v>
      </c>
    </row>
    <row r="5578" spans="1:25" x14ac:dyDescent="0.25">
      <c r="A5578" t="str">
        <f>"14178602382"</f>
        <v>14178602382</v>
      </c>
      <c r="B5578" t="s">
        <v>430</v>
      </c>
      <c r="C5578" t="s">
        <v>16178</v>
      </c>
      <c r="D5578" t="s">
        <v>24038</v>
      </c>
      <c r="E5578">
        <v>424008</v>
      </c>
      <c r="F5578" t="s">
        <v>1</v>
      </c>
      <c r="G5578" t="s">
        <v>2</v>
      </c>
      <c r="H5578" t="s">
        <v>11207</v>
      </c>
      <c r="Y5578" t="s">
        <v>24750</v>
      </c>
    </row>
    <row r="5579" spans="1:25" x14ac:dyDescent="0.25">
      <c r="A5579" t="str">
        <f>"14208317493"</f>
        <v>14208317493</v>
      </c>
      <c r="B5579" t="s">
        <v>18</v>
      </c>
      <c r="C5579" t="s">
        <v>8346</v>
      </c>
      <c r="D5579" t="s">
        <v>25691</v>
      </c>
      <c r="F5579" t="s">
        <v>1</v>
      </c>
      <c r="G5579" t="s">
        <v>2</v>
      </c>
      <c r="H5579" t="s">
        <v>25692</v>
      </c>
      <c r="I5579" t="s">
        <v>25693</v>
      </c>
      <c r="P5579" t="s">
        <v>25694</v>
      </c>
      <c r="Y5579" t="s">
        <v>25695</v>
      </c>
    </row>
    <row r="5580" spans="1:25" x14ac:dyDescent="0.25">
      <c r="A5580" t="str">
        <f>"14216594295"</f>
        <v>14216594295</v>
      </c>
      <c r="B5580" t="s">
        <v>930</v>
      </c>
      <c r="C5580" t="s">
        <v>1096</v>
      </c>
      <c r="D5580" t="s">
        <v>25696</v>
      </c>
      <c r="F5580" t="s">
        <v>1</v>
      </c>
      <c r="G5580" t="s">
        <v>2</v>
      </c>
      <c r="H5580" t="s">
        <v>25697</v>
      </c>
      <c r="Y5580" t="s">
        <v>25698</v>
      </c>
    </row>
    <row r="5581" spans="1:25" x14ac:dyDescent="0.25">
      <c r="A5581" t="str">
        <f>"14248487142"</f>
        <v>14248487142</v>
      </c>
      <c r="B5581" t="s">
        <v>519</v>
      </c>
      <c r="C5581" t="s">
        <v>25702</v>
      </c>
      <c r="D5581" t="s">
        <v>25699</v>
      </c>
      <c r="E5581">
        <v>424004</v>
      </c>
      <c r="F5581" t="s">
        <v>1</v>
      </c>
      <c r="G5581" t="s">
        <v>2</v>
      </c>
      <c r="H5581" t="s">
        <v>2133</v>
      </c>
      <c r="I5581" t="s">
        <v>25700</v>
      </c>
      <c r="L5581" t="s">
        <v>8198</v>
      </c>
      <c r="M5581" t="s">
        <v>25701</v>
      </c>
      <c r="Y5581" t="s">
        <v>2137</v>
      </c>
    </row>
    <row r="5582" spans="1:25" x14ac:dyDescent="0.25">
      <c r="A5582" t="str">
        <f>"14268101275"</f>
        <v>14268101275</v>
      </c>
      <c r="B5582" t="s">
        <v>204</v>
      </c>
      <c r="C5582" t="s">
        <v>25704</v>
      </c>
      <c r="D5582" t="s">
        <v>25703</v>
      </c>
      <c r="E5582">
        <v>424020</v>
      </c>
      <c r="F5582" t="s">
        <v>1</v>
      </c>
      <c r="G5582" t="s">
        <v>2</v>
      </c>
      <c r="H5582" t="s">
        <v>23</v>
      </c>
      <c r="Y5582" t="s">
        <v>25705</v>
      </c>
    </row>
    <row r="5583" spans="1:25" x14ac:dyDescent="0.25">
      <c r="A5583" t="str">
        <f>"14274950911"</f>
        <v>14274950911</v>
      </c>
      <c r="B5583" t="s">
        <v>888</v>
      </c>
      <c r="C5583" t="s">
        <v>4712</v>
      </c>
      <c r="D5583" t="s">
        <v>25706</v>
      </c>
      <c r="E5583">
        <v>424007</v>
      </c>
      <c r="F5583" t="s">
        <v>1</v>
      </c>
      <c r="G5583" t="s">
        <v>2</v>
      </c>
      <c r="H5583" t="s">
        <v>25707</v>
      </c>
      <c r="J5583" t="s">
        <v>25708</v>
      </c>
      <c r="P5583" t="s">
        <v>25709</v>
      </c>
      <c r="Y5583" t="s">
        <v>25710</v>
      </c>
    </row>
    <row r="5584" spans="1:25" x14ac:dyDescent="0.25">
      <c r="A5584" t="str">
        <f>"14275868482"</f>
        <v>14275868482</v>
      </c>
      <c r="B5584" t="s">
        <v>96</v>
      </c>
      <c r="C5584" t="s">
        <v>893</v>
      </c>
      <c r="D5584" t="s">
        <v>25711</v>
      </c>
      <c r="E5584">
        <v>424002</v>
      </c>
      <c r="F5584" t="s">
        <v>1</v>
      </c>
      <c r="G5584" t="s">
        <v>2</v>
      </c>
      <c r="H5584" t="s">
        <v>744</v>
      </c>
      <c r="P5584" t="s">
        <v>748</v>
      </c>
      <c r="Y5584" t="s">
        <v>25712</v>
      </c>
    </row>
    <row r="5585" spans="1:25" x14ac:dyDescent="0.25">
      <c r="A5585" t="str">
        <f>"14281901173"</f>
        <v>14281901173</v>
      </c>
      <c r="B5585" t="s">
        <v>96</v>
      </c>
      <c r="C5585" t="s">
        <v>24042</v>
      </c>
      <c r="D5585" t="s">
        <v>24127</v>
      </c>
      <c r="E5585">
        <v>424007</v>
      </c>
      <c r="F5585" t="s">
        <v>1</v>
      </c>
      <c r="G5585" t="s">
        <v>2</v>
      </c>
      <c r="H5585" t="s">
        <v>5178</v>
      </c>
      <c r="P5585" t="s">
        <v>2731</v>
      </c>
      <c r="Y5585" t="s">
        <v>25713</v>
      </c>
    </row>
    <row r="5586" spans="1:25" x14ac:dyDescent="0.25">
      <c r="A5586" t="str">
        <f>"14309925192"</f>
        <v>14309925192</v>
      </c>
      <c r="B5586" t="s">
        <v>519</v>
      </c>
      <c r="C5586" t="s">
        <v>25716</v>
      </c>
      <c r="D5586" t="s">
        <v>25714</v>
      </c>
      <c r="E5586">
        <v>424003</v>
      </c>
      <c r="F5586" t="s">
        <v>1</v>
      </c>
      <c r="G5586" t="s">
        <v>2</v>
      </c>
      <c r="H5586" t="s">
        <v>1042</v>
      </c>
      <c r="J5586" t="s">
        <v>25715</v>
      </c>
      <c r="P5586" t="s">
        <v>9785</v>
      </c>
      <c r="Q5586" t="s">
        <v>25717</v>
      </c>
      <c r="Y5586" t="s">
        <v>11321</v>
      </c>
    </row>
    <row r="5587" spans="1:25" x14ac:dyDescent="0.25">
      <c r="A5587" t="str">
        <f>"14361693700"</f>
        <v>14361693700</v>
      </c>
      <c r="B5587" t="s">
        <v>530</v>
      </c>
      <c r="C5587" t="s">
        <v>23950</v>
      </c>
      <c r="D5587" t="s">
        <v>23950</v>
      </c>
      <c r="E5587">
        <v>424038</v>
      </c>
      <c r="F5587" t="s">
        <v>1</v>
      </c>
      <c r="G5587" t="s">
        <v>2</v>
      </c>
      <c r="H5587" t="s">
        <v>7597</v>
      </c>
      <c r="P5587" t="s">
        <v>1642</v>
      </c>
      <c r="Y5587" t="s">
        <v>25718</v>
      </c>
    </row>
    <row r="5588" spans="1:25" x14ac:dyDescent="0.25">
      <c r="A5588" t="str">
        <f>"14376573578"</f>
        <v>14376573578</v>
      </c>
      <c r="B5588" t="s">
        <v>352</v>
      </c>
      <c r="C5588" t="s">
        <v>25721</v>
      </c>
      <c r="D5588" t="s">
        <v>25719</v>
      </c>
      <c r="E5588">
        <v>424003</v>
      </c>
      <c r="F5588" t="s">
        <v>1</v>
      </c>
      <c r="G5588" t="s">
        <v>2</v>
      </c>
      <c r="H5588" t="s">
        <v>7152</v>
      </c>
      <c r="I5588" t="s">
        <v>25720</v>
      </c>
      <c r="P5588" t="s">
        <v>25722</v>
      </c>
      <c r="Q5588" t="s">
        <v>25723</v>
      </c>
      <c r="Y5588" t="s">
        <v>25724</v>
      </c>
    </row>
    <row r="5589" spans="1:25" x14ac:dyDescent="0.25">
      <c r="A5589" t="str">
        <f>"14391685841"</f>
        <v>14391685841</v>
      </c>
      <c r="B5589" t="s">
        <v>3544</v>
      </c>
      <c r="C5589" t="s">
        <v>11303</v>
      </c>
      <c r="D5589" t="s">
        <v>25725</v>
      </c>
      <c r="E5589">
        <v>424006</v>
      </c>
      <c r="F5589" t="s">
        <v>1</v>
      </c>
      <c r="G5589" t="s">
        <v>2</v>
      </c>
      <c r="H5589" t="s">
        <v>478</v>
      </c>
      <c r="I5589" t="s">
        <v>25726</v>
      </c>
      <c r="L5589" t="s">
        <v>25727</v>
      </c>
      <c r="M5589" t="s">
        <v>25728</v>
      </c>
      <c r="P5589" t="s">
        <v>152</v>
      </c>
      <c r="Y5589" t="s">
        <v>926</v>
      </c>
    </row>
    <row r="5590" spans="1:25" x14ac:dyDescent="0.25">
      <c r="A5590" t="str">
        <f>"14437213360"</f>
        <v>14437213360</v>
      </c>
      <c r="B5590" t="s">
        <v>96</v>
      </c>
      <c r="C5590" t="s">
        <v>893</v>
      </c>
      <c r="D5590" t="s">
        <v>25729</v>
      </c>
      <c r="E5590">
        <v>424038</v>
      </c>
      <c r="F5590" t="s">
        <v>1</v>
      </c>
      <c r="G5590" t="s">
        <v>2</v>
      </c>
      <c r="H5590" t="s">
        <v>2741</v>
      </c>
      <c r="Y5590" t="s">
        <v>25730</v>
      </c>
    </row>
    <row r="5591" spans="1:25" x14ac:dyDescent="0.25">
      <c r="A5591" t="str">
        <f>"14445714912"</f>
        <v>14445714912</v>
      </c>
      <c r="B5591" t="s">
        <v>10383</v>
      </c>
      <c r="C5591" t="s">
        <v>24146</v>
      </c>
      <c r="D5591" t="s">
        <v>24146</v>
      </c>
      <c r="E5591">
        <v>424003</v>
      </c>
      <c r="F5591" t="s">
        <v>1</v>
      </c>
      <c r="G5591" t="s">
        <v>2</v>
      </c>
      <c r="H5591" t="s">
        <v>25731</v>
      </c>
      <c r="Y5591" t="s">
        <v>25732</v>
      </c>
    </row>
    <row r="5592" spans="1:25" x14ac:dyDescent="0.25">
      <c r="A5592" t="str">
        <f>"14476299798"</f>
        <v>14476299798</v>
      </c>
      <c r="B5592" t="s">
        <v>10383</v>
      </c>
      <c r="C5592" t="s">
        <v>24146</v>
      </c>
      <c r="D5592" t="s">
        <v>24146</v>
      </c>
      <c r="F5592" t="s">
        <v>1</v>
      </c>
      <c r="G5592" t="s">
        <v>2</v>
      </c>
      <c r="H5592" t="s">
        <v>25733</v>
      </c>
      <c r="Y5592" t="s">
        <v>25734</v>
      </c>
    </row>
    <row r="5593" spans="1:25" x14ac:dyDescent="0.25">
      <c r="A5593" t="str">
        <f>"14485108907"</f>
        <v>14485108907</v>
      </c>
      <c r="B5593" t="s">
        <v>1758</v>
      </c>
      <c r="C5593" t="s">
        <v>2276</v>
      </c>
      <c r="D5593" t="s">
        <v>25735</v>
      </c>
      <c r="E5593">
        <v>424019</v>
      </c>
      <c r="F5593" t="s">
        <v>1</v>
      </c>
      <c r="G5593" t="s">
        <v>2</v>
      </c>
      <c r="H5593" t="s">
        <v>1460</v>
      </c>
      <c r="J5593" t="s">
        <v>25736</v>
      </c>
      <c r="P5593" t="s">
        <v>25737</v>
      </c>
      <c r="Y5593" t="s">
        <v>10226</v>
      </c>
    </row>
    <row r="5594" spans="1:25" x14ac:dyDescent="0.25">
      <c r="A5594" t="str">
        <f>"14489315917"</f>
        <v>14489315917</v>
      </c>
      <c r="B5594" t="s">
        <v>290</v>
      </c>
      <c r="C5594" t="s">
        <v>2722</v>
      </c>
      <c r="D5594" t="s">
        <v>25738</v>
      </c>
      <c r="E5594">
        <v>424002</v>
      </c>
      <c r="F5594" t="s">
        <v>1</v>
      </c>
      <c r="G5594" t="s">
        <v>2</v>
      </c>
      <c r="H5594" t="s">
        <v>7628</v>
      </c>
      <c r="J5594" t="s">
        <v>25739</v>
      </c>
      <c r="P5594" t="s">
        <v>25740</v>
      </c>
      <c r="Q5594" t="s">
        <v>25741</v>
      </c>
      <c r="T5594" t="s">
        <v>25742</v>
      </c>
      <c r="V5594" t="s">
        <v>25743</v>
      </c>
      <c r="Y5594" t="s">
        <v>25744</v>
      </c>
    </row>
    <row r="5595" spans="1:25" x14ac:dyDescent="0.25">
      <c r="A5595" t="str">
        <f>"14500840596"</f>
        <v>14500840596</v>
      </c>
      <c r="B5595" t="s">
        <v>1152</v>
      </c>
      <c r="C5595" t="s">
        <v>19644</v>
      </c>
      <c r="D5595" t="s">
        <v>25745</v>
      </c>
      <c r="E5595">
        <v>424037</v>
      </c>
      <c r="F5595" t="s">
        <v>1</v>
      </c>
      <c r="G5595" t="s">
        <v>2</v>
      </c>
      <c r="H5595" t="s">
        <v>12860</v>
      </c>
      <c r="I5595" t="s">
        <v>25746</v>
      </c>
      <c r="J5595" t="s">
        <v>25747</v>
      </c>
      <c r="M5595" t="s">
        <v>25748</v>
      </c>
      <c r="P5595" t="s">
        <v>25749</v>
      </c>
      <c r="Q5595" t="s">
        <v>25750</v>
      </c>
      <c r="Y5595" t="s">
        <v>25751</v>
      </c>
    </row>
    <row r="5596" spans="1:25" x14ac:dyDescent="0.25">
      <c r="A5596" t="str">
        <f>"14513646896"</f>
        <v>14513646896</v>
      </c>
      <c r="B5596" t="s">
        <v>348</v>
      </c>
      <c r="C5596" t="s">
        <v>21775</v>
      </c>
      <c r="D5596" t="s">
        <v>25752</v>
      </c>
      <c r="E5596">
        <v>424040</v>
      </c>
      <c r="F5596" t="s">
        <v>1</v>
      </c>
      <c r="G5596" t="s">
        <v>2</v>
      </c>
      <c r="H5596" t="s">
        <v>20151</v>
      </c>
      <c r="Y5596" t="s">
        <v>20152</v>
      </c>
    </row>
    <row r="5597" spans="1:25" x14ac:dyDescent="0.25">
      <c r="A5597" t="str">
        <f>"14529878051"</f>
        <v>14529878051</v>
      </c>
      <c r="B5597" t="s">
        <v>18</v>
      </c>
      <c r="C5597" t="s">
        <v>12714</v>
      </c>
      <c r="D5597" t="s">
        <v>25753</v>
      </c>
      <c r="E5597">
        <v>424003</v>
      </c>
      <c r="F5597" t="s">
        <v>1</v>
      </c>
      <c r="G5597" t="s">
        <v>2</v>
      </c>
      <c r="H5597" t="s">
        <v>2518</v>
      </c>
      <c r="I5597" t="s">
        <v>25754</v>
      </c>
      <c r="L5597" t="s">
        <v>25755</v>
      </c>
      <c r="M5597" t="s">
        <v>25756</v>
      </c>
      <c r="P5597" t="s">
        <v>13196</v>
      </c>
      <c r="Y5597" t="s">
        <v>25757</v>
      </c>
    </row>
    <row r="5598" spans="1:25" x14ac:dyDescent="0.25">
      <c r="A5598" t="str">
        <f>"14559543116"</f>
        <v>14559543116</v>
      </c>
      <c r="B5598" t="s">
        <v>462</v>
      </c>
      <c r="C5598" t="s">
        <v>1140</v>
      </c>
      <c r="D5598" t="s">
        <v>25758</v>
      </c>
      <c r="E5598">
        <v>424002</v>
      </c>
      <c r="F5598" t="s">
        <v>1</v>
      </c>
      <c r="G5598" t="s">
        <v>2</v>
      </c>
      <c r="H5598" t="s">
        <v>25759</v>
      </c>
      <c r="Y5598" t="s">
        <v>25760</v>
      </c>
    </row>
    <row r="5599" spans="1:25" x14ac:dyDescent="0.25">
      <c r="A5599" t="str">
        <f>"14596061843"</f>
        <v>14596061843</v>
      </c>
      <c r="B5599" t="s">
        <v>96</v>
      </c>
      <c r="C5599" t="s">
        <v>893</v>
      </c>
      <c r="D5599" t="s">
        <v>25761</v>
      </c>
      <c r="E5599">
        <v>424000</v>
      </c>
      <c r="F5599" t="s">
        <v>1</v>
      </c>
      <c r="G5599" t="s">
        <v>2</v>
      </c>
      <c r="H5599" t="s">
        <v>1531</v>
      </c>
      <c r="J5599" t="s">
        <v>25762</v>
      </c>
      <c r="P5599" t="s">
        <v>941</v>
      </c>
      <c r="Y5599" t="s">
        <v>25763</v>
      </c>
    </row>
    <row r="5600" spans="1:25" x14ac:dyDescent="0.25">
      <c r="A5600" t="str">
        <f>"14609595688"</f>
        <v>14609595688</v>
      </c>
      <c r="B5600" t="s">
        <v>96</v>
      </c>
      <c r="C5600" t="s">
        <v>659</v>
      </c>
      <c r="D5600" t="s">
        <v>25764</v>
      </c>
      <c r="E5600">
        <v>424000</v>
      </c>
      <c r="F5600" t="s">
        <v>1</v>
      </c>
      <c r="G5600" t="s">
        <v>2</v>
      </c>
      <c r="H5600" t="s">
        <v>1531</v>
      </c>
      <c r="Q5600" t="s">
        <v>25765</v>
      </c>
      <c r="Y5600" t="s">
        <v>1707</v>
      </c>
    </row>
    <row r="5601" spans="1:25" x14ac:dyDescent="0.25">
      <c r="A5601" t="str">
        <f>"14617242425"</f>
        <v>14617242425</v>
      </c>
      <c r="B5601" t="s">
        <v>530</v>
      </c>
      <c r="C5601" t="s">
        <v>23950</v>
      </c>
      <c r="D5601" t="s">
        <v>23950</v>
      </c>
      <c r="E5601">
        <v>424007</v>
      </c>
      <c r="F5601" t="s">
        <v>1</v>
      </c>
      <c r="G5601" t="s">
        <v>2</v>
      </c>
      <c r="H5601" t="s">
        <v>19042</v>
      </c>
      <c r="Y5601" t="s">
        <v>25766</v>
      </c>
    </row>
    <row r="5602" spans="1:25" x14ac:dyDescent="0.25">
      <c r="A5602" t="str">
        <f>"14625732161"</f>
        <v>14625732161</v>
      </c>
      <c r="B5602" t="s">
        <v>352</v>
      </c>
      <c r="C5602" t="s">
        <v>25770</v>
      </c>
      <c r="D5602" t="s">
        <v>25767</v>
      </c>
      <c r="E5602">
        <v>424004</v>
      </c>
      <c r="F5602" t="s">
        <v>1</v>
      </c>
      <c r="G5602" t="s">
        <v>2</v>
      </c>
      <c r="H5602" t="s">
        <v>351</v>
      </c>
      <c r="I5602" t="s">
        <v>25768</v>
      </c>
      <c r="L5602" t="s">
        <v>25769</v>
      </c>
      <c r="P5602" t="s">
        <v>152</v>
      </c>
      <c r="Y5602" t="s">
        <v>354</v>
      </c>
    </row>
    <row r="5603" spans="1:25" x14ac:dyDescent="0.25">
      <c r="A5603" t="str">
        <f>"14637905779"</f>
        <v>14637905779</v>
      </c>
      <c r="B5603" t="s">
        <v>1544</v>
      </c>
      <c r="C5603" t="s">
        <v>15598</v>
      </c>
      <c r="D5603" t="s">
        <v>21810</v>
      </c>
      <c r="E5603">
        <v>424004</v>
      </c>
      <c r="F5603" t="s">
        <v>1</v>
      </c>
      <c r="G5603" t="s">
        <v>2</v>
      </c>
      <c r="H5603" t="s">
        <v>22133</v>
      </c>
      <c r="Y5603" t="s">
        <v>25771</v>
      </c>
    </row>
    <row r="5604" spans="1:25" x14ac:dyDescent="0.25">
      <c r="A5604" t="str">
        <f>"14641485958"</f>
        <v>14641485958</v>
      </c>
      <c r="B5604" t="s">
        <v>188</v>
      </c>
      <c r="C5604" t="s">
        <v>8311</v>
      </c>
      <c r="D5604" t="s">
        <v>25772</v>
      </c>
      <c r="E5604">
        <v>424038</v>
      </c>
      <c r="F5604" t="s">
        <v>1</v>
      </c>
      <c r="G5604" t="s">
        <v>2</v>
      </c>
      <c r="H5604" t="s">
        <v>21388</v>
      </c>
      <c r="I5604" t="s">
        <v>25773</v>
      </c>
      <c r="L5604" t="s">
        <v>25774</v>
      </c>
      <c r="M5604" t="s">
        <v>25775</v>
      </c>
      <c r="P5604" t="s">
        <v>2457</v>
      </c>
      <c r="Q5604" t="s">
        <v>25776</v>
      </c>
      <c r="T5604" t="s">
        <v>25777</v>
      </c>
      <c r="V5604" t="s">
        <v>25778</v>
      </c>
      <c r="Y5604" t="s">
        <v>24293</v>
      </c>
    </row>
    <row r="5605" spans="1:25" x14ac:dyDescent="0.25">
      <c r="A5605" t="str">
        <f>"14656770462"</f>
        <v>14656770462</v>
      </c>
      <c r="B5605" t="s">
        <v>25</v>
      </c>
      <c r="C5605" t="s">
        <v>59</v>
      </c>
      <c r="D5605" t="s">
        <v>25779</v>
      </c>
      <c r="E5605">
        <v>424006</v>
      </c>
      <c r="F5605" t="s">
        <v>1</v>
      </c>
      <c r="G5605" t="s">
        <v>2</v>
      </c>
      <c r="H5605" t="s">
        <v>751</v>
      </c>
      <c r="Y5605" t="s">
        <v>755</v>
      </c>
    </row>
    <row r="5606" spans="1:25" x14ac:dyDescent="0.25">
      <c r="A5606" t="str">
        <f>"14701164514"</f>
        <v>14701164514</v>
      </c>
      <c r="B5606" t="s">
        <v>1343</v>
      </c>
      <c r="C5606" t="s">
        <v>5308</v>
      </c>
      <c r="D5606" t="s">
        <v>25780</v>
      </c>
      <c r="F5606" t="s">
        <v>1</v>
      </c>
      <c r="G5606" t="s">
        <v>2</v>
      </c>
      <c r="H5606" t="s">
        <v>19499</v>
      </c>
      <c r="J5606" t="s">
        <v>25781</v>
      </c>
      <c r="P5606" t="s">
        <v>10225</v>
      </c>
      <c r="Y5606" t="s">
        <v>24185</v>
      </c>
    </row>
    <row r="5607" spans="1:25" x14ac:dyDescent="0.25">
      <c r="A5607" t="str">
        <f>"14755619075"</f>
        <v>14755619075</v>
      </c>
      <c r="B5607" t="s">
        <v>654</v>
      </c>
      <c r="C5607" t="s">
        <v>2195</v>
      </c>
      <c r="D5607" t="s">
        <v>25782</v>
      </c>
      <c r="E5607">
        <v>424003</v>
      </c>
      <c r="F5607" t="s">
        <v>1</v>
      </c>
      <c r="G5607" t="s">
        <v>2</v>
      </c>
      <c r="H5607" t="s">
        <v>25783</v>
      </c>
      <c r="I5607" t="s">
        <v>25784</v>
      </c>
      <c r="M5607" t="s">
        <v>25785</v>
      </c>
      <c r="P5607" t="s">
        <v>1441</v>
      </c>
      <c r="Y5607" t="s">
        <v>10521</v>
      </c>
    </row>
    <row r="5608" spans="1:25" x14ac:dyDescent="0.25">
      <c r="A5608" t="str">
        <f>"14758281890"</f>
        <v>14758281890</v>
      </c>
      <c r="B5608" t="s">
        <v>930</v>
      </c>
      <c r="C5608" t="s">
        <v>6070</v>
      </c>
      <c r="D5608" t="s">
        <v>25786</v>
      </c>
      <c r="E5608">
        <v>424020</v>
      </c>
      <c r="F5608" t="s">
        <v>1</v>
      </c>
      <c r="G5608" t="s">
        <v>2</v>
      </c>
      <c r="H5608" t="s">
        <v>3</v>
      </c>
      <c r="I5608" t="s">
        <v>25787</v>
      </c>
      <c r="M5608" t="s">
        <v>25788</v>
      </c>
      <c r="P5608" t="s">
        <v>27</v>
      </c>
      <c r="Y5608" t="s">
        <v>14153</v>
      </c>
    </row>
    <row r="5609" spans="1:25" x14ac:dyDescent="0.25">
      <c r="A5609" t="str">
        <f>"14821079338"</f>
        <v>14821079338</v>
      </c>
      <c r="B5609" t="s">
        <v>1152</v>
      </c>
      <c r="C5609" t="s">
        <v>25789</v>
      </c>
      <c r="D5609" t="s">
        <v>10554</v>
      </c>
      <c r="E5609">
        <v>424000</v>
      </c>
      <c r="F5609" t="s">
        <v>1</v>
      </c>
      <c r="G5609" t="s">
        <v>2</v>
      </c>
      <c r="H5609" t="s">
        <v>1531</v>
      </c>
      <c r="Y5609" t="s">
        <v>1707</v>
      </c>
    </row>
    <row r="5610" spans="1:25" x14ac:dyDescent="0.25">
      <c r="A5610" t="str">
        <f>"14830724855"</f>
        <v>14830724855</v>
      </c>
      <c r="B5610" t="s">
        <v>408</v>
      </c>
      <c r="C5610" t="s">
        <v>25792</v>
      </c>
      <c r="D5610" t="s">
        <v>25790</v>
      </c>
      <c r="F5610" t="s">
        <v>1</v>
      </c>
      <c r="G5610" t="s">
        <v>2</v>
      </c>
      <c r="H5610" t="s">
        <v>25791</v>
      </c>
      <c r="Y5610" t="s">
        <v>25793</v>
      </c>
    </row>
    <row r="5611" spans="1:25" x14ac:dyDescent="0.25">
      <c r="A5611" t="str">
        <f>"14842081846"</f>
        <v>14842081846</v>
      </c>
      <c r="B5611" t="s">
        <v>290</v>
      </c>
      <c r="C5611" t="s">
        <v>25797</v>
      </c>
      <c r="D5611" t="s">
        <v>25794</v>
      </c>
      <c r="E5611">
        <v>424002</v>
      </c>
      <c r="F5611" t="s">
        <v>1</v>
      </c>
      <c r="G5611" t="s">
        <v>2</v>
      </c>
      <c r="H5611" t="s">
        <v>14513</v>
      </c>
      <c r="I5611" t="s">
        <v>25795</v>
      </c>
      <c r="J5611" t="s">
        <v>25796</v>
      </c>
      <c r="P5611" t="s">
        <v>25798</v>
      </c>
      <c r="Q5611" t="s">
        <v>25799</v>
      </c>
      <c r="V5611" t="s">
        <v>25800</v>
      </c>
      <c r="Y5611" t="s">
        <v>25801</v>
      </c>
    </row>
    <row r="5612" spans="1:25" x14ac:dyDescent="0.25">
      <c r="A5612" t="str">
        <f>"14857657162"</f>
        <v>14857657162</v>
      </c>
      <c r="B5612" t="s">
        <v>687</v>
      </c>
      <c r="C5612" t="s">
        <v>5413</v>
      </c>
      <c r="D5612" t="s">
        <v>25802</v>
      </c>
      <c r="E5612">
        <v>424008</v>
      </c>
      <c r="F5612" t="s">
        <v>1</v>
      </c>
      <c r="G5612" t="s">
        <v>2</v>
      </c>
      <c r="H5612" t="s">
        <v>1012</v>
      </c>
      <c r="I5612" t="s">
        <v>25803</v>
      </c>
      <c r="J5612" t="s">
        <v>25804</v>
      </c>
      <c r="P5612" t="s">
        <v>20</v>
      </c>
      <c r="Y5612" t="s">
        <v>1016</v>
      </c>
    </row>
    <row r="5613" spans="1:25" x14ac:dyDescent="0.25">
      <c r="A5613" t="str">
        <f>"14888942896"</f>
        <v>14888942896</v>
      </c>
      <c r="B5613" t="s">
        <v>7</v>
      </c>
      <c r="C5613" t="s">
        <v>9893</v>
      </c>
      <c r="D5613" t="s">
        <v>25805</v>
      </c>
      <c r="E5613">
        <v>424004</v>
      </c>
      <c r="F5613" t="s">
        <v>1</v>
      </c>
      <c r="G5613" t="s">
        <v>2</v>
      </c>
      <c r="H5613" t="s">
        <v>25806</v>
      </c>
      <c r="I5613" t="s">
        <v>25807</v>
      </c>
      <c r="P5613" t="s">
        <v>25808</v>
      </c>
      <c r="Y5613" t="s">
        <v>25809</v>
      </c>
    </row>
    <row r="5614" spans="1:25" x14ac:dyDescent="0.25">
      <c r="A5614" t="str">
        <f>"14922230251"</f>
        <v>14922230251</v>
      </c>
      <c r="B5614" t="s">
        <v>430</v>
      </c>
      <c r="C5614" t="s">
        <v>16178</v>
      </c>
      <c r="D5614" t="s">
        <v>25810</v>
      </c>
      <c r="E5614">
        <v>424038</v>
      </c>
      <c r="F5614" t="s">
        <v>1</v>
      </c>
      <c r="G5614" t="s">
        <v>2</v>
      </c>
      <c r="H5614" t="s">
        <v>16183</v>
      </c>
      <c r="Y5614" t="s">
        <v>25811</v>
      </c>
    </row>
    <row r="5615" spans="1:25" x14ac:dyDescent="0.25">
      <c r="A5615" t="str">
        <f>"14932044974"</f>
        <v>14932044974</v>
      </c>
      <c r="B5615" t="s">
        <v>290</v>
      </c>
      <c r="C5615" t="s">
        <v>11114</v>
      </c>
      <c r="D5615" t="s">
        <v>25812</v>
      </c>
      <c r="E5615">
        <v>424000</v>
      </c>
      <c r="F5615" t="s">
        <v>1</v>
      </c>
      <c r="G5615" t="s">
        <v>2</v>
      </c>
      <c r="H5615" t="s">
        <v>92</v>
      </c>
      <c r="P5615" t="s">
        <v>144</v>
      </c>
      <c r="Y5615" t="s">
        <v>25813</v>
      </c>
    </row>
    <row r="5616" spans="1:25" x14ac:dyDescent="0.25">
      <c r="A5616" t="str">
        <f>"14937904902"</f>
        <v>14937904902</v>
      </c>
      <c r="B5616" t="s">
        <v>1053</v>
      </c>
      <c r="C5616" t="s">
        <v>1927</v>
      </c>
      <c r="D5616" t="s">
        <v>25814</v>
      </c>
      <c r="E5616">
        <v>424028</v>
      </c>
      <c r="F5616" t="s">
        <v>1</v>
      </c>
      <c r="G5616" t="s">
        <v>2</v>
      </c>
      <c r="H5616" t="s">
        <v>24739</v>
      </c>
      <c r="I5616" t="s">
        <v>25815</v>
      </c>
      <c r="P5616" t="s">
        <v>2951</v>
      </c>
      <c r="Y5616" t="s">
        <v>25816</v>
      </c>
    </row>
    <row r="5617" spans="1:25" x14ac:dyDescent="0.25">
      <c r="A5617" t="str">
        <f>"14977670399"</f>
        <v>14977670399</v>
      </c>
      <c r="B5617" t="s">
        <v>18</v>
      </c>
      <c r="C5617" t="s">
        <v>2593</v>
      </c>
      <c r="D5617" t="s">
        <v>25817</v>
      </c>
      <c r="E5617">
        <v>424006</v>
      </c>
      <c r="F5617" t="s">
        <v>1</v>
      </c>
      <c r="G5617" t="s">
        <v>2</v>
      </c>
      <c r="H5617" t="s">
        <v>4821</v>
      </c>
      <c r="I5617" t="s">
        <v>25818</v>
      </c>
      <c r="J5617" t="s">
        <v>25819</v>
      </c>
      <c r="L5617" t="s">
        <v>25820</v>
      </c>
      <c r="M5617" t="s">
        <v>25821</v>
      </c>
      <c r="P5617" t="s">
        <v>5084</v>
      </c>
      <c r="V5617" t="s">
        <v>25822</v>
      </c>
      <c r="Y5617" t="s">
        <v>4825</v>
      </c>
    </row>
    <row r="5618" spans="1:25" x14ac:dyDescent="0.25">
      <c r="A5618" t="str">
        <f>"15022058823"</f>
        <v>15022058823</v>
      </c>
      <c r="B5618" t="s">
        <v>32</v>
      </c>
      <c r="C5618" t="s">
        <v>5809</v>
      </c>
      <c r="D5618" t="s">
        <v>25823</v>
      </c>
      <c r="E5618">
        <v>424002</v>
      </c>
      <c r="F5618" t="s">
        <v>1</v>
      </c>
      <c r="G5618" t="s">
        <v>2</v>
      </c>
      <c r="H5618" t="s">
        <v>3864</v>
      </c>
      <c r="I5618" t="s">
        <v>25824</v>
      </c>
      <c r="P5618" t="s">
        <v>2738</v>
      </c>
      <c r="Y5618" t="s">
        <v>3867</v>
      </c>
    </row>
    <row r="5619" spans="1:25" x14ac:dyDescent="0.25">
      <c r="A5619" t="str">
        <f>"15029416147"</f>
        <v>15029416147</v>
      </c>
      <c r="B5619" t="s">
        <v>18</v>
      </c>
      <c r="C5619" t="s">
        <v>959</v>
      </c>
      <c r="D5619" t="s">
        <v>25825</v>
      </c>
      <c r="F5619" t="s">
        <v>1</v>
      </c>
      <c r="G5619" t="s">
        <v>2</v>
      </c>
      <c r="H5619" t="s">
        <v>23852</v>
      </c>
      <c r="J5619" t="s">
        <v>25826</v>
      </c>
      <c r="L5619" t="s">
        <v>25827</v>
      </c>
      <c r="Y5619" t="s">
        <v>24833</v>
      </c>
    </row>
    <row r="5620" spans="1:25" x14ac:dyDescent="0.25">
      <c r="A5620" t="str">
        <f>"15048512465"</f>
        <v>15048512465</v>
      </c>
      <c r="B5620" t="s">
        <v>1152</v>
      </c>
      <c r="C5620" t="s">
        <v>1153</v>
      </c>
      <c r="D5620" t="s">
        <v>10280</v>
      </c>
      <c r="E5620">
        <v>424003</v>
      </c>
      <c r="F5620" t="s">
        <v>1</v>
      </c>
      <c r="G5620" t="s">
        <v>2</v>
      </c>
      <c r="H5620" t="s">
        <v>4546</v>
      </c>
      <c r="I5620" t="s">
        <v>22092</v>
      </c>
      <c r="M5620" t="s">
        <v>10284</v>
      </c>
      <c r="Q5620" t="s">
        <v>10286</v>
      </c>
      <c r="R5620" t="s">
        <v>10287</v>
      </c>
      <c r="S5620" t="s">
        <v>10288</v>
      </c>
      <c r="T5620" t="s">
        <v>10289</v>
      </c>
      <c r="U5620" t="s">
        <v>10290</v>
      </c>
      <c r="V5620" t="s">
        <v>10291</v>
      </c>
      <c r="Y5620" t="s">
        <v>5427</v>
      </c>
    </row>
    <row r="5621" spans="1:25" x14ac:dyDescent="0.25">
      <c r="A5621" t="str">
        <f>"15059007934"</f>
        <v>15059007934</v>
      </c>
      <c r="B5621" t="s">
        <v>530</v>
      </c>
      <c r="C5621" t="s">
        <v>23950</v>
      </c>
      <c r="D5621" t="s">
        <v>23950</v>
      </c>
      <c r="F5621" t="s">
        <v>1</v>
      </c>
      <c r="G5621" t="s">
        <v>2</v>
      </c>
      <c r="H5621" t="s">
        <v>25828</v>
      </c>
      <c r="Y5621" t="s">
        <v>25829</v>
      </c>
    </row>
    <row r="5622" spans="1:25" x14ac:dyDescent="0.25">
      <c r="A5622" t="str">
        <f>"15064421431"</f>
        <v>15064421431</v>
      </c>
      <c r="B5622" t="s">
        <v>574</v>
      </c>
      <c r="C5622" t="s">
        <v>646</v>
      </c>
      <c r="D5622" t="s">
        <v>25111</v>
      </c>
      <c r="E5622">
        <v>424006</v>
      </c>
      <c r="F5622" t="s">
        <v>1</v>
      </c>
      <c r="G5622" t="s">
        <v>2</v>
      </c>
      <c r="H5622" t="s">
        <v>2775</v>
      </c>
      <c r="J5622" t="s">
        <v>25830</v>
      </c>
      <c r="P5622" t="s">
        <v>25831</v>
      </c>
      <c r="Y5622" t="s">
        <v>2779</v>
      </c>
    </row>
    <row r="5623" spans="1:25" x14ac:dyDescent="0.25">
      <c r="A5623" t="str">
        <f>"15067169333"</f>
        <v>15067169333</v>
      </c>
      <c r="B5623" t="s">
        <v>530</v>
      </c>
      <c r="C5623" t="s">
        <v>23950</v>
      </c>
      <c r="D5623" t="s">
        <v>23950</v>
      </c>
      <c r="F5623" t="s">
        <v>1</v>
      </c>
      <c r="G5623" t="s">
        <v>2</v>
      </c>
      <c r="H5623" t="s">
        <v>25832</v>
      </c>
      <c r="Y5623" t="s">
        <v>25833</v>
      </c>
    </row>
    <row r="5624" spans="1:25" x14ac:dyDescent="0.25">
      <c r="A5624" t="str">
        <f>"15069229092"</f>
        <v>15069229092</v>
      </c>
      <c r="B5624" t="s">
        <v>1315</v>
      </c>
      <c r="C5624" t="s">
        <v>4274</v>
      </c>
      <c r="D5624" t="s">
        <v>25834</v>
      </c>
      <c r="E5624">
        <v>424037</v>
      </c>
      <c r="F5624" t="s">
        <v>1</v>
      </c>
      <c r="G5624" t="s">
        <v>2</v>
      </c>
      <c r="H5624" t="s">
        <v>13232</v>
      </c>
      <c r="I5624" t="s">
        <v>25835</v>
      </c>
      <c r="L5624" t="s">
        <v>25836</v>
      </c>
      <c r="M5624" t="s">
        <v>25837</v>
      </c>
      <c r="Y5624" t="s">
        <v>25838</v>
      </c>
    </row>
    <row r="5625" spans="1:25" x14ac:dyDescent="0.25">
      <c r="A5625" t="str">
        <f>"15113578510"</f>
        <v>15113578510</v>
      </c>
      <c r="B5625" t="s">
        <v>96</v>
      </c>
      <c r="C5625" t="s">
        <v>311</v>
      </c>
      <c r="D5625" t="s">
        <v>25839</v>
      </c>
      <c r="E5625">
        <v>424000</v>
      </c>
      <c r="F5625" t="s">
        <v>1</v>
      </c>
      <c r="G5625" t="s">
        <v>2</v>
      </c>
      <c r="H5625" t="s">
        <v>1473</v>
      </c>
      <c r="P5625" t="s">
        <v>941</v>
      </c>
      <c r="Y5625" t="s">
        <v>25840</v>
      </c>
    </row>
    <row r="5626" spans="1:25" x14ac:dyDescent="0.25">
      <c r="A5626" t="str">
        <f>"15132983140"</f>
        <v>15132983140</v>
      </c>
      <c r="B5626" t="s">
        <v>1152</v>
      </c>
      <c r="C5626" t="s">
        <v>18153</v>
      </c>
      <c r="D5626" t="s">
        <v>25841</v>
      </c>
      <c r="E5626">
        <v>424033</v>
      </c>
      <c r="F5626" t="s">
        <v>1</v>
      </c>
      <c r="G5626" t="s">
        <v>2</v>
      </c>
      <c r="H5626" t="s">
        <v>25842</v>
      </c>
      <c r="I5626" t="s">
        <v>25843</v>
      </c>
      <c r="J5626" t="s">
        <v>25844</v>
      </c>
      <c r="L5626" t="s">
        <v>3752</v>
      </c>
      <c r="M5626" t="s">
        <v>25845</v>
      </c>
      <c r="P5626" t="s">
        <v>216</v>
      </c>
      <c r="Y5626" t="s">
        <v>25846</v>
      </c>
    </row>
    <row r="5627" spans="1:25" x14ac:dyDescent="0.25">
      <c r="A5627" t="str">
        <f>"15137257291"</f>
        <v>15137257291</v>
      </c>
      <c r="B5627" t="s">
        <v>553</v>
      </c>
      <c r="C5627" t="s">
        <v>25849</v>
      </c>
      <c r="D5627" t="s">
        <v>2733</v>
      </c>
      <c r="E5627">
        <v>424038</v>
      </c>
      <c r="F5627" t="s">
        <v>1</v>
      </c>
      <c r="G5627" t="s">
        <v>2</v>
      </c>
      <c r="H5627" t="s">
        <v>13095</v>
      </c>
      <c r="I5627" t="s">
        <v>25847</v>
      </c>
      <c r="J5627" t="s">
        <v>25848</v>
      </c>
      <c r="P5627" t="s">
        <v>25850</v>
      </c>
      <c r="Y5627" t="s">
        <v>14140</v>
      </c>
    </row>
    <row r="5628" spans="1:25" x14ac:dyDescent="0.25">
      <c r="A5628" t="str">
        <f>"15252104562"</f>
        <v>15252104562</v>
      </c>
      <c r="B5628" t="s">
        <v>1053</v>
      </c>
      <c r="C5628" t="s">
        <v>1927</v>
      </c>
      <c r="D5628" t="s">
        <v>25851</v>
      </c>
      <c r="E5628">
        <v>424006</v>
      </c>
      <c r="F5628" t="s">
        <v>1</v>
      </c>
      <c r="G5628" t="s">
        <v>2</v>
      </c>
      <c r="H5628" t="s">
        <v>8482</v>
      </c>
      <c r="J5628" t="s">
        <v>25852</v>
      </c>
      <c r="P5628" t="s">
        <v>280</v>
      </c>
      <c r="Y5628" t="s">
        <v>25853</v>
      </c>
    </row>
    <row r="5629" spans="1:25" x14ac:dyDescent="0.25">
      <c r="A5629" t="str">
        <f>"15261485360"</f>
        <v>15261485360</v>
      </c>
      <c r="B5629" t="s">
        <v>1262</v>
      </c>
      <c r="C5629" t="s">
        <v>3214</v>
      </c>
      <c r="D5629" t="s">
        <v>25854</v>
      </c>
      <c r="E5629">
        <v>424028</v>
      </c>
      <c r="F5629" t="s">
        <v>1</v>
      </c>
      <c r="G5629" t="s">
        <v>2</v>
      </c>
      <c r="H5629" t="s">
        <v>13373</v>
      </c>
      <c r="I5629" t="s">
        <v>25855</v>
      </c>
      <c r="P5629" t="s">
        <v>1071</v>
      </c>
      <c r="Y5629" t="s">
        <v>13379</v>
      </c>
    </row>
    <row r="5630" spans="1:25" x14ac:dyDescent="0.25">
      <c r="A5630" t="str">
        <f>"15266165005"</f>
        <v>15266165005</v>
      </c>
      <c r="B5630" t="s">
        <v>7</v>
      </c>
      <c r="C5630" t="s">
        <v>9893</v>
      </c>
      <c r="D5630" t="s">
        <v>25856</v>
      </c>
      <c r="E5630">
        <v>424038</v>
      </c>
      <c r="F5630" t="s">
        <v>1</v>
      </c>
      <c r="G5630" t="s">
        <v>2</v>
      </c>
      <c r="H5630" t="s">
        <v>12580</v>
      </c>
      <c r="J5630" t="s">
        <v>25857</v>
      </c>
      <c r="P5630" t="s">
        <v>3690</v>
      </c>
      <c r="Y5630" t="s">
        <v>12586</v>
      </c>
    </row>
    <row r="5631" spans="1:25" x14ac:dyDescent="0.25">
      <c r="A5631" t="str">
        <f>"15274542978"</f>
        <v>15274542978</v>
      </c>
      <c r="B5631" t="s">
        <v>176</v>
      </c>
      <c r="C5631" t="s">
        <v>25860</v>
      </c>
      <c r="D5631" t="s">
        <v>25858</v>
      </c>
      <c r="E5631">
        <v>424033</v>
      </c>
      <c r="F5631" t="s">
        <v>1</v>
      </c>
      <c r="G5631" t="s">
        <v>2</v>
      </c>
      <c r="H5631" t="s">
        <v>2342</v>
      </c>
      <c r="J5631" t="s">
        <v>25859</v>
      </c>
      <c r="P5631" t="s">
        <v>4998</v>
      </c>
      <c r="Y5631" t="s">
        <v>25861</v>
      </c>
    </row>
    <row r="5632" spans="1:25" x14ac:dyDescent="0.25">
      <c r="A5632" t="str">
        <f>"15291057667"</f>
        <v>15291057667</v>
      </c>
      <c r="B5632" t="s">
        <v>1152</v>
      </c>
      <c r="C5632" t="s">
        <v>1153</v>
      </c>
      <c r="D5632" t="s">
        <v>10280</v>
      </c>
      <c r="E5632">
        <v>424003</v>
      </c>
      <c r="F5632" t="s">
        <v>1</v>
      </c>
      <c r="G5632" t="s">
        <v>2</v>
      </c>
      <c r="H5632" t="s">
        <v>13303</v>
      </c>
      <c r="I5632" t="s">
        <v>22092</v>
      </c>
      <c r="M5632" t="s">
        <v>10284</v>
      </c>
      <c r="Q5632" t="s">
        <v>10286</v>
      </c>
      <c r="R5632" t="s">
        <v>10287</v>
      </c>
      <c r="S5632" t="s">
        <v>10288</v>
      </c>
      <c r="T5632" t="s">
        <v>10289</v>
      </c>
      <c r="U5632" t="s">
        <v>10290</v>
      </c>
      <c r="V5632" t="s">
        <v>10291</v>
      </c>
      <c r="Y5632" t="s">
        <v>25862</v>
      </c>
    </row>
    <row r="5633" spans="1:25" x14ac:dyDescent="0.25">
      <c r="A5633" t="str">
        <f>"15295512732"</f>
        <v>15295512732</v>
      </c>
      <c r="B5633" t="s">
        <v>290</v>
      </c>
      <c r="C5633" t="s">
        <v>290</v>
      </c>
      <c r="D5633" t="s">
        <v>25863</v>
      </c>
      <c r="F5633" t="s">
        <v>1</v>
      </c>
      <c r="G5633" t="s">
        <v>2</v>
      </c>
      <c r="H5633" t="s">
        <v>19259</v>
      </c>
      <c r="Y5633" t="s">
        <v>25864</v>
      </c>
    </row>
    <row r="5634" spans="1:25" x14ac:dyDescent="0.25">
      <c r="A5634" t="str">
        <f>"15323241613"</f>
        <v>15323241613</v>
      </c>
      <c r="B5634" t="s">
        <v>462</v>
      </c>
      <c r="C5634" t="s">
        <v>1140</v>
      </c>
      <c r="D5634" t="s">
        <v>25865</v>
      </c>
      <c r="E5634">
        <v>424031</v>
      </c>
      <c r="F5634" t="s">
        <v>1</v>
      </c>
      <c r="G5634" t="s">
        <v>2</v>
      </c>
      <c r="H5634" t="s">
        <v>25866</v>
      </c>
      <c r="I5634" t="s">
        <v>25867</v>
      </c>
      <c r="L5634" t="s">
        <v>25868</v>
      </c>
      <c r="P5634" t="s">
        <v>5396</v>
      </c>
      <c r="Q5634" t="s">
        <v>25869</v>
      </c>
      <c r="Y5634" t="s">
        <v>25870</v>
      </c>
    </row>
    <row r="5635" spans="1:25" x14ac:dyDescent="0.25">
      <c r="A5635" t="str">
        <f>"15345843650"</f>
        <v>15345843650</v>
      </c>
      <c r="B5635" t="s">
        <v>654</v>
      </c>
      <c r="C5635" t="s">
        <v>2195</v>
      </c>
      <c r="D5635" t="s">
        <v>25871</v>
      </c>
      <c r="E5635">
        <v>424000</v>
      </c>
      <c r="F5635" t="s">
        <v>1</v>
      </c>
      <c r="G5635" t="s">
        <v>2</v>
      </c>
      <c r="H5635" t="s">
        <v>265</v>
      </c>
      <c r="I5635" t="s">
        <v>25784</v>
      </c>
      <c r="P5635" t="s">
        <v>410</v>
      </c>
      <c r="Y5635" t="s">
        <v>11205</v>
      </c>
    </row>
    <row r="5636" spans="1:25" x14ac:dyDescent="0.25">
      <c r="A5636" t="str">
        <f>"15354106163"</f>
        <v>15354106163</v>
      </c>
      <c r="B5636" t="s">
        <v>348</v>
      </c>
      <c r="C5636" t="s">
        <v>25876</v>
      </c>
      <c r="D5636" t="s">
        <v>25872</v>
      </c>
      <c r="E5636">
        <v>424006</v>
      </c>
      <c r="F5636" t="s">
        <v>1</v>
      </c>
      <c r="G5636" t="s">
        <v>2</v>
      </c>
      <c r="H5636" t="s">
        <v>2012</v>
      </c>
      <c r="I5636" t="s">
        <v>25873</v>
      </c>
      <c r="L5636" t="s">
        <v>25874</v>
      </c>
      <c r="M5636" t="s">
        <v>25875</v>
      </c>
      <c r="P5636" t="s">
        <v>1760</v>
      </c>
      <c r="Y5636" t="s">
        <v>2016</v>
      </c>
    </row>
    <row r="5637" spans="1:25" x14ac:dyDescent="0.25">
      <c r="A5637" t="str">
        <f>"15370121359"</f>
        <v>15370121359</v>
      </c>
      <c r="B5637" t="s">
        <v>930</v>
      </c>
      <c r="C5637" t="s">
        <v>25879</v>
      </c>
      <c r="D5637" t="s">
        <v>10263</v>
      </c>
      <c r="F5637" t="s">
        <v>1</v>
      </c>
      <c r="G5637" t="s">
        <v>2</v>
      </c>
      <c r="H5637" t="s">
        <v>25877</v>
      </c>
      <c r="I5637" t="s">
        <v>25878</v>
      </c>
      <c r="P5637" t="s">
        <v>60</v>
      </c>
      <c r="Q5637" t="s">
        <v>25880</v>
      </c>
      <c r="Y5637" t="s">
        <v>25881</v>
      </c>
    </row>
    <row r="5638" spans="1:25" x14ac:dyDescent="0.25">
      <c r="A5638" t="str">
        <f>"15392505064"</f>
        <v>15392505064</v>
      </c>
      <c r="B5638" t="s">
        <v>930</v>
      </c>
      <c r="C5638" t="s">
        <v>22796</v>
      </c>
      <c r="D5638" t="s">
        <v>25882</v>
      </c>
      <c r="E5638">
        <v>424005</v>
      </c>
      <c r="F5638" t="s">
        <v>1</v>
      </c>
      <c r="G5638" t="s">
        <v>2</v>
      </c>
      <c r="H5638" t="s">
        <v>13</v>
      </c>
      <c r="J5638" t="s">
        <v>25883</v>
      </c>
      <c r="P5638" t="s">
        <v>7390</v>
      </c>
      <c r="Y5638" t="s">
        <v>25884</v>
      </c>
    </row>
    <row r="5639" spans="1:25" x14ac:dyDescent="0.25">
      <c r="A5639" t="str">
        <f>"15439203345"</f>
        <v>15439203345</v>
      </c>
      <c r="B5639" t="s">
        <v>18</v>
      </c>
      <c r="C5639" t="s">
        <v>143</v>
      </c>
      <c r="D5639" t="s">
        <v>19938</v>
      </c>
      <c r="E5639">
        <v>424005</v>
      </c>
      <c r="F5639" t="s">
        <v>1</v>
      </c>
      <c r="G5639" t="s">
        <v>2</v>
      </c>
      <c r="H5639" t="s">
        <v>25885</v>
      </c>
      <c r="L5639" t="s">
        <v>25886</v>
      </c>
      <c r="M5639" t="s">
        <v>25887</v>
      </c>
      <c r="Y5639" t="s">
        <v>25888</v>
      </c>
    </row>
    <row r="5640" spans="1:25" x14ac:dyDescent="0.25">
      <c r="A5640" t="str">
        <f>"15464000363"</f>
        <v>15464000363</v>
      </c>
      <c r="B5640" t="s">
        <v>930</v>
      </c>
      <c r="C5640" t="s">
        <v>25891</v>
      </c>
      <c r="D5640" t="s">
        <v>25606</v>
      </c>
      <c r="E5640">
        <v>424005</v>
      </c>
      <c r="F5640" t="s">
        <v>1</v>
      </c>
      <c r="G5640" t="s">
        <v>2</v>
      </c>
      <c r="H5640" t="s">
        <v>25889</v>
      </c>
      <c r="I5640" t="s">
        <v>25890</v>
      </c>
      <c r="L5640" t="s">
        <v>17611</v>
      </c>
      <c r="M5640" t="s">
        <v>17612</v>
      </c>
      <c r="P5640" t="s">
        <v>330</v>
      </c>
      <c r="Y5640" t="s">
        <v>25892</v>
      </c>
    </row>
    <row r="5641" spans="1:25" x14ac:dyDescent="0.25">
      <c r="A5641" t="str">
        <f>"15483106429"</f>
        <v>15483106429</v>
      </c>
      <c r="B5641" t="s">
        <v>96</v>
      </c>
      <c r="C5641" t="s">
        <v>695</v>
      </c>
      <c r="D5641" t="s">
        <v>12083</v>
      </c>
      <c r="E5641">
        <v>424019</v>
      </c>
      <c r="F5641" t="s">
        <v>1</v>
      </c>
      <c r="G5641" t="s">
        <v>2</v>
      </c>
      <c r="H5641" t="s">
        <v>15506</v>
      </c>
      <c r="J5641" t="s">
        <v>25893</v>
      </c>
      <c r="P5641" t="s">
        <v>25894</v>
      </c>
      <c r="Y5641" t="s">
        <v>25895</v>
      </c>
    </row>
    <row r="5642" spans="1:25" x14ac:dyDescent="0.25">
      <c r="A5642" t="str">
        <f>"15535476998"</f>
        <v>15535476998</v>
      </c>
      <c r="B5642" t="s">
        <v>151</v>
      </c>
      <c r="C5642" t="s">
        <v>18424</v>
      </c>
      <c r="D5642" t="s">
        <v>25896</v>
      </c>
      <c r="E5642">
        <v>424031</v>
      </c>
      <c r="F5642" t="s">
        <v>1</v>
      </c>
      <c r="G5642" t="s">
        <v>2</v>
      </c>
      <c r="H5642" t="s">
        <v>239</v>
      </c>
      <c r="I5642" t="s">
        <v>25897</v>
      </c>
      <c r="P5642" t="s">
        <v>27</v>
      </c>
      <c r="Y5642" t="s">
        <v>5645</v>
      </c>
    </row>
    <row r="5643" spans="1:25" x14ac:dyDescent="0.25">
      <c r="A5643" t="str">
        <f>"15556928412"</f>
        <v>15556928412</v>
      </c>
      <c r="B5643" t="s">
        <v>1352</v>
      </c>
      <c r="C5643" t="s">
        <v>2093</v>
      </c>
      <c r="D5643" t="s">
        <v>25898</v>
      </c>
      <c r="E5643">
        <v>424000</v>
      </c>
      <c r="F5643" t="s">
        <v>1</v>
      </c>
      <c r="G5643" t="s">
        <v>2</v>
      </c>
      <c r="H5643" t="s">
        <v>25899</v>
      </c>
      <c r="J5643" t="s">
        <v>25900</v>
      </c>
      <c r="M5643" t="s">
        <v>25901</v>
      </c>
      <c r="Y5643" t="s">
        <v>25902</v>
      </c>
    </row>
    <row r="5644" spans="1:25" x14ac:dyDescent="0.25">
      <c r="A5644" t="str">
        <f>"15610337943"</f>
        <v>15610337943</v>
      </c>
      <c r="B5644" t="s">
        <v>117</v>
      </c>
      <c r="C5644" t="s">
        <v>873</v>
      </c>
      <c r="D5644" t="s">
        <v>873</v>
      </c>
      <c r="F5644" t="s">
        <v>1</v>
      </c>
      <c r="G5644" t="s">
        <v>2</v>
      </c>
      <c r="H5644" t="s">
        <v>25903</v>
      </c>
      <c r="Y5644" t="s">
        <v>25904</v>
      </c>
    </row>
    <row r="5645" spans="1:25" x14ac:dyDescent="0.25">
      <c r="A5645" t="str">
        <f>"15610523846"</f>
        <v>15610523846</v>
      </c>
      <c r="B5645" t="s">
        <v>48</v>
      </c>
      <c r="C5645" t="s">
        <v>15230</v>
      </c>
      <c r="D5645" t="s">
        <v>25905</v>
      </c>
      <c r="E5645">
        <v>424006</v>
      </c>
      <c r="F5645" t="s">
        <v>1</v>
      </c>
      <c r="G5645" t="s">
        <v>2</v>
      </c>
      <c r="H5645" t="s">
        <v>8482</v>
      </c>
      <c r="J5645" t="s">
        <v>25906</v>
      </c>
      <c r="M5645" t="s">
        <v>25907</v>
      </c>
      <c r="Q5645" t="s">
        <v>25908</v>
      </c>
      <c r="Y5645" t="s">
        <v>8488</v>
      </c>
    </row>
    <row r="5646" spans="1:25" x14ac:dyDescent="0.25">
      <c r="A5646" t="str">
        <f>"15630006148"</f>
        <v>15630006148</v>
      </c>
      <c r="B5646" t="s">
        <v>1152</v>
      </c>
      <c r="C5646" t="s">
        <v>3880</v>
      </c>
      <c r="D5646" t="s">
        <v>3876</v>
      </c>
      <c r="E5646">
        <v>424028</v>
      </c>
      <c r="F5646" t="s">
        <v>1</v>
      </c>
      <c r="G5646" t="s">
        <v>2</v>
      </c>
      <c r="H5646" t="s">
        <v>24739</v>
      </c>
      <c r="I5646" t="s">
        <v>25909</v>
      </c>
      <c r="K5646" t="s">
        <v>3879</v>
      </c>
      <c r="P5646" t="s">
        <v>27</v>
      </c>
      <c r="Y5646" t="s">
        <v>25816</v>
      </c>
    </row>
    <row r="5647" spans="1:25" x14ac:dyDescent="0.25">
      <c r="A5647" t="str">
        <f>"15633752596"</f>
        <v>15633752596</v>
      </c>
      <c r="B5647" t="s">
        <v>96</v>
      </c>
      <c r="C5647" t="s">
        <v>25912</v>
      </c>
      <c r="D5647" t="s">
        <v>25910</v>
      </c>
      <c r="E5647">
        <v>424028</v>
      </c>
      <c r="F5647" t="s">
        <v>1</v>
      </c>
      <c r="G5647" t="s">
        <v>2</v>
      </c>
      <c r="H5647" t="s">
        <v>17393</v>
      </c>
      <c r="J5647" t="s">
        <v>25911</v>
      </c>
      <c r="P5647" t="s">
        <v>2050</v>
      </c>
      <c r="Y5647" t="s">
        <v>25913</v>
      </c>
    </row>
    <row r="5648" spans="1:25" x14ac:dyDescent="0.25">
      <c r="A5648" t="str">
        <f>"15660837192"</f>
        <v>15660837192</v>
      </c>
      <c r="B5648" t="s">
        <v>1544</v>
      </c>
      <c r="C5648" t="s">
        <v>3596</v>
      </c>
      <c r="D5648" t="s">
        <v>3596</v>
      </c>
      <c r="E5648">
        <v>424004</v>
      </c>
      <c r="F5648" t="s">
        <v>1</v>
      </c>
      <c r="G5648" t="s">
        <v>2</v>
      </c>
      <c r="H5648" t="s">
        <v>12844</v>
      </c>
      <c r="Y5648" t="s">
        <v>25914</v>
      </c>
    </row>
    <row r="5649" spans="1:25" x14ac:dyDescent="0.25">
      <c r="A5649" t="str">
        <f>"15667837951"</f>
        <v>15667837951</v>
      </c>
      <c r="B5649" t="s">
        <v>624</v>
      </c>
      <c r="C5649" t="s">
        <v>2640</v>
      </c>
      <c r="D5649" t="s">
        <v>25915</v>
      </c>
      <c r="E5649">
        <v>424008</v>
      </c>
      <c r="F5649" t="s">
        <v>1</v>
      </c>
      <c r="G5649" t="s">
        <v>2</v>
      </c>
      <c r="H5649" t="s">
        <v>25916</v>
      </c>
      <c r="Y5649" t="s">
        <v>25917</v>
      </c>
    </row>
    <row r="5650" spans="1:25" x14ac:dyDescent="0.25">
      <c r="A5650" t="str">
        <f>"15672432351"</f>
        <v>15672432351</v>
      </c>
      <c r="B5650" t="s">
        <v>1152</v>
      </c>
      <c r="C5650" t="s">
        <v>1153</v>
      </c>
      <c r="D5650" t="s">
        <v>25918</v>
      </c>
      <c r="E5650">
        <v>424019</v>
      </c>
      <c r="F5650" t="s">
        <v>1</v>
      </c>
      <c r="G5650" t="s">
        <v>2</v>
      </c>
      <c r="H5650" t="s">
        <v>19290</v>
      </c>
      <c r="I5650" t="s">
        <v>25919</v>
      </c>
      <c r="L5650" t="s">
        <v>25920</v>
      </c>
      <c r="M5650" t="s">
        <v>25921</v>
      </c>
      <c r="P5650" t="s">
        <v>330</v>
      </c>
      <c r="Q5650" t="s">
        <v>25922</v>
      </c>
      <c r="R5650" t="s">
        <v>25923</v>
      </c>
      <c r="T5650" t="s">
        <v>25924</v>
      </c>
      <c r="Y5650" t="s">
        <v>19298</v>
      </c>
    </row>
    <row r="5651" spans="1:25" x14ac:dyDescent="0.25">
      <c r="A5651" t="str">
        <f>"15672693163"</f>
        <v>15672693163</v>
      </c>
      <c r="B5651" t="s">
        <v>96</v>
      </c>
      <c r="C5651" t="s">
        <v>2285</v>
      </c>
      <c r="D5651" t="s">
        <v>25925</v>
      </c>
      <c r="E5651">
        <v>424019</v>
      </c>
      <c r="F5651" t="s">
        <v>1</v>
      </c>
      <c r="G5651" t="s">
        <v>2</v>
      </c>
      <c r="H5651" t="s">
        <v>9271</v>
      </c>
      <c r="Y5651" t="s">
        <v>25926</v>
      </c>
    </row>
    <row r="5652" spans="1:25" x14ac:dyDescent="0.25">
      <c r="A5652" t="str">
        <f>"15717011794"</f>
        <v>15717011794</v>
      </c>
      <c r="B5652" t="s">
        <v>117</v>
      </c>
      <c r="C5652" t="s">
        <v>118</v>
      </c>
      <c r="D5652" t="s">
        <v>25927</v>
      </c>
      <c r="F5652" t="s">
        <v>1</v>
      </c>
      <c r="G5652" t="s">
        <v>2</v>
      </c>
      <c r="H5652" t="s">
        <v>7547</v>
      </c>
      <c r="Y5652" t="s">
        <v>25928</v>
      </c>
    </row>
    <row r="5653" spans="1:25" x14ac:dyDescent="0.25">
      <c r="A5653" t="str">
        <f>"15821631787"</f>
        <v>15821631787</v>
      </c>
      <c r="B5653" t="s">
        <v>243</v>
      </c>
      <c r="C5653" t="s">
        <v>2538</v>
      </c>
      <c r="D5653" t="s">
        <v>25929</v>
      </c>
      <c r="F5653" t="s">
        <v>1</v>
      </c>
      <c r="G5653" t="s">
        <v>2</v>
      </c>
      <c r="H5653" t="s">
        <v>24169</v>
      </c>
      <c r="P5653" t="s">
        <v>27</v>
      </c>
      <c r="Y5653" t="s">
        <v>24173</v>
      </c>
    </row>
    <row r="5654" spans="1:25" x14ac:dyDescent="0.25">
      <c r="A5654" t="str">
        <f>"15843256462"</f>
        <v>15843256462</v>
      </c>
      <c r="B5654" t="s">
        <v>1152</v>
      </c>
      <c r="C5654" t="s">
        <v>1152</v>
      </c>
      <c r="D5654" t="s">
        <v>16337</v>
      </c>
      <c r="E5654">
        <v>424032</v>
      </c>
      <c r="F5654" t="s">
        <v>1</v>
      </c>
      <c r="G5654" t="s">
        <v>2</v>
      </c>
      <c r="H5654" t="s">
        <v>15519</v>
      </c>
      <c r="I5654" t="s">
        <v>25930</v>
      </c>
      <c r="P5654" t="s">
        <v>27</v>
      </c>
      <c r="Y5654" t="s">
        <v>15523</v>
      </c>
    </row>
    <row r="5655" spans="1:25" x14ac:dyDescent="0.25">
      <c r="A5655" t="str">
        <f>"15863131511"</f>
        <v>15863131511</v>
      </c>
      <c r="B5655" t="s">
        <v>1544</v>
      </c>
      <c r="C5655" t="s">
        <v>15598</v>
      </c>
      <c r="D5655" t="s">
        <v>25931</v>
      </c>
      <c r="E5655">
        <v>424028</v>
      </c>
      <c r="F5655" t="s">
        <v>1</v>
      </c>
      <c r="G5655" t="s">
        <v>2</v>
      </c>
      <c r="H5655" t="s">
        <v>7204</v>
      </c>
      <c r="I5655" t="s">
        <v>25932</v>
      </c>
      <c r="P5655" t="s">
        <v>330</v>
      </c>
      <c r="Y5655" t="s">
        <v>25933</v>
      </c>
    </row>
    <row r="5656" spans="1:25" x14ac:dyDescent="0.25">
      <c r="A5656" t="str">
        <f>"15915154637"</f>
        <v>15915154637</v>
      </c>
      <c r="B5656" t="s">
        <v>96</v>
      </c>
      <c r="C5656" t="s">
        <v>2285</v>
      </c>
      <c r="D5656" t="s">
        <v>9929</v>
      </c>
      <c r="E5656">
        <v>424008</v>
      </c>
      <c r="F5656" t="s">
        <v>1</v>
      </c>
      <c r="G5656" t="s">
        <v>2</v>
      </c>
      <c r="H5656" t="s">
        <v>1031</v>
      </c>
      <c r="J5656" t="s">
        <v>25934</v>
      </c>
      <c r="P5656" t="s">
        <v>843</v>
      </c>
      <c r="Q5656" t="s">
        <v>25935</v>
      </c>
      <c r="Y5656" t="s">
        <v>25936</v>
      </c>
    </row>
    <row r="5657" spans="1:25" x14ac:dyDescent="0.25">
      <c r="A5657" t="str">
        <f>"15933893939"</f>
        <v>15933893939</v>
      </c>
      <c r="B5657" t="s">
        <v>379</v>
      </c>
      <c r="C5657" t="s">
        <v>380</v>
      </c>
      <c r="D5657" t="s">
        <v>8393</v>
      </c>
      <c r="E5657">
        <v>424031</v>
      </c>
      <c r="F5657" t="s">
        <v>1</v>
      </c>
      <c r="G5657" t="s">
        <v>2</v>
      </c>
      <c r="H5657" t="s">
        <v>1965</v>
      </c>
      <c r="I5657" t="s">
        <v>25937</v>
      </c>
      <c r="L5657" t="s">
        <v>8395</v>
      </c>
      <c r="M5657" t="s">
        <v>8396</v>
      </c>
      <c r="P5657" t="s">
        <v>8397</v>
      </c>
      <c r="Q5657" t="s">
        <v>8412</v>
      </c>
      <c r="R5657" t="s">
        <v>8399</v>
      </c>
      <c r="S5657" t="s">
        <v>8400</v>
      </c>
      <c r="T5657" t="s">
        <v>8401</v>
      </c>
      <c r="Y5657" t="s">
        <v>1967</v>
      </c>
    </row>
    <row r="5658" spans="1:25" x14ac:dyDescent="0.25">
      <c r="A5658" t="str">
        <f>"15934713769"</f>
        <v>15934713769</v>
      </c>
      <c r="B5658" t="s">
        <v>2818</v>
      </c>
      <c r="C5658" t="s">
        <v>6466</v>
      </c>
      <c r="D5658" t="s">
        <v>25938</v>
      </c>
      <c r="E5658">
        <v>424033</v>
      </c>
      <c r="F5658" t="s">
        <v>1</v>
      </c>
      <c r="G5658" t="s">
        <v>2</v>
      </c>
      <c r="H5658" t="s">
        <v>4244</v>
      </c>
      <c r="J5658" t="s">
        <v>25939</v>
      </c>
      <c r="P5658" t="s">
        <v>869</v>
      </c>
      <c r="Q5658" t="s">
        <v>25940</v>
      </c>
      <c r="Y5658" t="s">
        <v>11374</v>
      </c>
    </row>
    <row r="5659" spans="1:25" x14ac:dyDescent="0.25">
      <c r="A5659" t="str">
        <f>"15975730498"</f>
        <v>15975730498</v>
      </c>
      <c r="B5659" t="s">
        <v>1053</v>
      </c>
      <c r="C5659" t="s">
        <v>1927</v>
      </c>
      <c r="D5659" t="s">
        <v>25941</v>
      </c>
      <c r="E5659">
        <v>424038</v>
      </c>
      <c r="F5659" t="s">
        <v>1</v>
      </c>
      <c r="G5659" t="s">
        <v>2</v>
      </c>
      <c r="H5659" t="s">
        <v>13118</v>
      </c>
      <c r="Y5659" t="s">
        <v>25942</v>
      </c>
    </row>
    <row r="5660" spans="1:25" x14ac:dyDescent="0.25">
      <c r="A5660" t="str">
        <f>"15982283701"</f>
        <v>15982283701</v>
      </c>
      <c r="B5660" t="s">
        <v>1315</v>
      </c>
      <c r="C5660" t="s">
        <v>4274</v>
      </c>
      <c r="D5660" t="s">
        <v>25943</v>
      </c>
      <c r="E5660">
        <v>424007</v>
      </c>
      <c r="F5660" t="s">
        <v>1</v>
      </c>
      <c r="G5660" t="s">
        <v>2</v>
      </c>
      <c r="H5660" t="s">
        <v>6820</v>
      </c>
      <c r="Y5660" t="s">
        <v>25944</v>
      </c>
    </row>
    <row r="5661" spans="1:25" x14ac:dyDescent="0.25">
      <c r="A5661" t="str">
        <f>"15999817936"</f>
        <v>15999817936</v>
      </c>
      <c r="B5661" t="s">
        <v>1544</v>
      </c>
      <c r="C5661" t="s">
        <v>2667</v>
      </c>
      <c r="D5661" t="s">
        <v>25945</v>
      </c>
      <c r="E5661">
        <v>424032</v>
      </c>
      <c r="F5661" t="s">
        <v>1</v>
      </c>
      <c r="G5661" t="s">
        <v>2</v>
      </c>
      <c r="H5661" t="s">
        <v>14601</v>
      </c>
      <c r="P5661" t="s">
        <v>330</v>
      </c>
      <c r="Y5661" t="s">
        <v>25946</v>
      </c>
    </row>
    <row r="5662" spans="1:25" x14ac:dyDescent="0.25">
      <c r="A5662" t="str">
        <f>"16028083596"</f>
        <v>16028083596</v>
      </c>
      <c r="B5662" t="s">
        <v>1046</v>
      </c>
      <c r="C5662" t="s">
        <v>2695</v>
      </c>
      <c r="D5662" t="s">
        <v>25947</v>
      </c>
      <c r="E5662">
        <v>424004</v>
      </c>
      <c r="F5662" t="s">
        <v>1</v>
      </c>
      <c r="G5662" t="s">
        <v>2</v>
      </c>
      <c r="H5662" t="s">
        <v>25948</v>
      </c>
      <c r="I5662" t="s">
        <v>25949</v>
      </c>
      <c r="J5662" t="s">
        <v>25950</v>
      </c>
      <c r="P5662" t="s">
        <v>330</v>
      </c>
      <c r="Y5662" t="s">
        <v>25951</v>
      </c>
    </row>
    <row r="5663" spans="1:25" x14ac:dyDescent="0.25">
      <c r="A5663" t="str">
        <f>"16121198222"</f>
        <v>16121198222</v>
      </c>
      <c r="B5663" t="s">
        <v>841</v>
      </c>
      <c r="C5663" t="s">
        <v>25954</v>
      </c>
      <c r="D5663" t="s">
        <v>25952</v>
      </c>
      <c r="E5663">
        <v>424019</v>
      </c>
      <c r="F5663" t="s">
        <v>1</v>
      </c>
      <c r="G5663" t="s">
        <v>2</v>
      </c>
      <c r="H5663" t="s">
        <v>1801</v>
      </c>
      <c r="J5663" t="s">
        <v>25953</v>
      </c>
      <c r="P5663" t="s">
        <v>2923</v>
      </c>
      <c r="Y5663" t="s">
        <v>25955</v>
      </c>
    </row>
    <row r="5664" spans="1:25" x14ac:dyDescent="0.25">
      <c r="A5664" t="str">
        <f>"16163880703"</f>
        <v>16163880703</v>
      </c>
      <c r="B5664" t="s">
        <v>25</v>
      </c>
      <c r="C5664" t="s">
        <v>26</v>
      </c>
      <c r="D5664" t="s">
        <v>25956</v>
      </c>
      <c r="E5664">
        <v>424000</v>
      </c>
      <c r="F5664" t="s">
        <v>1</v>
      </c>
      <c r="G5664" t="s">
        <v>2</v>
      </c>
      <c r="H5664" t="s">
        <v>6578</v>
      </c>
      <c r="I5664" t="s">
        <v>25957</v>
      </c>
      <c r="J5664" t="s">
        <v>25958</v>
      </c>
      <c r="P5664" t="s">
        <v>4831</v>
      </c>
      <c r="Q5664" t="s">
        <v>25959</v>
      </c>
      <c r="Y5664" t="s">
        <v>9940</v>
      </c>
    </row>
    <row r="5665" spans="1:25" x14ac:dyDescent="0.25">
      <c r="A5665" t="str">
        <f>"16193031119"</f>
        <v>16193031119</v>
      </c>
      <c r="B5665" t="s">
        <v>1315</v>
      </c>
      <c r="C5665" t="s">
        <v>4274</v>
      </c>
      <c r="D5665" t="s">
        <v>25960</v>
      </c>
      <c r="F5665" t="s">
        <v>1</v>
      </c>
      <c r="G5665" t="s">
        <v>2</v>
      </c>
      <c r="H5665" t="s">
        <v>15741</v>
      </c>
      <c r="L5665" t="s">
        <v>25961</v>
      </c>
      <c r="M5665" t="s">
        <v>25962</v>
      </c>
      <c r="P5665" t="s">
        <v>260</v>
      </c>
      <c r="Y5665" t="s">
        <v>25963</v>
      </c>
    </row>
    <row r="5666" spans="1:25" x14ac:dyDescent="0.25">
      <c r="A5666" t="str">
        <f>"16222825462"</f>
        <v>16222825462</v>
      </c>
      <c r="B5666" t="s">
        <v>2178</v>
      </c>
      <c r="C5666" t="s">
        <v>2179</v>
      </c>
      <c r="D5666" t="s">
        <v>25964</v>
      </c>
      <c r="E5666">
        <v>424004</v>
      </c>
      <c r="F5666" t="s">
        <v>1</v>
      </c>
      <c r="G5666" t="s">
        <v>2</v>
      </c>
      <c r="H5666" t="s">
        <v>25965</v>
      </c>
      <c r="I5666" t="s">
        <v>25966</v>
      </c>
      <c r="L5666" t="s">
        <v>25967</v>
      </c>
      <c r="M5666" t="s">
        <v>25968</v>
      </c>
      <c r="P5666" t="s">
        <v>22862</v>
      </c>
      <c r="Y5666" t="s">
        <v>25969</v>
      </c>
    </row>
    <row r="5667" spans="1:25" x14ac:dyDescent="0.25">
      <c r="A5667" t="str">
        <f>"16236868324"</f>
        <v>16236868324</v>
      </c>
      <c r="B5667" t="s">
        <v>2818</v>
      </c>
      <c r="C5667" t="s">
        <v>6466</v>
      </c>
      <c r="D5667" t="s">
        <v>25970</v>
      </c>
      <c r="E5667">
        <v>424033</v>
      </c>
      <c r="F5667" t="s">
        <v>1</v>
      </c>
      <c r="G5667" t="s">
        <v>2</v>
      </c>
      <c r="H5667" t="s">
        <v>4225</v>
      </c>
      <c r="I5667" t="s">
        <v>25971</v>
      </c>
      <c r="J5667" t="s">
        <v>25972</v>
      </c>
      <c r="M5667" t="s">
        <v>25973</v>
      </c>
      <c r="P5667" t="s">
        <v>458</v>
      </c>
      <c r="Q5667" t="s">
        <v>25974</v>
      </c>
      <c r="V5667" t="s">
        <v>25975</v>
      </c>
      <c r="Y5667" t="s">
        <v>25976</v>
      </c>
    </row>
    <row r="5668" spans="1:25" x14ac:dyDescent="0.25">
      <c r="A5668" t="str">
        <f>"16238657621"</f>
        <v>16238657621</v>
      </c>
      <c r="B5668" t="s">
        <v>1611</v>
      </c>
      <c r="C5668" t="s">
        <v>3218</v>
      </c>
      <c r="D5668" t="s">
        <v>25977</v>
      </c>
      <c r="E5668">
        <v>424031</v>
      </c>
      <c r="F5668" t="s">
        <v>1</v>
      </c>
      <c r="G5668" t="s">
        <v>2</v>
      </c>
      <c r="H5668" t="s">
        <v>20058</v>
      </c>
      <c r="I5668" t="s">
        <v>25978</v>
      </c>
      <c r="L5668" t="s">
        <v>3217</v>
      </c>
      <c r="P5668" t="s">
        <v>3714</v>
      </c>
      <c r="Y5668" t="s">
        <v>20062</v>
      </c>
    </row>
    <row r="5669" spans="1:25" x14ac:dyDescent="0.25">
      <c r="A5669" t="str">
        <f>"16241060904"</f>
        <v>16241060904</v>
      </c>
      <c r="B5669" t="s">
        <v>4888</v>
      </c>
      <c r="C5669" t="s">
        <v>25984</v>
      </c>
      <c r="D5669" t="s">
        <v>25979</v>
      </c>
      <c r="E5669">
        <v>424007</v>
      </c>
      <c r="F5669" t="s">
        <v>1</v>
      </c>
      <c r="G5669" t="s">
        <v>2</v>
      </c>
      <c r="H5669" t="s">
        <v>220</v>
      </c>
      <c r="I5669" t="s">
        <v>25980</v>
      </c>
      <c r="J5669" t="s">
        <v>25981</v>
      </c>
      <c r="L5669" t="s">
        <v>25982</v>
      </c>
      <c r="M5669" t="s">
        <v>25983</v>
      </c>
      <c r="P5669" t="s">
        <v>280</v>
      </c>
      <c r="Y5669" t="s">
        <v>227</v>
      </c>
    </row>
    <row r="5670" spans="1:25" x14ac:dyDescent="0.25">
      <c r="A5670" t="str">
        <f>"16253017551"</f>
        <v>16253017551</v>
      </c>
      <c r="B5670" t="s">
        <v>25</v>
      </c>
      <c r="C5670" t="s">
        <v>15801</v>
      </c>
      <c r="D5670" t="s">
        <v>25985</v>
      </c>
      <c r="E5670">
        <v>424033</v>
      </c>
      <c r="F5670" t="s">
        <v>1</v>
      </c>
      <c r="G5670" t="s">
        <v>2</v>
      </c>
      <c r="H5670" t="s">
        <v>25986</v>
      </c>
      <c r="I5670" t="s">
        <v>25987</v>
      </c>
      <c r="M5670" t="s">
        <v>15800</v>
      </c>
      <c r="P5670" t="s">
        <v>20</v>
      </c>
      <c r="Q5670" t="s">
        <v>15802</v>
      </c>
      <c r="Y5670" t="s">
        <v>25988</v>
      </c>
    </row>
    <row r="5671" spans="1:25" x14ac:dyDescent="0.25">
      <c r="A5671" t="str">
        <f>"16256781331"</f>
        <v>16256781331</v>
      </c>
      <c r="B5671" t="s">
        <v>456</v>
      </c>
      <c r="C5671" t="s">
        <v>2040</v>
      </c>
      <c r="D5671" t="s">
        <v>25989</v>
      </c>
      <c r="E5671">
        <v>424000</v>
      </c>
      <c r="F5671" t="s">
        <v>1</v>
      </c>
      <c r="G5671" t="s">
        <v>2</v>
      </c>
      <c r="H5671" t="s">
        <v>333</v>
      </c>
      <c r="J5671" t="s">
        <v>25990</v>
      </c>
      <c r="L5671" t="s">
        <v>25991</v>
      </c>
      <c r="M5671" t="s">
        <v>25992</v>
      </c>
      <c r="P5671" t="s">
        <v>280</v>
      </c>
      <c r="Y5671" t="s">
        <v>335</v>
      </c>
    </row>
    <row r="5672" spans="1:25" x14ac:dyDescent="0.25">
      <c r="A5672" t="str">
        <f>"16278988166"</f>
        <v>16278988166</v>
      </c>
      <c r="B5672" t="s">
        <v>1544</v>
      </c>
      <c r="C5672" t="s">
        <v>3596</v>
      </c>
      <c r="D5672" t="s">
        <v>25993</v>
      </c>
      <c r="E5672">
        <v>424006</v>
      </c>
      <c r="F5672" t="s">
        <v>1</v>
      </c>
      <c r="G5672" t="s">
        <v>2</v>
      </c>
      <c r="H5672" t="s">
        <v>21558</v>
      </c>
      <c r="P5672" t="s">
        <v>152</v>
      </c>
      <c r="Y5672" t="s">
        <v>25994</v>
      </c>
    </row>
    <row r="5673" spans="1:25" x14ac:dyDescent="0.25">
      <c r="A5673" t="str">
        <f>"16282544937"</f>
        <v>16282544937</v>
      </c>
      <c r="B5673" t="s">
        <v>640</v>
      </c>
      <c r="C5673" t="s">
        <v>663</v>
      </c>
      <c r="D5673" t="s">
        <v>10162</v>
      </c>
      <c r="E5673">
        <v>424003</v>
      </c>
      <c r="F5673" t="s">
        <v>1</v>
      </c>
      <c r="G5673" t="s">
        <v>2</v>
      </c>
      <c r="H5673" t="s">
        <v>1042</v>
      </c>
      <c r="J5673" t="s">
        <v>25995</v>
      </c>
      <c r="Q5673" t="s">
        <v>25996</v>
      </c>
      <c r="Y5673" t="s">
        <v>11321</v>
      </c>
    </row>
    <row r="5674" spans="1:25" x14ac:dyDescent="0.25">
      <c r="A5674" t="str">
        <f>"16285540149"</f>
        <v>16285540149</v>
      </c>
      <c r="B5674" t="s">
        <v>530</v>
      </c>
      <c r="C5674" t="s">
        <v>23950</v>
      </c>
      <c r="D5674" t="s">
        <v>23950</v>
      </c>
      <c r="F5674" t="s">
        <v>1</v>
      </c>
      <c r="G5674" t="s">
        <v>2</v>
      </c>
      <c r="H5674" t="s">
        <v>25997</v>
      </c>
      <c r="Y5674" t="s">
        <v>25998</v>
      </c>
    </row>
    <row r="5675" spans="1:25" x14ac:dyDescent="0.25">
      <c r="A5675" t="str">
        <f>"16319275912"</f>
        <v>16319275912</v>
      </c>
      <c r="B5675" t="s">
        <v>408</v>
      </c>
      <c r="C5675" t="s">
        <v>25792</v>
      </c>
      <c r="D5675" t="s">
        <v>18848</v>
      </c>
      <c r="E5675">
        <v>424006</v>
      </c>
      <c r="F5675" t="s">
        <v>1</v>
      </c>
      <c r="G5675" t="s">
        <v>2</v>
      </c>
      <c r="H5675" t="s">
        <v>4587</v>
      </c>
      <c r="Y5675" t="s">
        <v>25999</v>
      </c>
    </row>
    <row r="5676" spans="1:25" x14ac:dyDescent="0.25">
      <c r="A5676" t="str">
        <f>"16336199693"</f>
        <v>16336199693</v>
      </c>
      <c r="B5676" t="s">
        <v>80</v>
      </c>
      <c r="C5676" t="s">
        <v>3295</v>
      </c>
      <c r="D5676" t="s">
        <v>26000</v>
      </c>
      <c r="E5676">
        <v>424030</v>
      </c>
      <c r="F5676" t="s">
        <v>1</v>
      </c>
      <c r="G5676" t="s">
        <v>2</v>
      </c>
      <c r="H5676" t="s">
        <v>13962</v>
      </c>
      <c r="J5676" t="s">
        <v>26001</v>
      </c>
      <c r="P5676" t="s">
        <v>2280</v>
      </c>
      <c r="Y5676" t="s">
        <v>24039</v>
      </c>
    </row>
    <row r="5677" spans="1:25" x14ac:dyDescent="0.25">
      <c r="A5677" t="str">
        <f>"16393537500"</f>
        <v>16393537500</v>
      </c>
      <c r="B5677" t="s">
        <v>3544</v>
      </c>
      <c r="C5677" t="s">
        <v>11303</v>
      </c>
      <c r="D5677" t="s">
        <v>26002</v>
      </c>
      <c r="E5677">
        <v>424004</v>
      </c>
      <c r="F5677" t="s">
        <v>1</v>
      </c>
      <c r="G5677" t="s">
        <v>2</v>
      </c>
      <c r="H5677" t="s">
        <v>351</v>
      </c>
      <c r="Y5677" t="s">
        <v>26003</v>
      </c>
    </row>
    <row r="5678" spans="1:25" x14ac:dyDescent="0.25">
      <c r="A5678" t="str">
        <f>"16400354499"</f>
        <v>16400354499</v>
      </c>
      <c r="B5678" t="s">
        <v>160</v>
      </c>
      <c r="C5678" t="s">
        <v>15654</v>
      </c>
      <c r="D5678" t="s">
        <v>26004</v>
      </c>
      <c r="E5678">
        <v>424031</v>
      </c>
      <c r="F5678" t="s">
        <v>1</v>
      </c>
      <c r="G5678" t="s">
        <v>2</v>
      </c>
      <c r="H5678" t="s">
        <v>26005</v>
      </c>
      <c r="I5678" t="s">
        <v>26006</v>
      </c>
      <c r="L5678" t="s">
        <v>26007</v>
      </c>
      <c r="P5678" t="s">
        <v>20</v>
      </c>
      <c r="Y5678" t="s">
        <v>26008</v>
      </c>
    </row>
    <row r="5679" spans="1:25" x14ac:dyDescent="0.25">
      <c r="A5679" t="str">
        <f>"16430589433"</f>
        <v>16430589433</v>
      </c>
      <c r="B5679" t="s">
        <v>123</v>
      </c>
      <c r="C5679" t="s">
        <v>424</v>
      </c>
      <c r="D5679" t="s">
        <v>26009</v>
      </c>
      <c r="E5679">
        <v>424004</v>
      </c>
      <c r="F5679" t="s">
        <v>1</v>
      </c>
      <c r="G5679" t="s">
        <v>2</v>
      </c>
      <c r="H5679" t="s">
        <v>26010</v>
      </c>
      <c r="I5679" t="s">
        <v>26011</v>
      </c>
      <c r="M5679" t="s">
        <v>26012</v>
      </c>
      <c r="P5679" t="s">
        <v>4998</v>
      </c>
      <c r="Y5679" t="s">
        <v>26013</v>
      </c>
    </row>
    <row r="5680" spans="1:25" x14ac:dyDescent="0.25">
      <c r="A5680" t="str">
        <f>"16529660974"</f>
        <v>16529660974</v>
      </c>
      <c r="B5680" t="s">
        <v>930</v>
      </c>
      <c r="C5680" t="s">
        <v>12649</v>
      </c>
      <c r="D5680" t="s">
        <v>1094</v>
      </c>
      <c r="E5680">
        <v>424006</v>
      </c>
      <c r="F5680" t="s">
        <v>1</v>
      </c>
      <c r="G5680" t="s">
        <v>2</v>
      </c>
      <c r="H5680" t="s">
        <v>26014</v>
      </c>
      <c r="I5680" t="s">
        <v>26015</v>
      </c>
      <c r="J5680" t="s">
        <v>26016</v>
      </c>
      <c r="P5680" t="s">
        <v>1160</v>
      </c>
      <c r="Y5680" t="s">
        <v>26017</v>
      </c>
    </row>
    <row r="5681" spans="1:25" x14ac:dyDescent="0.25">
      <c r="A5681" t="str">
        <f>"16535271793"</f>
        <v>16535271793</v>
      </c>
      <c r="B5681" t="s">
        <v>574</v>
      </c>
      <c r="C5681" t="s">
        <v>26020</v>
      </c>
      <c r="D5681" t="s">
        <v>26018</v>
      </c>
      <c r="E5681">
        <v>424006</v>
      </c>
      <c r="F5681" t="s">
        <v>1</v>
      </c>
      <c r="G5681" t="s">
        <v>2</v>
      </c>
      <c r="H5681" t="s">
        <v>1923</v>
      </c>
      <c r="I5681" t="s">
        <v>26019</v>
      </c>
      <c r="P5681" t="s">
        <v>1232</v>
      </c>
      <c r="Y5681" t="s">
        <v>1928</v>
      </c>
    </row>
    <row r="5682" spans="1:25" x14ac:dyDescent="0.25">
      <c r="A5682" t="str">
        <f>"16553780293"</f>
        <v>16553780293</v>
      </c>
      <c r="B5682" t="s">
        <v>574</v>
      </c>
      <c r="C5682" t="s">
        <v>21020</v>
      </c>
      <c r="D5682" t="s">
        <v>25486</v>
      </c>
      <c r="E5682">
        <v>424040</v>
      </c>
      <c r="F5682" t="s">
        <v>1</v>
      </c>
      <c r="G5682" t="s">
        <v>2</v>
      </c>
      <c r="H5682" t="s">
        <v>26021</v>
      </c>
      <c r="Y5682" t="s">
        <v>26022</v>
      </c>
    </row>
    <row r="5683" spans="1:25" x14ac:dyDescent="0.25">
      <c r="A5683" t="str">
        <f>"16559066458"</f>
        <v>16559066458</v>
      </c>
      <c r="B5683" t="s">
        <v>574</v>
      </c>
      <c r="C5683" t="s">
        <v>646</v>
      </c>
      <c r="D5683" t="s">
        <v>26023</v>
      </c>
      <c r="E5683">
        <v>424008</v>
      </c>
      <c r="F5683" t="s">
        <v>1</v>
      </c>
      <c r="G5683" t="s">
        <v>2</v>
      </c>
      <c r="H5683" t="s">
        <v>1895</v>
      </c>
      <c r="P5683" t="s">
        <v>60</v>
      </c>
      <c r="Y5683" t="s">
        <v>26024</v>
      </c>
    </row>
    <row r="5684" spans="1:25" x14ac:dyDescent="0.25">
      <c r="A5684" t="str">
        <f>"16560454126"</f>
        <v>16560454126</v>
      </c>
      <c r="B5684" t="s">
        <v>397</v>
      </c>
      <c r="C5684" t="s">
        <v>26030</v>
      </c>
      <c r="D5684" t="s">
        <v>26025</v>
      </c>
      <c r="E5684">
        <v>424031</v>
      </c>
      <c r="F5684" t="s">
        <v>1</v>
      </c>
      <c r="G5684" t="s">
        <v>2</v>
      </c>
      <c r="H5684" t="s">
        <v>26026</v>
      </c>
      <c r="J5684" t="s">
        <v>26027</v>
      </c>
      <c r="L5684" t="s">
        <v>26028</v>
      </c>
      <c r="M5684" t="s">
        <v>26029</v>
      </c>
      <c r="P5684" t="s">
        <v>27</v>
      </c>
      <c r="Y5684" t="s">
        <v>26031</v>
      </c>
    </row>
    <row r="5685" spans="1:25" x14ac:dyDescent="0.25">
      <c r="A5685" t="str">
        <f>"16570647082"</f>
        <v>16570647082</v>
      </c>
      <c r="B5685" t="s">
        <v>18</v>
      </c>
      <c r="C5685" t="s">
        <v>12269</v>
      </c>
      <c r="D5685" t="s">
        <v>26032</v>
      </c>
      <c r="F5685" t="s">
        <v>1</v>
      </c>
      <c r="G5685" t="s">
        <v>2</v>
      </c>
      <c r="H5685" t="s">
        <v>25588</v>
      </c>
      <c r="Y5685" t="s">
        <v>26033</v>
      </c>
    </row>
    <row r="5686" spans="1:25" x14ac:dyDescent="0.25">
      <c r="A5686" t="str">
        <f>"16654737947"</f>
        <v>16654737947</v>
      </c>
      <c r="B5686" t="s">
        <v>5745</v>
      </c>
      <c r="C5686" t="s">
        <v>11619</v>
      </c>
      <c r="D5686" t="s">
        <v>21064</v>
      </c>
      <c r="F5686" t="s">
        <v>1</v>
      </c>
      <c r="G5686" t="s">
        <v>2</v>
      </c>
      <c r="H5686" t="s">
        <v>3984</v>
      </c>
      <c r="Y5686" t="s">
        <v>26034</v>
      </c>
    </row>
    <row r="5687" spans="1:25" x14ac:dyDescent="0.25">
      <c r="A5687" t="str">
        <f>"16662192592"</f>
        <v>16662192592</v>
      </c>
      <c r="B5687" t="s">
        <v>1078</v>
      </c>
      <c r="C5687" t="s">
        <v>26035</v>
      </c>
      <c r="D5687" t="s">
        <v>4776</v>
      </c>
      <c r="E5687">
        <v>424004</v>
      </c>
      <c r="F5687" t="s">
        <v>1</v>
      </c>
      <c r="G5687" t="s">
        <v>2</v>
      </c>
      <c r="H5687" t="s">
        <v>186</v>
      </c>
      <c r="P5687" t="s">
        <v>27</v>
      </c>
      <c r="Y5687" t="s">
        <v>190</v>
      </c>
    </row>
    <row r="5688" spans="1:25" x14ac:dyDescent="0.25">
      <c r="A5688" t="str">
        <f>"16681801222"</f>
        <v>16681801222</v>
      </c>
      <c r="B5688" t="s">
        <v>7312</v>
      </c>
      <c r="C5688" t="s">
        <v>19097</v>
      </c>
      <c r="D5688" t="s">
        <v>26036</v>
      </c>
      <c r="E5688">
        <v>424008</v>
      </c>
      <c r="F5688" t="s">
        <v>1</v>
      </c>
      <c r="G5688" t="s">
        <v>2</v>
      </c>
      <c r="H5688" t="s">
        <v>23978</v>
      </c>
      <c r="Y5688" t="s">
        <v>26037</v>
      </c>
    </row>
    <row r="5689" spans="1:25" x14ac:dyDescent="0.25">
      <c r="A5689" t="str">
        <f>"16733772846"</f>
        <v>16733772846</v>
      </c>
      <c r="B5689" t="s">
        <v>1362</v>
      </c>
      <c r="C5689" t="s">
        <v>23155</v>
      </c>
      <c r="D5689" t="s">
        <v>26038</v>
      </c>
      <c r="F5689" t="s">
        <v>1</v>
      </c>
      <c r="G5689" t="s">
        <v>2</v>
      </c>
      <c r="H5689" t="s">
        <v>5906</v>
      </c>
      <c r="L5689" t="s">
        <v>26039</v>
      </c>
      <c r="M5689" t="s">
        <v>26040</v>
      </c>
      <c r="Y5689" t="s">
        <v>5907</v>
      </c>
    </row>
    <row r="5690" spans="1:25" x14ac:dyDescent="0.25">
      <c r="A5690" t="str">
        <f>"16774996317"</f>
        <v>16774996317</v>
      </c>
      <c r="B5690" t="s">
        <v>738</v>
      </c>
      <c r="C5690" t="s">
        <v>26044</v>
      </c>
      <c r="D5690" t="s">
        <v>26041</v>
      </c>
      <c r="E5690">
        <v>424037</v>
      </c>
      <c r="F5690" t="s">
        <v>1</v>
      </c>
      <c r="G5690" t="s">
        <v>2</v>
      </c>
      <c r="H5690" t="s">
        <v>14956</v>
      </c>
      <c r="I5690" t="s">
        <v>26042</v>
      </c>
      <c r="J5690" t="s">
        <v>26043</v>
      </c>
      <c r="P5690" t="s">
        <v>26045</v>
      </c>
      <c r="Q5690" t="s">
        <v>26046</v>
      </c>
      <c r="Y5690" t="s">
        <v>26047</v>
      </c>
    </row>
    <row r="5691" spans="1:25" x14ac:dyDescent="0.25">
      <c r="A5691" t="str">
        <f>"16796691210"</f>
        <v>16796691210</v>
      </c>
      <c r="B5691" t="s">
        <v>456</v>
      </c>
      <c r="C5691" t="s">
        <v>2040</v>
      </c>
      <c r="D5691" t="s">
        <v>26048</v>
      </c>
      <c r="E5691">
        <v>424036</v>
      </c>
      <c r="F5691" t="s">
        <v>1</v>
      </c>
      <c r="G5691" t="s">
        <v>2</v>
      </c>
      <c r="H5691" t="s">
        <v>8222</v>
      </c>
      <c r="L5691" t="s">
        <v>26049</v>
      </c>
      <c r="M5691" t="s">
        <v>26050</v>
      </c>
      <c r="P5691" t="s">
        <v>9</v>
      </c>
      <c r="Y5691" t="s">
        <v>12963</v>
      </c>
    </row>
    <row r="5692" spans="1:25" x14ac:dyDescent="0.25">
      <c r="A5692" t="str">
        <f>"16814100862"</f>
        <v>16814100862</v>
      </c>
      <c r="B5692" t="s">
        <v>1617</v>
      </c>
      <c r="C5692" t="s">
        <v>21001</v>
      </c>
      <c r="D5692" t="s">
        <v>20999</v>
      </c>
      <c r="E5692">
        <v>424007</v>
      </c>
      <c r="F5692" t="s">
        <v>1</v>
      </c>
      <c r="G5692" t="s">
        <v>2</v>
      </c>
      <c r="H5692" t="s">
        <v>26051</v>
      </c>
      <c r="P5692" t="s">
        <v>21118</v>
      </c>
      <c r="Y5692" t="s">
        <v>26052</v>
      </c>
    </row>
    <row r="5693" spans="1:25" x14ac:dyDescent="0.25">
      <c r="A5693" t="str">
        <f>"16816897008"</f>
        <v>16816897008</v>
      </c>
      <c r="B5693" t="s">
        <v>123</v>
      </c>
      <c r="C5693" t="s">
        <v>10249</v>
      </c>
      <c r="D5693" t="s">
        <v>26053</v>
      </c>
      <c r="E5693">
        <v>424038</v>
      </c>
      <c r="F5693" t="s">
        <v>1</v>
      </c>
      <c r="G5693" t="s">
        <v>2</v>
      </c>
      <c r="H5693" t="s">
        <v>386</v>
      </c>
      <c r="J5693" t="s">
        <v>26054</v>
      </c>
      <c r="P5693" t="s">
        <v>4998</v>
      </c>
      <c r="Y5693" t="s">
        <v>26055</v>
      </c>
    </row>
    <row r="5694" spans="1:25" x14ac:dyDescent="0.25">
      <c r="A5694" t="str">
        <f>"16819822592"</f>
        <v>16819822592</v>
      </c>
      <c r="B5694" t="s">
        <v>233</v>
      </c>
      <c r="C5694" t="s">
        <v>14003</v>
      </c>
      <c r="D5694" t="s">
        <v>22154</v>
      </c>
      <c r="E5694">
        <v>424030</v>
      </c>
      <c r="F5694" t="s">
        <v>1</v>
      </c>
      <c r="G5694" t="s">
        <v>2</v>
      </c>
      <c r="H5694" t="s">
        <v>2834</v>
      </c>
      <c r="P5694" t="s">
        <v>2050</v>
      </c>
      <c r="Y5694" t="s">
        <v>26056</v>
      </c>
    </row>
    <row r="5695" spans="1:25" x14ac:dyDescent="0.25">
      <c r="A5695" t="str">
        <f>"16821890572"</f>
        <v>16821890572</v>
      </c>
      <c r="B5695" t="s">
        <v>96</v>
      </c>
      <c r="C5695" t="s">
        <v>8479</v>
      </c>
      <c r="D5695" t="s">
        <v>26057</v>
      </c>
      <c r="E5695">
        <v>424918</v>
      </c>
      <c r="F5695" t="s">
        <v>1</v>
      </c>
      <c r="G5695" t="s">
        <v>2</v>
      </c>
      <c r="H5695" t="s">
        <v>629</v>
      </c>
      <c r="P5695" t="s">
        <v>630</v>
      </c>
      <c r="Y5695" t="s">
        <v>22877</v>
      </c>
    </row>
    <row r="5696" spans="1:25" x14ac:dyDescent="0.25">
      <c r="A5696" t="str">
        <f>"16849198749"</f>
        <v>16849198749</v>
      </c>
      <c r="B5696" t="s">
        <v>300</v>
      </c>
      <c r="C5696" t="s">
        <v>26061</v>
      </c>
      <c r="D5696" t="s">
        <v>26058</v>
      </c>
      <c r="E5696">
        <v>424006</v>
      </c>
      <c r="F5696" t="s">
        <v>1</v>
      </c>
      <c r="G5696" t="s">
        <v>2</v>
      </c>
      <c r="H5696" t="s">
        <v>2185</v>
      </c>
      <c r="J5696" t="s">
        <v>26059</v>
      </c>
      <c r="M5696" t="s">
        <v>26060</v>
      </c>
      <c r="P5696" t="s">
        <v>27</v>
      </c>
      <c r="Y5696" t="s">
        <v>2191</v>
      </c>
    </row>
    <row r="5697" spans="1:25" x14ac:dyDescent="0.25">
      <c r="A5697" t="str">
        <f>"16904239426"</f>
        <v>16904239426</v>
      </c>
      <c r="B5697" t="s">
        <v>530</v>
      </c>
      <c r="C5697" t="s">
        <v>23950</v>
      </c>
      <c r="D5697" t="s">
        <v>23950</v>
      </c>
      <c r="F5697" t="s">
        <v>1</v>
      </c>
      <c r="G5697" t="s">
        <v>2</v>
      </c>
      <c r="H5697" t="s">
        <v>26062</v>
      </c>
      <c r="Y5697" t="s">
        <v>26063</v>
      </c>
    </row>
    <row r="5698" spans="1:25" x14ac:dyDescent="0.25">
      <c r="A5698" t="str">
        <f>"16905700680"</f>
        <v>16905700680</v>
      </c>
      <c r="B5698" t="s">
        <v>151</v>
      </c>
      <c r="C5698" t="s">
        <v>881</v>
      </c>
      <c r="D5698" t="s">
        <v>876</v>
      </c>
      <c r="E5698">
        <v>424003</v>
      </c>
      <c r="F5698" t="s">
        <v>1</v>
      </c>
      <c r="G5698" t="s">
        <v>2</v>
      </c>
      <c r="H5698" t="s">
        <v>4250</v>
      </c>
      <c r="I5698" t="s">
        <v>877</v>
      </c>
      <c r="J5698" t="s">
        <v>26064</v>
      </c>
      <c r="L5698" t="s">
        <v>879</v>
      </c>
      <c r="M5698" t="s">
        <v>26065</v>
      </c>
      <c r="P5698" t="s">
        <v>27</v>
      </c>
      <c r="Q5698" t="s">
        <v>26066</v>
      </c>
      <c r="R5698" t="s">
        <v>883</v>
      </c>
      <c r="V5698" t="s">
        <v>885</v>
      </c>
      <c r="Y5698" t="s">
        <v>26067</v>
      </c>
    </row>
    <row r="5699" spans="1:25" x14ac:dyDescent="0.25">
      <c r="A5699" t="str">
        <f>"16997208779"</f>
        <v>16997208779</v>
      </c>
      <c r="B5699" t="s">
        <v>654</v>
      </c>
      <c r="C5699" t="s">
        <v>2195</v>
      </c>
      <c r="D5699" t="s">
        <v>26068</v>
      </c>
      <c r="E5699">
        <v>424006</v>
      </c>
      <c r="F5699" t="s">
        <v>1</v>
      </c>
      <c r="G5699" t="s">
        <v>2</v>
      </c>
      <c r="H5699" t="s">
        <v>26069</v>
      </c>
      <c r="I5699" t="s">
        <v>26070</v>
      </c>
      <c r="P5699" t="s">
        <v>27</v>
      </c>
      <c r="Y5699" t="s">
        <v>4080</v>
      </c>
    </row>
    <row r="5700" spans="1:25" x14ac:dyDescent="0.25">
      <c r="A5700" t="str">
        <f>"17006623623"</f>
        <v>17006623623</v>
      </c>
      <c r="B5700" t="s">
        <v>1573</v>
      </c>
      <c r="C5700" t="s">
        <v>24508</v>
      </c>
      <c r="D5700" t="s">
        <v>25092</v>
      </c>
      <c r="E5700">
        <v>424002</v>
      </c>
      <c r="F5700" t="s">
        <v>1</v>
      </c>
      <c r="G5700" t="s">
        <v>2</v>
      </c>
      <c r="H5700" t="s">
        <v>2164</v>
      </c>
      <c r="P5700" t="s">
        <v>9785</v>
      </c>
      <c r="Y5700" t="s">
        <v>26071</v>
      </c>
    </row>
    <row r="5701" spans="1:25" x14ac:dyDescent="0.25">
      <c r="A5701" t="str">
        <f>"17009329625"</f>
        <v>17009329625</v>
      </c>
      <c r="B5701" t="s">
        <v>703</v>
      </c>
      <c r="C5701" t="s">
        <v>22673</v>
      </c>
      <c r="D5701" t="s">
        <v>26072</v>
      </c>
      <c r="E5701">
        <v>424006</v>
      </c>
      <c r="F5701" t="s">
        <v>1</v>
      </c>
      <c r="G5701" t="s">
        <v>2</v>
      </c>
      <c r="H5701" t="s">
        <v>4821</v>
      </c>
      <c r="J5701" t="s">
        <v>26073</v>
      </c>
      <c r="M5701" t="s">
        <v>13908</v>
      </c>
      <c r="P5701" t="s">
        <v>330</v>
      </c>
      <c r="Q5701" t="s">
        <v>26074</v>
      </c>
      <c r="Y5701" t="s">
        <v>4825</v>
      </c>
    </row>
    <row r="5702" spans="1:25" x14ac:dyDescent="0.25">
      <c r="A5702" t="str">
        <f>"17017128347"</f>
        <v>17017128347</v>
      </c>
      <c r="B5702" t="s">
        <v>3544</v>
      </c>
      <c r="C5702" t="s">
        <v>11303</v>
      </c>
      <c r="D5702" t="s">
        <v>26075</v>
      </c>
      <c r="E5702">
        <v>424007</v>
      </c>
      <c r="F5702" t="s">
        <v>1</v>
      </c>
      <c r="G5702" t="s">
        <v>2</v>
      </c>
      <c r="H5702" t="s">
        <v>1085</v>
      </c>
      <c r="I5702" t="s">
        <v>26076</v>
      </c>
      <c r="K5702" t="s">
        <v>8948</v>
      </c>
      <c r="L5702" t="s">
        <v>26077</v>
      </c>
      <c r="Y5702" t="s">
        <v>26078</v>
      </c>
    </row>
    <row r="5703" spans="1:25" x14ac:dyDescent="0.25">
      <c r="A5703" t="str">
        <f>"17029776420"</f>
        <v>17029776420</v>
      </c>
      <c r="B5703" t="s">
        <v>1078</v>
      </c>
      <c r="C5703" t="s">
        <v>1079</v>
      </c>
      <c r="D5703" t="s">
        <v>1621</v>
      </c>
      <c r="E5703">
        <v>424038</v>
      </c>
      <c r="F5703" t="s">
        <v>1</v>
      </c>
      <c r="G5703" t="s">
        <v>2</v>
      </c>
      <c r="H5703" t="s">
        <v>26079</v>
      </c>
      <c r="L5703" t="s">
        <v>1624</v>
      </c>
      <c r="M5703" t="s">
        <v>7564</v>
      </c>
      <c r="P5703" t="s">
        <v>26080</v>
      </c>
      <c r="Y5703" t="s">
        <v>26081</v>
      </c>
    </row>
    <row r="5704" spans="1:25" x14ac:dyDescent="0.25">
      <c r="A5704" t="str">
        <f>"17038893065"</f>
        <v>17038893065</v>
      </c>
      <c r="B5704" t="s">
        <v>1544</v>
      </c>
      <c r="C5704" t="s">
        <v>24552</v>
      </c>
      <c r="D5704" t="s">
        <v>25152</v>
      </c>
      <c r="E5704">
        <v>424019</v>
      </c>
      <c r="F5704" t="s">
        <v>1</v>
      </c>
      <c r="G5704" t="s">
        <v>2</v>
      </c>
      <c r="H5704" t="s">
        <v>13705</v>
      </c>
      <c r="P5704" t="s">
        <v>26082</v>
      </c>
      <c r="Y5704" t="s">
        <v>26083</v>
      </c>
    </row>
    <row r="5705" spans="1:25" x14ac:dyDescent="0.25">
      <c r="A5705" t="str">
        <f>"17048561372"</f>
        <v>17048561372</v>
      </c>
      <c r="B5705" t="s">
        <v>2601</v>
      </c>
      <c r="C5705" t="s">
        <v>26087</v>
      </c>
      <c r="D5705" t="s">
        <v>26084</v>
      </c>
      <c r="E5705">
        <v>424003</v>
      </c>
      <c r="F5705" t="s">
        <v>1</v>
      </c>
      <c r="G5705" t="s">
        <v>2</v>
      </c>
      <c r="H5705" t="s">
        <v>26085</v>
      </c>
      <c r="I5705" t="s">
        <v>26086</v>
      </c>
      <c r="P5705" t="s">
        <v>152</v>
      </c>
      <c r="Y5705" t="s">
        <v>26088</v>
      </c>
    </row>
    <row r="5706" spans="1:25" x14ac:dyDescent="0.25">
      <c r="A5706" t="str">
        <f>"17049193346"</f>
        <v>17049193346</v>
      </c>
      <c r="B5706" t="s">
        <v>790</v>
      </c>
      <c r="C5706" t="s">
        <v>4583</v>
      </c>
      <c r="D5706" t="s">
        <v>26089</v>
      </c>
      <c r="E5706">
        <v>424020</v>
      </c>
      <c r="F5706" t="s">
        <v>1</v>
      </c>
      <c r="G5706" t="s">
        <v>2</v>
      </c>
      <c r="H5706" t="s">
        <v>6262</v>
      </c>
      <c r="I5706" t="s">
        <v>26090</v>
      </c>
      <c r="P5706" t="s">
        <v>26091</v>
      </c>
      <c r="Y5706" t="s">
        <v>6264</v>
      </c>
    </row>
    <row r="5707" spans="1:25" x14ac:dyDescent="0.25">
      <c r="A5707" t="str">
        <f>"17093293933"</f>
        <v>17093293933</v>
      </c>
      <c r="B5707" t="s">
        <v>574</v>
      </c>
      <c r="C5707" t="s">
        <v>14269</v>
      </c>
      <c r="D5707" t="s">
        <v>14267</v>
      </c>
      <c r="E5707">
        <v>424007</v>
      </c>
      <c r="F5707" t="s">
        <v>1</v>
      </c>
      <c r="G5707" t="s">
        <v>2</v>
      </c>
      <c r="H5707" t="s">
        <v>23983</v>
      </c>
      <c r="Y5707" t="s">
        <v>26092</v>
      </c>
    </row>
    <row r="5708" spans="1:25" x14ac:dyDescent="0.25">
      <c r="A5708" t="str">
        <f>"17096175510"</f>
        <v>17096175510</v>
      </c>
      <c r="B5708" t="s">
        <v>654</v>
      </c>
      <c r="C5708" t="s">
        <v>14448</v>
      </c>
      <c r="D5708" t="s">
        <v>26093</v>
      </c>
      <c r="E5708">
        <v>424028</v>
      </c>
      <c r="F5708" t="s">
        <v>1</v>
      </c>
      <c r="G5708" t="s">
        <v>2</v>
      </c>
      <c r="H5708" t="s">
        <v>1969</v>
      </c>
      <c r="Y5708" t="s">
        <v>26094</v>
      </c>
    </row>
    <row r="5709" spans="1:25" x14ac:dyDescent="0.25">
      <c r="A5709" t="str">
        <f>"17110031349"</f>
        <v>17110031349</v>
      </c>
      <c r="B5709" t="s">
        <v>88</v>
      </c>
      <c r="C5709" t="s">
        <v>26096</v>
      </c>
      <c r="D5709" t="s">
        <v>26095</v>
      </c>
      <c r="E5709">
        <v>424028</v>
      </c>
      <c r="F5709" t="s">
        <v>1</v>
      </c>
      <c r="G5709" t="s">
        <v>2</v>
      </c>
      <c r="H5709" t="s">
        <v>3628</v>
      </c>
      <c r="Y5709" t="s">
        <v>6934</v>
      </c>
    </row>
    <row r="5710" spans="1:25" x14ac:dyDescent="0.25">
      <c r="A5710" t="str">
        <f>"17137751400"</f>
        <v>17137751400</v>
      </c>
      <c r="B5710" t="s">
        <v>348</v>
      </c>
      <c r="C5710" t="s">
        <v>26100</v>
      </c>
      <c r="D5710" t="s">
        <v>26097</v>
      </c>
      <c r="E5710">
        <v>424032</v>
      </c>
      <c r="F5710" t="s">
        <v>1</v>
      </c>
      <c r="G5710" t="s">
        <v>2</v>
      </c>
      <c r="H5710" t="s">
        <v>15560</v>
      </c>
      <c r="I5710" t="s">
        <v>26098</v>
      </c>
      <c r="J5710" t="s">
        <v>26099</v>
      </c>
      <c r="P5710" t="s">
        <v>1404</v>
      </c>
      <c r="Q5710" t="s">
        <v>22776</v>
      </c>
      <c r="Y5710" t="s">
        <v>26101</v>
      </c>
    </row>
    <row r="5711" spans="1:25" x14ac:dyDescent="0.25">
      <c r="A5711" t="str">
        <f>"17141812033"</f>
        <v>17141812033</v>
      </c>
      <c r="B5711" t="s">
        <v>2104</v>
      </c>
      <c r="C5711" t="s">
        <v>2105</v>
      </c>
      <c r="D5711" t="s">
        <v>26102</v>
      </c>
      <c r="E5711">
        <v>424037</v>
      </c>
      <c r="F5711" t="s">
        <v>1</v>
      </c>
      <c r="G5711" t="s">
        <v>2</v>
      </c>
      <c r="H5711" t="s">
        <v>1849</v>
      </c>
      <c r="J5711" t="s">
        <v>26103</v>
      </c>
      <c r="P5711" t="s">
        <v>1642</v>
      </c>
      <c r="Y5711" t="s">
        <v>12620</v>
      </c>
    </row>
    <row r="5712" spans="1:25" x14ac:dyDescent="0.25">
      <c r="A5712" t="str">
        <f>"17218958161"</f>
        <v>17218958161</v>
      </c>
      <c r="B5712" t="s">
        <v>12698</v>
      </c>
      <c r="C5712" t="s">
        <v>26109</v>
      </c>
      <c r="D5712" t="s">
        <v>26104</v>
      </c>
      <c r="E5712">
        <v>424005</v>
      </c>
      <c r="F5712" t="s">
        <v>1</v>
      </c>
      <c r="G5712" t="s">
        <v>2</v>
      </c>
      <c r="H5712" t="s">
        <v>13</v>
      </c>
      <c r="I5712" t="s">
        <v>26105</v>
      </c>
      <c r="J5712" t="s">
        <v>26106</v>
      </c>
      <c r="L5712" t="s">
        <v>26107</v>
      </c>
      <c r="M5712" t="s">
        <v>26108</v>
      </c>
      <c r="P5712" t="s">
        <v>340</v>
      </c>
      <c r="Q5712" t="s">
        <v>26110</v>
      </c>
      <c r="V5712" t="s">
        <v>26111</v>
      </c>
      <c r="Y5712" t="s">
        <v>26112</v>
      </c>
    </row>
    <row r="5713" spans="1:25" x14ac:dyDescent="0.25">
      <c r="A5713" t="str">
        <f>"17228257156"</f>
        <v>17228257156</v>
      </c>
      <c r="B5713" t="s">
        <v>25</v>
      </c>
      <c r="C5713" t="s">
        <v>11919</v>
      </c>
      <c r="D5713" t="s">
        <v>26113</v>
      </c>
      <c r="E5713">
        <v>424006</v>
      </c>
      <c r="F5713" t="s">
        <v>1</v>
      </c>
      <c r="G5713" t="s">
        <v>2</v>
      </c>
      <c r="H5713" t="s">
        <v>2825</v>
      </c>
      <c r="I5713" t="s">
        <v>26114</v>
      </c>
      <c r="J5713" t="s">
        <v>26115</v>
      </c>
      <c r="K5713" t="s">
        <v>26116</v>
      </c>
      <c r="L5713" t="s">
        <v>26117</v>
      </c>
      <c r="M5713" t="s">
        <v>26118</v>
      </c>
      <c r="P5713" t="s">
        <v>235</v>
      </c>
      <c r="Q5713" t="s">
        <v>26119</v>
      </c>
      <c r="S5713" t="s">
        <v>26120</v>
      </c>
      <c r="T5713" t="s">
        <v>26121</v>
      </c>
      <c r="V5713" t="s">
        <v>26122</v>
      </c>
      <c r="Y5713" t="s">
        <v>26123</v>
      </c>
    </row>
    <row r="5714" spans="1:25" x14ac:dyDescent="0.25">
      <c r="A5714" t="str">
        <f>"17259719264"</f>
        <v>17259719264</v>
      </c>
      <c r="B5714" t="s">
        <v>574</v>
      </c>
      <c r="C5714" t="s">
        <v>23520</v>
      </c>
      <c r="D5714" t="s">
        <v>24426</v>
      </c>
      <c r="E5714">
        <v>424002</v>
      </c>
      <c r="F5714" t="s">
        <v>1</v>
      </c>
      <c r="G5714" t="s">
        <v>2</v>
      </c>
      <c r="H5714" t="s">
        <v>7367</v>
      </c>
      <c r="Y5714" t="s">
        <v>16306</v>
      </c>
    </row>
    <row r="5715" spans="1:25" x14ac:dyDescent="0.25">
      <c r="A5715" t="str">
        <f>"17262284723"</f>
        <v>17262284723</v>
      </c>
      <c r="B5715" t="s">
        <v>1475</v>
      </c>
      <c r="C5715" t="s">
        <v>1476</v>
      </c>
      <c r="D5715" t="s">
        <v>24488</v>
      </c>
      <c r="E5715">
        <v>424007</v>
      </c>
      <c r="F5715" t="s">
        <v>1</v>
      </c>
      <c r="G5715" t="s">
        <v>2</v>
      </c>
      <c r="H5715" t="s">
        <v>2168</v>
      </c>
      <c r="Y5715" t="s">
        <v>26124</v>
      </c>
    </row>
    <row r="5716" spans="1:25" x14ac:dyDescent="0.25">
      <c r="A5716" t="str">
        <f>"17264752274"</f>
        <v>17264752274</v>
      </c>
      <c r="B5716" t="s">
        <v>703</v>
      </c>
      <c r="C5716" t="s">
        <v>26126</v>
      </c>
      <c r="D5716" t="s">
        <v>26125</v>
      </c>
      <c r="F5716" t="s">
        <v>1</v>
      </c>
      <c r="G5716" t="s">
        <v>2</v>
      </c>
      <c r="H5716" t="s">
        <v>8610</v>
      </c>
      <c r="Y5716" t="s">
        <v>6841</v>
      </c>
    </row>
    <row r="5717" spans="1:25" x14ac:dyDescent="0.25">
      <c r="A5717" t="str">
        <f>"17269312387"</f>
        <v>17269312387</v>
      </c>
      <c r="B5717" t="s">
        <v>408</v>
      </c>
      <c r="C5717" t="s">
        <v>26131</v>
      </c>
      <c r="D5717" t="s">
        <v>26127</v>
      </c>
      <c r="E5717">
        <v>424031</v>
      </c>
      <c r="F5717" t="s">
        <v>1</v>
      </c>
      <c r="G5717" t="s">
        <v>2</v>
      </c>
      <c r="H5717" t="s">
        <v>2353</v>
      </c>
      <c r="J5717" t="s">
        <v>26128</v>
      </c>
      <c r="L5717" t="s">
        <v>26129</v>
      </c>
      <c r="M5717" t="s">
        <v>26130</v>
      </c>
      <c r="P5717" t="s">
        <v>26132</v>
      </c>
      <c r="V5717" t="s">
        <v>26133</v>
      </c>
      <c r="Y5717" t="s">
        <v>26134</v>
      </c>
    </row>
    <row r="5718" spans="1:25" x14ac:dyDescent="0.25">
      <c r="A5718" t="str">
        <f>"17292122255"</f>
        <v>17292122255</v>
      </c>
      <c r="B5718" t="s">
        <v>430</v>
      </c>
      <c r="C5718" t="s">
        <v>26137</v>
      </c>
      <c r="D5718" t="s">
        <v>26135</v>
      </c>
      <c r="E5718">
        <v>424000</v>
      </c>
      <c r="F5718" t="s">
        <v>1</v>
      </c>
      <c r="G5718" t="s">
        <v>2</v>
      </c>
      <c r="H5718" t="s">
        <v>12388</v>
      </c>
      <c r="I5718" t="s">
        <v>26136</v>
      </c>
      <c r="P5718" t="s">
        <v>26138</v>
      </c>
      <c r="Y5718" t="s">
        <v>26139</v>
      </c>
    </row>
    <row r="5719" spans="1:25" x14ac:dyDescent="0.25">
      <c r="A5719" t="str">
        <f>"17296959309"</f>
        <v>17296959309</v>
      </c>
      <c r="B5719" t="s">
        <v>530</v>
      </c>
      <c r="C5719" t="s">
        <v>23950</v>
      </c>
      <c r="D5719" t="s">
        <v>23950</v>
      </c>
      <c r="F5719" t="s">
        <v>1</v>
      </c>
      <c r="G5719" t="s">
        <v>2</v>
      </c>
      <c r="H5719" t="s">
        <v>25102</v>
      </c>
      <c r="Y5719" t="s">
        <v>26140</v>
      </c>
    </row>
    <row r="5720" spans="1:25" x14ac:dyDescent="0.25">
      <c r="A5720" t="str">
        <f>"17319237945"</f>
        <v>17319237945</v>
      </c>
      <c r="B5720" t="s">
        <v>841</v>
      </c>
      <c r="C5720" t="s">
        <v>11986</v>
      </c>
      <c r="D5720" t="s">
        <v>26141</v>
      </c>
      <c r="E5720">
        <v>424000</v>
      </c>
      <c r="F5720" t="s">
        <v>1</v>
      </c>
      <c r="G5720" t="s">
        <v>2</v>
      </c>
      <c r="H5720" t="s">
        <v>3749</v>
      </c>
      <c r="Y5720" t="s">
        <v>3754</v>
      </c>
    </row>
    <row r="5721" spans="1:25" x14ac:dyDescent="0.25">
      <c r="A5721" t="str">
        <f>"17336999107"</f>
        <v>17336999107</v>
      </c>
      <c r="B5721" t="s">
        <v>1046</v>
      </c>
      <c r="C5721" t="s">
        <v>13439</v>
      </c>
      <c r="D5721" t="s">
        <v>26142</v>
      </c>
      <c r="E5721">
        <v>424000</v>
      </c>
      <c r="F5721" t="s">
        <v>1</v>
      </c>
      <c r="G5721" t="s">
        <v>2</v>
      </c>
      <c r="H5721" t="s">
        <v>128</v>
      </c>
      <c r="Y5721" t="s">
        <v>26143</v>
      </c>
    </row>
    <row r="5722" spans="1:25" x14ac:dyDescent="0.25">
      <c r="A5722" t="str">
        <f>"17340937625"</f>
        <v>17340937625</v>
      </c>
      <c r="B5722" t="s">
        <v>1053</v>
      </c>
      <c r="C5722" t="s">
        <v>1927</v>
      </c>
      <c r="D5722" t="s">
        <v>26144</v>
      </c>
      <c r="E5722">
        <v>424000</v>
      </c>
      <c r="F5722" t="s">
        <v>1</v>
      </c>
      <c r="G5722" t="s">
        <v>2</v>
      </c>
      <c r="H5722" t="s">
        <v>5398</v>
      </c>
      <c r="I5722" t="s">
        <v>26145</v>
      </c>
      <c r="L5722" t="s">
        <v>26146</v>
      </c>
      <c r="M5722" t="s">
        <v>26147</v>
      </c>
      <c r="P5722" t="s">
        <v>27</v>
      </c>
      <c r="Y5722" t="s">
        <v>26148</v>
      </c>
    </row>
    <row r="5723" spans="1:25" x14ac:dyDescent="0.25">
      <c r="A5723" t="str">
        <f>"17342060965"</f>
        <v>17342060965</v>
      </c>
      <c r="B5723" t="s">
        <v>1152</v>
      </c>
      <c r="C5723" t="s">
        <v>1385</v>
      </c>
      <c r="D5723" t="s">
        <v>1385</v>
      </c>
      <c r="E5723">
        <v>424020</v>
      </c>
      <c r="F5723" t="s">
        <v>1</v>
      </c>
      <c r="G5723" t="s">
        <v>2</v>
      </c>
      <c r="H5723" t="s">
        <v>7063</v>
      </c>
      <c r="P5723" t="s">
        <v>26149</v>
      </c>
      <c r="Y5723" t="s">
        <v>26150</v>
      </c>
    </row>
    <row r="5724" spans="1:25" x14ac:dyDescent="0.25">
      <c r="A5724" t="str">
        <f>"17357106667"</f>
        <v>17357106667</v>
      </c>
      <c r="B5724" t="s">
        <v>1053</v>
      </c>
      <c r="C5724" t="s">
        <v>1927</v>
      </c>
      <c r="D5724" t="s">
        <v>26151</v>
      </c>
      <c r="E5724">
        <v>424036</v>
      </c>
      <c r="F5724" t="s">
        <v>1</v>
      </c>
      <c r="G5724" t="s">
        <v>2</v>
      </c>
      <c r="H5724" t="s">
        <v>5509</v>
      </c>
      <c r="I5724" t="s">
        <v>26152</v>
      </c>
      <c r="J5724" t="s">
        <v>26153</v>
      </c>
      <c r="P5724" t="s">
        <v>20</v>
      </c>
      <c r="Y5724" t="s">
        <v>5510</v>
      </c>
    </row>
    <row r="5725" spans="1:25" x14ac:dyDescent="0.25">
      <c r="A5725" t="str">
        <f>"17379535572"</f>
        <v>17379535572</v>
      </c>
      <c r="B5725" t="s">
        <v>123</v>
      </c>
      <c r="C5725" t="s">
        <v>196</v>
      </c>
      <c r="D5725" t="s">
        <v>26154</v>
      </c>
      <c r="E5725">
        <v>424031</v>
      </c>
      <c r="F5725" t="s">
        <v>1</v>
      </c>
      <c r="G5725" t="s">
        <v>2</v>
      </c>
      <c r="H5725" t="s">
        <v>12438</v>
      </c>
      <c r="L5725" t="s">
        <v>26155</v>
      </c>
      <c r="M5725" t="s">
        <v>26156</v>
      </c>
      <c r="P5725" t="s">
        <v>26157</v>
      </c>
      <c r="Q5725" t="s">
        <v>26158</v>
      </c>
      <c r="Y5725" t="s">
        <v>12440</v>
      </c>
    </row>
    <row r="5726" spans="1:25" x14ac:dyDescent="0.25">
      <c r="A5726" t="str">
        <f>"17393092045"</f>
        <v>17393092045</v>
      </c>
      <c r="B5726" t="s">
        <v>687</v>
      </c>
      <c r="C5726" t="s">
        <v>26162</v>
      </c>
      <c r="D5726" t="s">
        <v>26159</v>
      </c>
      <c r="E5726">
        <v>424031</v>
      </c>
      <c r="F5726" t="s">
        <v>1</v>
      </c>
      <c r="G5726" t="s">
        <v>2</v>
      </c>
      <c r="H5726" t="s">
        <v>1524</v>
      </c>
      <c r="J5726" t="s">
        <v>26160</v>
      </c>
      <c r="M5726" t="s">
        <v>26161</v>
      </c>
      <c r="P5726" t="s">
        <v>280</v>
      </c>
      <c r="Y5726" t="s">
        <v>5358</v>
      </c>
    </row>
    <row r="5727" spans="1:25" x14ac:dyDescent="0.25">
      <c r="A5727" t="str">
        <f>"17454736137"</f>
        <v>17454736137</v>
      </c>
      <c r="B5727" t="s">
        <v>1573</v>
      </c>
      <c r="C5727" t="s">
        <v>1817</v>
      </c>
      <c r="D5727" t="s">
        <v>24854</v>
      </c>
      <c r="E5727">
        <v>424028</v>
      </c>
      <c r="F5727" t="s">
        <v>1</v>
      </c>
      <c r="G5727" t="s">
        <v>2</v>
      </c>
      <c r="H5727" t="s">
        <v>3359</v>
      </c>
      <c r="Y5727" t="s">
        <v>26163</v>
      </c>
    </row>
    <row r="5728" spans="1:25" x14ac:dyDescent="0.25">
      <c r="A5728" t="str">
        <f>"17476867677"</f>
        <v>17476867677</v>
      </c>
      <c r="B5728" t="s">
        <v>930</v>
      </c>
      <c r="C5728" t="s">
        <v>999</v>
      </c>
      <c r="D5728" t="s">
        <v>26164</v>
      </c>
      <c r="E5728">
        <v>424913</v>
      </c>
      <c r="F5728" t="s">
        <v>1</v>
      </c>
      <c r="G5728" t="s">
        <v>2</v>
      </c>
      <c r="H5728" t="s">
        <v>22035</v>
      </c>
      <c r="I5728" t="s">
        <v>26165</v>
      </c>
      <c r="L5728" t="s">
        <v>26166</v>
      </c>
      <c r="M5728" t="s">
        <v>26167</v>
      </c>
      <c r="P5728" t="s">
        <v>15793</v>
      </c>
      <c r="Q5728" t="s">
        <v>26168</v>
      </c>
      <c r="V5728" t="s">
        <v>26169</v>
      </c>
      <c r="Y5728" t="s">
        <v>26170</v>
      </c>
    </row>
    <row r="5729" spans="1:25" x14ac:dyDescent="0.25">
      <c r="A5729" t="str">
        <f>"17500690150"</f>
        <v>17500690150</v>
      </c>
      <c r="B5729" t="s">
        <v>18</v>
      </c>
      <c r="C5729" t="s">
        <v>26173</v>
      </c>
      <c r="D5729" t="s">
        <v>26171</v>
      </c>
      <c r="F5729" t="s">
        <v>1</v>
      </c>
      <c r="G5729" t="s">
        <v>2</v>
      </c>
      <c r="H5729" t="s">
        <v>11761</v>
      </c>
      <c r="L5729" t="s">
        <v>3106</v>
      </c>
      <c r="M5729" t="s">
        <v>26172</v>
      </c>
      <c r="Y5729" t="s">
        <v>11764</v>
      </c>
    </row>
    <row r="5730" spans="1:25" x14ac:dyDescent="0.25">
      <c r="A5730" t="str">
        <f>"17534097271"</f>
        <v>17534097271</v>
      </c>
      <c r="B5730" t="s">
        <v>32</v>
      </c>
      <c r="C5730" t="s">
        <v>40</v>
      </c>
      <c r="D5730" t="s">
        <v>40</v>
      </c>
      <c r="E5730">
        <v>424005</v>
      </c>
      <c r="F5730" t="s">
        <v>1</v>
      </c>
      <c r="G5730" t="s">
        <v>2</v>
      </c>
      <c r="H5730" t="s">
        <v>6843</v>
      </c>
      <c r="P5730" t="s">
        <v>13450</v>
      </c>
      <c r="Y5730" t="s">
        <v>26174</v>
      </c>
    </row>
    <row r="5731" spans="1:25" x14ac:dyDescent="0.25">
      <c r="A5731" t="str">
        <f>"17547756175"</f>
        <v>17547756175</v>
      </c>
      <c r="B5731" t="s">
        <v>574</v>
      </c>
      <c r="C5731" t="s">
        <v>26178</v>
      </c>
      <c r="D5731" t="s">
        <v>26175</v>
      </c>
      <c r="E5731">
        <v>424000</v>
      </c>
      <c r="F5731" t="s">
        <v>1</v>
      </c>
      <c r="G5731" t="s">
        <v>2</v>
      </c>
      <c r="H5731" t="s">
        <v>4726</v>
      </c>
      <c r="J5731" t="s">
        <v>26176</v>
      </c>
      <c r="M5731" t="s">
        <v>26177</v>
      </c>
      <c r="P5731" t="s">
        <v>1027</v>
      </c>
      <c r="V5731" t="s">
        <v>26179</v>
      </c>
      <c r="Y5731" t="s">
        <v>26180</v>
      </c>
    </row>
    <row r="5732" spans="1:25" x14ac:dyDescent="0.25">
      <c r="A5732" t="str">
        <f>"17556262662"</f>
        <v>17556262662</v>
      </c>
      <c r="B5732" t="s">
        <v>738</v>
      </c>
      <c r="C5732" t="s">
        <v>26183</v>
      </c>
      <c r="D5732" t="s">
        <v>26181</v>
      </c>
      <c r="F5732" t="s">
        <v>1</v>
      </c>
      <c r="G5732" t="s">
        <v>2</v>
      </c>
      <c r="H5732" t="s">
        <v>12610</v>
      </c>
      <c r="I5732" t="s">
        <v>26182</v>
      </c>
      <c r="P5732" t="s">
        <v>2580</v>
      </c>
      <c r="Y5732" t="s">
        <v>26184</v>
      </c>
    </row>
    <row r="5733" spans="1:25" x14ac:dyDescent="0.25">
      <c r="A5733" t="str">
        <f>"17594654579"</f>
        <v>17594654579</v>
      </c>
      <c r="B5733" t="s">
        <v>379</v>
      </c>
      <c r="C5733" t="s">
        <v>380</v>
      </c>
      <c r="D5733" t="s">
        <v>8393</v>
      </c>
      <c r="E5733">
        <v>424038</v>
      </c>
      <c r="F5733" t="s">
        <v>1</v>
      </c>
      <c r="G5733" t="s">
        <v>2</v>
      </c>
      <c r="H5733" t="s">
        <v>7597</v>
      </c>
      <c r="I5733" t="s">
        <v>8859</v>
      </c>
      <c r="L5733" t="s">
        <v>8395</v>
      </c>
      <c r="M5733" t="s">
        <v>8396</v>
      </c>
      <c r="P5733" t="s">
        <v>98</v>
      </c>
      <c r="Q5733" t="s">
        <v>8412</v>
      </c>
      <c r="R5733" t="s">
        <v>8399</v>
      </c>
      <c r="S5733" t="s">
        <v>8400</v>
      </c>
      <c r="T5733" t="s">
        <v>8401</v>
      </c>
      <c r="Y5733" t="s">
        <v>26185</v>
      </c>
    </row>
    <row r="5734" spans="1:25" x14ac:dyDescent="0.25">
      <c r="A5734" t="str">
        <f>"17623914394"</f>
        <v>17623914394</v>
      </c>
      <c r="B5734" t="s">
        <v>1152</v>
      </c>
      <c r="C5734" t="s">
        <v>20846</v>
      </c>
      <c r="D5734" t="s">
        <v>26186</v>
      </c>
      <c r="E5734">
        <v>424003</v>
      </c>
      <c r="F5734" t="s">
        <v>1</v>
      </c>
      <c r="G5734" t="s">
        <v>2</v>
      </c>
      <c r="H5734" t="s">
        <v>26187</v>
      </c>
      <c r="J5734" t="s">
        <v>26188</v>
      </c>
      <c r="P5734" t="s">
        <v>399</v>
      </c>
      <c r="Y5734" t="s">
        <v>5427</v>
      </c>
    </row>
    <row r="5735" spans="1:25" x14ac:dyDescent="0.25">
      <c r="A5735" t="str">
        <f>"17642834720"</f>
        <v>17642834720</v>
      </c>
      <c r="B5735" t="s">
        <v>1152</v>
      </c>
      <c r="C5735" t="s">
        <v>4682</v>
      </c>
      <c r="D5735" t="s">
        <v>5125</v>
      </c>
      <c r="E5735">
        <v>424038</v>
      </c>
      <c r="F5735" t="s">
        <v>1</v>
      </c>
      <c r="G5735" t="s">
        <v>2</v>
      </c>
      <c r="H5735" t="s">
        <v>9930</v>
      </c>
      <c r="I5735" t="s">
        <v>26189</v>
      </c>
      <c r="J5735" t="s">
        <v>26190</v>
      </c>
      <c r="P5735" t="s">
        <v>17269</v>
      </c>
      <c r="V5735" t="s">
        <v>26191</v>
      </c>
      <c r="Y5735" t="s">
        <v>13829</v>
      </c>
    </row>
    <row r="5736" spans="1:25" x14ac:dyDescent="0.25">
      <c r="A5736" t="str">
        <f>"17713908800"</f>
        <v>17713908800</v>
      </c>
      <c r="B5736" t="s">
        <v>930</v>
      </c>
      <c r="C5736" t="s">
        <v>26194</v>
      </c>
      <c r="D5736" t="s">
        <v>26192</v>
      </c>
      <c r="E5736">
        <v>424031</v>
      </c>
      <c r="F5736" t="s">
        <v>1</v>
      </c>
      <c r="G5736" t="s">
        <v>2</v>
      </c>
      <c r="H5736" t="s">
        <v>239</v>
      </c>
      <c r="J5736" t="s">
        <v>26193</v>
      </c>
      <c r="P5736" t="s">
        <v>330</v>
      </c>
      <c r="Y5736" t="s">
        <v>246</v>
      </c>
    </row>
    <row r="5737" spans="1:25" x14ac:dyDescent="0.25">
      <c r="A5737" t="str">
        <f>"17769716356"</f>
        <v>17769716356</v>
      </c>
      <c r="B5737" t="s">
        <v>188</v>
      </c>
      <c r="C5737" t="s">
        <v>8311</v>
      </c>
      <c r="D5737" t="s">
        <v>26195</v>
      </c>
      <c r="E5737">
        <v>424006</v>
      </c>
      <c r="F5737" t="s">
        <v>1</v>
      </c>
      <c r="G5737" t="s">
        <v>2</v>
      </c>
      <c r="H5737" t="s">
        <v>2185</v>
      </c>
      <c r="I5737" t="s">
        <v>26196</v>
      </c>
      <c r="M5737" t="s">
        <v>26197</v>
      </c>
      <c r="P5737" t="s">
        <v>98</v>
      </c>
      <c r="Y5737" t="s">
        <v>2191</v>
      </c>
    </row>
    <row r="5738" spans="1:25" x14ac:dyDescent="0.25">
      <c r="A5738" t="str">
        <f>"17774706138"</f>
        <v>17774706138</v>
      </c>
      <c r="B5738" t="s">
        <v>978</v>
      </c>
      <c r="C5738" t="s">
        <v>7568</v>
      </c>
      <c r="D5738" t="s">
        <v>26198</v>
      </c>
      <c r="E5738">
        <v>424002</v>
      </c>
      <c r="F5738" t="s">
        <v>1</v>
      </c>
      <c r="G5738" t="s">
        <v>2</v>
      </c>
      <c r="H5738" t="s">
        <v>57</v>
      </c>
      <c r="J5738" t="s">
        <v>26199</v>
      </c>
      <c r="L5738" t="s">
        <v>26200</v>
      </c>
      <c r="M5738" t="s">
        <v>26201</v>
      </c>
      <c r="P5738" t="s">
        <v>2710</v>
      </c>
      <c r="Q5738" t="s">
        <v>26202</v>
      </c>
      <c r="Y5738" t="s">
        <v>3783</v>
      </c>
    </row>
    <row r="5739" spans="1:25" x14ac:dyDescent="0.25">
      <c r="A5739" t="str">
        <f>"17801352536"</f>
        <v>17801352536</v>
      </c>
      <c r="B5739" t="s">
        <v>300</v>
      </c>
      <c r="C5739" t="s">
        <v>8910</v>
      </c>
      <c r="D5739" t="s">
        <v>26203</v>
      </c>
      <c r="E5739">
        <v>424007</v>
      </c>
      <c r="F5739" t="s">
        <v>1</v>
      </c>
      <c r="G5739" t="s">
        <v>2</v>
      </c>
      <c r="H5739" t="s">
        <v>5281</v>
      </c>
      <c r="I5739" t="s">
        <v>26204</v>
      </c>
      <c r="L5739" t="s">
        <v>9116</v>
      </c>
      <c r="M5739" t="s">
        <v>26205</v>
      </c>
      <c r="P5739" t="s">
        <v>7826</v>
      </c>
      <c r="V5739" t="s">
        <v>26206</v>
      </c>
      <c r="Y5739" t="s">
        <v>6460</v>
      </c>
    </row>
    <row r="5740" spans="1:25" x14ac:dyDescent="0.25">
      <c r="A5740" t="str">
        <f>"17826010342"</f>
        <v>17826010342</v>
      </c>
      <c r="B5740" t="s">
        <v>18</v>
      </c>
      <c r="C5740" t="s">
        <v>2593</v>
      </c>
      <c r="D5740" t="s">
        <v>26207</v>
      </c>
      <c r="E5740">
        <v>424032</v>
      </c>
      <c r="F5740" t="s">
        <v>1</v>
      </c>
      <c r="G5740" t="s">
        <v>2</v>
      </c>
      <c r="H5740" t="s">
        <v>7410</v>
      </c>
      <c r="I5740" t="s">
        <v>26208</v>
      </c>
      <c r="J5740" t="s">
        <v>26209</v>
      </c>
      <c r="P5740" t="s">
        <v>152</v>
      </c>
      <c r="Y5740" t="s">
        <v>17267</v>
      </c>
    </row>
    <row r="5741" spans="1:25" x14ac:dyDescent="0.25">
      <c r="A5741" t="str">
        <f>"17839858301"</f>
        <v>17839858301</v>
      </c>
      <c r="B5741" t="s">
        <v>96</v>
      </c>
      <c r="C5741" t="s">
        <v>659</v>
      </c>
      <c r="D5741" t="s">
        <v>26210</v>
      </c>
      <c r="E5741">
        <v>424002</v>
      </c>
      <c r="F5741" t="s">
        <v>1</v>
      </c>
      <c r="G5741" t="s">
        <v>2</v>
      </c>
      <c r="H5741" t="s">
        <v>3421</v>
      </c>
      <c r="Y5741" t="s">
        <v>26211</v>
      </c>
    </row>
    <row r="5742" spans="1:25" x14ac:dyDescent="0.25">
      <c r="A5742" t="str">
        <f>"17856730972"</f>
        <v>17856730972</v>
      </c>
      <c r="B5742" t="s">
        <v>1053</v>
      </c>
      <c r="C5742" t="s">
        <v>1927</v>
      </c>
      <c r="D5742" t="s">
        <v>26212</v>
      </c>
      <c r="E5742">
        <v>424004</v>
      </c>
      <c r="F5742" t="s">
        <v>1</v>
      </c>
      <c r="G5742" t="s">
        <v>2</v>
      </c>
      <c r="H5742" t="s">
        <v>906</v>
      </c>
      <c r="Y5742" t="s">
        <v>7005</v>
      </c>
    </row>
    <row r="5743" spans="1:25" x14ac:dyDescent="0.25">
      <c r="A5743" t="str">
        <f>"17862929291"</f>
        <v>17862929291</v>
      </c>
      <c r="B5743" t="s">
        <v>243</v>
      </c>
      <c r="C5743" t="s">
        <v>244</v>
      </c>
      <c r="D5743" t="s">
        <v>26213</v>
      </c>
      <c r="E5743">
        <v>424000</v>
      </c>
      <c r="F5743" t="s">
        <v>1</v>
      </c>
      <c r="G5743" t="s">
        <v>2</v>
      </c>
      <c r="H5743" t="s">
        <v>2206</v>
      </c>
      <c r="I5743" t="s">
        <v>26214</v>
      </c>
      <c r="P5743" t="s">
        <v>9</v>
      </c>
      <c r="Y5743" t="s">
        <v>26215</v>
      </c>
    </row>
    <row r="5744" spans="1:25" x14ac:dyDescent="0.25">
      <c r="A5744" t="str">
        <f>"17874309160"</f>
        <v>17874309160</v>
      </c>
      <c r="B5744" t="s">
        <v>1573</v>
      </c>
      <c r="C5744" t="s">
        <v>24508</v>
      </c>
      <c r="D5744" t="s">
        <v>24854</v>
      </c>
      <c r="E5744">
        <v>424038</v>
      </c>
      <c r="F5744" t="s">
        <v>1</v>
      </c>
      <c r="G5744" t="s">
        <v>2</v>
      </c>
      <c r="H5744" t="s">
        <v>16808</v>
      </c>
      <c r="I5744" t="s">
        <v>3279</v>
      </c>
      <c r="L5744" t="s">
        <v>3280</v>
      </c>
      <c r="M5744" t="s">
        <v>3281</v>
      </c>
      <c r="P5744" t="s">
        <v>216</v>
      </c>
      <c r="Y5744" t="s">
        <v>26216</v>
      </c>
    </row>
    <row r="5745" spans="1:25" x14ac:dyDescent="0.25">
      <c r="A5745" t="str">
        <f>"17884234100"</f>
        <v>17884234100</v>
      </c>
      <c r="B5745" t="s">
        <v>117</v>
      </c>
      <c r="C5745" t="s">
        <v>118</v>
      </c>
      <c r="D5745" t="s">
        <v>26217</v>
      </c>
      <c r="F5745" t="s">
        <v>1</v>
      </c>
      <c r="G5745" t="s">
        <v>2</v>
      </c>
      <c r="H5745" t="s">
        <v>26218</v>
      </c>
      <c r="Y5745" t="s">
        <v>26219</v>
      </c>
    </row>
    <row r="5746" spans="1:25" x14ac:dyDescent="0.25">
      <c r="A5746" t="str">
        <f>"17900482937"</f>
        <v>17900482937</v>
      </c>
      <c r="B5746" t="s">
        <v>160</v>
      </c>
      <c r="C5746" t="s">
        <v>2479</v>
      </c>
      <c r="D5746" t="s">
        <v>26220</v>
      </c>
      <c r="E5746">
        <v>424005</v>
      </c>
      <c r="F5746" t="s">
        <v>1</v>
      </c>
      <c r="G5746" t="s">
        <v>2</v>
      </c>
      <c r="H5746" t="s">
        <v>26221</v>
      </c>
      <c r="Y5746" t="s">
        <v>26222</v>
      </c>
    </row>
    <row r="5747" spans="1:25" x14ac:dyDescent="0.25">
      <c r="A5747" t="str">
        <f>"17900695959"</f>
        <v>17900695959</v>
      </c>
      <c r="B5747" t="s">
        <v>888</v>
      </c>
      <c r="C5747" t="s">
        <v>7389</v>
      </c>
      <c r="D5747" t="s">
        <v>26223</v>
      </c>
      <c r="E5747">
        <v>424006</v>
      </c>
      <c r="F5747" t="s">
        <v>1</v>
      </c>
      <c r="G5747" t="s">
        <v>2</v>
      </c>
      <c r="H5747" t="s">
        <v>830</v>
      </c>
      <c r="I5747" t="s">
        <v>12741</v>
      </c>
      <c r="P5747" t="s">
        <v>7221</v>
      </c>
      <c r="Y5747" t="s">
        <v>26224</v>
      </c>
    </row>
    <row r="5748" spans="1:25" x14ac:dyDescent="0.25">
      <c r="A5748" t="str">
        <f>"17994293887"</f>
        <v>17994293887</v>
      </c>
      <c r="B5748" t="s">
        <v>1315</v>
      </c>
      <c r="C5748" t="s">
        <v>26229</v>
      </c>
      <c r="D5748" t="s">
        <v>26225</v>
      </c>
      <c r="E5748">
        <v>424016</v>
      </c>
      <c r="F5748" t="s">
        <v>1</v>
      </c>
      <c r="G5748" t="s">
        <v>2</v>
      </c>
      <c r="H5748" t="s">
        <v>5202</v>
      </c>
      <c r="J5748" t="s">
        <v>26226</v>
      </c>
      <c r="L5748" t="s">
        <v>26227</v>
      </c>
      <c r="M5748" t="s">
        <v>26228</v>
      </c>
      <c r="Y5748" t="s">
        <v>5210</v>
      </c>
    </row>
    <row r="5749" spans="1:25" x14ac:dyDescent="0.25">
      <c r="A5749" t="str">
        <f>"18016281062"</f>
        <v>18016281062</v>
      </c>
      <c r="B5749" t="s">
        <v>348</v>
      </c>
      <c r="C5749" t="s">
        <v>18793</v>
      </c>
      <c r="D5749" t="s">
        <v>26230</v>
      </c>
      <c r="E5749">
        <v>424007</v>
      </c>
      <c r="F5749" t="s">
        <v>1</v>
      </c>
      <c r="G5749" t="s">
        <v>2</v>
      </c>
      <c r="H5749" t="s">
        <v>26231</v>
      </c>
      <c r="J5749" t="s">
        <v>26232</v>
      </c>
      <c r="P5749" t="s">
        <v>4049</v>
      </c>
      <c r="Y5749" t="s">
        <v>26233</v>
      </c>
    </row>
    <row r="5750" spans="1:25" x14ac:dyDescent="0.25">
      <c r="A5750" t="str">
        <f>"18034668861"</f>
        <v>18034668861</v>
      </c>
      <c r="B5750" t="s">
        <v>160</v>
      </c>
      <c r="C5750" t="s">
        <v>2327</v>
      </c>
      <c r="D5750" t="s">
        <v>26234</v>
      </c>
      <c r="E5750">
        <v>424007</v>
      </c>
      <c r="F5750" t="s">
        <v>1</v>
      </c>
      <c r="G5750" t="s">
        <v>2</v>
      </c>
      <c r="H5750" t="s">
        <v>18643</v>
      </c>
      <c r="Y5750" t="s">
        <v>18646</v>
      </c>
    </row>
    <row r="5751" spans="1:25" x14ac:dyDescent="0.25">
      <c r="A5751" t="str">
        <f>"18043894459"</f>
        <v>18043894459</v>
      </c>
      <c r="B5751" t="s">
        <v>1343</v>
      </c>
      <c r="C5751" t="s">
        <v>1344</v>
      </c>
      <c r="D5751" t="s">
        <v>26235</v>
      </c>
      <c r="E5751">
        <v>424033</v>
      </c>
      <c r="F5751" t="s">
        <v>1</v>
      </c>
      <c r="G5751" t="s">
        <v>2</v>
      </c>
      <c r="H5751" t="s">
        <v>76</v>
      </c>
      <c r="Y5751" t="s">
        <v>26236</v>
      </c>
    </row>
    <row r="5752" spans="1:25" x14ac:dyDescent="0.25">
      <c r="A5752" t="str">
        <f>"18069941742"</f>
        <v>18069941742</v>
      </c>
      <c r="B5752" t="s">
        <v>96</v>
      </c>
      <c r="C5752" t="s">
        <v>893</v>
      </c>
      <c r="D5752" t="s">
        <v>26237</v>
      </c>
      <c r="E5752">
        <v>424918</v>
      </c>
      <c r="F5752" t="s">
        <v>1</v>
      </c>
      <c r="G5752" t="s">
        <v>2</v>
      </c>
      <c r="H5752" t="s">
        <v>629</v>
      </c>
      <c r="P5752" t="s">
        <v>630</v>
      </c>
      <c r="Y5752" t="s">
        <v>26238</v>
      </c>
    </row>
    <row r="5753" spans="1:25" x14ac:dyDescent="0.25">
      <c r="A5753" t="str">
        <f>"18102864837"</f>
        <v>18102864837</v>
      </c>
      <c r="B5753" t="s">
        <v>574</v>
      </c>
      <c r="C5753" t="s">
        <v>8884</v>
      </c>
      <c r="D5753" t="s">
        <v>24813</v>
      </c>
      <c r="E5753">
        <v>424019</v>
      </c>
      <c r="F5753" t="s">
        <v>1</v>
      </c>
      <c r="G5753" t="s">
        <v>2</v>
      </c>
      <c r="H5753" t="s">
        <v>7863</v>
      </c>
      <c r="J5753" t="s">
        <v>26239</v>
      </c>
      <c r="L5753" t="s">
        <v>26240</v>
      </c>
      <c r="M5753" t="s">
        <v>8883</v>
      </c>
      <c r="P5753" t="s">
        <v>26241</v>
      </c>
      <c r="Q5753" t="s">
        <v>8886</v>
      </c>
      <c r="T5753" t="s">
        <v>8887</v>
      </c>
      <c r="V5753" t="s">
        <v>8888</v>
      </c>
      <c r="Y5753" t="s">
        <v>26242</v>
      </c>
    </row>
    <row r="5754" spans="1:25" x14ac:dyDescent="0.25">
      <c r="A5754" t="str">
        <f>"18106547373"</f>
        <v>18106547373</v>
      </c>
      <c r="B5754" t="s">
        <v>654</v>
      </c>
      <c r="C5754" t="s">
        <v>21243</v>
      </c>
      <c r="D5754" t="s">
        <v>26243</v>
      </c>
      <c r="E5754">
        <v>424004</v>
      </c>
      <c r="F5754" t="s">
        <v>1</v>
      </c>
      <c r="G5754" t="s">
        <v>2</v>
      </c>
      <c r="H5754" t="s">
        <v>3489</v>
      </c>
      <c r="J5754" t="s">
        <v>26244</v>
      </c>
      <c r="P5754" t="s">
        <v>3690</v>
      </c>
      <c r="Y5754" t="s">
        <v>8402</v>
      </c>
    </row>
    <row r="5755" spans="1:25" x14ac:dyDescent="0.25">
      <c r="A5755" t="str">
        <f>"18140911388"</f>
        <v>18140911388</v>
      </c>
      <c r="B5755" t="s">
        <v>1343</v>
      </c>
      <c r="C5755" t="s">
        <v>13544</v>
      </c>
      <c r="D5755" t="s">
        <v>26245</v>
      </c>
      <c r="E5755">
        <v>424007</v>
      </c>
      <c r="F5755" t="s">
        <v>1</v>
      </c>
      <c r="G5755" t="s">
        <v>2</v>
      </c>
      <c r="H5755" t="s">
        <v>6164</v>
      </c>
      <c r="Y5755" t="s">
        <v>26246</v>
      </c>
    </row>
    <row r="5756" spans="1:25" x14ac:dyDescent="0.25">
      <c r="A5756" t="str">
        <f>"18186373002"</f>
        <v>18186373002</v>
      </c>
      <c r="B5756" t="s">
        <v>574</v>
      </c>
      <c r="C5756" t="s">
        <v>25422</v>
      </c>
      <c r="D5756" t="s">
        <v>4221</v>
      </c>
      <c r="E5756">
        <v>424016</v>
      </c>
      <c r="F5756" t="s">
        <v>1</v>
      </c>
      <c r="G5756" t="s">
        <v>2</v>
      </c>
      <c r="H5756" t="s">
        <v>26247</v>
      </c>
      <c r="Y5756" t="s">
        <v>26248</v>
      </c>
    </row>
    <row r="5757" spans="1:25" x14ac:dyDescent="0.25">
      <c r="A5757" t="str">
        <f>"18256779804"</f>
        <v>18256779804</v>
      </c>
      <c r="B5757" t="s">
        <v>1611</v>
      </c>
      <c r="C5757" t="s">
        <v>26250</v>
      </c>
      <c r="D5757" t="s">
        <v>26249</v>
      </c>
      <c r="E5757">
        <v>424005</v>
      </c>
      <c r="F5757" t="s">
        <v>1</v>
      </c>
      <c r="G5757" t="s">
        <v>2</v>
      </c>
      <c r="H5757" t="s">
        <v>11683</v>
      </c>
      <c r="Y5757" t="s">
        <v>26251</v>
      </c>
    </row>
    <row r="5758" spans="1:25" x14ac:dyDescent="0.25">
      <c r="A5758" t="str">
        <f>"18279707434"</f>
        <v>18279707434</v>
      </c>
      <c r="B5758" t="s">
        <v>574</v>
      </c>
      <c r="C5758" t="s">
        <v>21805</v>
      </c>
      <c r="D5758" t="s">
        <v>24214</v>
      </c>
      <c r="E5758">
        <v>424033</v>
      </c>
      <c r="F5758" t="s">
        <v>1</v>
      </c>
      <c r="G5758" t="s">
        <v>2</v>
      </c>
      <c r="H5758" t="s">
        <v>10720</v>
      </c>
      <c r="J5758" t="s">
        <v>24215</v>
      </c>
      <c r="P5758" t="s">
        <v>216</v>
      </c>
      <c r="Y5758" t="s">
        <v>26252</v>
      </c>
    </row>
    <row r="5759" spans="1:25" x14ac:dyDescent="0.25">
      <c r="A5759" t="str">
        <f>"18281511575"</f>
        <v>18281511575</v>
      </c>
      <c r="B5759" t="s">
        <v>456</v>
      </c>
      <c r="C5759" t="s">
        <v>2773</v>
      </c>
      <c r="D5759" t="s">
        <v>26253</v>
      </c>
      <c r="E5759">
        <v>424006</v>
      </c>
      <c r="F5759" t="s">
        <v>1</v>
      </c>
      <c r="G5759" t="s">
        <v>2</v>
      </c>
      <c r="H5759" t="s">
        <v>478</v>
      </c>
      <c r="J5759" t="s">
        <v>26254</v>
      </c>
      <c r="L5759" t="s">
        <v>26255</v>
      </c>
      <c r="M5759" t="s">
        <v>26256</v>
      </c>
      <c r="P5759" t="s">
        <v>133</v>
      </c>
      <c r="Q5759" t="s">
        <v>26257</v>
      </c>
      <c r="V5759" t="s">
        <v>26258</v>
      </c>
      <c r="Y5759" t="s">
        <v>26259</v>
      </c>
    </row>
    <row r="5760" spans="1:25" x14ac:dyDescent="0.25">
      <c r="A5760" t="str">
        <f>"18336139053"</f>
        <v>18336139053</v>
      </c>
      <c r="B5760" t="s">
        <v>32</v>
      </c>
      <c r="C5760" t="s">
        <v>20137</v>
      </c>
      <c r="D5760" t="s">
        <v>26260</v>
      </c>
      <c r="E5760">
        <v>424000</v>
      </c>
      <c r="F5760" t="s">
        <v>1</v>
      </c>
      <c r="G5760" t="s">
        <v>2</v>
      </c>
      <c r="H5760" t="s">
        <v>4648</v>
      </c>
      <c r="Y5760" t="s">
        <v>4649</v>
      </c>
    </row>
    <row r="5761" spans="1:25" x14ac:dyDescent="0.25">
      <c r="A5761" t="str">
        <f>"18346815850"</f>
        <v>18346815850</v>
      </c>
      <c r="B5761" t="s">
        <v>408</v>
      </c>
      <c r="C5761" t="s">
        <v>25792</v>
      </c>
      <c r="D5761" t="s">
        <v>25790</v>
      </c>
      <c r="E5761">
        <v>424002</v>
      </c>
      <c r="F5761" t="s">
        <v>1</v>
      </c>
      <c r="G5761" t="s">
        <v>2</v>
      </c>
      <c r="H5761" t="s">
        <v>12089</v>
      </c>
      <c r="Y5761" t="s">
        <v>26261</v>
      </c>
    </row>
    <row r="5762" spans="1:25" x14ac:dyDescent="0.25">
      <c r="A5762" t="str">
        <f>"18355678440"</f>
        <v>18355678440</v>
      </c>
      <c r="B5762" t="s">
        <v>6609</v>
      </c>
      <c r="C5762" t="s">
        <v>26266</v>
      </c>
      <c r="D5762" t="s">
        <v>26262</v>
      </c>
      <c r="E5762">
        <v>424006</v>
      </c>
      <c r="F5762" t="s">
        <v>1</v>
      </c>
      <c r="G5762" t="s">
        <v>2</v>
      </c>
      <c r="H5762" t="s">
        <v>8622</v>
      </c>
      <c r="I5762" t="s">
        <v>26263</v>
      </c>
      <c r="L5762" t="s">
        <v>26264</v>
      </c>
      <c r="M5762" t="s">
        <v>26265</v>
      </c>
      <c r="P5762" t="s">
        <v>280</v>
      </c>
      <c r="Y5762" t="s">
        <v>8866</v>
      </c>
    </row>
    <row r="5763" spans="1:25" x14ac:dyDescent="0.25">
      <c r="A5763" t="str">
        <f>"18396138952"</f>
        <v>18396138952</v>
      </c>
      <c r="B5763" t="s">
        <v>224</v>
      </c>
      <c r="C5763" t="s">
        <v>26269</v>
      </c>
      <c r="D5763" t="s">
        <v>26267</v>
      </c>
      <c r="E5763">
        <v>424003</v>
      </c>
      <c r="F5763" t="s">
        <v>1</v>
      </c>
      <c r="G5763" t="s">
        <v>2</v>
      </c>
      <c r="H5763" t="s">
        <v>15073</v>
      </c>
      <c r="J5763" t="s">
        <v>26268</v>
      </c>
      <c r="P5763" t="s">
        <v>10212</v>
      </c>
      <c r="Q5763" t="s">
        <v>26270</v>
      </c>
      <c r="Y5763" t="s">
        <v>26271</v>
      </c>
    </row>
    <row r="5764" spans="1:25" x14ac:dyDescent="0.25">
      <c r="A5764" t="str">
        <f>"18429491100"</f>
        <v>18429491100</v>
      </c>
      <c r="B5764" t="s">
        <v>1046</v>
      </c>
      <c r="C5764" t="s">
        <v>22946</v>
      </c>
      <c r="D5764" t="s">
        <v>22946</v>
      </c>
      <c r="F5764" t="s">
        <v>1</v>
      </c>
      <c r="G5764" t="s">
        <v>2</v>
      </c>
      <c r="H5764" t="s">
        <v>26272</v>
      </c>
      <c r="Y5764" t="s">
        <v>26273</v>
      </c>
    </row>
    <row r="5765" spans="1:25" x14ac:dyDescent="0.25">
      <c r="A5765" t="str">
        <f>"18483168152"</f>
        <v>18483168152</v>
      </c>
      <c r="B5765" t="s">
        <v>519</v>
      </c>
      <c r="C5765" t="s">
        <v>26279</v>
      </c>
      <c r="D5765" t="s">
        <v>26274</v>
      </c>
      <c r="E5765">
        <v>424032</v>
      </c>
      <c r="F5765" t="s">
        <v>1</v>
      </c>
      <c r="G5765" t="s">
        <v>2</v>
      </c>
      <c r="H5765" t="s">
        <v>6220</v>
      </c>
      <c r="I5765" t="s">
        <v>26275</v>
      </c>
      <c r="J5765" t="s">
        <v>26276</v>
      </c>
      <c r="L5765" t="s">
        <v>26277</v>
      </c>
      <c r="M5765" t="s">
        <v>26278</v>
      </c>
      <c r="P5765" t="s">
        <v>15955</v>
      </c>
      <c r="Y5765" t="s">
        <v>6223</v>
      </c>
    </row>
    <row r="5766" spans="1:25" x14ac:dyDescent="0.25">
      <c r="A5766" t="str">
        <f>"18497331157"</f>
        <v>18497331157</v>
      </c>
      <c r="B5766" t="s">
        <v>243</v>
      </c>
      <c r="C5766" t="s">
        <v>2538</v>
      </c>
      <c r="D5766" t="s">
        <v>26280</v>
      </c>
      <c r="E5766">
        <v>424028</v>
      </c>
      <c r="F5766" t="s">
        <v>1</v>
      </c>
      <c r="G5766" t="s">
        <v>2</v>
      </c>
      <c r="H5766" t="s">
        <v>26281</v>
      </c>
      <c r="Y5766" t="s">
        <v>26282</v>
      </c>
    </row>
    <row r="5767" spans="1:25" x14ac:dyDescent="0.25">
      <c r="A5767" t="str">
        <f>"18516975899"</f>
        <v>18516975899</v>
      </c>
      <c r="B5767" t="s">
        <v>25</v>
      </c>
      <c r="C5767" t="s">
        <v>20320</v>
      </c>
      <c r="D5767" t="s">
        <v>26283</v>
      </c>
      <c r="E5767">
        <v>424039</v>
      </c>
      <c r="F5767" t="s">
        <v>1</v>
      </c>
      <c r="G5767" t="s">
        <v>2</v>
      </c>
      <c r="H5767" t="s">
        <v>2729</v>
      </c>
      <c r="Y5767" t="s">
        <v>26284</v>
      </c>
    </row>
    <row r="5768" spans="1:25" x14ac:dyDescent="0.25">
      <c r="A5768" t="str">
        <f>"18545704661"</f>
        <v>18545704661</v>
      </c>
      <c r="B5768" t="s">
        <v>290</v>
      </c>
      <c r="C5768" t="s">
        <v>290</v>
      </c>
      <c r="D5768" t="s">
        <v>26285</v>
      </c>
      <c r="E5768">
        <v>424000</v>
      </c>
      <c r="F5768" t="s">
        <v>1</v>
      </c>
      <c r="G5768" t="s">
        <v>2</v>
      </c>
      <c r="H5768" t="s">
        <v>7709</v>
      </c>
      <c r="J5768" t="s">
        <v>26286</v>
      </c>
      <c r="L5768" t="s">
        <v>26287</v>
      </c>
      <c r="M5768" t="s">
        <v>26288</v>
      </c>
      <c r="P5768" t="s">
        <v>26289</v>
      </c>
      <c r="V5768" t="s">
        <v>26290</v>
      </c>
      <c r="Y5768" t="s">
        <v>26291</v>
      </c>
    </row>
    <row r="5769" spans="1:25" x14ac:dyDescent="0.25">
      <c r="A5769" t="str">
        <f>"18551981951"</f>
        <v>18551981951</v>
      </c>
      <c r="B5769" t="s">
        <v>1323</v>
      </c>
      <c r="C5769" t="s">
        <v>1324</v>
      </c>
      <c r="D5769" t="s">
        <v>26292</v>
      </c>
      <c r="E5769">
        <v>424000</v>
      </c>
      <c r="F5769" t="s">
        <v>1</v>
      </c>
      <c r="G5769" t="s">
        <v>2</v>
      </c>
      <c r="H5769" t="s">
        <v>4492</v>
      </c>
      <c r="Y5769" t="s">
        <v>4497</v>
      </c>
    </row>
    <row r="5770" spans="1:25" x14ac:dyDescent="0.25">
      <c r="A5770" t="str">
        <f>"18607013347"</f>
        <v>18607013347</v>
      </c>
      <c r="B5770" t="s">
        <v>25</v>
      </c>
      <c r="C5770" t="s">
        <v>24410</v>
      </c>
      <c r="D5770" t="s">
        <v>26293</v>
      </c>
      <c r="F5770" t="s">
        <v>1</v>
      </c>
      <c r="G5770" t="s">
        <v>2</v>
      </c>
      <c r="H5770" t="s">
        <v>26294</v>
      </c>
      <c r="I5770" t="s">
        <v>26295</v>
      </c>
      <c r="L5770" t="s">
        <v>26296</v>
      </c>
      <c r="M5770" t="s">
        <v>26297</v>
      </c>
      <c r="Y5770" t="s">
        <v>26298</v>
      </c>
    </row>
    <row r="5771" spans="1:25" x14ac:dyDescent="0.25">
      <c r="A5771" t="str">
        <f>"18684012336"</f>
        <v>18684012336</v>
      </c>
      <c r="B5771" t="s">
        <v>18</v>
      </c>
      <c r="C5771" t="s">
        <v>26302</v>
      </c>
      <c r="D5771" t="s">
        <v>26299</v>
      </c>
      <c r="E5771">
        <v>424016</v>
      </c>
      <c r="F5771" t="s">
        <v>1</v>
      </c>
      <c r="G5771" t="s">
        <v>2</v>
      </c>
      <c r="H5771" t="s">
        <v>4568</v>
      </c>
      <c r="I5771" t="s">
        <v>26300</v>
      </c>
      <c r="L5771" t="s">
        <v>26301</v>
      </c>
      <c r="M5771" t="s">
        <v>4571</v>
      </c>
      <c r="P5771" t="s">
        <v>27</v>
      </c>
      <c r="Y5771" t="s">
        <v>26303</v>
      </c>
    </row>
    <row r="5772" spans="1:25" x14ac:dyDescent="0.25">
      <c r="A5772" t="str">
        <f>"18691851252"</f>
        <v>18691851252</v>
      </c>
      <c r="B5772" t="s">
        <v>530</v>
      </c>
      <c r="C5772" t="s">
        <v>23950</v>
      </c>
      <c r="D5772" t="s">
        <v>23950</v>
      </c>
      <c r="F5772" t="s">
        <v>1</v>
      </c>
      <c r="G5772" t="s">
        <v>2</v>
      </c>
      <c r="H5772" t="s">
        <v>6444</v>
      </c>
      <c r="Y5772" t="s">
        <v>26304</v>
      </c>
    </row>
    <row r="5773" spans="1:25" x14ac:dyDescent="0.25">
      <c r="A5773" t="str">
        <f>"18697970411"</f>
        <v>18697970411</v>
      </c>
      <c r="B5773" t="s">
        <v>1152</v>
      </c>
      <c r="C5773" t="s">
        <v>1153</v>
      </c>
      <c r="D5773" t="s">
        <v>10280</v>
      </c>
      <c r="F5773" t="s">
        <v>1</v>
      </c>
      <c r="G5773" t="s">
        <v>2</v>
      </c>
      <c r="H5773" t="s">
        <v>26305</v>
      </c>
      <c r="I5773" t="s">
        <v>22092</v>
      </c>
      <c r="M5773" t="s">
        <v>10284</v>
      </c>
      <c r="Q5773" t="s">
        <v>10286</v>
      </c>
      <c r="R5773" t="s">
        <v>10287</v>
      </c>
      <c r="S5773" t="s">
        <v>10288</v>
      </c>
      <c r="T5773" t="s">
        <v>10289</v>
      </c>
      <c r="U5773" t="s">
        <v>10290</v>
      </c>
      <c r="V5773" t="s">
        <v>10291</v>
      </c>
      <c r="Y5773" t="s">
        <v>26306</v>
      </c>
    </row>
    <row r="5774" spans="1:25" x14ac:dyDescent="0.25">
      <c r="A5774" t="str">
        <f>"18738984547"</f>
        <v>18738984547</v>
      </c>
      <c r="B5774" t="s">
        <v>284</v>
      </c>
      <c r="C5774" t="s">
        <v>2462</v>
      </c>
      <c r="D5774" t="s">
        <v>26307</v>
      </c>
      <c r="E5774">
        <v>424008</v>
      </c>
      <c r="F5774" t="s">
        <v>1</v>
      </c>
      <c r="G5774" t="s">
        <v>2</v>
      </c>
      <c r="H5774" t="s">
        <v>11833</v>
      </c>
      <c r="I5774" t="s">
        <v>23506</v>
      </c>
      <c r="J5774" t="s">
        <v>23507</v>
      </c>
      <c r="P5774" t="s">
        <v>60</v>
      </c>
      <c r="Y5774" t="s">
        <v>16542</v>
      </c>
    </row>
    <row r="5775" spans="1:25" x14ac:dyDescent="0.25">
      <c r="A5775" t="str">
        <f>"18751716707"</f>
        <v>18751716707</v>
      </c>
      <c r="B5775" t="s">
        <v>3544</v>
      </c>
      <c r="C5775" t="s">
        <v>11303</v>
      </c>
      <c r="D5775" t="s">
        <v>26308</v>
      </c>
      <c r="E5775">
        <v>424007</v>
      </c>
      <c r="F5775" t="s">
        <v>1</v>
      </c>
      <c r="G5775" t="s">
        <v>2</v>
      </c>
      <c r="H5775" t="s">
        <v>26309</v>
      </c>
      <c r="Y5775" t="s">
        <v>26310</v>
      </c>
    </row>
    <row r="5776" spans="1:25" x14ac:dyDescent="0.25">
      <c r="A5776" t="str">
        <f>"18757306458"</f>
        <v>18757306458</v>
      </c>
      <c r="B5776" t="s">
        <v>574</v>
      </c>
      <c r="C5776" t="s">
        <v>952</v>
      </c>
      <c r="D5776" t="s">
        <v>26311</v>
      </c>
      <c r="E5776">
        <v>424039</v>
      </c>
      <c r="F5776" t="s">
        <v>1</v>
      </c>
      <c r="G5776" t="s">
        <v>2</v>
      </c>
      <c r="H5776" t="s">
        <v>26312</v>
      </c>
      <c r="Y5776" t="s">
        <v>26313</v>
      </c>
    </row>
    <row r="5777" spans="1:25" x14ac:dyDescent="0.25">
      <c r="A5777" t="str">
        <f>"18768513344"</f>
        <v>18768513344</v>
      </c>
      <c r="B5777" t="s">
        <v>7312</v>
      </c>
      <c r="C5777" t="s">
        <v>19097</v>
      </c>
      <c r="D5777" t="s">
        <v>26314</v>
      </c>
      <c r="E5777">
        <v>424030</v>
      </c>
      <c r="F5777" t="s">
        <v>1</v>
      </c>
      <c r="G5777" t="s">
        <v>2</v>
      </c>
      <c r="H5777" t="s">
        <v>5134</v>
      </c>
      <c r="Y5777" t="s">
        <v>26315</v>
      </c>
    </row>
    <row r="5778" spans="1:25" x14ac:dyDescent="0.25">
      <c r="A5778" t="str">
        <f>"18774026021"</f>
        <v>18774026021</v>
      </c>
      <c r="B5778" t="s">
        <v>530</v>
      </c>
      <c r="C5778" t="s">
        <v>23950</v>
      </c>
      <c r="D5778" t="s">
        <v>23950</v>
      </c>
      <c r="E5778">
        <v>424038</v>
      </c>
      <c r="F5778" t="s">
        <v>1</v>
      </c>
      <c r="G5778" t="s">
        <v>2</v>
      </c>
      <c r="H5778" t="s">
        <v>8196</v>
      </c>
      <c r="Y5778" t="s">
        <v>26316</v>
      </c>
    </row>
    <row r="5779" spans="1:25" x14ac:dyDescent="0.25">
      <c r="A5779" t="str">
        <f>"18774342397"</f>
        <v>18774342397</v>
      </c>
      <c r="B5779" t="s">
        <v>797</v>
      </c>
      <c r="C5779" t="s">
        <v>5123</v>
      </c>
      <c r="D5779" t="s">
        <v>25006</v>
      </c>
      <c r="E5779">
        <v>424005</v>
      </c>
      <c r="F5779" t="s">
        <v>1</v>
      </c>
      <c r="G5779" t="s">
        <v>2</v>
      </c>
      <c r="H5779" t="s">
        <v>3042</v>
      </c>
      <c r="I5779" t="s">
        <v>26317</v>
      </c>
      <c r="P5779" t="s">
        <v>26318</v>
      </c>
      <c r="Y5779" t="s">
        <v>26319</v>
      </c>
    </row>
    <row r="5780" spans="1:25" x14ac:dyDescent="0.25">
      <c r="A5780" t="str">
        <f>"18802206206"</f>
        <v>18802206206</v>
      </c>
      <c r="B5780" t="s">
        <v>96</v>
      </c>
      <c r="C5780" t="s">
        <v>659</v>
      </c>
      <c r="D5780" t="s">
        <v>26320</v>
      </c>
      <c r="E5780">
        <v>424000</v>
      </c>
      <c r="F5780" t="s">
        <v>1</v>
      </c>
      <c r="G5780" t="s">
        <v>2</v>
      </c>
      <c r="H5780" t="s">
        <v>1473</v>
      </c>
      <c r="P5780" t="s">
        <v>941</v>
      </c>
      <c r="Y5780" t="s">
        <v>4067</v>
      </c>
    </row>
    <row r="5781" spans="1:25" x14ac:dyDescent="0.25">
      <c r="A5781" t="str">
        <f>"18855176823"</f>
        <v>18855176823</v>
      </c>
      <c r="B5781" t="s">
        <v>96</v>
      </c>
      <c r="C5781" t="s">
        <v>695</v>
      </c>
      <c r="D5781" t="s">
        <v>22550</v>
      </c>
      <c r="E5781">
        <v>424040</v>
      </c>
      <c r="F5781" t="s">
        <v>1</v>
      </c>
      <c r="G5781" t="s">
        <v>2</v>
      </c>
      <c r="H5781" t="s">
        <v>7989</v>
      </c>
      <c r="J5781" t="s">
        <v>26321</v>
      </c>
      <c r="P5781" t="s">
        <v>26322</v>
      </c>
      <c r="Y5781" t="s">
        <v>11906</v>
      </c>
    </row>
    <row r="5782" spans="1:25" x14ac:dyDescent="0.25">
      <c r="A5782" t="str">
        <f>"18860218212"</f>
        <v>18860218212</v>
      </c>
      <c r="B5782" t="s">
        <v>1611</v>
      </c>
      <c r="C5782" t="s">
        <v>3218</v>
      </c>
      <c r="D5782" t="s">
        <v>26323</v>
      </c>
      <c r="E5782">
        <v>424037</v>
      </c>
      <c r="F5782" t="s">
        <v>1</v>
      </c>
      <c r="G5782" t="s">
        <v>2</v>
      </c>
      <c r="H5782" t="s">
        <v>15407</v>
      </c>
      <c r="I5782" t="s">
        <v>26324</v>
      </c>
      <c r="L5782" t="s">
        <v>3217</v>
      </c>
      <c r="P5782" t="s">
        <v>26325</v>
      </c>
      <c r="Y5782" t="s">
        <v>4724</v>
      </c>
    </row>
    <row r="5783" spans="1:25" x14ac:dyDescent="0.25">
      <c r="A5783" t="str">
        <f>"18896954043"</f>
        <v>18896954043</v>
      </c>
      <c r="B5783" t="s">
        <v>348</v>
      </c>
      <c r="C5783" t="s">
        <v>13749</v>
      </c>
      <c r="D5783" t="s">
        <v>26326</v>
      </c>
      <c r="E5783">
        <v>424032</v>
      </c>
      <c r="F5783" t="s">
        <v>1</v>
      </c>
      <c r="G5783" t="s">
        <v>2</v>
      </c>
      <c r="H5783" t="s">
        <v>5699</v>
      </c>
      <c r="J5783" t="s">
        <v>26327</v>
      </c>
      <c r="M5783" t="s">
        <v>26328</v>
      </c>
      <c r="P5783" t="s">
        <v>12947</v>
      </c>
      <c r="Y5783" t="s">
        <v>5709</v>
      </c>
    </row>
    <row r="5784" spans="1:25" x14ac:dyDescent="0.25">
      <c r="A5784" t="str">
        <f>"18911205949"</f>
        <v>18911205949</v>
      </c>
      <c r="B5784" t="s">
        <v>738</v>
      </c>
      <c r="C5784" t="s">
        <v>17320</v>
      </c>
      <c r="D5784" t="s">
        <v>26329</v>
      </c>
      <c r="E5784">
        <v>424020</v>
      </c>
      <c r="F5784" t="s">
        <v>1</v>
      </c>
      <c r="G5784" t="s">
        <v>2</v>
      </c>
      <c r="H5784" t="s">
        <v>23</v>
      </c>
      <c r="I5784" t="s">
        <v>26330</v>
      </c>
      <c r="J5784" t="s">
        <v>26331</v>
      </c>
      <c r="L5784" t="s">
        <v>26332</v>
      </c>
      <c r="M5784" t="s">
        <v>26333</v>
      </c>
      <c r="P5784" t="s">
        <v>2457</v>
      </c>
      <c r="Y5784" t="s">
        <v>26334</v>
      </c>
    </row>
    <row r="5785" spans="1:25" x14ac:dyDescent="0.25">
      <c r="A5785" t="str">
        <f>"18927686997"</f>
        <v>18927686997</v>
      </c>
      <c r="B5785" t="s">
        <v>110</v>
      </c>
      <c r="C5785" t="s">
        <v>26340</v>
      </c>
      <c r="D5785" t="s">
        <v>26335</v>
      </c>
      <c r="E5785">
        <v>424006</v>
      </c>
      <c r="F5785" t="s">
        <v>1</v>
      </c>
      <c r="G5785" t="s">
        <v>2</v>
      </c>
      <c r="H5785" t="s">
        <v>1895</v>
      </c>
      <c r="I5785" t="s">
        <v>26336</v>
      </c>
      <c r="J5785" t="s">
        <v>26337</v>
      </c>
      <c r="L5785" t="s">
        <v>26338</v>
      </c>
      <c r="M5785" t="s">
        <v>26339</v>
      </c>
      <c r="P5785" t="s">
        <v>26341</v>
      </c>
      <c r="Q5785" t="s">
        <v>26342</v>
      </c>
      <c r="T5785" t="s">
        <v>26343</v>
      </c>
      <c r="Y5785" t="s">
        <v>26344</v>
      </c>
    </row>
    <row r="5786" spans="1:25" x14ac:dyDescent="0.25">
      <c r="A5786" t="str">
        <f>"18942696717"</f>
        <v>18942696717</v>
      </c>
      <c r="B5786" t="s">
        <v>738</v>
      </c>
      <c r="C5786" t="s">
        <v>739</v>
      </c>
      <c r="D5786" t="s">
        <v>26345</v>
      </c>
      <c r="E5786">
        <v>424016</v>
      </c>
      <c r="F5786" t="s">
        <v>1</v>
      </c>
      <c r="G5786" t="s">
        <v>2</v>
      </c>
      <c r="H5786" t="s">
        <v>5561</v>
      </c>
      <c r="I5786" t="s">
        <v>26346</v>
      </c>
      <c r="J5786" t="s">
        <v>26347</v>
      </c>
      <c r="P5786" t="s">
        <v>26348</v>
      </c>
      <c r="Y5786" t="s">
        <v>5567</v>
      </c>
    </row>
    <row r="5787" spans="1:25" x14ac:dyDescent="0.25">
      <c r="A5787" t="str">
        <f>"18957414908"</f>
        <v>18957414908</v>
      </c>
      <c r="B5787" t="s">
        <v>530</v>
      </c>
      <c r="C5787" t="s">
        <v>23950</v>
      </c>
      <c r="D5787" t="s">
        <v>23950</v>
      </c>
      <c r="E5787">
        <v>424003</v>
      </c>
      <c r="F5787" t="s">
        <v>1</v>
      </c>
      <c r="G5787" t="s">
        <v>2</v>
      </c>
      <c r="H5787" t="s">
        <v>13438</v>
      </c>
      <c r="Y5787" t="s">
        <v>26349</v>
      </c>
    </row>
    <row r="5788" spans="1:25" x14ac:dyDescent="0.25">
      <c r="A5788" t="str">
        <f>"18975159950"</f>
        <v>18975159950</v>
      </c>
      <c r="B5788" t="s">
        <v>1493</v>
      </c>
      <c r="C5788" t="s">
        <v>1494</v>
      </c>
      <c r="D5788" t="s">
        <v>24902</v>
      </c>
      <c r="E5788">
        <v>424000</v>
      </c>
      <c r="F5788" t="s">
        <v>1</v>
      </c>
      <c r="G5788" t="s">
        <v>2</v>
      </c>
      <c r="H5788" t="s">
        <v>4255</v>
      </c>
      <c r="I5788" t="s">
        <v>24903</v>
      </c>
      <c r="J5788" t="s">
        <v>26350</v>
      </c>
      <c r="P5788" t="s">
        <v>330</v>
      </c>
      <c r="Y5788" t="s">
        <v>4256</v>
      </c>
    </row>
    <row r="5789" spans="1:25" x14ac:dyDescent="0.25">
      <c r="A5789" t="str">
        <f>"18979357210"</f>
        <v>18979357210</v>
      </c>
      <c r="B5789" t="s">
        <v>117</v>
      </c>
      <c r="C5789" t="s">
        <v>873</v>
      </c>
      <c r="D5789" t="s">
        <v>873</v>
      </c>
      <c r="F5789" t="s">
        <v>1</v>
      </c>
      <c r="G5789" t="s">
        <v>2</v>
      </c>
      <c r="H5789" t="s">
        <v>7547</v>
      </c>
      <c r="Y5789" t="s">
        <v>26351</v>
      </c>
    </row>
    <row r="5790" spans="1:25" x14ac:dyDescent="0.25">
      <c r="A5790" t="str">
        <f>"19007484673"</f>
        <v>19007484673</v>
      </c>
      <c r="B5790" t="s">
        <v>1758</v>
      </c>
      <c r="C5790" t="s">
        <v>8089</v>
      </c>
      <c r="D5790" t="s">
        <v>26352</v>
      </c>
      <c r="E5790">
        <v>424039</v>
      </c>
      <c r="F5790" t="s">
        <v>1</v>
      </c>
      <c r="G5790" t="s">
        <v>2</v>
      </c>
      <c r="H5790" t="s">
        <v>23651</v>
      </c>
      <c r="Y5790" t="s">
        <v>26353</v>
      </c>
    </row>
    <row r="5791" spans="1:25" x14ac:dyDescent="0.25">
      <c r="A5791" t="str">
        <f>"19020865705"</f>
        <v>19020865705</v>
      </c>
      <c r="B5791" t="s">
        <v>32</v>
      </c>
      <c r="C5791" t="s">
        <v>5809</v>
      </c>
      <c r="D5791" t="s">
        <v>26354</v>
      </c>
      <c r="E5791">
        <v>424038</v>
      </c>
      <c r="F5791" t="s">
        <v>1</v>
      </c>
      <c r="G5791" t="s">
        <v>2</v>
      </c>
      <c r="H5791" t="s">
        <v>21507</v>
      </c>
      <c r="I5791" t="s">
        <v>26355</v>
      </c>
      <c r="L5791" t="s">
        <v>26356</v>
      </c>
      <c r="M5791" t="s">
        <v>26357</v>
      </c>
      <c r="P5791" t="s">
        <v>2738</v>
      </c>
      <c r="Q5791" t="s">
        <v>26358</v>
      </c>
      <c r="V5791" t="s">
        <v>26359</v>
      </c>
      <c r="Y5791" t="s">
        <v>26360</v>
      </c>
    </row>
    <row r="5792" spans="1:25" x14ac:dyDescent="0.25">
      <c r="A5792" t="str">
        <f>"19034288107"</f>
        <v>19034288107</v>
      </c>
      <c r="B5792" t="s">
        <v>348</v>
      </c>
      <c r="C5792" t="s">
        <v>21764</v>
      </c>
      <c r="D5792" t="s">
        <v>26361</v>
      </c>
      <c r="E5792">
        <v>424002</v>
      </c>
      <c r="F5792" t="s">
        <v>1</v>
      </c>
      <c r="G5792" t="s">
        <v>2</v>
      </c>
      <c r="H5792" t="s">
        <v>14513</v>
      </c>
      <c r="J5792" t="s">
        <v>26362</v>
      </c>
      <c r="L5792" t="s">
        <v>26363</v>
      </c>
      <c r="M5792" t="s">
        <v>26364</v>
      </c>
      <c r="P5792" t="s">
        <v>2738</v>
      </c>
      <c r="Q5792" t="s">
        <v>26365</v>
      </c>
      <c r="T5792" t="s">
        <v>26366</v>
      </c>
      <c r="V5792" t="s">
        <v>26367</v>
      </c>
      <c r="Y5792" t="s">
        <v>14516</v>
      </c>
    </row>
    <row r="5793" spans="1:25" x14ac:dyDescent="0.25">
      <c r="A5793" t="str">
        <f>"19078943096"</f>
        <v>19078943096</v>
      </c>
      <c r="B5793" t="s">
        <v>379</v>
      </c>
      <c r="C5793" t="s">
        <v>766</v>
      </c>
      <c r="D5793" t="s">
        <v>22466</v>
      </c>
      <c r="F5793" t="s">
        <v>1</v>
      </c>
      <c r="G5793" t="s">
        <v>2</v>
      </c>
      <c r="H5793" t="s">
        <v>5906</v>
      </c>
      <c r="L5793" t="s">
        <v>21869</v>
      </c>
      <c r="M5793" t="s">
        <v>21870</v>
      </c>
      <c r="Y5793" t="s">
        <v>26368</v>
      </c>
    </row>
    <row r="5794" spans="1:25" x14ac:dyDescent="0.25">
      <c r="A5794" t="str">
        <f>"19091546156"</f>
        <v>19091546156</v>
      </c>
      <c r="B5794" t="s">
        <v>18</v>
      </c>
      <c r="C5794" t="s">
        <v>26370</v>
      </c>
      <c r="D5794" t="s">
        <v>13039</v>
      </c>
      <c r="E5794">
        <v>424036</v>
      </c>
      <c r="F5794" t="s">
        <v>1</v>
      </c>
      <c r="G5794" t="s">
        <v>2</v>
      </c>
      <c r="H5794" t="s">
        <v>2874</v>
      </c>
      <c r="J5794" t="s">
        <v>26369</v>
      </c>
      <c r="P5794" t="s">
        <v>605</v>
      </c>
      <c r="Y5794" t="s">
        <v>26371</v>
      </c>
    </row>
    <row r="5795" spans="1:25" x14ac:dyDescent="0.25">
      <c r="A5795" t="str">
        <f>"19097286146"</f>
        <v>19097286146</v>
      </c>
      <c r="B5795" t="s">
        <v>456</v>
      </c>
      <c r="C5795" t="s">
        <v>6076</v>
      </c>
      <c r="D5795" t="s">
        <v>26372</v>
      </c>
      <c r="E5795">
        <v>424000</v>
      </c>
      <c r="F5795" t="s">
        <v>1</v>
      </c>
      <c r="G5795" t="s">
        <v>2</v>
      </c>
      <c r="H5795" t="s">
        <v>3421</v>
      </c>
      <c r="I5795" t="s">
        <v>26373</v>
      </c>
      <c r="L5795" t="s">
        <v>26374</v>
      </c>
      <c r="M5795" t="s">
        <v>26375</v>
      </c>
      <c r="P5795" t="s">
        <v>260</v>
      </c>
      <c r="Y5795" t="s">
        <v>3425</v>
      </c>
    </row>
    <row r="5796" spans="1:25" x14ac:dyDescent="0.25">
      <c r="A5796" t="str">
        <f>"19218514793"</f>
        <v>19218514793</v>
      </c>
      <c r="B5796" t="s">
        <v>1544</v>
      </c>
      <c r="C5796" t="s">
        <v>7974</v>
      </c>
      <c r="D5796" t="s">
        <v>26376</v>
      </c>
      <c r="E5796">
        <v>424006</v>
      </c>
      <c r="F5796" t="s">
        <v>1</v>
      </c>
      <c r="G5796" t="s">
        <v>2</v>
      </c>
      <c r="H5796" t="s">
        <v>2042</v>
      </c>
      <c r="I5796" t="s">
        <v>26377</v>
      </c>
      <c r="P5796" t="s">
        <v>98</v>
      </c>
      <c r="Q5796" t="s">
        <v>26378</v>
      </c>
      <c r="Y5796" t="s">
        <v>26379</v>
      </c>
    </row>
    <row r="5797" spans="1:25" x14ac:dyDescent="0.25">
      <c r="A5797" t="str">
        <f>"19228846013"</f>
        <v>19228846013</v>
      </c>
      <c r="B5797" t="s">
        <v>25</v>
      </c>
      <c r="C5797" t="s">
        <v>13425</v>
      </c>
      <c r="D5797" t="s">
        <v>26380</v>
      </c>
      <c r="E5797">
        <v>424006</v>
      </c>
      <c r="F5797" t="s">
        <v>1</v>
      </c>
      <c r="G5797" t="s">
        <v>2</v>
      </c>
      <c r="H5797" t="s">
        <v>1890</v>
      </c>
      <c r="Y5797" t="s">
        <v>1893</v>
      </c>
    </row>
    <row r="5798" spans="1:25" x14ac:dyDescent="0.25">
      <c r="A5798" t="str">
        <f>"19246748444"</f>
        <v>19246748444</v>
      </c>
      <c r="B5798" t="s">
        <v>2601</v>
      </c>
      <c r="C5798" t="s">
        <v>26383</v>
      </c>
      <c r="D5798" t="s">
        <v>26381</v>
      </c>
      <c r="E5798">
        <v>424033</v>
      </c>
      <c r="F5798" t="s">
        <v>1</v>
      </c>
      <c r="G5798" t="s">
        <v>2</v>
      </c>
      <c r="H5798" t="s">
        <v>2597</v>
      </c>
      <c r="J5798" t="s">
        <v>26382</v>
      </c>
      <c r="Q5798" t="s">
        <v>26384</v>
      </c>
      <c r="Y5798" t="s">
        <v>2718</v>
      </c>
    </row>
    <row r="5799" spans="1:25" x14ac:dyDescent="0.25">
      <c r="A5799" t="str">
        <f>"19268657248"</f>
        <v>19268657248</v>
      </c>
      <c r="B5799" t="s">
        <v>1053</v>
      </c>
      <c r="C5799" t="s">
        <v>11726</v>
      </c>
      <c r="D5799" t="s">
        <v>26385</v>
      </c>
      <c r="E5799">
        <v>424007</v>
      </c>
      <c r="F5799" t="s">
        <v>1</v>
      </c>
      <c r="G5799" t="s">
        <v>2</v>
      </c>
      <c r="H5799" t="s">
        <v>22705</v>
      </c>
      <c r="J5799" t="s">
        <v>26386</v>
      </c>
      <c r="P5799" t="s">
        <v>10632</v>
      </c>
      <c r="Y5799" t="s">
        <v>26387</v>
      </c>
    </row>
    <row r="5800" spans="1:25" x14ac:dyDescent="0.25">
      <c r="A5800" t="str">
        <f>"19270284783"</f>
        <v>19270284783</v>
      </c>
      <c r="B5800" t="s">
        <v>18</v>
      </c>
      <c r="C5800" t="s">
        <v>2593</v>
      </c>
      <c r="D5800" t="s">
        <v>26388</v>
      </c>
      <c r="E5800">
        <v>424020</v>
      </c>
      <c r="F5800" t="s">
        <v>1</v>
      </c>
      <c r="G5800" t="s">
        <v>2</v>
      </c>
      <c r="H5800" t="s">
        <v>7063</v>
      </c>
      <c r="Y5800" t="s">
        <v>25552</v>
      </c>
    </row>
    <row r="5801" spans="1:25" x14ac:dyDescent="0.25">
      <c r="A5801" t="str">
        <f>"19289501321"</f>
        <v>19289501321</v>
      </c>
      <c r="B5801" t="s">
        <v>1053</v>
      </c>
      <c r="C5801" t="s">
        <v>1927</v>
      </c>
      <c r="D5801" t="s">
        <v>26389</v>
      </c>
      <c r="E5801">
        <v>424003</v>
      </c>
      <c r="F5801" t="s">
        <v>1</v>
      </c>
      <c r="G5801" t="s">
        <v>2</v>
      </c>
      <c r="H5801" t="s">
        <v>5773</v>
      </c>
      <c r="P5801" t="s">
        <v>3670</v>
      </c>
      <c r="V5801" t="s">
        <v>26390</v>
      </c>
      <c r="Y5801" t="s">
        <v>26391</v>
      </c>
    </row>
    <row r="5802" spans="1:25" x14ac:dyDescent="0.25">
      <c r="A5802" t="str">
        <f>"19318741713"</f>
        <v>19318741713</v>
      </c>
      <c r="B5802" t="s">
        <v>930</v>
      </c>
      <c r="C5802" t="s">
        <v>15368</v>
      </c>
      <c r="D5802" t="s">
        <v>26392</v>
      </c>
      <c r="E5802">
        <v>424006</v>
      </c>
      <c r="F5802" t="s">
        <v>1</v>
      </c>
      <c r="G5802" t="s">
        <v>2</v>
      </c>
      <c r="H5802" t="s">
        <v>4346</v>
      </c>
      <c r="I5802" t="s">
        <v>26393</v>
      </c>
      <c r="J5802" t="s">
        <v>26394</v>
      </c>
      <c r="P5802" t="s">
        <v>26395</v>
      </c>
      <c r="Y5802" t="s">
        <v>26396</v>
      </c>
    </row>
    <row r="5803" spans="1:25" x14ac:dyDescent="0.25">
      <c r="A5803" t="str">
        <f>"19381089707"</f>
        <v>19381089707</v>
      </c>
      <c r="B5803" t="s">
        <v>7</v>
      </c>
      <c r="C5803" t="s">
        <v>26398</v>
      </c>
      <c r="D5803" t="s">
        <v>8370</v>
      </c>
      <c r="E5803">
        <v>424000</v>
      </c>
      <c r="F5803" t="s">
        <v>1</v>
      </c>
      <c r="G5803" t="s">
        <v>2</v>
      </c>
      <c r="H5803" t="s">
        <v>2193</v>
      </c>
      <c r="I5803" t="s">
        <v>26397</v>
      </c>
      <c r="Q5803" t="s">
        <v>26399</v>
      </c>
      <c r="Y5803" t="s">
        <v>26400</v>
      </c>
    </row>
    <row r="5804" spans="1:25" x14ac:dyDescent="0.25">
      <c r="A5804" t="str">
        <f>"19391955848"</f>
        <v>19391955848</v>
      </c>
      <c r="B5804" t="s">
        <v>7312</v>
      </c>
      <c r="C5804" t="s">
        <v>26401</v>
      </c>
      <c r="D5804" t="s">
        <v>8791</v>
      </c>
      <c r="F5804" t="s">
        <v>1</v>
      </c>
      <c r="G5804" t="s">
        <v>2</v>
      </c>
      <c r="H5804" t="s">
        <v>24384</v>
      </c>
      <c r="P5804" t="s">
        <v>1120</v>
      </c>
      <c r="Y5804" t="s">
        <v>26402</v>
      </c>
    </row>
    <row r="5805" spans="1:25" x14ac:dyDescent="0.25">
      <c r="A5805" t="str">
        <f>"19419259806"</f>
        <v>19419259806</v>
      </c>
      <c r="B5805" t="s">
        <v>1152</v>
      </c>
      <c r="C5805" t="s">
        <v>22438</v>
      </c>
      <c r="D5805" t="s">
        <v>26403</v>
      </c>
      <c r="E5805">
        <v>424031</v>
      </c>
      <c r="F5805" t="s">
        <v>1</v>
      </c>
      <c r="G5805" t="s">
        <v>2</v>
      </c>
      <c r="H5805" t="s">
        <v>239</v>
      </c>
      <c r="L5805" t="s">
        <v>15713</v>
      </c>
      <c r="M5805" t="s">
        <v>15714</v>
      </c>
      <c r="Y5805" t="s">
        <v>246</v>
      </c>
    </row>
    <row r="5806" spans="1:25" x14ac:dyDescent="0.25">
      <c r="A5806" t="str">
        <f>"19438936896"</f>
        <v>19438936896</v>
      </c>
      <c r="B5806" t="s">
        <v>1611</v>
      </c>
      <c r="C5806" t="s">
        <v>26405</v>
      </c>
      <c r="D5806" t="s">
        <v>26404</v>
      </c>
      <c r="E5806">
        <v>424005</v>
      </c>
      <c r="F5806" t="s">
        <v>1</v>
      </c>
      <c r="G5806" t="s">
        <v>2</v>
      </c>
      <c r="H5806" t="s">
        <v>11683</v>
      </c>
      <c r="Y5806" t="s">
        <v>26251</v>
      </c>
    </row>
    <row r="5807" spans="1:25" x14ac:dyDescent="0.25">
      <c r="A5807" t="str">
        <f>"19472252011"</f>
        <v>19472252011</v>
      </c>
      <c r="B5807" t="s">
        <v>654</v>
      </c>
      <c r="C5807" t="s">
        <v>2195</v>
      </c>
      <c r="D5807" t="s">
        <v>26406</v>
      </c>
      <c r="E5807">
        <v>424032</v>
      </c>
      <c r="F5807" t="s">
        <v>1</v>
      </c>
      <c r="G5807" t="s">
        <v>2</v>
      </c>
      <c r="H5807" t="s">
        <v>26407</v>
      </c>
      <c r="I5807" t="s">
        <v>26408</v>
      </c>
      <c r="P5807" t="s">
        <v>330</v>
      </c>
      <c r="Y5807" t="s">
        <v>26409</v>
      </c>
    </row>
    <row r="5808" spans="1:25" x14ac:dyDescent="0.25">
      <c r="A5808" t="str">
        <f>"19483626384"</f>
        <v>19483626384</v>
      </c>
      <c r="B5808" t="s">
        <v>176</v>
      </c>
      <c r="C5808" t="s">
        <v>566</v>
      </c>
      <c r="D5808" t="s">
        <v>26410</v>
      </c>
      <c r="E5808">
        <v>424037</v>
      </c>
      <c r="F5808" t="s">
        <v>1</v>
      </c>
      <c r="G5808" t="s">
        <v>2</v>
      </c>
      <c r="H5808" t="s">
        <v>26411</v>
      </c>
      <c r="J5808" t="s">
        <v>26412</v>
      </c>
      <c r="L5808" t="s">
        <v>26413</v>
      </c>
      <c r="P5808" t="s">
        <v>330</v>
      </c>
      <c r="Y5808" t="s">
        <v>26414</v>
      </c>
    </row>
    <row r="5809" spans="1:25" x14ac:dyDescent="0.25">
      <c r="A5809" t="str">
        <f>"19483987242"</f>
        <v>19483987242</v>
      </c>
      <c r="B5809" t="s">
        <v>96</v>
      </c>
      <c r="C5809" t="s">
        <v>26416</v>
      </c>
      <c r="D5809" t="s">
        <v>26415</v>
      </c>
      <c r="E5809">
        <v>424039</v>
      </c>
      <c r="F5809" t="s">
        <v>1</v>
      </c>
      <c r="G5809" t="s">
        <v>2</v>
      </c>
      <c r="H5809" t="s">
        <v>5827</v>
      </c>
      <c r="Y5809" t="s">
        <v>23921</v>
      </c>
    </row>
    <row r="5810" spans="1:25" x14ac:dyDescent="0.25">
      <c r="A5810" t="str">
        <f>"19527864413"</f>
        <v>19527864413</v>
      </c>
      <c r="B5810" t="s">
        <v>176</v>
      </c>
      <c r="C5810" t="s">
        <v>566</v>
      </c>
      <c r="D5810" t="s">
        <v>26417</v>
      </c>
      <c r="E5810">
        <v>424006</v>
      </c>
      <c r="F5810" t="s">
        <v>1</v>
      </c>
      <c r="G5810" t="s">
        <v>2</v>
      </c>
      <c r="H5810" t="s">
        <v>10216</v>
      </c>
      <c r="J5810" t="s">
        <v>26418</v>
      </c>
      <c r="L5810" t="s">
        <v>22662</v>
      </c>
      <c r="M5810" t="s">
        <v>22663</v>
      </c>
      <c r="P5810" t="s">
        <v>330</v>
      </c>
      <c r="Y5810" t="s">
        <v>26419</v>
      </c>
    </row>
    <row r="5811" spans="1:25" x14ac:dyDescent="0.25">
      <c r="A5811" t="str">
        <f>"19531952607"</f>
        <v>19531952607</v>
      </c>
      <c r="B5811" t="s">
        <v>18</v>
      </c>
      <c r="C5811" t="s">
        <v>17135</v>
      </c>
      <c r="D5811" t="s">
        <v>26420</v>
      </c>
      <c r="E5811">
        <v>424003</v>
      </c>
      <c r="F5811" t="s">
        <v>1</v>
      </c>
      <c r="G5811" t="s">
        <v>2</v>
      </c>
      <c r="H5811" t="s">
        <v>734</v>
      </c>
      <c r="I5811" t="s">
        <v>26421</v>
      </c>
      <c r="L5811" t="s">
        <v>26422</v>
      </c>
      <c r="M5811" t="s">
        <v>26423</v>
      </c>
      <c r="P5811" t="s">
        <v>280</v>
      </c>
      <c r="Y5811" t="s">
        <v>26424</v>
      </c>
    </row>
    <row r="5812" spans="1:25" x14ac:dyDescent="0.25">
      <c r="A5812" t="str">
        <f>"19555475186"</f>
        <v>19555475186</v>
      </c>
      <c r="B5812" t="s">
        <v>7312</v>
      </c>
      <c r="C5812" t="s">
        <v>26428</v>
      </c>
      <c r="D5812" t="s">
        <v>26425</v>
      </c>
      <c r="E5812">
        <v>424004</v>
      </c>
      <c r="F5812" t="s">
        <v>1</v>
      </c>
      <c r="G5812" t="s">
        <v>2</v>
      </c>
      <c r="H5812" t="s">
        <v>186</v>
      </c>
      <c r="J5812" t="s">
        <v>26426</v>
      </c>
      <c r="M5812" t="s">
        <v>26427</v>
      </c>
      <c r="P5812" t="s">
        <v>26429</v>
      </c>
      <c r="Y5812" t="s">
        <v>190</v>
      </c>
    </row>
    <row r="5813" spans="1:25" x14ac:dyDescent="0.25">
      <c r="A5813" t="str">
        <f>"19556638644"</f>
        <v>19556638644</v>
      </c>
      <c r="B5813" t="s">
        <v>188</v>
      </c>
      <c r="C5813" t="s">
        <v>8311</v>
      </c>
      <c r="D5813" t="s">
        <v>26430</v>
      </c>
      <c r="E5813">
        <v>424008</v>
      </c>
      <c r="F5813" t="s">
        <v>1</v>
      </c>
      <c r="G5813" t="s">
        <v>2</v>
      </c>
      <c r="H5813" t="s">
        <v>26431</v>
      </c>
      <c r="J5813" t="s">
        <v>26432</v>
      </c>
      <c r="L5813" t="s">
        <v>26433</v>
      </c>
      <c r="M5813" t="s">
        <v>26434</v>
      </c>
      <c r="P5813" t="s">
        <v>2738</v>
      </c>
      <c r="Q5813" t="s">
        <v>26435</v>
      </c>
      <c r="R5813" t="s">
        <v>26436</v>
      </c>
      <c r="T5813" t="s">
        <v>26437</v>
      </c>
      <c r="V5813" t="s">
        <v>26438</v>
      </c>
      <c r="Y5813" t="s">
        <v>26439</v>
      </c>
    </row>
    <row r="5814" spans="1:25" x14ac:dyDescent="0.25">
      <c r="A5814" t="str">
        <f>"19677050154"</f>
        <v>19677050154</v>
      </c>
      <c r="B5814" t="s">
        <v>519</v>
      </c>
      <c r="C5814" t="s">
        <v>26443</v>
      </c>
      <c r="D5814" t="s">
        <v>26440</v>
      </c>
      <c r="E5814">
        <v>424038</v>
      </c>
      <c r="F5814" t="s">
        <v>1</v>
      </c>
      <c r="G5814" t="s">
        <v>2</v>
      </c>
      <c r="H5814" t="s">
        <v>1366</v>
      </c>
      <c r="J5814" t="s">
        <v>26441</v>
      </c>
      <c r="M5814" t="s">
        <v>26442</v>
      </c>
      <c r="P5814" t="s">
        <v>16441</v>
      </c>
      <c r="Q5814" t="s">
        <v>26444</v>
      </c>
      <c r="Y5814" t="s">
        <v>7381</v>
      </c>
    </row>
    <row r="5815" spans="1:25" x14ac:dyDescent="0.25">
      <c r="A5815" t="str">
        <f>"19772487524"</f>
        <v>19772487524</v>
      </c>
      <c r="B5815" t="s">
        <v>482</v>
      </c>
      <c r="C5815" t="s">
        <v>6009</v>
      </c>
      <c r="D5815" t="s">
        <v>26445</v>
      </c>
      <c r="E5815">
        <v>424003</v>
      </c>
      <c r="F5815" t="s">
        <v>1</v>
      </c>
      <c r="G5815" t="s">
        <v>2</v>
      </c>
      <c r="H5815" t="s">
        <v>19413</v>
      </c>
      <c r="Y5815" t="s">
        <v>26446</v>
      </c>
    </row>
    <row r="5816" spans="1:25" x14ac:dyDescent="0.25">
      <c r="A5816" t="str">
        <f>"19815505574"</f>
        <v>19815505574</v>
      </c>
      <c r="B5816" t="s">
        <v>117</v>
      </c>
      <c r="C5816" t="s">
        <v>26451</v>
      </c>
      <c r="D5816" t="s">
        <v>26447</v>
      </c>
      <c r="F5816" t="s">
        <v>1</v>
      </c>
      <c r="G5816" t="s">
        <v>2</v>
      </c>
      <c r="H5816" t="s">
        <v>17767</v>
      </c>
      <c r="I5816" t="s">
        <v>26448</v>
      </c>
      <c r="L5816" t="s">
        <v>26449</v>
      </c>
      <c r="M5816" t="s">
        <v>26450</v>
      </c>
      <c r="P5816" t="s">
        <v>330</v>
      </c>
      <c r="Q5816" t="s">
        <v>26452</v>
      </c>
      <c r="T5816" t="s">
        <v>26453</v>
      </c>
      <c r="V5816" t="s">
        <v>26454</v>
      </c>
      <c r="Y5816" t="s">
        <v>26455</v>
      </c>
    </row>
    <row r="5817" spans="1:25" x14ac:dyDescent="0.25">
      <c r="A5817" t="str">
        <f>"19818839177"</f>
        <v>19818839177</v>
      </c>
      <c r="B5817" t="s">
        <v>7312</v>
      </c>
      <c r="C5817" t="s">
        <v>26456</v>
      </c>
      <c r="D5817" t="s">
        <v>19130</v>
      </c>
      <c r="E5817">
        <v>424003</v>
      </c>
      <c r="F5817" t="s">
        <v>1</v>
      </c>
      <c r="G5817" t="s">
        <v>2</v>
      </c>
      <c r="H5817" t="s">
        <v>21404</v>
      </c>
      <c r="P5817" t="s">
        <v>941</v>
      </c>
      <c r="Y5817" t="s">
        <v>26457</v>
      </c>
    </row>
    <row r="5818" spans="1:25" x14ac:dyDescent="0.25">
      <c r="A5818" t="str">
        <f>"19830775682"</f>
        <v>19830775682</v>
      </c>
      <c r="B5818" t="s">
        <v>151</v>
      </c>
      <c r="C5818" t="s">
        <v>10922</v>
      </c>
      <c r="D5818" t="s">
        <v>26458</v>
      </c>
      <c r="F5818" t="s">
        <v>1</v>
      </c>
      <c r="G5818" t="s">
        <v>2</v>
      </c>
      <c r="H5818" t="s">
        <v>26459</v>
      </c>
      <c r="I5818" t="s">
        <v>26460</v>
      </c>
      <c r="L5818" t="s">
        <v>26461</v>
      </c>
      <c r="M5818" t="s">
        <v>26462</v>
      </c>
      <c r="Y5818" t="s">
        <v>26463</v>
      </c>
    </row>
    <row r="5819" spans="1:25" x14ac:dyDescent="0.25">
      <c r="A5819" t="str">
        <f>"19840664589"</f>
        <v>19840664589</v>
      </c>
      <c r="B5819" t="s">
        <v>738</v>
      </c>
      <c r="C5819" t="s">
        <v>739</v>
      </c>
      <c r="D5819" t="s">
        <v>26464</v>
      </c>
      <c r="E5819">
        <v>424003</v>
      </c>
      <c r="F5819" t="s">
        <v>1</v>
      </c>
      <c r="G5819" t="s">
        <v>2</v>
      </c>
      <c r="H5819" t="s">
        <v>8926</v>
      </c>
      <c r="I5819" t="s">
        <v>26465</v>
      </c>
      <c r="L5819" t="s">
        <v>26466</v>
      </c>
      <c r="M5819" t="s">
        <v>26467</v>
      </c>
      <c r="Q5819" t="s">
        <v>26468</v>
      </c>
      <c r="Y5819" t="s">
        <v>8929</v>
      </c>
    </row>
    <row r="5820" spans="1:25" x14ac:dyDescent="0.25">
      <c r="A5820" t="str">
        <f>"19850625167"</f>
        <v>19850625167</v>
      </c>
      <c r="B5820" t="s">
        <v>96</v>
      </c>
      <c r="C5820" t="s">
        <v>7071</v>
      </c>
      <c r="D5820" t="s">
        <v>26469</v>
      </c>
      <c r="E5820">
        <v>424038</v>
      </c>
      <c r="F5820" t="s">
        <v>1</v>
      </c>
      <c r="G5820" t="s">
        <v>2</v>
      </c>
      <c r="H5820" t="s">
        <v>16808</v>
      </c>
      <c r="P5820" t="s">
        <v>144</v>
      </c>
      <c r="Y5820" t="s">
        <v>26470</v>
      </c>
    </row>
    <row r="5821" spans="1:25" x14ac:dyDescent="0.25">
      <c r="A5821" t="str">
        <f>"19864975779"</f>
        <v>19864975779</v>
      </c>
      <c r="B5821" t="s">
        <v>1391</v>
      </c>
      <c r="C5821" t="s">
        <v>1392</v>
      </c>
      <c r="D5821" t="s">
        <v>26471</v>
      </c>
      <c r="E5821">
        <v>424030</v>
      </c>
      <c r="F5821" t="s">
        <v>1</v>
      </c>
      <c r="G5821" t="s">
        <v>2</v>
      </c>
      <c r="H5821" t="s">
        <v>15539</v>
      </c>
      <c r="J5821" t="s">
        <v>26472</v>
      </c>
      <c r="P5821" t="s">
        <v>330</v>
      </c>
      <c r="Y5821" t="s">
        <v>15540</v>
      </c>
    </row>
    <row r="5822" spans="1:25" x14ac:dyDescent="0.25">
      <c r="A5822" t="str">
        <f>"19877333542"</f>
        <v>19877333542</v>
      </c>
      <c r="B5822" t="s">
        <v>2104</v>
      </c>
      <c r="C5822" t="s">
        <v>13387</v>
      </c>
      <c r="D5822" t="s">
        <v>26473</v>
      </c>
      <c r="E5822">
        <v>424007</v>
      </c>
      <c r="F5822" t="s">
        <v>1</v>
      </c>
      <c r="G5822" t="s">
        <v>2</v>
      </c>
      <c r="H5822" t="s">
        <v>4666</v>
      </c>
      <c r="Y5822" t="s">
        <v>26474</v>
      </c>
    </row>
    <row r="5823" spans="1:25" x14ac:dyDescent="0.25">
      <c r="A5823" t="str">
        <f>"19899583056"</f>
        <v>19899583056</v>
      </c>
      <c r="B5823" t="s">
        <v>738</v>
      </c>
      <c r="C5823" t="s">
        <v>26479</v>
      </c>
      <c r="D5823" t="s">
        <v>26475</v>
      </c>
      <c r="E5823">
        <v>424036</v>
      </c>
      <c r="F5823" t="s">
        <v>1</v>
      </c>
      <c r="G5823" t="s">
        <v>2</v>
      </c>
      <c r="H5823" t="s">
        <v>180</v>
      </c>
      <c r="I5823" t="s">
        <v>26476</v>
      </c>
      <c r="L5823" t="s">
        <v>26477</v>
      </c>
      <c r="M5823" t="s">
        <v>26478</v>
      </c>
      <c r="P5823" t="s">
        <v>5459</v>
      </c>
      <c r="Q5823" t="s">
        <v>26480</v>
      </c>
      <c r="T5823" t="s">
        <v>26481</v>
      </c>
      <c r="Y5823" t="s">
        <v>184</v>
      </c>
    </row>
    <row r="5824" spans="1:25" x14ac:dyDescent="0.25">
      <c r="A5824" t="str">
        <f>"19965039594"</f>
        <v>19965039594</v>
      </c>
      <c r="B5824" t="s">
        <v>930</v>
      </c>
      <c r="C5824" t="s">
        <v>9679</v>
      </c>
      <c r="D5824" t="s">
        <v>26482</v>
      </c>
      <c r="E5824">
        <v>424032</v>
      </c>
      <c r="F5824" t="s">
        <v>1</v>
      </c>
      <c r="G5824" t="s">
        <v>2</v>
      </c>
      <c r="H5824" t="s">
        <v>26483</v>
      </c>
      <c r="J5824" t="s">
        <v>26484</v>
      </c>
      <c r="P5824" t="s">
        <v>34</v>
      </c>
      <c r="Y5824" t="s">
        <v>26485</v>
      </c>
    </row>
    <row r="5825" spans="1:25" x14ac:dyDescent="0.25">
      <c r="A5825" t="str">
        <f>"19980784637"</f>
        <v>19980784637</v>
      </c>
      <c r="B5825" t="s">
        <v>348</v>
      </c>
      <c r="C5825" t="s">
        <v>12108</v>
      </c>
      <c r="D5825" t="s">
        <v>26097</v>
      </c>
      <c r="E5825">
        <v>424038</v>
      </c>
      <c r="F5825" t="s">
        <v>1</v>
      </c>
      <c r="G5825" t="s">
        <v>2</v>
      </c>
      <c r="H5825" t="s">
        <v>16183</v>
      </c>
      <c r="J5825" t="s">
        <v>26486</v>
      </c>
      <c r="P5825" t="s">
        <v>1027</v>
      </c>
      <c r="Q5825" t="s">
        <v>22776</v>
      </c>
      <c r="V5825" t="s">
        <v>26487</v>
      </c>
      <c r="Y5825" t="s">
        <v>26488</v>
      </c>
    </row>
    <row r="5826" spans="1:25" x14ac:dyDescent="0.25">
      <c r="A5826" t="str">
        <f>"20003860449"</f>
        <v>20003860449</v>
      </c>
      <c r="B5826" t="s">
        <v>80</v>
      </c>
      <c r="C5826" t="s">
        <v>3295</v>
      </c>
      <c r="D5826" t="s">
        <v>26489</v>
      </c>
      <c r="E5826">
        <v>424003</v>
      </c>
      <c r="F5826" t="s">
        <v>1</v>
      </c>
      <c r="G5826" t="s">
        <v>2</v>
      </c>
      <c r="H5826" t="s">
        <v>1725</v>
      </c>
      <c r="Y5826" t="s">
        <v>26490</v>
      </c>
    </row>
    <row r="5827" spans="1:25" x14ac:dyDescent="0.25">
      <c r="A5827" t="str">
        <f>"20026587751"</f>
        <v>20026587751</v>
      </c>
      <c r="B5827" t="s">
        <v>978</v>
      </c>
      <c r="C5827" t="s">
        <v>26496</v>
      </c>
      <c r="D5827" t="s">
        <v>26491</v>
      </c>
      <c r="E5827">
        <v>424040</v>
      </c>
      <c r="F5827" t="s">
        <v>1</v>
      </c>
      <c r="G5827" t="s">
        <v>2</v>
      </c>
      <c r="H5827" t="s">
        <v>26492</v>
      </c>
      <c r="I5827" t="s">
        <v>26493</v>
      </c>
      <c r="L5827" t="s">
        <v>26494</v>
      </c>
      <c r="M5827" t="s">
        <v>26495</v>
      </c>
      <c r="P5827" t="s">
        <v>60</v>
      </c>
      <c r="Y5827" t="s">
        <v>26497</v>
      </c>
    </row>
    <row r="5828" spans="1:25" x14ac:dyDescent="0.25">
      <c r="A5828" t="str">
        <f>"20029877913"</f>
        <v>20029877913</v>
      </c>
      <c r="B5828" t="s">
        <v>574</v>
      </c>
      <c r="C5828" t="s">
        <v>646</v>
      </c>
      <c r="D5828" t="s">
        <v>26498</v>
      </c>
      <c r="E5828">
        <v>424031</v>
      </c>
      <c r="F5828" t="s">
        <v>1</v>
      </c>
      <c r="G5828" t="s">
        <v>2</v>
      </c>
      <c r="H5828" t="s">
        <v>3962</v>
      </c>
      <c r="Y5828" t="s">
        <v>26499</v>
      </c>
    </row>
    <row r="5829" spans="1:25" x14ac:dyDescent="0.25">
      <c r="A5829" t="str">
        <f>"20048229505"</f>
        <v>20048229505</v>
      </c>
      <c r="B5829" t="s">
        <v>24124</v>
      </c>
      <c r="C5829" t="s">
        <v>24125</v>
      </c>
      <c r="D5829" t="s">
        <v>24168</v>
      </c>
      <c r="E5829">
        <v>424033</v>
      </c>
      <c r="F5829" t="s">
        <v>1</v>
      </c>
      <c r="G5829" t="s">
        <v>2</v>
      </c>
      <c r="H5829" t="s">
        <v>2342</v>
      </c>
      <c r="J5829" t="s">
        <v>24170</v>
      </c>
      <c r="L5829" t="s">
        <v>24171</v>
      </c>
      <c r="Q5829" t="s">
        <v>26500</v>
      </c>
      <c r="Y5829" t="s">
        <v>26501</v>
      </c>
    </row>
    <row r="5830" spans="1:25" x14ac:dyDescent="0.25">
      <c r="A5830" t="str">
        <f>"20072263981"</f>
        <v>20072263981</v>
      </c>
      <c r="B5830" t="s">
        <v>96</v>
      </c>
      <c r="C5830" t="s">
        <v>893</v>
      </c>
      <c r="D5830" t="s">
        <v>26502</v>
      </c>
      <c r="E5830">
        <v>424003</v>
      </c>
      <c r="F5830" t="s">
        <v>1</v>
      </c>
      <c r="G5830" t="s">
        <v>2</v>
      </c>
      <c r="H5830" t="s">
        <v>720</v>
      </c>
      <c r="Y5830" t="s">
        <v>26503</v>
      </c>
    </row>
    <row r="5831" spans="1:25" x14ac:dyDescent="0.25">
      <c r="A5831" t="str">
        <f>"20088135868"</f>
        <v>20088135868</v>
      </c>
      <c r="B5831" t="s">
        <v>978</v>
      </c>
      <c r="C5831" t="s">
        <v>1659</v>
      </c>
      <c r="D5831" t="s">
        <v>26504</v>
      </c>
      <c r="E5831">
        <v>424031</v>
      </c>
      <c r="F5831" t="s">
        <v>1</v>
      </c>
      <c r="G5831" t="s">
        <v>2</v>
      </c>
      <c r="H5831" t="s">
        <v>4622</v>
      </c>
      <c r="Y5831" t="s">
        <v>26505</v>
      </c>
    </row>
    <row r="5832" spans="1:25" x14ac:dyDescent="0.25">
      <c r="A5832" t="str">
        <f>"20098173350"</f>
        <v>20098173350</v>
      </c>
      <c r="B5832" t="s">
        <v>1046</v>
      </c>
      <c r="C5832" t="s">
        <v>2695</v>
      </c>
      <c r="D5832" t="s">
        <v>3493</v>
      </c>
      <c r="E5832">
        <v>424006</v>
      </c>
      <c r="F5832" t="s">
        <v>1</v>
      </c>
      <c r="G5832" t="s">
        <v>2</v>
      </c>
      <c r="H5832" t="s">
        <v>2012</v>
      </c>
      <c r="I5832" t="s">
        <v>26506</v>
      </c>
      <c r="J5832" t="s">
        <v>26507</v>
      </c>
      <c r="L5832" t="s">
        <v>4449</v>
      </c>
      <c r="M5832" t="s">
        <v>26508</v>
      </c>
      <c r="P5832" t="s">
        <v>330</v>
      </c>
      <c r="Q5832" t="s">
        <v>26509</v>
      </c>
      <c r="Y5832" t="s">
        <v>26510</v>
      </c>
    </row>
    <row r="5833" spans="1:25" x14ac:dyDescent="0.25">
      <c r="A5833" t="str">
        <f>"20102714598"</f>
        <v>20102714598</v>
      </c>
      <c r="B5833" t="s">
        <v>117</v>
      </c>
      <c r="C5833" t="s">
        <v>873</v>
      </c>
      <c r="D5833" t="s">
        <v>873</v>
      </c>
      <c r="F5833" t="s">
        <v>1</v>
      </c>
      <c r="G5833" t="s">
        <v>2</v>
      </c>
      <c r="H5833" t="s">
        <v>26511</v>
      </c>
      <c r="Y5833" t="s">
        <v>26512</v>
      </c>
    </row>
    <row r="5834" spans="1:25" x14ac:dyDescent="0.25">
      <c r="A5834" t="str">
        <f>"20112139793"</f>
        <v>20112139793</v>
      </c>
      <c r="B5834" t="s">
        <v>430</v>
      </c>
      <c r="C5834" t="s">
        <v>26515</v>
      </c>
      <c r="D5834" t="s">
        <v>26513</v>
      </c>
      <c r="E5834">
        <v>424000</v>
      </c>
      <c r="F5834" t="s">
        <v>1</v>
      </c>
      <c r="G5834" t="s">
        <v>2</v>
      </c>
      <c r="H5834" t="s">
        <v>1531</v>
      </c>
      <c r="M5834" t="s">
        <v>26514</v>
      </c>
      <c r="P5834" t="s">
        <v>12947</v>
      </c>
      <c r="Y5834" t="s">
        <v>1707</v>
      </c>
    </row>
    <row r="5835" spans="1:25" x14ac:dyDescent="0.25">
      <c r="A5835" t="str">
        <f>"20130698657"</f>
        <v>20130698657</v>
      </c>
      <c r="B5835" t="s">
        <v>1046</v>
      </c>
      <c r="C5835" t="s">
        <v>26517</v>
      </c>
      <c r="D5835" t="s">
        <v>26516</v>
      </c>
      <c r="E5835">
        <v>424003</v>
      </c>
      <c r="F5835" t="s">
        <v>1</v>
      </c>
      <c r="G5835" t="s">
        <v>2</v>
      </c>
      <c r="H5835" t="s">
        <v>6759</v>
      </c>
      <c r="P5835" t="s">
        <v>26518</v>
      </c>
      <c r="Y5835" t="s">
        <v>26519</v>
      </c>
    </row>
    <row r="5836" spans="1:25" x14ac:dyDescent="0.25">
      <c r="A5836" t="str">
        <f>"20167594875"</f>
        <v>20167594875</v>
      </c>
      <c r="B5836" t="s">
        <v>430</v>
      </c>
      <c r="C5836" t="s">
        <v>16178</v>
      </c>
      <c r="D5836" t="s">
        <v>10135</v>
      </c>
      <c r="F5836" t="s">
        <v>1</v>
      </c>
      <c r="G5836" t="s">
        <v>2</v>
      </c>
      <c r="H5836" t="s">
        <v>23519</v>
      </c>
      <c r="Y5836" t="s">
        <v>26520</v>
      </c>
    </row>
    <row r="5837" spans="1:25" x14ac:dyDescent="0.25">
      <c r="A5837" t="str">
        <f>"20172210138"</f>
        <v>20172210138</v>
      </c>
      <c r="B5837" t="s">
        <v>233</v>
      </c>
      <c r="C5837" t="s">
        <v>14003</v>
      </c>
      <c r="D5837" t="s">
        <v>22154</v>
      </c>
      <c r="E5837">
        <v>424005</v>
      </c>
      <c r="F5837" t="s">
        <v>1</v>
      </c>
      <c r="G5837" t="s">
        <v>2</v>
      </c>
      <c r="H5837" t="s">
        <v>1148</v>
      </c>
      <c r="Y5837" t="s">
        <v>26521</v>
      </c>
    </row>
    <row r="5838" spans="1:25" x14ac:dyDescent="0.25">
      <c r="A5838" t="str">
        <f>"20174765283"</f>
        <v>20174765283</v>
      </c>
      <c r="B5838" t="s">
        <v>18</v>
      </c>
      <c r="C5838" t="s">
        <v>26525</v>
      </c>
      <c r="D5838" t="s">
        <v>26522</v>
      </c>
      <c r="E5838">
        <v>424006</v>
      </c>
      <c r="F5838" t="s">
        <v>1</v>
      </c>
      <c r="G5838" t="s">
        <v>2</v>
      </c>
      <c r="H5838" t="s">
        <v>8622</v>
      </c>
      <c r="I5838" t="s">
        <v>26523</v>
      </c>
      <c r="M5838" t="s">
        <v>26524</v>
      </c>
      <c r="P5838" t="s">
        <v>3379</v>
      </c>
      <c r="Y5838" t="s">
        <v>8866</v>
      </c>
    </row>
    <row r="5839" spans="1:25" x14ac:dyDescent="0.25">
      <c r="A5839" t="str">
        <f>"20294377482"</f>
        <v>20294377482</v>
      </c>
      <c r="B5839" t="s">
        <v>738</v>
      </c>
      <c r="C5839" t="s">
        <v>1463</v>
      </c>
      <c r="D5839" t="s">
        <v>26526</v>
      </c>
      <c r="E5839">
        <v>424005</v>
      </c>
      <c r="F5839" t="s">
        <v>1</v>
      </c>
      <c r="G5839" t="s">
        <v>2</v>
      </c>
      <c r="H5839" t="s">
        <v>22463</v>
      </c>
      <c r="I5839" t="s">
        <v>26527</v>
      </c>
      <c r="P5839" t="s">
        <v>2296</v>
      </c>
      <c r="Y5839" t="s">
        <v>26528</v>
      </c>
    </row>
    <row r="5840" spans="1:25" x14ac:dyDescent="0.25">
      <c r="A5840" t="str">
        <f>"20298741845"</f>
        <v>20298741845</v>
      </c>
      <c r="B5840" t="s">
        <v>574</v>
      </c>
      <c r="C5840" t="s">
        <v>10644</v>
      </c>
      <c r="D5840" t="s">
        <v>3388</v>
      </c>
      <c r="E5840">
        <v>424005</v>
      </c>
      <c r="F5840" t="s">
        <v>1</v>
      </c>
      <c r="G5840" t="s">
        <v>2</v>
      </c>
      <c r="H5840" t="s">
        <v>15422</v>
      </c>
      <c r="I5840" t="s">
        <v>26529</v>
      </c>
      <c r="P5840" t="s">
        <v>9840</v>
      </c>
      <c r="Y5840" t="s">
        <v>26530</v>
      </c>
    </row>
    <row r="5841" spans="1:25" x14ac:dyDescent="0.25">
      <c r="A5841" t="str">
        <f>"20307403289"</f>
        <v>20307403289</v>
      </c>
      <c r="B5841" t="s">
        <v>1182</v>
      </c>
      <c r="C5841" t="s">
        <v>26531</v>
      </c>
      <c r="D5841" t="s">
        <v>5408</v>
      </c>
      <c r="E5841">
        <v>424039</v>
      </c>
      <c r="F5841" t="s">
        <v>1</v>
      </c>
      <c r="G5841" t="s">
        <v>2</v>
      </c>
      <c r="H5841" t="s">
        <v>23651</v>
      </c>
      <c r="Y5841" t="s">
        <v>26532</v>
      </c>
    </row>
    <row r="5842" spans="1:25" x14ac:dyDescent="0.25">
      <c r="A5842" t="str">
        <f>"20326085843"</f>
        <v>20326085843</v>
      </c>
      <c r="B5842" t="s">
        <v>96</v>
      </c>
      <c r="C5842" t="s">
        <v>893</v>
      </c>
      <c r="D5842" t="s">
        <v>26533</v>
      </c>
      <c r="E5842">
        <v>424038</v>
      </c>
      <c r="F5842" t="s">
        <v>1</v>
      </c>
      <c r="G5842" t="s">
        <v>2</v>
      </c>
      <c r="H5842" t="s">
        <v>19499</v>
      </c>
      <c r="P5842" t="s">
        <v>144</v>
      </c>
      <c r="Q5842" t="s">
        <v>26534</v>
      </c>
      <c r="Y5842" t="s">
        <v>24185</v>
      </c>
    </row>
    <row r="5843" spans="1:25" x14ac:dyDescent="0.25">
      <c r="A5843" t="str">
        <f>"20343606326"</f>
        <v>20343606326</v>
      </c>
      <c r="B5843" t="s">
        <v>574</v>
      </c>
      <c r="C5843" t="s">
        <v>646</v>
      </c>
      <c r="D5843" t="s">
        <v>24083</v>
      </c>
      <c r="E5843">
        <v>424038</v>
      </c>
      <c r="F5843" t="s">
        <v>1</v>
      </c>
      <c r="G5843" t="s">
        <v>2</v>
      </c>
      <c r="H5843" t="s">
        <v>6059</v>
      </c>
      <c r="L5843" t="s">
        <v>26535</v>
      </c>
      <c r="M5843" t="s">
        <v>26536</v>
      </c>
      <c r="P5843" t="s">
        <v>410</v>
      </c>
      <c r="Q5843" t="s">
        <v>26537</v>
      </c>
      <c r="T5843" t="s">
        <v>26538</v>
      </c>
      <c r="V5843" t="s">
        <v>26539</v>
      </c>
      <c r="Y5843" t="s">
        <v>26540</v>
      </c>
    </row>
    <row r="5844" spans="1:25" x14ac:dyDescent="0.25">
      <c r="A5844" t="str">
        <f>"20445119182"</f>
        <v>20445119182</v>
      </c>
      <c r="B5844" t="s">
        <v>18</v>
      </c>
      <c r="C5844" t="s">
        <v>26544</v>
      </c>
      <c r="D5844" t="s">
        <v>26541</v>
      </c>
      <c r="E5844">
        <v>424016</v>
      </c>
      <c r="F5844" t="s">
        <v>1</v>
      </c>
      <c r="G5844" t="s">
        <v>2</v>
      </c>
      <c r="H5844" t="s">
        <v>26542</v>
      </c>
      <c r="I5844" t="s">
        <v>26543</v>
      </c>
      <c r="P5844" t="s">
        <v>11204</v>
      </c>
      <c r="Y5844" t="s">
        <v>26545</v>
      </c>
    </row>
    <row r="5845" spans="1:25" x14ac:dyDescent="0.25">
      <c r="A5845" t="str">
        <f>"20449133930"</f>
        <v>20449133930</v>
      </c>
      <c r="B5845" t="s">
        <v>32</v>
      </c>
      <c r="C5845" t="s">
        <v>40</v>
      </c>
      <c r="D5845" t="s">
        <v>40</v>
      </c>
      <c r="E5845">
        <v>424038</v>
      </c>
      <c r="F5845" t="s">
        <v>1</v>
      </c>
      <c r="G5845" t="s">
        <v>2</v>
      </c>
      <c r="H5845" t="s">
        <v>12580</v>
      </c>
      <c r="P5845" t="s">
        <v>27</v>
      </c>
      <c r="Y5845" t="s">
        <v>26546</v>
      </c>
    </row>
    <row r="5846" spans="1:25" x14ac:dyDescent="0.25">
      <c r="A5846" t="str">
        <f>"20491719410"</f>
        <v>20491719410</v>
      </c>
      <c r="B5846" t="s">
        <v>1078</v>
      </c>
      <c r="C5846" t="s">
        <v>26548</v>
      </c>
      <c r="D5846" t="s">
        <v>26547</v>
      </c>
      <c r="E5846">
        <v>424007</v>
      </c>
      <c r="F5846" t="s">
        <v>1</v>
      </c>
      <c r="G5846" t="s">
        <v>2</v>
      </c>
      <c r="H5846" t="s">
        <v>5178</v>
      </c>
      <c r="P5846" t="s">
        <v>2731</v>
      </c>
      <c r="Y5846" t="s">
        <v>26549</v>
      </c>
    </row>
    <row r="5847" spans="1:25" x14ac:dyDescent="0.25">
      <c r="A5847" t="str">
        <f>"20505470944"</f>
        <v>20505470944</v>
      </c>
      <c r="B5847" t="s">
        <v>930</v>
      </c>
      <c r="C5847" t="s">
        <v>26553</v>
      </c>
      <c r="D5847" t="s">
        <v>26550</v>
      </c>
      <c r="E5847">
        <v>424913</v>
      </c>
      <c r="F5847" t="s">
        <v>1</v>
      </c>
      <c r="G5847" t="s">
        <v>2</v>
      </c>
      <c r="H5847" t="s">
        <v>22035</v>
      </c>
      <c r="I5847" t="s">
        <v>23449</v>
      </c>
      <c r="L5847" t="s">
        <v>26551</v>
      </c>
      <c r="M5847" t="s">
        <v>26552</v>
      </c>
      <c r="P5847" t="s">
        <v>22040</v>
      </c>
      <c r="Q5847" t="s">
        <v>26554</v>
      </c>
      <c r="V5847" t="s">
        <v>26555</v>
      </c>
      <c r="Y5847" t="s">
        <v>26556</v>
      </c>
    </row>
    <row r="5848" spans="1:25" x14ac:dyDescent="0.25">
      <c r="A5848" t="str">
        <f>"20559993563"</f>
        <v>20559993563</v>
      </c>
      <c r="B5848" t="s">
        <v>417</v>
      </c>
      <c r="C5848" t="s">
        <v>418</v>
      </c>
      <c r="D5848" t="s">
        <v>26557</v>
      </c>
      <c r="F5848" t="s">
        <v>1</v>
      </c>
      <c r="G5848" t="s">
        <v>2</v>
      </c>
      <c r="H5848" t="s">
        <v>26558</v>
      </c>
      <c r="J5848" t="s">
        <v>26559</v>
      </c>
      <c r="P5848" t="s">
        <v>1160</v>
      </c>
      <c r="Y5848" t="s">
        <v>26560</v>
      </c>
    </row>
    <row r="5849" spans="1:25" x14ac:dyDescent="0.25">
      <c r="A5849" t="str">
        <f>"20575321720"</f>
        <v>20575321720</v>
      </c>
      <c r="B5849" t="s">
        <v>574</v>
      </c>
      <c r="C5849" t="s">
        <v>26561</v>
      </c>
      <c r="D5849" t="s">
        <v>24404</v>
      </c>
      <c r="E5849">
        <v>424002</v>
      </c>
      <c r="F5849" t="s">
        <v>1</v>
      </c>
      <c r="G5849" t="s">
        <v>2</v>
      </c>
      <c r="H5849" t="s">
        <v>21766</v>
      </c>
      <c r="Y5849" t="s">
        <v>26562</v>
      </c>
    </row>
    <row r="5850" spans="1:25" x14ac:dyDescent="0.25">
      <c r="A5850" t="str">
        <f>"20582710398"</f>
        <v>20582710398</v>
      </c>
      <c r="B5850" t="s">
        <v>1046</v>
      </c>
      <c r="C5850" t="s">
        <v>22946</v>
      </c>
      <c r="D5850" t="s">
        <v>22946</v>
      </c>
      <c r="F5850" t="s">
        <v>1</v>
      </c>
      <c r="G5850" t="s">
        <v>2</v>
      </c>
      <c r="H5850" t="s">
        <v>26563</v>
      </c>
      <c r="Y5850" t="s">
        <v>26564</v>
      </c>
    </row>
    <row r="5851" spans="1:25" x14ac:dyDescent="0.25">
      <c r="A5851" t="str">
        <f>"20613842142"</f>
        <v>20613842142</v>
      </c>
      <c r="B5851" t="s">
        <v>117</v>
      </c>
      <c r="C5851" t="s">
        <v>873</v>
      </c>
      <c r="D5851" t="s">
        <v>873</v>
      </c>
      <c r="F5851" t="s">
        <v>1</v>
      </c>
      <c r="G5851" t="s">
        <v>2</v>
      </c>
      <c r="H5851" t="s">
        <v>26565</v>
      </c>
      <c r="Y5851" t="s">
        <v>26566</v>
      </c>
    </row>
    <row r="5852" spans="1:25" x14ac:dyDescent="0.25">
      <c r="A5852" t="str">
        <f>"20644272247"</f>
        <v>20644272247</v>
      </c>
      <c r="B5852" t="s">
        <v>96</v>
      </c>
      <c r="C5852" t="s">
        <v>659</v>
      </c>
      <c r="D5852" t="s">
        <v>12999</v>
      </c>
      <c r="E5852">
        <v>424019</v>
      </c>
      <c r="F5852" t="s">
        <v>1</v>
      </c>
      <c r="G5852" t="s">
        <v>2</v>
      </c>
      <c r="H5852" t="s">
        <v>21391</v>
      </c>
      <c r="Y5852" t="s">
        <v>26567</v>
      </c>
    </row>
    <row r="5853" spans="1:25" x14ac:dyDescent="0.25">
      <c r="A5853" t="str">
        <f>"20690405137"</f>
        <v>20690405137</v>
      </c>
      <c r="B5853" t="s">
        <v>1222</v>
      </c>
      <c r="C5853" t="s">
        <v>12247</v>
      </c>
      <c r="D5853" t="s">
        <v>26568</v>
      </c>
      <c r="E5853">
        <v>424000</v>
      </c>
      <c r="F5853" t="s">
        <v>1</v>
      </c>
      <c r="G5853" t="s">
        <v>2</v>
      </c>
      <c r="H5853" t="s">
        <v>5717</v>
      </c>
      <c r="I5853" t="s">
        <v>26569</v>
      </c>
      <c r="L5853" t="s">
        <v>26570</v>
      </c>
      <c r="P5853" t="s">
        <v>2951</v>
      </c>
      <c r="Q5853" t="s">
        <v>26571</v>
      </c>
      <c r="V5853" t="s">
        <v>26572</v>
      </c>
      <c r="Y5853" t="s">
        <v>26573</v>
      </c>
    </row>
    <row r="5854" spans="1:25" x14ac:dyDescent="0.25">
      <c r="A5854" t="str">
        <f>"20704686026"</f>
        <v>20704686026</v>
      </c>
      <c r="B5854" t="s">
        <v>96</v>
      </c>
      <c r="C5854" t="s">
        <v>14175</v>
      </c>
      <c r="D5854" t="s">
        <v>26574</v>
      </c>
      <c r="E5854">
        <v>424003</v>
      </c>
      <c r="F5854" t="s">
        <v>1</v>
      </c>
      <c r="G5854" t="s">
        <v>2</v>
      </c>
      <c r="H5854" t="s">
        <v>4546</v>
      </c>
      <c r="Y5854" t="s">
        <v>26575</v>
      </c>
    </row>
    <row r="5855" spans="1:25" x14ac:dyDescent="0.25">
      <c r="A5855" t="str">
        <f>"20731034307"</f>
        <v>20731034307</v>
      </c>
      <c r="B5855" t="s">
        <v>96</v>
      </c>
      <c r="C5855" t="s">
        <v>5883</v>
      </c>
      <c r="D5855" t="s">
        <v>19130</v>
      </c>
      <c r="E5855">
        <v>424002</v>
      </c>
      <c r="F5855" t="s">
        <v>1</v>
      </c>
      <c r="G5855" t="s">
        <v>2</v>
      </c>
      <c r="H5855" t="s">
        <v>5806</v>
      </c>
      <c r="Y5855" t="s">
        <v>26576</v>
      </c>
    </row>
    <row r="5856" spans="1:25" x14ac:dyDescent="0.25">
      <c r="A5856" t="str">
        <f>"20748433676"</f>
        <v>20748433676</v>
      </c>
      <c r="B5856" t="s">
        <v>96</v>
      </c>
      <c r="C5856" t="s">
        <v>5883</v>
      </c>
      <c r="D5856" t="s">
        <v>26577</v>
      </c>
      <c r="E5856">
        <v>424008</v>
      </c>
      <c r="F5856" t="s">
        <v>1</v>
      </c>
      <c r="G5856" t="s">
        <v>2</v>
      </c>
      <c r="H5856" t="s">
        <v>1031</v>
      </c>
      <c r="Y5856" t="s">
        <v>26578</v>
      </c>
    </row>
    <row r="5857" spans="1:25" x14ac:dyDescent="0.25">
      <c r="A5857" t="str">
        <f>"20749191437"</f>
        <v>20749191437</v>
      </c>
      <c r="B5857" t="s">
        <v>397</v>
      </c>
      <c r="C5857" t="s">
        <v>4331</v>
      </c>
      <c r="D5857" t="s">
        <v>26579</v>
      </c>
      <c r="E5857">
        <v>424003</v>
      </c>
      <c r="F5857" t="s">
        <v>1</v>
      </c>
      <c r="G5857" t="s">
        <v>2</v>
      </c>
      <c r="H5857" t="s">
        <v>26580</v>
      </c>
      <c r="J5857" t="s">
        <v>26581</v>
      </c>
      <c r="P5857" t="s">
        <v>2280</v>
      </c>
      <c r="Y5857" t="s">
        <v>26582</v>
      </c>
    </row>
    <row r="5858" spans="1:25" x14ac:dyDescent="0.25">
      <c r="A5858" t="str">
        <f>"20842244755"</f>
        <v>20842244755</v>
      </c>
      <c r="B5858" t="s">
        <v>430</v>
      </c>
      <c r="C5858" t="s">
        <v>940</v>
      </c>
      <c r="D5858" t="s">
        <v>26583</v>
      </c>
      <c r="E5858">
        <v>424006</v>
      </c>
      <c r="F5858" t="s">
        <v>1</v>
      </c>
      <c r="G5858" t="s">
        <v>2</v>
      </c>
      <c r="H5858" t="s">
        <v>26584</v>
      </c>
      <c r="J5858" t="s">
        <v>26585</v>
      </c>
      <c r="P5858" t="s">
        <v>2280</v>
      </c>
      <c r="Y5858" t="s">
        <v>26586</v>
      </c>
    </row>
    <row r="5859" spans="1:25" x14ac:dyDescent="0.25">
      <c r="A5859" t="str">
        <f>"20848669731"</f>
        <v>20848669731</v>
      </c>
      <c r="B5859" t="s">
        <v>1046</v>
      </c>
      <c r="C5859" t="s">
        <v>26517</v>
      </c>
      <c r="D5859" t="s">
        <v>26587</v>
      </c>
      <c r="E5859">
        <v>424038</v>
      </c>
      <c r="F5859" t="s">
        <v>1</v>
      </c>
      <c r="G5859" t="s">
        <v>2</v>
      </c>
      <c r="H5859" t="s">
        <v>1862</v>
      </c>
      <c r="I5859" t="s">
        <v>26588</v>
      </c>
      <c r="L5859" t="s">
        <v>26589</v>
      </c>
      <c r="P5859" t="s">
        <v>26590</v>
      </c>
      <c r="Q5859" t="s">
        <v>26591</v>
      </c>
      <c r="V5859" t="s">
        <v>26592</v>
      </c>
      <c r="Y5859" t="s">
        <v>26593</v>
      </c>
    </row>
    <row r="5860" spans="1:25" x14ac:dyDescent="0.25">
      <c r="A5860" t="str">
        <f>"20854799059"</f>
        <v>20854799059</v>
      </c>
      <c r="B5860" t="s">
        <v>117</v>
      </c>
      <c r="C5860" t="s">
        <v>873</v>
      </c>
      <c r="D5860" t="s">
        <v>873</v>
      </c>
      <c r="F5860" t="s">
        <v>1</v>
      </c>
      <c r="G5860" t="s">
        <v>2</v>
      </c>
      <c r="H5860" t="s">
        <v>26594</v>
      </c>
      <c r="Y5860" t="s">
        <v>26595</v>
      </c>
    </row>
    <row r="5861" spans="1:25" x14ac:dyDescent="0.25">
      <c r="A5861" t="str">
        <f>"20862408778"</f>
        <v>20862408778</v>
      </c>
      <c r="B5861" t="s">
        <v>1362</v>
      </c>
      <c r="C5861" t="s">
        <v>8728</v>
      </c>
      <c r="D5861" t="s">
        <v>26596</v>
      </c>
      <c r="E5861">
        <v>424007</v>
      </c>
      <c r="F5861" t="s">
        <v>1</v>
      </c>
      <c r="G5861" t="s">
        <v>2</v>
      </c>
      <c r="H5861" t="s">
        <v>14570</v>
      </c>
      <c r="I5861" t="s">
        <v>26597</v>
      </c>
      <c r="P5861" t="s">
        <v>20</v>
      </c>
      <c r="Y5861" t="s">
        <v>14573</v>
      </c>
    </row>
    <row r="5862" spans="1:25" x14ac:dyDescent="0.25">
      <c r="A5862" t="str">
        <f>"20867987509"</f>
        <v>20867987509</v>
      </c>
      <c r="B5862" t="s">
        <v>640</v>
      </c>
      <c r="C5862" t="s">
        <v>26599</v>
      </c>
      <c r="D5862" t="s">
        <v>26598</v>
      </c>
      <c r="E5862">
        <v>424000</v>
      </c>
      <c r="F5862" t="s">
        <v>1</v>
      </c>
      <c r="G5862" t="s">
        <v>2</v>
      </c>
      <c r="H5862" t="s">
        <v>128</v>
      </c>
      <c r="Y5862" t="s">
        <v>5640</v>
      </c>
    </row>
    <row r="5863" spans="1:25" x14ac:dyDescent="0.25">
      <c r="A5863" t="str">
        <f>"21008859196"</f>
        <v>21008859196</v>
      </c>
      <c r="B5863" t="s">
        <v>16429</v>
      </c>
      <c r="C5863" t="s">
        <v>16430</v>
      </c>
      <c r="D5863" t="s">
        <v>26600</v>
      </c>
      <c r="E5863">
        <v>424005</v>
      </c>
      <c r="F5863" t="s">
        <v>1</v>
      </c>
      <c r="G5863" t="s">
        <v>2</v>
      </c>
      <c r="H5863" t="s">
        <v>7480</v>
      </c>
      <c r="Y5863" t="s">
        <v>7482</v>
      </c>
    </row>
    <row r="5864" spans="1:25" x14ac:dyDescent="0.25">
      <c r="A5864" t="str">
        <f>"21016090309"</f>
        <v>21016090309</v>
      </c>
      <c r="B5864" t="s">
        <v>188</v>
      </c>
      <c r="C5864" t="s">
        <v>23982</v>
      </c>
      <c r="D5864" t="s">
        <v>23982</v>
      </c>
      <c r="E5864">
        <v>424000</v>
      </c>
      <c r="F5864" t="s">
        <v>1</v>
      </c>
      <c r="G5864" t="s">
        <v>2</v>
      </c>
      <c r="H5864" t="s">
        <v>92</v>
      </c>
      <c r="Y5864" t="s">
        <v>26601</v>
      </c>
    </row>
    <row r="5865" spans="1:25" x14ac:dyDescent="0.25">
      <c r="A5865" t="str">
        <f>"21020681953"</f>
        <v>21020681953</v>
      </c>
      <c r="B5865" t="s">
        <v>1053</v>
      </c>
      <c r="C5865" t="s">
        <v>1799</v>
      </c>
      <c r="D5865" t="s">
        <v>23437</v>
      </c>
      <c r="E5865">
        <v>424007</v>
      </c>
      <c r="F5865" t="s">
        <v>1</v>
      </c>
      <c r="G5865" t="s">
        <v>2</v>
      </c>
      <c r="H5865" t="s">
        <v>5257</v>
      </c>
      <c r="Y5865" t="s">
        <v>26602</v>
      </c>
    </row>
    <row r="5866" spans="1:25" x14ac:dyDescent="0.25">
      <c r="A5866" t="str">
        <f>"21022699931"</f>
        <v>21022699931</v>
      </c>
      <c r="B5866" t="s">
        <v>348</v>
      </c>
      <c r="C5866" t="s">
        <v>21775</v>
      </c>
      <c r="D5866" t="s">
        <v>12817</v>
      </c>
      <c r="E5866">
        <v>424020</v>
      </c>
      <c r="F5866" t="s">
        <v>1</v>
      </c>
      <c r="G5866" t="s">
        <v>2</v>
      </c>
      <c r="H5866" t="s">
        <v>802</v>
      </c>
      <c r="Y5866" t="s">
        <v>26603</v>
      </c>
    </row>
    <row r="5867" spans="1:25" x14ac:dyDescent="0.25">
      <c r="A5867" t="str">
        <f>"21085062504"</f>
        <v>21085062504</v>
      </c>
      <c r="B5867" t="s">
        <v>1544</v>
      </c>
      <c r="C5867" t="s">
        <v>15598</v>
      </c>
      <c r="D5867" t="s">
        <v>23165</v>
      </c>
      <c r="E5867">
        <v>424005</v>
      </c>
      <c r="F5867" t="s">
        <v>1</v>
      </c>
      <c r="G5867" t="s">
        <v>2</v>
      </c>
      <c r="H5867" t="s">
        <v>4965</v>
      </c>
      <c r="Y5867" t="s">
        <v>26604</v>
      </c>
    </row>
    <row r="5868" spans="1:25" x14ac:dyDescent="0.25">
      <c r="A5868" t="str">
        <f>"21094006960"</f>
        <v>21094006960</v>
      </c>
      <c r="B5868" t="s">
        <v>1343</v>
      </c>
      <c r="C5868" t="s">
        <v>7789</v>
      </c>
      <c r="D5868" t="s">
        <v>26605</v>
      </c>
      <c r="E5868">
        <v>424019</v>
      </c>
      <c r="F5868" t="s">
        <v>1</v>
      </c>
      <c r="G5868" t="s">
        <v>2</v>
      </c>
      <c r="H5868" t="s">
        <v>12105</v>
      </c>
      <c r="Y5868" t="s">
        <v>26606</v>
      </c>
    </row>
    <row r="5869" spans="1:25" x14ac:dyDescent="0.25">
      <c r="A5869" t="str">
        <f>"21127237789"</f>
        <v>21127237789</v>
      </c>
      <c r="B5869" t="s">
        <v>123</v>
      </c>
      <c r="C5869" t="s">
        <v>18438</v>
      </c>
      <c r="D5869" t="s">
        <v>26607</v>
      </c>
      <c r="E5869">
        <v>424038</v>
      </c>
      <c r="F5869" t="s">
        <v>1</v>
      </c>
      <c r="G5869" t="s">
        <v>2</v>
      </c>
      <c r="H5869" t="s">
        <v>1366</v>
      </c>
      <c r="I5869" t="s">
        <v>26608</v>
      </c>
      <c r="J5869" t="s">
        <v>26609</v>
      </c>
      <c r="L5869" t="s">
        <v>26610</v>
      </c>
      <c r="M5869" t="s">
        <v>26611</v>
      </c>
      <c r="P5869" t="s">
        <v>2738</v>
      </c>
      <c r="Q5869" t="s">
        <v>26612</v>
      </c>
      <c r="R5869" t="s">
        <v>26613</v>
      </c>
      <c r="T5869" t="s">
        <v>26614</v>
      </c>
      <c r="U5869" t="s">
        <v>26615</v>
      </c>
      <c r="Y5869" t="s">
        <v>7381</v>
      </c>
    </row>
    <row r="5870" spans="1:25" x14ac:dyDescent="0.25">
      <c r="A5870" t="str">
        <f>"21160900165"</f>
        <v>21160900165</v>
      </c>
      <c r="B5870" t="s">
        <v>1152</v>
      </c>
      <c r="C5870" t="s">
        <v>1153</v>
      </c>
      <c r="D5870" t="s">
        <v>26616</v>
      </c>
      <c r="E5870">
        <v>424004</v>
      </c>
      <c r="F5870" t="s">
        <v>1</v>
      </c>
      <c r="G5870" t="s">
        <v>2</v>
      </c>
      <c r="H5870" t="s">
        <v>351</v>
      </c>
      <c r="Y5870" t="s">
        <v>354</v>
      </c>
    </row>
    <row r="5871" spans="1:25" x14ac:dyDescent="0.25">
      <c r="A5871" t="str">
        <f>"21166928904"</f>
        <v>21166928904</v>
      </c>
      <c r="B5871" t="s">
        <v>2818</v>
      </c>
      <c r="C5871" t="s">
        <v>26622</v>
      </c>
      <c r="D5871" t="s">
        <v>26617</v>
      </c>
      <c r="E5871">
        <v>424000</v>
      </c>
      <c r="F5871" t="s">
        <v>1</v>
      </c>
      <c r="G5871" t="s">
        <v>2</v>
      </c>
      <c r="H5871" t="s">
        <v>837</v>
      </c>
      <c r="I5871" t="s">
        <v>26618</v>
      </c>
      <c r="J5871" t="s">
        <v>26619</v>
      </c>
      <c r="L5871" t="s">
        <v>26620</v>
      </c>
      <c r="M5871" t="s">
        <v>26621</v>
      </c>
      <c r="P5871" t="s">
        <v>2923</v>
      </c>
      <c r="Q5871" t="s">
        <v>26623</v>
      </c>
      <c r="V5871" t="s">
        <v>26624</v>
      </c>
      <c r="Y5871" t="s">
        <v>26625</v>
      </c>
    </row>
    <row r="5872" spans="1:25" x14ac:dyDescent="0.25">
      <c r="A5872" t="str">
        <f>"21192220726"</f>
        <v>21192220726</v>
      </c>
      <c r="B5872" t="s">
        <v>96</v>
      </c>
      <c r="C5872" t="s">
        <v>695</v>
      </c>
      <c r="D5872" t="s">
        <v>26626</v>
      </c>
      <c r="E5872">
        <v>424020</v>
      </c>
      <c r="F5872" t="s">
        <v>1</v>
      </c>
      <c r="G5872" t="s">
        <v>2</v>
      </c>
      <c r="H5872" t="s">
        <v>2112</v>
      </c>
      <c r="Y5872" t="s">
        <v>26627</v>
      </c>
    </row>
    <row r="5873" spans="1:25" x14ac:dyDescent="0.25">
      <c r="A5873" t="str">
        <f>"21204217108"</f>
        <v>21204217108</v>
      </c>
      <c r="B5873" t="s">
        <v>224</v>
      </c>
      <c r="C5873" t="s">
        <v>26630</v>
      </c>
      <c r="D5873" t="s">
        <v>26628</v>
      </c>
      <c r="E5873">
        <v>424004</v>
      </c>
      <c r="F5873" t="s">
        <v>1</v>
      </c>
      <c r="G5873" t="s">
        <v>2</v>
      </c>
      <c r="H5873" t="s">
        <v>26629</v>
      </c>
      <c r="Y5873" t="s">
        <v>26631</v>
      </c>
    </row>
    <row r="5874" spans="1:25" x14ac:dyDescent="0.25">
      <c r="A5874" t="str">
        <f>"21248951228"</f>
        <v>21248951228</v>
      </c>
      <c r="B5874" t="s">
        <v>32</v>
      </c>
      <c r="C5874" t="s">
        <v>40</v>
      </c>
      <c r="D5874" t="s">
        <v>40</v>
      </c>
      <c r="E5874">
        <v>424003</v>
      </c>
      <c r="F5874" t="s">
        <v>1</v>
      </c>
      <c r="G5874" t="s">
        <v>2</v>
      </c>
      <c r="H5874" t="s">
        <v>3459</v>
      </c>
      <c r="Y5874" t="s">
        <v>26632</v>
      </c>
    </row>
    <row r="5875" spans="1:25" x14ac:dyDescent="0.25">
      <c r="A5875" t="str">
        <f>"21273153603"</f>
        <v>21273153603</v>
      </c>
      <c r="B5875" t="s">
        <v>3908</v>
      </c>
      <c r="C5875" t="s">
        <v>26636</v>
      </c>
      <c r="D5875" t="s">
        <v>26633</v>
      </c>
      <c r="E5875">
        <v>424003</v>
      </c>
      <c r="F5875" t="s">
        <v>1</v>
      </c>
      <c r="G5875" t="s">
        <v>2</v>
      </c>
      <c r="H5875" t="s">
        <v>775</v>
      </c>
      <c r="J5875" t="s">
        <v>26634</v>
      </c>
      <c r="L5875" t="s">
        <v>26635</v>
      </c>
      <c r="P5875" t="s">
        <v>2050</v>
      </c>
      <c r="Q5875" t="s">
        <v>26637</v>
      </c>
      <c r="U5875" t="s">
        <v>26638</v>
      </c>
      <c r="V5875" t="s">
        <v>26639</v>
      </c>
      <c r="Y5875" t="s">
        <v>6686</v>
      </c>
    </row>
    <row r="5876" spans="1:25" x14ac:dyDescent="0.25">
      <c r="A5876" t="str">
        <f>"21293124944"</f>
        <v>21293124944</v>
      </c>
      <c r="B5876" t="s">
        <v>110</v>
      </c>
      <c r="C5876" t="s">
        <v>784</v>
      </c>
      <c r="D5876" t="s">
        <v>1399</v>
      </c>
      <c r="E5876">
        <v>424003</v>
      </c>
      <c r="F5876" t="s">
        <v>1</v>
      </c>
      <c r="G5876" t="s">
        <v>2</v>
      </c>
      <c r="H5876" t="s">
        <v>5311</v>
      </c>
      <c r="J5876" t="s">
        <v>26640</v>
      </c>
      <c r="L5876" t="s">
        <v>6346</v>
      </c>
      <c r="M5876" t="s">
        <v>6347</v>
      </c>
      <c r="P5876" t="s">
        <v>1404</v>
      </c>
      <c r="Q5876" t="s">
        <v>16468</v>
      </c>
      <c r="T5876" t="s">
        <v>16469</v>
      </c>
      <c r="V5876" t="s">
        <v>16470</v>
      </c>
      <c r="Y5876" t="s">
        <v>26641</v>
      </c>
    </row>
    <row r="5877" spans="1:25" x14ac:dyDescent="0.25">
      <c r="A5877" t="str">
        <f>"21298080500"</f>
        <v>21298080500</v>
      </c>
      <c r="B5877" t="s">
        <v>640</v>
      </c>
      <c r="C5877" t="s">
        <v>26643</v>
      </c>
      <c r="D5877" t="s">
        <v>3531</v>
      </c>
      <c r="E5877">
        <v>424000</v>
      </c>
      <c r="F5877" t="s">
        <v>1</v>
      </c>
      <c r="G5877" t="s">
        <v>2</v>
      </c>
      <c r="H5877" t="s">
        <v>1473</v>
      </c>
      <c r="I5877" t="s">
        <v>3533</v>
      </c>
      <c r="M5877" t="s">
        <v>26642</v>
      </c>
      <c r="P5877" t="s">
        <v>941</v>
      </c>
      <c r="Y5877" t="s">
        <v>26644</v>
      </c>
    </row>
    <row r="5878" spans="1:25" x14ac:dyDescent="0.25">
      <c r="A5878" t="str">
        <f>"21305349534"</f>
        <v>21305349534</v>
      </c>
      <c r="B5878" t="s">
        <v>18</v>
      </c>
      <c r="C5878" t="s">
        <v>26646</v>
      </c>
      <c r="D5878" t="s">
        <v>26645</v>
      </c>
      <c r="E5878">
        <v>424039</v>
      </c>
      <c r="F5878" t="s">
        <v>1</v>
      </c>
      <c r="G5878" t="s">
        <v>2</v>
      </c>
      <c r="H5878" t="s">
        <v>17375</v>
      </c>
      <c r="I5878" t="s">
        <v>17376</v>
      </c>
      <c r="J5878" t="s">
        <v>17377</v>
      </c>
      <c r="P5878" t="s">
        <v>4487</v>
      </c>
      <c r="Y5878" t="s">
        <v>17381</v>
      </c>
    </row>
    <row r="5879" spans="1:25" x14ac:dyDescent="0.25">
      <c r="A5879" t="str">
        <f>"21391187328"</f>
        <v>21391187328</v>
      </c>
      <c r="B5879" t="s">
        <v>7312</v>
      </c>
      <c r="C5879" t="s">
        <v>9849</v>
      </c>
      <c r="D5879" t="s">
        <v>26647</v>
      </c>
      <c r="E5879">
        <v>424028</v>
      </c>
      <c r="F5879" t="s">
        <v>1</v>
      </c>
      <c r="G5879" t="s">
        <v>2</v>
      </c>
      <c r="H5879" t="s">
        <v>24503</v>
      </c>
      <c r="J5879" t="s">
        <v>26648</v>
      </c>
      <c r="L5879" t="s">
        <v>26649</v>
      </c>
      <c r="P5879" t="s">
        <v>1760</v>
      </c>
      <c r="Q5879" t="s">
        <v>26650</v>
      </c>
      <c r="V5879" t="s">
        <v>26651</v>
      </c>
      <c r="Y5879" t="s">
        <v>26652</v>
      </c>
    </row>
    <row r="5880" spans="1:25" x14ac:dyDescent="0.25">
      <c r="A5880" t="str">
        <f>"21421106519"</f>
        <v>21421106519</v>
      </c>
      <c r="B5880" t="s">
        <v>10383</v>
      </c>
      <c r="C5880" t="s">
        <v>24146</v>
      </c>
      <c r="D5880" t="s">
        <v>24146</v>
      </c>
      <c r="F5880" t="s">
        <v>1</v>
      </c>
      <c r="G5880" t="s">
        <v>2</v>
      </c>
      <c r="H5880" t="s">
        <v>26653</v>
      </c>
      <c r="Y5880" t="s">
        <v>26654</v>
      </c>
    </row>
    <row r="5881" spans="1:25" x14ac:dyDescent="0.25">
      <c r="A5881" t="str">
        <f>"21470665749"</f>
        <v>21470665749</v>
      </c>
      <c r="B5881" t="s">
        <v>530</v>
      </c>
      <c r="C5881" t="s">
        <v>23950</v>
      </c>
      <c r="D5881" t="s">
        <v>23950</v>
      </c>
      <c r="E5881">
        <v>424006</v>
      </c>
      <c r="F5881" t="s">
        <v>1</v>
      </c>
      <c r="G5881" t="s">
        <v>2</v>
      </c>
      <c r="H5881" t="s">
        <v>18935</v>
      </c>
      <c r="Y5881" t="s">
        <v>26655</v>
      </c>
    </row>
    <row r="5882" spans="1:25" x14ac:dyDescent="0.25">
      <c r="A5882" t="str">
        <f>"21483736087"</f>
        <v>21483736087</v>
      </c>
      <c r="B5882" t="s">
        <v>188</v>
      </c>
      <c r="C5882" t="s">
        <v>8311</v>
      </c>
      <c r="D5882" t="s">
        <v>26656</v>
      </c>
      <c r="E5882">
        <v>424005</v>
      </c>
      <c r="F5882" t="s">
        <v>1</v>
      </c>
      <c r="G5882" t="s">
        <v>2</v>
      </c>
      <c r="H5882" t="s">
        <v>6843</v>
      </c>
      <c r="I5882" t="s">
        <v>26657</v>
      </c>
      <c r="L5882" t="s">
        <v>26658</v>
      </c>
      <c r="M5882" t="s">
        <v>26659</v>
      </c>
      <c r="P5882" t="s">
        <v>98</v>
      </c>
      <c r="Q5882" t="s">
        <v>26660</v>
      </c>
      <c r="R5882" t="s">
        <v>26661</v>
      </c>
      <c r="T5882" t="s">
        <v>26662</v>
      </c>
      <c r="U5882" t="s">
        <v>26663</v>
      </c>
      <c r="V5882" t="s">
        <v>26664</v>
      </c>
      <c r="Y5882" t="s">
        <v>26665</v>
      </c>
    </row>
    <row r="5883" spans="1:25" x14ac:dyDescent="0.25">
      <c r="A5883" t="str">
        <f>"21490293008"</f>
        <v>21490293008</v>
      </c>
      <c r="B5883" t="s">
        <v>930</v>
      </c>
      <c r="C5883" t="s">
        <v>26669</v>
      </c>
      <c r="D5883" t="s">
        <v>26666</v>
      </c>
      <c r="E5883">
        <v>424007</v>
      </c>
      <c r="F5883" t="s">
        <v>1</v>
      </c>
      <c r="G5883" t="s">
        <v>2</v>
      </c>
      <c r="H5883" t="s">
        <v>7922</v>
      </c>
      <c r="J5883" t="s">
        <v>26667</v>
      </c>
      <c r="L5883" t="s">
        <v>26668</v>
      </c>
      <c r="P5883" t="s">
        <v>4006</v>
      </c>
      <c r="Q5883" t="s">
        <v>26670</v>
      </c>
      <c r="Y5883" t="s">
        <v>26671</v>
      </c>
    </row>
    <row r="5884" spans="1:25" x14ac:dyDescent="0.25">
      <c r="A5884" t="str">
        <f>"21548510920"</f>
        <v>21548510920</v>
      </c>
      <c r="B5884" t="s">
        <v>703</v>
      </c>
      <c r="C5884" t="s">
        <v>3518</v>
      </c>
      <c r="D5884" t="s">
        <v>26672</v>
      </c>
      <c r="E5884">
        <v>424006</v>
      </c>
      <c r="F5884" t="s">
        <v>1</v>
      </c>
      <c r="G5884" t="s">
        <v>2</v>
      </c>
      <c r="H5884" t="s">
        <v>12208</v>
      </c>
      <c r="Y5884" t="s">
        <v>26673</v>
      </c>
    </row>
    <row r="5885" spans="1:25" x14ac:dyDescent="0.25">
      <c r="A5885" t="str">
        <f>"21553324320"</f>
        <v>21553324320</v>
      </c>
      <c r="B5885" t="s">
        <v>25</v>
      </c>
      <c r="C5885" t="s">
        <v>20320</v>
      </c>
      <c r="D5885" t="s">
        <v>26674</v>
      </c>
      <c r="E5885">
        <v>424020</v>
      </c>
      <c r="F5885" t="s">
        <v>1</v>
      </c>
      <c r="G5885" t="s">
        <v>2</v>
      </c>
      <c r="H5885" t="s">
        <v>26675</v>
      </c>
      <c r="Y5885" t="s">
        <v>26676</v>
      </c>
    </row>
    <row r="5886" spans="1:25" x14ac:dyDescent="0.25">
      <c r="A5886" t="str">
        <f>"21583620496"</f>
        <v>21583620496</v>
      </c>
      <c r="B5886" t="s">
        <v>348</v>
      </c>
      <c r="C5886" t="s">
        <v>12108</v>
      </c>
      <c r="D5886" t="s">
        <v>26677</v>
      </c>
      <c r="E5886">
        <v>424004</v>
      </c>
      <c r="F5886" t="s">
        <v>1</v>
      </c>
      <c r="G5886" t="s">
        <v>2</v>
      </c>
      <c r="H5886" t="s">
        <v>2133</v>
      </c>
      <c r="I5886" t="s">
        <v>26678</v>
      </c>
      <c r="L5886" t="s">
        <v>26679</v>
      </c>
      <c r="M5886" t="s">
        <v>26680</v>
      </c>
      <c r="Y5886" t="s">
        <v>26681</v>
      </c>
    </row>
    <row r="5887" spans="1:25" x14ac:dyDescent="0.25">
      <c r="A5887" t="str">
        <f>"21595735802"</f>
        <v>21595735802</v>
      </c>
      <c r="B5887" t="s">
        <v>1611</v>
      </c>
      <c r="C5887" t="s">
        <v>3218</v>
      </c>
      <c r="D5887" t="s">
        <v>26682</v>
      </c>
      <c r="E5887">
        <v>424037</v>
      </c>
      <c r="F5887" t="s">
        <v>1</v>
      </c>
      <c r="G5887" t="s">
        <v>2</v>
      </c>
      <c r="H5887" t="s">
        <v>3216</v>
      </c>
      <c r="I5887" t="s">
        <v>26683</v>
      </c>
      <c r="L5887" t="s">
        <v>3217</v>
      </c>
      <c r="P5887" t="s">
        <v>330</v>
      </c>
      <c r="Y5887" t="s">
        <v>13404</v>
      </c>
    </row>
    <row r="5888" spans="1:25" x14ac:dyDescent="0.25">
      <c r="A5888" t="str">
        <f>"21636151876"</f>
        <v>21636151876</v>
      </c>
      <c r="B5888" t="s">
        <v>3700</v>
      </c>
      <c r="C5888" t="s">
        <v>4023</v>
      </c>
      <c r="D5888" t="s">
        <v>23330</v>
      </c>
      <c r="F5888" t="s">
        <v>1</v>
      </c>
      <c r="G5888" t="s">
        <v>2</v>
      </c>
      <c r="H5888" t="s">
        <v>26684</v>
      </c>
      <c r="Y5888" t="s">
        <v>26685</v>
      </c>
    </row>
    <row r="5889" spans="1:25" x14ac:dyDescent="0.25">
      <c r="A5889" t="str">
        <f>"21654263437"</f>
        <v>21654263437</v>
      </c>
      <c r="B5889" t="s">
        <v>110</v>
      </c>
      <c r="C5889" t="s">
        <v>111</v>
      </c>
      <c r="D5889" t="s">
        <v>4989</v>
      </c>
      <c r="E5889">
        <v>424007</v>
      </c>
      <c r="F5889" t="s">
        <v>1</v>
      </c>
      <c r="G5889" t="s">
        <v>2</v>
      </c>
      <c r="H5889" t="s">
        <v>5178</v>
      </c>
      <c r="P5889" t="s">
        <v>2731</v>
      </c>
      <c r="Y5889" t="s">
        <v>14405</v>
      </c>
    </row>
    <row r="5890" spans="1:25" x14ac:dyDescent="0.25">
      <c r="A5890" t="str">
        <f>"21664998757"</f>
        <v>21664998757</v>
      </c>
      <c r="B5890" t="s">
        <v>1323</v>
      </c>
      <c r="C5890" t="s">
        <v>1324</v>
      </c>
      <c r="D5890" t="s">
        <v>26686</v>
      </c>
      <c r="E5890">
        <v>424006</v>
      </c>
      <c r="F5890" t="s">
        <v>1</v>
      </c>
      <c r="G5890" t="s">
        <v>2</v>
      </c>
      <c r="H5890" t="s">
        <v>21558</v>
      </c>
      <c r="Y5890" t="s">
        <v>26687</v>
      </c>
    </row>
    <row r="5891" spans="1:25" x14ac:dyDescent="0.25">
      <c r="A5891" t="str">
        <f>"21669551240"</f>
        <v>21669551240</v>
      </c>
      <c r="B5891" t="s">
        <v>243</v>
      </c>
      <c r="C5891" t="s">
        <v>2538</v>
      </c>
      <c r="D5891" t="s">
        <v>26688</v>
      </c>
      <c r="E5891">
        <v>424000</v>
      </c>
      <c r="F5891" t="s">
        <v>1</v>
      </c>
      <c r="G5891" t="s">
        <v>2</v>
      </c>
      <c r="H5891" t="s">
        <v>523</v>
      </c>
      <c r="J5891" t="s">
        <v>26689</v>
      </c>
      <c r="P5891" t="s">
        <v>27</v>
      </c>
      <c r="Y5891" t="s">
        <v>526</v>
      </c>
    </row>
    <row r="5892" spans="1:25" x14ac:dyDescent="0.25">
      <c r="A5892" t="str">
        <f>"21701996547"</f>
        <v>21701996547</v>
      </c>
      <c r="B5892" t="s">
        <v>117</v>
      </c>
      <c r="C5892" t="s">
        <v>26692</v>
      </c>
      <c r="D5892" t="s">
        <v>26690</v>
      </c>
      <c r="E5892">
        <v>424033</v>
      </c>
      <c r="F5892" t="s">
        <v>1</v>
      </c>
      <c r="G5892" t="s">
        <v>2</v>
      </c>
      <c r="H5892" t="s">
        <v>26691</v>
      </c>
      <c r="Y5892" t="s">
        <v>26693</v>
      </c>
    </row>
    <row r="5893" spans="1:25" x14ac:dyDescent="0.25">
      <c r="A5893" t="str">
        <f>"21864749641"</f>
        <v>21864749641</v>
      </c>
      <c r="B5893" t="s">
        <v>96</v>
      </c>
      <c r="C5893" t="s">
        <v>8808</v>
      </c>
      <c r="D5893" t="s">
        <v>26694</v>
      </c>
      <c r="E5893">
        <v>424918</v>
      </c>
      <c r="F5893" t="s">
        <v>1</v>
      </c>
      <c r="G5893" t="s">
        <v>2</v>
      </c>
      <c r="H5893" t="s">
        <v>629</v>
      </c>
      <c r="P5893" t="s">
        <v>630</v>
      </c>
      <c r="Y5893" t="s">
        <v>1744</v>
      </c>
    </row>
    <row r="5894" spans="1:25" x14ac:dyDescent="0.25">
      <c r="A5894" t="str">
        <f>"21868905978"</f>
        <v>21868905978</v>
      </c>
      <c r="B5894" t="s">
        <v>123</v>
      </c>
      <c r="C5894" t="s">
        <v>196</v>
      </c>
      <c r="D5894" t="s">
        <v>26695</v>
      </c>
      <c r="E5894">
        <v>424038</v>
      </c>
      <c r="F5894" t="s">
        <v>1</v>
      </c>
      <c r="G5894" t="s">
        <v>2</v>
      </c>
      <c r="H5894" t="s">
        <v>12580</v>
      </c>
      <c r="P5894" t="s">
        <v>1270</v>
      </c>
      <c r="Y5894" t="s">
        <v>12586</v>
      </c>
    </row>
    <row r="5895" spans="1:25" x14ac:dyDescent="0.25">
      <c r="A5895" t="str">
        <f>"21906141059"</f>
        <v>21906141059</v>
      </c>
      <c r="B5895" t="s">
        <v>18</v>
      </c>
      <c r="C5895" t="s">
        <v>26700</v>
      </c>
      <c r="D5895" t="s">
        <v>26696</v>
      </c>
      <c r="E5895">
        <v>424006</v>
      </c>
      <c r="F5895" t="s">
        <v>1</v>
      </c>
      <c r="G5895" t="s">
        <v>2</v>
      </c>
      <c r="H5895" t="s">
        <v>26697</v>
      </c>
      <c r="I5895" t="s">
        <v>26698</v>
      </c>
      <c r="J5895" t="s">
        <v>26699</v>
      </c>
      <c r="P5895" t="s">
        <v>2280</v>
      </c>
      <c r="Y5895" t="s">
        <v>26701</v>
      </c>
    </row>
    <row r="5896" spans="1:25" x14ac:dyDescent="0.25">
      <c r="A5896" t="str">
        <f>"21906568418"</f>
        <v>21906568418</v>
      </c>
      <c r="B5896" t="s">
        <v>3094</v>
      </c>
      <c r="C5896" t="s">
        <v>3095</v>
      </c>
      <c r="D5896" t="s">
        <v>11347</v>
      </c>
      <c r="E5896">
        <v>424004</v>
      </c>
      <c r="F5896" t="s">
        <v>1</v>
      </c>
      <c r="G5896" t="s">
        <v>2</v>
      </c>
      <c r="H5896" t="s">
        <v>229</v>
      </c>
      <c r="I5896" t="s">
        <v>11348</v>
      </c>
      <c r="P5896" t="s">
        <v>10632</v>
      </c>
      <c r="Y5896" t="s">
        <v>237</v>
      </c>
    </row>
    <row r="5897" spans="1:25" x14ac:dyDescent="0.25">
      <c r="A5897" t="str">
        <f>"21914816426"</f>
        <v>21914816426</v>
      </c>
      <c r="B5897" t="s">
        <v>67</v>
      </c>
      <c r="C5897" t="s">
        <v>269</v>
      </c>
      <c r="D5897" t="s">
        <v>26702</v>
      </c>
      <c r="E5897">
        <v>424000</v>
      </c>
      <c r="F5897" t="s">
        <v>1</v>
      </c>
      <c r="G5897" t="s">
        <v>2</v>
      </c>
      <c r="H5897" t="s">
        <v>6303</v>
      </c>
      <c r="P5897" t="s">
        <v>26703</v>
      </c>
      <c r="Y5897" t="s">
        <v>12198</v>
      </c>
    </row>
    <row r="5898" spans="1:25" x14ac:dyDescent="0.25">
      <c r="A5898" t="str">
        <f>"21916543605"</f>
        <v>21916543605</v>
      </c>
      <c r="B5898" t="s">
        <v>530</v>
      </c>
      <c r="C5898" t="s">
        <v>23950</v>
      </c>
      <c r="D5898" t="s">
        <v>23950</v>
      </c>
      <c r="F5898" t="s">
        <v>1</v>
      </c>
      <c r="G5898" t="s">
        <v>2</v>
      </c>
      <c r="H5898" t="s">
        <v>25180</v>
      </c>
      <c r="Y5898" t="s">
        <v>26704</v>
      </c>
    </row>
    <row r="5899" spans="1:25" x14ac:dyDescent="0.25">
      <c r="A5899" t="str">
        <f>"21954549381"</f>
        <v>21954549381</v>
      </c>
      <c r="B5899" t="s">
        <v>530</v>
      </c>
      <c r="C5899" t="s">
        <v>5046</v>
      </c>
      <c r="D5899" t="s">
        <v>26705</v>
      </c>
      <c r="E5899">
        <v>424000</v>
      </c>
      <c r="F5899" t="s">
        <v>1</v>
      </c>
      <c r="G5899" t="s">
        <v>2</v>
      </c>
      <c r="H5899" t="s">
        <v>1531</v>
      </c>
      <c r="I5899" t="s">
        <v>26706</v>
      </c>
      <c r="L5899" t="s">
        <v>26707</v>
      </c>
      <c r="M5899" t="s">
        <v>26708</v>
      </c>
      <c r="Y5899" t="s">
        <v>1707</v>
      </c>
    </row>
    <row r="5900" spans="1:25" x14ac:dyDescent="0.25">
      <c r="A5900" t="str">
        <f>"21974855744"</f>
        <v>21974855744</v>
      </c>
      <c r="B5900" t="s">
        <v>2601</v>
      </c>
      <c r="C5900" t="s">
        <v>5375</v>
      </c>
      <c r="D5900" t="s">
        <v>26709</v>
      </c>
      <c r="E5900">
        <v>424006</v>
      </c>
      <c r="F5900" t="s">
        <v>1</v>
      </c>
      <c r="G5900" t="s">
        <v>2</v>
      </c>
      <c r="H5900" t="s">
        <v>26710</v>
      </c>
      <c r="I5900" t="s">
        <v>26711</v>
      </c>
      <c r="P5900" t="s">
        <v>799</v>
      </c>
      <c r="Y5900" t="s">
        <v>21126</v>
      </c>
    </row>
    <row r="5901" spans="1:25" x14ac:dyDescent="0.25">
      <c r="A5901" t="str">
        <f>"21981618514"</f>
        <v>21981618514</v>
      </c>
      <c r="B5901" t="s">
        <v>1604</v>
      </c>
      <c r="C5901" t="s">
        <v>2271</v>
      </c>
      <c r="D5901" t="s">
        <v>26712</v>
      </c>
      <c r="E5901">
        <v>424004</v>
      </c>
      <c r="F5901" t="s">
        <v>1</v>
      </c>
      <c r="G5901" t="s">
        <v>2</v>
      </c>
      <c r="H5901" t="s">
        <v>26713</v>
      </c>
      <c r="I5901" t="s">
        <v>26714</v>
      </c>
      <c r="P5901" t="s">
        <v>27</v>
      </c>
      <c r="Y5901" t="s">
        <v>26715</v>
      </c>
    </row>
    <row r="5902" spans="1:25" x14ac:dyDescent="0.25">
      <c r="A5902" t="str">
        <f>"22035267465"</f>
        <v>22035267465</v>
      </c>
      <c r="B5902" t="s">
        <v>1352</v>
      </c>
      <c r="C5902" t="s">
        <v>1353</v>
      </c>
      <c r="D5902" t="s">
        <v>26716</v>
      </c>
      <c r="E5902">
        <v>424007</v>
      </c>
      <c r="F5902" t="s">
        <v>1</v>
      </c>
      <c r="G5902" t="s">
        <v>2</v>
      </c>
      <c r="H5902" t="s">
        <v>5178</v>
      </c>
      <c r="P5902" t="s">
        <v>2731</v>
      </c>
      <c r="Y5902" t="s">
        <v>26052</v>
      </c>
    </row>
    <row r="5903" spans="1:25" x14ac:dyDescent="0.25">
      <c r="A5903" t="str">
        <f>"22052422322"</f>
        <v>22052422322</v>
      </c>
      <c r="B5903" t="s">
        <v>1611</v>
      </c>
      <c r="C5903" t="s">
        <v>26250</v>
      </c>
      <c r="D5903" t="s">
        <v>26717</v>
      </c>
      <c r="E5903">
        <v>424005</v>
      </c>
      <c r="F5903" t="s">
        <v>1</v>
      </c>
      <c r="G5903" t="s">
        <v>2</v>
      </c>
      <c r="H5903" t="s">
        <v>11683</v>
      </c>
      <c r="Y5903" t="s">
        <v>26718</v>
      </c>
    </row>
    <row r="5904" spans="1:25" x14ac:dyDescent="0.25">
      <c r="A5904" t="str">
        <f>"22084210909"</f>
        <v>22084210909</v>
      </c>
      <c r="B5904" t="s">
        <v>930</v>
      </c>
      <c r="C5904" t="s">
        <v>1096</v>
      </c>
      <c r="D5904" t="s">
        <v>1094</v>
      </c>
      <c r="F5904" t="s">
        <v>1</v>
      </c>
      <c r="G5904" t="s">
        <v>2</v>
      </c>
      <c r="H5904" t="s">
        <v>26719</v>
      </c>
      <c r="Y5904" t="s">
        <v>26720</v>
      </c>
    </row>
    <row r="5905" spans="1:25" x14ac:dyDescent="0.25">
      <c r="A5905" t="str">
        <f>"22115429294"</f>
        <v>22115429294</v>
      </c>
      <c r="B5905" t="s">
        <v>1152</v>
      </c>
      <c r="C5905" t="s">
        <v>26723</v>
      </c>
      <c r="D5905" t="s">
        <v>26721</v>
      </c>
      <c r="E5905">
        <v>424031</v>
      </c>
      <c r="F5905" t="s">
        <v>1</v>
      </c>
      <c r="G5905" t="s">
        <v>2</v>
      </c>
      <c r="H5905" t="s">
        <v>5057</v>
      </c>
      <c r="I5905" t="s">
        <v>26722</v>
      </c>
      <c r="P5905" t="s">
        <v>20</v>
      </c>
      <c r="Y5905" t="s">
        <v>26724</v>
      </c>
    </row>
    <row r="5906" spans="1:25" x14ac:dyDescent="0.25">
      <c r="A5906" t="str">
        <f>"22119911490"</f>
        <v>22119911490</v>
      </c>
      <c r="B5906" t="s">
        <v>348</v>
      </c>
      <c r="C5906" t="s">
        <v>13490</v>
      </c>
      <c r="D5906" t="s">
        <v>26725</v>
      </c>
      <c r="F5906" t="s">
        <v>1</v>
      </c>
      <c r="G5906" t="s">
        <v>2</v>
      </c>
      <c r="H5906" t="s">
        <v>138</v>
      </c>
      <c r="I5906" t="s">
        <v>26726</v>
      </c>
      <c r="L5906" t="s">
        <v>26727</v>
      </c>
      <c r="M5906" t="s">
        <v>26728</v>
      </c>
      <c r="P5906" t="s">
        <v>144</v>
      </c>
      <c r="Y5906" t="s">
        <v>146</v>
      </c>
    </row>
    <row r="5907" spans="1:25" x14ac:dyDescent="0.25">
      <c r="A5907" t="str">
        <f>"22152753000"</f>
        <v>22152753000</v>
      </c>
      <c r="B5907" t="s">
        <v>2104</v>
      </c>
      <c r="C5907" t="s">
        <v>13387</v>
      </c>
      <c r="D5907" t="s">
        <v>26729</v>
      </c>
      <c r="E5907">
        <v>424007</v>
      </c>
      <c r="F5907" t="s">
        <v>1</v>
      </c>
      <c r="G5907" t="s">
        <v>2</v>
      </c>
      <c r="H5907" t="s">
        <v>9471</v>
      </c>
      <c r="I5907" t="s">
        <v>26730</v>
      </c>
      <c r="P5907" t="s">
        <v>280</v>
      </c>
      <c r="Y5907" t="s">
        <v>9478</v>
      </c>
    </row>
    <row r="5908" spans="1:25" x14ac:dyDescent="0.25">
      <c r="A5908" t="str">
        <f>"22158173678"</f>
        <v>22158173678</v>
      </c>
      <c r="B5908" t="s">
        <v>574</v>
      </c>
      <c r="C5908" t="s">
        <v>8884</v>
      </c>
      <c r="D5908" t="s">
        <v>8880</v>
      </c>
      <c r="E5908">
        <v>424007</v>
      </c>
      <c r="F5908" t="s">
        <v>1</v>
      </c>
      <c r="G5908" t="s">
        <v>2</v>
      </c>
      <c r="H5908" t="s">
        <v>13762</v>
      </c>
      <c r="J5908" t="s">
        <v>26731</v>
      </c>
      <c r="L5908" t="s">
        <v>26240</v>
      </c>
      <c r="M5908" t="s">
        <v>8883</v>
      </c>
      <c r="P5908" t="s">
        <v>26732</v>
      </c>
      <c r="Q5908" t="s">
        <v>8886</v>
      </c>
      <c r="T5908" t="s">
        <v>8887</v>
      </c>
      <c r="V5908" t="s">
        <v>8888</v>
      </c>
      <c r="Y5908" t="s">
        <v>26733</v>
      </c>
    </row>
    <row r="5909" spans="1:25" x14ac:dyDescent="0.25">
      <c r="A5909" t="str">
        <f>"22171436503"</f>
        <v>22171436503</v>
      </c>
      <c r="B5909" t="s">
        <v>96</v>
      </c>
      <c r="C5909" t="s">
        <v>893</v>
      </c>
      <c r="D5909" t="s">
        <v>25910</v>
      </c>
      <c r="E5909">
        <v>424000</v>
      </c>
      <c r="F5909" t="s">
        <v>1</v>
      </c>
      <c r="G5909" t="s">
        <v>2</v>
      </c>
      <c r="H5909" t="s">
        <v>1531</v>
      </c>
      <c r="J5909" t="s">
        <v>25911</v>
      </c>
      <c r="P5909" t="s">
        <v>15510</v>
      </c>
      <c r="Y5909" t="s">
        <v>1707</v>
      </c>
    </row>
    <row r="5910" spans="1:25" x14ac:dyDescent="0.25">
      <c r="A5910" t="str">
        <f>"22175627941"</f>
        <v>22175627941</v>
      </c>
      <c r="B5910" t="s">
        <v>32</v>
      </c>
      <c r="C5910" t="s">
        <v>2996</v>
      </c>
      <c r="D5910" t="s">
        <v>26734</v>
      </c>
      <c r="F5910" t="s">
        <v>1</v>
      </c>
      <c r="G5910" t="s">
        <v>2</v>
      </c>
      <c r="H5910" t="s">
        <v>4857</v>
      </c>
      <c r="I5910" t="s">
        <v>26735</v>
      </c>
      <c r="J5910" t="s">
        <v>26736</v>
      </c>
      <c r="M5910" t="s">
        <v>26737</v>
      </c>
      <c r="P5910" t="s">
        <v>799</v>
      </c>
      <c r="Y5910" t="s">
        <v>26738</v>
      </c>
    </row>
    <row r="5911" spans="1:25" x14ac:dyDescent="0.25">
      <c r="A5911" t="str">
        <f>"22229170319"</f>
        <v>22229170319</v>
      </c>
      <c r="B5911" t="s">
        <v>96</v>
      </c>
      <c r="C5911" t="s">
        <v>22202</v>
      </c>
      <c r="D5911" t="s">
        <v>26739</v>
      </c>
      <c r="F5911" t="s">
        <v>1</v>
      </c>
      <c r="G5911" t="s">
        <v>2</v>
      </c>
      <c r="H5911" t="s">
        <v>19499</v>
      </c>
      <c r="J5911" t="s">
        <v>26740</v>
      </c>
      <c r="P5911" t="s">
        <v>144</v>
      </c>
      <c r="Y5911" t="s">
        <v>26741</v>
      </c>
    </row>
    <row r="5912" spans="1:25" x14ac:dyDescent="0.25">
      <c r="A5912" t="str">
        <f>"22243265265"</f>
        <v>22243265265</v>
      </c>
      <c r="B5912" t="s">
        <v>96</v>
      </c>
      <c r="C5912" t="s">
        <v>26744</v>
      </c>
      <c r="D5912" t="s">
        <v>26742</v>
      </c>
      <c r="E5912">
        <v>424020</v>
      </c>
      <c r="F5912" t="s">
        <v>1</v>
      </c>
      <c r="G5912" t="s">
        <v>2</v>
      </c>
      <c r="H5912" t="s">
        <v>2917</v>
      </c>
      <c r="J5912" t="s">
        <v>26743</v>
      </c>
      <c r="P5912" t="s">
        <v>26745</v>
      </c>
      <c r="Y5912" t="s">
        <v>26746</v>
      </c>
    </row>
    <row r="5913" spans="1:25" x14ac:dyDescent="0.25">
      <c r="A5913" t="str">
        <f>"22249688764"</f>
        <v>22249688764</v>
      </c>
      <c r="B5913" t="s">
        <v>1152</v>
      </c>
      <c r="C5913" t="s">
        <v>1159</v>
      </c>
      <c r="D5913" t="s">
        <v>26747</v>
      </c>
      <c r="E5913">
        <v>424007</v>
      </c>
      <c r="F5913" t="s">
        <v>1</v>
      </c>
      <c r="G5913" t="s">
        <v>2</v>
      </c>
      <c r="H5913" t="s">
        <v>5647</v>
      </c>
      <c r="I5913" t="s">
        <v>1157</v>
      </c>
      <c r="J5913" t="s">
        <v>26748</v>
      </c>
      <c r="P5913" t="s">
        <v>2362</v>
      </c>
      <c r="Y5913" t="s">
        <v>12500</v>
      </c>
    </row>
    <row r="5914" spans="1:25" x14ac:dyDescent="0.25">
      <c r="A5914" t="str">
        <f>"22342750116"</f>
        <v>22342750116</v>
      </c>
      <c r="B5914" t="s">
        <v>7312</v>
      </c>
      <c r="C5914" t="s">
        <v>26752</v>
      </c>
      <c r="D5914" t="s">
        <v>7635</v>
      </c>
      <c r="E5914">
        <v>424028</v>
      </c>
      <c r="F5914" t="s">
        <v>1</v>
      </c>
      <c r="G5914" t="s">
        <v>2</v>
      </c>
      <c r="H5914" t="s">
        <v>4480</v>
      </c>
      <c r="J5914" t="s">
        <v>26749</v>
      </c>
      <c r="L5914" t="s">
        <v>26750</v>
      </c>
      <c r="M5914" t="s">
        <v>26751</v>
      </c>
      <c r="P5914" t="s">
        <v>1027</v>
      </c>
      <c r="Y5914" t="s">
        <v>26753</v>
      </c>
    </row>
    <row r="5915" spans="1:25" x14ac:dyDescent="0.25">
      <c r="A5915" t="str">
        <f>"22357136457"</f>
        <v>22357136457</v>
      </c>
      <c r="B5915" t="s">
        <v>67</v>
      </c>
      <c r="C5915" t="s">
        <v>269</v>
      </c>
      <c r="D5915" t="s">
        <v>6402</v>
      </c>
      <c r="E5915">
        <v>424000</v>
      </c>
      <c r="F5915" t="s">
        <v>1</v>
      </c>
      <c r="G5915" t="s">
        <v>2</v>
      </c>
      <c r="H5915" t="s">
        <v>1531</v>
      </c>
      <c r="L5915" t="s">
        <v>6405</v>
      </c>
      <c r="M5915" t="s">
        <v>6406</v>
      </c>
      <c r="P5915" t="s">
        <v>10024</v>
      </c>
      <c r="Q5915" t="s">
        <v>6408</v>
      </c>
      <c r="S5915" t="s">
        <v>6409</v>
      </c>
      <c r="T5915" t="s">
        <v>6410</v>
      </c>
      <c r="U5915" t="s">
        <v>26754</v>
      </c>
      <c r="V5915" t="s">
        <v>6412</v>
      </c>
      <c r="Y5915" t="s">
        <v>26755</v>
      </c>
    </row>
    <row r="5916" spans="1:25" x14ac:dyDescent="0.25">
      <c r="A5916" t="str">
        <f>"22395506152"</f>
        <v>22395506152</v>
      </c>
      <c r="B5916" t="s">
        <v>96</v>
      </c>
      <c r="C5916" t="s">
        <v>26761</v>
      </c>
      <c r="D5916" t="s">
        <v>26756</v>
      </c>
      <c r="E5916">
        <v>424038</v>
      </c>
      <c r="F5916" t="s">
        <v>1</v>
      </c>
      <c r="G5916" t="s">
        <v>2</v>
      </c>
      <c r="H5916" t="s">
        <v>7597</v>
      </c>
      <c r="I5916" t="s">
        <v>26757</v>
      </c>
      <c r="J5916" t="s">
        <v>26758</v>
      </c>
      <c r="L5916" t="s">
        <v>26759</v>
      </c>
      <c r="M5916" t="s">
        <v>26760</v>
      </c>
      <c r="P5916" t="s">
        <v>1642</v>
      </c>
      <c r="Q5916" t="s">
        <v>26762</v>
      </c>
      <c r="T5916" t="s">
        <v>26763</v>
      </c>
      <c r="V5916" t="s">
        <v>26764</v>
      </c>
      <c r="Y5916" t="s">
        <v>26765</v>
      </c>
    </row>
    <row r="5917" spans="1:25" x14ac:dyDescent="0.25">
      <c r="A5917" t="str">
        <f>"22414299568"</f>
        <v>22414299568</v>
      </c>
      <c r="B5917" t="s">
        <v>930</v>
      </c>
      <c r="C5917" t="s">
        <v>26768</v>
      </c>
      <c r="D5917" t="s">
        <v>8455</v>
      </c>
      <c r="F5917" t="s">
        <v>1</v>
      </c>
      <c r="G5917" t="s">
        <v>2</v>
      </c>
      <c r="H5917" t="s">
        <v>19259</v>
      </c>
      <c r="J5917" t="s">
        <v>26766</v>
      </c>
      <c r="M5917" t="s">
        <v>26767</v>
      </c>
      <c r="P5917" t="s">
        <v>6456</v>
      </c>
      <c r="Q5917" t="s">
        <v>26769</v>
      </c>
      <c r="V5917" t="s">
        <v>26770</v>
      </c>
      <c r="Y5917" t="s">
        <v>26771</v>
      </c>
    </row>
    <row r="5918" spans="1:25" x14ac:dyDescent="0.25">
      <c r="A5918" t="str">
        <f>"22430103525"</f>
        <v>22430103525</v>
      </c>
      <c r="B5918" t="s">
        <v>797</v>
      </c>
      <c r="C5918" t="s">
        <v>26774</v>
      </c>
      <c r="D5918" t="s">
        <v>26772</v>
      </c>
      <c r="E5918">
        <v>424007</v>
      </c>
      <c r="F5918" t="s">
        <v>1</v>
      </c>
      <c r="G5918" t="s">
        <v>2</v>
      </c>
      <c r="H5918" t="s">
        <v>5647</v>
      </c>
      <c r="I5918" t="s">
        <v>26773</v>
      </c>
      <c r="P5918" t="s">
        <v>26775</v>
      </c>
      <c r="Y5918" t="s">
        <v>12500</v>
      </c>
    </row>
    <row r="5919" spans="1:25" x14ac:dyDescent="0.25">
      <c r="A5919" t="str">
        <f>"22446756202"</f>
        <v>22446756202</v>
      </c>
      <c r="B5919" t="s">
        <v>1230</v>
      </c>
      <c r="C5919" t="s">
        <v>2526</v>
      </c>
      <c r="D5919" t="s">
        <v>26776</v>
      </c>
      <c r="E5919">
        <v>424006</v>
      </c>
      <c r="F5919" t="s">
        <v>1</v>
      </c>
      <c r="G5919" t="s">
        <v>2</v>
      </c>
      <c r="H5919" t="s">
        <v>6096</v>
      </c>
      <c r="I5919" t="s">
        <v>26777</v>
      </c>
      <c r="P5919" t="s">
        <v>26778</v>
      </c>
      <c r="Y5919" t="s">
        <v>23478</v>
      </c>
    </row>
    <row r="5920" spans="1:25" x14ac:dyDescent="0.25">
      <c r="A5920" t="str">
        <f>"22476040676"</f>
        <v>22476040676</v>
      </c>
      <c r="B5920" t="s">
        <v>176</v>
      </c>
      <c r="C5920" t="s">
        <v>566</v>
      </c>
      <c r="D5920" t="s">
        <v>26779</v>
      </c>
      <c r="E5920">
        <v>424032</v>
      </c>
      <c r="F5920" t="s">
        <v>1</v>
      </c>
      <c r="G5920" t="s">
        <v>2</v>
      </c>
      <c r="H5920" t="s">
        <v>26780</v>
      </c>
      <c r="J5920" t="s">
        <v>26781</v>
      </c>
      <c r="L5920" t="s">
        <v>26782</v>
      </c>
      <c r="M5920" t="s">
        <v>26783</v>
      </c>
      <c r="P5920" t="s">
        <v>330</v>
      </c>
      <c r="Q5920" t="s">
        <v>26784</v>
      </c>
      <c r="V5920" t="s">
        <v>26785</v>
      </c>
      <c r="Y5920" t="s">
        <v>26786</v>
      </c>
    </row>
    <row r="5921" spans="1:25" x14ac:dyDescent="0.25">
      <c r="A5921" t="str">
        <f>"22493312251"</f>
        <v>22493312251</v>
      </c>
      <c r="B5921" t="s">
        <v>1611</v>
      </c>
      <c r="C5921" t="s">
        <v>26790</v>
      </c>
      <c r="D5921" t="s">
        <v>26787</v>
      </c>
      <c r="E5921">
        <v>424038</v>
      </c>
      <c r="F5921" t="s">
        <v>1</v>
      </c>
      <c r="G5921" t="s">
        <v>2</v>
      </c>
      <c r="H5921" t="s">
        <v>1862</v>
      </c>
      <c r="I5921" t="s">
        <v>25099</v>
      </c>
      <c r="L5921" t="s">
        <v>26788</v>
      </c>
      <c r="M5921" t="s">
        <v>26789</v>
      </c>
      <c r="P5921" t="s">
        <v>410</v>
      </c>
      <c r="Q5921" t="s">
        <v>26791</v>
      </c>
      <c r="Y5921" t="s">
        <v>26792</v>
      </c>
    </row>
    <row r="5922" spans="1:25" x14ac:dyDescent="0.25">
      <c r="A5922" t="str">
        <f>"22500052202"</f>
        <v>22500052202</v>
      </c>
      <c r="B5922" t="s">
        <v>2846</v>
      </c>
      <c r="C5922" t="s">
        <v>5305</v>
      </c>
      <c r="D5922" t="s">
        <v>26793</v>
      </c>
      <c r="E5922">
        <v>424006</v>
      </c>
      <c r="F5922" t="s">
        <v>1</v>
      </c>
      <c r="G5922" t="s">
        <v>2</v>
      </c>
      <c r="H5922" t="s">
        <v>8622</v>
      </c>
      <c r="I5922" t="s">
        <v>26794</v>
      </c>
      <c r="L5922" t="s">
        <v>26795</v>
      </c>
      <c r="M5922" t="s">
        <v>26796</v>
      </c>
      <c r="P5922" t="s">
        <v>6400</v>
      </c>
      <c r="Y5922" t="s">
        <v>8866</v>
      </c>
    </row>
    <row r="5923" spans="1:25" x14ac:dyDescent="0.25">
      <c r="A5923" t="str">
        <f>"22506261742"</f>
        <v>22506261742</v>
      </c>
      <c r="B5923" t="s">
        <v>1053</v>
      </c>
      <c r="C5923" t="s">
        <v>1927</v>
      </c>
      <c r="D5923" t="s">
        <v>26797</v>
      </c>
      <c r="E5923">
        <v>424038</v>
      </c>
      <c r="F5923" t="s">
        <v>1</v>
      </c>
      <c r="G5923" t="s">
        <v>2</v>
      </c>
      <c r="H5923" t="s">
        <v>10681</v>
      </c>
      <c r="I5923" t="s">
        <v>26798</v>
      </c>
      <c r="P5923" t="s">
        <v>20</v>
      </c>
      <c r="Y5923" t="s">
        <v>10684</v>
      </c>
    </row>
    <row r="5924" spans="1:25" x14ac:dyDescent="0.25">
      <c r="A5924" t="str">
        <f>"22583123922"</f>
        <v>22583123922</v>
      </c>
      <c r="B5924" t="s">
        <v>397</v>
      </c>
      <c r="C5924" t="s">
        <v>26803</v>
      </c>
      <c r="D5924" t="s">
        <v>26799</v>
      </c>
      <c r="E5924">
        <v>424005</v>
      </c>
      <c r="F5924" t="s">
        <v>1</v>
      </c>
      <c r="G5924" t="s">
        <v>2</v>
      </c>
      <c r="H5924" t="s">
        <v>1310</v>
      </c>
      <c r="I5924" t="s">
        <v>26800</v>
      </c>
      <c r="J5924" t="s">
        <v>26801</v>
      </c>
      <c r="M5924" t="s">
        <v>26802</v>
      </c>
      <c r="P5924" t="s">
        <v>340</v>
      </c>
      <c r="Q5924" t="s">
        <v>26804</v>
      </c>
      <c r="V5924" t="s">
        <v>26805</v>
      </c>
      <c r="Y5924" t="s">
        <v>3926</v>
      </c>
    </row>
    <row r="5925" spans="1:25" x14ac:dyDescent="0.25">
      <c r="A5925" t="str">
        <f>"22597119935"</f>
        <v>22597119935</v>
      </c>
      <c r="B5925" t="s">
        <v>348</v>
      </c>
      <c r="C5925" t="s">
        <v>26811</v>
      </c>
      <c r="D5925" t="s">
        <v>26806</v>
      </c>
      <c r="E5925">
        <v>424033</v>
      </c>
      <c r="F5925" t="s">
        <v>1</v>
      </c>
      <c r="G5925" t="s">
        <v>2</v>
      </c>
      <c r="H5925" t="s">
        <v>1782</v>
      </c>
      <c r="I5925" t="s">
        <v>26807</v>
      </c>
      <c r="J5925" t="s">
        <v>26808</v>
      </c>
      <c r="L5925" t="s">
        <v>26809</v>
      </c>
      <c r="M5925" t="s">
        <v>26810</v>
      </c>
      <c r="P5925" t="s">
        <v>1027</v>
      </c>
      <c r="Y5925" t="s">
        <v>26812</v>
      </c>
    </row>
    <row r="5926" spans="1:25" x14ac:dyDescent="0.25">
      <c r="A5926" t="str">
        <f>"22607977499"</f>
        <v>22607977499</v>
      </c>
      <c r="B5926" t="s">
        <v>96</v>
      </c>
      <c r="C5926" t="s">
        <v>893</v>
      </c>
      <c r="D5926" t="s">
        <v>26813</v>
      </c>
      <c r="E5926">
        <v>424000</v>
      </c>
      <c r="F5926" t="s">
        <v>1</v>
      </c>
      <c r="G5926" t="s">
        <v>2</v>
      </c>
      <c r="H5926" t="s">
        <v>1473</v>
      </c>
      <c r="P5926" t="s">
        <v>941</v>
      </c>
      <c r="Y5926" t="s">
        <v>26814</v>
      </c>
    </row>
    <row r="5927" spans="1:25" x14ac:dyDescent="0.25">
      <c r="A5927" t="str">
        <f>"22608291431"</f>
        <v>22608291431</v>
      </c>
      <c r="B5927" t="s">
        <v>482</v>
      </c>
      <c r="C5927" t="s">
        <v>26818</v>
      </c>
      <c r="D5927" t="s">
        <v>26815</v>
      </c>
      <c r="E5927">
        <v>424019</v>
      </c>
      <c r="F5927" t="s">
        <v>1</v>
      </c>
      <c r="G5927" t="s">
        <v>2</v>
      </c>
      <c r="H5927" t="s">
        <v>26816</v>
      </c>
      <c r="J5927" t="s">
        <v>26817</v>
      </c>
      <c r="P5927" t="s">
        <v>330</v>
      </c>
      <c r="Y5927" t="s">
        <v>26819</v>
      </c>
    </row>
    <row r="5928" spans="1:25" x14ac:dyDescent="0.25">
      <c r="A5928" t="str">
        <f>"22611332527"</f>
        <v>22611332527</v>
      </c>
      <c r="B5928" t="s">
        <v>716</v>
      </c>
      <c r="C5928" t="s">
        <v>26823</v>
      </c>
      <c r="D5928" t="s">
        <v>3882</v>
      </c>
      <c r="E5928">
        <v>424006</v>
      </c>
      <c r="F5928" t="s">
        <v>1</v>
      </c>
      <c r="G5928" t="s">
        <v>2</v>
      </c>
      <c r="H5928" t="s">
        <v>2012</v>
      </c>
      <c r="I5928" t="s">
        <v>26820</v>
      </c>
      <c r="J5928" t="s">
        <v>26821</v>
      </c>
      <c r="K5928" t="s">
        <v>26822</v>
      </c>
      <c r="P5928" t="s">
        <v>20</v>
      </c>
      <c r="Y5928" t="s">
        <v>2016</v>
      </c>
    </row>
    <row r="5929" spans="1:25" x14ac:dyDescent="0.25">
      <c r="A5929" t="str">
        <f>"22624359810"</f>
        <v>22624359810</v>
      </c>
      <c r="B5929" t="s">
        <v>397</v>
      </c>
      <c r="C5929" t="s">
        <v>1432</v>
      </c>
      <c r="D5929" t="s">
        <v>26824</v>
      </c>
      <c r="E5929">
        <v>424004</v>
      </c>
      <c r="F5929" t="s">
        <v>1</v>
      </c>
      <c r="G5929" t="s">
        <v>2</v>
      </c>
      <c r="H5929" t="s">
        <v>15365</v>
      </c>
      <c r="Y5929" t="s">
        <v>26825</v>
      </c>
    </row>
    <row r="5930" spans="1:25" x14ac:dyDescent="0.25">
      <c r="A5930" t="str">
        <f>"22654713002"</f>
        <v>22654713002</v>
      </c>
      <c r="B5930" t="s">
        <v>1573</v>
      </c>
      <c r="C5930" t="s">
        <v>1817</v>
      </c>
      <c r="D5930" t="s">
        <v>26826</v>
      </c>
      <c r="E5930">
        <v>424005</v>
      </c>
      <c r="F5930" t="s">
        <v>1</v>
      </c>
      <c r="G5930" t="s">
        <v>2</v>
      </c>
      <c r="H5930" t="s">
        <v>3053</v>
      </c>
      <c r="Y5930" t="s">
        <v>3056</v>
      </c>
    </row>
    <row r="5931" spans="1:25" x14ac:dyDescent="0.25">
      <c r="A5931" t="str">
        <f>"22712341375"</f>
        <v>22712341375</v>
      </c>
      <c r="B5931" t="s">
        <v>96</v>
      </c>
      <c r="C5931" t="s">
        <v>7071</v>
      </c>
      <c r="D5931" t="s">
        <v>26827</v>
      </c>
      <c r="E5931">
        <v>424033</v>
      </c>
      <c r="F5931" t="s">
        <v>1</v>
      </c>
      <c r="G5931" t="s">
        <v>2</v>
      </c>
      <c r="H5931" t="s">
        <v>76</v>
      </c>
      <c r="J5931" t="s">
        <v>26828</v>
      </c>
      <c r="P5931" t="s">
        <v>630</v>
      </c>
      <c r="Y5931" t="s">
        <v>26829</v>
      </c>
    </row>
    <row r="5932" spans="1:25" x14ac:dyDescent="0.25">
      <c r="A5932" t="str">
        <f>"22741729333"</f>
        <v>22741729333</v>
      </c>
      <c r="B5932" t="s">
        <v>654</v>
      </c>
      <c r="C5932" t="s">
        <v>2195</v>
      </c>
      <c r="D5932" t="s">
        <v>26830</v>
      </c>
      <c r="E5932">
        <v>424020</v>
      </c>
      <c r="F5932" t="s">
        <v>1</v>
      </c>
      <c r="G5932" t="s">
        <v>2</v>
      </c>
      <c r="H5932" t="s">
        <v>14474</v>
      </c>
      <c r="L5932" t="s">
        <v>26831</v>
      </c>
      <c r="M5932" t="s">
        <v>26832</v>
      </c>
      <c r="Y5932" t="s">
        <v>14476</v>
      </c>
    </row>
    <row r="5933" spans="1:25" x14ac:dyDescent="0.25">
      <c r="A5933" t="str">
        <f>"22770439057"</f>
        <v>22770439057</v>
      </c>
      <c r="B5933" t="s">
        <v>1573</v>
      </c>
      <c r="C5933" t="s">
        <v>26835</v>
      </c>
      <c r="D5933" t="s">
        <v>26833</v>
      </c>
      <c r="E5933">
        <v>424006</v>
      </c>
      <c r="F5933" t="s">
        <v>1</v>
      </c>
      <c r="G5933" t="s">
        <v>2</v>
      </c>
      <c r="H5933" t="s">
        <v>13109</v>
      </c>
      <c r="J5933" t="s">
        <v>26834</v>
      </c>
      <c r="P5933" t="s">
        <v>1760</v>
      </c>
      <c r="Q5933" t="s">
        <v>26836</v>
      </c>
      <c r="V5933" t="s">
        <v>26837</v>
      </c>
      <c r="Y5933" t="s">
        <v>22474</v>
      </c>
    </row>
    <row r="5934" spans="1:25" x14ac:dyDescent="0.25">
      <c r="A5934" t="str">
        <f>"22814950623"</f>
        <v>22814950623</v>
      </c>
      <c r="B5934" t="s">
        <v>2790</v>
      </c>
      <c r="C5934" t="s">
        <v>3528</v>
      </c>
      <c r="D5934" t="s">
        <v>26838</v>
      </c>
      <c r="E5934">
        <v>424031</v>
      </c>
      <c r="F5934" t="s">
        <v>1</v>
      </c>
      <c r="G5934" t="s">
        <v>2</v>
      </c>
      <c r="H5934" t="s">
        <v>12294</v>
      </c>
      <c r="I5934" t="s">
        <v>26839</v>
      </c>
      <c r="L5934" t="s">
        <v>26840</v>
      </c>
      <c r="Y5934" t="s">
        <v>26841</v>
      </c>
    </row>
    <row r="5935" spans="1:25" x14ac:dyDescent="0.25">
      <c r="A5935" t="str">
        <f>"22819833654"</f>
        <v>22819833654</v>
      </c>
      <c r="B5935" t="s">
        <v>519</v>
      </c>
      <c r="C5935" t="s">
        <v>26843</v>
      </c>
      <c r="D5935" t="s">
        <v>26842</v>
      </c>
      <c r="E5935">
        <v>424000</v>
      </c>
      <c r="F5935" t="s">
        <v>1</v>
      </c>
      <c r="G5935" t="s">
        <v>2</v>
      </c>
      <c r="H5935" t="s">
        <v>837</v>
      </c>
      <c r="Y5935" t="s">
        <v>2964</v>
      </c>
    </row>
    <row r="5936" spans="1:25" x14ac:dyDescent="0.25">
      <c r="A5936" t="str">
        <f>"22842267585"</f>
        <v>22842267585</v>
      </c>
      <c r="B5936" t="s">
        <v>530</v>
      </c>
      <c r="C5936" t="s">
        <v>23950</v>
      </c>
      <c r="D5936" t="s">
        <v>23950</v>
      </c>
      <c r="E5936">
        <v>424037</v>
      </c>
      <c r="F5936" t="s">
        <v>1</v>
      </c>
      <c r="G5936" t="s">
        <v>2</v>
      </c>
      <c r="H5936" t="s">
        <v>26844</v>
      </c>
      <c r="Y5936" t="s">
        <v>26845</v>
      </c>
    </row>
    <row r="5937" spans="1:25" x14ac:dyDescent="0.25">
      <c r="A5937" t="str">
        <f>"22862656708"</f>
        <v>22862656708</v>
      </c>
      <c r="B5937" t="s">
        <v>1230</v>
      </c>
      <c r="C5937" t="s">
        <v>26848</v>
      </c>
      <c r="D5937" t="s">
        <v>26846</v>
      </c>
      <c r="E5937">
        <v>424039</v>
      </c>
      <c r="F5937" t="s">
        <v>1</v>
      </c>
      <c r="G5937" t="s">
        <v>2</v>
      </c>
      <c r="H5937" t="s">
        <v>26847</v>
      </c>
      <c r="Y5937" t="s">
        <v>26849</v>
      </c>
    </row>
    <row r="5938" spans="1:25" x14ac:dyDescent="0.25">
      <c r="A5938" t="str">
        <f>"22863777056"</f>
        <v>22863777056</v>
      </c>
      <c r="B5938" t="s">
        <v>123</v>
      </c>
      <c r="C5938" t="s">
        <v>196</v>
      </c>
      <c r="D5938" t="s">
        <v>26850</v>
      </c>
      <c r="F5938" t="s">
        <v>1</v>
      </c>
      <c r="G5938" t="s">
        <v>2</v>
      </c>
      <c r="H5938" t="s">
        <v>2586</v>
      </c>
      <c r="I5938" t="s">
        <v>26851</v>
      </c>
      <c r="J5938" t="s">
        <v>26852</v>
      </c>
      <c r="P5938" t="s">
        <v>26853</v>
      </c>
      <c r="Y5938" t="s">
        <v>23342</v>
      </c>
    </row>
    <row r="5939" spans="1:25" x14ac:dyDescent="0.25">
      <c r="A5939" t="str">
        <f>"22935880444"</f>
        <v>22935880444</v>
      </c>
      <c r="B5939" t="s">
        <v>96</v>
      </c>
      <c r="C5939" t="s">
        <v>695</v>
      </c>
      <c r="D5939" t="s">
        <v>26854</v>
      </c>
      <c r="E5939">
        <v>424020</v>
      </c>
      <c r="F5939" t="s">
        <v>1</v>
      </c>
      <c r="G5939" t="s">
        <v>2</v>
      </c>
      <c r="H5939" t="s">
        <v>10825</v>
      </c>
      <c r="I5939" t="s">
        <v>25847</v>
      </c>
      <c r="J5939" t="s">
        <v>26855</v>
      </c>
      <c r="P5939" t="s">
        <v>5084</v>
      </c>
      <c r="Y5939" t="s">
        <v>26856</v>
      </c>
    </row>
    <row r="5940" spans="1:25" x14ac:dyDescent="0.25">
      <c r="A5940" t="str">
        <f>"22986664822"</f>
        <v>22986664822</v>
      </c>
      <c r="B5940" t="s">
        <v>1343</v>
      </c>
      <c r="C5940" t="s">
        <v>5308</v>
      </c>
      <c r="D5940" t="s">
        <v>26857</v>
      </c>
      <c r="E5940">
        <v>424006</v>
      </c>
      <c r="F5940" t="s">
        <v>1</v>
      </c>
      <c r="G5940" t="s">
        <v>2</v>
      </c>
      <c r="H5940" t="s">
        <v>5726</v>
      </c>
      <c r="J5940" t="s">
        <v>26858</v>
      </c>
      <c r="P5940" t="s">
        <v>27</v>
      </c>
      <c r="Q5940" t="s">
        <v>26859</v>
      </c>
      <c r="V5940" t="s">
        <v>26860</v>
      </c>
      <c r="Y5940" t="s">
        <v>9201</v>
      </c>
    </row>
    <row r="5941" spans="1:25" x14ac:dyDescent="0.25">
      <c r="A5941" t="str">
        <f>"23005370627"</f>
        <v>23005370627</v>
      </c>
      <c r="B5941" t="s">
        <v>328</v>
      </c>
      <c r="C5941" t="s">
        <v>1920</v>
      </c>
      <c r="D5941" t="s">
        <v>26861</v>
      </c>
      <c r="E5941">
        <v>424002</v>
      </c>
      <c r="F5941" t="s">
        <v>1</v>
      </c>
      <c r="G5941" t="s">
        <v>2</v>
      </c>
      <c r="H5941" t="s">
        <v>6656</v>
      </c>
      <c r="L5941" t="s">
        <v>3677</v>
      </c>
      <c r="Q5941" t="s">
        <v>3678</v>
      </c>
      <c r="Y5941" t="s">
        <v>26862</v>
      </c>
    </row>
    <row r="5942" spans="1:25" x14ac:dyDescent="0.25">
      <c r="A5942" t="str">
        <f>"23053194992"</f>
        <v>23053194992</v>
      </c>
      <c r="B5942" t="s">
        <v>123</v>
      </c>
      <c r="C5942" t="s">
        <v>424</v>
      </c>
      <c r="D5942" t="s">
        <v>9119</v>
      </c>
      <c r="F5942" t="s">
        <v>1</v>
      </c>
      <c r="G5942" t="s">
        <v>2</v>
      </c>
      <c r="H5942" t="s">
        <v>26431</v>
      </c>
      <c r="I5942" t="s">
        <v>26863</v>
      </c>
      <c r="P5942" t="s">
        <v>2280</v>
      </c>
      <c r="Y5942" t="s">
        <v>26864</v>
      </c>
    </row>
    <row r="5943" spans="1:25" x14ac:dyDescent="0.25">
      <c r="A5943" t="str">
        <f>"23079634995"</f>
        <v>23079634995</v>
      </c>
      <c r="B5943" t="s">
        <v>1343</v>
      </c>
      <c r="C5943" t="s">
        <v>13544</v>
      </c>
      <c r="D5943" t="s">
        <v>26865</v>
      </c>
      <c r="E5943">
        <v>424020</v>
      </c>
      <c r="F5943" t="s">
        <v>1</v>
      </c>
      <c r="G5943" t="s">
        <v>2</v>
      </c>
      <c r="H5943" t="s">
        <v>7067</v>
      </c>
      <c r="Y5943" t="s">
        <v>26866</v>
      </c>
    </row>
    <row r="5944" spans="1:25" x14ac:dyDescent="0.25">
      <c r="A5944" t="str">
        <f>"23087129618"</f>
        <v>23087129618</v>
      </c>
      <c r="B5944" t="s">
        <v>243</v>
      </c>
      <c r="C5944" t="s">
        <v>2538</v>
      </c>
      <c r="D5944" t="s">
        <v>26867</v>
      </c>
      <c r="E5944">
        <v>424006</v>
      </c>
      <c r="F5944" t="s">
        <v>1</v>
      </c>
      <c r="G5944" t="s">
        <v>2</v>
      </c>
      <c r="H5944" t="s">
        <v>6133</v>
      </c>
      <c r="J5944" t="s">
        <v>26868</v>
      </c>
      <c r="P5944" t="s">
        <v>27</v>
      </c>
      <c r="Y5944" t="s">
        <v>24905</v>
      </c>
    </row>
    <row r="5945" spans="1:25" x14ac:dyDescent="0.25">
      <c r="A5945" t="str">
        <f>"23096619505"</f>
        <v>23096619505</v>
      </c>
      <c r="B5945" t="s">
        <v>151</v>
      </c>
      <c r="C5945" t="s">
        <v>151</v>
      </c>
      <c r="D5945" t="s">
        <v>26869</v>
      </c>
      <c r="E5945">
        <v>424006</v>
      </c>
      <c r="F5945" t="s">
        <v>1</v>
      </c>
      <c r="G5945" t="s">
        <v>2</v>
      </c>
      <c r="H5945" t="s">
        <v>1923</v>
      </c>
      <c r="I5945" t="s">
        <v>26870</v>
      </c>
      <c r="P5945" t="s">
        <v>27</v>
      </c>
      <c r="Y5945" t="s">
        <v>1928</v>
      </c>
    </row>
    <row r="5946" spans="1:25" x14ac:dyDescent="0.25">
      <c r="A5946" t="str">
        <f>"23100790867"</f>
        <v>23100790867</v>
      </c>
      <c r="B5946" t="s">
        <v>624</v>
      </c>
      <c r="C5946" t="s">
        <v>1637</v>
      </c>
      <c r="D5946" t="s">
        <v>26871</v>
      </c>
      <c r="E5946">
        <v>424004</v>
      </c>
      <c r="F5946" t="s">
        <v>1</v>
      </c>
      <c r="G5946" t="s">
        <v>2</v>
      </c>
      <c r="H5946" t="s">
        <v>2589</v>
      </c>
      <c r="Y5946" t="s">
        <v>26872</v>
      </c>
    </row>
    <row r="5947" spans="1:25" x14ac:dyDescent="0.25">
      <c r="A5947" t="str">
        <f>"23143201868"</f>
        <v>23143201868</v>
      </c>
      <c r="B5947" t="s">
        <v>6801</v>
      </c>
      <c r="C5947" t="s">
        <v>26875</v>
      </c>
      <c r="D5947" t="s">
        <v>26873</v>
      </c>
      <c r="E5947">
        <v>424002</v>
      </c>
      <c r="F5947" t="s">
        <v>1</v>
      </c>
      <c r="G5947" t="s">
        <v>2</v>
      </c>
      <c r="H5947" t="s">
        <v>3864</v>
      </c>
      <c r="J5947" t="s">
        <v>26874</v>
      </c>
      <c r="P5947" t="s">
        <v>144</v>
      </c>
      <c r="Y5947" t="s">
        <v>3867</v>
      </c>
    </row>
    <row r="5948" spans="1:25" x14ac:dyDescent="0.25">
      <c r="A5948" t="str">
        <f>"23149903058"</f>
        <v>23149903058</v>
      </c>
      <c r="B5948" t="s">
        <v>7</v>
      </c>
      <c r="C5948" t="s">
        <v>925</v>
      </c>
      <c r="D5948" t="s">
        <v>26876</v>
      </c>
      <c r="E5948">
        <v>424004</v>
      </c>
      <c r="F5948" t="s">
        <v>1</v>
      </c>
      <c r="G5948" t="s">
        <v>2</v>
      </c>
      <c r="H5948" t="s">
        <v>9044</v>
      </c>
      <c r="I5948" t="s">
        <v>9045</v>
      </c>
      <c r="J5948" t="s">
        <v>26877</v>
      </c>
      <c r="M5948" t="s">
        <v>26878</v>
      </c>
      <c r="P5948" t="s">
        <v>7767</v>
      </c>
      <c r="Q5948" t="s">
        <v>26879</v>
      </c>
      <c r="V5948" t="s">
        <v>26880</v>
      </c>
      <c r="Y5948" t="s">
        <v>9046</v>
      </c>
    </row>
    <row r="5949" spans="1:25" x14ac:dyDescent="0.25">
      <c r="A5949" t="str">
        <f>"23151966487"</f>
        <v>23151966487</v>
      </c>
      <c r="B5949" t="s">
        <v>687</v>
      </c>
      <c r="C5949" t="s">
        <v>26884</v>
      </c>
      <c r="D5949" t="s">
        <v>26881</v>
      </c>
      <c r="E5949">
        <v>424039</v>
      </c>
      <c r="F5949" t="s">
        <v>1</v>
      </c>
      <c r="G5949" t="s">
        <v>2</v>
      </c>
      <c r="H5949" t="s">
        <v>26882</v>
      </c>
      <c r="I5949" t="s">
        <v>26883</v>
      </c>
      <c r="P5949" t="s">
        <v>27</v>
      </c>
      <c r="Y5949" t="s">
        <v>26885</v>
      </c>
    </row>
    <row r="5950" spans="1:25" x14ac:dyDescent="0.25">
      <c r="A5950" t="str">
        <f>"23158250634"</f>
        <v>23158250634</v>
      </c>
      <c r="B5950" t="s">
        <v>371</v>
      </c>
      <c r="C5950" t="s">
        <v>372</v>
      </c>
      <c r="D5950" t="s">
        <v>26886</v>
      </c>
      <c r="E5950">
        <v>424000</v>
      </c>
      <c r="F5950" t="s">
        <v>1</v>
      </c>
      <c r="G5950" t="s">
        <v>2</v>
      </c>
      <c r="H5950" t="s">
        <v>937</v>
      </c>
      <c r="I5950" t="s">
        <v>26887</v>
      </c>
      <c r="J5950" t="s">
        <v>26888</v>
      </c>
      <c r="Q5950" t="s">
        <v>26889</v>
      </c>
      <c r="Y5950" t="s">
        <v>942</v>
      </c>
    </row>
    <row r="5951" spans="1:25" x14ac:dyDescent="0.25">
      <c r="A5951" t="str">
        <f>"23166633170"</f>
        <v>23166633170</v>
      </c>
      <c r="B5951" t="s">
        <v>930</v>
      </c>
      <c r="C5951" t="s">
        <v>10263</v>
      </c>
      <c r="D5951" t="s">
        <v>3600</v>
      </c>
      <c r="E5951">
        <v>424004</v>
      </c>
      <c r="F5951" t="s">
        <v>1</v>
      </c>
      <c r="G5951" t="s">
        <v>2</v>
      </c>
      <c r="H5951" t="s">
        <v>351</v>
      </c>
      <c r="Y5951" t="s">
        <v>354</v>
      </c>
    </row>
    <row r="5952" spans="1:25" x14ac:dyDescent="0.25">
      <c r="A5952" t="str">
        <f>"23167454478"</f>
        <v>23167454478</v>
      </c>
      <c r="B5952" t="s">
        <v>88</v>
      </c>
      <c r="C5952" t="s">
        <v>26892</v>
      </c>
      <c r="D5952" t="s">
        <v>26890</v>
      </c>
      <c r="E5952">
        <v>424038</v>
      </c>
      <c r="F5952" t="s">
        <v>1</v>
      </c>
      <c r="G5952" t="s">
        <v>2</v>
      </c>
      <c r="H5952" t="s">
        <v>7597</v>
      </c>
      <c r="J5952" t="s">
        <v>26891</v>
      </c>
      <c r="P5952" t="s">
        <v>1642</v>
      </c>
      <c r="Y5952" t="s">
        <v>26893</v>
      </c>
    </row>
    <row r="5953" spans="1:25" x14ac:dyDescent="0.25">
      <c r="A5953" t="str">
        <f>"23193199047"</f>
        <v>23193199047</v>
      </c>
      <c r="B5953" t="s">
        <v>328</v>
      </c>
      <c r="C5953" t="s">
        <v>26897</v>
      </c>
      <c r="D5953" t="s">
        <v>26894</v>
      </c>
      <c r="E5953">
        <v>424000</v>
      </c>
      <c r="F5953" t="s">
        <v>1</v>
      </c>
      <c r="G5953" t="s">
        <v>2</v>
      </c>
      <c r="H5953" t="s">
        <v>2193</v>
      </c>
      <c r="I5953" t="s">
        <v>26895</v>
      </c>
      <c r="M5953" t="s">
        <v>26896</v>
      </c>
      <c r="P5953" t="s">
        <v>5575</v>
      </c>
      <c r="Y5953" t="s">
        <v>26898</v>
      </c>
    </row>
    <row r="5954" spans="1:25" x14ac:dyDescent="0.25">
      <c r="A5954" t="str">
        <f>"23200673962"</f>
        <v>23200673962</v>
      </c>
      <c r="B5954" t="s">
        <v>1544</v>
      </c>
      <c r="C5954" t="s">
        <v>3596</v>
      </c>
      <c r="D5954" t="s">
        <v>3596</v>
      </c>
      <c r="E5954">
        <v>424006</v>
      </c>
      <c r="F5954" t="s">
        <v>1</v>
      </c>
      <c r="G5954" t="s">
        <v>2</v>
      </c>
      <c r="H5954" t="s">
        <v>5726</v>
      </c>
      <c r="Y5954" t="s">
        <v>26899</v>
      </c>
    </row>
    <row r="5955" spans="1:25" x14ac:dyDescent="0.25">
      <c r="A5955" t="str">
        <f>"23231754218"</f>
        <v>23231754218</v>
      </c>
      <c r="B5955" t="s">
        <v>574</v>
      </c>
      <c r="C5955" t="s">
        <v>26901</v>
      </c>
      <c r="D5955" t="s">
        <v>21345</v>
      </c>
      <c r="E5955">
        <v>424039</v>
      </c>
      <c r="F5955" t="s">
        <v>1</v>
      </c>
      <c r="G5955" t="s">
        <v>2</v>
      </c>
      <c r="H5955" t="s">
        <v>26900</v>
      </c>
      <c r="Y5955" t="s">
        <v>26902</v>
      </c>
    </row>
    <row r="5956" spans="1:25" x14ac:dyDescent="0.25">
      <c r="A5956" t="str">
        <f>"23265205716"</f>
        <v>23265205716</v>
      </c>
      <c r="B5956" t="s">
        <v>96</v>
      </c>
      <c r="C5956" t="s">
        <v>8808</v>
      </c>
      <c r="D5956" t="s">
        <v>26903</v>
      </c>
      <c r="E5956">
        <v>424007</v>
      </c>
      <c r="F5956" t="s">
        <v>1</v>
      </c>
      <c r="G5956" t="s">
        <v>2</v>
      </c>
      <c r="H5956" t="s">
        <v>5178</v>
      </c>
      <c r="P5956" t="s">
        <v>2731</v>
      </c>
      <c r="Y5956" t="s">
        <v>26904</v>
      </c>
    </row>
    <row r="5957" spans="1:25" x14ac:dyDescent="0.25">
      <c r="A5957" t="str">
        <f>"23271586428"</f>
        <v>23271586428</v>
      </c>
      <c r="B5957" t="s">
        <v>7</v>
      </c>
      <c r="C5957" t="s">
        <v>26907</v>
      </c>
      <c r="D5957" t="s">
        <v>26905</v>
      </c>
      <c r="E5957">
        <v>424006</v>
      </c>
      <c r="F5957" t="s">
        <v>1</v>
      </c>
      <c r="G5957" t="s">
        <v>2</v>
      </c>
      <c r="H5957" t="s">
        <v>2698</v>
      </c>
      <c r="I5957" t="s">
        <v>26906</v>
      </c>
      <c r="P5957" t="s">
        <v>280</v>
      </c>
      <c r="Y5957" t="s">
        <v>2700</v>
      </c>
    </row>
    <row r="5958" spans="1:25" x14ac:dyDescent="0.25">
      <c r="A5958" t="str">
        <f>"23301526641"</f>
        <v>23301526641</v>
      </c>
      <c r="B5958" t="s">
        <v>18</v>
      </c>
      <c r="C5958" t="s">
        <v>26910</v>
      </c>
      <c r="D5958" t="s">
        <v>26908</v>
      </c>
      <c r="E5958">
        <v>424016</v>
      </c>
      <c r="F5958" t="s">
        <v>1</v>
      </c>
      <c r="G5958" t="s">
        <v>2</v>
      </c>
      <c r="H5958" t="s">
        <v>5561</v>
      </c>
      <c r="M5958" t="s">
        <v>26909</v>
      </c>
      <c r="Y5958" t="s">
        <v>5567</v>
      </c>
    </row>
    <row r="5959" spans="1:25" x14ac:dyDescent="0.25">
      <c r="A5959" t="str">
        <f>"23326483131"</f>
        <v>23326483131</v>
      </c>
      <c r="B5959" t="s">
        <v>18</v>
      </c>
      <c r="C5959" t="s">
        <v>2171</v>
      </c>
      <c r="D5959" t="s">
        <v>26911</v>
      </c>
      <c r="E5959">
        <v>424004</v>
      </c>
      <c r="F5959" t="s">
        <v>1</v>
      </c>
      <c r="G5959" t="s">
        <v>2</v>
      </c>
      <c r="H5959" t="s">
        <v>2589</v>
      </c>
      <c r="I5959" t="s">
        <v>26912</v>
      </c>
      <c r="P5959" t="s">
        <v>10133</v>
      </c>
      <c r="Y5959" t="s">
        <v>2595</v>
      </c>
    </row>
    <row r="5960" spans="1:25" x14ac:dyDescent="0.25">
      <c r="A5960" t="str">
        <f>"23345691336"</f>
        <v>23345691336</v>
      </c>
      <c r="B5960" t="s">
        <v>25</v>
      </c>
      <c r="C5960" t="s">
        <v>26915</v>
      </c>
      <c r="D5960" t="s">
        <v>26913</v>
      </c>
      <c r="E5960">
        <v>424007</v>
      </c>
      <c r="F5960" t="s">
        <v>1</v>
      </c>
      <c r="G5960" t="s">
        <v>2</v>
      </c>
      <c r="H5960" t="s">
        <v>499</v>
      </c>
      <c r="J5960" t="s">
        <v>26914</v>
      </c>
      <c r="P5960" t="s">
        <v>2839</v>
      </c>
      <c r="Y5960" t="s">
        <v>1598</v>
      </c>
    </row>
    <row r="5961" spans="1:25" x14ac:dyDescent="0.25">
      <c r="A5961" t="str">
        <f>"23368961850"</f>
        <v>23368961850</v>
      </c>
      <c r="B5961" t="s">
        <v>530</v>
      </c>
      <c r="C5961" t="s">
        <v>23950</v>
      </c>
      <c r="D5961" t="s">
        <v>23950</v>
      </c>
      <c r="E5961">
        <v>424005</v>
      </c>
      <c r="F5961" t="s">
        <v>1</v>
      </c>
      <c r="G5961" t="s">
        <v>2</v>
      </c>
      <c r="H5961" t="s">
        <v>8983</v>
      </c>
      <c r="Y5961" t="s">
        <v>26916</v>
      </c>
    </row>
    <row r="5962" spans="1:25" x14ac:dyDescent="0.25">
      <c r="A5962" t="str">
        <f>"23381974026"</f>
        <v>23381974026</v>
      </c>
      <c r="B5962" t="s">
        <v>2361</v>
      </c>
      <c r="C5962" t="s">
        <v>26921</v>
      </c>
      <c r="D5962" t="s">
        <v>26917</v>
      </c>
      <c r="E5962">
        <v>424040</v>
      </c>
      <c r="F5962" t="s">
        <v>1</v>
      </c>
      <c r="G5962" t="s">
        <v>2</v>
      </c>
      <c r="H5962" t="s">
        <v>7989</v>
      </c>
      <c r="I5962" t="s">
        <v>26918</v>
      </c>
      <c r="J5962" t="s">
        <v>26919</v>
      </c>
      <c r="L5962" t="s">
        <v>2127</v>
      </c>
      <c r="M5962" t="s">
        <v>26920</v>
      </c>
      <c r="P5962" t="s">
        <v>27</v>
      </c>
      <c r="Y5962" t="s">
        <v>11906</v>
      </c>
    </row>
    <row r="5963" spans="1:25" x14ac:dyDescent="0.25">
      <c r="A5963" t="str">
        <f>"23425113476"</f>
        <v>23425113476</v>
      </c>
      <c r="B5963" t="s">
        <v>176</v>
      </c>
      <c r="C5963" t="s">
        <v>566</v>
      </c>
      <c r="D5963" t="s">
        <v>26922</v>
      </c>
      <c r="E5963">
        <v>424007</v>
      </c>
      <c r="F5963" t="s">
        <v>1</v>
      </c>
      <c r="G5963" t="s">
        <v>2</v>
      </c>
      <c r="H5963" t="s">
        <v>26923</v>
      </c>
      <c r="I5963" t="s">
        <v>26924</v>
      </c>
      <c r="Y5963" t="s">
        <v>26925</v>
      </c>
    </row>
    <row r="5964" spans="1:25" x14ac:dyDescent="0.25">
      <c r="A5964" t="str">
        <f>"23461108508"</f>
        <v>23461108508</v>
      </c>
      <c r="B5964" t="s">
        <v>1152</v>
      </c>
      <c r="C5964" t="s">
        <v>1153</v>
      </c>
      <c r="D5964" t="s">
        <v>10280</v>
      </c>
      <c r="E5964">
        <v>424038</v>
      </c>
      <c r="F5964" t="s">
        <v>1</v>
      </c>
      <c r="G5964" t="s">
        <v>2</v>
      </c>
      <c r="H5964" t="s">
        <v>9930</v>
      </c>
      <c r="I5964" t="s">
        <v>22092</v>
      </c>
      <c r="M5964" t="s">
        <v>10284</v>
      </c>
      <c r="Q5964" t="s">
        <v>10286</v>
      </c>
      <c r="R5964" t="s">
        <v>10287</v>
      </c>
      <c r="S5964" t="s">
        <v>10288</v>
      </c>
      <c r="T5964" t="s">
        <v>10289</v>
      </c>
      <c r="U5964" t="s">
        <v>10290</v>
      </c>
      <c r="V5964" t="s">
        <v>10291</v>
      </c>
      <c r="Y5964" t="s">
        <v>26926</v>
      </c>
    </row>
    <row r="5965" spans="1:25" x14ac:dyDescent="0.25">
      <c r="A5965" t="str">
        <f>"23502714901"</f>
        <v>23502714901</v>
      </c>
      <c r="B5965" t="s">
        <v>32</v>
      </c>
      <c r="C5965" t="s">
        <v>2996</v>
      </c>
      <c r="D5965" t="s">
        <v>26927</v>
      </c>
      <c r="E5965">
        <v>424000</v>
      </c>
      <c r="F5965" t="s">
        <v>1</v>
      </c>
      <c r="G5965" t="s">
        <v>2</v>
      </c>
      <c r="H5965" t="s">
        <v>5615</v>
      </c>
      <c r="J5965" t="s">
        <v>26928</v>
      </c>
      <c r="P5965" t="s">
        <v>216</v>
      </c>
      <c r="Y5965" t="s">
        <v>5619</v>
      </c>
    </row>
    <row r="5966" spans="1:25" x14ac:dyDescent="0.25">
      <c r="A5966" t="str">
        <f>"23525421574"</f>
        <v>23525421574</v>
      </c>
      <c r="B5966" t="s">
        <v>348</v>
      </c>
      <c r="C5966" t="s">
        <v>8920</v>
      </c>
      <c r="D5966" t="s">
        <v>26929</v>
      </c>
      <c r="E5966">
        <v>424016</v>
      </c>
      <c r="F5966" t="s">
        <v>1</v>
      </c>
      <c r="G5966" t="s">
        <v>2</v>
      </c>
      <c r="H5966" t="s">
        <v>24041</v>
      </c>
      <c r="I5966" t="s">
        <v>26930</v>
      </c>
      <c r="P5966" t="s">
        <v>3393</v>
      </c>
      <c r="Y5966" t="s">
        <v>26931</v>
      </c>
    </row>
    <row r="5967" spans="1:25" x14ac:dyDescent="0.25">
      <c r="A5967" t="str">
        <f>"23566265172"</f>
        <v>23566265172</v>
      </c>
      <c r="B5967" t="s">
        <v>3573</v>
      </c>
      <c r="C5967" t="s">
        <v>5816</v>
      </c>
      <c r="D5967" t="s">
        <v>26932</v>
      </c>
      <c r="E5967">
        <v>424038</v>
      </c>
      <c r="F5967" t="s">
        <v>1</v>
      </c>
      <c r="G5967" t="s">
        <v>2</v>
      </c>
      <c r="H5967" t="s">
        <v>1366</v>
      </c>
      <c r="J5967" t="s">
        <v>26933</v>
      </c>
      <c r="P5967" t="s">
        <v>20</v>
      </c>
      <c r="Y5967" t="s">
        <v>7381</v>
      </c>
    </row>
    <row r="5968" spans="1:25" x14ac:dyDescent="0.25">
      <c r="A5968" t="str">
        <f>"23598998143"</f>
        <v>23598998143</v>
      </c>
      <c r="B5968" t="s">
        <v>96</v>
      </c>
      <c r="C5968" t="s">
        <v>2285</v>
      </c>
      <c r="D5968" t="s">
        <v>26934</v>
      </c>
      <c r="E5968">
        <v>424007</v>
      </c>
      <c r="F5968" t="s">
        <v>1</v>
      </c>
      <c r="G5968" t="s">
        <v>2</v>
      </c>
      <c r="H5968" t="s">
        <v>5178</v>
      </c>
      <c r="P5968" t="s">
        <v>2731</v>
      </c>
      <c r="Y5968" t="s">
        <v>26935</v>
      </c>
    </row>
    <row r="5969" spans="1:25" x14ac:dyDescent="0.25">
      <c r="A5969" t="str">
        <f>"23604855293"</f>
        <v>23604855293</v>
      </c>
      <c r="B5969" t="s">
        <v>841</v>
      </c>
      <c r="C5969" t="s">
        <v>26937</v>
      </c>
      <c r="D5969" t="s">
        <v>26936</v>
      </c>
      <c r="E5969">
        <v>424020</v>
      </c>
      <c r="F5969" t="s">
        <v>1</v>
      </c>
      <c r="G5969" t="s">
        <v>2</v>
      </c>
      <c r="H5969" t="s">
        <v>23</v>
      </c>
      <c r="Y5969" t="s">
        <v>26938</v>
      </c>
    </row>
    <row r="5970" spans="1:25" x14ac:dyDescent="0.25">
      <c r="A5970" t="str">
        <f>"23630266356"</f>
        <v>23630266356</v>
      </c>
      <c r="B5970" t="s">
        <v>703</v>
      </c>
      <c r="C5970" t="s">
        <v>26126</v>
      </c>
      <c r="D5970" t="s">
        <v>26939</v>
      </c>
      <c r="E5970">
        <v>424004</v>
      </c>
      <c r="F5970" t="s">
        <v>1</v>
      </c>
      <c r="G5970" t="s">
        <v>2</v>
      </c>
      <c r="H5970" t="s">
        <v>351</v>
      </c>
      <c r="I5970" t="s">
        <v>26940</v>
      </c>
      <c r="L5970" t="s">
        <v>26941</v>
      </c>
      <c r="P5970" t="s">
        <v>1232</v>
      </c>
      <c r="Q5970" t="s">
        <v>26942</v>
      </c>
      <c r="Y5970" t="s">
        <v>354</v>
      </c>
    </row>
    <row r="5971" spans="1:25" x14ac:dyDescent="0.25">
      <c r="A5971" t="str">
        <f>"23670214166"</f>
        <v>23670214166</v>
      </c>
      <c r="B5971" t="s">
        <v>290</v>
      </c>
      <c r="C5971" t="s">
        <v>290</v>
      </c>
      <c r="D5971" t="s">
        <v>26943</v>
      </c>
      <c r="F5971" t="s">
        <v>1</v>
      </c>
      <c r="G5971" t="s">
        <v>2</v>
      </c>
      <c r="H5971" t="s">
        <v>26944</v>
      </c>
      <c r="Y5971" t="s">
        <v>26945</v>
      </c>
    </row>
    <row r="5972" spans="1:25" x14ac:dyDescent="0.25">
      <c r="A5972" t="str">
        <f>"23694811348"</f>
        <v>23694811348</v>
      </c>
      <c r="B5972" t="s">
        <v>334</v>
      </c>
      <c r="C5972" t="s">
        <v>334</v>
      </c>
      <c r="D5972" t="s">
        <v>26946</v>
      </c>
      <c r="E5972">
        <v>424006</v>
      </c>
      <c r="F5972" t="s">
        <v>1</v>
      </c>
      <c r="G5972" t="s">
        <v>2</v>
      </c>
      <c r="H5972" t="s">
        <v>1923</v>
      </c>
      <c r="L5972" t="s">
        <v>26947</v>
      </c>
      <c r="Y5972" t="s">
        <v>26948</v>
      </c>
    </row>
    <row r="5973" spans="1:25" x14ac:dyDescent="0.25">
      <c r="A5973" t="str">
        <f>"23696627199"</f>
        <v>23696627199</v>
      </c>
      <c r="B5973" t="s">
        <v>32</v>
      </c>
      <c r="C5973" t="s">
        <v>4125</v>
      </c>
      <c r="D5973" t="s">
        <v>26949</v>
      </c>
      <c r="E5973">
        <v>424000</v>
      </c>
      <c r="F5973" t="s">
        <v>1</v>
      </c>
      <c r="G5973" t="s">
        <v>2</v>
      </c>
      <c r="H5973" t="s">
        <v>1531</v>
      </c>
      <c r="I5973" t="s">
        <v>26950</v>
      </c>
      <c r="P5973" t="s">
        <v>941</v>
      </c>
      <c r="Y5973" t="s">
        <v>1707</v>
      </c>
    </row>
    <row r="5974" spans="1:25" x14ac:dyDescent="0.25">
      <c r="A5974" t="str">
        <f>"23700300280"</f>
        <v>23700300280</v>
      </c>
      <c r="B5974" t="s">
        <v>1061</v>
      </c>
      <c r="C5974" t="s">
        <v>26953</v>
      </c>
      <c r="D5974" t="s">
        <v>26951</v>
      </c>
      <c r="F5974" t="s">
        <v>1</v>
      </c>
      <c r="G5974" t="s">
        <v>2</v>
      </c>
      <c r="H5974" t="s">
        <v>26952</v>
      </c>
      <c r="Y5974" t="s">
        <v>26954</v>
      </c>
    </row>
    <row r="5975" spans="1:25" x14ac:dyDescent="0.25">
      <c r="A5975" t="str">
        <f>"23738115081"</f>
        <v>23738115081</v>
      </c>
      <c r="B5975" t="s">
        <v>1152</v>
      </c>
      <c r="C5975" t="s">
        <v>1153</v>
      </c>
      <c r="D5975" t="s">
        <v>10280</v>
      </c>
      <c r="E5975">
        <v>424002</v>
      </c>
      <c r="F5975" t="s">
        <v>1</v>
      </c>
      <c r="G5975" t="s">
        <v>2</v>
      </c>
      <c r="H5975" t="s">
        <v>2664</v>
      </c>
      <c r="I5975" t="s">
        <v>22092</v>
      </c>
      <c r="M5975" t="s">
        <v>10284</v>
      </c>
      <c r="P5975" t="s">
        <v>26955</v>
      </c>
      <c r="Q5975" t="s">
        <v>10286</v>
      </c>
      <c r="R5975" t="s">
        <v>10287</v>
      </c>
      <c r="S5975" t="s">
        <v>10288</v>
      </c>
      <c r="T5975" t="s">
        <v>10289</v>
      </c>
      <c r="U5975" t="s">
        <v>10290</v>
      </c>
      <c r="V5975" t="s">
        <v>10291</v>
      </c>
      <c r="Y5975" t="s">
        <v>26956</v>
      </c>
    </row>
    <row r="5976" spans="1:25" x14ac:dyDescent="0.25">
      <c r="A5976" t="str">
        <f>"23753981542"</f>
        <v>23753981542</v>
      </c>
      <c r="B5976" t="s">
        <v>160</v>
      </c>
      <c r="C5976" t="s">
        <v>2327</v>
      </c>
      <c r="D5976" t="s">
        <v>26957</v>
      </c>
      <c r="E5976">
        <v>424007</v>
      </c>
      <c r="F5976" t="s">
        <v>1</v>
      </c>
      <c r="G5976" t="s">
        <v>2</v>
      </c>
      <c r="H5976" t="s">
        <v>26958</v>
      </c>
      <c r="Y5976" t="s">
        <v>26959</v>
      </c>
    </row>
    <row r="5977" spans="1:25" x14ac:dyDescent="0.25">
      <c r="A5977" t="str">
        <f>"23870722043"</f>
        <v>23870722043</v>
      </c>
      <c r="B5977" t="s">
        <v>32</v>
      </c>
      <c r="C5977" t="s">
        <v>4125</v>
      </c>
      <c r="D5977" t="s">
        <v>16082</v>
      </c>
      <c r="E5977">
        <v>424007</v>
      </c>
      <c r="F5977" t="s">
        <v>1</v>
      </c>
      <c r="G5977" t="s">
        <v>2</v>
      </c>
      <c r="H5977" t="s">
        <v>23667</v>
      </c>
      <c r="Y5977" t="s">
        <v>26960</v>
      </c>
    </row>
    <row r="5978" spans="1:25" x14ac:dyDescent="0.25">
      <c r="A5978" t="str">
        <f>"23892633484"</f>
        <v>23892633484</v>
      </c>
      <c r="B5978" t="s">
        <v>930</v>
      </c>
      <c r="C5978" t="s">
        <v>13865</v>
      </c>
      <c r="D5978" t="s">
        <v>23105</v>
      </c>
      <c r="E5978">
        <v>424040</v>
      </c>
      <c r="F5978" t="s">
        <v>1</v>
      </c>
      <c r="G5978" t="s">
        <v>2</v>
      </c>
      <c r="H5978" t="s">
        <v>26961</v>
      </c>
      <c r="I5978" t="s">
        <v>26962</v>
      </c>
      <c r="P5978" t="s">
        <v>2050</v>
      </c>
      <c r="Y5978" t="s">
        <v>26963</v>
      </c>
    </row>
    <row r="5979" spans="1:25" x14ac:dyDescent="0.25">
      <c r="A5979" t="str">
        <f>"23931447692"</f>
        <v>23931447692</v>
      </c>
      <c r="B5979" t="s">
        <v>319</v>
      </c>
      <c r="C5979" t="s">
        <v>320</v>
      </c>
      <c r="D5979" t="s">
        <v>320</v>
      </c>
      <c r="E5979">
        <v>424039</v>
      </c>
      <c r="F5979" t="s">
        <v>1</v>
      </c>
      <c r="G5979" t="s">
        <v>2</v>
      </c>
      <c r="H5979" t="s">
        <v>17375</v>
      </c>
      <c r="P5979" t="s">
        <v>2457</v>
      </c>
      <c r="Y5979" t="s">
        <v>26964</v>
      </c>
    </row>
    <row r="5980" spans="1:25" x14ac:dyDescent="0.25">
      <c r="A5980" t="str">
        <f>"23936353427"</f>
        <v>23936353427</v>
      </c>
      <c r="B5980" t="s">
        <v>7</v>
      </c>
      <c r="C5980" t="s">
        <v>26967</v>
      </c>
      <c r="D5980" t="s">
        <v>26965</v>
      </c>
      <c r="E5980">
        <v>424007</v>
      </c>
      <c r="F5980" t="s">
        <v>1</v>
      </c>
      <c r="G5980" t="s">
        <v>2</v>
      </c>
      <c r="H5980" t="s">
        <v>499</v>
      </c>
      <c r="J5980" t="s">
        <v>26966</v>
      </c>
      <c r="P5980" t="s">
        <v>1035</v>
      </c>
      <c r="Y5980" t="s">
        <v>1598</v>
      </c>
    </row>
    <row r="5981" spans="1:25" x14ac:dyDescent="0.25">
      <c r="A5981" t="str">
        <f>"23947558093"</f>
        <v>23947558093</v>
      </c>
      <c r="B5981" t="s">
        <v>328</v>
      </c>
      <c r="C5981" t="s">
        <v>1920</v>
      </c>
      <c r="D5981" t="s">
        <v>26968</v>
      </c>
      <c r="E5981">
        <v>424000</v>
      </c>
      <c r="F5981" t="s">
        <v>1</v>
      </c>
      <c r="G5981" t="s">
        <v>2</v>
      </c>
      <c r="H5981" t="s">
        <v>128</v>
      </c>
      <c r="J5981" t="s">
        <v>26969</v>
      </c>
      <c r="P5981" t="s">
        <v>27</v>
      </c>
      <c r="Y5981" t="s">
        <v>5640</v>
      </c>
    </row>
    <row r="5982" spans="1:25" x14ac:dyDescent="0.25">
      <c r="A5982" t="str">
        <f>"23957320736"</f>
        <v>23957320736</v>
      </c>
      <c r="B5982" t="s">
        <v>8011</v>
      </c>
      <c r="C5982" t="s">
        <v>25177</v>
      </c>
      <c r="D5982" t="s">
        <v>26970</v>
      </c>
      <c r="F5982" t="s">
        <v>1</v>
      </c>
      <c r="G5982" t="s">
        <v>2</v>
      </c>
      <c r="H5982" t="s">
        <v>24948</v>
      </c>
      <c r="Y5982" t="s">
        <v>24950</v>
      </c>
    </row>
    <row r="5983" spans="1:25" x14ac:dyDescent="0.25">
      <c r="A5983" t="str">
        <f>"23987499436"</f>
        <v>23987499436</v>
      </c>
      <c r="B5983" t="s">
        <v>26977</v>
      </c>
      <c r="C5983" t="s">
        <v>26978</v>
      </c>
      <c r="D5983" t="s">
        <v>26971</v>
      </c>
      <c r="E5983">
        <v>424031</v>
      </c>
      <c r="F5983" t="s">
        <v>1</v>
      </c>
      <c r="G5983" t="s">
        <v>2</v>
      </c>
      <c r="H5983" t="s">
        <v>26972</v>
      </c>
      <c r="I5983" t="s">
        <v>26973</v>
      </c>
      <c r="K5983" t="s">
        <v>26974</v>
      </c>
      <c r="L5983" t="s">
        <v>26975</v>
      </c>
      <c r="M5983" t="s">
        <v>26976</v>
      </c>
      <c r="P5983" t="s">
        <v>330</v>
      </c>
      <c r="Q5983" t="s">
        <v>26979</v>
      </c>
      <c r="Y5983" t="s">
        <v>26980</v>
      </c>
    </row>
    <row r="5984" spans="1:25" x14ac:dyDescent="0.25">
      <c r="A5984" t="str">
        <f>"23998799480"</f>
        <v>23998799480</v>
      </c>
      <c r="B5984" t="s">
        <v>930</v>
      </c>
      <c r="C5984" t="s">
        <v>26983</v>
      </c>
      <c r="D5984" t="s">
        <v>26981</v>
      </c>
      <c r="E5984">
        <v>424006</v>
      </c>
      <c r="F5984" t="s">
        <v>1</v>
      </c>
      <c r="G5984" t="s">
        <v>2</v>
      </c>
      <c r="H5984" t="s">
        <v>5479</v>
      </c>
      <c r="J5984" t="s">
        <v>26982</v>
      </c>
      <c r="P5984" t="s">
        <v>330</v>
      </c>
      <c r="Y5984" t="s">
        <v>26984</v>
      </c>
    </row>
    <row r="5985" spans="1:25" x14ac:dyDescent="0.25">
      <c r="A5985" t="str">
        <f>"24035763232"</f>
        <v>24035763232</v>
      </c>
      <c r="B5985" t="s">
        <v>32</v>
      </c>
      <c r="C5985" t="s">
        <v>40</v>
      </c>
      <c r="D5985" t="s">
        <v>26985</v>
      </c>
      <c r="E5985">
        <v>424038</v>
      </c>
      <c r="F5985" t="s">
        <v>1</v>
      </c>
      <c r="G5985" t="s">
        <v>2</v>
      </c>
      <c r="H5985" t="s">
        <v>546</v>
      </c>
      <c r="I5985" t="s">
        <v>26986</v>
      </c>
      <c r="P5985" t="s">
        <v>26987</v>
      </c>
      <c r="Y5985" t="s">
        <v>549</v>
      </c>
    </row>
    <row r="5986" spans="1:25" x14ac:dyDescent="0.25">
      <c r="A5986" t="str">
        <f>"24084725549"</f>
        <v>24084725549</v>
      </c>
      <c r="B5986" t="s">
        <v>1573</v>
      </c>
      <c r="C5986" t="s">
        <v>24855</v>
      </c>
      <c r="D5986" t="s">
        <v>3277</v>
      </c>
      <c r="E5986">
        <v>424040</v>
      </c>
      <c r="F5986" t="s">
        <v>1</v>
      </c>
      <c r="G5986" t="s">
        <v>2</v>
      </c>
      <c r="H5986" t="s">
        <v>7989</v>
      </c>
      <c r="I5986" t="s">
        <v>3279</v>
      </c>
      <c r="L5986" t="s">
        <v>3280</v>
      </c>
      <c r="M5986" t="s">
        <v>3281</v>
      </c>
      <c r="P5986" t="s">
        <v>216</v>
      </c>
      <c r="Y5986" t="s">
        <v>11906</v>
      </c>
    </row>
    <row r="5987" spans="1:25" x14ac:dyDescent="0.25">
      <c r="A5987" t="str">
        <f>"24088283566"</f>
        <v>24088283566</v>
      </c>
      <c r="B5987" t="s">
        <v>8011</v>
      </c>
      <c r="C5987" t="s">
        <v>26989</v>
      </c>
      <c r="D5987" t="s">
        <v>26988</v>
      </c>
      <c r="E5987">
        <v>424028</v>
      </c>
      <c r="F5987" t="s">
        <v>1</v>
      </c>
      <c r="G5987" t="s">
        <v>2</v>
      </c>
      <c r="H5987" t="s">
        <v>15129</v>
      </c>
      <c r="P5987" t="s">
        <v>2050</v>
      </c>
      <c r="Y5987" t="s">
        <v>26990</v>
      </c>
    </row>
    <row r="5988" spans="1:25" x14ac:dyDescent="0.25">
      <c r="A5988" t="str">
        <f>"24098483861"</f>
        <v>24098483861</v>
      </c>
      <c r="B5988" t="s">
        <v>319</v>
      </c>
      <c r="C5988" t="s">
        <v>320</v>
      </c>
      <c r="D5988" t="s">
        <v>26991</v>
      </c>
      <c r="E5988">
        <v>424004</v>
      </c>
      <c r="F5988" t="s">
        <v>1</v>
      </c>
      <c r="G5988" t="s">
        <v>2</v>
      </c>
      <c r="H5988" t="s">
        <v>186</v>
      </c>
      <c r="I5988" t="s">
        <v>26992</v>
      </c>
      <c r="P5988" t="s">
        <v>330</v>
      </c>
      <c r="Y5988" t="s">
        <v>190</v>
      </c>
    </row>
    <row r="5989" spans="1:25" x14ac:dyDescent="0.25">
      <c r="A5989" t="str">
        <f>"24159492974"</f>
        <v>24159492974</v>
      </c>
      <c r="B5989" t="s">
        <v>25</v>
      </c>
      <c r="C5989" t="s">
        <v>20320</v>
      </c>
      <c r="D5989" t="s">
        <v>26993</v>
      </c>
      <c r="E5989">
        <v>424006</v>
      </c>
      <c r="F5989" t="s">
        <v>1</v>
      </c>
      <c r="G5989" t="s">
        <v>2</v>
      </c>
      <c r="H5989" t="s">
        <v>26994</v>
      </c>
      <c r="Y5989" t="s">
        <v>26995</v>
      </c>
    </row>
    <row r="5990" spans="1:25" x14ac:dyDescent="0.25">
      <c r="A5990" t="str">
        <f>"24164617155"</f>
        <v>24164617155</v>
      </c>
      <c r="B5990" t="s">
        <v>462</v>
      </c>
      <c r="C5990" t="s">
        <v>27000</v>
      </c>
      <c r="D5990" t="s">
        <v>26996</v>
      </c>
      <c r="E5990">
        <v>424000</v>
      </c>
      <c r="F5990" t="s">
        <v>1</v>
      </c>
      <c r="G5990" t="s">
        <v>2</v>
      </c>
      <c r="H5990" t="s">
        <v>17190</v>
      </c>
      <c r="I5990" t="s">
        <v>26997</v>
      </c>
      <c r="L5990" t="s">
        <v>26998</v>
      </c>
      <c r="M5990" t="s">
        <v>26999</v>
      </c>
      <c r="P5990" t="s">
        <v>312</v>
      </c>
      <c r="Q5990" t="s">
        <v>27001</v>
      </c>
      <c r="Y5990" t="s">
        <v>27002</v>
      </c>
    </row>
    <row r="5991" spans="1:25" x14ac:dyDescent="0.25">
      <c r="A5991" t="str">
        <f>"24187132984"</f>
        <v>24187132984</v>
      </c>
      <c r="B5991" t="s">
        <v>430</v>
      </c>
      <c r="C5991" t="s">
        <v>612</v>
      </c>
      <c r="D5991" t="s">
        <v>27003</v>
      </c>
      <c r="E5991">
        <v>424038</v>
      </c>
      <c r="F5991" t="s">
        <v>1</v>
      </c>
      <c r="G5991" t="s">
        <v>2</v>
      </c>
      <c r="H5991" t="s">
        <v>23978</v>
      </c>
      <c r="I5991" t="s">
        <v>27004</v>
      </c>
      <c r="P5991" t="s">
        <v>9785</v>
      </c>
      <c r="Q5991" t="s">
        <v>27005</v>
      </c>
      <c r="V5991" t="s">
        <v>27006</v>
      </c>
      <c r="Y5991" t="s">
        <v>27007</v>
      </c>
    </row>
    <row r="5992" spans="1:25" x14ac:dyDescent="0.25">
      <c r="A5992" t="str">
        <f>"24240695136"</f>
        <v>24240695136</v>
      </c>
      <c r="B5992" t="s">
        <v>1544</v>
      </c>
      <c r="C5992" t="s">
        <v>24552</v>
      </c>
      <c r="D5992" t="s">
        <v>25152</v>
      </c>
      <c r="F5992" t="s">
        <v>1</v>
      </c>
      <c r="G5992" t="s">
        <v>2</v>
      </c>
      <c r="H5992" t="s">
        <v>27008</v>
      </c>
      <c r="P5992" t="s">
        <v>2809</v>
      </c>
      <c r="Y5992" t="s">
        <v>27009</v>
      </c>
    </row>
    <row r="5993" spans="1:25" x14ac:dyDescent="0.25">
      <c r="A5993" t="str">
        <f>"24243843893"</f>
        <v>24243843893</v>
      </c>
      <c r="B5993" t="s">
        <v>96</v>
      </c>
      <c r="C5993" t="s">
        <v>24441</v>
      </c>
      <c r="D5993" t="s">
        <v>27010</v>
      </c>
      <c r="E5993">
        <v>424038</v>
      </c>
      <c r="F5993" t="s">
        <v>1</v>
      </c>
      <c r="G5993" t="s">
        <v>2</v>
      </c>
      <c r="H5993" t="s">
        <v>2614</v>
      </c>
      <c r="Y5993" t="s">
        <v>2617</v>
      </c>
    </row>
    <row r="5994" spans="1:25" x14ac:dyDescent="0.25">
      <c r="A5994" t="str">
        <f>"24252691127"</f>
        <v>24252691127</v>
      </c>
      <c r="B5994" t="s">
        <v>1343</v>
      </c>
      <c r="C5994" t="s">
        <v>5308</v>
      </c>
      <c r="D5994" t="s">
        <v>27011</v>
      </c>
      <c r="E5994">
        <v>424000</v>
      </c>
      <c r="F5994" t="s">
        <v>1</v>
      </c>
      <c r="G5994" t="s">
        <v>2</v>
      </c>
      <c r="H5994" t="s">
        <v>1473</v>
      </c>
      <c r="P5994" t="s">
        <v>941</v>
      </c>
      <c r="Y5994" t="s">
        <v>4067</v>
      </c>
    </row>
    <row r="5995" spans="1:25" x14ac:dyDescent="0.25">
      <c r="A5995" t="str">
        <f>"24280818879"</f>
        <v>24280818879</v>
      </c>
      <c r="B5995" t="s">
        <v>1152</v>
      </c>
      <c r="C5995" t="s">
        <v>27014</v>
      </c>
      <c r="D5995" t="s">
        <v>27012</v>
      </c>
      <c r="E5995">
        <v>424918</v>
      </c>
      <c r="F5995" t="s">
        <v>1</v>
      </c>
      <c r="G5995" t="s">
        <v>2</v>
      </c>
      <c r="H5995" t="s">
        <v>629</v>
      </c>
      <c r="J5995" t="s">
        <v>16744</v>
      </c>
      <c r="M5995" t="s">
        <v>27013</v>
      </c>
      <c r="P5995" t="s">
        <v>152</v>
      </c>
      <c r="Y5995" t="s">
        <v>1744</v>
      </c>
    </row>
    <row r="5996" spans="1:25" x14ac:dyDescent="0.25">
      <c r="A5996" t="str">
        <f>"24298012939"</f>
        <v>24298012939</v>
      </c>
      <c r="B5996" t="s">
        <v>96</v>
      </c>
      <c r="C5996" t="s">
        <v>27015</v>
      </c>
      <c r="D5996" t="s">
        <v>19130</v>
      </c>
      <c r="E5996">
        <v>424019</v>
      </c>
      <c r="F5996" t="s">
        <v>1</v>
      </c>
      <c r="G5996" t="s">
        <v>2</v>
      </c>
      <c r="H5996" t="s">
        <v>12105</v>
      </c>
      <c r="Y5996" t="s">
        <v>27016</v>
      </c>
    </row>
    <row r="5997" spans="1:25" x14ac:dyDescent="0.25">
      <c r="A5997" t="str">
        <f>"24364513350"</f>
        <v>24364513350</v>
      </c>
      <c r="B5997" t="s">
        <v>397</v>
      </c>
      <c r="C5997" t="s">
        <v>26030</v>
      </c>
      <c r="D5997" t="s">
        <v>26025</v>
      </c>
      <c r="F5997" t="s">
        <v>1</v>
      </c>
      <c r="G5997" t="s">
        <v>2</v>
      </c>
      <c r="H5997" t="s">
        <v>21000</v>
      </c>
      <c r="J5997" t="s">
        <v>26027</v>
      </c>
      <c r="P5997" t="s">
        <v>27</v>
      </c>
      <c r="Y5997" t="s">
        <v>27017</v>
      </c>
    </row>
    <row r="5998" spans="1:25" x14ac:dyDescent="0.25">
      <c r="A5998" t="str">
        <f>"24370098292"</f>
        <v>24370098292</v>
      </c>
      <c r="B5998" t="s">
        <v>530</v>
      </c>
      <c r="C5998" t="s">
        <v>23950</v>
      </c>
      <c r="D5998" t="s">
        <v>23950</v>
      </c>
      <c r="E5998">
        <v>424004</v>
      </c>
      <c r="F5998" t="s">
        <v>1</v>
      </c>
      <c r="G5998" t="s">
        <v>2</v>
      </c>
      <c r="H5998" t="s">
        <v>12830</v>
      </c>
      <c r="Y5998" t="s">
        <v>27018</v>
      </c>
    </row>
    <row r="5999" spans="1:25" x14ac:dyDescent="0.25">
      <c r="A5999" t="str">
        <f>"24394279185"</f>
        <v>24394279185</v>
      </c>
      <c r="B5999" t="s">
        <v>10383</v>
      </c>
      <c r="C5999" t="s">
        <v>24146</v>
      </c>
      <c r="D5999" t="s">
        <v>24146</v>
      </c>
      <c r="F5999" t="s">
        <v>1</v>
      </c>
      <c r="G5999" t="s">
        <v>2</v>
      </c>
      <c r="H5999" t="s">
        <v>27019</v>
      </c>
      <c r="Y5999" t="s">
        <v>27020</v>
      </c>
    </row>
    <row r="6000" spans="1:25" x14ac:dyDescent="0.25">
      <c r="A6000" t="str">
        <f>"24406139205"</f>
        <v>24406139205</v>
      </c>
      <c r="B6000" t="s">
        <v>574</v>
      </c>
      <c r="C6000" t="s">
        <v>646</v>
      </c>
      <c r="D6000" t="s">
        <v>27021</v>
      </c>
      <c r="E6000">
        <v>424028</v>
      </c>
      <c r="F6000" t="s">
        <v>1</v>
      </c>
      <c r="G6000" t="s">
        <v>2</v>
      </c>
      <c r="H6000" t="s">
        <v>23999</v>
      </c>
      <c r="Y6000" t="s">
        <v>27022</v>
      </c>
    </row>
    <row r="6001" spans="1:25" x14ac:dyDescent="0.25">
      <c r="A6001" t="str">
        <f>"24447968292"</f>
        <v>24447968292</v>
      </c>
      <c r="B6001" t="s">
        <v>188</v>
      </c>
      <c r="C6001" t="s">
        <v>8311</v>
      </c>
      <c r="D6001" t="s">
        <v>27023</v>
      </c>
      <c r="E6001">
        <v>424006</v>
      </c>
      <c r="F6001" t="s">
        <v>1</v>
      </c>
      <c r="G6001" t="s">
        <v>2</v>
      </c>
      <c r="H6001" t="s">
        <v>4587</v>
      </c>
      <c r="I6001" t="s">
        <v>27024</v>
      </c>
      <c r="J6001" t="s">
        <v>27025</v>
      </c>
      <c r="M6001" t="s">
        <v>27026</v>
      </c>
      <c r="P6001" t="s">
        <v>144</v>
      </c>
      <c r="Q6001" t="s">
        <v>27027</v>
      </c>
      <c r="T6001" t="s">
        <v>27028</v>
      </c>
      <c r="V6001" t="s">
        <v>27029</v>
      </c>
      <c r="Y6001" t="s">
        <v>27030</v>
      </c>
    </row>
    <row r="6002" spans="1:25" x14ac:dyDescent="0.25">
      <c r="A6002" t="str">
        <f>"24464850578"</f>
        <v>24464850578</v>
      </c>
      <c r="B6002" t="s">
        <v>574</v>
      </c>
      <c r="C6002" t="s">
        <v>952</v>
      </c>
      <c r="D6002" t="s">
        <v>7620</v>
      </c>
      <c r="E6002">
        <v>424007</v>
      </c>
      <c r="F6002" t="s">
        <v>1</v>
      </c>
      <c r="G6002" t="s">
        <v>2</v>
      </c>
      <c r="H6002" t="s">
        <v>6164</v>
      </c>
      <c r="Y6002" t="s">
        <v>10813</v>
      </c>
    </row>
    <row r="6003" spans="1:25" x14ac:dyDescent="0.25">
      <c r="A6003" t="str">
        <f>"24489888772"</f>
        <v>24489888772</v>
      </c>
      <c r="B6003" t="s">
        <v>2677</v>
      </c>
      <c r="C6003" t="s">
        <v>27033</v>
      </c>
      <c r="D6003" t="s">
        <v>27031</v>
      </c>
      <c r="E6003">
        <v>424020</v>
      </c>
      <c r="F6003" t="s">
        <v>1</v>
      </c>
      <c r="G6003" t="s">
        <v>2</v>
      </c>
      <c r="H6003" t="s">
        <v>13605</v>
      </c>
      <c r="J6003" t="s">
        <v>27032</v>
      </c>
      <c r="P6003" t="s">
        <v>330</v>
      </c>
      <c r="Y6003" t="s">
        <v>27034</v>
      </c>
    </row>
    <row r="6004" spans="1:25" x14ac:dyDescent="0.25">
      <c r="A6004" t="str">
        <f>"24492314037"</f>
        <v>24492314037</v>
      </c>
      <c r="B6004" t="s">
        <v>96</v>
      </c>
      <c r="C6004" t="s">
        <v>893</v>
      </c>
      <c r="D6004" t="s">
        <v>27035</v>
      </c>
      <c r="E6004">
        <v>424918</v>
      </c>
      <c r="F6004" t="s">
        <v>1</v>
      </c>
      <c r="G6004" t="s">
        <v>2</v>
      </c>
      <c r="H6004" t="s">
        <v>629</v>
      </c>
      <c r="P6004" t="s">
        <v>630</v>
      </c>
      <c r="Y6004" t="s">
        <v>27036</v>
      </c>
    </row>
    <row r="6005" spans="1:25" x14ac:dyDescent="0.25">
      <c r="A6005" t="str">
        <f>"24528394271"</f>
        <v>24528394271</v>
      </c>
      <c r="B6005" t="s">
        <v>456</v>
      </c>
      <c r="C6005" t="s">
        <v>27039</v>
      </c>
      <c r="D6005" t="s">
        <v>27037</v>
      </c>
      <c r="E6005">
        <v>424019</v>
      </c>
      <c r="F6005" t="s">
        <v>1</v>
      </c>
      <c r="G6005" t="s">
        <v>2</v>
      </c>
      <c r="H6005" t="s">
        <v>12105</v>
      </c>
      <c r="J6005" t="s">
        <v>27038</v>
      </c>
      <c r="P6005" t="s">
        <v>340</v>
      </c>
      <c r="Y6005" t="s">
        <v>27040</v>
      </c>
    </row>
    <row r="6006" spans="1:25" x14ac:dyDescent="0.25">
      <c r="A6006" t="str">
        <f>"24538224251"</f>
        <v>24538224251</v>
      </c>
      <c r="B6006" t="s">
        <v>1053</v>
      </c>
      <c r="C6006" t="s">
        <v>27043</v>
      </c>
      <c r="D6006" t="s">
        <v>27041</v>
      </c>
      <c r="E6006">
        <v>424006</v>
      </c>
      <c r="F6006" t="s">
        <v>1</v>
      </c>
      <c r="G6006" t="s">
        <v>2</v>
      </c>
      <c r="H6006" t="s">
        <v>2012</v>
      </c>
      <c r="J6006" t="s">
        <v>27042</v>
      </c>
      <c r="P6006" t="s">
        <v>2280</v>
      </c>
      <c r="Y6006" t="s">
        <v>2016</v>
      </c>
    </row>
    <row r="6007" spans="1:25" x14ac:dyDescent="0.25">
      <c r="A6007" t="str">
        <f>"24553964803"</f>
        <v>24553964803</v>
      </c>
      <c r="B6007" t="s">
        <v>1152</v>
      </c>
      <c r="C6007" t="s">
        <v>27045</v>
      </c>
      <c r="D6007" t="s">
        <v>27044</v>
      </c>
      <c r="E6007">
        <v>424007</v>
      </c>
      <c r="F6007" t="s">
        <v>1</v>
      </c>
      <c r="G6007" t="s">
        <v>2</v>
      </c>
      <c r="H6007" t="s">
        <v>5281</v>
      </c>
      <c r="I6007" t="s">
        <v>16117</v>
      </c>
      <c r="P6007" t="s">
        <v>312</v>
      </c>
      <c r="Y6007" t="s">
        <v>27046</v>
      </c>
    </row>
    <row r="6008" spans="1:25" x14ac:dyDescent="0.25">
      <c r="A6008" t="str">
        <f>"24610320573"</f>
        <v>24610320573</v>
      </c>
      <c r="B6008" t="s">
        <v>574</v>
      </c>
      <c r="C6008" t="s">
        <v>27049</v>
      </c>
      <c r="D6008" t="s">
        <v>27047</v>
      </c>
      <c r="E6008">
        <v>424020</v>
      </c>
      <c r="F6008" t="s">
        <v>1</v>
      </c>
      <c r="G6008" t="s">
        <v>2</v>
      </c>
      <c r="H6008" t="s">
        <v>27048</v>
      </c>
      <c r="Y6008" t="s">
        <v>27050</v>
      </c>
    </row>
    <row r="6009" spans="1:25" x14ac:dyDescent="0.25">
      <c r="A6009" t="str">
        <f>"24648120474"</f>
        <v>24648120474</v>
      </c>
      <c r="B6009" t="s">
        <v>1391</v>
      </c>
      <c r="C6009" t="s">
        <v>27052</v>
      </c>
      <c r="D6009" t="s">
        <v>27051</v>
      </c>
      <c r="E6009">
        <v>424004</v>
      </c>
      <c r="F6009" t="s">
        <v>1</v>
      </c>
      <c r="G6009" t="s">
        <v>2</v>
      </c>
      <c r="H6009" t="s">
        <v>351</v>
      </c>
      <c r="Y6009" t="s">
        <v>354</v>
      </c>
    </row>
    <row r="6010" spans="1:25" x14ac:dyDescent="0.25">
      <c r="A6010" t="str">
        <f>"24681360051"</f>
        <v>24681360051</v>
      </c>
      <c r="B6010" t="s">
        <v>3008</v>
      </c>
      <c r="C6010" t="s">
        <v>15481</v>
      </c>
      <c r="D6010" t="s">
        <v>27053</v>
      </c>
      <c r="E6010">
        <v>424004</v>
      </c>
      <c r="F6010" t="s">
        <v>1</v>
      </c>
      <c r="G6010" t="s">
        <v>2</v>
      </c>
      <c r="H6010" t="s">
        <v>15365</v>
      </c>
      <c r="I6010" t="s">
        <v>27054</v>
      </c>
      <c r="P6010" t="s">
        <v>2362</v>
      </c>
      <c r="Y6010" t="s">
        <v>27055</v>
      </c>
    </row>
    <row r="6011" spans="1:25" x14ac:dyDescent="0.25">
      <c r="A6011" t="str">
        <f>"24699510964"</f>
        <v>24699510964</v>
      </c>
      <c r="B6011" t="s">
        <v>319</v>
      </c>
      <c r="C6011" t="s">
        <v>320</v>
      </c>
      <c r="D6011" t="s">
        <v>7361</v>
      </c>
      <c r="E6011">
        <v>424032</v>
      </c>
      <c r="F6011" t="s">
        <v>1</v>
      </c>
      <c r="G6011" t="s">
        <v>2</v>
      </c>
      <c r="H6011" t="s">
        <v>7724</v>
      </c>
      <c r="I6011" t="s">
        <v>7725</v>
      </c>
      <c r="Y6011" t="s">
        <v>27056</v>
      </c>
    </row>
    <row r="6012" spans="1:25" x14ac:dyDescent="0.25">
      <c r="A6012" t="str">
        <f>"24704772069"</f>
        <v>24704772069</v>
      </c>
      <c r="B6012" t="s">
        <v>1343</v>
      </c>
      <c r="C6012" t="s">
        <v>1344</v>
      </c>
      <c r="D6012" t="s">
        <v>1340</v>
      </c>
      <c r="E6012">
        <v>424006</v>
      </c>
      <c r="F6012" t="s">
        <v>1</v>
      </c>
      <c r="G6012" t="s">
        <v>2</v>
      </c>
      <c r="H6012" t="s">
        <v>27057</v>
      </c>
      <c r="Y6012" t="s">
        <v>27058</v>
      </c>
    </row>
    <row r="6013" spans="1:25" x14ac:dyDescent="0.25">
      <c r="A6013" t="str">
        <f>"24716392186"</f>
        <v>24716392186</v>
      </c>
      <c r="B6013" t="s">
        <v>160</v>
      </c>
      <c r="C6013" t="s">
        <v>1666</v>
      </c>
      <c r="D6013" t="s">
        <v>27059</v>
      </c>
      <c r="E6013">
        <v>424030</v>
      </c>
      <c r="F6013" t="s">
        <v>1</v>
      </c>
      <c r="G6013" t="s">
        <v>2</v>
      </c>
      <c r="H6013" t="s">
        <v>277</v>
      </c>
      <c r="L6013" t="s">
        <v>27060</v>
      </c>
      <c r="M6013" t="s">
        <v>27061</v>
      </c>
      <c r="Y6013" t="s">
        <v>27062</v>
      </c>
    </row>
    <row r="6014" spans="1:25" x14ac:dyDescent="0.25">
      <c r="A6014" t="str">
        <f>"24734854679"</f>
        <v>24734854679</v>
      </c>
      <c r="B6014" t="s">
        <v>123</v>
      </c>
      <c r="C6014" t="s">
        <v>424</v>
      </c>
      <c r="D6014" t="s">
        <v>27063</v>
      </c>
      <c r="E6014">
        <v>424002</v>
      </c>
      <c r="F6014" t="s">
        <v>1</v>
      </c>
      <c r="G6014" t="s">
        <v>2</v>
      </c>
      <c r="H6014" t="s">
        <v>27064</v>
      </c>
      <c r="I6014" t="s">
        <v>945</v>
      </c>
      <c r="L6014" t="s">
        <v>946</v>
      </c>
      <c r="M6014" t="s">
        <v>27065</v>
      </c>
      <c r="P6014" t="s">
        <v>425</v>
      </c>
      <c r="Y6014" t="s">
        <v>27066</v>
      </c>
    </row>
    <row r="6015" spans="1:25" x14ac:dyDescent="0.25">
      <c r="A6015" t="str">
        <f>"24812412123"</f>
        <v>24812412123</v>
      </c>
      <c r="B6015" t="s">
        <v>1152</v>
      </c>
      <c r="C6015" t="s">
        <v>1159</v>
      </c>
      <c r="D6015" t="s">
        <v>27067</v>
      </c>
      <c r="E6015">
        <v>424037</v>
      </c>
      <c r="F6015" t="s">
        <v>1</v>
      </c>
      <c r="G6015" t="s">
        <v>2</v>
      </c>
      <c r="H6015" t="s">
        <v>3278</v>
      </c>
      <c r="J6015" t="s">
        <v>27068</v>
      </c>
      <c r="L6015" t="s">
        <v>27069</v>
      </c>
      <c r="M6015" t="s">
        <v>27070</v>
      </c>
      <c r="Y6015" t="s">
        <v>27071</v>
      </c>
    </row>
    <row r="6016" spans="1:25" x14ac:dyDescent="0.25">
      <c r="A6016" t="str">
        <f>"24840520375"</f>
        <v>24840520375</v>
      </c>
      <c r="B6016" t="s">
        <v>574</v>
      </c>
      <c r="C6016" t="s">
        <v>26901</v>
      </c>
      <c r="D6016" t="s">
        <v>11854</v>
      </c>
      <c r="E6016">
        <v>424006</v>
      </c>
      <c r="F6016" t="s">
        <v>1</v>
      </c>
      <c r="G6016" t="s">
        <v>2</v>
      </c>
      <c r="H6016" t="s">
        <v>9823</v>
      </c>
      <c r="Y6016" t="s">
        <v>27072</v>
      </c>
    </row>
    <row r="6017" spans="1:25" x14ac:dyDescent="0.25">
      <c r="A6017" t="str">
        <f>"24853194852"</f>
        <v>24853194852</v>
      </c>
      <c r="B6017" t="s">
        <v>530</v>
      </c>
      <c r="C6017" t="s">
        <v>23950</v>
      </c>
      <c r="D6017" t="s">
        <v>23950</v>
      </c>
      <c r="F6017" t="s">
        <v>1</v>
      </c>
      <c r="G6017" t="s">
        <v>2</v>
      </c>
      <c r="H6017" t="s">
        <v>22802</v>
      </c>
      <c r="Y6017" t="s">
        <v>27073</v>
      </c>
    </row>
    <row r="6018" spans="1:25" x14ac:dyDescent="0.25">
      <c r="A6018" t="str">
        <f>"24864593028"</f>
        <v>24864593028</v>
      </c>
      <c r="B6018" t="s">
        <v>574</v>
      </c>
      <c r="C6018" t="s">
        <v>27076</v>
      </c>
      <c r="D6018" t="s">
        <v>27074</v>
      </c>
      <c r="E6018">
        <v>424033</v>
      </c>
      <c r="F6018" t="s">
        <v>1</v>
      </c>
      <c r="G6018" t="s">
        <v>2</v>
      </c>
      <c r="H6018" t="s">
        <v>1782</v>
      </c>
      <c r="J6018" t="s">
        <v>27075</v>
      </c>
      <c r="P6018" t="s">
        <v>152</v>
      </c>
      <c r="Y6018" t="s">
        <v>24609</v>
      </c>
    </row>
    <row r="6019" spans="1:25" x14ac:dyDescent="0.25">
      <c r="A6019" t="str">
        <f>"24889507529"</f>
        <v>24889507529</v>
      </c>
      <c r="B6019" t="s">
        <v>1152</v>
      </c>
      <c r="C6019" t="s">
        <v>4682</v>
      </c>
      <c r="D6019" t="s">
        <v>27077</v>
      </c>
      <c r="E6019">
        <v>424005</v>
      </c>
      <c r="F6019" t="s">
        <v>1</v>
      </c>
      <c r="G6019" t="s">
        <v>2</v>
      </c>
      <c r="H6019" t="s">
        <v>1298</v>
      </c>
      <c r="Y6019" t="s">
        <v>1301</v>
      </c>
    </row>
    <row r="6020" spans="1:25" x14ac:dyDescent="0.25">
      <c r="A6020" t="str">
        <f>"24890111220"</f>
        <v>24890111220</v>
      </c>
      <c r="B6020" t="s">
        <v>2104</v>
      </c>
      <c r="C6020" t="s">
        <v>27080</v>
      </c>
      <c r="D6020" t="s">
        <v>3664</v>
      </c>
      <c r="E6020">
        <v>424006</v>
      </c>
      <c r="F6020" t="s">
        <v>1</v>
      </c>
      <c r="G6020" t="s">
        <v>2</v>
      </c>
      <c r="H6020" t="s">
        <v>13383</v>
      </c>
      <c r="I6020" t="s">
        <v>27078</v>
      </c>
      <c r="L6020" t="s">
        <v>27079</v>
      </c>
      <c r="P6020" t="s">
        <v>1638</v>
      </c>
      <c r="Y6020" t="s">
        <v>13389</v>
      </c>
    </row>
    <row r="6021" spans="1:25" x14ac:dyDescent="0.25">
      <c r="A6021" t="str">
        <f>"24912867115"</f>
        <v>24912867115</v>
      </c>
      <c r="B6021" t="s">
        <v>797</v>
      </c>
      <c r="C6021" t="s">
        <v>27081</v>
      </c>
      <c r="D6021" t="s">
        <v>1815</v>
      </c>
      <c r="E6021">
        <v>424020</v>
      </c>
      <c r="F6021" t="s">
        <v>1</v>
      </c>
      <c r="G6021" t="s">
        <v>2</v>
      </c>
      <c r="H6021" t="s">
        <v>23</v>
      </c>
      <c r="P6021" t="s">
        <v>2050</v>
      </c>
      <c r="Y6021" t="s">
        <v>27082</v>
      </c>
    </row>
    <row r="6022" spans="1:25" x14ac:dyDescent="0.25">
      <c r="A6022" t="str">
        <f>"25013083367"</f>
        <v>25013083367</v>
      </c>
      <c r="B6022" t="s">
        <v>1046</v>
      </c>
      <c r="C6022" t="s">
        <v>22946</v>
      </c>
      <c r="D6022" t="s">
        <v>22946</v>
      </c>
      <c r="F6022" t="s">
        <v>1</v>
      </c>
      <c r="G6022" t="s">
        <v>2</v>
      </c>
      <c r="H6022" t="s">
        <v>27083</v>
      </c>
      <c r="Y6022" t="s">
        <v>27084</v>
      </c>
    </row>
    <row r="6023" spans="1:25" x14ac:dyDescent="0.25">
      <c r="A6023" t="str">
        <f>"25024045734"</f>
        <v>25024045734</v>
      </c>
      <c r="B6023" t="s">
        <v>574</v>
      </c>
      <c r="C6023" t="s">
        <v>646</v>
      </c>
      <c r="D6023" t="s">
        <v>27085</v>
      </c>
      <c r="E6023">
        <v>424039</v>
      </c>
      <c r="F6023" t="s">
        <v>1</v>
      </c>
      <c r="G6023" t="s">
        <v>2</v>
      </c>
      <c r="H6023" t="s">
        <v>27086</v>
      </c>
      <c r="P6023" t="s">
        <v>1027</v>
      </c>
      <c r="Y6023" t="s">
        <v>27087</v>
      </c>
    </row>
    <row r="6024" spans="1:25" x14ac:dyDescent="0.25">
      <c r="A6024" t="str">
        <f>"25052291152"</f>
        <v>25052291152</v>
      </c>
      <c r="B6024" t="s">
        <v>703</v>
      </c>
      <c r="C6024" t="s">
        <v>2129</v>
      </c>
      <c r="D6024" t="s">
        <v>27088</v>
      </c>
      <c r="E6024">
        <v>424002</v>
      </c>
      <c r="F6024" t="s">
        <v>1</v>
      </c>
      <c r="G6024" t="s">
        <v>2</v>
      </c>
      <c r="H6024" t="s">
        <v>2260</v>
      </c>
      <c r="J6024" t="s">
        <v>27089</v>
      </c>
      <c r="P6024" t="s">
        <v>27090</v>
      </c>
      <c r="Y6024" t="s">
        <v>27091</v>
      </c>
    </row>
    <row r="6025" spans="1:25" x14ac:dyDescent="0.25">
      <c r="A6025" t="str">
        <f>"25064260623"</f>
        <v>25064260623</v>
      </c>
      <c r="B6025" t="s">
        <v>1152</v>
      </c>
      <c r="C6025" t="s">
        <v>1153</v>
      </c>
      <c r="D6025" t="s">
        <v>10280</v>
      </c>
      <c r="F6025" t="s">
        <v>1</v>
      </c>
      <c r="G6025" t="s">
        <v>2</v>
      </c>
      <c r="H6025" t="s">
        <v>27092</v>
      </c>
      <c r="I6025" t="s">
        <v>22092</v>
      </c>
      <c r="M6025" t="s">
        <v>10284</v>
      </c>
      <c r="Q6025" t="s">
        <v>10286</v>
      </c>
      <c r="R6025" t="s">
        <v>10287</v>
      </c>
      <c r="S6025" t="s">
        <v>10288</v>
      </c>
      <c r="T6025" t="s">
        <v>10289</v>
      </c>
      <c r="U6025" t="s">
        <v>10290</v>
      </c>
      <c r="V6025" t="s">
        <v>10291</v>
      </c>
      <c r="Y6025" t="s">
        <v>27093</v>
      </c>
    </row>
    <row r="6026" spans="1:25" x14ac:dyDescent="0.25">
      <c r="A6026" t="str">
        <f>"25067210840"</f>
        <v>25067210840</v>
      </c>
      <c r="B6026" t="s">
        <v>640</v>
      </c>
      <c r="C6026" t="s">
        <v>27097</v>
      </c>
      <c r="D6026" t="s">
        <v>27094</v>
      </c>
      <c r="E6026">
        <v>424019</v>
      </c>
      <c r="F6026" t="s">
        <v>1</v>
      </c>
      <c r="G6026" t="s">
        <v>2</v>
      </c>
      <c r="H6026" t="s">
        <v>27095</v>
      </c>
      <c r="J6026" t="s">
        <v>27096</v>
      </c>
      <c r="Q6026" t="s">
        <v>27098</v>
      </c>
      <c r="Y6026" t="s">
        <v>27099</v>
      </c>
    </row>
    <row r="6027" spans="1:25" x14ac:dyDescent="0.25">
      <c r="A6027" t="str">
        <f>"25092964855"</f>
        <v>25092964855</v>
      </c>
      <c r="B6027" t="s">
        <v>319</v>
      </c>
      <c r="C6027" t="s">
        <v>19472</v>
      </c>
      <c r="D6027" t="s">
        <v>27100</v>
      </c>
      <c r="E6027">
        <v>424000</v>
      </c>
      <c r="F6027" t="s">
        <v>1</v>
      </c>
      <c r="G6027" t="s">
        <v>2</v>
      </c>
      <c r="H6027" t="s">
        <v>7122</v>
      </c>
      <c r="I6027" t="s">
        <v>27101</v>
      </c>
      <c r="L6027" t="s">
        <v>27102</v>
      </c>
      <c r="M6027" t="s">
        <v>27103</v>
      </c>
      <c r="P6027" t="s">
        <v>13820</v>
      </c>
      <c r="Y6027" t="s">
        <v>27104</v>
      </c>
    </row>
    <row r="6028" spans="1:25" x14ac:dyDescent="0.25">
      <c r="A6028" t="str">
        <f>"25121859537"</f>
        <v>25121859537</v>
      </c>
      <c r="B6028" t="s">
        <v>96</v>
      </c>
      <c r="C6028" t="s">
        <v>507</v>
      </c>
      <c r="D6028" t="s">
        <v>27105</v>
      </c>
      <c r="E6028">
        <v>424033</v>
      </c>
      <c r="F6028" t="s">
        <v>1</v>
      </c>
      <c r="G6028" t="s">
        <v>2</v>
      </c>
      <c r="H6028" t="s">
        <v>6126</v>
      </c>
      <c r="P6028" t="s">
        <v>27106</v>
      </c>
      <c r="Y6028" t="s">
        <v>27107</v>
      </c>
    </row>
    <row r="6029" spans="1:25" x14ac:dyDescent="0.25">
      <c r="A6029" t="str">
        <f>"25166196907"</f>
        <v>25166196907</v>
      </c>
      <c r="B6029" t="s">
        <v>96</v>
      </c>
      <c r="C6029" t="s">
        <v>25084</v>
      </c>
      <c r="D6029" t="s">
        <v>27108</v>
      </c>
      <c r="E6029">
        <v>424007</v>
      </c>
      <c r="F6029" t="s">
        <v>1</v>
      </c>
      <c r="G6029" t="s">
        <v>2</v>
      </c>
      <c r="H6029" t="s">
        <v>11776</v>
      </c>
      <c r="P6029" t="s">
        <v>11090</v>
      </c>
      <c r="Y6029" t="s">
        <v>11777</v>
      </c>
    </row>
    <row r="6030" spans="1:25" x14ac:dyDescent="0.25">
      <c r="A6030" t="str">
        <f>"25168880607"</f>
        <v>25168880607</v>
      </c>
      <c r="B6030" t="s">
        <v>1078</v>
      </c>
      <c r="C6030" t="s">
        <v>27113</v>
      </c>
      <c r="D6030" t="s">
        <v>27109</v>
      </c>
      <c r="E6030">
        <v>424006</v>
      </c>
      <c r="F6030" t="s">
        <v>1</v>
      </c>
      <c r="G6030" t="s">
        <v>2</v>
      </c>
      <c r="H6030" t="s">
        <v>2012</v>
      </c>
      <c r="J6030" t="s">
        <v>27110</v>
      </c>
      <c r="L6030" t="s">
        <v>27111</v>
      </c>
      <c r="M6030" t="s">
        <v>27112</v>
      </c>
      <c r="P6030" t="s">
        <v>941</v>
      </c>
      <c r="Q6030" t="s">
        <v>27114</v>
      </c>
      <c r="T6030" t="s">
        <v>27115</v>
      </c>
      <c r="V6030" t="s">
        <v>27116</v>
      </c>
      <c r="Y6030" t="s">
        <v>2016</v>
      </c>
    </row>
    <row r="6031" spans="1:25" x14ac:dyDescent="0.25">
      <c r="A6031" t="str">
        <f>"25177932662"</f>
        <v>25177932662</v>
      </c>
      <c r="B6031" t="s">
        <v>319</v>
      </c>
      <c r="C6031" t="s">
        <v>320</v>
      </c>
      <c r="D6031" t="s">
        <v>24367</v>
      </c>
      <c r="E6031">
        <v>424033</v>
      </c>
      <c r="F6031" t="s">
        <v>1</v>
      </c>
      <c r="G6031" t="s">
        <v>2</v>
      </c>
      <c r="H6031" t="s">
        <v>22045</v>
      </c>
      <c r="I6031" t="s">
        <v>24368</v>
      </c>
      <c r="L6031" t="s">
        <v>27117</v>
      </c>
      <c r="M6031" t="s">
        <v>27118</v>
      </c>
      <c r="P6031" t="s">
        <v>216</v>
      </c>
      <c r="Q6031" t="s">
        <v>24370</v>
      </c>
      <c r="R6031" t="s">
        <v>24371</v>
      </c>
      <c r="T6031" t="s">
        <v>24372</v>
      </c>
      <c r="U6031" t="s">
        <v>24373</v>
      </c>
      <c r="V6031" t="s">
        <v>27119</v>
      </c>
      <c r="Y6031" t="s">
        <v>27120</v>
      </c>
    </row>
    <row r="6032" spans="1:25" x14ac:dyDescent="0.25">
      <c r="A6032" t="str">
        <f>"25181266437"</f>
        <v>25181266437</v>
      </c>
      <c r="B6032" t="s">
        <v>519</v>
      </c>
      <c r="C6032" t="s">
        <v>20186</v>
      </c>
      <c r="D6032" t="s">
        <v>27121</v>
      </c>
      <c r="E6032">
        <v>424038</v>
      </c>
      <c r="F6032" t="s">
        <v>1</v>
      </c>
      <c r="G6032" t="s">
        <v>2</v>
      </c>
      <c r="H6032" t="s">
        <v>10681</v>
      </c>
      <c r="J6032" t="s">
        <v>27122</v>
      </c>
      <c r="P6032" t="s">
        <v>27123</v>
      </c>
      <c r="Q6032" t="s">
        <v>27124</v>
      </c>
      <c r="Y6032" t="s">
        <v>27125</v>
      </c>
    </row>
    <row r="6033" spans="1:25" x14ac:dyDescent="0.25">
      <c r="A6033" t="str">
        <f>"25232759883"</f>
        <v>25232759883</v>
      </c>
      <c r="B6033" t="s">
        <v>348</v>
      </c>
      <c r="C6033" t="s">
        <v>21764</v>
      </c>
      <c r="D6033" t="s">
        <v>27126</v>
      </c>
      <c r="F6033" t="s">
        <v>1</v>
      </c>
      <c r="G6033" t="s">
        <v>2</v>
      </c>
      <c r="H6033" t="s">
        <v>138</v>
      </c>
      <c r="J6033" t="s">
        <v>27127</v>
      </c>
      <c r="P6033" t="s">
        <v>144</v>
      </c>
      <c r="Y6033" t="s">
        <v>27128</v>
      </c>
    </row>
    <row r="6034" spans="1:25" x14ac:dyDescent="0.25">
      <c r="A6034" t="str">
        <f>"25247538483"</f>
        <v>25247538483</v>
      </c>
      <c r="B6034" t="s">
        <v>10986</v>
      </c>
      <c r="C6034" t="s">
        <v>27130</v>
      </c>
      <c r="D6034" t="s">
        <v>10436</v>
      </c>
      <c r="F6034" t="s">
        <v>1</v>
      </c>
      <c r="G6034" t="s">
        <v>2</v>
      </c>
      <c r="H6034" t="s">
        <v>23852</v>
      </c>
      <c r="I6034" t="s">
        <v>27129</v>
      </c>
      <c r="Y6034" t="s">
        <v>24833</v>
      </c>
    </row>
    <row r="6035" spans="1:25" x14ac:dyDescent="0.25">
      <c r="A6035" t="str">
        <f>"25298409328"</f>
        <v>25298409328</v>
      </c>
      <c r="B6035" t="s">
        <v>7</v>
      </c>
      <c r="C6035" t="s">
        <v>9893</v>
      </c>
      <c r="D6035" t="s">
        <v>25779</v>
      </c>
      <c r="E6035">
        <v>424002</v>
      </c>
      <c r="F6035" t="s">
        <v>1</v>
      </c>
      <c r="G6035" t="s">
        <v>2</v>
      </c>
      <c r="H6035" t="s">
        <v>1874</v>
      </c>
      <c r="I6035" t="s">
        <v>27131</v>
      </c>
      <c r="J6035" t="s">
        <v>27132</v>
      </c>
      <c r="P6035" t="s">
        <v>1027</v>
      </c>
      <c r="Y6035" t="s">
        <v>27133</v>
      </c>
    </row>
    <row r="6036" spans="1:25" x14ac:dyDescent="0.25">
      <c r="A6036" t="str">
        <f>"25341652181"</f>
        <v>25341652181</v>
      </c>
      <c r="B6036" t="s">
        <v>25</v>
      </c>
      <c r="C6036" t="s">
        <v>20320</v>
      </c>
      <c r="D6036" t="s">
        <v>27134</v>
      </c>
      <c r="E6036">
        <v>424020</v>
      </c>
      <c r="F6036" t="s">
        <v>1</v>
      </c>
      <c r="G6036" t="s">
        <v>2</v>
      </c>
      <c r="H6036" t="s">
        <v>5903</v>
      </c>
      <c r="Y6036" t="s">
        <v>27135</v>
      </c>
    </row>
    <row r="6037" spans="1:25" x14ac:dyDescent="0.25">
      <c r="A6037" t="str">
        <f>"25353155100"</f>
        <v>25353155100</v>
      </c>
      <c r="B6037" t="s">
        <v>96</v>
      </c>
      <c r="C6037" t="s">
        <v>12300</v>
      </c>
      <c r="D6037" t="s">
        <v>27136</v>
      </c>
      <c r="E6037">
        <v>424019</v>
      </c>
      <c r="F6037" t="s">
        <v>1</v>
      </c>
      <c r="G6037" t="s">
        <v>2</v>
      </c>
      <c r="H6037" t="s">
        <v>1467</v>
      </c>
      <c r="P6037" t="s">
        <v>27137</v>
      </c>
      <c r="Q6037" t="s">
        <v>27138</v>
      </c>
      <c r="Y6037" t="s">
        <v>1630</v>
      </c>
    </row>
    <row r="6038" spans="1:25" x14ac:dyDescent="0.25">
      <c r="A6038" t="str">
        <f>"25368772404"</f>
        <v>25368772404</v>
      </c>
      <c r="B6038" t="s">
        <v>430</v>
      </c>
      <c r="C6038" t="s">
        <v>16178</v>
      </c>
      <c r="D6038" t="s">
        <v>2613</v>
      </c>
      <c r="E6038">
        <v>424005</v>
      </c>
      <c r="F6038" t="s">
        <v>1</v>
      </c>
      <c r="G6038" t="s">
        <v>2</v>
      </c>
      <c r="H6038" t="s">
        <v>3042</v>
      </c>
      <c r="P6038" t="s">
        <v>330</v>
      </c>
      <c r="Q6038" t="s">
        <v>27139</v>
      </c>
      <c r="Y6038" t="s">
        <v>27140</v>
      </c>
    </row>
    <row r="6039" spans="1:25" x14ac:dyDescent="0.25">
      <c r="A6039" t="str">
        <f>"25382680865"</f>
        <v>25382680865</v>
      </c>
      <c r="B6039" t="s">
        <v>1152</v>
      </c>
      <c r="C6039" t="s">
        <v>1153</v>
      </c>
      <c r="D6039" t="s">
        <v>10280</v>
      </c>
      <c r="E6039">
        <v>424020</v>
      </c>
      <c r="F6039" t="s">
        <v>1</v>
      </c>
      <c r="G6039" t="s">
        <v>2</v>
      </c>
      <c r="H6039" t="s">
        <v>27141</v>
      </c>
      <c r="I6039" t="s">
        <v>22092</v>
      </c>
      <c r="M6039" t="s">
        <v>10284</v>
      </c>
      <c r="Q6039" t="s">
        <v>10286</v>
      </c>
      <c r="R6039" t="s">
        <v>10287</v>
      </c>
      <c r="S6039" t="s">
        <v>10288</v>
      </c>
      <c r="T6039" t="s">
        <v>10289</v>
      </c>
      <c r="U6039" t="s">
        <v>10290</v>
      </c>
      <c r="V6039" t="s">
        <v>10291</v>
      </c>
      <c r="Y6039" t="s">
        <v>27142</v>
      </c>
    </row>
    <row r="6040" spans="1:25" x14ac:dyDescent="0.25">
      <c r="A6040" t="str">
        <f>"25425882880"</f>
        <v>25425882880</v>
      </c>
      <c r="B6040" t="s">
        <v>3200</v>
      </c>
      <c r="C6040" t="s">
        <v>18948</v>
      </c>
      <c r="D6040" t="s">
        <v>27143</v>
      </c>
      <c r="E6040">
        <v>424000</v>
      </c>
      <c r="F6040" t="s">
        <v>1</v>
      </c>
      <c r="G6040" t="s">
        <v>2</v>
      </c>
      <c r="H6040" t="s">
        <v>3483</v>
      </c>
      <c r="Y6040" t="s">
        <v>27144</v>
      </c>
    </row>
    <row r="6041" spans="1:25" x14ac:dyDescent="0.25">
      <c r="A6041" t="str">
        <f>"25473160307"</f>
        <v>25473160307</v>
      </c>
      <c r="B6041" t="s">
        <v>1152</v>
      </c>
      <c r="C6041" t="s">
        <v>1152</v>
      </c>
      <c r="D6041" t="s">
        <v>1152</v>
      </c>
      <c r="E6041">
        <v>424020</v>
      </c>
      <c r="F6041" t="s">
        <v>1</v>
      </c>
      <c r="G6041" t="s">
        <v>2</v>
      </c>
      <c r="H6041" t="s">
        <v>2112</v>
      </c>
      <c r="P6041" t="s">
        <v>1404</v>
      </c>
      <c r="Y6041" t="s">
        <v>27145</v>
      </c>
    </row>
    <row r="6042" spans="1:25" x14ac:dyDescent="0.25">
      <c r="A6042" t="str">
        <f>"25502022061"</f>
        <v>25502022061</v>
      </c>
      <c r="B6042" t="s">
        <v>519</v>
      </c>
      <c r="C6042" t="s">
        <v>3954</v>
      </c>
      <c r="D6042" t="s">
        <v>27146</v>
      </c>
      <c r="E6042">
        <v>424031</v>
      </c>
      <c r="F6042" t="s">
        <v>1</v>
      </c>
      <c r="G6042" t="s">
        <v>2</v>
      </c>
      <c r="H6042" t="s">
        <v>12973</v>
      </c>
      <c r="Y6042" t="s">
        <v>27147</v>
      </c>
    </row>
    <row r="6043" spans="1:25" x14ac:dyDescent="0.25">
      <c r="A6043" t="str">
        <f>"25511058746"</f>
        <v>25511058746</v>
      </c>
      <c r="B6043" t="s">
        <v>32</v>
      </c>
      <c r="C6043" t="s">
        <v>25283</v>
      </c>
      <c r="D6043" t="s">
        <v>27148</v>
      </c>
      <c r="E6043">
        <v>424040</v>
      </c>
      <c r="F6043" t="s">
        <v>1</v>
      </c>
      <c r="G6043" t="s">
        <v>2</v>
      </c>
      <c r="H6043" t="s">
        <v>27149</v>
      </c>
      <c r="I6043" t="s">
        <v>27150</v>
      </c>
      <c r="J6043" t="s">
        <v>27151</v>
      </c>
      <c r="Q6043" t="s">
        <v>27152</v>
      </c>
      <c r="V6043" t="s">
        <v>27153</v>
      </c>
      <c r="Y6043" t="s">
        <v>27154</v>
      </c>
    </row>
    <row r="6044" spans="1:25" x14ac:dyDescent="0.25">
      <c r="A6044" t="str">
        <f>"25537407582"</f>
        <v>25537407582</v>
      </c>
      <c r="B6044" t="s">
        <v>930</v>
      </c>
      <c r="C6044" t="s">
        <v>10263</v>
      </c>
      <c r="D6044" t="s">
        <v>27155</v>
      </c>
      <c r="F6044" t="s">
        <v>1</v>
      </c>
      <c r="G6044" t="s">
        <v>2</v>
      </c>
      <c r="H6044" t="s">
        <v>1359</v>
      </c>
      <c r="Y6044" t="s">
        <v>27156</v>
      </c>
    </row>
    <row r="6045" spans="1:25" x14ac:dyDescent="0.25">
      <c r="A6045" t="str">
        <f>"25577227701"</f>
        <v>25577227701</v>
      </c>
      <c r="B6045" t="s">
        <v>80</v>
      </c>
      <c r="C6045" t="s">
        <v>3295</v>
      </c>
      <c r="D6045" t="s">
        <v>27157</v>
      </c>
      <c r="E6045">
        <v>424037</v>
      </c>
      <c r="F6045" t="s">
        <v>1</v>
      </c>
      <c r="G6045" t="s">
        <v>2</v>
      </c>
      <c r="H6045" t="s">
        <v>2680</v>
      </c>
      <c r="L6045" t="s">
        <v>27158</v>
      </c>
      <c r="P6045" t="s">
        <v>16522</v>
      </c>
      <c r="Q6045" t="s">
        <v>27159</v>
      </c>
      <c r="Y6045" t="s">
        <v>27160</v>
      </c>
    </row>
    <row r="6046" spans="1:25" x14ac:dyDescent="0.25">
      <c r="A6046" t="str">
        <f>"25579691538"</f>
        <v>25579691538</v>
      </c>
      <c r="B6046" t="s">
        <v>703</v>
      </c>
      <c r="C6046" t="s">
        <v>2129</v>
      </c>
      <c r="D6046" t="s">
        <v>10670</v>
      </c>
      <c r="E6046">
        <v>424006</v>
      </c>
      <c r="F6046" t="s">
        <v>1</v>
      </c>
      <c r="G6046" t="s">
        <v>2</v>
      </c>
      <c r="H6046" t="s">
        <v>17511</v>
      </c>
      <c r="I6046" t="s">
        <v>21973</v>
      </c>
      <c r="J6046" t="s">
        <v>27161</v>
      </c>
      <c r="P6046" t="s">
        <v>410</v>
      </c>
      <c r="Y6046" t="s">
        <v>27162</v>
      </c>
    </row>
    <row r="6047" spans="1:25" x14ac:dyDescent="0.25">
      <c r="A6047" t="str">
        <f>"25590576615"</f>
        <v>25590576615</v>
      </c>
      <c r="B6047" t="s">
        <v>1611</v>
      </c>
      <c r="C6047" t="s">
        <v>3218</v>
      </c>
      <c r="D6047" t="s">
        <v>27163</v>
      </c>
      <c r="E6047">
        <v>424005</v>
      </c>
      <c r="F6047" t="s">
        <v>1</v>
      </c>
      <c r="G6047" t="s">
        <v>2</v>
      </c>
      <c r="H6047" t="s">
        <v>5429</v>
      </c>
      <c r="I6047" t="s">
        <v>27164</v>
      </c>
      <c r="P6047" t="s">
        <v>20</v>
      </c>
      <c r="Y6047" t="s">
        <v>5431</v>
      </c>
    </row>
    <row r="6048" spans="1:25" x14ac:dyDescent="0.25">
      <c r="A6048" t="str">
        <f>"25601988306"</f>
        <v>25601988306</v>
      </c>
      <c r="B6048" t="s">
        <v>1846</v>
      </c>
      <c r="C6048" t="s">
        <v>5115</v>
      </c>
      <c r="D6048" t="s">
        <v>27165</v>
      </c>
      <c r="E6048">
        <v>424038</v>
      </c>
      <c r="F6048" t="s">
        <v>1</v>
      </c>
      <c r="G6048" t="s">
        <v>2</v>
      </c>
      <c r="H6048" t="s">
        <v>6550</v>
      </c>
      <c r="I6048" t="s">
        <v>27166</v>
      </c>
      <c r="P6048" t="s">
        <v>20</v>
      </c>
      <c r="Y6048" t="s">
        <v>6552</v>
      </c>
    </row>
    <row r="6049" spans="1:25" x14ac:dyDescent="0.25">
      <c r="A6049" t="str">
        <f>"25602967001"</f>
        <v>25602967001</v>
      </c>
      <c r="B6049" t="s">
        <v>80</v>
      </c>
      <c r="C6049" t="s">
        <v>3295</v>
      </c>
      <c r="D6049" t="s">
        <v>27167</v>
      </c>
      <c r="E6049">
        <v>424003</v>
      </c>
      <c r="F6049" t="s">
        <v>1</v>
      </c>
      <c r="G6049" t="s">
        <v>2</v>
      </c>
      <c r="H6049" t="s">
        <v>1042</v>
      </c>
      <c r="J6049" t="s">
        <v>27168</v>
      </c>
      <c r="P6049" t="s">
        <v>34</v>
      </c>
      <c r="Q6049" t="s">
        <v>27169</v>
      </c>
      <c r="Y6049" t="s">
        <v>11321</v>
      </c>
    </row>
    <row r="6050" spans="1:25" x14ac:dyDescent="0.25">
      <c r="A6050" t="str">
        <f>"25603080714"</f>
        <v>25603080714</v>
      </c>
      <c r="B6050" t="s">
        <v>703</v>
      </c>
      <c r="C6050" t="s">
        <v>2129</v>
      </c>
      <c r="D6050" t="s">
        <v>27170</v>
      </c>
      <c r="E6050">
        <v>424007</v>
      </c>
      <c r="F6050" t="s">
        <v>1</v>
      </c>
      <c r="G6050" t="s">
        <v>2</v>
      </c>
      <c r="H6050" t="s">
        <v>819</v>
      </c>
      <c r="I6050" t="s">
        <v>27171</v>
      </c>
      <c r="P6050" t="s">
        <v>27</v>
      </c>
      <c r="Y6050" t="s">
        <v>821</v>
      </c>
    </row>
    <row r="6051" spans="1:25" x14ac:dyDescent="0.25">
      <c r="A6051" t="str">
        <f>"25646765852"</f>
        <v>25646765852</v>
      </c>
      <c r="B6051" t="s">
        <v>1362</v>
      </c>
      <c r="C6051" t="s">
        <v>8728</v>
      </c>
      <c r="D6051" t="s">
        <v>27172</v>
      </c>
      <c r="F6051" t="s">
        <v>1</v>
      </c>
      <c r="G6051" t="s">
        <v>2</v>
      </c>
      <c r="H6051" t="s">
        <v>13225</v>
      </c>
      <c r="J6051" t="s">
        <v>27173</v>
      </c>
      <c r="P6051" t="s">
        <v>17269</v>
      </c>
      <c r="Y6051" t="s">
        <v>23678</v>
      </c>
    </row>
    <row r="6052" spans="1:25" x14ac:dyDescent="0.25">
      <c r="A6052" t="str">
        <f>"25647483134"</f>
        <v>25647483134</v>
      </c>
      <c r="B6052" t="s">
        <v>328</v>
      </c>
      <c r="C6052" t="s">
        <v>8392</v>
      </c>
      <c r="D6052" t="s">
        <v>27174</v>
      </c>
      <c r="E6052">
        <v>424006</v>
      </c>
      <c r="F6052" t="s">
        <v>1</v>
      </c>
      <c r="G6052" t="s">
        <v>2</v>
      </c>
      <c r="H6052" t="s">
        <v>5539</v>
      </c>
      <c r="I6052" t="s">
        <v>23865</v>
      </c>
      <c r="L6052" t="s">
        <v>27175</v>
      </c>
      <c r="M6052" t="s">
        <v>27176</v>
      </c>
      <c r="P6052" t="s">
        <v>9</v>
      </c>
      <c r="Y6052" t="s">
        <v>5541</v>
      </c>
    </row>
    <row r="6053" spans="1:25" x14ac:dyDescent="0.25">
      <c r="A6053" t="str">
        <f>"25660342784"</f>
        <v>25660342784</v>
      </c>
      <c r="B6053" t="s">
        <v>530</v>
      </c>
      <c r="C6053" t="s">
        <v>23950</v>
      </c>
      <c r="D6053" t="s">
        <v>23950</v>
      </c>
      <c r="F6053" t="s">
        <v>1</v>
      </c>
      <c r="G6053" t="s">
        <v>2</v>
      </c>
      <c r="H6053" t="s">
        <v>9571</v>
      </c>
      <c r="Y6053" t="s">
        <v>27177</v>
      </c>
    </row>
    <row r="6054" spans="1:25" x14ac:dyDescent="0.25">
      <c r="A6054" t="str">
        <f>"25662742090"</f>
        <v>25662742090</v>
      </c>
      <c r="B6054" t="s">
        <v>703</v>
      </c>
      <c r="C6054" t="s">
        <v>3518</v>
      </c>
      <c r="D6054" t="s">
        <v>3518</v>
      </c>
      <c r="E6054">
        <v>424019</v>
      </c>
      <c r="F6054" t="s">
        <v>1</v>
      </c>
      <c r="G6054" t="s">
        <v>2</v>
      </c>
      <c r="H6054" t="s">
        <v>9271</v>
      </c>
      <c r="Y6054" t="s">
        <v>27178</v>
      </c>
    </row>
    <row r="6055" spans="1:25" x14ac:dyDescent="0.25">
      <c r="A6055" t="str">
        <f>"25678014907"</f>
        <v>25678014907</v>
      </c>
      <c r="B6055" t="s">
        <v>123</v>
      </c>
      <c r="C6055" t="s">
        <v>27180</v>
      </c>
      <c r="D6055" t="s">
        <v>27179</v>
      </c>
      <c r="E6055">
        <v>424006</v>
      </c>
      <c r="F6055" t="s">
        <v>1</v>
      </c>
      <c r="G6055" t="s">
        <v>2</v>
      </c>
      <c r="H6055" t="s">
        <v>4821</v>
      </c>
      <c r="Y6055" t="s">
        <v>27181</v>
      </c>
    </row>
    <row r="6056" spans="1:25" x14ac:dyDescent="0.25">
      <c r="A6056" t="str">
        <f>"25711564820"</f>
        <v>25711564820</v>
      </c>
      <c r="B6056" t="s">
        <v>25</v>
      </c>
      <c r="C6056" t="s">
        <v>24938</v>
      </c>
      <c r="D6056" t="s">
        <v>27182</v>
      </c>
      <c r="E6056">
        <v>424019</v>
      </c>
      <c r="F6056" t="s">
        <v>1</v>
      </c>
      <c r="G6056" t="s">
        <v>2</v>
      </c>
      <c r="H6056" t="s">
        <v>27183</v>
      </c>
      <c r="I6056" t="s">
        <v>27184</v>
      </c>
      <c r="L6056" t="s">
        <v>27185</v>
      </c>
      <c r="M6056" t="s">
        <v>27186</v>
      </c>
      <c r="Y6056" t="s">
        <v>27187</v>
      </c>
    </row>
    <row r="6057" spans="1:25" x14ac:dyDescent="0.25">
      <c r="A6057" t="str">
        <f>"25745134617"</f>
        <v>25745134617</v>
      </c>
      <c r="B6057" t="s">
        <v>67</v>
      </c>
      <c r="C6057" t="s">
        <v>269</v>
      </c>
      <c r="D6057" t="s">
        <v>27188</v>
      </c>
      <c r="E6057">
        <v>424033</v>
      </c>
      <c r="F6057" t="s">
        <v>1</v>
      </c>
      <c r="G6057" t="s">
        <v>2</v>
      </c>
      <c r="H6057" t="s">
        <v>2597</v>
      </c>
      <c r="I6057" t="s">
        <v>27189</v>
      </c>
      <c r="L6057" t="s">
        <v>27190</v>
      </c>
      <c r="M6057" t="s">
        <v>27191</v>
      </c>
      <c r="P6057" t="s">
        <v>2738</v>
      </c>
      <c r="Q6057" t="s">
        <v>27192</v>
      </c>
      <c r="R6057" t="s">
        <v>27193</v>
      </c>
      <c r="T6057" t="s">
        <v>27194</v>
      </c>
      <c r="V6057" t="s">
        <v>27195</v>
      </c>
      <c r="Y6057" t="s">
        <v>27196</v>
      </c>
    </row>
    <row r="6058" spans="1:25" x14ac:dyDescent="0.25">
      <c r="A6058" t="str">
        <f>"25746536198"</f>
        <v>25746536198</v>
      </c>
      <c r="B6058" t="s">
        <v>25</v>
      </c>
      <c r="C6058" t="s">
        <v>59</v>
      </c>
      <c r="D6058" t="s">
        <v>27197</v>
      </c>
      <c r="E6058">
        <v>424036</v>
      </c>
      <c r="F6058" t="s">
        <v>1</v>
      </c>
      <c r="G6058" t="s">
        <v>2</v>
      </c>
      <c r="H6058" t="s">
        <v>27198</v>
      </c>
      <c r="Y6058" t="s">
        <v>27199</v>
      </c>
    </row>
    <row r="6059" spans="1:25" x14ac:dyDescent="0.25">
      <c r="A6059" t="str">
        <f>"25770916425"</f>
        <v>25770916425</v>
      </c>
      <c r="B6059" t="s">
        <v>352</v>
      </c>
      <c r="C6059" t="s">
        <v>15594</v>
      </c>
      <c r="D6059" t="s">
        <v>13432</v>
      </c>
      <c r="E6059">
        <v>424038</v>
      </c>
      <c r="F6059" t="s">
        <v>1</v>
      </c>
      <c r="G6059" t="s">
        <v>2</v>
      </c>
      <c r="H6059" t="s">
        <v>546</v>
      </c>
      <c r="I6059" t="s">
        <v>27200</v>
      </c>
      <c r="L6059" t="s">
        <v>27201</v>
      </c>
      <c r="P6059" t="s">
        <v>27</v>
      </c>
      <c r="Y6059" t="s">
        <v>549</v>
      </c>
    </row>
    <row r="6060" spans="1:25" x14ac:dyDescent="0.25">
      <c r="A6060" t="str">
        <f>"25844246394"</f>
        <v>25844246394</v>
      </c>
      <c r="B6060" t="s">
        <v>319</v>
      </c>
      <c r="C6060" t="s">
        <v>27207</v>
      </c>
      <c r="D6060" t="s">
        <v>27202</v>
      </c>
      <c r="E6060">
        <v>424002</v>
      </c>
      <c r="F6060" t="s">
        <v>1</v>
      </c>
      <c r="G6060" t="s">
        <v>2</v>
      </c>
      <c r="H6060" t="s">
        <v>57</v>
      </c>
      <c r="I6060" t="s">
        <v>27203</v>
      </c>
      <c r="J6060" t="s">
        <v>27204</v>
      </c>
      <c r="L6060" t="s">
        <v>27205</v>
      </c>
      <c r="M6060" t="s">
        <v>27206</v>
      </c>
      <c r="P6060" t="s">
        <v>27208</v>
      </c>
      <c r="Q6060" t="s">
        <v>27209</v>
      </c>
      <c r="R6060" t="s">
        <v>27210</v>
      </c>
      <c r="T6060" t="s">
        <v>27211</v>
      </c>
      <c r="U6060" t="s">
        <v>27212</v>
      </c>
      <c r="Y6060" t="s">
        <v>3783</v>
      </c>
    </row>
    <row r="6061" spans="1:25" x14ac:dyDescent="0.25">
      <c r="A6061" t="str">
        <f>"25866546766"</f>
        <v>25866546766</v>
      </c>
      <c r="B6061" t="s">
        <v>1046</v>
      </c>
      <c r="C6061" t="s">
        <v>4959</v>
      </c>
      <c r="D6061" t="s">
        <v>27213</v>
      </c>
      <c r="F6061" t="s">
        <v>1</v>
      </c>
      <c r="G6061" t="s">
        <v>2</v>
      </c>
      <c r="H6061" t="s">
        <v>27214</v>
      </c>
      <c r="J6061" t="s">
        <v>27215</v>
      </c>
      <c r="P6061" t="s">
        <v>27216</v>
      </c>
      <c r="Y6061" t="s">
        <v>27217</v>
      </c>
    </row>
    <row r="6062" spans="1:25" x14ac:dyDescent="0.25">
      <c r="A6062" t="str">
        <f>"25869026457"</f>
        <v>25869026457</v>
      </c>
      <c r="B6062" t="s">
        <v>96</v>
      </c>
      <c r="C6062" t="s">
        <v>27219</v>
      </c>
      <c r="D6062" t="s">
        <v>27218</v>
      </c>
      <c r="E6062">
        <v>424038</v>
      </c>
      <c r="F6062" t="s">
        <v>1</v>
      </c>
      <c r="G6062" t="s">
        <v>2</v>
      </c>
      <c r="H6062" t="s">
        <v>16808</v>
      </c>
      <c r="Y6062" t="s">
        <v>27220</v>
      </c>
    </row>
    <row r="6063" spans="1:25" x14ac:dyDescent="0.25">
      <c r="A6063" t="str">
        <f>"25901691937"</f>
        <v>25901691937</v>
      </c>
      <c r="B6063" t="s">
        <v>574</v>
      </c>
      <c r="C6063" t="s">
        <v>646</v>
      </c>
      <c r="D6063" t="s">
        <v>27221</v>
      </c>
      <c r="E6063">
        <v>424918</v>
      </c>
      <c r="F6063" t="s">
        <v>1</v>
      </c>
      <c r="G6063" t="s">
        <v>2</v>
      </c>
      <c r="H6063" t="s">
        <v>629</v>
      </c>
      <c r="P6063" t="s">
        <v>630</v>
      </c>
      <c r="Y6063" t="s">
        <v>1744</v>
      </c>
    </row>
    <row r="6064" spans="1:25" x14ac:dyDescent="0.25">
      <c r="A6064" t="str">
        <f>"25910706238"</f>
        <v>25910706238</v>
      </c>
      <c r="B6064" t="s">
        <v>151</v>
      </c>
      <c r="C6064" t="s">
        <v>151</v>
      </c>
      <c r="D6064" t="s">
        <v>27222</v>
      </c>
      <c r="E6064">
        <v>424028</v>
      </c>
      <c r="F6064" t="s">
        <v>1</v>
      </c>
      <c r="G6064" t="s">
        <v>2</v>
      </c>
      <c r="H6064" t="s">
        <v>3628</v>
      </c>
      <c r="I6064" t="s">
        <v>27223</v>
      </c>
      <c r="J6064" t="s">
        <v>7494</v>
      </c>
      <c r="P6064" t="s">
        <v>133</v>
      </c>
      <c r="Y6064" t="s">
        <v>6934</v>
      </c>
    </row>
    <row r="6065" spans="1:25" x14ac:dyDescent="0.25">
      <c r="A6065" t="str">
        <f>"25991438399"</f>
        <v>25991438399</v>
      </c>
      <c r="B6065" t="s">
        <v>110</v>
      </c>
      <c r="C6065" t="s">
        <v>111</v>
      </c>
      <c r="D6065" t="s">
        <v>10532</v>
      </c>
      <c r="E6065">
        <v>424019</v>
      </c>
      <c r="F6065" t="s">
        <v>1</v>
      </c>
      <c r="G6065" t="s">
        <v>2</v>
      </c>
      <c r="H6065" t="s">
        <v>7785</v>
      </c>
      <c r="P6065" t="s">
        <v>98</v>
      </c>
      <c r="Y6065" t="s">
        <v>27224</v>
      </c>
    </row>
    <row r="6066" spans="1:25" x14ac:dyDescent="0.25">
      <c r="A6066" t="str">
        <f>"26025244392"</f>
        <v>26025244392</v>
      </c>
      <c r="B6066" t="s">
        <v>456</v>
      </c>
      <c r="C6066" t="s">
        <v>27230</v>
      </c>
      <c r="D6066" t="s">
        <v>27225</v>
      </c>
      <c r="E6066">
        <v>424037</v>
      </c>
      <c r="F6066" t="s">
        <v>1</v>
      </c>
      <c r="G6066" t="s">
        <v>2</v>
      </c>
      <c r="H6066" t="s">
        <v>27226</v>
      </c>
      <c r="I6066" t="s">
        <v>27227</v>
      </c>
      <c r="J6066" t="s">
        <v>27228</v>
      </c>
      <c r="L6066" t="s">
        <v>46</v>
      </c>
      <c r="M6066" t="s">
        <v>27229</v>
      </c>
      <c r="P6066" t="s">
        <v>2438</v>
      </c>
      <c r="Y6066" t="s">
        <v>27231</v>
      </c>
    </row>
    <row r="6067" spans="1:25" x14ac:dyDescent="0.25">
      <c r="A6067" t="str">
        <f>"26033570575"</f>
        <v>26033570575</v>
      </c>
      <c r="B6067" t="s">
        <v>1552</v>
      </c>
      <c r="C6067" t="s">
        <v>12654</v>
      </c>
      <c r="D6067" t="s">
        <v>27232</v>
      </c>
      <c r="E6067">
        <v>424031</v>
      </c>
      <c r="F6067" t="s">
        <v>1</v>
      </c>
      <c r="G6067" t="s">
        <v>2</v>
      </c>
      <c r="H6067" t="s">
        <v>2353</v>
      </c>
      <c r="I6067" t="s">
        <v>27233</v>
      </c>
      <c r="P6067" t="s">
        <v>696</v>
      </c>
      <c r="Y6067" t="s">
        <v>27234</v>
      </c>
    </row>
    <row r="6068" spans="1:25" x14ac:dyDescent="0.25">
      <c r="A6068" t="str">
        <f>"26083598037"</f>
        <v>26083598037</v>
      </c>
      <c r="B6068" t="s">
        <v>96</v>
      </c>
      <c r="C6068" t="s">
        <v>24042</v>
      </c>
      <c r="D6068" t="s">
        <v>24127</v>
      </c>
      <c r="E6068">
        <v>424033</v>
      </c>
      <c r="F6068" t="s">
        <v>1</v>
      </c>
      <c r="G6068" t="s">
        <v>2</v>
      </c>
      <c r="H6068" t="s">
        <v>10720</v>
      </c>
      <c r="Y6068" t="s">
        <v>27235</v>
      </c>
    </row>
    <row r="6069" spans="1:25" x14ac:dyDescent="0.25">
      <c r="A6069" t="str">
        <f>"26101895021"</f>
        <v>26101895021</v>
      </c>
      <c r="B6069" t="s">
        <v>430</v>
      </c>
      <c r="C6069" t="s">
        <v>27239</v>
      </c>
      <c r="D6069" t="s">
        <v>27236</v>
      </c>
      <c r="E6069">
        <v>424040</v>
      </c>
      <c r="F6069" t="s">
        <v>1</v>
      </c>
      <c r="G6069" t="s">
        <v>2</v>
      </c>
      <c r="H6069" t="s">
        <v>7927</v>
      </c>
      <c r="J6069" t="s">
        <v>27237</v>
      </c>
      <c r="L6069" t="s">
        <v>27238</v>
      </c>
      <c r="P6069" t="s">
        <v>2738</v>
      </c>
      <c r="Q6069" t="s">
        <v>27240</v>
      </c>
      <c r="Y6069" t="s">
        <v>19950</v>
      </c>
    </row>
    <row r="6070" spans="1:25" x14ac:dyDescent="0.25">
      <c r="A6070" t="str">
        <f>"26169202205"</f>
        <v>26169202205</v>
      </c>
      <c r="B6070" t="s">
        <v>10383</v>
      </c>
      <c r="C6070" t="s">
        <v>24146</v>
      </c>
      <c r="D6070" t="s">
        <v>24146</v>
      </c>
      <c r="E6070">
        <v>424028</v>
      </c>
      <c r="F6070" t="s">
        <v>1</v>
      </c>
      <c r="G6070" t="s">
        <v>2</v>
      </c>
      <c r="H6070" t="s">
        <v>27241</v>
      </c>
      <c r="Y6070" t="s">
        <v>27242</v>
      </c>
    </row>
    <row r="6071" spans="1:25" x14ac:dyDescent="0.25">
      <c r="A6071" t="str">
        <f>"26185734575"</f>
        <v>26185734575</v>
      </c>
      <c r="B6071" t="s">
        <v>18</v>
      </c>
      <c r="C6071" t="s">
        <v>27244</v>
      </c>
      <c r="D6071" t="s">
        <v>8042</v>
      </c>
      <c r="E6071">
        <v>424036</v>
      </c>
      <c r="F6071" t="s">
        <v>1</v>
      </c>
      <c r="G6071" t="s">
        <v>2</v>
      </c>
      <c r="H6071" t="s">
        <v>19750</v>
      </c>
      <c r="I6071" t="s">
        <v>27243</v>
      </c>
      <c r="L6071" t="s">
        <v>8045</v>
      </c>
      <c r="M6071" t="s">
        <v>12043</v>
      </c>
      <c r="Y6071" t="s">
        <v>27245</v>
      </c>
    </row>
    <row r="6072" spans="1:25" x14ac:dyDescent="0.25">
      <c r="A6072" t="str">
        <f>"26191269566"</f>
        <v>26191269566</v>
      </c>
      <c r="B6072" t="s">
        <v>6478</v>
      </c>
      <c r="C6072" t="s">
        <v>27250</v>
      </c>
      <c r="D6072" t="s">
        <v>27246</v>
      </c>
      <c r="E6072">
        <v>424001</v>
      </c>
      <c r="F6072" t="s">
        <v>1</v>
      </c>
      <c r="G6072" t="s">
        <v>2</v>
      </c>
      <c r="H6072" t="s">
        <v>11410</v>
      </c>
      <c r="I6072" t="s">
        <v>27247</v>
      </c>
      <c r="L6072" t="s">
        <v>27248</v>
      </c>
      <c r="M6072" t="s">
        <v>27249</v>
      </c>
      <c r="Y6072" t="s">
        <v>11416</v>
      </c>
    </row>
    <row r="6073" spans="1:25" x14ac:dyDescent="0.25">
      <c r="A6073" t="str">
        <f>"26194881872"</f>
        <v>26194881872</v>
      </c>
      <c r="B6073" t="s">
        <v>67</v>
      </c>
      <c r="C6073" t="s">
        <v>27252</v>
      </c>
      <c r="D6073" t="s">
        <v>27251</v>
      </c>
      <c r="E6073">
        <v>424040</v>
      </c>
      <c r="F6073" t="s">
        <v>1</v>
      </c>
      <c r="G6073" t="s">
        <v>2</v>
      </c>
      <c r="H6073" t="s">
        <v>11149</v>
      </c>
      <c r="Y6073" t="s">
        <v>27253</v>
      </c>
    </row>
    <row r="6074" spans="1:25" x14ac:dyDescent="0.25">
      <c r="A6074" t="str">
        <f>"26201202454"</f>
        <v>26201202454</v>
      </c>
      <c r="B6074" t="s">
        <v>1544</v>
      </c>
      <c r="C6074" t="s">
        <v>7974</v>
      </c>
      <c r="D6074" t="s">
        <v>27254</v>
      </c>
      <c r="F6074" t="s">
        <v>1</v>
      </c>
      <c r="G6074" t="s">
        <v>2</v>
      </c>
      <c r="H6074" t="s">
        <v>24133</v>
      </c>
      <c r="J6074" t="s">
        <v>27255</v>
      </c>
      <c r="P6074" t="s">
        <v>1642</v>
      </c>
      <c r="Y6074" t="s">
        <v>27256</v>
      </c>
    </row>
    <row r="6075" spans="1:25" x14ac:dyDescent="0.25">
      <c r="A6075" t="str">
        <f>"26244317853"</f>
        <v>26244317853</v>
      </c>
      <c r="B6075" t="s">
        <v>1604</v>
      </c>
      <c r="C6075" t="s">
        <v>27259</v>
      </c>
      <c r="D6075" t="s">
        <v>27257</v>
      </c>
      <c r="E6075">
        <v>424000</v>
      </c>
      <c r="F6075" t="s">
        <v>1</v>
      </c>
      <c r="G6075" t="s">
        <v>2</v>
      </c>
      <c r="H6075" t="s">
        <v>333</v>
      </c>
      <c r="I6075" t="s">
        <v>27258</v>
      </c>
      <c r="L6075" t="s">
        <v>581</v>
      </c>
      <c r="M6075" t="s">
        <v>582</v>
      </c>
      <c r="P6075" t="s">
        <v>280</v>
      </c>
      <c r="Y6075" t="s">
        <v>335</v>
      </c>
    </row>
    <row r="6076" spans="1:25" x14ac:dyDescent="0.25">
      <c r="A6076" t="str">
        <f>"26276816737"</f>
        <v>26276816737</v>
      </c>
      <c r="B6076" t="s">
        <v>1152</v>
      </c>
      <c r="C6076" t="s">
        <v>13059</v>
      </c>
      <c r="D6076" t="s">
        <v>27260</v>
      </c>
      <c r="E6076">
        <v>424031</v>
      </c>
      <c r="F6076" t="s">
        <v>1</v>
      </c>
      <c r="G6076" t="s">
        <v>2</v>
      </c>
      <c r="H6076" t="s">
        <v>1524</v>
      </c>
      <c r="I6076" t="s">
        <v>27261</v>
      </c>
      <c r="P6076" t="s">
        <v>799</v>
      </c>
      <c r="Y6076" t="s">
        <v>5358</v>
      </c>
    </row>
    <row r="6077" spans="1:25" x14ac:dyDescent="0.25">
      <c r="A6077" t="str">
        <f>"26278819481"</f>
        <v>26278819481</v>
      </c>
      <c r="B6077" t="s">
        <v>18</v>
      </c>
      <c r="C6077" t="s">
        <v>27263</v>
      </c>
      <c r="D6077" t="s">
        <v>27262</v>
      </c>
      <c r="F6077" t="s">
        <v>1</v>
      </c>
      <c r="G6077" t="s">
        <v>2</v>
      </c>
      <c r="H6077" t="s">
        <v>6365</v>
      </c>
      <c r="Y6077" t="s">
        <v>6368</v>
      </c>
    </row>
    <row r="6078" spans="1:25" x14ac:dyDescent="0.25">
      <c r="A6078" t="str">
        <f>"26282248262"</f>
        <v>26282248262</v>
      </c>
      <c r="B6078" t="s">
        <v>176</v>
      </c>
      <c r="C6078" t="s">
        <v>250</v>
      </c>
      <c r="D6078" t="s">
        <v>27264</v>
      </c>
      <c r="F6078" t="s">
        <v>1</v>
      </c>
      <c r="G6078" t="s">
        <v>2</v>
      </c>
      <c r="H6078" t="s">
        <v>3984</v>
      </c>
      <c r="J6078" t="s">
        <v>27265</v>
      </c>
      <c r="P6078" t="s">
        <v>7767</v>
      </c>
      <c r="Y6078" t="s">
        <v>4409</v>
      </c>
    </row>
    <row r="6079" spans="1:25" x14ac:dyDescent="0.25">
      <c r="A6079" t="str">
        <f>"26305325181"</f>
        <v>26305325181</v>
      </c>
      <c r="B6079" t="s">
        <v>176</v>
      </c>
      <c r="C6079" t="s">
        <v>250</v>
      </c>
      <c r="D6079" t="s">
        <v>27266</v>
      </c>
      <c r="E6079">
        <v>424020</v>
      </c>
      <c r="F6079" t="s">
        <v>1</v>
      </c>
      <c r="G6079" t="s">
        <v>2</v>
      </c>
      <c r="H6079" t="s">
        <v>23</v>
      </c>
      <c r="I6079" t="s">
        <v>27267</v>
      </c>
      <c r="J6079" t="s">
        <v>27268</v>
      </c>
      <c r="L6079" t="s">
        <v>27269</v>
      </c>
      <c r="P6079" t="s">
        <v>27270</v>
      </c>
      <c r="Q6079" t="s">
        <v>27271</v>
      </c>
      <c r="Y6079" t="s">
        <v>26334</v>
      </c>
    </row>
    <row r="6080" spans="1:25" x14ac:dyDescent="0.25">
      <c r="A6080" t="str">
        <f>"26310769676"</f>
        <v>26310769676</v>
      </c>
      <c r="B6080" t="s">
        <v>530</v>
      </c>
      <c r="C6080" t="s">
        <v>23950</v>
      </c>
      <c r="D6080" t="s">
        <v>23950</v>
      </c>
      <c r="F6080" t="s">
        <v>1</v>
      </c>
      <c r="G6080" t="s">
        <v>2</v>
      </c>
      <c r="H6080" t="s">
        <v>27272</v>
      </c>
      <c r="Y6080" t="s">
        <v>27273</v>
      </c>
    </row>
    <row r="6081" spans="1:25" x14ac:dyDescent="0.25">
      <c r="A6081" t="str">
        <f>"26331116635"</f>
        <v>26331116635</v>
      </c>
      <c r="B6081" t="s">
        <v>328</v>
      </c>
      <c r="C6081" t="s">
        <v>8392</v>
      </c>
      <c r="D6081" t="s">
        <v>27274</v>
      </c>
      <c r="E6081">
        <v>424031</v>
      </c>
      <c r="F6081" t="s">
        <v>1</v>
      </c>
      <c r="G6081" t="s">
        <v>2</v>
      </c>
      <c r="H6081" t="s">
        <v>27275</v>
      </c>
      <c r="I6081" t="s">
        <v>27276</v>
      </c>
      <c r="L6081" t="s">
        <v>27277</v>
      </c>
      <c r="M6081" t="s">
        <v>27278</v>
      </c>
      <c r="P6081" t="s">
        <v>5575</v>
      </c>
      <c r="Y6081" t="s">
        <v>27279</v>
      </c>
    </row>
    <row r="6082" spans="1:25" x14ac:dyDescent="0.25">
      <c r="A6082" t="str">
        <f>"26358116841"</f>
        <v>26358116841</v>
      </c>
      <c r="B6082" t="s">
        <v>519</v>
      </c>
      <c r="C6082" t="s">
        <v>23996</v>
      </c>
      <c r="D6082" t="s">
        <v>23996</v>
      </c>
      <c r="E6082">
        <v>424020</v>
      </c>
      <c r="F6082" t="s">
        <v>1</v>
      </c>
      <c r="G6082" t="s">
        <v>2</v>
      </c>
      <c r="H6082" t="s">
        <v>121</v>
      </c>
      <c r="Y6082" t="s">
        <v>27280</v>
      </c>
    </row>
    <row r="6083" spans="1:25" x14ac:dyDescent="0.25">
      <c r="A6083" t="str">
        <f>"26383654937"</f>
        <v>26383654937</v>
      </c>
      <c r="B6083" t="s">
        <v>117</v>
      </c>
      <c r="C6083" t="s">
        <v>118</v>
      </c>
      <c r="D6083" t="s">
        <v>27281</v>
      </c>
      <c r="F6083" t="s">
        <v>1</v>
      </c>
      <c r="G6083" t="s">
        <v>2</v>
      </c>
      <c r="H6083" t="s">
        <v>7547</v>
      </c>
      <c r="Y6083" t="s">
        <v>27282</v>
      </c>
    </row>
    <row r="6084" spans="1:25" x14ac:dyDescent="0.25">
      <c r="A6084" t="str">
        <f>"26387622559"</f>
        <v>26387622559</v>
      </c>
      <c r="B6084" t="s">
        <v>80</v>
      </c>
      <c r="C6084" t="s">
        <v>3295</v>
      </c>
      <c r="D6084" t="s">
        <v>12950</v>
      </c>
      <c r="E6084">
        <v>424040</v>
      </c>
      <c r="F6084" t="s">
        <v>1</v>
      </c>
      <c r="G6084" t="s">
        <v>2</v>
      </c>
      <c r="H6084" t="s">
        <v>7989</v>
      </c>
      <c r="Y6084" t="s">
        <v>27283</v>
      </c>
    </row>
    <row r="6085" spans="1:25" x14ac:dyDescent="0.25">
      <c r="A6085" t="str">
        <f>"26422520993"</f>
        <v>26422520993</v>
      </c>
      <c r="B6085" t="s">
        <v>1053</v>
      </c>
      <c r="C6085" t="s">
        <v>16884</v>
      </c>
      <c r="D6085" t="s">
        <v>16879</v>
      </c>
      <c r="E6085">
        <v>424003</v>
      </c>
      <c r="F6085" t="s">
        <v>1</v>
      </c>
      <c r="G6085" t="s">
        <v>2</v>
      </c>
      <c r="H6085" t="s">
        <v>15183</v>
      </c>
      <c r="I6085" t="s">
        <v>27284</v>
      </c>
      <c r="L6085" t="s">
        <v>27285</v>
      </c>
      <c r="M6085" t="s">
        <v>27286</v>
      </c>
      <c r="Y6085" t="s">
        <v>27287</v>
      </c>
    </row>
    <row r="6086" spans="1:25" x14ac:dyDescent="0.25">
      <c r="A6086" t="str">
        <f>"26470920957"</f>
        <v>26470920957</v>
      </c>
      <c r="B6086" t="s">
        <v>1046</v>
      </c>
      <c r="C6086" t="s">
        <v>22946</v>
      </c>
      <c r="D6086" t="s">
        <v>22946</v>
      </c>
      <c r="F6086" t="s">
        <v>1</v>
      </c>
      <c r="G6086" t="s">
        <v>2</v>
      </c>
      <c r="H6086" t="s">
        <v>27288</v>
      </c>
      <c r="Y6086" t="s">
        <v>27289</v>
      </c>
    </row>
    <row r="6087" spans="1:25" x14ac:dyDescent="0.25">
      <c r="A6087" t="str">
        <f>"26496951678"</f>
        <v>26496951678</v>
      </c>
      <c r="B6087" t="s">
        <v>25</v>
      </c>
      <c r="C6087" t="s">
        <v>59</v>
      </c>
      <c r="D6087" t="s">
        <v>27290</v>
      </c>
      <c r="E6087">
        <v>424031</v>
      </c>
      <c r="F6087" t="s">
        <v>1</v>
      </c>
      <c r="G6087" t="s">
        <v>2</v>
      </c>
      <c r="H6087" t="s">
        <v>8059</v>
      </c>
      <c r="Y6087" t="s">
        <v>27291</v>
      </c>
    </row>
    <row r="6088" spans="1:25" x14ac:dyDescent="0.25">
      <c r="A6088" t="str">
        <f>"26514695346"</f>
        <v>26514695346</v>
      </c>
      <c r="B6088" t="s">
        <v>430</v>
      </c>
      <c r="C6088" t="s">
        <v>11849</v>
      </c>
      <c r="D6088" t="s">
        <v>27292</v>
      </c>
      <c r="E6088">
        <v>424036</v>
      </c>
      <c r="F6088" t="s">
        <v>1</v>
      </c>
      <c r="G6088" t="s">
        <v>2</v>
      </c>
      <c r="H6088" t="s">
        <v>5317</v>
      </c>
      <c r="I6088" t="s">
        <v>27293</v>
      </c>
      <c r="J6088" t="s">
        <v>27294</v>
      </c>
      <c r="P6088" t="s">
        <v>13505</v>
      </c>
      <c r="Y6088" t="s">
        <v>27295</v>
      </c>
    </row>
    <row r="6089" spans="1:25" x14ac:dyDescent="0.25">
      <c r="A6089" t="str">
        <f>"26531679136"</f>
        <v>26531679136</v>
      </c>
      <c r="B6089" t="s">
        <v>160</v>
      </c>
      <c r="C6089" t="s">
        <v>1666</v>
      </c>
      <c r="D6089" t="s">
        <v>1666</v>
      </c>
      <c r="E6089">
        <v>424020</v>
      </c>
      <c r="F6089" t="s">
        <v>1</v>
      </c>
      <c r="G6089" t="s">
        <v>2</v>
      </c>
      <c r="H6089" t="s">
        <v>27296</v>
      </c>
      <c r="Y6089" t="s">
        <v>27297</v>
      </c>
    </row>
    <row r="6090" spans="1:25" x14ac:dyDescent="0.25">
      <c r="A6090" t="str">
        <f>"26537932641"</f>
        <v>26537932641</v>
      </c>
      <c r="B6090" t="s">
        <v>930</v>
      </c>
      <c r="C6090" t="s">
        <v>10263</v>
      </c>
      <c r="D6090" t="s">
        <v>10263</v>
      </c>
      <c r="F6090" t="s">
        <v>1</v>
      </c>
      <c r="G6090" t="s">
        <v>2</v>
      </c>
      <c r="H6090" t="s">
        <v>4897</v>
      </c>
      <c r="I6090" t="s">
        <v>27298</v>
      </c>
      <c r="P6090" t="s">
        <v>3690</v>
      </c>
      <c r="Y6090" t="s">
        <v>4900</v>
      </c>
    </row>
    <row r="6091" spans="1:25" x14ac:dyDescent="0.25">
      <c r="A6091" t="str">
        <f>"26555370338"</f>
        <v>26555370338</v>
      </c>
      <c r="B6091" t="s">
        <v>930</v>
      </c>
      <c r="C6091" t="s">
        <v>1096</v>
      </c>
      <c r="D6091" t="s">
        <v>4989</v>
      </c>
      <c r="E6091">
        <v>424032</v>
      </c>
      <c r="F6091" t="s">
        <v>1</v>
      </c>
      <c r="G6091" t="s">
        <v>2</v>
      </c>
      <c r="H6091" t="s">
        <v>11296</v>
      </c>
      <c r="P6091" t="s">
        <v>3690</v>
      </c>
      <c r="Y6091" t="s">
        <v>11299</v>
      </c>
    </row>
    <row r="6092" spans="1:25" x14ac:dyDescent="0.25">
      <c r="A6092" t="str">
        <f>"26674904783"</f>
        <v>26674904783</v>
      </c>
      <c r="B6092" t="s">
        <v>25</v>
      </c>
      <c r="C6092" t="s">
        <v>20320</v>
      </c>
      <c r="D6092" t="s">
        <v>27299</v>
      </c>
      <c r="E6092">
        <v>424033</v>
      </c>
      <c r="F6092" t="s">
        <v>1</v>
      </c>
      <c r="G6092" t="s">
        <v>2</v>
      </c>
      <c r="H6092" t="s">
        <v>24707</v>
      </c>
      <c r="Y6092" t="s">
        <v>27300</v>
      </c>
    </row>
    <row r="6093" spans="1:25" x14ac:dyDescent="0.25">
      <c r="A6093" t="str">
        <f>"26677878880"</f>
        <v>26677878880</v>
      </c>
      <c r="B6093" t="s">
        <v>1544</v>
      </c>
      <c r="C6093" t="s">
        <v>15598</v>
      </c>
      <c r="D6093" t="s">
        <v>20134</v>
      </c>
      <c r="E6093">
        <v>424006</v>
      </c>
      <c r="F6093" t="s">
        <v>1</v>
      </c>
      <c r="G6093" t="s">
        <v>2</v>
      </c>
      <c r="H6093" t="s">
        <v>27301</v>
      </c>
      <c r="Y6093" t="s">
        <v>27302</v>
      </c>
    </row>
    <row r="6094" spans="1:25" x14ac:dyDescent="0.25">
      <c r="A6094" t="str">
        <f>"26681370947"</f>
        <v>26681370947</v>
      </c>
      <c r="B6094" t="s">
        <v>1053</v>
      </c>
      <c r="C6094" t="s">
        <v>10116</v>
      </c>
      <c r="D6094" t="s">
        <v>10114</v>
      </c>
      <c r="E6094">
        <v>424006</v>
      </c>
      <c r="F6094" t="s">
        <v>1</v>
      </c>
      <c r="G6094" t="s">
        <v>2</v>
      </c>
      <c r="H6094" t="s">
        <v>1483</v>
      </c>
      <c r="J6094" t="s">
        <v>10115</v>
      </c>
      <c r="P6094" t="s">
        <v>2438</v>
      </c>
      <c r="Y6094" t="s">
        <v>12881</v>
      </c>
    </row>
    <row r="6095" spans="1:25" x14ac:dyDescent="0.25">
      <c r="A6095" t="str">
        <f>"26690605312"</f>
        <v>26690605312</v>
      </c>
      <c r="B6095" t="s">
        <v>379</v>
      </c>
      <c r="C6095" t="s">
        <v>27306</v>
      </c>
      <c r="D6095" t="s">
        <v>27303</v>
      </c>
      <c r="E6095">
        <v>424036</v>
      </c>
      <c r="F6095" t="s">
        <v>1</v>
      </c>
      <c r="G6095" t="s">
        <v>2</v>
      </c>
      <c r="H6095" t="s">
        <v>14976</v>
      </c>
      <c r="I6095" t="s">
        <v>18770</v>
      </c>
      <c r="J6095" t="s">
        <v>18771</v>
      </c>
      <c r="L6095" t="s">
        <v>27304</v>
      </c>
      <c r="M6095" t="s">
        <v>27305</v>
      </c>
      <c r="P6095" t="s">
        <v>9</v>
      </c>
      <c r="Y6095" t="s">
        <v>27307</v>
      </c>
    </row>
    <row r="6096" spans="1:25" x14ac:dyDescent="0.25">
      <c r="A6096" t="str">
        <f>"26736920883"</f>
        <v>26736920883</v>
      </c>
      <c r="B6096" t="s">
        <v>530</v>
      </c>
      <c r="C6096" t="s">
        <v>23950</v>
      </c>
      <c r="D6096" t="s">
        <v>23950</v>
      </c>
      <c r="F6096" t="s">
        <v>1</v>
      </c>
      <c r="G6096" t="s">
        <v>2</v>
      </c>
      <c r="H6096" t="s">
        <v>27308</v>
      </c>
      <c r="Y6096" t="s">
        <v>27309</v>
      </c>
    </row>
    <row r="6097" spans="1:25" x14ac:dyDescent="0.25">
      <c r="A6097" t="str">
        <f>"26757594108"</f>
        <v>26757594108</v>
      </c>
      <c r="B6097" t="s">
        <v>352</v>
      </c>
      <c r="C6097" t="s">
        <v>27313</v>
      </c>
      <c r="D6097" t="s">
        <v>27310</v>
      </c>
      <c r="E6097">
        <v>424033</v>
      </c>
      <c r="F6097" t="s">
        <v>1</v>
      </c>
      <c r="G6097" t="s">
        <v>2</v>
      </c>
      <c r="H6097" t="s">
        <v>3984</v>
      </c>
      <c r="J6097" t="s">
        <v>27311</v>
      </c>
      <c r="M6097" t="s">
        <v>27312</v>
      </c>
      <c r="P6097" t="s">
        <v>27314</v>
      </c>
      <c r="Y6097" t="s">
        <v>27315</v>
      </c>
    </row>
    <row r="6098" spans="1:25" x14ac:dyDescent="0.25">
      <c r="A6098" t="str">
        <f>"26817823173"</f>
        <v>26817823173</v>
      </c>
      <c r="B6098" t="s">
        <v>2818</v>
      </c>
      <c r="C6098" t="s">
        <v>6466</v>
      </c>
      <c r="D6098" t="s">
        <v>27316</v>
      </c>
      <c r="E6098">
        <v>424019</v>
      </c>
      <c r="F6098" t="s">
        <v>1</v>
      </c>
      <c r="G6098" t="s">
        <v>2</v>
      </c>
      <c r="H6098" t="s">
        <v>13204</v>
      </c>
      <c r="I6098" t="s">
        <v>27317</v>
      </c>
      <c r="J6098" t="s">
        <v>27318</v>
      </c>
      <c r="M6098" t="s">
        <v>27319</v>
      </c>
      <c r="P6098" t="s">
        <v>4831</v>
      </c>
      <c r="Y6098" t="s">
        <v>27320</v>
      </c>
    </row>
    <row r="6099" spans="1:25" x14ac:dyDescent="0.25">
      <c r="A6099" t="str">
        <f>"26838506596"</f>
        <v>26838506596</v>
      </c>
      <c r="B6099" t="s">
        <v>1544</v>
      </c>
      <c r="C6099" t="s">
        <v>15598</v>
      </c>
      <c r="D6099" t="s">
        <v>27321</v>
      </c>
      <c r="E6099">
        <v>424003</v>
      </c>
      <c r="F6099" t="s">
        <v>1</v>
      </c>
      <c r="G6099" t="s">
        <v>2</v>
      </c>
      <c r="H6099" t="s">
        <v>27322</v>
      </c>
      <c r="Y6099" t="s">
        <v>27323</v>
      </c>
    </row>
    <row r="6100" spans="1:25" x14ac:dyDescent="0.25">
      <c r="A6100" t="str">
        <f>"26882219536"</f>
        <v>26882219536</v>
      </c>
      <c r="B6100" t="s">
        <v>96</v>
      </c>
      <c r="C6100" t="s">
        <v>27324</v>
      </c>
      <c r="D6100" t="s">
        <v>9849</v>
      </c>
      <c r="E6100">
        <v>424028</v>
      </c>
      <c r="F6100" t="s">
        <v>1</v>
      </c>
      <c r="G6100" t="s">
        <v>2</v>
      </c>
      <c r="H6100" t="s">
        <v>3628</v>
      </c>
      <c r="Y6100" t="s">
        <v>27325</v>
      </c>
    </row>
    <row r="6101" spans="1:25" x14ac:dyDescent="0.25">
      <c r="A6101" t="str">
        <f>"26911804883"</f>
        <v>26911804883</v>
      </c>
      <c r="B6101" t="s">
        <v>80</v>
      </c>
      <c r="C6101" t="s">
        <v>3295</v>
      </c>
      <c r="D6101" t="s">
        <v>27326</v>
      </c>
      <c r="F6101" t="s">
        <v>1</v>
      </c>
      <c r="G6101" t="s">
        <v>2</v>
      </c>
      <c r="H6101" t="s">
        <v>27327</v>
      </c>
      <c r="Y6101" t="s">
        <v>27328</v>
      </c>
    </row>
    <row r="6102" spans="1:25" x14ac:dyDescent="0.25">
      <c r="A6102" t="str">
        <f>"26912592461"</f>
        <v>26912592461</v>
      </c>
      <c r="B6102" t="s">
        <v>96</v>
      </c>
      <c r="C6102" t="s">
        <v>893</v>
      </c>
      <c r="D6102" t="s">
        <v>27329</v>
      </c>
      <c r="E6102">
        <v>424918</v>
      </c>
      <c r="F6102" t="s">
        <v>1</v>
      </c>
      <c r="G6102" t="s">
        <v>2</v>
      </c>
      <c r="H6102" t="s">
        <v>629</v>
      </c>
      <c r="P6102" t="s">
        <v>630</v>
      </c>
      <c r="Y6102" t="s">
        <v>27330</v>
      </c>
    </row>
    <row r="6103" spans="1:25" x14ac:dyDescent="0.25">
      <c r="A6103" t="str">
        <f>"26914257325"</f>
        <v>26914257325</v>
      </c>
      <c r="B6103" t="s">
        <v>379</v>
      </c>
      <c r="C6103" t="s">
        <v>11692</v>
      </c>
      <c r="D6103" t="s">
        <v>27331</v>
      </c>
      <c r="E6103">
        <v>424000</v>
      </c>
      <c r="F6103" t="s">
        <v>1</v>
      </c>
      <c r="G6103" t="s">
        <v>2</v>
      </c>
      <c r="H6103" t="s">
        <v>2671</v>
      </c>
      <c r="I6103" t="s">
        <v>27332</v>
      </c>
      <c r="L6103" t="s">
        <v>27333</v>
      </c>
      <c r="M6103" t="s">
        <v>27334</v>
      </c>
      <c r="P6103" t="s">
        <v>1027</v>
      </c>
      <c r="Q6103" t="s">
        <v>27335</v>
      </c>
      <c r="Y6103" t="s">
        <v>27336</v>
      </c>
    </row>
    <row r="6104" spans="1:25" x14ac:dyDescent="0.25">
      <c r="A6104" t="str">
        <f>"26920109022"</f>
        <v>26920109022</v>
      </c>
      <c r="B6104" t="s">
        <v>574</v>
      </c>
      <c r="C6104" t="s">
        <v>27338</v>
      </c>
      <c r="D6104" t="s">
        <v>4221</v>
      </c>
      <c r="F6104" t="s">
        <v>1</v>
      </c>
      <c r="G6104" t="s">
        <v>2</v>
      </c>
      <c r="H6104" t="s">
        <v>25036</v>
      </c>
      <c r="I6104" t="s">
        <v>27337</v>
      </c>
      <c r="P6104" t="s">
        <v>216</v>
      </c>
      <c r="Y6104" t="s">
        <v>27339</v>
      </c>
    </row>
    <row r="6105" spans="1:25" x14ac:dyDescent="0.25">
      <c r="A6105" t="str">
        <f>"26928815059"</f>
        <v>26928815059</v>
      </c>
      <c r="B6105" t="s">
        <v>117</v>
      </c>
      <c r="C6105" t="s">
        <v>873</v>
      </c>
      <c r="D6105" t="s">
        <v>873</v>
      </c>
      <c r="F6105" t="s">
        <v>1</v>
      </c>
      <c r="G6105" t="s">
        <v>2</v>
      </c>
      <c r="H6105" t="s">
        <v>27340</v>
      </c>
      <c r="Y6105" t="s">
        <v>27341</v>
      </c>
    </row>
    <row r="6106" spans="1:25" x14ac:dyDescent="0.25">
      <c r="A6106" t="str">
        <f>"26939109348"</f>
        <v>26939109348</v>
      </c>
      <c r="B6106" t="s">
        <v>2818</v>
      </c>
      <c r="C6106" t="s">
        <v>6466</v>
      </c>
      <c r="D6106" t="s">
        <v>27342</v>
      </c>
      <c r="E6106">
        <v>424020</v>
      </c>
      <c r="F6106" t="s">
        <v>1</v>
      </c>
      <c r="G6106" t="s">
        <v>2</v>
      </c>
      <c r="H6106" t="s">
        <v>8616</v>
      </c>
      <c r="I6106" t="s">
        <v>27343</v>
      </c>
      <c r="J6106" t="s">
        <v>27344</v>
      </c>
      <c r="L6106" t="s">
        <v>27345</v>
      </c>
      <c r="Q6106" t="s">
        <v>27346</v>
      </c>
      <c r="T6106" t="s">
        <v>27347</v>
      </c>
      <c r="Y6106" t="s">
        <v>27348</v>
      </c>
    </row>
    <row r="6107" spans="1:25" x14ac:dyDescent="0.25">
      <c r="A6107" t="str">
        <f>"26941135582"</f>
        <v>26941135582</v>
      </c>
      <c r="B6107" t="s">
        <v>25</v>
      </c>
      <c r="C6107" t="s">
        <v>20320</v>
      </c>
      <c r="D6107" t="s">
        <v>27349</v>
      </c>
      <c r="E6107">
        <v>424031</v>
      </c>
      <c r="F6107" t="s">
        <v>1</v>
      </c>
      <c r="G6107" t="s">
        <v>2</v>
      </c>
      <c r="H6107" t="s">
        <v>13460</v>
      </c>
      <c r="J6107" t="s">
        <v>27350</v>
      </c>
      <c r="M6107" t="s">
        <v>27351</v>
      </c>
      <c r="P6107" t="s">
        <v>330</v>
      </c>
      <c r="Y6107" t="s">
        <v>27352</v>
      </c>
    </row>
    <row r="6108" spans="1:25" x14ac:dyDescent="0.25">
      <c r="A6108" t="str">
        <f>"26971529000"</f>
        <v>26971529000</v>
      </c>
      <c r="B6108" t="s">
        <v>96</v>
      </c>
      <c r="C6108" t="s">
        <v>695</v>
      </c>
      <c r="D6108" t="s">
        <v>22550</v>
      </c>
      <c r="E6108">
        <v>424007</v>
      </c>
      <c r="F6108" t="s">
        <v>1</v>
      </c>
      <c r="G6108" t="s">
        <v>2</v>
      </c>
      <c r="H6108" t="s">
        <v>11776</v>
      </c>
      <c r="Y6108" t="s">
        <v>27353</v>
      </c>
    </row>
    <row r="6109" spans="1:25" x14ac:dyDescent="0.25">
      <c r="A6109" t="str">
        <f>"26980456474"</f>
        <v>26980456474</v>
      </c>
      <c r="B6109" t="s">
        <v>96</v>
      </c>
      <c r="C6109" t="s">
        <v>695</v>
      </c>
      <c r="D6109" t="s">
        <v>22550</v>
      </c>
      <c r="E6109">
        <v>424019</v>
      </c>
      <c r="F6109" t="s">
        <v>1</v>
      </c>
      <c r="G6109" t="s">
        <v>2</v>
      </c>
      <c r="H6109" t="s">
        <v>12105</v>
      </c>
      <c r="J6109" t="s">
        <v>26188</v>
      </c>
      <c r="P6109" t="s">
        <v>941</v>
      </c>
      <c r="Y6109" t="s">
        <v>14260</v>
      </c>
    </row>
    <row r="6110" spans="1:25" x14ac:dyDescent="0.25">
      <c r="A6110" t="str">
        <f>"26997673496"</f>
        <v>26997673496</v>
      </c>
      <c r="B6110" t="s">
        <v>284</v>
      </c>
      <c r="C6110" t="s">
        <v>711</v>
      </c>
      <c r="D6110" t="s">
        <v>27354</v>
      </c>
      <c r="E6110">
        <v>424006</v>
      </c>
      <c r="F6110" t="s">
        <v>1</v>
      </c>
      <c r="G6110" t="s">
        <v>2</v>
      </c>
      <c r="H6110" t="s">
        <v>2012</v>
      </c>
      <c r="Y6110" t="s">
        <v>27355</v>
      </c>
    </row>
    <row r="6111" spans="1:25" x14ac:dyDescent="0.25">
      <c r="A6111" t="str">
        <f>"27006545679"</f>
        <v>27006545679</v>
      </c>
      <c r="B6111" t="s">
        <v>1152</v>
      </c>
      <c r="C6111" t="s">
        <v>4926</v>
      </c>
      <c r="D6111" t="s">
        <v>4926</v>
      </c>
      <c r="E6111">
        <v>424000</v>
      </c>
      <c r="F6111" t="s">
        <v>1</v>
      </c>
      <c r="G6111" t="s">
        <v>2</v>
      </c>
      <c r="H6111" t="s">
        <v>1473</v>
      </c>
      <c r="P6111" t="s">
        <v>27356</v>
      </c>
      <c r="Y6111" t="s">
        <v>4067</v>
      </c>
    </row>
    <row r="6112" spans="1:25" x14ac:dyDescent="0.25">
      <c r="A6112" t="str">
        <f>"27036946847"</f>
        <v>27036946847</v>
      </c>
      <c r="B6112" t="s">
        <v>530</v>
      </c>
      <c r="C6112" t="s">
        <v>23950</v>
      </c>
      <c r="D6112" t="s">
        <v>23950</v>
      </c>
      <c r="F6112" t="s">
        <v>1</v>
      </c>
      <c r="G6112" t="s">
        <v>2</v>
      </c>
      <c r="H6112" t="s">
        <v>7547</v>
      </c>
      <c r="Y6112" t="s">
        <v>27357</v>
      </c>
    </row>
    <row r="6113" spans="1:25" x14ac:dyDescent="0.25">
      <c r="A6113" t="str">
        <f>"27080977035"</f>
        <v>27080977035</v>
      </c>
      <c r="B6113" t="s">
        <v>123</v>
      </c>
      <c r="C6113" t="s">
        <v>424</v>
      </c>
      <c r="D6113" t="s">
        <v>27358</v>
      </c>
      <c r="E6113">
        <v>424007</v>
      </c>
      <c r="F6113" t="s">
        <v>1</v>
      </c>
      <c r="G6113" t="s">
        <v>2</v>
      </c>
      <c r="H6113" t="s">
        <v>26923</v>
      </c>
      <c r="I6113" t="s">
        <v>27359</v>
      </c>
      <c r="P6113" t="s">
        <v>3039</v>
      </c>
      <c r="Y6113" t="s">
        <v>27360</v>
      </c>
    </row>
    <row r="6114" spans="1:25" x14ac:dyDescent="0.25">
      <c r="A6114" t="str">
        <f>"27083365947"</f>
        <v>27083365947</v>
      </c>
      <c r="B6114" t="s">
        <v>25</v>
      </c>
      <c r="C6114" t="s">
        <v>59</v>
      </c>
      <c r="D6114" t="s">
        <v>15258</v>
      </c>
      <c r="E6114">
        <v>424002</v>
      </c>
      <c r="F6114" t="s">
        <v>1</v>
      </c>
      <c r="G6114" t="s">
        <v>2</v>
      </c>
      <c r="H6114" t="s">
        <v>5806</v>
      </c>
      <c r="I6114" t="s">
        <v>27361</v>
      </c>
      <c r="P6114" t="s">
        <v>27362</v>
      </c>
      <c r="Y6114" t="s">
        <v>5812</v>
      </c>
    </row>
    <row r="6115" spans="1:25" x14ac:dyDescent="0.25">
      <c r="A6115" t="str">
        <f>"27105260732"</f>
        <v>27105260732</v>
      </c>
      <c r="B6115" t="s">
        <v>1573</v>
      </c>
      <c r="C6115" t="s">
        <v>27365</v>
      </c>
      <c r="D6115" t="s">
        <v>27363</v>
      </c>
      <c r="E6115">
        <v>424031</v>
      </c>
      <c r="F6115" t="s">
        <v>1</v>
      </c>
      <c r="G6115" t="s">
        <v>2</v>
      </c>
      <c r="H6115" t="s">
        <v>14920</v>
      </c>
      <c r="J6115" t="s">
        <v>27364</v>
      </c>
      <c r="P6115" t="s">
        <v>27366</v>
      </c>
      <c r="Q6115" t="s">
        <v>27367</v>
      </c>
      <c r="Y6115" t="s">
        <v>27368</v>
      </c>
    </row>
    <row r="6116" spans="1:25" x14ac:dyDescent="0.25">
      <c r="A6116" t="str">
        <f>"27133222179"</f>
        <v>27133222179</v>
      </c>
      <c r="B6116" t="s">
        <v>7312</v>
      </c>
      <c r="C6116" t="s">
        <v>21136</v>
      </c>
      <c r="D6116" t="s">
        <v>22445</v>
      </c>
      <c r="E6116">
        <v>424019</v>
      </c>
      <c r="F6116" t="s">
        <v>1</v>
      </c>
      <c r="G6116" t="s">
        <v>2</v>
      </c>
      <c r="H6116" t="s">
        <v>1467</v>
      </c>
      <c r="Y6116" t="s">
        <v>1630</v>
      </c>
    </row>
    <row r="6117" spans="1:25" x14ac:dyDescent="0.25">
      <c r="A6117" t="str">
        <f>"27138924178"</f>
        <v>27138924178</v>
      </c>
      <c r="B6117" t="s">
        <v>574</v>
      </c>
      <c r="C6117" t="s">
        <v>21145</v>
      </c>
      <c r="D6117" t="s">
        <v>27369</v>
      </c>
      <c r="E6117">
        <v>424006</v>
      </c>
      <c r="F6117" t="s">
        <v>1</v>
      </c>
      <c r="G6117" t="s">
        <v>2</v>
      </c>
      <c r="H6117" t="s">
        <v>8622</v>
      </c>
      <c r="I6117" t="s">
        <v>27370</v>
      </c>
      <c r="L6117" t="s">
        <v>27371</v>
      </c>
      <c r="M6117" t="s">
        <v>27372</v>
      </c>
      <c r="P6117" t="s">
        <v>458</v>
      </c>
      <c r="Y6117" t="s">
        <v>8866</v>
      </c>
    </row>
    <row r="6118" spans="1:25" x14ac:dyDescent="0.25">
      <c r="A6118" t="str">
        <f>"27148732649"</f>
        <v>27148732649</v>
      </c>
      <c r="B6118" t="s">
        <v>1352</v>
      </c>
      <c r="C6118" t="s">
        <v>1353</v>
      </c>
      <c r="D6118" t="s">
        <v>19532</v>
      </c>
      <c r="E6118">
        <v>424005</v>
      </c>
      <c r="F6118" t="s">
        <v>1</v>
      </c>
      <c r="G6118" t="s">
        <v>2</v>
      </c>
      <c r="H6118" t="s">
        <v>4965</v>
      </c>
      <c r="Y6118" t="s">
        <v>27373</v>
      </c>
    </row>
    <row r="6119" spans="1:25" x14ac:dyDescent="0.25">
      <c r="A6119" t="str">
        <f>"27150004817"</f>
        <v>27150004817</v>
      </c>
      <c r="B6119" t="s">
        <v>80</v>
      </c>
      <c r="C6119" t="s">
        <v>27377</v>
      </c>
      <c r="D6119" t="s">
        <v>27374</v>
      </c>
      <c r="E6119">
        <v>424003</v>
      </c>
      <c r="F6119" t="s">
        <v>1</v>
      </c>
      <c r="G6119" t="s">
        <v>2</v>
      </c>
      <c r="H6119" t="s">
        <v>5773</v>
      </c>
      <c r="I6119" t="s">
        <v>27375</v>
      </c>
      <c r="J6119" t="s">
        <v>27376</v>
      </c>
      <c r="P6119" t="s">
        <v>27378</v>
      </c>
      <c r="Y6119" t="s">
        <v>27379</v>
      </c>
    </row>
    <row r="6120" spans="1:25" x14ac:dyDescent="0.25">
      <c r="A6120" t="str">
        <f>"27242278684"</f>
        <v>27242278684</v>
      </c>
      <c r="B6120" t="s">
        <v>687</v>
      </c>
      <c r="C6120" t="s">
        <v>27383</v>
      </c>
      <c r="D6120" t="s">
        <v>27380</v>
      </c>
      <c r="F6120" t="s">
        <v>1</v>
      </c>
      <c r="G6120" t="s">
        <v>2</v>
      </c>
      <c r="H6120" t="s">
        <v>1423</v>
      </c>
      <c r="J6120" t="s">
        <v>27381</v>
      </c>
      <c r="L6120" t="s">
        <v>27382</v>
      </c>
      <c r="P6120" t="s">
        <v>2979</v>
      </c>
      <c r="Y6120" t="s">
        <v>21228</v>
      </c>
    </row>
    <row r="6121" spans="1:25" x14ac:dyDescent="0.25">
      <c r="A6121" t="str">
        <f>"27275074416"</f>
        <v>27275074416</v>
      </c>
      <c r="B6121" t="s">
        <v>67</v>
      </c>
      <c r="C6121" t="s">
        <v>269</v>
      </c>
      <c r="D6121" t="s">
        <v>62</v>
      </c>
      <c r="E6121">
        <v>424033</v>
      </c>
      <c r="F6121" t="s">
        <v>1</v>
      </c>
      <c r="G6121" t="s">
        <v>2</v>
      </c>
      <c r="H6121" t="s">
        <v>25986</v>
      </c>
      <c r="P6121" t="s">
        <v>27384</v>
      </c>
      <c r="Y6121" t="s">
        <v>27385</v>
      </c>
    </row>
    <row r="6122" spans="1:25" x14ac:dyDescent="0.25">
      <c r="A6122" t="str">
        <f>"27336467735"</f>
        <v>27336467735</v>
      </c>
      <c r="B6122" t="s">
        <v>456</v>
      </c>
      <c r="C6122" t="s">
        <v>2040</v>
      </c>
      <c r="D6122" t="s">
        <v>27386</v>
      </c>
      <c r="E6122">
        <v>424033</v>
      </c>
      <c r="F6122" t="s">
        <v>1</v>
      </c>
      <c r="G6122" t="s">
        <v>2</v>
      </c>
      <c r="H6122" t="s">
        <v>25565</v>
      </c>
      <c r="I6122" t="s">
        <v>27387</v>
      </c>
      <c r="K6122" t="s">
        <v>27388</v>
      </c>
      <c r="L6122" t="s">
        <v>581</v>
      </c>
      <c r="M6122" t="s">
        <v>582</v>
      </c>
      <c r="P6122" t="s">
        <v>2839</v>
      </c>
      <c r="Y6122" t="s">
        <v>27389</v>
      </c>
    </row>
    <row r="6123" spans="1:25" x14ac:dyDescent="0.25">
      <c r="A6123" t="str">
        <f>"27351603416"</f>
        <v>27351603416</v>
      </c>
      <c r="B6123" t="s">
        <v>790</v>
      </c>
      <c r="C6123" t="s">
        <v>4583</v>
      </c>
      <c r="D6123" t="s">
        <v>27390</v>
      </c>
      <c r="E6123">
        <v>424019</v>
      </c>
      <c r="F6123" t="s">
        <v>1</v>
      </c>
      <c r="G6123" t="s">
        <v>2</v>
      </c>
      <c r="H6123" t="s">
        <v>15506</v>
      </c>
      <c r="J6123" t="s">
        <v>27391</v>
      </c>
      <c r="P6123" t="s">
        <v>4487</v>
      </c>
      <c r="Q6123" t="s">
        <v>27392</v>
      </c>
      <c r="Y6123" t="s">
        <v>17180</v>
      </c>
    </row>
    <row r="6124" spans="1:25" x14ac:dyDescent="0.25">
      <c r="A6124" t="str">
        <f>"27359055253"</f>
        <v>27359055253</v>
      </c>
      <c r="B6124" t="s">
        <v>930</v>
      </c>
      <c r="C6124" t="s">
        <v>27395</v>
      </c>
      <c r="D6124" t="s">
        <v>27393</v>
      </c>
      <c r="F6124" t="s">
        <v>1</v>
      </c>
      <c r="G6124" t="s">
        <v>2</v>
      </c>
      <c r="H6124" t="s">
        <v>2541</v>
      </c>
      <c r="I6124" t="s">
        <v>27394</v>
      </c>
      <c r="P6124" t="s">
        <v>330</v>
      </c>
      <c r="Y6124" t="s">
        <v>27396</v>
      </c>
    </row>
    <row r="6125" spans="1:25" x14ac:dyDescent="0.25">
      <c r="A6125" t="str">
        <f>"27385367523"</f>
        <v>27385367523</v>
      </c>
      <c r="B6125" t="s">
        <v>574</v>
      </c>
      <c r="C6125" t="s">
        <v>21805</v>
      </c>
      <c r="D6125" t="s">
        <v>27397</v>
      </c>
      <c r="E6125">
        <v>424032</v>
      </c>
      <c r="F6125" t="s">
        <v>1</v>
      </c>
      <c r="G6125" t="s">
        <v>2</v>
      </c>
      <c r="H6125" t="s">
        <v>6280</v>
      </c>
      <c r="J6125" t="s">
        <v>14653</v>
      </c>
      <c r="P6125" t="s">
        <v>216</v>
      </c>
      <c r="Y6125" t="s">
        <v>27398</v>
      </c>
    </row>
    <row r="6126" spans="1:25" x14ac:dyDescent="0.25">
      <c r="A6126" t="str">
        <f>"27386693851"</f>
        <v>27386693851</v>
      </c>
      <c r="B6126" t="s">
        <v>319</v>
      </c>
      <c r="C6126" t="s">
        <v>320</v>
      </c>
      <c r="D6126" t="s">
        <v>27399</v>
      </c>
      <c r="E6126">
        <v>424038</v>
      </c>
      <c r="F6126" t="s">
        <v>1</v>
      </c>
      <c r="G6126" t="s">
        <v>2</v>
      </c>
      <c r="H6126" t="s">
        <v>13986</v>
      </c>
      <c r="I6126" t="s">
        <v>24130</v>
      </c>
      <c r="M6126" t="s">
        <v>24131</v>
      </c>
      <c r="P6126" t="s">
        <v>2738</v>
      </c>
      <c r="Y6126" t="s">
        <v>27400</v>
      </c>
    </row>
    <row r="6127" spans="1:25" x14ac:dyDescent="0.25">
      <c r="A6127" t="str">
        <f>"27521994311"</f>
        <v>27521994311</v>
      </c>
      <c r="B6127" t="s">
        <v>530</v>
      </c>
      <c r="C6127" t="s">
        <v>23950</v>
      </c>
      <c r="D6127" t="s">
        <v>23950</v>
      </c>
      <c r="F6127" t="s">
        <v>1</v>
      </c>
      <c r="G6127" t="s">
        <v>2</v>
      </c>
      <c r="H6127" t="s">
        <v>20054</v>
      </c>
      <c r="Y6127" t="s">
        <v>27401</v>
      </c>
    </row>
    <row r="6128" spans="1:25" x14ac:dyDescent="0.25">
      <c r="A6128" t="str">
        <f>"27529655558"</f>
        <v>27529655558</v>
      </c>
      <c r="B6128" t="s">
        <v>1046</v>
      </c>
      <c r="C6128" t="s">
        <v>27404</v>
      </c>
      <c r="D6128" t="s">
        <v>27402</v>
      </c>
      <c r="F6128" t="s">
        <v>1</v>
      </c>
      <c r="G6128" t="s">
        <v>2</v>
      </c>
      <c r="H6128" t="s">
        <v>27403</v>
      </c>
      <c r="Y6128" t="s">
        <v>27405</v>
      </c>
    </row>
    <row r="6129" spans="1:25" x14ac:dyDescent="0.25">
      <c r="A6129" t="str">
        <f>"27538628635"</f>
        <v>27538628635</v>
      </c>
      <c r="B6129" t="s">
        <v>25</v>
      </c>
      <c r="C6129" t="s">
        <v>20320</v>
      </c>
      <c r="D6129" t="s">
        <v>27406</v>
      </c>
      <c r="E6129">
        <v>424037</v>
      </c>
      <c r="F6129" t="s">
        <v>1</v>
      </c>
      <c r="G6129" t="s">
        <v>2</v>
      </c>
      <c r="H6129" t="s">
        <v>9342</v>
      </c>
      <c r="Y6129" t="s">
        <v>27407</v>
      </c>
    </row>
    <row r="6130" spans="1:25" x14ac:dyDescent="0.25">
      <c r="A6130" t="str">
        <f>"27624073344"</f>
        <v>27624073344</v>
      </c>
      <c r="B6130" t="s">
        <v>574</v>
      </c>
      <c r="C6130" t="s">
        <v>646</v>
      </c>
      <c r="D6130" t="s">
        <v>27408</v>
      </c>
      <c r="E6130">
        <v>424038</v>
      </c>
      <c r="F6130" t="s">
        <v>1</v>
      </c>
      <c r="G6130" t="s">
        <v>2</v>
      </c>
      <c r="H6130" t="s">
        <v>6059</v>
      </c>
      <c r="I6130" t="s">
        <v>27409</v>
      </c>
      <c r="P6130" t="s">
        <v>1642</v>
      </c>
      <c r="Y6130" t="s">
        <v>27410</v>
      </c>
    </row>
    <row r="6131" spans="1:25" x14ac:dyDescent="0.25">
      <c r="A6131" t="str">
        <f>"27633383344"</f>
        <v>27633383344</v>
      </c>
      <c r="B6131" t="s">
        <v>18</v>
      </c>
      <c r="C6131" t="s">
        <v>2593</v>
      </c>
      <c r="D6131" t="s">
        <v>9990</v>
      </c>
      <c r="E6131">
        <v>424007</v>
      </c>
      <c r="F6131" t="s">
        <v>1</v>
      </c>
      <c r="G6131" t="s">
        <v>2</v>
      </c>
      <c r="H6131" t="s">
        <v>1566</v>
      </c>
      <c r="I6131" t="s">
        <v>27411</v>
      </c>
      <c r="P6131" t="s">
        <v>280</v>
      </c>
      <c r="Y6131" t="s">
        <v>2882</v>
      </c>
    </row>
    <row r="6132" spans="1:25" x14ac:dyDescent="0.25">
      <c r="A6132" t="str">
        <f>"27723005537"</f>
        <v>27723005537</v>
      </c>
      <c r="B6132" t="s">
        <v>117</v>
      </c>
      <c r="C6132" t="s">
        <v>6850</v>
      </c>
      <c r="D6132" t="s">
        <v>27412</v>
      </c>
      <c r="E6132">
        <v>424007</v>
      </c>
      <c r="F6132" t="s">
        <v>1</v>
      </c>
      <c r="G6132" t="s">
        <v>2</v>
      </c>
      <c r="H6132" t="s">
        <v>5647</v>
      </c>
      <c r="Y6132" t="s">
        <v>27413</v>
      </c>
    </row>
    <row r="6133" spans="1:25" x14ac:dyDescent="0.25">
      <c r="A6133" t="str">
        <f>"27803222879"</f>
        <v>27803222879</v>
      </c>
      <c r="B6133" t="s">
        <v>716</v>
      </c>
      <c r="C6133" t="s">
        <v>20421</v>
      </c>
      <c r="D6133" t="s">
        <v>27414</v>
      </c>
      <c r="F6133" t="s">
        <v>1</v>
      </c>
      <c r="G6133" t="s">
        <v>2</v>
      </c>
      <c r="H6133" t="s">
        <v>1359</v>
      </c>
      <c r="I6133" t="s">
        <v>27415</v>
      </c>
      <c r="L6133" t="s">
        <v>27416</v>
      </c>
      <c r="P6133" t="s">
        <v>330</v>
      </c>
      <c r="Q6133" t="s">
        <v>27417</v>
      </c>
      <c r="Y6133" t="s">
        <v>1364</v>
      </c>
    </row>
    <row r="6134" spans="1:25" x14ac:dyDescent="0.25">
      <c r="A6134" t="str">
        <f>"27820023507"</f>
        <v>27820023507</v>
      </c>
      <c r="B6134" t="s">
        <v>3544</v>
      </c>
      <c r="C6134" t="s">
        <v>11303</v>
      </c>
      <c r="D6134" t="s">
        <v>27418</v>
      </c>
      <c r="F6134" t="s">
        <v>1</v>
      </c>
      <c r="G6134" t="s">
        <v>2</v>
      </c>
      <c r="H6134" t="s">
        <v>7547</v>
      </c>
      <c r="Y6134" t="s">
        <v>27419</v>
      </c>
    </row>
    <row r="6135" spans="1:25" x14ac:dyDescent="0.25">
      <c r="A6135" t="str">
        <f>"27827290857"</f>
        <v>27827290857</v>
      </c>
      <c r="B6135" t="s">
        <v>3094</v>
      </c>
      <c r="C6135" t="s">
        <v>27426</v>
      </c>
      <c r="D6135" t="s">
        <v>27420</v>
      </c>
      <c r="E6135">
        <v>424008</v>
      </c>
      <c r="F6135" t="s">
        <v>1</v>
      </c>
      <c r="G6135" t="s">
        <v>2</v>
      </c>
      <c r="H6135" t="s">
        <v>27421</v>
      </c>
      <c r="I6135" t="s">
        <v>27422</v>
      </c>
      <c r="J6135" t="s">
        <v>27423</v>
      </c>
      <c r="L6135" t="s">
        <v>27424</v>
      </c>
      <c r="M6135" t="s">
        <v>27425</v>
      </c>
      <c r="P6135" t="s">
        <v>5459</v>
      </c>
      <c r="Q6135" t="s">
        <v>27427</v>
      </c>
      <c r="V6135" t="s">
        <v>27428</v>
      </c>
      <c r="Y6135" t="s">
        <v>27429</v>
      </c>
    </row>
    <row r="6136" spans="1:25" x14ac:dyDescent="0.25">
      <c r="A6136" t="str">
        <f>"27833752377"</f>
        <v>27833752377</v>
      </c>
      <c r="B6136" t="s">
        <v>1544</v>
      </c>
      <c r="C6136" t="s">
        <v>27433</v>
      </c>
      <c r="D6136" t="s">
        <v>27430</v>
      </c>
      <c r="F6136" t="s">
        <v>1</v>
      </c>
      <c r="G6136" t="s">
        <v>2</v>
      </c>
      <c r="H6136" t="s">
        <v>27431</v>
      </c>
      <c r="J6136" t="s">
        <v>27432</v>
      </c>
      <c r="P6136" t="s">
        <v>26289</v>
      </c>
      <c r="V6136" t="s">
        <v>27434</v>
      </c>
      <c r="Y6136" t="s">
        <v>27435</v>
      </c>
    </row>
    <row r="6137" spans="1:25" x14ac:dyDescent="0.25">
      <c r="A6137" t="str">
        <f>"27842359529"</f>
        <v>27842359529</v>
      </c>
      <c r="B6137" t="s">
        <v>1343</v>
      </c>
      <c r="C6137" t="s">
        <v>27437</v>
      </c>
      <c r="D6137" t="s">
        <v>27436</v>
      </c>
      <c r="E6137">
        <v>424007</v>
      </c>
      <c r="F6137" t="s">
        <v>1</v>
      </c>
      <c r="G6137" t="s">
        <v>2</v>
      </c>
      <c r="H6137" t="s">
        <v>23667</v>
      </c>
      <c r="Y6137" t="s">
        <v>27438</v>
      </c>
    </row>
    <row r="6138" spans="1:25" x14ac:dyDescent="0.25">
      <c r="A6138" t="str">
        <f>"27850318704"</f>
        <v>27850318704</v>
      </c>
      <c r="B6138" t="s">
        <v>1053</v>
      </c>
      <c r="C6138" t="s">
        <v>1927</v>
      </c>
      <c r="D6138" t="s">
        <v>27439</v>
      </c>
      <c r="E6138">
        <v>424039</v>
      </c>
      <c r="F6138" t="s">
        <v>1</v>
      </c>
      <c r="G6138" t="s">
        <v>2</v>
      </c>
      <c r="H6138" t="s">
        <v>27440</v>
      </c>
      <c r="I6138" t="s">
        <v>27441</v>
      </c>
      <c r="J6138" t="s">
        <v>27442</v>
      </c>
      <c r="P6138" t="s">
        <v>27</v>
      </c>
      <c r="Y6138" t="s">
        <v>27443</v>
      </c>
    </row>
    <row r="6139" spans="1:25" x14ac:dyDescent="0.25">
      <c r="A6139" t="str">
        <f>"27855794394"</f>
        <v>27855794394</v>
      </c>
      <c r="B6139" t="s">
        <v>10383</v>
      </c>
      <c r="C6139" t="s">
        <v>24146</v>
      </c>
      <c r="D6139" t="s">
        <v>24146</v>
      </c>
      <c r="F6139" t="s">
        <v>1</v>
      </c>
      <c r="G6139" t="s">
        <v>2</v>
      </c>
      <c r="H6139" t="s">
        <v>7547</v>
      </c>
      <c r="Y6139" t="s">
        <v>27444</v>
      </c>
    </row>
    <row r="6140" spans="1:25" x14ac:dyDescent="0.25">
      <c r="A6140" t="str">
        <f>"27878481085"</f>
        <v>27878481085</v>
      </c>
      <c r="B6140" t="s">
        <v>25</v>
      </c>
      <c r="C6140" t="s">
        <v>27449</v>
      </c>
      <c r="D6140" t="s">
        <v>27445</v>
      </c>
      <c r="E6140">
        <v>424000</v>
      </c>
      <c r="F6140" t="s">
        <v>1</v>
      </c>
      <c r="G6140" t="s">
        <v>2</v>
      </c>
      <c r="H6140" t="s">
        <v>1806</v>
      </c>
      <c r="J6140" t="s">
        <v>27446</v>
      </c>
      <c r="L6140" t="s">
        <v>27447</v>
      </c>
      <c r="M6140" t="s">
        <v>27448</v>
      </c>
      <c r="P6140" t="s">
        <v>20</v>
      </c>
      <c r="Q6140" t="s">
        <v>27450</v>
      </c>
      <c r="Y6140" t="s">
        <v>27451</v>
      </c>
    </row>
    <row r="6141" spans="1:25" x14ac:dyDescent="0.25">
      <c r="A6141" t="str">
        <f>"27879535861"</f>
        <v>27879535861</v>
      </c>
      <c r="B6141" t="s">
        <v>978</v>
      </c>
      <c r="C6141" t="s">
        <v>1659</v>
      </c>
      <c r="D6141" t="s">
        <v>27452</v>
      </c>
      <c r="E6141">
        <v>424002</v>
      </c>
      <c r="F6141" t="s">
        <v>1</v>
      </c>
      <c r="G6141" t="s">
        <v>2</v>
      </c>
      <c r="H6141" t="s">
        <v>27453</v>
      </c>
      <c r="I6141" t="s">
        <v>27454</v>
      </c>
      <c r="L6141" t="s">
        <v>27455</v>
      </c>
      <c r="M6141" t="s">
        <v>27456</v>
      </c>
      <c r="P6141" t="s">
        <v>1027</v>
      </c>
      <c r="V6141" t="s">
        <v>27457</v>
      </c>
      <c r="Y6141" t="s">
        <v>27458</v>
      </c>
    </row>
    <row r="6142" spans="1:25" x14ac:dyDescent="0.25">
      <c r="A6142" t="str">
        <f>"27889549671"</f>
        <v>27889549671</v>
      </c>
      <c r="B6142" t="s">
        <v>233</v>
      </c>
      <c r="C6142" t="s">
        <v>27461</v>
      </c>
      <c r="D6142" t="s">
        <v>27459</v>
      </c>
      <c r="E6142">
        <v>424006</v>
      </c>
      <c r="F6142" t="s">
        <v>1</v>
      </c>
      <c r="G6142" t="s">
        <v>2</v>
      </c>
      <c r="H6142" t="s">
        <v>2012</v>
      </c>
      <c r="J6142" t="s">
        <v>27460</v>
      </c>
      <c r="P6142" t="s">
        <v>4280</v>
      </c>
      <c r="Y6142" t="s">
        <v>2016</v>
      </c>
    </row>
    <row r="6143" spans="1:25" x14ac:dyDescent="0.25">
      <c r="A6143" t="str">
        <f>"27911561802"</f>
        <v>27911561802</v>
      </c>
      <c r="B6143" t="s">
        <v>67</v>
      </c>
      <c r="C6143" t="s">
        <v>27252</v>
      </c>
      <c r="D6143" t="s">
        <v>10280</v>
      </c>
      <c r="E6143">
        <v>424003</v>
      </c>
      <c r="F6143" t="s">
        <v>1</v>
      </c>
      <c r="G6143" t="s">
        <v>2</v>
      </c>
      <c r="H6143" t="s">
        <v>562</v>
      </c>
      <c r="Y6143" t="s">
        <v>27462</v>
      </c>
    </row>
    <row r="6144" spans="1:25" x14ac:dyDescent="0.25">
      <c r="A6144" t="str">
        <f>"27947357921"</f>
        <v>27947357921</v>
      </c>
      <c r="B6144" t="s">
        <v>348</v>
      </c>
      <c r="C6144" t="s">
        <v>4366</v>
      </c>
      <c r="D6144" t="s">
        <v>27463</v>
      </c>
      <c r="F6144" t="s">
        <v>1</v>
      </c>
      <c r="G6144" t="s">
        <v>2</v>
      </c>
      <c r="H6144" t="s">
        <v>138</v>
      </c>
      <c r="I6144" t="s">
        <v>27464</v>
      </c>
      <c r="J6144" t="s">
        <v>27465</v>
      </c>
      <c r="P6144" t="s">
        <v>144</v>
      </c>
      <c r="Y6144" t="s">
        <v>146</v>
      </c>
    </row>
    <row r="6145" spans="1:25" x14ac:dyDescent="0.25">
      <c r="A6145" t="str">
        <f>"27950790817"</f>
        <v>27950790817</v>
      </c>
      <c r="B6145" t="s">
        <v>574</v>
      </c>
      <c r="C6145" t="s">
        <v>952</v>
      </c>
      <c r="D6145" t="s">
        <v>25486</v>
      </c>
      <c r="E6145">
        <v>424006</v>
      </c>
      <c r="F6145" t="s">
        <v>1</v>
      </c>
      <c r="G6145" t="s">
        <v>2</v>
      </c>
      <c r="H6145" t="s">
        <v>692</v>
      </c>
      <c r="I6145" t="s">
        <v>27466</v>
      </c>
      <c r="L6145" t="s">
        <v>18047</v>
      </c>
      <c r="M6145" t="s">
        <v>18048</v>
      </c>
      <c r="P6145" t="s">
        <v>216</v>
      </c>
      <c r="Y6145" t="s">
        <v>27467</v>
      </c>
    </row>
    <row r="6146" spans="1:25" x14ac:dyDescent="0.25">
      <c r="A6146" t="str">
        <f>"27963773684"</f>
        <v>27963773684</v>
      </c>
      <c r="B6146" t="s">
        <v>348</v>
      </c>
      <c r="C6146" t="s">
        <v>4366</v>
      </c>
      <c r="D6146" t="s">
        <v>27468</v>
      </c>
      <c r="E6146">
        <v>424033</v>
      </c>
      <c r="F6146" t="s">
        <v>1</v>
      </c>
      <c r="G6146" t="s">
        <v>2</v>
      </c>
      <c r="H6146" t="s">
        <v>2597</v>
      </c>
      <c r="I6146" t="s">
        <v>27469</v>
      </c>
      <c r="P6146" t="s">
        <v>144</v>
      </c>
      <c r="Y6146" t="s">
        <v>27470</v>
      </c>
    </row>
    <row r="6147" spans="1:25" x14ac:dyDescent="0.25">
      <c r="A6147" t="str">
        <f>"27983183053"</f>
        <v>27983183053</v>
      </c>
      <c r="B6147" t="s">
        <v>888</v>
      </c>
      <c r="C6147" t="s">
        <v>27472</v>
      </c>
      <c r="D6147" t="s">
        <v>27471</v>
      </c>
      <c r="E6147">
        <v>424037</v>
      </c>
      <c r="F6147" t="s">
        <v>1</v>
      </c>
      <c r="G6147" t="s">
        <v>2</v>
      </c>
      <c r="H6147" t="s">
        <v>315</v>
      </c>
      <c r="Y6147" t="s">
        <v>7715</v>
      </c>
    </row>
    <row r="6148" spans="1:25" x14ac:dyDescent="0.25">
      <c r="A6148" t="str">
        <f>"28011989072"</f>
        <v>28011989072</v>
      </c>
      <c r="B6148" t="s">
        <v>379</v>
      </c>
      <c r="C6148" t="s">
        <v>4852</v>
      </c>
      <c r="D6148" t="s">
        <v>4852</v>
      </c>
      <c r="E6148">
        <v>424006</v>
      </c>
      <c r="F6148" t="s">
        <v>1</v>
      </c>
      <c r="G6148" t="s">
        <v>2</v>
      </c>
      <c r="H6148" t="s">
        <v>4541</v>
      </c>
      <c r="P6148" t="s">
        <v>1027</v>
      </c>
      <c r="Y6148" t="s">
        <v>27473</v>
      </c>
    </row>
    <row r="6149" spans="1:25" x14ac:dyDescent="0.25">
      <c r="A6149" t="str">
        <f>"28034443172"</f>
        <v>28034443172</v>
      </c>
      <c r="B6149" t="s">
        <v>96</v>
      </c>
      <c r="C6149" t="s">
        <v>893</v>
      </c>
      <c r="D6149" t="s">
        <v>27474</v>
      </c>
      <c r="E6149">
        <v>424918</v>
      </c>
      <c r="F6149" t="s">
        <v>1</v>
      </c>
      <c r="G6149" t="s">
        <v>2</v>
      </c>
      <c r="H6149" t="s">
        <v>629</v>
      </c>
      <c r="I6149" t="s">
        <v>20946</v>
      </c>
      <c r="P6149" t="s">
        <v>630</v>
      </c>
      <c r="Y6149" t="s">
        <v>1744</v>
      </c>
    </row>
    <row r="6150" spans="1:25" x14ac:dyDescent="0.25">
      <c r="A6150" t="str">
        <f>"28046124058"</f>
        <v>28046124058</v>
      </c>
      <c r="B6150" t="s">
        <v>88</v>
      </c>
      <c r="C6150" t="s">
        <v>6066</v>
      </c>
      <c r="D6150" t="s">
        <v>27475</v>
      </c>
      <c r="F6150" t="s">
        <v>1</v>
      </c>
      <c r="G6150" t="s">
        <v>2</v>
      </c>
      <c r="H6150" t="s">
        <v>3430</v>
      </c>
      <c r="J6150" t="s">
        <v>27476</v>
      </c>
      <c r="P6150" t="s">
        <v>280</v>
      </c>
      <c r="Q6150" t="s">
        <v>27477</v>
      </c>
      <c r="V6150" t="s">
        <v>27478</v>
      </c>
      <c r="Y6150" t="s">
        <v>27479</v>
      </c>
    </row>
    <row r="6151" spans="1:25" x14ac:dyDescent="0.25">
      <c r="A6151" t="str">
        <f>"28051873838"</f>
        <v>28051873838</v>
      </c>
      <c r="B6151" t="s">
        <v>18</v>
      </c>
      <c r="C6151" t="s">
        <v>143</v>
      </c>
      <c r="D6151" t="s">
        <v>27480</v>
      </c>
      <c r="F6151" t="s">
        <v>1</v>
      </c>
      <c r="G6151" t="s">
        <v>2</v>
      </c>
      <c r="H6151" t="s">
        <v>138</v>
      </c>
      <c r="I6151" t="s">
        <v>27481</v>
      </c>
      <c r="P6151" t="s">
        <v>144</v>
      </c>
      <c r="Q6151" t="s">
        <v>27482</v>
      </c>
      <c r="V6151" t="s">
        <v>27483</v>
      </c>
      <c r="Y6151" t="s">
        <v>146</v>
      </c>
    </row>
    <row r="6152" spans="1:25" x14ac:dyDescent="0.25">
      <c r="A6152" t="str">
        <f>"28056415879"</f>
        <v>28056415879</v>
      </c>
      <c r="B6152" t="s">
        <v>930</v>
      </c>
      <c r="C6152" t="s">
        <v>27485</v>
      </c>
      <c r="D6152" t="s">
        <v>23105</v>
      </c>
      <c r="E6152">
        <v>424004</v>
      </c>
      <c r="F6152" t="s">
        <v>1</v>
      </c>
      <c r="G6152" t="s">
        <v>2</v>
      </c>
      <c r="H6152" t="s">
        <v>15365</v>
      </c>
      <c r="I6152" t="s">
        <v>27484</v>
      </c>
      <c r="L6152" t="s">
        <v>7226</v>
      </c>
      <c r="M6152" t="s">
        <v>7227</v>
      </c>
      <c r="P6152" t="s">
        <v>22843</v>
      </c>
      <c r="Y6152" t="s">
        <v>27486</v>
      </c>
    </row>
    <row r="6153" spans="1:25" x14ac:dyDescent="0.25">
      <c r="A6153" t="str">
        <f>"28060908347"</f>
        <v>28060908347</v>
      </c>
      <c r="B6153" t="s">
        <v>18</v>
      </c>
      <c r="C6153" t="s">
        <v>27490</v>
      </c>
      <c r="D6153" t="s">
        <v>13260</v>
      </c>
      <c r="E6153">
        <v>424020</v>
      </c>
      <c r="F6153" t="s">
        <v>1</v>
      </c>
      <c r="G6153" t="s">
        <v>2</v>
      </c>
      <c r="H6153" t="s">
        <v>8643</v>
      </c>
      <c r="J6153" t="s">
        <v>27487</v>
      </c>
      <c r="L6153" t="s">
        <v>27488</v>
      </c>
      <c r="M6153" t="s">
        <v>27489</v>
      </c>
      <c r="P6153" t="s">
        <v>1464</v>
      </c>
      <c r="Q6153" t="s">
        <v>27491</v>
      </c>
      <c r="V6153" t="s">
        <v>27492</v>
      </c>
      <c r="Y6153" t="s">
        <v>27493</v>
      </c>
    </row>
    <row r="6154" spans="1:25" x14ac:dyDescent="0.25">
      <c r="A6154" t="str">
        <f>"28064908568"</f>
        <v>28064908568</v>
      </c>
      <c r="B6154" t="s">
        <v>1604</v>
      </c>
      <c r="C6154" t="s">
        <v>27496</v>
      </c>
      <c r="D6154" t="s">
        <v>27494</v>
      </c>
      <c r="E6154">
        <v>424036</v>
      </c>
      <c r="F6154" t="s">
        <v>1</v>
      </c>
      <c r="G6154" t="s">
        <v>2</v>
      </c>
      <c r="H6154" t="s">
        <v>7812</v>
      </c>
      <c r="I6154" t="s">
        <v>27495</v>
      </c>
      <c r="P6154" t="s">
        <v>16164</v>
      </c>
      <c r="Y6154" t="s">
        <v>27497</v>
      </c>
    </row>
    <row r="6155" spans="1:25" x14ac:dyDescent="0.25">
      <c r="A6155" t="str">
        <f>"28156243041"</f>
        <v>28156243041</v>
      </c>
      <c r="B6155" t="s">
        <v>379</v>
      </c>
      <c r="C6155" t="s">
        <v>27504</v>
      </c>
      <c r="D6155" t="s">
        <v>27498</v>
      </c>
      <c r="F6155" t="s">
        <v>1</v>
      </c>
      <c r="G6155" t="s">
        <v>2</v>
      </c>
      <c r="H6155" t="s">
        <v>27499</v>
      </c>
      <c r="I6155" t="s">
        <v>27500</v>
      </c>
      <c r="K6155" t="s">
        <v>27501</v>
      </c>
      <c r="L6155" t="s">
        <v>27502</v>
      </c>
      <c r="M6155" t="s">
        <v>27503</v>
      </c>
      <c r="P6155" t="s">
        <v>9</v>
      </c>
      <c r="Q6155" t="s">
        <v>27505</v>
      </c>
      <c r="T6155" t="s">
        <v>27506</v>
      </c>
      <c r="Y6155" t="s">
        <v>27507</v>
      </c>
    </row>
    <row r="6156" spans="1:25" x14ac:dyDescent="0.25">
      <c r="A6156" t="str">
        <f>"28177609995"</f>
        <v>28177609995</v>
      </c>
      <c r="B6156" t="s">
        <v>96</v>
      </c>
      <c r="C6156" t="s">
        <v>893</v>
      </c>
      <c r="D6156" t="s">
        <v>27508</v>
      </c>
      <c r="E6156">
        <v>424000</v>
      </c>
      <c r="F6156" t="s">
        <v>1</v>
      </c>
      <c r="G6156" t="s">
        <v>2</v>
      </c>
      <c r="H6156" t="s">
        <v>1473</v>
      </c>
      <c r="J6156" t="s">
        <v>27509</v>
      </c>
      <c r="P6156" t="s">
        <v>941</v>
      </c>
      <c r="Y6156" t="s">
        <v>4067</v>
      </c>
    </row>
    <row r="6157" spans="1:25" x14ac:dyDescent="0.25">
      <c r="A6157" t="str">
        <f>"28184803817"</f>
        <v>28184803817</v>
      </c>
      <c r="B6157" t="s">
        <v>328</v>
      </c>
      <c r="C6157" t="s">
        <v>1920</v>
      </c>
      <c r="D6157" t="s">
        <v>27510</v>
      </c>
      <c r="E6157">
        <v>424003</v>
      </c>
      <c r="F6157" t="s">
        <v>1</v>
      </c>
      <c r="G6157" t="s">
        <v>2</v>
      </c>
      <c r="H6157" t="s">
        <v>645</v>
      </c>
      <c r="Y6157" t="s">
        <v>27511</v>
      </c>
    </row>
    <row r="6158" spans="1:25" x14ac:dyDescent="0.25">
      <c r="A6158" t="str">
        <f>"28216617979"</f>
        <v>28216617979</v>
      </c>
      <c r="B6158" t="s">
        <v>18</v>
      </c>
      <c r="C6158" t="s">
        <v>27515</v>
      </c>
      <c r="D6158" t="s">
        <v>27512</v>
      </c>
      <c r="E6158">
        <v>424003</v>
      </c>
      <c r="F6158" t="s">
        <v>1</v>
      </c>
      <c r="G6158" t="s">
        <v>2</v>
      </c>
      <c r="H6158" t="s">
        <v>15073</v>
      </c>
      <c r="I6158" t="s">
        <v>27513</v>
      </c>
      <c r="J6158" t="s">
        <v>27514</v>
      </c>
      <c r="P6158" t="s">
        <v>2457</v>
      </c>
      <c r="Q6158" t="s">
        <v>27516</v>
      </c>
      <c r="Y6158" t="s">
        <v>27517</v>
      </c>
    </row>
    <row r="6159" spans="1:25" x14ac:dyDescent="0.25">
      <c r="A6159" t="str">
        <f>"28217982789"</f>
        <v>28217982789</v>
      </c>
      <c r="B6159" t="s">
        <v>176</v>
      </c>
      <c r="C6159" t="s">
        <v>177</v>
      </c>
      <c r="D6159" t="s">
        <v>27518</v>
      </c>
      <c r="F6159" t="s">
        <v>1</v>
      </c>
      <c r="G6159" t="s">
        <v>2</v>
      </c>
      <c r="H6159" t="s">
        <v>27519</v>
      </c>
      <c r="J6159" t="s">
        <v>27520</v>
      </c>
      <c r="Y6159" t="s">
        <v>27521</v>
      </c>
    </row>
    <row r="6160" spans="1:25" x14ac:dyDescent="0.25">
      <c r="A6160" t="str">
        <f>"28222691372"</f>
        <v>28222691372</v>
      </c>
      <c r="B6160" t="s">
        <v>1573</v>
      </c>
      <c r="C6160" t="s">
        <v>11913</v>
      </c>
      <c r="D6160" t="s">
        <v>27522</v>
      </c>
      <c r="E6160">
        <v>424038</v>
      </c>
      <c r="F6160" t="s">
        <v>1</v>
      </c>
      <c r="G6160" t="s">
        <v>2</v>
      </c>
      <c r="H6160" t="s">
        <v>16183</v>
      </c>
      <c r="Y6160" t="s">
        <v>27523</v>
      </c>
    </row>
    <row r="6161" spans="1:25" x14ac:dyDescent="0.25">
      <c r="A6161" t="str">
        <f>"28263042951"</f>
        <v>28263042951</v>
      </c>
      <c r="B6161" t="s">
        <v>25</v>
      </c>
      <c r="C6161" t="s">
        <v>27525</v>
      </c>
      <c r="D6161" t="s">
        <v>59</v>
      </c>
      <c r="E6161">
        <v>424000</v>
      </c>
      <c r="F6161" t="s">
        <v>1</v>
      </c>
      <c r="G6161" t="s">
        <v>2</v>
      </c>
      <c r="H6161" t="s">
        <v>2193</v>
      </c>
      <c r="J6161" t="s">
        <v>27524</v>
      </c>
      <c r="P6161" t="s">
        <v>27526</v>
      </c>
      <c r="Y6161" t="s">
        <v>2196</v>
      </c>
    </row>
    <row r="6162" spans="1:25" x14ac:dyDescent="0.25">
      <c r="A6162" t="str">
        <f>"28316767972"</f>
        <v>28316767972</v>
      </c>
      <c r="B6162" t="s">
        <v>96</v>
      </c>
      <c r="C6162" t="s">
        <v>695</v>
      </c>
      <c r="D6162" t="s">
        <v>12083</v>
      </c>
      <c r="E6162">
        <v>424028</v>
      </c>
      <c r="F6162" t="s">
        <v>1</v>
      </c>
      <c r="G6162" t="s">
        <v>2</v>
      </c>
      <c r="H6162" t="s">
        <v>18467</v>
      </c>
      <c r="Y6162" t="s">
        <v>18470</v>
      </c>
    </row>
    <row r="6163" spans="1:25" x14ac:dyDescent="0.25">
      <c r="A6163" t="str">
        <f>"28323287333"</f>
        <v>28323287333</v>
      </c>
      <c r="B6163" t="s">
        <v>553</v>
      </c>
      <c r="C6163" t="s">
        <v>554</v>
      </c>
      <c r="D6163" t="s">
        <v>27527</v>
      </c>
      <c r="E6163">
        <v>424030</v>
      </c>
      <c r="F6163" t="s">
        <v>1</v>
      </c>
      <c r="G6163" t="s">
        <v>2</v>
      </c>
      <c r="H6163" t="s">
        <v>27528</v>
      </c>
      <c r="I6163" t="s">
        <v>27529</v>
      </c>
      <c r="P6163" t="s">
        <v>152</v>
      </c>
      <c r="Y6163" t="s">
        <v>27530</v>
      </c>
    </row>
    <row r="6164" spans="1:25" x14ac:dyDescent="0.25">
      <c r="A6164" t="str">
        <f>"28324849827"</f>
        <v>28324849827</v>
      </c>
      <c r="B6164" t="s">
        <v>397</v>
      </c>
      <c r="C6164" t="s">
        <v>5148</v>
      </c>
      <c r="D6164" t="s">
        <v>27531</v>
      </c>
      <c r="E6164">
        <v>424006</v>
      </c>
      <c r="F6164" t="s">
        <v>1</v>
      </c>
      <c r="G6164" t="s">
        <v>2</v>
      </c>
      <c r="H6164" t="s">
        <v>25451</v>
      </c>
      <c r="I6164" t="s">
        <v>25452</v>
      </c>
      <c r="J6164" t="s">
        <v>27532</v>
      </c>
      <c r="L6164" t="s">
        <v>27533</v>
      </c>
      <c r="M6164" t="s">
        <v>27534</v>
      </c>
      <c r="Y6164" t="s">
        <v>27535</v>
      </c>
    </row>
    <row r="6165" spans="1:25" x14ac:dyDescent="0.25">
      <c r="A6165" t="str">
        <f>"28352851902"</f>
        <v>28352851902</v>
      </c>
      <c r="B6165" t="s">
        <v>530</v>
      </c>
      <c r="C6165" t="s">
        <v>23950</v>
      </c>
      <c r="D6165" t="s">
        <v>23950</v>
      </c>
      <c r="E6165">
        <v>424019</v>
      </c>
      <c r="F6165" t="s">
        <v>1</v>
      </c>
      <c r="G6165" t="s">
        <v>2</v>
      </c>
      <c r="H6165" t="s">
        <v>27536</v>
      </c>
      <c r="Y6165" t="s">
        <v>27537</v>
      </c>
    </row>
    <row r="6166" spans="1:25" x14ac:dyDescent="0.25">
      <c r="A6166" t="str">
        <f>"28360741664"</f>
        <v>28360741664</v>
      </c>
      <c r="B6166" t="s">
        <v>32</v>
      </c>
      <c r="C6166" t="s">
        <v>40</v>
      </c>
      <c r="D6166" t="s">
        <v>40</v>
      </c>
      <c r="E6166">
        <v>424038</v>
      </c>
      <c r="F6166" t="s">
        <v>1</v>
      </c>
      <c r="G6166" t="s">
        <v>2</v>
      </c>
      <c r="H6166" t="s">
        <v>10766</v>
      </c>
      <c r="Y6166" t="s">
        <v>27538</v>
      </c>
    </row>
    <row r="6167" spans="1:25" x14ac:dyDescent="0.25">
      <c r="A6167" t="str">
        <f>"28371740406"</f>
        <v>28371740406</v>
      </c>
      <c r="B6167" t="s">
        <v>530</v>
      </c>
      <c r="C6167" t="s">
        <v>23950</v>
      </c>
      <c r="D6167" t="s">
        <v>23950</v>
      </c>
      <c r="E6167">
        <v>424000</v>
      </c>
      <c r="F6167" t="s">
        <v>1</v>
      </c>
      <c r="G6167" t="s">
        <v>2</v>
      </c>
      <c r="H6167" t="s">
        <v>4021</v>
      </c>
      <c r="Y6167" t="s">
        <v>27539</v>
      </c>
    </row>
    <row r="6168" spans="1:25" x14ac:dyDescent="0.25">
      <c r="A6168" t="str">
        <f>"28381225278"</f>
        <v>28381225278</v>
      </c>
      <c r="B6168" t="s">
        <v>18</v>
      </c>
      <c r="C6168" t="s">
        <v>27544</v>
      </c>
      <c r="D6168" t="s">
        <v>27540</v>
      </c>
      <c r="E6168">
        <v>424006</v>
      </c>
      <c r="F6168" t="s">
        <v>1</v>
      </c>
      <c r="G6168" t="s">
        <v>2</v>
      </c>
      <c r="H6168" t="s">
        <v>27541</v>
      </c>
      <c r="L6168" t="s">
        <v>27542</v>
      </c>
      <c r="M6168" t="s">
        <v>27543</v>
      </c>
      <c r="Y6168" t="s">
        <v>13598</v>
      </c>
    </row>
    <row r="6169" spans="1:25" x14ac:dyDescent="0.25">
      <c r="A6169" t="str">
        <f>"28395008705"</f>
        <v>28395008705</v>
      </c>
      <c r="B6169" t="s">
        <v>176</v>
      </c>
      <c r="C6169" t="s">
        <v>27547</v>
      </c>
      <c r="D6169" t="s">
        <v>27545</v>
      </c>
      <c r="E6169">
        <v>424039</v>
      </c>
      <c r="F6169" t="s">
        <v>1</v>
      </c>
      <c r="G6169" t="s">
        <v>2</v>
      </c>
      <c r="H6169" t="s">
        <v>27546</v>
      </c>
      <c r="Y6169" t="s">
        <v>27548</v>
      </c>
    </row>
    <row r="6170" spans="1:25" x14ac:dyDescent="0.25">
      <c r="A6170" t="str">
        <f>"28412576118"</f>
        <v>28412576118</v>
      </c>
      <c r="B6170" t="s">
        <v>574</v>
      </c>
      <c r="C6170" t="s">
        <v>646</v>
      </c>
      <c r="D6170" t="s">
        <v>24115</v>
      </c>
      <c r="E6170">
        <v>424020</v>
      </c>
      <c r="F6170" t="s">
        <v>1</v>
      </c>
      <c r="G6170" t="s">
        <v>2</v>
      </c>
      <c r="H6170" t="s">
        <v>27549</v>
      </c>
      <c r="Y6170" t="s">
        <v>27550</v>
      </c>
    </row>
    <row r="6171" spans="1:25" x14ac:dyDescent="0.25">
      <c r="A6171" t="str">
        <f>"28426674213"</f>
        <v>28426674213</v>
      </c>
      <c r="B6171" t="s">
        <v>176</v>
      </c>
      <c r="C6171" t="s">
        <v>20914</v>
      </c>
      <c r="D6171" t="s">
        <v>27551</v>
      </c>
      <c r="E6171">
        <v>424038</v>
      </c>
      <c r="F6171" t="s">
        <v>1</v>
      </c>
      <c r="G6171" t="s">
        <v>2</v>
      </c>
      <c r="H6171" t="s">
        <v>7597</v>
      </c>
      <c r="I6171" t="s">
        <v>27552</v>
      </c>
      <c r="L6171" t="s">
        <v>27553</v>
      </c>
      <c r="M6171" t="s">
        <v>27554</v>
      </c>
      <c r="P6171" t="s">
        <v>1642</v>
      </c>
      <c r="Q6171" t="s">
        <v>27555</v>
      </c>
      <c r="T6171" t="s">
        <v>27556</v>
      </c>
      <c r="V6171" t="s">
        <v>27557</v>
      </c>
      <c r="Y6171" t="s">
        <v>27558</v>
      </c>
    </row>
    <row r="6172" spans="1:25" x14ac:dyDescent="0.25">
      <c r="A6172" t="str">
        <f>"28496075662"</f>
        <v>28496075662</v>
      </c>
      <c r="B6172" t="s">
        <v>930</v>
      </c>
      <c r="C6172" t="s">
        <v>927</v>
      </c>
      <c r="D6172" t="s">
        <v>927</v>
      </c>
      <c r="F6172" t="s">
        <v>1</v>
      </c>
      <c r="G6172" t="s">
        <v>2</v>
      </c>
      <c r="H6172" t="s">
        <v>1428</v>
      </c>
      <c r="P6172" t="s">
        <v>1433</v>
      </c>
      <c r="Y6172" t="s">
        <v>27559</v>
      </c>
    </row>
    <row r="6173" spans="1:25" x14ac:dyDescent="0.25">
      <c r="A6173" t="str">
        <f>"28502416517"</f>
        <v>28502416517</v>
      </c>
      <c r="B6173" t="s">
        <v>2846</v>
      </c>
      <c r="C6173" t="s">
        <v>27562</v>
      </c>
      <c r="D6173" t="s">
        <v>27560</v>
      </c>
      <c r="E6173">
        <v>424028</v>
      </c>
      <c r="F6173" t="s">
        <v>1</v>
      </c>
      <c r="G6173" t="s">
        <v>2</v>
      </c>
      <c r="H6173" t="s">
        <v>23258</v>
      </c>
      <c r="I6173" t="s">
        <v>27561</v>
      </c>
      <c r="P6173" t="s">
        <v>27563</v>
      </c>
      <c r="Q6173" t="s">
        <v>27564</v>
      </c>
      <c r="Y6173" t="s">
        <v>27565</v>
      </c>
    </row>
    <row r="6174" spans="1:25" x14ac:dyDescent="0.25">
      <c r="A6174" t="str">
        <f>"28543745820"</f>
        <v>28543745820</v>
      </c>
      <c r="B6174" t="s">
        <v>1152</v>
      </c>
      <c r="C6174" t="s">
        <v>1153</v>
      </c>
      <c r="D6174" t="s">
        <v>10280</v>
      </c>
      <c r="E6174">
        <v>424033</v>
      </c>
      <c r="F6174" t="s">
        <v>1</v>
      </c>
      <c r="G6174" t="s">
        <v>2</v>
      </c>
      <c r="H6174" t="s">
        <v>10720</v>
      </c>
      <c r="Y6174" t="s">
        <v>27566</v>
      </c>
    </row>
    <row r="6175" spans="1:25" x14ac:dyDescent="0.25">
      <c r="A6175" t="str">
        <f>"28589443827"</f>
        <v>28589443827</v>
      </c>
      <c r="B6175" t="s">
        <v>530</v>
      </c>
      <c r="C6175" t="s">
        <v>23950</v>
      </c>
      <c r="D6175" t="s">
        <v>23950</v>
      </c>
      <c r="F6175" t="s">
        <v>1</v>
      </c>
      <c r="G6175" t="s">
        <v>2</v>
      </c>
      <c r="H6175" t="s">
        <v>27567</v>
      </c>
      <c r="Y6175" t="s">
        <v>27568</v>
      </c>
    </row>
    <row r="6176" spans="1:25" x14ac:dyDescent="0.25">
      <c r="A6176" t="str">
        <f>"28645973374"</f>
        <v>28645973374</v>
      </c>
      <c r="B6176" t="s">
        <v>88</v>
      </c>
      <c r="C6176" t="s">
        <v>27570</v>
      </c>
      <c r="D6176" t="s">
        <v>27569</v>
      </c>
      <c r="E6176">
        <v>424000</v>
      </c>
      <c r="F6176" t="s">
        <v>1</v>
      </c>
      <c r="G6176" t="s">
        <v>2</v>
      </c>
      <c r="H6176" t="s">
        <v>3421</v>
      </c>
      <c r="Y6176" t="s">
        <v>3425</v>
      </c>
    </row>
    <row r="6177" spans="1:25" x14ac:dyDescent="0.25">
      <c r="A6177" t="str">
        <f>"28669808064"</f>
        <v>28669808064</v>
      </c>
      <c r="B6177" t="s">
        <v>1053</v>
      </c>
      <c r="C6177" t="s">
        <v>1927</v>
      </c>
      <c r="D6177" t="s">
        <v>27571</v>
      </c>
      <c r="E6177">
        <v>424031</v>
      </c>
      <c r="F6177" t="s">
        <v>1</v>
      </c>
      <c r="G6177" t="s">
        <v>2</v>
      </c>
      <c r="H6177" t="s">
        <v>27275</v>
      </c>
      <c r="Y6177" t="s">
        <v>27572</v>
      </c>
    </row>
    <row r="6178" spans="1:25" x14ac:dyDescent="0.25">
      <c r="A6178" t="str">
        <f>"28689988800"</f>
        <v>28689988800</v>
      </c>
      <c r="B6178" t="s">
        <v>519</v>
      </c>
      <c r="C6178" t="s">
        <v>19269</v>
      </c>
      <c r="D6178" t="s">
        <v>27573</v>
      </c>
      <c r="E6178">
        <v>424019</v>
      </c>
      <c r="F6178" t="s">
        <v>1</v>
      </c>
      <c r="G6178" t="s">
        <v>2</v>
      </c>
      <c r="H6178" t="s">
        <v>19290</v>
      </c>
      <c r="I6178" t="s">
        <v>27574</v>
      </c>
      <c r="P6178" t="s">
        <v>1404</v>
      </c>
      <c r="Q6178" t="s">
        <v>27575</v>
      </c>
      <c r="V6178" t="s">
        <v>27576</v>
      </c>
      <c r="Y6178" t="s">
        <v>27577</v>
      </c>
    </row>
    <row r="6179" spans="1:25" x14ac:dyDescent="0.25">
      <c r="A6179" t="str">
        <f>"28696184294"</f>
        <v>28696184294</v>
      </c>
      <c r="B6179" t="s">
        <v>176</v>
      </c>
      <c r="C6179" t="s">
        <v>250</v>
      </c>
      <c r="D6179" t="s">
        <v>27578</v>
      </c>
      <c r="E6179">
        <v>424020</v>
      </c>
      <c r="F6179" t="s">
        <v>1</v>
      </c>
      <c r="G6179" t="s">
        <v>2</v>
      </c>
      <c r="H6179" t="s">
        <v>8643</v>
      </c>
      <c r="I6179" t="s">
        <v>27579</v>
      </c>
      <c r="J6179" t="s">
        <v>27580</v>
      </c>
      <c r="P6179" t="s">
        <v>18275</v>
      </c>
      <c r="Y6179" t="s">
        <v>27581</v>
      </c>
    </row>
    <row r="6180" spans="1:25" x14ac:dyDescent="0.25">
      <c r="A6180" t="str">
        <f>"28701667276"</f>
        <v>28701667276</v>
      </c>
      <c r="B6180" t="s">
        <v>1152</v>
      </c>
      <c r="C6180" t="s">
        <v>8449</v>
      </c>
      <c r="D6180" t="s">
        <v>8449</v>
      </c>
      <c r="E6180">
        <v>424038</v>
      </c>
      <c r="F6180" t="s">
        <v>1</v>
      </c>
      <c r="G6180" t="s">
        <v>2</v>
      </c>
      <c r="H6180" t="s">
        <v>7518</v>
      </c>
      <c r="Y6180" t="s">
        <v>27582</v>
      </c>
    </row>
    <row r="6181" spans="1:25" x14ac:dyDescent="0.25">
      <c r="A6181" t="str">
        <f>"28746909119"</f>
        <v>28746909119</v>
      </c>
      <c r="B6181" t="s">
        <v>574</v>
      </c>
      <c r="C6181" t="s">
        <v>646</v>
      </c>
      <c r="D6181" t="s">
        <v>4221</v>
      </c>
      <c r="E6181">
        <v>424032</v>
      </c>
      <c r="F6181" t="s">
        <v>1</v>
      </c>
      <c r="G6181" t="s">
        <v>2</v>
      </c>
      <c r="H6181" t="s">
        <v>7410</v>
      </c>
      <c r="P6181" t="s">
        <v>1505</v>
      </c>
      <c r="Y6181" t="s">
        <v>27583</v>
      </c>
    </row>
    <row r="6182" spans="1:25" x14ac:dyDescent="0.25">
      <c r="A6182" t="str">
        <f>"28758219485"</f>
        <v>28758219485</v>
      </c>
      <c r="B6182" t="s">
        <v>1053</v>
      </c>
      <c r="C6182" t="s">
        <v>27588</v>
      </c>
      <c r="D6182" t="s">
        <v>27584</v>
      </c>
      <c r="E6182">
        <v>424007</v>
      </c>
      <c r="F6182" t="s">
        <v>1</v>
      </c>
      <c r="G6182" t="s">
        <v>2</v>
      </c>
      <c r="H6182" t="s">
        <v>3476</v>
      </c>
      <c r="I6182" t="s">
        <v>27585</v>
      </c>
      <c r="L6182" t="s">
        <v>27586</v>
      </c>
      <c r="M6182" t="s">
        <v>27587</v>
      </c>
      <c r="P6182" t="s">
        <v>20</v>
      </c>
      <c r="Y6182" t="s">
        <v>20214</v>
      </c>
    </row>
    <row r="6183" spans="1:25" x14ac:dyDescent="0.25">
      <c r="A6183" t="str">
        <f>"28765008524"</f>
        <v>28765008524</v>
      </c>
      <c r="B6183" t="s">
        <v>553</v>
      </c>
      <c r="C6183" t="s">
        <v>1534</v>
      </c>
      <c r="D6183" t="s">
        <v>27589</v>
      </c>
      <c r="E6183">
        <v>424032</v>
      </c>
      <c r="F6183" t="s">
        <v>1</v>
      </c>
      <c r="G6183" t="s">
        <v>2</v>
      </c>
      <c r="H6183" t="s">
        <v>4910</v>
      </c>
      <c r="I6183" t="s">
        <v>27590</v>
      </c>
      <c r="P6183" t="s">
        <v>799</v>
      </c>
      <c r="Y6183" t="s">
        <v>22061</v>
      </c>
    </row>
    <row r="6184" spans="1:25" x14ac:dyDescent="0.25">
      <c r="A6184" t="str">
        <f>"28804346477"</f>
        <v>28804346477</v>
      </c>
      <c r="B6184" t="s">
        <v>96</v>
      </c>
      <c r="C6184" t="s">
        <v>893</v>
      </c>
      <c r="D6184" t="s">
        <v>27591</v>
      </c>
      <c r="E6184">
        <v>424019</v>
      </c>
      <c r="F6184" t="s">
        <v>1</v>
      </c>
      <c r="G6184" t="s">
        <v>2</v>
      </c>
      <c r="H6184" t="s">
        <v>7785</v>
      </c>
      <c r="P6184" t="s">
        <v>98</v>
      </c>
      <c r="Y6184" t="s">
        <v>27592</v>
      </c>
    </row>
    <row r="6185" spans="1:25" x14ac:dyDescent="0.25">
      <c r="A6185" t="str">
        <f>"28814065194"</f>
        <v>28814065194</v>
      </c>
      <c r="B6185" t="s">
        <v>18</v>
      </c>
      <c r="C6185" t="s">
        <v>143</v>
      </c>
      <c r="D6185" t="s">
        <v>27593</v>
      </c>
      <c r="E6185">
        <v>424032</v>
      </c>
      <c r="F6185" t="s">
        <v>1</v>
      </c>
      <c r="G6185" t="s">
        <v>2</v>
      </c>
      <c r="H6185" t="s">
        <v>2972</v>
      </c>
      <c r="I6185" t="s">
        <v>27594</v>
      </c>
      <c r="P6185" t="s">
        <v>280</v>
      </c>
      <c r="Y6185" t="s">
        <v>2975</v>
      </c>
    </row>
    <row r="6186" spans="1:25" x14ac:dyDescent="0.25">
      <c r="A6186" t="str">
        <f>"28824613141"</f>
        <v>28824613141</v>
      </c>
      <c r="B6186" t="s">
        <v>462</v>
      </c>
      <c r="C6186" t="s">
        <v>1140</v>
      </c>
      <c r="D6186" t="s">
        <v>27595</v>
      </c>
      <c r="E6186">
        <v>424000</v>
      </c>
      <c r="F6186" t="s">
        <v>1</v>
      </c>
      <c r="G6186" t="s">
        <v>2</v>
      </c>
      <c r="H6186" t="s">
        <v>211</v>
      </c>
      <c r="J6186" t="s">
        <v>27596</v>
      </c>
      <c r="P6186" t="s">
        <v>27</v>
      </c>
      <c r="Y6186" t="s">
        <v>4742</v>
      </c>
    </row>
    <row r="6187" spans="1:25" x14ac:dyDescent="0.25">
      <c r="A6187" t="str">
        <f>"28834237799"</f>
        <v>28834237799</v>
      </c>
      <c r="B6187" t="s">
        <v>25</v>
      </c>
      <c r="C6187" t="s">
        <v>27601</v>
      </c>
      <c r="D6187" t="s">
        <v>27597</v>
      </c>
      <c r="E6187">
        <v>424000</v>
      </c>
      <c r="F6187" t="s">
        <v>1</v>
      </c>
      <c r="G6187" t="s">
        <v>2</v>
      </c>
      <c r="H6187" t="s">
        <v>5615</v>
      </c>
      <c r="I6187" t="s">
        <v>27598</v>
      </c>
      <c r="L6187" t="s">
        <v>27599</v>
      </c>
      <c r="M6187" t="s">
        <v>27600</v>
      </c>
      <c r="P6187" t="s">
        <v>7543</v>
      </c>
      <c r="Y6187" t="s">
        <v>5619</v>
      </c>
    </row>
    <row r="6188" spans="1:25" x14ac:dyDescent="0.25">
      <c r="A6188" t="str">
        <f>"28894409607"</f>
        <v>28894409607</v>
      </c>
      <c r="B6188" t="s">
        <v>456</v>
      </c>
      <c r="C6188" t="s">
        <v>14932</v>
      </c>
      <c r="D6188" t="s">
        <v>27602</v>
      </c>
      <c r="E6188">
        <v>424006</v>
      </c>
      <c r="F6188" t="s">
        <v>1</v>
      </c>
      <c r="G6188" t="s">
        <v>2</v>
      </c>
      <c r="H6188" t="s">
        <v>19055</v>
      </c>
      <c r="I6188" t="s">
        <v>27603</v>
      </c>
      <c r="M6188" t="s">
        <v>27604</v>
      </c>
      <c r="P6188" t="s">
        <v>5892</v>
      </c>
      <c r="Q6188" t="s">
        <v>27605</v>
      </c>
      <c r="R6188" t="s">
        <v>27606</v>
      </c>
      <c r="T6188" t="s">
        <v>27607</v>
      </c>
      <c r="V6188" t="s">
        <v>27608</v>
      </c>
      <c r="Y6188" t="s">
        <v>27609</v>
      </c>
    </row>
    <row r="6189" spans="1:25" x14ac:dyDescent="0.25">
      <c r="A6189" t="str">
        <f>"28923188704"</f>
        <v>28923188704</v>
      </c>
      <c r="B6189" t="s">
        <v>1475</v>
      </c>
      <c r="C6189" t="s">
        <v>21539</v>
      </c>
      <c r="D6189" t="s">
        <v>5403</v>
      </c>
      <c r="E6189">
        <v>424039</v>
      </c>
      <c r="F6189" t="s">
        <v>1</v>
      </c>
      <c r="G6189" t="s">
        <v>2</v>
      </c>
      <c r="H6189" t="s">
        <v>10036</v>
      </c>
      <c r="P6189" t="s">
        <v>2731</v>
      </c>
      <c r="Y6189" t="s">
        <v>27610</v>
      </c>
    </row>
    <row r="6190" spans="1:25" x14ac:dyDescent="0.25">
      <c r="A6190" t="str">
        <f>"28924986802"</f>
        <v>28924986802</v>
      </c>
      <c r="B6190" t="s">
        <v>117</v>
      </c>
      <c r="C6190" t="s">
        <v>118</v>
      </c>
      <c r="D6190" t="s">
        <v>27611</v>
      </c>
      <c r="F6190" t="s">
        <v>1</v>
      </c>
      <c r="G6190" t="s">
        <v>2</v>
      </c>
      <c r="H6190" t="s">
        <v>27612</v>
      </c>
      <c r="Y6190" t="s">
        <v>27613</v>
      </c>
    </row>
    <row r="6191" spans="1:25" x14ac:dyDescent="0.25">
      <c r="A6191" t="str">
        <f>"28953451387"</f>
        <v>28953451387</v>
      </c>
      <c r="B6191" t="s">
        <v>1222</v>
      </c>
      <c r="C6191" t="s">
        <v>2114</v>
      </c>
      <c r="D6191" t="s">
        <v>27614</v>
      </c>
      <c r="E6191">
        <v>424020</v>
      </c>
      <c r="F6191" t="s">
        <v>1</v>
      </c>
      <c r="G6191" t="s">
        <v>2</v>
      </c>
      <c r="H6191" t="s">
        <v>23</v>
      </c>
      <c r="Y6191" t="s">
        <v>26334</v>
      </c>
    </row>
    <row r="6192" spans="1:25" x14ac:dyDescent="0.25">
      <c r="A6192" t="str">
        <f>"28958982207"</f>
        <v>28958982207</v>
      </c>
      <c r="B6192" t="s">
        <v>1152</v>
      </c>
      <c r="C6192" t="s">
        <v>1153</v>
      </c>
      <c r="D6192" t="s">
        <v>6402</v>
      </c>
      <c r="E6192">
        <v>424019</v>
      </c>
      <c r="F6192" t="s">
        <v>1</v>
      </c>
      <c r="G6192" t="s">
        <v>2</v>
      </c>
      <c r="H6192" t="s">
        <v>7785</v>
      </c>
      <c r="L6192" t="s">
        <v>6405</v>
      </c>
      <c r="M6192" t="s">
        <v>6406</v>
      </c>
      <c r="P6192" t="s">
        <v>98</v>
      </c>
      <c r="Y6192" t="s">
        <v>27615</v>
      </c>
    </row>
    <row r="6193" spans="1:25" x14ac:dyDescent="0.25">
      <c r="A6193" t="str">
        <f>"28978907244"</f>
        <v>28978907244</v>
      </c>
      <c r="B6193" t="s">
        <v>530</v>
      </c>
      <c r="C6193" t="s">
        <v>23950</v>
      </c>
      <c r="D6193" t="s">
        <v>23950</v>
      </c>
      <c r="E6193">
        <v>424028</v>
      </c>
      <c r="F6193" t="s">
        <v>1</v>
      </c>
      <c r="G6193" t="s">
        <v>2</v>
      </c>
      <c r="H6193" t="s">
        <v>27616</v>
      </c>
      <c r="Y6193" t="s">
        <v>27617</v>
      </c>
    </row>
    <row r="6194" spans="1:25" x14ac:dyDescent="0.25">
      <c r="A6194" t="str">
        <f>"29001377822"</f>
        <v>29001377822</v>
      </c>
      <c r="B6194" t="s">
        <v>7</v>
      </c>
      <c r="C6194" t="s">
        <v>15083</v>
      </c>
      <c r="D6194" t="s">
        <v>27618</v>
      </c>
      <c r="E6194">
        <v>424008</v>
      </c>
      <c r="F6194" t="s">
        <v>1</v>
      </c>
      <c r="G6194" t="s">
        <v>2</v>
      </c>
      <c r="H6194" t="s">
        <v>11833</v>
      </c>
      <c r="Y6194" t="s">
        <v>16542</v>
      </c>
    </row>
    <row r="6195" spans="1:25" x14ac:dyDescent="0.25">
      <c r="A6195" t="str">
        <f>"29008592748"</f>
        <v>29008592748</v>
      </c>
      <c r="B6195" t="s">
        <v>96</v>
      </c>
      <c r="C6195" t="s">
        <v>8479</v>
      </c>
      <c r="D6195" t="s">
        <v>27619</v>
      </c>
      <c r="F6195" t="s">
        <v>1</v>
      </c>
      <c r="G6195" t="s">
        <v>2</v>
      </c>
      <c r="H6195" t="s">
        <v>5906</v>
      </c>
      <c r="Y6195" t="s">
        <v>5907</v>
      </c>
    </row>
    <row r="6196" spans="1:25" x14ac:dyDescent="0.25">
      <c r="A6196" t="str">
        <f>"29009778653"</f>
        <v>29009778653</v>
      </c>
      <c r="B6196" t="s">
        <v>519</v>
      </c>
      <c r="C6196" t="s">
        <v>583</v>
      </c>
      <c r="D6196" t="s">
        <v>27620</v>
      </c>
      <c r="F6196" t="s">
        <v>1</v>
      </c>
      <c r="G6196" t="s">
        <v>2</v>
      </c>
      <c r="H6196" t="s">
        <v>7547</v>
      </c>
      <c r="Y6196" t="s">
        <v>27621</v>
      </c>
    </row>
    <row r="6197" spans="1:25" x14ac:dyDescent="0.25">
      <c r="A6197" t="str">
        <f>"29010141193"</f>
        <v>29010141193</v>
      </c>
      <c r="B6197" t="s">
        <v>519</v>
      </c>
      <c r="C6197" t="s">
        <v>3954</v>
      </c>
      <c r="D6197" t="s">
        <v>27622</v>
      </c>
      <c r="E6197">
        <v>424006</v>
      </c>
      <c r="F6197" t="s">
        <v>1</v>
      </c>
      <c r="G6197" t="s">
        <v>2</v>
      </c>
      <c r="H6197" t="s">
        <v>27623</v>
      </c>
      <c r="Y6197" t="s">
        <v>27624</v>
      </c>
    </row>
    <row r="6198" spans="1:25" x14ac:dyDescent="0.25">
      <c r="A6198" t="str">
        <f>"29085447518"</f>
        <v>29085447518</v>
      </c>
      <c r="B6198" t="s">
        <v>574</v>
      </c>
      <c r="C6198" t="s">
        <v>646</v>
      </c>
      <c r="D6198" t="s">
        <v>27625</v>
      </c>
      <c r="E6198">
        <v>424008</v>
      </c>
      <c r="F6198" t="s">
        <v>1</v>
      </c>
      <c r="G6198" t="s">
        <v>2</v>
      </c>
      <c r="H6198" t="s">
        <v>11833</v>
      </c>
      <c r="I6198" t="s">
        <v>27626</v>
      </c>
      <c r="P6198" t="s">
        <v>23307</v>
      </c>
      <c r="Y6198" t="s">
        <v>16542</v>
      </c>
    </row>
    <row r="6199" spans="1:25" x14ac:dyDescent="0.25">
      <c r="A6199" t="str">
        <f>"29130076217"</f>
        <v>29130076217</v>
      </c>
      <c r="B6199" t="s">
        <v>3573</v>
      </c>
      <c r="C6199" t="s">
        <v>19084</v>
      </c>
      <c r="D6199" t="s">
        <v>27627</v>
      </c>
      <c r="E6199">
        <v>424002</v>
      </c>
      <c r="F6199" t="s">
        <v>1</v>
      </c>
      <c r="G6199" t="s">
        <v>2</v>
      </c>
      <c r="H6199" t="s">
        <v>1190</v>
      </c>
      <c r="I6199" t="s">
        <v>27628</v>
      </c>
      <c r="J6199" t="s">
        <v>27629</v>
      </c>
      <c r="Y6199" t="s">
        <v>1193</v>
      </c>
    </row>
    <row r="6200" spans="1:25" x14ac:dyDescent="0.25">
      <c r="A6200" t="str">
        <f>"29140629530"</f>
        <v>29140629530</v>
      </c>
      <c r="B6200" t="s">
        <v>284</v>
      </c>
      <c r="C6200" t="s">
        <v>27632</v>
      </c>
      <c r="D6200" t="s">
        <v>27630</v>
      </c>
      <c r="E6200">
        <v>424031</v>
      </c>
      <c r="F6200" t="s">
        <v>1</v>
      </c>
      <c r="G6200" t="s">
        <v>2</v>
      </c>
      <c r="H6200" t="s">
        <v>27631</v>
      </c>
      <c r="Y6200" t="s">
        <v>27633</v>
      </c>
    </row>
    <row r="6201" spans="1:25" x14ac:dyDescent="0.25">
      <c r="A6201" t="str">
        <f>"29200968603"</f>
        <v>29200968603</v>
      </c>
      <c r="B6201" t="s">
        <v>96</v>
      </c>
      <c r="C6201" t="s">
        <v>893</v>
      </c>
      <c r="D6201" t="s">
        <v>27634</v>
      </c>
      <c r="E6201">
        <v>424007</v>
      </c>
      <c r="F6201" t="s">
        <v>1</v>
      </c>
      <c r="G6201" t="s">
        <v>2</v>
      </c>
      <c r="H6201" t="s">
        <v>5178</v>
      </c>
      <c r="P6201" t="s">
        <v>2731</v>
      </c>
      <c r="Y6201" t="s">
        <v>27635</v>
      </c>
    </row>
    <row r="6202" spans="1:25" x14ac:dyDescent="0.25">
      <c r="A6202" t="str">
        <f>"29219502928"</f>
        <v>29219502928</v>
      </c>
      <c r="B6202" t="s">
        <v>1315</v>
      </c>
      <c r="C6202" t="s">
        <v>4274</v>
      </c>
      <c r="D6202" t="s">
        <v>27636</v>
      </c>
      <c r="E6202">
        <v>424028</v>
      </c>
      <c r="F6202" t="s">
        <v>1</v>
      </c>
      <c r="G6202" t="s">
        <v>2</v>
      </c>
      <c r="H6202" t="s">
        <v>2942</v>
      </c>
      <c r="Y6202" t="s">
        <v>27637</v>
      </c>
    </row>
    <row r="6203" spans="1:25" x14ac:dyDescent="0.25">
      <c r="A6203" t="str">
        <f>"29264829894"</f>
        <v>29264829894</v>
      </c>
      <c r="B6203" t="s">
        <v>284</v>
      </c>
      <c r="C6203" t="s">
        <v>2462</v>
      </c>
      <c r="D6203" t="s">
        <v>17622</v>
      </c>
      <c r="E6203">
        <v>424037</v>
      </c>
      <c r="F6203" t="s">
        <v>1</v>
      </c>
      <c r="G6203" t="s">
        <v>2</v>
      </c>
      <c r="H6203" t="s">
        <v>27638</v>
      </c>
      <c r="J6203" t="s">
        <v>27639</v>
      </c>
      <c r="P6203" t="s">
        <v>27640</v>
      </c>
      <c r="Y6203" t="s">
        <v>27641</v>
      </c>
    </row>
    <row r="6204" spans="1:25" x14ac:dyDescent="0.25">
      <c r="A6204" t="str">
        <f>"29269580676"</f>
        <v>29269580676</v>
      </c>
      <c r="B6204" t="s">
        <v>530</v>
      </c>
      <c r="C6204" t="s">
        <v>23950</v>
      </c>
      <c r="D6204" t="s">
        <v>23950</v>
      </c>
      <c r="E6204">
        <v>424000</v>
      </c>
      <c r="F6204" t="s">
        <v>1</v>
      </c>
      <c r="G6204" t="s">
        <v>2</v>
      </c>
      <c r="H6204" t="s">
        <v>6303</v>
      </c>
      <c r="Y6204" t="s">
        <v>27642</v>
      </c>
    </row>
    <row r="6205" spans="1:25" x14ac:dyDescent="0.25">
      <c r="A6205" t="str">
        <f>"29299148617"</f>
        <v>29299148617</v>
      </c>
      <c r="B6205" t="s">
        <v>3008</v>
      </c>
      <c r="C6205" t="s">
        <v>25605</v>
      </c>
      <c r="D6205" t="s">
        <v>27643</v>
      </c>
      <c r="E6205">
        <v>424037</v>
      </c>
      <c r="F6205" t="s">
        <v>1</v>
      </c>
      <c r="G6205" t="s">
        <v>2</v>
      </c>
      <c r="H6205" t="s">
        <v>2680</v>
      </c>
      <c r="Y6205" t="s">
        <v>27644</v>
      </c>
    </row>
    <row r="6206" spans="1:25" x14ac:dyDescent="0.25">
      <c r="A6206" t="str">
        <f>"29307892809"</f>
        <v>29307892809</v>
      </c>
      <c r="B6206" t="s">
        <v>7</v>
      </c>
      <c r="C6206" t="s">
        <v>9893</v>
      </c>
      <c r="D6206" t="s">
        <v>27645</v>
      </c>
      <c r="E6206">
        <v>424003</v>
      </c>
      <c r="F6206" t="s">
        <v>1</v>
      </c>
      <c r="G6206" t="s">
        <v>2</v>
      </c>
      <c r="H6206" t="s">
        <v>14928</v>
      </c>
      <c r="I6206" t="s">
        <v>27646</v>
      </c>
      <c r="L6206" t="s">
        <v>27647</v>
      </c>
      <c r="M6206" t="s">
        <v>27648</v>
      </c>
      <c r="P6206" t="s">
        <v>27649</v>
      </c>
      <c r="Y6206" t="s">
        <v>27650</v>
      </c>
    </row>
    <row r="6207" spans="1:25" x14ac:dyDescent="0.25">
      <c r="A6207" t="str">
        <f>"29354524321"</f>
        <v>29354524321</v>
      </c>
      <c r="B6207" t="s">
        <v>25</v>
      </c>
      <c r="C6207" t="s">
        <v>20320</v>
      </c>
      <c r="D6207" t="s">
        <v>27651</v>
      </c>
      <c r="E6207">
        <v>424002</v>
      </c>
      <c r="F6207" t="s">
        <v>1</v>
      </c>
      <c r="G6207" t="s">
        <v>2</v>
      </c>
      <c r="H6207" t="s">
        <v>27652</v>
      </c>
      <c r="Y6207" t="s">
        <v>27653</v>
      </c>
    </row>
    <row r="6208" spans="1:25" x14ac:dyDescent="0.25">
      <c r="A6208" t="str">
        <f>"29388684821"</f>
        <v>29388684821</v>
      </c>
      <c r="B6208" t="s">
        <v>25</v>
      </c>
      <c r="C6208" t="s">
        <v>59</v>
      </c>
      <c r="D6208" t="s">
        <v>27654</v>
      </c>
      <c r="E6208">
        <v>424033</v>
      </c>
      <c r="F6208" t="s">
        <v>1</v>
      </c>
      <c r="G6208" t="s">
        <v>2</v>
      </c>
      <c r="H6208" t="s">
        <v>2597</v>
      </c>
      <c r="P6208" t="s">
        <v>1027</v>
      </c>
      <c r="Y6208" t="s">
        <v>2718</v>
      </c>
    </row>
    <row r="6209" spans="1:25" x14ac:dyDescent="0.25">
      <c r="A6209" t="str">
        <f>"29443168657"</f>
        <v>29443168657</v>
      </c>
      <c r="B6209" t="s">
        <v>1046</v>
      </c>
      <c r="C6209" t="s">
        <v>22946</v>
      </c>
      <c r="D6209" t="s">
        <v>22946</v>
      </c>
      <c r="E6209">
        <v>424000</v>
      </c>
      <c r="F6209" t="s">
        <v>1</v>
      </c>
      <c r="G6209" t="s">
        <v>2</v>
      </c>
      <c r="H6209" t="s">
        <v>86</v>
      </c>
      <c r="Y6209" t="s">
        <v>27655</v>
      </c>
    </row>
    <row r="6210" spans="1:25" x14ac:dyDescent="0.25">
      <c r="A6210" t="str">
        <f>"29453209928"</f>
        <v>29453209928</v>
      </c>
      <c r="B6210" t="s">
        <v>1182</v>
      </c>
      <c r="C6210" t="s">
        <v>6011</v>
      </c>
      <c r="D6210" t="s">
        <v>27656</v>
      </c>
      <c r="E6210">
        <v>424002</v>
      </c>
      <c r="F6210" t="s">
        <v>1</v>
      </c>
      <c r="G6210" t="s">
        <v>2</v>
      </c>
      <c r="H6210" t="s">
        <v>570</v>
      </c>
      <c r="Y6210" t="s">
        <v>18782</v>
      </c>
    </row>
    <row r="6211" spans="1:25" x14ac:dyDescent="0.25">
      <c r="A6211" t="str">
        <f>"29525197333"</f>
        <v>29525197333</v>
      </c>
      <c r="B6211" t="s">
        <v>519</v>
      </c>
      <c r="C6211" t="s">
        <v>23996</v>
      </c>
      <c r="D6211" t="s">
        <v>27657</v>
      </c>
      <c r="E6211">
        <v>424003</v>
      </c>
      <c r="F6211" t="s">
        <v>1</v>
      </c>
      <c r="G6211" t="s">
        <v>2</v>
      </c>
      <c r="H6211" t="s">
        <v>27658</v>
      </c>
      <c r="J6211" t="s">
        <v>27659</v>
      </c>
      <c r="P6211" t="s">
        <v>2457</v>
      </c>
      <c r="Y6211" t="s">
        <v>27660</v>
      </c>
    </row>
    <row r="6212" spans="1:25" x14ac:dyDescent="0.25">
      <c r="A6212" t="str">
        <f>"29566058873"</f>
        <v>29566058873</v>
      </c>
      <c r="B6212" t="s">
        <v>7849</v>
      </c>
      <c r="C6212" t="s">
        <v>10351</v>
      </c>
      <c r="D6212" t="s">
        <v>27661</v>
      </c>
      <c r="E6212">
        <v>424008</v>
      </c>
      <c r="F6212" t="s">
        <v>1</v>
      </c>
      <c r="G6212" t="s">
        <v>2</v>
      </c>
      <c r="H6212" t="s">
        <v>11207</v>
      </c>
      <c r="Y6212" t="s">
        <v>27662</v>
      </c>
    </row>
    <row r="6213" spans="1:25" x14ac:dyDescent="0.25">
      <c r="A6213" t="str">
        <f>"29605780870"</f>
        <v>29605780870</v>
      </c>
      <c r="B6213" t="s">
        <v>1573</v>
      </c>
      <c r="C6213" t="s">
        <v>1753</v>
      </c>
      <c r="D6213" t="s">
        <v>27663</v>
      </c>
      <c r="F6213" t="s">
        <v>1</v>
      </c>
      <c r="G6213" t="s">
        <v>2</v>
      </c>
      <c r="H6213" t="s">
        <v>19499</v>
      </c>
      <c r="J6213" t="s">
        <v>27664</v>
      </c>
      <c r="P6213" t="s">
        <v>144</v>
      </c>
      <c r="Y6213" t="s">
        <v>24185</v>
      </c>
    </row>
    <row r="6214" spans="1:25" x14ac:dyDescent="0.25">
      <c r="A6214" t="str">
        <f>"29634817999"</f>
        <v>29634817999</v>
      </c>
      <c r="B6214" t="s">
        <v>18</v>
      </c>
      <c r="C6214" t="s">
        <v>14080</v>
      </c>
      <c r="D6214" t="s">
        <v>13780</v>
      </c>
      <c r="E6214">
        <v>424002</v>
      </c>
      <c r="F6214" t="s">
        <v>1</v>
      </c>
      <c r="G6214" t="s">
        <v>2</v>
      </c>
      <c r="H6214" t="s">
        <v>6679</v>
      </c>
      <c r="I6214" t="s">
        <v>27665</v>
      </c>
      <c r="L6214" t="s">
        <v>13783</v>
      </c>
      <c r="M6214" t="s">
        <v>27666</v>
      </c>
      <c r="Y6214" t="s">
        <v>20635</v>
      </c>
    </row>
    <row r="6215" spans="1:25" x14ac:dyDescent="0.25">
      <c r="A6215" t="str">
        <f>"29644242154"</f>
        <v>29644242154</v>
      </c>
      <c r="B6215" t="s">
        <v>930</v>
      </c>
      <c r="C6215" t="s">
        <v>27668</v>
      </c>
      <c r="D6215" t="s">
        <v>27667</v>
      </c>
      <c r="F6215" t="s">
        <v>1</v>
      </c>
      <c r="G6215" t="s">
        <v>2</v>
      </c>
      <c r="H6215" t="s">
        <v>26231</v>
      </c>
      <c r="J6215" t="s">
        <v>21733</v>
      </c>
      <c r="P6215" t="s">
        <v>27669</v>
      </c>
      <c r="Y6215" t="s">
        <v>27670</v>
      </c>
    </row>
    <row r="6216" spans="1:25" x14ac:dyDescent="0.25">
      <c r="A6216" t="str">
        <f>"29686626663"</f>
        <v>29686626663</v>
      </c>
      <c r="B6216" t="s">
        <v>123</v>
      </c>
      <c r="C6216" t="s">
        <v>424</v>
      </c>
      <c r="D6216" t="s">
        <v>27671</v>
      </c>
      <c r="E6216">
        <v>424033</v>
      </c>
      <c r="F6216" t="s">
        <v>1</v>
      </c>
      <c r="G6216" t="s">
        <v>2</v>
      </c>
      <c r="H6216" t="s">
        <v>27672</v>
      </c>
      <c r="L6216" t="s">
        <v>27673</v>
      </c>
      <c r="M6216" t="s">
        <v>27674</v>
      </c>
      <c r="Y6216" t="s">
        <v>27675</v>
      </c>
    </row>
    <row r="6217" spans="1:25" x14ac:dyDescent="0.25">
      <c r="A6217" t="str">
        <f>"29841456756"</f>
        <v>29841456756</v>
      </c>
      <c r="B6217" t="s">
        <v>123</v>
      </c>
      <c r="C6217" t="s">
        <v>196</v>
      </c>
      <c r="D6217" t="s">
        <v>13745</v>
      </c>
      <c r="F6217" t="s">
        <v>1</v>
      </c>
      <c r="G6217" t="s">
        <v>2</v>
      </c>
      <c r="H6217" t="s">
        <v>2745</v>
      </c>
      <c r="I6217" t="s">
        <v>8427</v>
      </c>
      <c r="P6217" t="s">
        <v>8372</v>
      </c>
      <c r="Y6217" t="s">
        <v>2751</v>
      </c>
    </row>
    <row r="6218" spans="1:25" x14ac:dyDescent="0.25">
      <c r="A6218" t="str">
        <f>"29858107008"</f>
        <v>29858107008</v>
      </c>
      <c r="B6218" t="s">
        <v>1611</v>
      </c>
      <c r="C6218" t="s">
        <v>11688</v>
      </c>
      <c r="D6218" t="s">
        <v>27676</v>
      </c>
      <c r="E6218">
        <v>424002</v>
      </c>
      <c r="F6218" t="s">
        <v>1</v>
      </c>
      <c r="G6218" t="s">
        <v>2</v>
      </c>
      <c r="H6218" t="s">
        <v>20175</v>
      </c>
      <c r="I6218" t="s">
        <v>27677</v>
      </c>
      <c r="L6218" t="s">
        <v>20111</v>
      </c>
      <c r="M6218" t="s">
        <v>20178</v>
      </c>
      <c r="P6218" t="s">
        <v>10632</v>
      </c>
      <c r="Y6218" t="s">
        <v>24301</v>
      </c>
    </row>
    <row r="6219" spans="1:25" x14ac:dyDescent="0.25">
      <c r="A6219" t="str">
        <f>"29883868962"</f>
        <v>29883868962</v>
      </c>
      <c r="B6219" t="s">
        <v>25</v>
      </c>
      <c r="C6219" t="s">
        <v>20320</v>
      </c>
      <c r="D6219" t="s">
        <v>27678</v>
      </c>
      <c r="E6219">
        <v>424020</v>
      </c>
      <c r="F6219" t="s">
        <v>1</v>
      </c>
      <c r="G6219" t="s">
        <v>2</v>
      </c>
      <c r="H6219" t="s">
        <v>27679</v>
      </c>
      <c r="Y6219" t="s">
        <v>27680</v>
      </c>
    </row>
    <row r="6220" spans="1:25" x14ac:dyDescent="0.25">
      <c r="A6220" t="str">
        <f>"29890112113"</f>
        <v>29890112113</v>
      </c>
      <c r="B6220" t="s">
        <v>1573</v>
      </c>
      <c r="C6220" t="s">
        <v>27685</v>
      </c>
      <c r="D6220" t="s">
        <v>27681</v>
      </c>
      <c r="E6220">
        <v>424007</v>
      </c>
      <c r="F6220" t="s">
        <v>1</v>
      </c>
      <c r="G6220" t="s">
        <v>2</v>
      </c>
      <c r="H6220" t="s">
        <v>819</v>
      </c>
      <c r="I6220" t="s">
        <v>27682</v>
      </c>
      <c r="L6220" t="s">
        <v>27683</v>
      </c>
      <c r="M6220" t="s">
        <v>27684</v>
      </c>
      <c r="P6220" t="s">
        <v>280</v>
      </c>
      <c r="Y6220" t="s">
        <v>27686</v>
      </c>
    </row>
    <row r="6221" spans="1:25" x14ac:dyDescent="0.25">
      <c r="A6221" t="str">
        <f>"29893119097"</f>
        <v>29893119097</v>
      </c>
      <c r="B6221" t="s">
        <v>1475</v>
      </c>
      <c r="C6221" t="s">
        <v>4005</v>
      </c>
      <c r="D6221" t="s">
        <v>27687</v>
      </c>
      <c r="F6221" t="s">
        <v>1</v>
      </c>
      <c r="G6221" t="s">
        <v>2</v>
      </c>
      <c r="H6221" t="s">
        <v>27688</v>
      </c>
      <c r="Y6221" t="s">
        <v>27689</v>
      </c>
    </row>
    <row r="6222" spans="1:25" x14ac:dyDescent="0.25">
      <c r="A6222" t="str">
        <f>"29895938693"</f>
        <v>29895938693</v>
      </c>
      <c r="B6222" t="s">
        <v>2601</v>
      </c>
      <c r="C6222" t="s">
        <v>27691</v>
      </c>
      <c r="D6222" t="s">
        <v>27690</v>
      </c>
      <c r="E6222">
        <v>424033</v>
      </c>
      <c r="F6222" t="s">
        <v>1</v>
      </c>
      <c r="G6222" t="s">
        <v>2</v>
      </c>
      <c r="H6222" t="s">
        <v>4357</v>
      </c>
      <c r="Y6222" t="s">
        <v>27692</v>
      </c>
    </row>
    <row r="6223" spans="1:25" x14ac:dyDescent="0.25">
      <c r="A6223" t="str">
        <f>"29901659951"</f>
        <v>29901659951</v>
      </c>
      <c r="B6223" t="s">
        <v>469</v>
      </c>
      <c r="C6223" t="s">
        <v>27694</v>
      </c>
      <c r="D6223" t="s">
        <v>27693</v>
      </c>
      <c r="E6223">
        <v>424039</v>
      </c>
      <c r="F6223" t="s">
        <v>1</v>
      </c>
      <c r="G6223" t="s">
        <v>2</v>
      </c>
      <c r="H6223" t="s">
        <v>2729</v>
      </c>
      <c r="I6223" t="s">
        <v>21924</v>
      </c>
      <c r="P6223" t="s">
        <v>799</v>
      </c>
      <c r="Y6223" t="s">
        <v>27695</v>
      </c>
    </row>
    <row r="6224" spans="1:25" x14ac:dyDescent="0.25">
      <c r="A6224" t="str">
        <f>"29907153393"</f>
        <v>29907153393</v>
      </c>
      <c r="B6224" t="s">
        <v>574</v>
      </c>
      <c r="C6224" t="s">
        <v>952</v>
      </c>
      <c r="D6224" t="s">
        <v>7620</v>
      </c>
      <c r="E6224">
        <v>424039</v>
      </c>
      <c r="F6224" t="s">
        <v>1</v>
      </c>
      <c r="G6224" t="s">
        <v>2</v>
      </c>
      <c r="H6224" t="s">
        <v>23651</v>
      </c>
      <c r="Y6224" t="s">
        <v>27696</v>
      </c>
    </row>
    <row r="6225" spans="1:25" x14ac:dyDescent="0.25">
      <c r="A6225" t="str">
        <f>"29931870588"</f>
        <v>29931870588</v>
      </c>
      <c r="B6225" t="s">
        <v>151</v>
      </c>
      <c r="C6225" t="s">
        <v>151</v>
      </c>
      <c r="D6225" t="s">
        <v>27697</v>
      </c>
      <c r="E6225">
        <v>424036</v>
      </c>
      <c r="F6225" t="s">
        <v>1</v>
      </c>
      <c r="G6225" t="s">
        <v>2</v>
      </c>
      <c r="H6225" t="s">
        <v>5294</v>
      </c>
      <c r="Y6225" t="s">
        <v>10139</v>
      </c>
    </row>
    <row r="6226" spans="1:25" x14ac:dyDescent="0.25">
      <c r="A6226" t="str">
        <f>"29932816152"</f>
        <v>29932816152</v>
      </c>
      <c r="B6226" t="s">
        <v>151</v>
      </c>
      <c r="C6226" t="s">
        <v>151</v>
      </c>
      <c r="D6226" t="s">
        <v>27698</v>
      </c>
      <c r="E6226">
        <v>424004</v>
      </c>
      <c r="F6226" t="s">
        <v>1</v>
      </c>
      <c r="G6226" t="s">
        <v>2</v>
      </c>
      <c r="H6226" t="s">
        <v>229</v>
      </c>
      <c r="J6226" t="s">
        <v>27699</v>
      </c>
      <c r="P6226" t="s">
        <v>27</v>
      </c>
      <c r="Q6226" t="s">
        <v>27700</v>
      </c>
      <c r="Y6226" t="s">
        <v>237</v>
      </c>
    </row>
    <row r="6227" spans="1:25" x14ac:dyDescent="0.25">
      <c r="A6227" t="str">
        <f>"29941798171"</f>
        <v>29941798171</v>
      </c>
      <c r="B6227" t="s">
        <v>574</v>
      </c>
      <c r="C6227" t="s">
        <v>646</v>
      </c>
      <c r="D6227" t="s">
        <v>2733</v>
      </c>
      <c r="E6227">
        <v>424007</v>
      </c>
      <c r="F6227" t="s">
        <v>1</v>
      </c>
      <c r="G6227" t="s">
        <v>2</v>
      </c>
      <c r="H6227" t="s">
        <v>10533</v>
      </c>
      <c r="P6227" t="s">
        <v>27701</v>
      </c>
      <c r="Y6227" t="s">
        <v>27702</v>
      </c>
    </row>
    <row r="6228" spans="1:25" x14ac:dyDescent="0.25">
      <c r="A6228" t="str">
        <f>"29992167991"</f>
        <v>29992167991</v>
      </c>
      <c r="B6228" t="s">
        <v>96</v>
      </c>
      <c r="C6228" t="s">
        <v>27704</v>
      </c>
      <c r="D6228" t="s">
        <v>27703</v>
      </c>
      <c r="E6228">
        <v>424033</v>
      </c>
      <c r="F6228" t="s">
        <v>1</v>
      </c>
      <c r="G6228" t="s">
        <v>2</v>
      </c>
      <c r="H6228" t="s">
        <v>4300</v>
      </c>
      <c r="Y6228" t="s">
        <v>10046</v>
      </c>
    </row>
    <row r="6229" spans="1:25" x14ac:dyDescent="0.25">
      <c r="A6229" t="str">
        <f>"30020910332"</f>
        <v>30020910332</v>
      </c>
      <c r="B6229" t="s">
        <v>1152</v>
      </c>
      <c r="C6229" t="s">
        <v>1385</v>
      </c>
      <c r="D6229" t="s">
        <v>27705</v>
      </c>
      <c r="E6229">
        <v>424033</v>
      </c>
      <c r="F6229" t="s">
        <v>1</v>
      </c>
      <c r="G6229" t="s">
        <v>2</v>
      </c>
      <c r="H6229" t="s">
        <v>6875</v>
      </c>
      <c r="Y6229" t="s">
        <v>27706</v>
      </c>
    </row>
    <row r="6230" spans="1:25" x14ac:dyDescent="0.25">
      <c r="A6230" t="str">
        <f>"30047538146"</f>
        <v>30047538146</v>
      </c>
      <c r="B6230" t="s">
        <v>319</v>
      </c>
      <c r="C6230" t="s">
        <v>320</v>
      </c>
      <c r="D6230" t="s">
        <v>27707</v>
      </c>
      <c r="E6230">
        <v>424003</v>
      </c>
      <c r="F6230" t="s">
        <v>1</v>
      </c>
      <c r="G6230" t="s">
        <v>2</v>
      </c>
      <c r="H6230" t="s">
        <v>5311</v>
      </c>
      <c r="I6230" t="s">
        <v>27708</v>
      </c>
      <c r="L6230" t="s">
        <v>2559</v>
      </c>
      <c r="M6230" t="s">
        <v>17901</v>
      </c>
      <c r="P6230" t="s">
        <v>27709</v>
      </c>
      <c r="Y6230" t="s">
        <v>27710</v>
      </c>
    </row>
    <row r="6231" spans="1:25" x14ac:dyDescent="0.25">
      <c r="A6231" t="str">
        <f>"30112823357"</f>
        <v>30112823357</v>
      </c>
      <c r="B6231" t="s">
        <v>930</v>
      </c>
      <c r="C6231" t="s">
        <v>6070</v>
      </c>
      <c r="D6231" t="s">
        <v>20039</v>
      </c>
      <c r="E6231">
        <v>424038</v>
      </c>
      <c r="F6231" t="s">
        <v>1</v>
      </c>
      <c r="G6231" t="s">
        <v>2</v>
      </c>
      <c r="H6231" t="s">
        <v>8196</v>
      </c>
      <c r="I6231" t="s">
        <v>27711</v>
      </c>
      <c r="J6231" t="s">
        <v>27712</v>
      </c>
      <c r="P6231" t="s">
        <v>330</v>
      </c>
      <c r="Y6231" t="s">
        <v>15483</v>
      </c>
    </row>
    <row r="6232" spans="1:25" x14ac:dyDescent="0.25">
      <c r="A6232" t="str">
        <f>"30114423161"</f>
        <v>30114423161</v>
      </c>
      <c r="B6232" t="s">
        <v>1573</v>
      </c>
      <c r="C6232" t="s">
        <v>27714</v>
      </c>
      <c r="D6232" t="s">
        <v>27713</v>
      </c>
      <c r="E6232">
        <v>424005</v>
      </c>
      <c r="F6232" t="s">
        <v>1</v>
      </c>
      <c r="G6232" t="s">
        <v>2</v>
      </c>
      <c r="H6232" t="s">
        <v>11683</v>
      </c>
      <c r="Y6232" t="s">
        <v>27715</v>
      </c>
    </row>
    <row r="6233" spans="1:25" x14ac:dyDescent="0.25">
      <c r="A6233" t="str">
        <f>"30160873713"</f>
        <v>30160873713</v>
      </c>
      <c r="B6233" t="s">
        <v>640</v>
      </c>
      <c r="C6233" t="s">
        <v>663</v>
      </c>
      <c r="D6233" t="s">
        <v>27716</v>
      </c>
      <c r="E6233">
        <v>424038</v>
      </c>
      <c r="F6233" t="s">
        <v>1</v>
      </c>
      <c r="G6233" t="s">
        <v>2</v>
      </c>
      <c r="H6233" t="s">
        <v>16988</v>
      </c>
      <c r="J6233" t="s">
        <v>27717</v>
      </c>
      <c r="P6233" t="s">
        <v>27718</v>
      </c>
      <c r="Y6233" t="s">
        <v>21440</v>
      </c>
    </row>
    <row r="6234" spans="1:25" x14ac:dyDescent="0.25">
      <c r="A6234" t="str">
        <f>"30164659601"</f>
        <v>30164659601</v>
      </c>
      <c r="B6234" t="s">
        <v>574</v>
      </c>
      <c r="C6234" t="s">
        <v>952</v>
      </c>
      <c r="D6234" t="s">
        <v>25172</v>
      </c>
      <c r="E6234">
        <v>424020</v>
      </c>
      <c r="F6234" t="s">
        <v>1</v>
      </c>
      <c r="G6234" t="s">
        <v>2</v>
      </c>
      <c r="H6234" t="s">
        <v>23</v>
      </c>
      <c r="Y6234" t="s">
        <v>6162</v>
      </c>
    </row>
    <row r="6235" spans="1:25" x14ac:dyDescent="0.25">
      <c r="A6235" t="str">
        <f>"30262329733"</f>
        <v>30262329733</v>
      </c>
      <c r="B6235" t="s">
        <v>1573</v>
      </c>
      <c r="C6235" t="s">
        <v>1817</v>
      </c>
      <c r="D6235" t="s">
        <v>24367</v>
      </c>
      <c r="E6235">
        <v>424028</v>
      </c>
      <c r="F6235" t="s">
        <v>1</v>
      </c>
      <c r="G6235" t="s">
        <v>2</v>
      </c>
      <c r="H6235" t="s">
        <v>27719</v>
      </c>
      <c r="P6235" t="s">
        <v>399</v>
      </c>
      <c r="Y6235" t="s">
        <v>27720</v>
      </c>
    </row>
    <row r="6236" spans="1:25" x14ac:dyDescent="0.25">
      <c r="A6236" t="str">
        <f>"30313540047"</f>
        <v>30313540047</v>
      </c>
      <c r="B6236" t="s">
        <v>8011</v>
      </c>
      <c r="C6236" t="s">
        <v>25177</v>
      </c>
      <c r="D6236" t="s">
        <v>12536</v>
      </c>
      <c r="E6236">
        <v>424028</v>
      </c>
      <c r="F6236" t="s">
        <v>1</v>
      </c>
      <c r="G6236" t="s">
        <v>2</v>
      </c>
      <c r="H6236" t="s">
        <v>5034</v>
      </c>
      <c r="Y6236" t="s">
        <v>27721</v>
      </c>
    </row>
    <row r="6237" spans="1:25" x14ac:dyDescent="0.25">
      <c r="A6237" t="str">
        <f>"30433378006"</f>
        <v>30433378006</v>
      </c>
      <c r="B6237" t="s">
        <v>290</v>
      </c>
      <c r="C6237" t="s">
        <v>3798</v>
      </c>
      <c r="D6237" t="s">
        <v>27722</v>
      </c>
      <c r="E6237">
        <v>424019</v>
      </c>
      <c r="F6237" t="s">
        <v>1</v>
      </c>
      <c r="G6237" t="s">
        <v>2</v>
      </c>
      <c r="H6237" t="s">
        <v>7785</v>
      </c>
      <c r="J6237" t="s">
        <v>27723</v>
      </c>
      <c r="L6237" t="s">
        <v>27724</v>
      </c>
      <c r="M6237" t="s">
        <v>27725</v>
      </c>
      <c r="P6237" t="s">
        <v>8133</v>
      </c>
      <c r="Q6237" t="s">
        <v>27726</v>
      </c>
      <c r="T6237" t="s">
        <v>27727</v>
      </c>
      <c r="V6237" t="s">
        <v>27728</v>
      </c>
      <c r="Y6237" t="s">
        <v>27729</v>
      </c>
    </row>
    <row r="6238" spans="1:25" x14ac:dyDescent="0.25">
      <c r="A6238" t="str">
        <f>"30443772157"</f>
        <v>30443772157</v>
      </c>
      <c r="B6238" t="s">
        <v>456</v>
      </c>
      <c r="C6238" t="s">
        <v>2773</v>
      </c>
      <c r="D6238" t="s">
        <v>27730</v>
      </c>
      <c r="E6238">
        <v>424033</v>
      </c>
      <c r="F6238" t="s">
        <v>1</v>
      </c>
      <c r="G6238" t="s">
        <v>2</v>
      </c>
      <c r="H6238" t="s">
        <v>4300</v>
      </c>
      <c r="J6238" t="s">
        <v>27731</v>
      </c>
      <c r="L6238" t="s">
        <v>27732</v>
      </c>
      <c r="M6238" t="s">
        <v>27733</v>
      </c>
      <c r="P6238" t="s">
        <v>27</v>
      </c>
      <c r="Q6238" t="s">
        <v>27734</v>
      </c>
      <c r="V6238" t="s">
        <v>27735</v>
      </c>
      <c r="Y6238" t="s">
        <v>10046</v>
      </c>
    </row>
    <row r="6239" spans="1:25" x14ac:dyDescent="0.25">
      <c r="A6239" t="str">
        <f>"30501335198"</f>
        <v>30501335198</v>
      </c>
      <c r="B6239" t="s">
        <v>530</v>
      </c>
      <c r="C6239" t="s">
        <v>23950</v>
      </c>
      <c r="D6239" t="s">
        <v>23950</v>
      </c>
      <c r="F6239" t="s">
        <v>1</v>
      </c>
      <c r="G6239" t="s">
        <v>2</v>
      </c>
      <c r="H6239" t="s">
        <v>27736</v>
      </c>
      <c r="Y6239" t="s">
        <v>27737</v>
      </c>
    </row>
    <row r="6240" spans="1:25" x14ac:dyDescent="0.25">
      <c r="A6240" t="str">
        <f>"30504865288"</f>
        <v>30504865288</v>
      </c>
      <c r="B6240" t="s">
        <v>1352</v>
      </c>
      <c r="C6240" t="s">
        <v>1353</v>
      </c>
      <c r="D6240" t="s">
        <v>27738</v>
      </c>
      <c r="E6240">
        <v>424003</v>
      </c>
      <c r="F6240" t="s">
        <v>1</v>
      </c>
      <c r="G6240" t="s">
        <v>2</v>
      </c>
      <c r="H6240" t="s">
        <v>14928</v>
      </c>
      <c r="L6240" t="s">
        <v>27739</v>
      </c>
      <c r="M6240" t="s">
        <v>27740</v>
      </c>
      <c r="Y6240" t="s">
        <v>25046</v>
      </c>
    </row>
    <row r="6241" spans="1:25" x14ac:dyDescent="0.25">
      <c r="A6241" t="str">
        <f>"30528648826"</f>
        <v>30528648826</v>
      </c>
      <c r="B6241" t="s">
        <v>716</v>
      </c>
      <c r="C6241" t="s">
        <v>27745</v>
      </c>
      <c r="D6241" t="s">
        <v>27741</v>
      </c>
      <c r="E6241">
        <v>424028</v>
      </c>
      <c r="F6241" t="s">
        <v>1</v>
      </c>
      <c r="G6241" t="s">
        <v>2</v>
      </c>
      <c r="H6241" t="s">
        <v>3628</v>
      </c>
      <c r="I6241" t="s">
        <v>27742</v>
      </c>
      <c r="L6241" t="s">
        <v>27743</v>
      </c>
      <c r="M6241" t="s">
        <v>27744</v>
      </c>
      <c r="P6241" t="s">
        <v>27746</v>
      </c>
      <c r="Y6241" t="s">
        <v>6934</v>
      </c>
    </row>
    <row r="6242" spans="1:25" x14ac:dyDescent="0.25">
      <c r="A6242" t="str">
        <f>"30533778679"</f>
        <v>30533778679</v>
      </c>
      <c r="B6242" t="s">
        <v>574</v>
      </c>
      <c r="C6242" t="s">
        <v>21805</v>
      </c>
      <c r="D6242" t="s">
        <v>24214</v>
      </c>
      <c r="E6242">
        <v>424005</v>
      </c>
      <c r="F6242" t="s">
        <v>1</v>
      </c>
      <c r="G6242" t="s">
        <v>2</v>
      </c>
      <c r="H6242" t="s">
        <v>1148</v>
      </c>
      <c r="J6242" t="s">
        <v>24215</v>
      </c>
      <c r="P6242" t="s">
        <v>216</v>
      </c>
      <c r="Y6242" t="s">
        <v>27747</v>
      </c>
    </row>
    <row r="6243" spans="1:25" x14ac:dyDescent="0.25">
      <c r="A6243" t="str">
        <f>"30581764789"</f>
        <v>30581764789</v>
      </c>
      <c r="B6243" t="s">
        <v>290</v>
      </c>
      <c r="C6243" t="s">
        <v>290</v>
      </c>
      <c r="D6243" t="s">
        <v>13770</v>
      </c>
      <c r="E6243">
        <v>424031</v>
      </c>
      <c r="F6243" t="s">
        <v>1</v>
      </c>
      <c r="G6243" t="s">
        <v>2</v>
      </c>
      <c r="H6243" t="s">
        <v>4141</v>
      </c>
      <c r="Y6243" t="s">
        <v>27748</v>
      </c>
    </row>
    <row r="6244" spans="1:25" x14ac:dyDescent="0.25">
      <c r="A6244" t="str">
        <f>"30597924298"</f>
        <v>30597924298</v>
      </c>
      <c r="B6244" t="s">
        <v>290</v>
      </c>
      <c r="C6244" t="s">
        <v>290</v>
      </c>
      <c r="D6244" t="s">
        <v>27749</v>
      </c>
      <c r="E6244">
        <v>424002</v>
      </c>
      <c r="F6244" t="s">
        <v>1</v>
      </c>
      <c r="G6244" t="s">
        <v>2</v>
      </c>
      <c r="H6244" t="s">
        <v>27750</v>
      </c>
      <c r="P6244" t="s">
        <v>27751</v>
      </c>
      <c r="Q6244" t="s">
        <v>27752</v>
      </c>
      <c r="Y6244" t="s">
        <v>27753</v>
      </c>
    </row>
    <row r="6245" spans="1:25" x14ac:dyDescent="0.25">
      <c r="A6245" t="str">
        <f>"30603460124"</f>
        <v>30603460124</v>
      </c>
      <c r="B6245" t="s">
        <v>7</v>
      </c>
      <c r="C6245" t="s">
        <v>9893</v>
      </c>
      <c r="D6245" t="s">
        <v>27754</v>
      </c>
      <c r="E6245">
        <v>424003</v>
      </c>
      <c r="F6245" t="s">
        <v>1</v>
      </c>
      <c r="G6245" t="s">
        <v>2</v>
      </c>
      <c r="H6245" t="s">
        <v>14928</v>
      </c>
      <c r="I6245" t="s">
        <v>27755</v>
      </c>
      <c r="L6245" t="s">
        <v>27756</v>
      </c>
      <c r="M6245" t="s">
        <v>27757</v>
      </c>
      <c r="P6245" t="s">
        <v>13820</v>
      </c>
      <c r="Q6245" t="s">
        <v>27758</v>
      </c>
      <c r="T6245" t="s">
        <v>27759</v>
      </c>
      <c r="V6245" t="s">
        <v>27760</v>
      </c>
      <c r="Y6245" t="s">
        <v>27761</v>
      </c>
    </row>
    <row r="6246" spans="1:25" x14ac:dyDescent="0.25">
      <c r="A6246" t="str">
        <f>"30604255195"</f>
        <v>30604255195</v>
      </c>
      <c r="B6246" t="s">
        <v>1544</v>
      </c>
      <c r="C6246" t="s">
        <v>15598</v>
      </c>
      <c r="D6246" t="s">
        <v>27762</v>
      </c>
      <c r="E6246">
        <v>424037</v>
      </c>
      <c r="F6246" t="s">
        <v>1</v>
      </c>
      <c r="G6246" t="s">
        <v>2</v>
      </c>
      <c r="H6246" t="s">
        <v>15674</v>
      </c>
      <c r="Y6246" t="s">
        <v>27763</v>
      </c>
    </row>
    <row r="6247" spans="1:25" x14ac:dyDescent="0.25">
      <c r="A6247" t="str">
        <f>"30613032097"</f>
        <v>30613032097</v>
      </c>
      <c r="B6247" t="s">
        <v>96</v>
      </c>
      <c r="C6247" t="s">
        <v>24042</v>
      </c>
      <c r="D6247" t="s">
        <v>24127</v>
      </c>
      <c r="E6247">
        <v>424002</v>
      </c>
      <c r="F6247" t="s">
        <v>1</v>
      </c>
      <c r="G6247" t="s">
        <v>2</v>
      </c>
      <c r="H6247" t="s">
        <v>11581</v>
      </c>
      <c r="Y6247" t="s">
        <v>27764</v>
      </c>
    </row>
    <row r="6248" spans="1:25" x14ac:dyDescent="0.25">
      <c r="A6248" t="str">
        <f>"30614150138"</f>
        <v>30614150138</v>
      </c>
      <c r="B6248" t="s">
        <v>67</v>
      </c>
      <c r="C6248" t="s">
        <v>27252</v>
      </c>
      <c r="D6248" t="s">
        <v>27765</v>
      </c>
      <c r="E6248">
        <v>424030</v>
      </c>
      <c r="F6248" t="s">
        <v>1</v>
      </c>
      <c r="G6248" t="s">
        <v>2</v>
      </c>
      <c r="H6248" t="s">
        <v>24317</v>
      </c>
      <c r="Y6248" t="s">
        <v>27766</v>
      </c>
    </row>
    <row r="6249" spans="1:25" x14ac:dyDescent="0.25">
      <c r="A6249" t="str">
        <f>"30619869515"</f>
        <v>30619869515</v>
      </c>
      <c r="B6249" t="s">
        <v>519</v>
      </c>
      <c r="C6249" t="s">
        <v>27771</v>
      </c>
      <c r="D6249" t="s">
        <v>27767</v>
      </c>
      <c r="E6249">
        <v>424004</v>
      </c>
      <c r="F6249" t="s">
        <v>1</v>
      </c>
      <c r="G6249" t="s">
        <v>2</v>
      </c>
      <c r="H6249" t="s">
        <v>186</v>
      </c>
      <c r="J6249" t="s">
        <v>27768</v>
      </c>
      <c r="L6249" t="s">
        <v>27769</v>
      </c>
      <c r="M6249" t="s">
        <v>27770</v>
      </c>
      <c r="P6249" t="s">
        <v>6400</v>
      </c>
      <c r="Q6249" t="s">
        <v>27772</v>
      </c>
      <c r="V6249" t="s">
        <v>27773</v>
      </c>
      <c r="Y6249" t="s">
        <v>190</v>
      </c>
    </row>
    <row r="6250" spans="1:25" x14ac:dyDescent="0.25">
      <c r="A6250" t="str">
        <f>"30639910781"</f>
        <v>30639910781</v>
      </c>
      <c r="B6250" t="s">
        <v>96</v>
      </c>
      <c r="C6250" t="s">
        <v>12115</v>
      </c>
      <c r="D6250" t="s">
        <v>12115</v>
      </c>
      <c r="E6250">
        <v>424028</v>
      </c>
      <c r="F6250" t="s">
        <v>1</v>
      </c>
      <c r="G6250" t="s">
        <v>2</v>
      </c>
      <c r="H6250" t="s">
        <v>17393</v>
      </c>
      <c r="Y6250" t="s">
        <v>27774</v>
      </c>
    </row>
    <row r="6251" spans="1:25" x14ac:dyDescent="0.25">
      <c r="A6251" t="str">
        <f>"30643946701"</f>
        <v>30643946701</v>
      </c>
      <c r="B6251" t="s">
        <v>7312</v>
      </c>
      <c r="C6251" t="s">
        <v>26456</v>
      </c>
      <c r="D6251" t="s">
        <v>27775</v>
      </c>
      <c r="E6251">
        <v>424019</v>
      </c>
      <c r="F6251" t="s">
        <v>1</v>
      </c>
      <c r="G6251" t="s">
        <v>2</v>
      </c>
      <c r="H6251" t="s">
        <v>12105</v>
      </c>
      <c r="Y6251" t="s">
        <v>14260</v>
      </c>
    </row>
    <row r="6252" spans="1:25" x14ac:dyDescent="0.25">
      <c r="A6252" t="str">
        <f>"30643982295"</f>
        <v>30643982295</v>
      </c>
      <c r="B6252" t="s">
        <v>553</v>
      </c>
      <c r="C6252" t="s">
        <v>554</v>
      </c>
      <c r="D6252" t="s">
        <v>27776</v>
      </c>
      <c r="E6252">
        <v>424033</v>
      </c>
      <c r="F6252" t="s">
        <v>1</v>
      </c>
      <c r="G6252" t="s">
        <v>2</v>
      </c>
      <c r="H6252" t="s">
        <v>25842</v>
      </c>
      <c r="Y6252" t="s">
        <v>27777</v>
      </c>
    </row>
    <row r="6253" spans="1:25" x14ac:dyDescent="0.25">
      <c r="A6253" t="str">
        <f>"30658582659"</f>
        <v>30658582659</v>
      </c>
      <c r="B6253" t="s">
        <v>348</v>
      </c>
      <c r="C6253" t="s">
        <v>27781</v>
      </c>
      <c r="D6253" t="s">
        <v>27778</v>
      </c>
      <c r="F6253" t="s">
        <v>1</v>
      </c>
      <c r="G6253" t="s">
        <v>2</v>
      </c>
      <c r="H6253" t="s">
        <v>138</v>
      </c>
      <c r="J6253" t="s">
        <v>27779</v>
      </c>
      <c r="M6253" t="s">
        <v>27780</v>
      </c>
      <c r="P6253" t="s">
        <v>144</v>
      </c>
      <c r="V6253" t="s">
        <v>27782</v>
      </c>
      <c r="Y6253" t="s">
        <v>27783</v>
      </c>
    </row>
    <row r="6254" spans="1:25" x14ac:dyDescent="0.25">
      <c r="A6254" t="str">
        <f>"30695407971"</f>
        <v>30695407971</v>
      </c>
      <c r="B6254" t="s">
        <v>574</v>
      </c>
      <c r="C6254" t="s">
        <v>10644</v>
      </c>
      <c r="D6254" t="s">
        <v>25486</v>
      </c>
      <c r="E6254">
        <v>424019</v>
      </c>
      <c r="F6254" t="s">
        <v>1</v>
      </c>
      <c r="G6254" t="s">
        <v>2</v>
      </c>
      <c r="H6254" t="s">
        <v>1460</v>
      </c>
      <c r="I6254" t="s">
        <v>25488</v>
      </c>
      <c r="L6254" t="s">
        <v>18047</v>
      </c>
      <c r="M6254" t="s">
        <v>18048</v>
      </c>
      <c r="P6254" t="s">
        <v>647</v>
      </c>
      <c r="Y6254" t="s">
        <v>27784</v>
      </c>
    </row>
    <row r="6255" spans="1:25" x14ac:dyDescent="0.25">
      <c r="A6255" t="str">
        <f>"30883205205"</f>
        <v>30883205205</v>
      </c>
      <c r="B6255" t="s">
        <v>2790</v>
      </c>
      <c r="C6255" t="s">
        <v>27789</v>
      </c>
      <c r="D6255" t="s">
        <v>27785</v>
      </c>
      <c r="E6255">
        <v>424002</v>
      </c>
      <c r="F6255" t="s">
        <v>1</v>
      </c>
      <c r="G6255" t="s">
        <v>2</v>
      </c>
      <c r="H6255" t="s">
        <v>14916</v>
      </c>
      <c r="J6255" t="s">
        <v>27786</v>
      </c>
      <c r="L6255" t="s">
        <v>27787</v>
      </c>
      <c r="M6255" t="s">
        <v>27788</v>
      </c>
      <c r="P6255" t="s">
        <v>16441</v>
      </c>
      <c r="Q6255" t="s">
        <v>27790</v>
      </c>
      <c r="T6255" t="s">
        <v>27791</v>
      </c>
      <c r="V6255" t="s">
        <v>27792</v>
      </c>
      <c r="Y6255" t="s">
        <v>27793</v>
      </c>
    </row>
    <row r="6256" spans="1:25" x14ac:dyDescent="0.25">
      <c r="A6256" t="str">
        <f>"30897094930"</f>
        <v>30897094930</v>
      </c>
      <c r="B6256" t="s">
        <v>7</v>
      </c>
      <c r="C6256" t="s">
        <v>14013</v>
      </c>
      <c r="D6256" t="s">
        <v>27794</v>
      </c>
      <c r="E6256">
        <v>424008</v>
      </c>
      <c r="F6256" t="s">
        <v>1</v>
      </c>
      <c r="G6256" t="s">
        <v>2</v>
      </c>
      <c r="H6256" t="s">
        <v>1012</v>
      </c>
      <c r="I6256" t="s">
        <v>27795</v>
      </c>
      <c r="J6256" t="s">
        <v>27796</v>
      </c>
      <c r="P6256" t="s">
        <v>133</v>
      </c>
      <c r="Y6256" t="s">
        <v>1016</v>
      </c>
    </row>
    <row r="6257" spans="1:25" x14ac:dyDescent="0.25">
      <c r="A6257" t="str">
        <f>"30902818413"</f>
        <v>30902818413</v>
      </c>
      <c r="B6257" t="s">
        <v>96</v>
      </c>
      <c r="C6257" t="s">
        <v>893</v>
      </c>
      <c r="D6257" t="s">
        <v>27797</v>
      </c>
      <c r="E6257">
        <v>424032</v>
      </c>
      <c r="F6257" t="s">
        <v>1</v>
      </c>
      <c r="G6257" t="s">
        <v>2</v>
      </c>
      <c r="H6257" t="s">
        <v>2250</v>
      </c>
      <c r="Y6257" t="s">
        <v>27798</v>
      </c>
    </row>
    <row r="6258" spans="1:25" x14ac:dyDescent="0.25">
      <c r="A6258" t="str">
        <f>"30951192529"</f>
        <v>30951192529</v>
      </c>
      <c r="B6258" t="s">
        <v>530</v>
      </c>
      <c r="C6258" t="s">
        <v>23950</v>
      </c>
      <c r="D6258" t="s">
        <v>23950</v>
      </c>
      <c r="F6258" t="s">
        <v>1</v>
      </c>
      <c r="G6258" t="s">
        <v>2</v>
      </c>
      <c r="H6258" t="s">
        <v>20904</v>
      </c>
      <c r="Y6258" t="s">
        <v>27799</v>
      </c>
    </row>
    <row r="6259" spans="1:25" x14ac:dyDescent="0.25">
      <c r="A6259" t="str">
        <f>"30974730856"</f>
        <v>30974730856</v>
      </c>
      <c r="B6259" t="s">
        <v>2846</v>
      </c>
      <c r="C6259" t="s">
        <v>10170</v>
      </c>
      <c r="D6259" t="s">
        <v>27800</v>
      </c>
      <c r="E6259">
        <v>424031</v>
      </c>
      <c r="F6259" t="s">
        <v>1</v>
      </c>
      <c r="G6259" t="s">
        <v>2</v>
      </c>
      <c r="H6259" t="s">
        <v>7118</v>
      </c>
      <c r="I6259" t="s">
        <v>27801</v>
      </c>
      <c r="L6259" t="s">
        <v>27802</v>
      </c>
      <c r="M6259" t="s">
        <v>27803</v>
      </c>
      <c r="P6259" t="s">
        <v>5829</v>
      </c>
      <c r="Q6259" t="s">
        <v>27804</v>
      </c>
      <c r="T6259" t="s">
        <v>27805</v>
      </c>
      <c r="V6259" t="s">
        <v>27806</v>
      </c>
      <c r="Y6259" t="s">
        <v>27807</v>
      </c>
    </row>
    <row r="6260" spans="1:25" x14ac:dyDescent="0.25">
      <c r="A6260" t="str">
        <f>"30990430716"</f>
        <v>30990430716</v>
      </c>
      <c r="B6260" t="s">
        <v>930</v>
      </c>
      <c r="C6260" t="s">
        <v>927</v>
      </c>
      <c r="D6260" t="s">
        <v>27808</v>
      </c>
      <c r="F6260" t="s">
        <v>1</v>
      </c>
      <c r="G6260" t="s">
        <v>2</v>
      </c>
      <c r="H6260" t="s">
        <v>19259</v>
      </c>
      <c r="I6260" t="s">
        <v>27809</v>
      </c>
      <c r="J6260" t="s">
        <v>27810</v>
      </c>
      <c r="P6260" t="s">
        <v>2457</v>
      </c>
      <c r="V6260" t="s">
        <v>27811</v>
      </c>
      <c r="Y6260" t="s">
        <v>27812</v>
      </c>
    </row>
    <row r="6261" spans="1:25" x14ac:dyDescent="0.25">
      <c r="A6261" t="str">
        <f>"31017304111"</f>
        <v>31017304111</v>
      </c>
      <c r="B6261" t="s">
        <v>703</v>
      </c>
      <c r="C6261" t="s">
        <v>2129</v>
      </c>
      <c r="D6261" t="s">
        <v>2129</v>
      </c>
      <c r="E6261">
        <v>424007</v>
      </c>
      <c r="F6261" t="s">
        <v>1</v>
      </c>
      <c r="G6261" t="s">
        <v>2</v>
      </c>
      <c r="H6261" t="s">
        <v>4666</v>
      </c>
      <c r="J6261" t="s">
        <v>27813</v>
      </c>
      <c r="P6261" t="s">
        <v>330</v>
      </c>
      <c r="Y6261" t="s">
        <v>27814</v>
      </c>
    </row>
    <row r="6262" spans="1:25" x14ac:dyDescent="0.25">
      <c r="A6262" t="str">
        <f>"31088515972"</f>
        <v>31088515972</v>
      </c>
      <c r="B6262" t="s">
        <v>530</v>
      </c>
      <c r="C6262" t="s">
        <v>23950</v>
      </c>
      <c r="D6262" t="s">
        <v>23950</v>
      </c>
      <c r="F6262" t="s">
        <v>1</v>
      </c>
      <c r="G6262" t="s">
        <v>2</v>
      </c>
      <c r="H6262" t="s">
        <v>27815</v>
      </c>
      <c r="Y6262" t="s">
        <v>27816</v>
      </c>
    </row>
    <row r="6263" spans="1:25" x14ac:dyDescent="0.25">
      <c r="A6263" t="str">
        <f>"31088586225"</f>
        <v>31088586225</v>
      </c>
      <c r="B6263" t="s">
        <v>469</v>
      </c>
      <c r="C6263" t="s">
        <v>16091</v>
      </c>
      <c r="D6263" t="s">
        <v>27817</v>
      </c>
      <c r="E6263">
        <v>424033</v>
      </c>
      <c r="F6263" t="s">
        <v>1</v>
      </c>
      <c r="G6263" t="s">
        <v>2</v>
      </c>
      <c r="H6263" t="s">
        <v>14856</v>
      </c>
      <c r="I6263" t="s">
        <v>27818</v>
      </c>
      <c r="L6263" t="s">
        <v>27819</v>
      </c>
      <c r="M6263" t="s">
        <v>27820</v>
      </c>
      <c r="P6263" t="s">
        <v>27821</v>
      </c>
      <c r="Q6263" t="s">
        <v>27822</v>
      </c>
      <c r="V6263" t="s">
        <v>27823</v>
      </c>
      <c r="Y6263" t="s">
        <v>27824</v>
      </c>
    </row>
    <row r="6264" spans="1:25" x14ac:dyDescent="0.25">
      <c r="A6264" t="str">
        <f>"31091869285"</f>
        <v>31091869285</v>
      </c>
      <c r="B6264" t="s">
        <v>519</v>
      </c>
      <c r="C6264" t="s">
        <v>27829</v>
      </c>
      <c r="D6264" t="s">
        <v>27825</v>
      </c>
      <c r="E6264">
        <v>424000</v>
      </c>
      <c r="F6264" t="s">
        <v>1</v>
      </c>
      <c r="G6264" t="s">
        <v>2</v>
      </c>
      <c r="H6264" t="s">
        <v>837</v>
      </c>
      <c r="J6264" t="s">
        <v>27826</v>
      </c>
      <c r="L6264" t="s">
        <v>27827</v>
      </c>
      <c r="M6264" t="s">
        <v>27828</v>
      </c>
      <c r="P6264" t="s">
        <v>1855</v>
      </c>
      <c r="V6264" t="s">
        <v>27830</v>
      </c>
      <c r="Y6264" t="s">
        <v>27831</v>
      </c>
    </row>
    <row r="6265" spans="1:25" x14ac:dyDescent="0.25">
      <c r="A6265" t="str">
        <f>"31100581333"</f>
        <v>31100581333</v>
      </c>
      <c r="B6265" t="s">
        <v>18</v>
      </c>
      <c r="C6265" t="s">
        <v>27837</v>
      </c>
      <c r="D6265" t="s">
        <v>27832</v>
      </c>
      <c r="E6265">
        <v>424006</v>
      </c>
      <c r="F6265" t="s">
        <v>1</v>
      </c>
      <c r="G6265" t="s">
        <v>2</v>
      </c>
      <c r="H6265" t="s">
        <v>27833</v>
      </c>
      <c r="I6265" t="s">
        <v>27834</v>
      </c>
      <c r="J6265" t="s">
        <v>27835</v>
      </c>
      <c r="M6265" t="s">
        <v>27836</v>
      </c>
      <c r="P6265" t="s">
        <v>27838</v>
      </c>
      <c r="Q6265" t="s">
        <v>27839</v>
      </c>
      <c r="V6265" t="s">
        <v>27840</v>
      </c>
      <c r="Y6265" t="s">
        <v>712</v>
      </c>
    </row>
    <row r="6266" spans="1:25" x14ac:dyDescent="0.25">
      <c r="A6266" t="str">
        <f>"31107064426"</f>
        <v>31107064426</v>
      </c>
      <c r="B6266" t="s">
        <v>348</v>
      </c>
      <c r="C6266" t="s">
        <v>24364</v>
      </c>
      <c r="D6266" t="s">
        <v>27841</v>
      </c>
      <c r="E6266">
        <v>424033</v>
      </c>
      <c r="F6266" t="s">
        <v>1</v>
      </c>
      <c r="G6266" t="s">
        <v>2</v>
      </c>
      <c r="H6266" t="s">
        <v>1782</v>
      </c>
      <c r="I6266" t="s">
        <v>27842</v>
      </c>
      <c r="Q6266" t="s">
        <v>27843</v>
      </c>
      <c r="Y6266" t="s">
        <v>24609</v>
      </c>
    </row>
    <row r="6267" spans="1:25" x14ac:dyDescent="0.25">
      <c r="A6267" t="str">
        <f>"31117747177"</f>
        <v>31117747177</v>
      </c>
      <c r="B6267" t="s">
        <v>3200</v>
      </c>
      <c r="C6267" t="s">
        <v>18948</v>
      </c>
      <c r="D6267" t="s">
        <v>27844</v>
      </c>
      <c r="E6267">
        <v>424002</v>
      </c>
      <c r="F6267" t="s">
        <v>1</v>
      </c>
      <c r="G6267" t="s">
        <v>2</v>
      </c>
      <c r="H6267" t="s">
        <v>1950</v>
      </c>
      <c r="I6267" t="s">
        <v>27845</v>
      </c>
      <c r="J6267" t="s">
        <v>27846</v>
      </c>
      <c r="P6267" t="s">
        <v>1027</v>
      </c>
      <c r="Y6267" t="s">
        <v>27847</v>
      </c>
    </row>
    <row r="6268" spans="1:25" x14ac:dyDescent="0.25">
      <c r="A6268" t="str">
        <f>"31159396234"</f>
        <v>31159396234</v>
      </c>
      <c r="B6268" t="s">
        <v>348</v>
      </c>
      <c r="C6268" t="s">
        <v>4366</v>
      </c>
      <c r="D6268" t="s">
        <v>27848</v>
      </c>
      <c r="F6268" t="s">
        <v>1</v>
      </c>
      <c r="G6268" t="s">
        <v>2</v>
      </c>
      <c r="H6268" t="s">
        <v>138</v>
      </c>
      <c r="J6268" t="s">
        <v>27849</v>
      </c>
      <c r="P6268" t="s">
        <v>144</v>
      </c>
      <c r="Y6268" t="s">
        <v>146</v>
      </c>
    </row>
    <row r="6269" spans="1:25" x14ac:dyDescent="0.25">
      <c r="A6269" t="str">
        <f>"31249832404"</f>
        <v>31249832404</v>
      </c>
      <c r="B6269" t="s">
        <v>80</v>
      </c>
      <c r="C6269" t="s">
        <v>3295</v>
      </c>
      <c r="D6269" t="s">
        <v>27850</v>
      </c>
      <c r="E6269">
        <v>424030</v>
      </c>
      <c r="F6269" t="s">
        <v>1</v>
      </c>
      <c r="G6269" t="s">
        <v>2</v>
      </c>
      <c r="H6269" t="s">
        <v>440</v>
      </c>
      <c r="Y6269" t="s">
        <v>27851</v>
      </c>
    </row>
    <row r="6270" spans="1:25" x14ac:dyDescent="0.25">
      <c r="A6270" t="str">
        <f>"31274011877"</f>
        <v>31274011877</v>
      </c>
      <c r="B6270" t="s">
        <v>290</v>
      </c>
      <c r="C6270" t="s">
        <v>27856</v>
      </c>
      <c r="D6270" t="s">
        <v>27852</v>
      </c>
      <c r="E6270">
        <v>424033</v>
      </c>
      <c r="F6270" t="s">
        <v>1</v>
      </c>
      <c r="G6270" t="s">
        <v>2</v>
      </c>
      <c r="H6270" t="s">
        <v>2720</v>
      </c>
      <c r="J6270" t="s">
        <v>27853</v>
      </c>
      <c r="L6270" t="s">
        <v>27854</v>
      </c>
      <c r="M6270" t="s">
        <v>27855</v>
      </c>
      <c r="P6270" t="s">
        <v>27857</v>
      </c>
      <c r="Q6270" t="s">
        <v>27858</v>
      </c>
      <c r="U6270" t="s">
        <v>27859</v>
      </c>
      <c r="V6270" t="s">
        <v>27860</v>
      </c>
      <c r="Y6270" t="s">
        <v>27861</v>
      </c>
    </row>
    <row r="6271" spans="1:25" x14ac:dyDescent="0.25">
      <c r="A6271" t="str">
        <f>"31284924744"</f>
        <v>31284924744</v>
      </c>
      <c r="B6271" t="s">
        <v>290</v>
      </c>
      <c r="C6271" t="s">
        <v>11114</v>
      </c>
      <c r="D6271" t="s">
        <v>27862</v>
      </c>
      <c r="E6271">
        <v>424000</v>
      </c>
      <c r="F6271" t="s">
        <v>1</v>
      </c>
      <c r="G6271" t="s">
        <v>2</v>
      </c>
      <c r="H6271" t="s">
        <v>3665</v>
      </c>
      <c r="P6271" t="s">
        <v>152</v>
      </c>
      <c r="Y6271" t="s">
        <v>4649</v>
      </c>
    </row>
    <row r="6272" spans="1:25" x14ac:dyDescent="0.25">
      <c r="A6272" t="str">
        <f>"31322626078"</f>
        <v>31322626078</v>
      </c>
      <c r="B6272" t="s">
        <v>88</v>
      </c>
      <c r="C6272" t="s">
        <v>27865</v>
      </c>
      <c r="D6272" t="s">
        <v>27863</v>
      </c>
      <c r="E6272">
        <v>424036</v>
      </c>
      <c r="F6272" t="s">
        <v>1</v>
      </c>
      <c r="G6272" t="s">
        <v>2</v>
      </c>
      <c r="H6272" t="s">
        <v>5317</v>
      </c>
      <c r="I6272" t="s">
        <v>27864</v>
      </c>
      <c r="Q6272" t="s">
        <v>27866</v>
      </c>
      <c r="Y6272" t="s">
        <v>13728</v>
      </c>
    </row>
    <row r="6273" spans="1:25" x14ac:dyDescent="0.25">
      <c r="A6273" t="str">
        <f>"31325761911"</f>
        <v>31325761911</v>
      </c>
      <c r="B6273" t="s">
        <v>96</v>
      </c>
      <c r="C6273" t="s">
        <v>659</v>
      </c>
      <c r="D6273" t="s">
        <v>27867</v>
      </c>
      <c r="E6273">
        <v>424918</v>
      </c>
      <c r="F6273" t="s">
        <v>1</v>
      </c>
      <c r="G6273" t="s">
        <v>2</v>
      </c>
      <c r="H6273" t="s">
        <v>629</v>
      </c>
      <c r="P6273" t="s">
        <v>630</v>
      </c>
      <c r="Y6273" t="s">
        <v>27868</v>
      </c>
    </row>
    <row r="6274" spans="1:25" x14ac:dyDescent="0.25">
      <c r="A6274" t="str">
        <f>"31393351746"</f>
        <v>31393351746</v>
      </c>
      <c r="B6274" t="s">
        <v>284</v>
      </c>
      <c r="C6274" t="s">
        <v>3445</v>
      </c>
      <c r="D6274" t="s">
        <v>27869</v>
      </c>
      <c r="E6274">
        <v>424005</v>
      </c>
      <c r="F6274" t="s">
        <v>1</v>
      </c>
      <c r="G6274" t="s">
        <v>2</v>
      </c>
      <c r="H6274" t="s">
        <v>22463</v>
      </c>
      <c r="I6274" t="s">
        <v>27870</v>
      </c>
      <c r="Y6274" t="s">
        <v>27871</v>
      </c>
    </row>
    <row r="6275" spans="1:25" x14ac:dyDescent="0.25">
      <c r="A6275" t="str">
        <f>"31429362812"</f>
        <v>31429362812</v>
      </c>
      <c r="B6275" t="s">
        <v>574</v>
      </c>
      <c r="C6275" t="s">
        <v>646</v>
      </c>
      <c r="D6275" t="s">
        <v>4221</v>
      </c>
      <c r="E6275">
        <v>424028</v>
      </c>
      <c r="F6275" t="s">
        <v>1</v>
      </c>
      <c r="G6275" t="s">
        <v>2</v>
      </c>
      <c r="H6275" t="s">
        <v>7204</v>
      </c>
      <c r="Y6275" t="s">
        <v>25933</v>
      </c>
    </row>
    <row r="6276" spans="1:25" x14ac:dyDescent="0.25">
      <c r="A6276" t="str">
        <f>"31462114263"</f>
        <v>31462114263</v>
      </c>
      <c r="B6276" t="s">
        <v>1078</v>
      </c>
      <c r="C6276" t="s">
        <v>25481</v>
      </c>
      <c r="D6276" t="s">
        <v>7229</v>
      </c>
      <c r="E6276">
        <v>424020</v>
      </c>
      <c r="F6276" t="s">
        <v>1</v>
      </c>
      <c r="G6276" t="s">
        <v>2</v>
      </c>
      <c r="H6276" t="s">
        <v>23</v>
      </c>
      <c r="Y6276" t="s">
        <v>27872</v>
      </c>
    </row>
    <row r="6277" spans="1:25" x14ac:dyDescent="0.25">
      <c r="A6277" t="str">
        <f>"31490765929"</f>
        <v>31490765929</v>
      </c>
      <c r="B6277" t="s">
        <v>530</v>
      </c>
      <c r="C6277" t="s">
        <v>23950</v>
      </c>
      <c r="D6277" t="s">
        <v>23950</v>
      </c>
      <c r="F6277" t="s">
        <v>1</v>
      </c>
      <c r="G6277" t="s">
        <v>2</v>
      </c>
      <c r="H6277" t="s">
        <v>27873</v>
      </c>
      <c r="Y6277" t="s">
        <v>27874</v>
      </c>
    </row>
    <row r="6278" spans="1:25" x14ac:dyDescent="0.25">
      <c r="A6278" t="str">
        <f>"31510950929"</f>
        <v>31510950929</v>
      </c>
      <c r="B6278" t="s">
        <v>1611</v>
      </c>
      <c r="C6278" t="s">
        <v>11688</v>
      </c>
      <c r="D6278" t="s">
        <v>27875</v>
      </c>
      <c r="E6278">
        <v>424002</v>
      </c>
      <c r="F6278" t="s">
        <v>1</v>
      </c>
      <c r="G6278" t="s">
        <v>2</v>
      </c>
      <c r="H6278" t="s">
        <v>20175</v>
      </c>
      <c r="L6278" t="s">
        <v>20111</v>
      </c>
      <c r="M6278" t="s">
        <v>20178</v>
      </c>
      <c r="P6278" t="s">
        <v>410</v>
      </c>
      <c r="Y6278" t="s">
        <v>24301</v>
      </c>
    </row>
    <row r="6279" spans="1:25" x14ac:dyDescent="0.25">
      <c r="A6279" t="str">
        <f>"31539013982"</f>
        <v>31539013982</v>
      </c>
      <c r="B6279" t="s">
        <v>96</v>
      </c>
      <c r="C6279" t="s">
        <v>695</v>
      </c>
      <c r="D6279" t="s">
        <v>23756</v>
      </c>
      <c r="E6279">
        <v>424006</v>
      </c>
      <c r="F6279" t="s">
        <v>1</v>
      </c>
      <c r="G6279" t="s">
        <v>2</v>
      </c>
      <c r="H6279" t="s">
        <v>1890</v>
      </c>
      <c r="Y6279" t="s">
        <v>1893</v>
      </c>
    </row>
    <row r="6280" spans="1:25" x14ac:dyDescent="0.25">
      <c r="A6280" t="str">
        <f>"31545071618"</f>
        <v>31545071618</v>
      </c>
      <c r="B6280" t="s">
        <v>96</v>
      </c>
      <c r="C6280" t="s">
        <v>8479</v>
      </c>
      <c r="D6280" t="s">
        <v>27876</v>
      </c>
      <c r="E6280">
        <v>424000</v>
      </c>
      <c r="F6280" t="s">
        <v>1</v>
      </c>
      <c r="G6280" t="s">
        <v>2</v>
      </c>
      <c r="H6280" t="s">
        <v>24617</v>
      </c>
      <c r="P6280" t="s">
        <v>20874</v>
      </c>
      <c r="Y6280" t="s">
        <v>27877</v>
      </c>
    </row>
    <row r="6281" spans="1:25" x14ac:dyDescent="0.25">
      <c r="A6281" t="str">
        <f>"31546475125"</f>
        <v>31546475125</v>
      </c>
      <c r="B6281" t="s">
        <v>930</v>
      </c>
      <c r="C6281" t="s">
        <v>27882</v>
      </c>
      <c r="D6281" t="s">
        <v>27878</v>
      </c>
      <c r="E6281">
        <v>424007</v>
      </c>
      <c r="F6281" t="s">
        <v>1</v>
      </c>
      <c r="G6281" t="s">
        <v>2</v>
      </c>
      <c r="H6281" t="s">
        <v>17849</v>
      </c>
      <c r="I6281" t="s">
        <v>27879</v>
      </c>
      <c r="L6281" t="s">
        <v>27880</v>
      </c>
      <c r="M6281" t="s">
        <v>27881</v>
      </c>
      <c r="P6281" t="s">
        <v>4671</v>
      </c>
      <c r="Q6281" t="s">
        <v>27883</v>
      </c>
      <c r="T6281" t="s">
        <v>27884</v>
      </c>
      <c r="Y6281" t="s">
        <v>20608</v>
      </c>
    </row>
    <row r="6282" spans="1:25" x14ac:dyDescent="0.25">
      <c r="A6282" t="str">
        <f>"31567617566"</f>
        <v>31567617566</v>
      </c>
      <c r="B6282" t="s">
        <v>574</v>
      </c>
      <c r="C6282" t="s">
        <v>14652</v>
      </c>
      <c r="D6282" t="s">
        <v>27885</v>
      </c>
      <c r="E6282">
        <v>424020</v>
      </c>
      <c r="F6282" t="s">
        <v>1</v>
      </c>
      <c r="G6282" t="s">
        <v>2</v>
      </c>
      <c r="H6282" t="s">
        <v>802</v>
      </c>
      <c r="P6282" t="s">
        <v>27886</v>
      </c>
      <c r="Y6282" t="s">
        <v>27887</v>
      </c>
    </row>
    <row r="6283" spans="1:25" x14ac:dyDescent="0.25">
      <c r="A6283" t="str">
        <f>"31605594039"</f>
        <v>31605594039</v>
      </c>
      <c r="B6283" t="s">
        <v>1611</v>
      </c>
      <c r="C6283" t="s">
        <v>3218</v>
      </c>
      <c r="D6283" t="s">
        <v>27888</v>
      </c>
      <c r="E6283">
        <v>424030</v>
      </c>
      <c r="F6283" t="s">
        <v>1</v>
      </c>
      <c r="G6283" t="s">
        <v>2</v>
      </c>
      <c r="H6283" t="s">
        <v>6529</v>
      </c>
      <c r="Y6283" t="s">
        <v>27889</v>
      </c>
    </row>
    <row r="6284" spans="1:25" x14ac:dyDescent="0.25">
      <c r="A6284" t="str">
        <f>"31614353865"</f>
        <v>31614353865</v>
      </c>
      <c r="B6284" t="s">
        <v>32</v>
      </c>
      <c r="C6284" t="s">
        <v>40</v>
      </c>
      <c r="D6284" t="s">
        <v>27890</v>
      </c>
      <c r="E6284">
        <v>424028</v>
      </c>
      <c r="F6284" t="s">
        <v>1</v>
      </c>
      <c r="G6284" t="s">
        <v>2</v>
      </c>
      <c r="H6284" t="s">
        <v>4480</v>
      </c>
      <c r="Y6284" t="s">
        <v>27891</v>
      </c>
    </row>
    <row r="6285" spans="1:25" x14ac:dyDescent="0.25">
      <c r="A6285" t="str">
        <f>"31634104780"</f>
        <v>31634104780</v>
      </c>
      <c r="B6285" t="s">
        <v>18</v>
      </c>
      <c r="C6285" t="s">
        <v>27892</v>
      </c>
      <c r="D6285" t="s">
        <v>17020</v>
      </c>
      <c r="E6285">
        <v>424016</v>
      </c>
      <c r="F6285" t="s">
        <v>1</v>
      </c>
      <c r="G6285" t="s">
        <v>2</v>
      </c>
      <c r="H6285" t="s">
        <v>5202</v>
      </c>
      <c r="J6285" t="s">
        <v>17021</v>
      </c>
      <c r="P6285" t="s">
        <v>21948</v>
      </c>
      <c r="Y6285" t="s">
        <v>5210</v>
      </c>
    </row>
    <row r="6286" spans="1:25" x14ac:dyDescent="0.25">
      <c r="A6286" t="str">
        <f>"31635749389"</f>
        <v>31635749389</v>
      </c>
      <c r="B6286" t="s">
        <v>25</v>
      </c>
      <c r="C6286" t="s">
        <v>24938</v>
      </c>
      <c r="D6286" t="s">
        <v>27893</v>
      </c>
      <c r="E6286">
        <v>424028</v>
      </c>
      <c r="F6286" t="s">
        <v>1</v>
      </c>
      <c r="G6286" t="s">
        <v>2</v>
      </c>
      <c r="H6286" t="s">
        <v>27894</v>
      </c>
      <c r="I6286" t="s">
        <v>27895</v>
      </c>
      <c r="M6286" t="s">
        <v>27896</v>
      </c>
      <c r="Y6286" t="s">
        <v>27897</v>
      </c>
    </row>
    <row r="6287" spans="1:25" x14ac:dyDescent="0.25">
      <c r="A6287" t="str">
        <f>"31665556750"</f>
        <v>31665556750</v>
      </c>
      <c r="B6287" t="s">
        <v>574</v>
      </c>
      <c r="C6287" t="s">
        <v>23462</v>
      </c>
      <c r="D6287" t="s">
        <v>27898</v>
      </c>
      <c r="E6287">
        <v>424038</v>
      </c>
      <c r="F6287" t="s">
        <v>1</v>
      </c>
      <c r="G6287" t="s">
        <v>2</v>
      </c>
      <c r="H6287" t="s">
        <v>2614</v>
      </c>
      <c r="Y6287" t="s">
        <v>27899</v>
      </c>
    </row>
    <row r="6288" spans="1:25" x14ac:dyDescent="0.25">
      <c r="A6288" t="str">
        <f>"31669430902"</f>
        <v>31669430902</v>
      </c>
      <c r="B6288" t="s">
        <v>319</v>
      </c>
      <c r="C6288" t="s">
        <v>320</v>
      </c>
      <c r="D6288" t="s">
        <v>27900</v>
      </c>
      <c r="E6288">
        <v>424036</v>
      </c>
      <c r="F6288" t="s">
        <v>1</v>
      </c>
      <c r="G6288" t="s">
        <v>2</v>
      </c>
      <c r="H6288" t="s">
        <v>5317</v>
      </c>
      <c r="L6288" t="s">
        <v>27901</v>
      </c>
      <c r="M6288" t="s">
        <v>27902</v>
      </c>
      <c r="P6288" t="s">
        <v>2044</v>
      </c>
      <c r="Q6288" t="s">
        <v>27903</v>
      </c>
      <c r="Y6288" t="s">
        <v>13728</v>
      </c>
    </row>
    <row r="6289" spans="1:25" x14ac:dyDescent="0.25">
      <c r="A6289" t="str">
        <f>"31676681042"</f>
        <v>31676681042</v>
      </c>
      <c r="B6289" t="s">
        <v>32</v>
      </c>
      <c r="C6289" t="s">
        <v>182</v>
      </c>
      <c r="D6289" t="s">
        <v>27904</v>
      </c>
      <c r="E6289">
        <v>424019</v>
      </c>
      <c r="F6289" t="s">
        <v>1</v>
      </c>
      <c r="G6289" t="s">
        <v>2</v>
      </c>
      <c r="H6289" t="s">
        <v>13204</v>
      </c>
      <c r="J6289" t="s">
        <v>27905</v>
      </c>
      <c r="Y6289" t="s">
        <v>27906</v>
      </c>
    </row>
    <row r="6290" spans="1:25" x14ac:dyDescent="0.25">
      <c r="A6290" t="str">
        <f>"31707796682"</f>
        <v>31707796682</v>
      </c>
      <c r="B6290" t="s">
        <v>176</v>
      </c>
      <c r="C6290" t="s">
        <v>250</v>
      </c>
      <c r="D6290" t="s">
        <v>27907</v>
      </c>
      <c r="E6290">
        <v>424002</v>
      </c>
      <c r="F6290" t="s">
        <v>1</v>
      </c>
      <c r="G6290" t="s">
        <v>2</v>
      </c>
      <c r="H6290" t="s">
        <v>3611</v>
      </c>
      <c r="I6290" t="s">
        <v>27908</v>
      </c>
      <c r="J6290" t="s">
        <v>27909</v>
      </c>
      <c r="M6290" t="s">
        <v>27910</v>
      </c>
      <c r="P6290" t="s">
        <v>27911</v>
      </c>
      <c r="Y6290" t="s">
        <v>8388</v>
      </c>
    </row>
    <row r="6291" spans="1:25" x14ac:dyDescent="0.25">
      <c r="A6291" t="str">
        <f>"31759272110"</f>
        <v>31759272110</v>
      </c>
      <c r="B6291" t="s">
        <v>96</v>
      </c>
      <c r="C6291" t="s">
        <v>893</v>
      </c>
      <c r="D6291" t="s">
        <v>27912</v>
      </c>
      <c r="E6291">
        <v>424038</v>
      </c>
      <c r="F6291" t="s">
        <v>1</v>
      </c>
      <c r="G6291" t="s">
        <v>2</v>
      </c>
      <c r="H6291" t="s">
        <v>2614</v>
      </c>
      <c r="Y6291" t="s">
        <v>2617</v>
      </c>
    </row>
    <row r="6292" spans="1:25" x14ac:dyDescent="0.25">
      <c r="A6292" t="str">
        <f>"31765997963"</f>
        <v>31765997963</v>
      </c>
      <c r="B6292" t="s">
        <v>1343</v>
      </c>
      <c r="C6292" t="s">
        <v>1344</v>
      </c>
      <c r="D6292" t="s">
        <v>27913</v>
      </c>
      <c r="E6292">
        <v>424005</v>
      </c>
      <c r="F6292" t="s">
        <v>1</v>
      </c>
      <c r="G6292" t="s">
        <v>2</v>
      </c>
      <c r="H6292" t="s">
        <v>4965</v>
      </c>
      <c r="Y6292" t="s">
        <v>27373</v>
      </c>
    </row>
    <row r="6293" spans="1:25" x14ac:dyDescent="0.25">
      <c r="A6293" t="str">
        <f>"31840233673"</f>
        <v>31840233673</v>
      </c>
      <c r="B6293" t="s">
        <v>348</v>
      </c>
      <c r="C6293" t="s">
        <v>21775</v>
      </c>
      <c r="D6293" t="s">
        <v>25445</v>
      </c>
      <c r="E6293">
        <v>424002</v>
      </c>
      <c r="F6293" t="s">
        <v>1</v>
      </c>
      <c r="G6293" t="s">
        <v>2</v>
      </c>
      <c r="H6293" t="s">
        <v>5967</v>
      </c>
      <c r="Y6293" t="s">
        <v>27914</v>
      </c>
    </row>
    <row r="6294" spans="1:25" x14ac:dyDescent="0.25">
      <c r="A6294" t="str">
        <f>"31857551062"</f>
        <v>31857551062</v>
      </c>
      <c r="B6294" t="s">
        <v>519</v>
      </c>
      <c r="C6294" t="s">
        <v>27917</v>
      </c>
      <c r="D6294" t="s">
        <v>27915</v>
      </c>
      <c r="F6294" t="s">
        <v>1</v>
      </c>
      <c r="G6294" t="s">
        <v>2</v>
      </c>
      <c r="H6294" t="s">
        <v>15435</v>
      </c>
      <c r="I6294" t="s">
        <v>27916</v>
      </c>
      <c r="L6294" t="s">
        <v>581</v>
      </c>
      <c r="M6294" t="s">
        <v>582</v>
      </c>
      <c r="Y6294" t="s">
        <v>27918</v>
      </c>
    </row>
    <row r="6295" spans="1:25" x14ac:dyDescent="0.25">
      <c r="A6295" t="str">
        <f>"31891197464"</f>
        <v>31891197464</v>
      </c>
      <c r="B6295" t="s">
        <v>188</v>
      </c>
      <c r="C6295" t="s">
        <v>23982</v>
      </c>
      <c r="D6295" t="s">
        <v>23982</v>
      </c>
      <c r="E6295">
        <v>424000</v>
      </c>
      <c r="F6295" t="s">
        <v>1</v>
      </c>
      <c r="G6295" t="s">
        <v>2</v>
      </c>
      <c r="H6295" t="s">
        <v>4492</v>
      </c>
      <c r="Y6295" t="s">
        <v>27919</v>
      </c>
    </row>
    <row r="6296" spans="1:25" x14ac:dyDescent="0.25">
      <c r="A6296" t="str">
        <f>"31908441358"</f>
        <v>31908441358</v>
      </c>
      <c r="B6296" t="s">
        <v>553</v>
      </c>
      <c r="C6296" t="s">
        <v>12001</v>
      </c>
      <c r="D6296" t="s">
        <v>27920</v>
      </c>
      <c r="E6296">
        <v>424004</v>
      </c>
      <c r="F6296" t="s">
        <v>1</v>
      </c>
      <c r="G6296" t="s">
        <v>2</v>
      </c>
      <c r="H6296" t="s">
        <v>13630</v>
      </c>
      <c r="Y6296" t="s">
        <v>22090</v>
      </c>
    </row>
    <row r="6297" spans="1:25" x14ac:dyDescent="0.25">
      <c r="A6297" t="str">
        <f>"31921071760"</f>
        <v>31921071760</v>
      </c>
      <c r="B6297" t="s">
        <v>1152</v>
      </c>
      <c r="C6297" t="s">
        <v>1153</v>
      </c>
      <c r="D6297" t="s">
        <v>27921</v>
      </c>
      <c r="E6297">
        <v>424002</v>
      </c>
      <c r="F6297" t="s">
        <v>1</v>
      </c>
      <c r="G6297" t="s">
        <v>2</v>
      </c>
      <c r="H6297" t="s">
        <v>3864</v>
      </c>
      <c r="L6297" t="s">
        <v>27922</v>
      </c>
      <c r="M6297" t="s">
        <v>27923</v>
      </c>
      <c r="Y6297" t="s">
        <v>3867</v>
      </c>
    </row>
    <row r="6298" spans="1:25" x14ac:dyDescent="0.25">
      <c r="A6298" t="str">
        <f>"31925240177"</f>
        <v>31925240177</v>
      </c>
      <c r="B6298" t="s">
        <v>319</v>
      </c>
      <c r="C6298" t="s">
        <v>320</v>
      </c>
      <c r="D6298" t="s">
        <v>27924</v>
      </c>
      <c r="E6298">
        <v>424002</v>
      </c>
      <c r="F6298" t="s">
        <v>1</v>
      </c>
      <c r="G6298" t="s">
        <v>2</v>
      </c>
      <c r="H6298" t="s">
        <v>1950</v>
      </c>
      <c r="I6298" t="s">
        <v>24341</v>
      </c>
      <c r="M6298" t="s">
        <v>24343</v>
      </c>
      <c r="P6298" t="s">
        <v>27925</v>
      </c>
      <c r="Q6298" t="s">
        <v>24344</v>
      </c>
      <c r="T6298" t="s">
        <v>24345</v>
      </c>
      <c r="V6298" t="s">
        <v>24346</v>
      </c>
      <c r="Y6298" t="s">
        <v>27926</v>
      </c>
    </row>
    <row r="6299" spans="1:25" x14ac:dyDescent="0.25">
      <c r="A6299" t="str">
        <f>"31948487793"</f>
        <v>31948487793</v>
      </c>
      <c r="B6299" t="s">
        <v>18</v>
      </c>
      <c r="C6299" t="s">
        <v>13785</v>
      </c>
      <c r="D6299" t="s">
        <v>13780</v>
      </c>
      <c r="E6299">
        <v>424004</v>
      </c>
      <c r="F6299" t="s">
        <v>1</v>
      </c>
      <c r="G6299" t="s">
        <v>2</v>
      </c>
      <c r="H6299" t="s">
        <v>27927</v>
      </c>
      <c r="I6299" t="s">
        <v>13781</v>
      </c>
      <c r="P6299" t="s">
        <v>4043</v>
      </c>
      <c r="Y6299" t="s">
        <v>8402</v>
      </c>
    </row>
    <row r="6300" spans="1:25" x14ac:dyDescent="0.25">
      <c r="A6300" t="str">
        <f>"31965618234"</f>
        <v>31965618234</v>
      </c>
      <c r="B6300" t="s">
        <v>32</v>
      </c>
      <c r="C6300" t="s">
        <v>27933</v>
      </c>
      <c r="D6300" t="s">
        <v>27928</v>
      </c>
      <c r="E6300">
        <v>424038</v>
      </c>
      <c r="F6300" t="s">
        <v>1</v>
      </c>
      <c r="G6300" t="s">
        <v>2</v>
      </c>
      <c r="H6300" t="s">
        <v>2614</v>
      </c>
      <c r="I6300" t="s">
        <v>27929</v>
      </c>
      <c r="J6300" t="s">
        <v>27930</v>
      </c>
      <c r="L6300" t="s">
        <v>27931</v>
      </c>
      <c r="M6300" t="s">
        <v>27932</v>
      </c>
      <c r="P6300" t="s">
        <v>10150</v>
      </c>
      <c r="Q6300" t="s">
        <v>27934</v>
      </c>
      <c r="V6300" t="s">
        <v>27935</v>
      </c>
      <c r="Y6300" t="s">
        <v>27936</v>
      </c>
    </row>
    <row r="6301" spans="1:25" x14ac:dyDescent="0.25">
      <c r="A6301" t="str">
        <f>"31966271939"</f>
        <v>31966271939</v>
      </c>
      <c r="B6301" t="s">
        <v>2601</v>
      </c>
      <c r="C6301" t="s">
        <v>27941</v>
      </c>
      <c r="D6301" t="s">
        <v>27937</v>
      </c>
      <c r="E6301">
        <v>424038</v>
      </c>
      <c r="F6301" t="s">
        <v>1</v>
      </c>
      <c r="G6301" t="s">
        <v>2</v>
      </c>
      <c r="H6301" t="s">
        <v>6247</v>
      </c>
      <c r="J6301" t="s">
        <v>27938</v>
      </c>
      <c r="L6301" t="s">
        <v>27939</v>
      </c>
      <c r="M6301" t="s">
        <v>27940</v>
      </c>
      <c r="P6301" t="s">
        <v>144</v>
      </c>
      <c r="Q6301" t="s">
        <v>27942</v>
      </c>
      <c r="V6301" t="s">
        <v>27943</v>
      </c>
      <c r="Y6301" t="s">
        <v>11647</v>
      </c>
    </row>
    <row r="6302" spans="1:25" x14ac:dyDescent="0.25">
      <c r="A6302" t="str">
        <f>"31974858088"</f>
        <v>31974858088</v>
      </c>
      <c r="B6302" t="s">
        <v>18</v>
      </c>
      <c r="C6302" t="s">
        <v>27944</v>
      </c>
      <c r="D6302" t="s">
        <v>1297</v>
      </c>
      <c r="E6302">
        <v>424007</v>
      </c>
      <c r="F6302" t="s">
        <v>1</v>
      </c>
      <c r="G6302" t="s">
        <v>2</v>
      </c>
      <c r="H6302" t="s">
        <v>6164</v>
      </c>
      <c r="Y6302" t="s">
        <v>27945</v>
      </c>
    </row>
    <row r="6303" spans="1:25" x14ac:dyDescent="0.25">
      <c r="A6303" t="str">
        <f>"31990642571"</f>
        <v>31990642571</v>
      </c>
      <c r="B6303" t="s">
        <v>738</v>
      </c>
      <c r="C6303" t="s">
        <v>739</v>
      </c>
      <c r="D6303" t="s">
        <v>2578</v>
      </c>
      <c r="E6303">
        <v>424006</v>
      </c>
      <c r="F6303" t="s">
        <v>1</v>
      </c>
      <c r="G6303" t="s">
        <v>2</v>
      </c>
      <c r="H6303" t="s">
        <v>27946</v>
      </c>
      <c r="Y6303" t="s">
        <v>27947</v>
      </c>
    </row>
    <row r="6304" spans="1:25" x14ac:dyDescent="0.25">
      <c r="A6304" t="str">
        <f>"32009338297"</f>
        <v>32009338297</v>
      </c>
      <c r="B6304" t="s">
        <v>32</v>
      </c>
      <c r="C6304" t="s">
        <v>777</v>
      </c>
      <c r="D6304" t="s">
        <v>27948</v>
      </c>
      <c r="E6304">
        <v>424039</v>
      </c>
      <c r="F6304" t="s">
        <v>1</v>
      </c>
      <c r="G6304" t="s">
        <v>2</v>
      </c>
      <c r="H6304" t="s">
        <v>5827</v>
      </c>
      <c r="Q6304" t="s">
        <v>27949</v>
      </c>
      <c r="Y6304" t="s">
        <v>27950</v>
      </c>
    </row>
    <row r="6305" spans="1:25" x14ac:dyDescent="0.25">
      <c r="A6305" t="str">
        <f>"32014329635"</f>
        <v>32014329635</v>
      </c>
      <c r="B6305" t="s">
        <v>1573</v>
      </c>
      <c r="C6305" t="s">
        <v>11913</v>
      </c>
      <c r="D6305" t="s">
        <v>27951</v>
      </c>
      <c r="E6305">
        <v>424000</v>
      </c>
      <c r="F6305" t="s">
        <v>1</v>
      </c>
      <c r="G6305" t="s">
        <v>2</v>
      </c>
      <c r="H6305" t="s">
        <v>10803</v>
      </c>
      <c r="J6305" t="s">
        <v>27952</v>
      </c>
      <c r="P6305" t="s">
        <v>13021</v>
      </c>
      <c r="Y6305" t="s">
        <v>10805</v>
      </c>
    </row>
    <row r="6306" spans="1:25" x14ac:dyDescent="0.25">
      <c r="A6306" t="str">
        <f>"32047243308"</f>
        <v>32047243308</v>
      </c>
      <c r="B6306" t="s">
        <v>1046</v>
      </c>
      <c r="C6306" t="s">
        <v>22946</v>
      </c>
      <c r="D6306" t="s">
        <v>22946</v>
      </c>
      <c r="E6306">
        <v>424008</v>
      </c>
      <c r="F6306" t="s">
        <v>1</v>
      </c>
      <c r="G6306" t="s">
        <v>2</v>
      </c>
      <c r="H6306" t="s">
        <v>27953</v>
      </c>
      <c r="Y6306" t="s">
        <v>27954</v>
      </c>
    </row>
    <row r="6307" spans="1:25" x14ac:dyDescent="0.25">
      <c r="A6307" t="str">
        <f>"32084429817"</f>
        <v>32084429817</v>
      </c>
      <c r="B6307" t="s">
        <v>978</v>
      </c>
      <c r="C6307" t="s">
        <v>7625</v>
      </c>
      <c r="D6307" t="s">
        <v>27955</v>
      </c>
      <c r="E6307">
        <v>424006</v>
      </c>
      <c r="F6307" t="s">
        <v>1</v>
      </c>
      <c r="G6307" t="s">
        <v>2</v>
      </c>
      <c r="H6307" t="s">
        <v>20067</v>
      </c>
      <c r="I6307" t="s">
        <v>27956</v>
      </c>
      <c r="L6307" t="s">
        <v>27957</v>
      </c>
      <c r="M6307" t="s">
        <v>27958</v>
      </c>
      <c r="P6307" t="s">
        <v>6400</v>
      </c>
      <c r="Y6307" t="s">
        <v>27959</v>
      </c>
    </row>
    <row r="6308" spans="1:25" x14ac:dyDescent="0.25">
      <c r="A6308" t="str">
        <f>"32122659557"</f>
        <v>32122659557</v>
      </c>
      <c r="B6308" t="s">
        <v>96</v>
      </c>
      <c r="C6308" t="s">
        <v>5155</v>
      </c>
      <c r="D6308" t="s">
        <v>27960</v>
      </c>
      <c r="E6308">
        <v>424006</v>
      </c>
      <c r="F6308" t="s">
        <v>1</v>
      </c>
      <c r="G6308" t="s">
        <v>2</v>
      </c>
      <c r="H6308" t="s">
        <v>14173</v>
      </c>
      <c r="P6308" t="s">
        <v>1027</v>
      </c>
      <c r="Y6308" t="s">
        <v>27961</v>
      </c>
    </row>
    <row r="6309" spans="1:25" x14ac:dyDescent="0.25">
      <c r="A6309" t="str">
        <f>"32138082421"</f>
        <v>32138082421</v>
      </c>
      <c r="B6309" t="s">
        <v>640</v>
      </c>
      <c r="C6309" t="s">
        <v>663</v>
      </c>
      <c r="D6309" t="s">
        <v>27962</v>
      </c>
      <c r="E6309">
        <v>424003</v>
      </c>
      <c r="F6309" t="s">
        <v>1</v>
      </c>
      <c r="G6309" t="s">
        <v>2</v>
      </c>
      <c r="H6309" t="s">
        <v>1725</v>
      </c>
      <c r="J6309" t="s">
        <v>27963</v>
      </c>
      <c r="L6309" t="s">
        <v>27964</v>
      </c>
      <c r="P6309" t="s">
        <v>27965</v>
      </c>
      <c r="Q6309" t="s">
        <v>27966</v>
      </c>
      <c r="Y6309" t="s">
        <v>3999</v>
      </c>
    </row>
    <row r="6310" spans="1:25" x14ac:dyDescent="0.25">
      <c r="A6310" t="str">
        <f>"32148291904"</f>
        <v>32148291904</v>
      </c>
      <c r="B6310" t="s">
        <v>397</v>
      </c>
      <c r="C6310" t="s">
        <v>27969</v>
      </c>
      <c r="D6310" t="s">
        <v>27967</v>
      </c>
      <c r="E6310">
        <v>424020</v>
      </c>
      <c r="F6310" t="s">
        <v>1</v>
      </c>
      <c r="G6310" t="s">
        <v>2</v>
      </c>
      <c r="H6310" t="s">
        <v>10825</v>
      </c>
      <c r="J6310" t="s">
        <v>27968</v>
      </c>
      <c r="P6310" t="s">
        <v>2050</v>
      </c>
      <c r="Q6310" t="s">
        <v>27970</v>
      </c>
      <c r="Y6310" t="s">
        <v>27971</v>
      </c>
    </row>
    <row r="6311" spans="1:25" x14ac:dyDescent="0.25">
      <c r="A6311" t="str">
        <f>"32155796906"</f>
        <v>32155796906</v>
      </c>
      <c r="B6311" t="s">
        <v>96</v>
      </c>
      <c r="C6311" t="s">
        <v>893</v>
      </c>
      <c r="D6311" t="s">
        <v>27972</v>
      </c>
      <c r="F6311" t="s">
        <v>1</v>
      </c>
      <c r="G6311" t="s">
        <v>2</v>
      </c>
      <c r="H6311" t="s">
        <v>26459</v>
      </c>
      <c r="Y6311" t="s">
        <v>26463</v>
      </c>
    </row>
    <row r="6312" spans="1:25" x14ac:dyDescent="0.25">
      <c r="A6312" t="str">
        <f>"32227783074"</f>
        <v>32227783074</v>
      </c>
      <c r="B6312" t="s">
        <v>456</v>
      </c>
      <c r="C6312" t="s">
        <v>27976</v>
      </c>
      <c r="D6312" t="s">
        <v>27973</v>
      </c>
      <c r="E6312">
        <v>424020</v>
      </c>
      <c r="F6312" t="s">
        <v>1</v>
      </c>
      <c r="G6312" t="s">
        <v>2</v>
      </c>
      <c r="H6312" t="s">
        <v>23</v>
      </c>
      <c r="I6312" t="s">
        <v>27974</v>
      </c>
      <c r="L6312" t="s">
        <v>27975</v>
      </c>
      <c r="P6312" t="s">
        <v>2738</v>
      </c>
      <c r="Y6312" t="s">
        <v>26334</v>
      </c>
    </row>
    <row r="6313" spans="1:25" x14ac:dyDescent="0.25">
      <c r="A6313" t="str">
        <f>"32258127848"</f>
        <v>32258127848</v>
      </c>
      <c r="B6313" t="s">
        <v>1352</v>
      </c>
      <c r="C6313" t="s">
        <v>1353</v>
      </c>
      <c r="D6313" t="s">
        <v>27977</v>
      </c>
      <c r="E6313">
        <v>424003</v>
      </c>
      <c r="F6313" t="s">
        <v>1</v>
      </c>
      <c r="G6313" t="s">
        <v>2</v>
      </c>
      <c r="H6313" t="s">
        <v>720</v>
      </c>
      <c r="J6313" t="s">
        <v>27978</v>
      </c>
      <c r="P6313" t="s">
        <v>27979</v>
      </c>
      <c r="Y6313" t="s">
        <v>26503</v>
      </c>
    </row>
    <row r="6314" spans="1:25" x14ac:dyDescent="0.25">
      <c r="A6314" t="str">
        <f>"32355954745"</f>
        <v>32355954745</v>
      </c>
      <c r="B6314" t="s">
        <v>96</v>
      </c>
      <c r="C6314" t="s">
        <v>507</v>
      </c>
      <c r="D6314" t="s">
        <v>27980</v>
      </c>
      <c r="E6314">
        <v>424038</v>
      </c>
      <c r="F6314" t="s">
        <v>1</v>
      </c>
      <c r="G6314" t="s">
        <v>2</v>
      </c>
      <c r="H6314" t="s">
        <v>7597</v>
      </c>
      <c r="P6314" t="s">
        <v>1642</v>
      </c>
      <c r="Y6314" t="s">
        <v>27981</v>
      </c>
    </row>
    <row r="6315" spans="1:25" x14ac:dyDescent="0.25">
      <c r="A6315" t="str">
        <f>"32359000070"</f>
        <v>32359000070</v>
      </c>
      <c r="B6315" t="s">
        <v>7</v>
      </c>
      <c r="C6315" t="s">
        <v>9893</v>
      </c>
      <c r="D6315" t="s">
        <v>25264</v>
      </c>
      <c r="E6315">
        <v>424008</v>
      </c>
      <c r="F6315" t="s">
        <v>1</v>
      </c>
      <c r="G6315" t="s">
        <v>2</v>
      </c>
      <c r="H6315" t="s">
        <v>26431</v>
      </c>
      <c r="L6315" t="s">
        <v>8624</v>
      </c>
      <c r="M6315" t="s">
        <v>27982</v>
      </c>
      <c r="P6315" t="s">
        <v>8945</v>
      </c>
      <c r="Q6315" t="s">
        <v>8627</v>
      </c>
      <c r="T6315" t="s">
        <v>8628</v>
      </c>
      <c r="U6315" t="s">
        <v>27983</v>
      </c>
      <c r="V6315" t="s">
        <v>25267</v>
      </c>
      <c r="Y6315" t="s">
        <v>26439</v>
      </c>
    </row>
    <row r="6316" spans="1:25" x14ac:dyDescent="0.25">
      <c r="A6316" t="str">
        <f>"32509570958"</f>
        <v>32509570958</v>
      </c>
      <c r="B6316" t="s">
        <v>96</v>
      </c>
      <c r="C6316" t="s">
        <v>659</v>
      </c>
      <c r="D6316" t="s">
        <v>27984</v>
      </c>
      <c r="E6316">
        <v>424039</v>
      </c>
      <c r="F6316" t="s">
        <v>1</v>
      </c>
      <c r="G6316" t="s">
        <v>2</v>
      </c>
      <c r="H6316" t="s">
        <v>5827</v>
      </c>
      <c r="Y6316" t="s">
        <v>10310</v>
      </c>
    </row>
    <row r="6317" spans="1:25" x14ac:dyDescent="0.25">
      <c r="A6317" t="str">
        <f>"32572727989"</f>
        <v>32572727989</v>
      </c>
      <c r="B6317" t="s">
        <v>7</v>
      </c>
      <c r="C6317" t="s">
        <v>27987</v>
      </c>
      <c r="D6317" t="s">
        <v>27985</v>
      </c>
      <c r="E6317">
        <v>424006</v>
      </c>
      <c r="F6317" t="s">
        <v>1</v>
      </c>
      <c r="G6317" t="s">
        <v>2</v>
      </c>
      <c r="H6317" t="s">
        <v>2825</v>
      </c>
      <c r="J6317" t="s">
        <v>27986</v>
      </c>
      <c r="Q6317" t="s">
        <v>27988</v>
      </c>
      <c r="Y6317" t="s">
        <v>27989</v>
      </c>
    </row>
    <row r="6318" spans="1:25" x14ac:dyDescent="0.25">
      <c r="A6318" t="str">
        <f>"32582859065"</f>
        <v>32582859065</v>
      </c>
      <c r="B6318" t="s">
        <v>25</v>
      </c>
      <c r="C6318" t="s">
        <v>24938</v>
      </c>
      <c r="D6318" t="s">
        <v>27990</v>
      </c>
      <c r="F6318" t="s">
        <v>1</v>
      </c>
      <c r="G6318" t="s">
        <v>2</v>
      </c>
      <c r="H6318" t="s">
        <v>27991</v>
      </c>
      <c r="I6318" t="s">
        <v>27992</v>
      </c>
      <c r="L6318" t="s">
        <v>8198</v>
      </c>
      <c r="M6318" t="s">
        <v>27993</v>
      </c>
      <c r="Y6318" t="s">
        <v>27994</v>
      </c>
    </row>
    <row r="6319" spans="1:25" x14ac:dyDescent="0.25">
      <c r="A6319" t="str">
        <f>"32584194932"</f>
        <v>32584194932</v>
      </c>
      <c r="B6319" t="s">
        <v>290</v>
      </c>
      <c r="C6319" t="s">
        <v>27999</v>
      </c>
      <c r="D6319" t="s">
        <v>27995</v>
      </c>
      <c r="E6319">
        <v>424002</v>
      </c>
      <c r="F6319" t="s">
        <v>1</v>
      </c>
      <c r="G6319" t="s">
        <v>2</v>
      </c>
      <c r="H6319" t="s">
        <v>18134</v>
      </c>
      <c r="I6319" t="s">
        <v>27996</v>
      </c>
      <c r="J6319" t="s">
        <v>27997</v>
      </c>
      <c r="L6319" t="s">
        <v>27998</v>
      </c>
      <c r="P6319" t="s">
        <v>26289</v>
      </c>
      <c r="Q6319" t="s">
        <v>28000</v>
      </c>
      <c r="V6319" t="s">
        <v>28001</v>
      </c>
      <c r="Y6319" t="s">
        <v>28002</v>
      </c>
    </row>
    <row r="6320" spans="1:25" x14ac:dyDescent="0.25">
      <c r="A6320" t="str">
        <f>"32594666337"</f>
        <v>32594666337</v>
      </c>
      <c r="B6320" t="s">
        <v>930</v>
      </c>
      <c r="C6320" t="s">
        <v>28006</v>
      </c>
      <c r="D6320" t="s">
        <v>28003</v>
      </c>
      <c r="E6320">
        <v>424007</v>
      </c>
      <c r="F6320" t="s">
        <v>1</v>
      </c>
      <c r="G6320" t="s">
        <v>2</v>
      </c>
      <c r="H6320" t="s">
        <v>28004</v>
      </c>
      <c r="J6320" t="s">
        <v>28005</v>
      </c>
      <c r="P6320" t="s">
        <v>2738</v>
      </c>
      <c r="Q6320" t="s">
        <v>28007</v>
      </c>
      <c r="V6320" t="s">
        <v>28008</v>
      </c>
      <c r="Y6320" t="s">
        <v>28009</v>
      </c>
    </row>
    <row r="6321" spans="1:25" x14ac:dyDescent="0.25">
      <c r="A6321" t="str">
        <f>"32606792397"</f>
        <v>32606792397</v>
      </c>
      <c r="B6321" t="s">
        <v>1493</v>
      </c>
      <c r="C6321" t="s">
        <v>1494</v>
      </c>
      <c r="D6321" t="s">
        <v>16251</v>
      </c>
      <c r="E6321">
        <v>424006</v>
      </c>
      <c r="F6321" t="s">
        <v>1</v>
      </c>
      <c r="G6321" t="s">
        <v>2</v>
      </c>
      <c r="H6321" t="s">
        <v>28010</v>
      </c>
      <c r="I6321" t="s">
        <v>28011</v>
      </c>
      <c r="P6321" t="s">
        <v>27</v>
      </c>
      <c r="Y6321" t="s">
        <v>28012</v>
      </c>
    </row>
    <row r="6322" spans="1:25" x14ac:dyDescent="0.25">
      <c r="A6322" t="str">
        <f>"32626807667"</f>
        <v>32626807667</v>
      </c>
      <c r="B6322" t="s">
        <v>930</v>
      </c>
      <c r="C6322" t="s">
        <v>10263</v>
      </c>
      <c r="D6322" t="s">
        <v>28013</v>
      </c>
      <c r="F6322" t="s">
        <v>1</v>
      </c>
      <c r="G6322" t="s">
        <v>2</v>
      </c>
      <c r="H6322" t="s">
        <v>11577</v>
      </c>
      <c r="I6322" t="s">
        <v>28014</v>
      </c>
      <c r="P6322" t="s">
        <v>330</v>
      </c>
      <c r="Y6322" t="s">
        <v>28015</v>
      </c>
    </row>
    <row r="6323" spans="1:25" x14ac:dyDescent="0.25">
      <c r="A6323" t="str">
        <f>"32648413929"</f>
        <v>32648413929</v>
      </c>
      <c r="B6323" t="s">
        <v>3008</v>
      </c>
      <c r="C6323" t="s">
        <v>28020</v>
      </c>
      <c r="D6323" t="s">
        <v>28016</v>
      </c>
      <c r="E6323">
        <v>424002</v>
      </c>
      <c r="F6323" t="s">
        <v>1</v>
      </c>
      <c r="G6323" t="s">
        <v>2</v>
      </c>
      <c r="H6323" t="s">
        <v>570</v>
      </c>
      <c r="I6323" t="s">
        <v>28017</v>
      </c>
      <c r="L6323" t="s">
        <v>28018</v>
      </c>
      <c r="M6323" t="s">
        <v>28019</v>
      </c>
      <c r="P6323" t="s">
        <v>27</v>
      </c>
      <c r="Y6323" t="s">
        <v>18782</v>
      </c>
    </row>
    <row r="6324" spans="1:25" x14ac:dyDescent="0.25">
      <c r="A6324" t="str">
        <f>"32675561934"</f>
        <v>32675561934</v>
      </c>
      <c r="B6324" t="s">
        <v>1544</v>
      </c>
      <c r="C6324" t="s">
        <v>15598</v>
      </c>
      <c r="D6324" t="s">
        <v>28021</v>
      </c>
      <c r="E6324">
        <v>424028</v>
      </c>
      <c r="F6324" t="s">
        <v>1</v>
      </c>
      <c r="G6324" t="s">
        <v>2</v>
      </c>
      <c r="H6324" t="s">
        <v>28022</v>
      </c>
      <c r="Y6324" t="s">
        <v>28023</v>
      </c>
    </row>
    <row r="6325" spans="1:25" x14ac:dyDescent="0.25">
      <c r="A6325" t="str">
        <f>"32687484084"</f>
        <v>32687484084</v>
      </c>
      <c r="B6325" t="s">
        <v>1352</v>
      </c>
      <c r="C6325" t="s">
        <v>2093</v>
      </c>
      <c r="D6325" t="s">
        <v>12894</v>
      </c>
      <c r="E6325">
        <v>424002</v>
      </c>
      <c r="F6325" t="s">
        <v>1</v>
      </c>
      <c r="G6325" t="s">
        <v>2</v>
      </c>
      <c r="H6325" t="s">
        <v>14242</v>
      </c>
      <c r="P6325" t="s">
        <v>17269</v>
      </c>
      <c r="Y6325" t="s">
        <v>28024</v>
      </c>
    </row>
    <row r="6326" spans="1:25" x14ac:dyDescent="0.25">
      <c r="A6326" t="str">
        <f>"32738982437"</f>
        <v>32738982437</v>
      </c>
      <c r="B6326" t="s">
        <v>319</v>
      </c>
      <c r="C6326" t="s">
        <v>320</v>
      </c>
      <c r="D6326" t="s">
        <v>20884</v>
      </c>
      <c r="E6326">
        <v>424038</v>
      </c>
      <c r="F6326" t="s">
        <v>1</v>
      </c>
      <c r="G6326" t="s">
        <v>2</v>
      </c>
      <c r="H6326" t="s">
        <v>28025</v>
      </c>
      <c r="Y6326" t="s">
        <v>28026</v>
      </c>
    </row>
    <row r="6327" spans="1:25" x14ac:dyDescent="0.25">
      <c r="A6327" t="str">
        <f>"32766018395"</f>
        <v>32766018395</v>
      </c>
      <c r="B6327" t="s">
        <v>430</v>
      </c>
      <c r="C6327" t="s">
        <v>431</v>
      </c>
      <c r="D6327" t="s">
        <v>28027</v>
      </c>
      <c r="E6327">
        <v>424918</v>
      </c>
      <c r="F6327" t="s">
        <v>1</v>
      </c>
      <c r="G6327" t="s">
        <v>2</v>
      </c>
      <c r="H6327" t="s">
        <v>629</v>
      </c>
      <c r="I6327" t="s">
        <v>28028</v>
      </c>
      <c r="J6327" t="s">
        <v>28029</v>
      </c>
      <c r="P6327" t="s">
        <v>630</v>
      </c>
      <c r="Y6327" t="s">
        <v>1744</v>
      </c>
    </row>
    <row r="6328" spans="1:25" x14ac:dyDescent="0.25">
      <c r="A6328" t="str">
        <f>"32769155865"</f>
        <v>32769155865</v>
      </c>
      <c r="B6328" t="s">
        <v>32</v>
      </c>
      <c r="C6328" t="s">
        <v>28032</v>
      </c>
      <c r="D6328" t="s">
        <v>28030</v>
      </c>
      <c r="E6328">
        <v>424003</v>
      </c>
      <c r="F6328" t="s">
        <v>1</v>
      </c>
      <c r="G6328" t="s">
        <v>2</v>
      </c>
      <c r="H6328" t="s">
        <v>38</v>
      </c>
      <c r="J6328" t="s">
        <v>28031</v>
      </c>
      <c r="Q6328" t="s">
        <v>28033</v>
      </c>
      <c r="Y6328" t="s">
        <v>28034</v>
      </c>
    </row>
    <row r="6329" spans="1:25" x14ac:dyDescent="0.25">
      <c r="A6329" t="str">
        <f>"32771343958"</f>
        <v>32771343958</v>
      </c>
      <c r="B6329" t="s">
        <v>574</v>
      </c>
      <c r="C6329" t="s">
        <v>28035</v>
      </c>
      <c r="D6329" t="s">
        <v>23520</v>
      </c>
      <c r="E6329">
        <v>424007</v>
      </c>
      <c r="F6329" t="s">
        <v>1</v>
      </c>
      <c r="G6329" t="s">
        <v>2</v>
      </c>
      <c r="H6329" t="s">
        <v>5281</v>
      </c>
      <c r="Y6329" t="s">
        <v>28036</v>
      </c>
    </row>
    <row r="6330" spans="1:25" x14ac:dyDescent="0.25">
      <c r="A6330" t="str">
        <f>"32780447774"</f>
        <v>32780447774</v>
      </c>
      <c r="B6330" t="s">
        <v>8011</v>
      </c>
      <c r="C6330" t="s">
        <v>25177</v>
      </c>
      <c r="D6330" t="s">
        <v>12536</v>
      </c>
      <c r="E6330">
        <v>424039</v>
      </c>
      <c r="F6330" t="s">
        <v>1</v>
      </c>
      <c r="G6330" t="s">
        <v>2</v>
      </c>
      <c r="H6330" t="s">
        <v>5827</v>
      </c>
      <c r="Y6330" t="s">
        <v>28037</v>
      </c>
    </row>
    <row r="6331" spans="1:25" x14ac:dyDescent="0.25">
      <c r="A6331" t="str">
        <f>"32781037148"</f>
        <v>32781037148</v>
      </c>
      <c r="B6331" t="s">
        <v>18</v>
      </c>
      <c r="C6331" t="s">
        <v>28041</v>
      </c>
      <c r="D6331" t="s">
        <v>28038</v>
      </c>
      <c r="E6331">
        <v>424008</v>
      </c>
      <c r="F6331" t="s">
        <v>1</v>
      </c>
      <c r="G6331" t="s">
        <v>2</v>
      </c>
      <c r="H6331" t="s">
        <v>10118</v>
      </c>
      <c r="I6331" t="s">
        <v>28039</v>
      </c>
      <c r="M6331" t="s">
        <v>28040</v>
      </c>
      <c r="P6331" t="s">
        <v>10124</v>
      </c>
      <c r="Q6331" t="s">
        <v>28042</v>
      </c>
      <c r="Y6331" t="s">
        <v>28043</v>
      </c>
    </row>
    <row r="6332" spans="1:25" x14ac:dyDescent="0.25">
      <c r="A6332" t="str">
        <f>"32819568542"</f>
        <v>32819568542</v>
      </c>
      <c r="B6332" t="s">
        <v>5573</v>
      </c>
      <c r="C6332" t="s">
        <v>21453</v>
      </c>
      <c r="D6332" t="s">
        <v>28044</v>
      </c>
      <c r="E6332">
        <v>424020</v>
      </c>
      <c r="F6332" t="s">
        <v>1</v>
      </c>
      <c r="G6332" t="s">
        <v>2</v>
      </c>
      <c r="H6332" t="s">
        <v>23</v>
      </c>
      <c r="J6332" t="s">
        <v>28045</v>
      </c>
      <c r="L6332" t="s">
        <v>28046</v>
      </c>
      <c r="M6332" t="s">
        <v>28047</v>
      </c>
      <c r="P6332" t="s">
        <v>2050</v>
      </c>
      <c r="Y6332" t="s">
        <v>6162</v>
      </c>
    </row>
    <row r="6333" spans="1:25" x14ac:dyDescent="0.25">
      <c r="A6333" t="str">
        <f>"32823954926"</f>
        <v>32823954926</v>
      </c>
      <c r="B6333" t="s">
        <v>32</v>
      </c>
      <c r="C6333" t="s">
        <v>182</v>
      </c>
      <c r="D6333" t="s">
        <v>8798</v>
      </c>
      <c r="F6333" t="s">
        <v>1</v>
      </c>
      <c r="G6333" t="s">
        <v>2</v>
      </c>
      <c r="H6333" t="s">
        <v>13225</v>
      </c>
      <c r="Y6333" t="s">
        <v>28048</v>
      </c>
    </row>
    <row r="6334" spans="1:25" x14ac:dyDescent="0.25">
      <c r="A6334" t="str">
        <f>"32829069382"</f>
        <v>32829069382</v>
      </c>
      <c r="B6334" t="s">
        <v>1391</v>
      </c>
      <c r="C6334" t="s">
        <v>28052</v>
      </c>
      <c r="D6334" t="s">
        <v>28049</v>
      </c>
      <c r="E6334">
        <v>424008</v>
      </c>
      <c r="F6334" t="s">
        <v>1</v>
      </c>
      <c r="G6334" t="s">
        <v>2</v>
      </c>
      <c r="H6334" t="s">
        <v>4250</v>
      </c>
      <c r="J6334" t="s">
        <v>28050</v>
      </c>
      <c r="L6334" t="s">
        <v>28051</v>
      </c>
      <c r="P6334" t="s">
        <v>20</v>
      </c>
      <c r="Q6334" t="s">
        <v>28053</v>
      </c>
      <c r="Y6334" t="s">
        <v>28054</v>
      </c>
    </row>
    <row r="6335" spans="1:25" x14ac:dyDescent="0.25">
      <c r="A6335" t="str">
        <f>"32848274217"</f>
        <v>32848274217</v>
      </c>
      <c r="B6335" t="s">
        <v>96</v>
      </c>
      <c r="C6335" t="s">
        <v>695</v>
      </c>
      <c r="D6335" t="s">
        <v>22550</v>
      </c>
      <c r="E6335">
        <v>424038</v>
      </c>
      <c r="F6335" t="s">
        <v>1</v>
      </c>
      <c r="G6335" t="s">
        <v>2</v>
      </c>
      <c r="H6335" t="s">
        <v>6550</v>
      </c>
      <c r="Y6335" t="s">
        <v>6552</v>
      </c>
    </row>
    <row r="6336" spans="1:25" x14ac:dyDescent="0.25">
      <c r="A6336" t="str">
        <f>"32893338502"</f>
        <v>32893338502</v>
      </c>
      <c r="B6336" t="s">
        <v>352</v>
      </c>
      <c r="C6336" t="s">
        <v>25721</v>
      </c>
      <c r="D6336" t="s">
        <v>28055</v>
      </c>
      <c r="E6336">
        <v>424000</v>
      </c>
      <c r="F6336" t="s">
        <v>1</v>
      </c>
      <c r="G6336" t="s">
        <v>2</v>
      </c>
      <c r="H6336" t="s">
        <v>1531</v>
      </c>
      <c r="I6336" t="s">
        <v>28056</v>
      </c>
      <c r="M6336" t="s">
        <v>28057</v>
      </c>
      <c r="P6336" t="s">
        <v>133</v>
      </c>
      <c r="Y6336" t="s">
        <v>28058</v>
      </c>
    </row>
    <row r="6337" spans="1:25" x14ac:dyDescent="0.25">
      <c r="A6337" t="str">
        <f>"32898054487"</f>
        <v>32898054487</v>
      </c>
      <c r="B6337" t="s">
        <v>1617</v>
      </c>
      <c r="C6337" t="s">
        <v>21001</v>
      </c>
      <c r="D6337" t="s">
        <v>28059</v>
      </c>
      <c r="E6337">
        <v>424039</v>
      </c>
      <c r="F6337" t="s">
        <v>1</v>
      </c>
      <c r="G6337" t="s">
        <v>2</v>
      </c>
      <c r="H6337" t="s">
        <v>28060</v>
      </c>
      <c r="Y6337" t="s">
        <v>28061</v>
      </c>
    </row>
    <row r="6338" spans="1:25" x14ac:dyDescent="0.25">
      <c r="A6338" t="str">
        <f>"32932047597"</f>
        <v>32932047597</v>
      </c>
      <c r="B6338" t="s">
        <v>1053</v>
      </c>
      <c r="C6338" t="s">
        <v>1799</v>
      </c>
      <c r="D6338" t="s">
        <v>28062</v>
      </c>
      <c r="F6338" t="s">
        <v>1</v>
      </c>
      <c r="G6338" t="s">
        <v>2</v>
      </c>
      <c r="H6338" t="s">
        <v>28063</v>
      </c>
      <c r="I6338" t="s">
        <v>28064</v>
      </c>
      <c r="L6338" t="s">
        <v>222</v>
      </c>
      <c r="M6338" t="s">
        <v>28065</v>
      </c>
      <c r="Y6338" t="s">
        <v>28066</v>
      </c>
    </row>
    <row r="6339" spans="1:25" x14ac:dyDescent="0.25">
      <c r="A6339" t="str">
        <f>"32953099511"</f>
        <v>32953099511</v>
      </c>
      <c r="B6339" t="s">
        <v>7</v>
      </c>
      <c r="C6339" t="s">
        <v>15083</v>
      </c>
      <c r="D6339" t="s">
        <v>23080</v>
      </c>
      <c r="E6339">
        <v>424016</v>
      </c>
      <c r="F6339" t="s">
        <v>1</v>
      </c>
      <c r="G6339" t="s">
        <v>2</v>
      </c>
      <c r="H6339" t="s">
        <v>5652</v>
      </c>
      <c r="Y6339" t="s">
        <v>28067</v>
      </c>
    </row>
    <row r="6340" spans="1:25" x14ac:dyDescent="0.25">
      <c r="A6340" t="str">
        <f>"32953893461"</f>
        <v>32953893461</v>
      </c>
      <c r="B6340" t="s">
        <v>790</v>
      </c>
      <c r="C6340" t="s">
        <v>28069</v>
      </c>
      <c r="D6340" t="s">
        <v>11304</v>
      </c>
      <c r="E6340">
        <v>424031</v>
      </c>
      <c r="F6340" t="s">
        <v>1</v>
      </c>
      <c r="G6340" t="s">
        <v>2</v>
      </c>
      <c r="H6340" t="s">
        <v>413</v>
      </c>
      <c r="I6340" t="s">
        <v>28068</v>
      </c>
      <c r="P6340" t="s">
        <v>260</v>
      </c>
      <c r="Y6340" t="s">
        <v>1421</v>
      </c>
    </row>
    <row r="6341" spans="1:25" x14ac:dyDescent="0.25">
      <c r="A6341" t="str">
        <f>"32957894418"</f>
        <v>32957894418</v>
      </c>
      <c r="B6341" t="s">
        <v>1544</v>
      </c>
      <c r="C6341" t="s">
        <v>7974</v>
      </c>
      <c r="D6341" t="s">
        <v>19706</v>
      </c>
      <c r="E6341">
        <v>424002</v>
      </c>
      <c r="F6341" t="s">
        <v>1</v>
      </c>
      <c r="G6341" t="s">
        <v>2</v>
      </c>
      <c r="H6341" t="s">
        <v>3068</v>
      </c>
      <c r="J6341" t="s">
        <v>28070</v>
      </c>
      <c r="M6341" t="s">
        <v>19709</v>
      </c>
      <c r="P6341" t="s">
        <v>1642</v>
      </c>
      <c r="Q6341" t="s">
        <v>28071</v>
      </c>
      <c r="V6341" t="s">
        <v>28072</v>
      </c>
      <c r="Y6341" t="s">
        <v>28073</v>
      </c>
    </row>
    <row r="6342" spans="1:25" x14ac:dyDescent="0.25">
      <c r="A6342" t="str">
        <f>"32969233509"</f>
        <v>32969233509</v>
      </c>
      <c r="B6342" t="s">
        <v>456</v>
      </c>
      <c r="C6342" t="s">
        <v>2773</v>
      </c>
      <c r="D6342" t="s">
        <v>28074</v>
      </c>
      <c r="E6342">
        <v>424006</v>
      </c>
      <c r="F6342" t="s">
        <v>1</v>
      </c>
      <c r="G6342" t="s">
        <v>2</v>
      </c>
      <c r="H6342" t="s">
        <v>445</v>
      </c>
      <c r="P6342" t="s">
        <v>3919</v>
      </c>
      <c r="Y6342" t="s">
        <v>449</v>
      </c>
    </row>
    <row r="6343" spans="1:25" x14ac:dyDescent="0.25">
      <c r="A6343" t="str">
        <f>"33077229985"</f>
        <v>33077229985</v>
      </c>
      <c r="B6343" t="s">
        <v>574</v>
      </c>
      <c r="C6343" t="s">
        <v>9802</v>
      </c>
      <c r="D6343" t="s">
        <v>3057</v>
      </c>
      <c r="F6343" t="s">
        <v>1</v>
      </c>
      <c r="G6343" t="s">
        <v>2</v>
      </c>
      <c r="H6343" t="s">
        <v>2401</v>
      </c>
      <c r="Y6343" t="s">
        <v>28075</v>
      </c>
    </row>
    <row r="6344" spans="1:25" x14ac:dyDescent="0.25">
      <c r="A6344" t="str">
        <f>"33223742213"</f>
        <v>33223742213</v>
      </c>
      <c r="B6344" t="s">
        <v>430</v>
      </c>
      <c r="C6344" t="s">
        <v>11849</v>
      </c>
      <c r="D6344" t="s">
        <v>10135</v>
      </c>
      <c r="E6344">
        <v>424003</v>
      </c>
      <c r="F6344" t="s">
        <v>1</v>
      </c>
      <c r="G6344" t="s">
        <v>2</v>
      </c>
      <c r="H6344" t="s">
        <v>28076</v>
      </c>
      <c r="I6344" t="s">
        <v>28077</v>
      </c>
      <c r="J6344" t="s">
        <v>28078</v>
      </c>
      <c r="P6344" t="s">
        <v>28079</v>
      </c>
      <c r="Y6344" t="s">
        <v>28080</v>
      </c>
    </row>
    <row r="6345" spans="1:25" x14ac:dyDescent="0.25">
      <c r="A6345" t="str">
        <f>"33262187513"</f>
        <v>33262187513</v>
      </c>
      <c r="B6345" t="s">
        <v>25</v>
      </c>
      <c r="C6345" t="s">
        <v>59</v>
      </c>
      <c r="D6345" t="s">
        <v>28081</v>
      </c>
      <c r="E6345">
        <v>424028</v>
      </c>
      <c r="F6345" t="s">
        <v>1</v>
      </c>
      <c r="G6345" t="s">
        <v>2</v>
      </c>
      <c r="H6345" t="s">
        <v>3628</v>
      </c>
      <c r="J6345" t="s">
        <v>28082</v>
      </c>
      <c r="P6345" t="s">
        <v>696</v>
      </c>
      <c r="Y6345" t="s">
        <v>6934</v>
      </c>
    </row>
    <row r="6346" spans="1:25" x14ac:dyDescent="0.25">
      <c r="A6346" t="str">
        <f>"33276756710"</f>
        <v>33276756710</v>
      </c>
      <c r="B6346" t="s">
        <v>290</v>
      </c>
      <c r="C6346" t="s">
        <v>19710</v>
      </c>
      <c r="D6346" t="s">
        <v>28083</v>
      </c>
      <c r="E6346">
        <v>424003</v>
      </c>
      <c r="F6346" t="s">
        <v>1</v>
      </c>
      <c r="G6346" t="s">
        <v>2</v>
      </c>
      <c r="H6346" t="s">
        <v>1725</v>
      </c>
      <c r="J6346" t="s">
        <v>28084</v>
      </c>
      <c r="P6346" t="s">
        <v>21688</v>
      </c>
      <c r="Q6346" t="s">
        <v>28085</v>
      </c>
      <c r="V6346" t="s">
        <v>28086</v>
      </c>
      <c r="Y6346" t="s">
        <v>28087</v>
      </c>
    </row>
    <row r="6347" spans="1:25" x14ac:dyDescent="0.25">
      <c r="A6347" t="str">
        <f>"33296515333"</f>
        <v>33296515333</v>
      </c>
      <c r="B6347" t="s">
        <v>930</v>
      </c>
      <c r="C6347" t="s">
        <v>2985</v>
      </c>
      <c r="D6347" t="s">
        <v>28088</v>
      </c>
      <c r="F6347" t="s">
        <v>1</v>
      </c>
      <c r="G6347" t="s">
        <v>2</v>
      </c>
      <c r="H6347" t="s">
        <v>684</v>
      </c>
      <c r="I6347" t="s">
        <v>28089</v>
      </c>
      <c r="J6347" t="s">
        <v>8966</v>
      </c>
      <c r="P6347" t="s">
        <v>27</v>
      </c>
      <c r="Q6347" t="s">
        <v>28090</v>
      </c>
      <c r="Y6347" t="s">
        <v>690</v>
      </c>
    </row>
    <row r="6348" spans="1:25" x14ac:dyDescent="0.25">
      <c r="A6348" t="str">
        <f>"33302322897"</f>
        <v>33302322897</v>
      </c>
      <c r="B6348" t="s">
        <v>1573</v>
      </c>
      <c r="C6348" t="s">
        <v>24508</v>
      </c>
      <c r="D6348" t="s">
        <v>25092</v>
      </c>
      <c r="E6348">
        <v>424007</v>
      </c>
      <c r="F6348" t="s">
        <v>1</v>
      </c>
      <c r="G6348" t="s">
        <v>2</v>
      </c>
      <c r="H6348" t="s">
        <v>23983</v>
      </c>
      <c r="P6348" t="s">
        <v>9785</v>
      </c>
      <c r="Y6348" t="s">
        <v>28091</v>
      </c>
    </row>
    <row r="6349" spans="1:25" x14ac:dyDescent="0.25">
      <c r="A6349" t="str">
        <f>"33326222379"</f>
        <v>33326222379</v>
      </c>
      <c r="B6349" t="s">
        <v>379</v>
      </c>
      <c r="C6349" t="s">
        <v>2661</v>
      </c>
      <c r="D6349" t="s">
        <v>28092</v>
      </c>
      <c r="E6349">
        <v>424003</v>
      </c>
      <c r="F6349" t="s">
        <v>1</v>
      </c>
      <c r="G6349" t="s">
        <v>2</v>
      </c>
      <c r="H6349" t="s">
        <v>28093</v>
      </c>
      <c r="I6349" t="s">
        <v>28094</v>
      </c>
      <c r="Y6349" t="s">
        <v>28095</v>
      </c>
    </row>
    <row r="6350" spans="1:25" x14ac:dyDescent="0.25">
      <c r="A6350" t="str">
        <f>"33359790908"</f>
        <v>33359790908</v>
      </c>
      <c r="B6350" t="s">
        <v>530</v>
      </c>
      <c r="C6350" t="s">
        <v>5046</v>
      </c>
      <c r="D6350" t="s">
        <v>28096</v>
      </c>
      <c r="E6350">
        <v>424007</v>
      </c>
      <c r="F6350" t="s">
        <v>1</v>
      </c>
      <c r="G6350" t="s">
        <v>2</v>
      </c>
      <c r="H6350" t="s">
        <v>5628</v>
      </c>
      <c r="P6350" t="s">
        <v>28097</v>
      </c>
      <c r="Y6350" t="s">
        <v>28098</v>
      </c>
    </row>
    <row r="6351" spans="1:25" x14ac:dyDescent="0.25">
      <c r="A6351" t="str">
        <f>"33373938147"</f>
        <v>33373938147</v>
      </c>
      <c r="B6351" t="s">
        <v>430</v>
      </c>
      <c r="C6351" t="s">
        <v>28102</v>
      </c>
      <c r="D6351" t="s">
        <v>28099</v>
      </c>
      <c r="E6351">
        <v>424000</v>
      </c>
      <c r="F6351" t="s">
        <v>1</v>
      </c>
      <c r="G6351" t="s">
        <v>2</v>
      </c>
      <c r="H6351" t="s">
        <v>28100</v>
      </c>
      <c r="J6351" t="s">
        <v>28101</v>
      </c>
      <c r="P6351" t="s">
        <v>941</v>
      </c>
      <c r="V6351" t="s">
        <v>28103</v>
      </c>
      <c r="Y6351" t="s">
        <v>28104</v>
      </c>
    </row>
    <row r="6352" spans="1:25" x14ac:dyDescent="0.25">
      <c r="A6352" t="str">
        <f>"33382326552"</f>
        <v>33382326552</v>
      </c>
      <c r="B6352" t="s">
        <v>32</v>
      </c>
      <c r="C6352" t="s">
        <v>20811</v>
      </c>
      <c r="D6352" t="s">
        <v>28105</v>
      </c>
      <c r="E6352">
        <v>424037</v>
      </c>
      <c r="F6352" t="s">
        <v>1</v>
      </c>
      <c r="G6352" t="s">
        <v>2</v>
      </c>
      <c r="H6352" t="s">
        <v>16732</v>
      </c>
      <c r="Y6352" t="s">
        <v>16735</v>
      </c>
    </row>
    <row r="6353" spans="1:25" x14ac:dyDescent="0.25">
      <c r="A6353" t="str">
        <f>"33385711651"</f>
        <v>33385711651</v>
      </c>
      <c r="B6353" t="s">
        <v>716</v>
      </c>
      <c r="C6353" t="s">
        <v>717</v>
      </c>
      <c r="D6353" t="s">
        <v>28106</v>
      </c>
      <c r="E6353">
        <v>424038</v>
      </c>
      <c r="F6353" t="s">
        <v>1</v>
      </c>
      <c r="G6353" t="s">
        <v>2</v>
      </c>
      <c r="H6353" t="s">
        <v>19499</v>
      </c>
      <c r="J6353" t="s">
        <v>28107</v>
      </c>
      <c r="M6353" t="s">
        <v>28108</v>
      </c>
      <c r="P6353" t="s">
        <v>340</v>
      </c>
      <c r="Q6353" t="s">
        <v>28109</v>
      </c>
      <c r="V6353" t="s">
        <v>28110</v>
      </c>
      <c r="Y6353" t="s">
        <v>24185</v>
      </c>
    </row>
    <row r="6354" spans="1:25" x14ac:dyDescent="0.25">
      <c r="A6354" t="str">
        <f>"33385807492"</f>
        <v>33385807492</v>
      </c>
      <c r="B6354" t="s">
        <v>574</v>
      </c>
      <c r="C6354" t="s">
        <v>646</v>
      </c>
      <c r="D6354" t="s">
        <v>4221</v>
      </c>
      <c r="E6354">
        <v>424000</v>
      </c>
      <c r="F6354" t="s">
        <v>1</v>
      </c>
      <c r="G6354" t="s">
        <v>2</v>
      </c>
      <c r="H6354" t="s">
        <v>10305</v>
      </c>
      <c r="P6354" t="s">
        <v>28111</v>
      </c>
      <c r="Y6354" t="s">
        <v>28112</v>
      </c>
    </row>
    <row r="6355" spans="1:25" x14ac:dyDescent="0.25">
      <c r="A6355" t="str">
        <f>"33396987157"</f>
        <v>33396987157</v>
      </c>
      <c r="B6355" t="s">
        <v>151</v>
      </c>
      <c r="C6355" t="s">
        <v>151</v>
      </c>
      <c r="D6355" t="s">
        <v>28113</v>
      </c>
      <c r="E6355">
        <v>424007</v>
      </c>
      <c r="F6355" t="s">
        <v>1</v>
      </c>
      <c r="G6355" t="s">
        <v>2</v>
      </c>
      <c r="H6355" t="s">
        <v>9471</v>
      </c>
      <c r="I6355" t="s">
        <v>28114</v>
      </c>
      <c r="P6355" t="s">
        <v>27</v>
      </c>
      <c r="Y6355" t="s">
        <v>28115</v>
      </c>
    </row>
    <row r="6356" spans="1:25" x14ac:dyDescent="0.25">
      <c r="A6356" t="str">
        <f>"33516322461"</f>
        <v>33516322461</v>
      </c>
      <c r="B6356" t="s">
        <v>1053</v>
      </c>
      <c r="C6356" t="s">
        <v>27043</v>
      </c>
      <c r="D6356" t="s">
        <v>28116</v>
      </c>
      <c r="E6356">
        <v>424003</v>
      </c>
      <c r="F6356" t="s">
        <v>1</v>
      </c>
      <c r="G6356" t="s">
        <v>2</v>
      </c>
      <c r="H6356" t="s">
        <v>26580</v>
      </c>
      <c r="J6356" t="s">
        <v>28117</v>
      </c>
      <c r="P6356" t="s">
        <v>799</v>
      </c>
      <c r="Y6356" t="s">
        <v>28118</v>
      </c>
    </row>
    <row r="6357" spans="1:25" x14ac:dyDescent="0.25">
      <c r="A6357" t="str">
        <f>"33573160731"</f>
        <v>33573160731</v>
      </c>
      <c r="B6357" t="s">
        <v>7312</v>
      </c>
      <c r="C6357" t="s">
        <v>21136</v>
      </c>
      <c r="D6357" t="s">
        <v>8791</v>
      </c>
      <c r="E6357">
        <v>424008</v>
      </c>
      <c r="F6357" t="s">
        <v>1</v>
      </c>
      <c r="G6357" t="s">
        <v>2</v>
      </c>
      <c r="H6357" t="s">
        <v>1031</v>
      </c>
      <c r="Y6357" t="s">
        <v>28119</v>
      </c>
    </row>
    <row r="6358" spans="1:25" x14ac:dyDescent="0.25">
      <c r="A6358" t="str">
        <f>"33608412240"</f>
        <v>33608412240</v>
      </c>
      <c r="B6358" t="s">
        <v>379</v>
      </c>
      <c r="C6358" t="s">
        <v>28122</v>
      </c>
      <c r="D6358" t="s">
        <v>28120</v>
      </c>
      <c r="E6358">
        <v>424031</v>
      </c>
      <c r="F6358" t="s">
        <v>1</v>
      </c>
      <c r="G6358" t="s">
        <v>2</v>
      </c>
      <c r="H6358" t="s">
        <v>28121</v>
      </c>
      <c r="Y6358" t="s">
        <v>28123</v>
      </c>
    </row>
    <row r="6359" spans="1:25" x14ac:dyDescent="0.25">
      <c r="A6359" t="str">
        <f>"33611825344"</f>
        <v>33611825344</v>
      </c>
      <c r="B6359" t="s">
        <v>96</v>
      </c>
      <c r="C6359" t="s">
        <v>26416</v>
      </c>
      <c r="D6359" t="s">
        <v>10260</v>
      </c>
      <c r="E6359">
        <v>424039</v>
      </c>
      <c r="F6359" t="s">
        <v>1</v>
      </c>
      <c r="G6359" t="s">
        <v>2</v>
      </c>
      <c r="H6359" t="s">
        <v>5827</v>
      </c>
      <c r="Y6359" t="s">
        <v>23921</v>
      </c>
    </row>
    <row r="6360" spans="1:25" x14ac:dyDescent="0.25">
      <c r="A6360" t="str">
        <f>"33634208394"</f>
        <v>33634208394</v>
      </c>
      <c r="B6360" t="s">
        <v>96</v>
      </c>
      <c r="C6360" t="s">
        <v>20353</v>
      </c>
      <c r="D6360" t="s">
        <v>28124</v>
      </c>
      <c r="E6360">
        <v>424038</v>
      </c>
      <c r="F6360" t="s">
        <v>1</v>
      </c>
      <c r="G6360" t="s">
        <v>2</v>
      </c>
      <c r="H6360" t="s">
        <v>2614</v>
      </c>
      <c r="Y6360" t="s">
        <v>2617</v>
      </c>
    </row>
    <row r="6361" spans="1:25" x14ac:dyDescent="0.25">
      <c r="A6361" t="str">
        <f>"33699205311"</f>
        <v>33699205311</v>
      </c>
      <c r="B6361" t="s">
        <v>469</v>
      </c>
      <c r="C6361" t="s">
        <v>28129</v>
      </c>
      <c r="D6361" t="s">
        <v>28125</v>
      </c>
      <c r="E6361">
        <v>424006</v>
      </c>
      <c r="F6361" t="s">
        <v>1</v>
      </c>
      <c r="G6361" t="s">
        <v>2</v>
      </c>
      <c r="H6361" t="s">
        <v>22324</v>
      </c>
      <c r="I6361" t="s">
        <v>28126</v>
      </c>
      <c r="L6361" t="s">
        <v>28127</v>
      </c>
      <c r="M6361" t="s">
        <v>28128</v>
      </c>
      <c r="P6361" t="s">
        <v>28130</v>
      </c>
      <c r="Q6361" t="s">
        <v>28131</v>
      </c>
      <c r="V6361" t="s">
        <v>28132</v>
      </c>
      <c r="Y6361" t="s">
        <v>28133</v>
      </c>
    </row>
    <row r="6362" spans="1:25" x14ac:dyDescent="0.25">
      <c r="A6362" t="str">
        <f>"33745896471"</f>
        <v>33745896471</v>
      </c>
      <c r="B6362" t="s">
        <v>300</v>
      </c>
      <c r="C6362" t="s">
        <v>28134</v>
      </c>
      <c r="D6362" t="s">
        <v>28059</v>
      </c>
      <c r="E6362">
        <v>424039</v>
      </c>
      <c r="F6362" t="s">
        <v>1</v>
      </c>
      <c r="G6362" t="s">
        <v>2</v>
      </c>
      <c r="H6362" t="s">
        <v>10036</v>
      </c>
      <c r="Y6362" t="s">
        <v>28135</v>
      </c>
    </row>
    <row r="6363" spans="1:25" x14ac:dyDescent="0.25">
      <c r="A6363" t="str">
        <f>"33808214420"</f>
        <v>33808214420</v>
      </c>
      <c r="B6363" t="s">
        <v>640</v>
      </c>
      <c r="C6363" t="s">
        <v>28140</v>
      </c>
      <c r="D6363" t="s">
        <v>28136</v>
      </c>
      <c r="E6363">
        <v>424000</v>
      </c>
      <c r="F6363" t="s">
        <v>1</v>
      </c>
      <c r="G6363" t="s">
        <v>2</v>
      </c>
      <c r="H6363" t="s">
        <v>28137</v>
      </c>
      <c r="I6363" t="s">
        <v>28138</v>
      </c>
      <c r="L6363" t="s">
        <v>11386</v>
      </c>
      <c r="M6363" t="s">
        <v>28139</v>
      </c>
      <c r="P6363" t="s">
        <v>152</v>
      </c>
      <c r="Y6363" t="s">
        <v>28141</v>
      </c>
    </row>
    <row r="6364" spans="1:25" x14ac:dyDescent="0.25">
      <c r="A6364" t="str">
        <f>"33810801390"</f>
        <v>33810801390</v>
      </c>
      <c r="B6364" t="s">
        <v>1152</v>
      </c>
      <c r="C6364" t="s">
        <v>8523</v>
      </c>
      <c r="D6364" t="s">
        <v>28142</v>
      </c>
      <c r="E6364">
        <v>424031</v>
      </c>
      <c r="F6364" t="s">
        <v>1</v>
      </c>
      <c r="G6364" t="s">
        <v>2</v>
      </c>
      <c r="H6364" t="s">
        <v>239</v>
      </c>
      <c r="J6364" t="s">
        <v>28143</v>
      </c>
      <c r="P6364" t="s">
        <v>216</v>
      </c>
      <c r="Y6364" t="s">
        <v>246</v>
      </c>
    </row>
    <row r="6365" spans="1:25" x14ac:dyDescent="0.25">
      <c r="A6365" t="str">
        <f>"33817961740"</f>
        <v>33817961740</v>
      </c>
      <c r="B6365" t="s">
        <v>18</v>
      </c>
      <c r="C6365" t="s">
        <v>28147</v>
      </c>
      <c r="D6365" t="s">
        <v>28144</v>
      </c>
      <c r="E6365">
        <v>424005</v>
      </c>
      <c r="F6365" t="s">
        <v>1</v>
      </c>
      <c r="G6365" t="s">
        <v>2</v>
      </c>
      <c r="H6365" t="s">
        <v>6843</v>
      </c>
      <c r="I6365" t="s">
        <v>28145</v>
      </c>
      <c r="J6365" t="s">
        <v>28146</v>
      </c>
      <c r="P6365" t="s">
        <v>8945</v>
      </c>
      <c r="Y6365" t="s">
        <v>6846</v>
      </c>
    </row>
    <row r="6366" spans="1:25" x14ac:dyDescent="0.25">
      <c r="A6366" t="str">
        <f>"33859424314"</f>
        <v>33859424314</v>
      </c>
      <c r="B6366" t="s">
        <v>3652</v>
      </c>
      <c r="C6366" t="s">
        <v>14101</v>
      </c>
      <c r="D6366" t="s">
        <v>28148</v>
      </c>
      <c r="E6366">
        <v>424918</v>
      </c>
      <c r="F6366" t="s">
        <v>1</v>
      </c>
      <c r="G6366" t="s">
        <v>2</v>
      </c>
      <c r="H6366" t="s">
        <v>629</v>
      </c>
      <c r="I6366" t="s">
        <v>28149</v>
      </c>
      <c r="L6366" t="s">
        <v>28150</v>
      </c>
      <c r="M6366" t="s">
        <v>28151</v>
      </c>
      <c r="P6366" t="s">
        <v>630</v>
      </c>
      <c r="Q6366" t="s">
        <v>28152</v>
      </c>
      <c r="T6366" t="s">
        <v>28153</v>
      </c>
      <c r="V6366" t="s">
        <v>28154</v>
      </c>
      <c r="Y6366" t="s">
        <v>16536</v>
      </c>
    </row>
    <row r="6367" spans="1:25" x14ac:dyDescent="0.25">
      <c r="A6367" t="str">
        <f>"33899139356"</f>
        <v>33899139356</v>
      </c>
      <c r="B6367" t="s">
        <v>1046</v>
      </c>
      <c r="C6367" t="s">
        <v>13439</v>
      </c>
      <c r="D6367" t="s">
        <v>28155</v>
      </c>
      <c r="E6367">
        <v>424031</v>
      </c>
      <c r="F6367" t="s">
        <v>1</v>
      </c>
      <c r="G6367" t="s">
        <v>2</v>
      </c>
      <c r="H6367" t="s">
        <v>239</v>
      </c>
      <c r="P6367" t="s">
        <v>28156</v>
      </c>
      <c r="Y6367" t="s">
        <v>246</v>
      </c>
    </row>
    <row r="6368" spans="1:25" x14ac:dyDescent="0.25">
      <c r="A6368" t="str">
        <f>"33942627500"</f>
        <v>33942627500</v>
      </c>
      <c r="B6368" t="s">
        <v>654</v>
      </c>
      <c r="C6368" t="s">
        <v>28162</v>
      </c>
      <c r="D6368" t="s">
        <v>28157</v>
      </c>
      <c r="E6368">
        <v>424038</v>
      </c>
      <c r="F6368" t="s">
        <v>1</v>
      </c>
      <c r="G6368" t="s">
        <v>2</v>
      </c>
      <c r="H6368" t="s">
        <v>15741</v>
      </c>
      <c r="I6368" t="s">
        <v>28158</v>
      </c>
      <c r="J6368" t="s">
        <v>28159</v>
      </c>
      <c r="L6368" t="s">
        <v>28160</v>
      </c>
      <c r="M6368" t="s">
        <v>28161</v>
      </c>
      <c r="P6368" t="s">
        <v>27</v>
      </c>
      <c r="Q6368" t="s">
        <v>28163</v>
      </c>
      <c r="V6368" t="s">
        <v>28164</v>
      </c>
      <c r="Y6368" t="s">
        <v>4034</v>
      </c>
    </row>
    <row r="6369" spans="1:25" x14ac:dyDescent="0.25">
      <c r="A6369" t="str">
        <f>"34007011127"</f>
        <v>34007011127</v>
      </c>
      <c r="B6369" t="s">
        <v>151</v>
      </c>
      <c r="C6369" t="s">
        <v>1034</v>
      </c>
      <c r="D6369" t="s">
        <v>28165</v>
      </c>
      <c r="E6369">
        <v>424000</v>
      </c>
      <c r="F6369" t="s">
        <v>1</v>
      </c>
      <c r="G6369" t="s">
        <v>2</v>
      </c>
      <c r="H6369" t="s">
        <v>12303</v>
      </c>
      <c r="I6369" t="s">
        <v>28166</v>
      </c>
      <c r="J6369" t="s">
        <v>28167</v>
      </c>
      <c r="P6369" t="s">
        <v>4543</v>
      </c>
      <c r="Y6369" t="s">
        <v>13335</v>
      </c>
    </row>
    <row r="6370" spans="1:25" x14ac:dyDescent="0.25">
      <c r="A6370" t="str">
        <f>"34045649377"</f>
        <v>34045649377</v>
      </c>
      <c r="B6370" t="s">
        <v>96</v>
      </c>
      <c r="C6370" t="s">
        <v>893</v>
      </c>
      <c r="D6370" t="s">
        <v>28168</v>
      </c>
      <c r="E6370">
        <v>424918</v>
      </c>
      <c r="F6370" t="s">
        <v>1</v>
      </c>
      <c r="G6370" t="s">
        <v>2</v>
      </c>
      <c r="H6370" t="s">
        <v>629</v>
      </c>
      <c r="P6370" t="s">
        <v>630</v>
      </c>
      <c r="Y6370" t="s">
        <v>1744</v>
      </c>
    </row>
    <row r="6371" spans="1:25" x14ac:dyDescent="0.25">
      <c r="A6371" t="str">
        <f>"34059223645"</f>
        <v>34059223645</v>
      </c>
      <c r="B6371" t="s">
        <v>1053</v>
      </c>
      <c r="C6371" t="s">
        <v>28173</v>
      </c>
      <c r="D6371" t="s">
        <v>28169</v>
      </c>
      <c r="E6371">
        <v>424006</v>
      </c>
      <c r="F6371" t="s">
        <v>1</v>
      </c>
      <c r="G6371" t="s">
        <v>2</v>
      </c>
      <c r="H6371" t="s">
        <v>751</v>
      </c>
      <c r="J6371" t="s">
        <v>28170</v>
      </c>
      <c r="L6371" t="s">
        <v>28171</v>
      </c>
      <c r="M6371" t="s">
        <v>28172</v>
      </c>
      <c r="P6371" t="s">
        <v>27</v>
      </c>
      <c r="Y6371" t="s">
        <v>755</v>
      </c>
    </row>
    <row r="6372" spans="1:25" x14ac:dyDescent="0.25">
      <c r="A6372" t="str">
        <f>"34120013600"</f>
        <v>34120013600</v>
      </c>
      <c r="B6372" t="s">
        <v>96</v>
      </c>
      <c r="C6372" t="s">
        <v>893</v>
      </c>
      <c r="D6372" t="s">
        <v>28174</v>
      </c>
      <c r="E6372">
        <v>424000</v>
      </c>
      <c r="F6372" t="s">
        <v>1</v>
      </c>
      <c r="G6372" t="s">
        <v>2</v>
      </c>
      <c r="H6372" t="s">
        <v>7122</v>
      </c>
      <c r="P6372" t="s">
        <v>630</v>
      </c>
      <c r="Y6372" t="s">
        <v>28175</v>
      </c>
    </row>
    <row r="6373" spans="1:25" x14ac:dyDescent="0.25">
      <c r="A6373" t="str">
        <f>"34159742820"</f>
        <v>34159742820</v>
      </c>
      <c r="B6373" t="s">
        <v>7312</v>
      </c>
      <c r="C6373" t="s">
        <v>26456</v>
      </c>
      <c r="D6373" t="s">
        <v>14703</v>
      </c>
      <c r="E6373">
        <v>424000</v>
      </c>
      <c r="F6373" t="s">
        <v>1</v>
      </c>
      <c r="G6373" t="s">
        <v>2</v>
      </c>
      <c r="H6373" t="s">
        <v>1473</v>
      </c>
      <c r="P6373" t="s">
        <v>941</v>
      </c>
      <c r="Y6373" t="s">
        <v>4067</v>
      </c>
    </row>
    <row r="6374" spans="1:25" x14ac:dyDescent="0.25">
      <c r="A6374" t="str">
        <f>"34210983300"</f>
        <v>34210983300</v>
      </c>
      <c r="B6374" t="s">
        <v>348</v>
      </c>
      <c r="C6374" t="s">
        <v>26811</v>
      </c>
      <c r="D6374" t="s">
        <v>12992</v>
      </c>
      <c r="E6374">
        <v>424020</v>
      </c>
      <c r="F6374" t="s">
        <v>1</v>
      </c>
      <c r="G6374" t="s">
        <v>2</v>
      </c>
      <c r="H6374" t="s">
        <v>802</v>
      </c>
      <c r="Y6374" t="s">
        <v>28176</v>
      </c>
    </row>
    <row r="6375" spans="1:25" x14ac:dyDescent="0.25">
      <c r="A6375" t="str">
        <f>"34214117296"</f>
        <v>34214117296</v>
      </c>
      <c r="B6375" t="s">
        <v>151</v>
      </c>
      <c r="C6375" t="s">
        <v>23690</v>
      </c>
      <c r="D6375" t="s">
        <v>28177</v>
      </c>
      <c r="E6375">
        <v>424032</v>
      </c>
      <c r="F6375" t="s">
        <v>1</v>
      </c>
      <c r="G6375" t="s">
        <v>2</v>
      </c>
      <c r="H6375" t="s">
        <v>28178</v>
      </c>
      <c r="I6375" t="s">
        <v>28179</v>
      </c>
      <c r="J6375" t="s">
        <v>28180</v>
      </c>
      <c r="P6375" t="s">
        <v>152</v>
      </c>
      <c r="Y6375" t="s">
        <v>28181</v>
      </c>
    </row>
    <row r="6376" spans="1:25" x14ac:dyDescent="0.25">
      <c r="A6376" t="str">
        <f>"34250353716"</f>
        <v>34250353716</v>
      </c>
      <c r="B6376" t="s">
        <v>25664</v>
      </c>
      <c r="C6376" t="s">
        <v>28183</v>
      </c>
      <c r="D6376" t="s">
        <v>28182</v>
      </c>
      <c r="E6376">
        <v>424006</v>
      </c>
      <c r="F6376" t="s">
        <v>1</v>
      </c>
      <c r="G6376" t="s">
        <v>2</v>
      </c>
      <c r="H6376" t="s">
        <v>6902</v>
      </c>
      <c r="Y6376" t="s">
        <v>28184</v>
      </c>
    </row>
    <row r="6377" spans="1:25" x14ac:dyDescent="0.25">
      <c r="A6377" t="str">
        <f>"34256572220"</f>
        <v>34256572220</v>
      </c>
      <c r="B6377" t="s">
        <v>348</v>
      </c>
      <c r="C6377" t="s">
        <v>26811</v>
      </c>
      <c r="D6377" t="s">
        <v>28185</v>
      </c>
      <c r="E6377">
        <v>424038</v>
      </c>
      <c r="F6377" t="s">
        <v>1</v>
      </c>
      <c r="G6377" t="s">
        <v>2</v>
      </c>
      <c r="H6377" t="s">
        <v>546</v>
      </c>
      <c r="Y6377" t="s">
        <v>28186</v>
      </c>
    </row>
    <row r="6378" spans="1:25" x14ac:dyDescent="0.25">
      <c r="A6378" t="str">
        <f>"34293460133"</f>
        <v>34293460133</v>
      </c>
      <c r="B6378" t="s">
        <v>334</v>
      </c>
      <c r="C6378" t="s">
        <v>28190</v>
      </c>
      <c r="D6378" t="s">
        <v>28187</v>
      </c>
      <c r="E6378">
        <v>424037</v>
      </c>
      <c r="F6378" t="s">
        <v>1</v>
      </c>
      <c r="G6378" t="s">
        <v>2</v>
      </c>
      <c r="H6378" t="s">
        <v>28188</v>
      </c>
      <c r="J6378" t="s">
        <v>28189</v>
      </c>
      <c r="P6378" t="s">
        <v>312</v>
      </c>
      <c r="Y6378" t="s">
        <v>28191</v>
      </c>
    </row>
    <row r="6379" spans="1:25" x14ac:dyDescent="0.25">
      <c r="A6379" t="str">
        <f>"34314024686"</f>
        <v>34314024686</v>
      </c>
      <c r="B6379" t="s">
        <v>18</v>
      </c>
      <c r="C6379" t="s">
        <v>28195</v>
      </c>
      <c r="D6379" t="s">
        <v>28192</v>
      </c>
      <c r="E6379">
        <v>424007</v>
      </c>
      <c r="F6379" t="s">
        <v>1</v>
      </c>
      <c r="G6379" t="s">
        <v>2</v>
      </c>
      <c r="H6379" t="s">
        <v>24703</v>
      </c>
      <c r="L6379" t="s">
        <v>28193</v>
      </c>
      <c r="M6379" t="s">
        <v>28194</v>
      </c>
      <c r="P6379" t="s">
        <v>28196</v>
      </c>
      <c r="Y6379" t="s">
        <v>28197</v>
      </c>
    </row>
    <row r="6380" spans="1:25" x14ac:dyDescent="0.25">
      <c r="A6380" t="str">
        <f>"34333549920"</f>
        <v>34333549920</v>
      </c>
      <c r="B6380" t="s">
        <v>88</v>
      </c>
      <c r="C6380" t="s">
        <v>8056</v>
      </c>
      <c r="D6380" t="s">
        <v>23167</v>
      </c>
      <c r="F6380" t="s">
        <v>1</v>
      </c>
      <c r="G6380" t="s">
        <v>2</v>
      </c>
      <c r="H6380" t="s">
        <v>990</v>
      </c>
      <c r="Y6380" t="s">
        <v>28198</v>
      </c>
    </row>
    <row r="6381" spans="1:25" x14ac:dyDescent="0.25">
      <c r="A6381" t="str">
        <f>"34376392052"</f>
        <v>34376392052</v>
      </c>
      <c r="B6381" t="s">
        <v>334</v>
      </c>
      <c r="C6381" t="s">
        <v>5230</v>
      </c>
      <c r="D6381" t="s">
        <v>28199</v>
      </c>
      <c r="E6381">
        <v>424003</v>
      </c>
      <c r="F6381" t="s">
        <v>1</v>
      </c>
      <c r="G6381" t="s">
        <v>2</v>
      </c>
      <c r="H6381" t="s">
        <v>28200</v>
      </c>
      <c r="I6381" t="s">
        <v>18916</v>
      </c>
      <c r="L6381" t="s">
        <v>28201</v>
      </c>
      <c r="M6381" t="s">
        <v>28202</v>
      </c>
      <c r="P6381" t="s">
        <v>330</v>
      </c>
      <c r="Q6381" t="s">
        <v>28203</v>
      </c>
      <c r="T6381" t="s">
        <v>28204</v>
      </c>
      <c r="U6381" t="s">
        <v>28205</v>
      </c>
      <c r="Y6381" t="s">
        <v>28206</v>
      </c>
    </row>
    <row r="6382" spans="1:25" x14ac:dyDescent="0.25">
      <c r="A6382" t="str">
        <f>"34387703383"</f>
        <v>34387703383</v>
      </c>
      <c r="B6382" t="s">
        <v>388</v>
      </c>
      <c r="C6382" t="s">
        <v>7194</v>
      </c>
      <c r="D6382" t="s">
        <v>28207</v>
      </c>
      <c r="E6382">
        <v>424000</v>
      </c>
      <c r="F6382" t="s">
        <v>1</v>
      </c>
      <c r="G6382" t="s">
        <v>2</v>
      </c>
      <c r="H6382" t="s">
        <v>28208</v>
      </c>
      <c r="I6382" t="s">
        <v>23016</v>
      </c>
      <c r="J6382" t="s">
        <v>13794</v>
      </c>
      <c r="P6382" t="s">
        <v>144</v>
      </c>
      <c r="Y6382" t="s">
        <v>28209</v>
      </c>
    </row>
    <row r="6383" spans="1:25" x14ac:dyDescent="0.25">
      <c r="A6383" t="str">
        <f>"34387895460"</f>
        <v>34387895460</v>
      </c>
      <c r="B6383" t="s">
        <v>319</v>
      </c>
      <c r="C6383" t="s">
        <v>320</v>
      </c>
      <c r="D6383" t="s">
        <v>320</v>
      </c>
      <c r="F6383" t="s">
        <v>1</v>
      </c>
      <c r="G6383" t="s">
        <v>2</v>
      </c>
      <c r="H6383" t="s">
        <v>28210</v>
      </c>
      <c r="Y6383" t="s">
        <v>28211</v>
      </c>
    </row>
    <row r="6384" spans="1:25" x14ac:dyDescent="0.25">
      <c r="A6384" t="str">
        <f>"34415030312"</f>
        <v>34415030312</v>
      </c>
      <c r="B6384" t="s">
        <v>574</v>
      </c>
      <c r="C6384" t="s">
        <v>952</v>
      </c>
      <c r="D6384" t="s">
        <v>28212</v>
      </c>
      <c r="E6384">
        <v>424039</v>
      </c>
      <c r="F6384" t="s">
        <v>1</v>
      </c>
      <c r="G6384" t="s">
        <v>2</v>
      </c>
      <c r="H6384" t="s">
        <v>28213</v>
      </c>
      <c r="Y6384" t="s">
        <v>28214</v>
      </c>
    </row>
    <row r="6385" spans="1:25" x14ac:dyDescent="0.25">
      <c r="A6385" t="str">
        <f>"34428290865"</f>
        <v>34428290865</v>
      </c>
      <c r="B6385" t="s">
        <v>430</v>
      </c>
      <c r="C6385" t="s">
        <v>612</v>
      </c>
      <c r="D6385" t="s">
        <v>10135</v>
      </c>
      <c r="E6385">
        <v>424038</v>
      </c>
      <c r="F6385" t="s">
        <v>1</v>
      </c>
      <c r="G6385" t="s">
        <v>2</v>
      </c>
      <c r="H6385" t="s">
        <v>192</v>
      </c>
      <c r="I6385" t="s">
        <v>28215</v>
      </c>
      <c r="J6385" t="s">
        <v>28216</v>
      </c>
      <c r="P6385" t="s">
        <v>330</v>
      </c>
      <c r="Y6385" t="s">
        <v>28217</v>
      </c>
    </row>
    <row r="6386" spans="1:25" x14ac:dyDescent="0.25">
      <c r="A6386" t="str">
        <f>"34495343506"</f>
        <v>34495343506</v>
      </c>
      <c r="B6386" t="s">
        <v>96</v>
      </c>
      <c r="C6386" t="s">
        <v>893</v>
      </c>
      <c r="D6386" t="s">
        <v>2613</v>
      </c>
      <c r="E6386">
        <v>424918</v>
      </c>
      <c r="F6386" t="s">
        <v>1</v>
      </c>
      <c r="G6386" t="s">
        <v>2</v>
      </c>
      <c r="H6386" t="s">
        <v>629</v>
      </c>
      <c r="P6386" t="s">
        <v>630</v>
      </c>
      <c r="Y6386" t="s">
        <v>28218</v>
      </c>
    </row>
    <row r="6387" spans="1:25" x14ac:dyDescent="0.25">
      <c r="A6387" t="str">
        <f>"34525947273"</f>
        <v>34525947273</v>
      </c>
      <c r="B6387" t="s">
        <v>1391</v>
      </c>
      <c r="C6387" t="s">
        <v>1392</v>
      </c>
      <c r="D6387" t="s">
        <v>28219</v>
      </c>
      <c r="E6387">
        <v>424004</v>
      </c>
      <c r="F6387" t="s">
        <v>1</v>
      </c>
      <c r="G6387" t="s">
        <v>2</v>
      </c>
      <c r="H6387" t="s">
        <v>5197</v>
      </c>
      <c r="J6387" t="s">
        <v>28220</v>
      </c>
      <c r="P6387" t="s">
        <v>20</v>
      </c>
      <c r="Y6387" t="s">
        <v>5200</v>
      </c>
    </row>
    <row r="6388" spans="1:25" x14ac:dyDescent="0.25">
      <c r="A6388" t="str">
        <f>"34555060673"</f>
        <v>34555060673</v>
      </c>
      <c r="B6388" t="s">
        <v>930</v>
      </c>
      <c r="C6388" t="s">
        <v>14708</v>
      </c>
      <c r="D6388" t="s">
        <v>28221</v>
      </c>
      <c r="E6388">
        <v>424032</v>
      </c>
      <c r="F6388" t="s">
        <v>1</v>
      </c>
      <c r="G6388" t="s">
        <v>2</v>
      </c>
      <c r="H6388" t="s">
        <v>14657</v>
      </c>
      <c r="J6388" t="s">
        <v>24534</v>
      </c>
      <c r="P6388" t="s">
        <v>216</v>
      </c>
      <c r="Y6388" t="s">
        <v>20038</v>
      </c>
    </row>
    <row r="6389" spans="1:25" x14ac:dyDescent="0.25">
      <c r="A6389" t="str">
        <f>"34624288393"</f>
        <v>34624288393</v>
      </c>
      <c r="B6389" t="s">
        <v>738</v>
      </c>
      <c r="C6389" t="s">
        <v>28225</v>
      </c>
      <c r="D6389" t="s">
        <v>23298</v>
      </c>
      <c r="E6389">
        <v>424016</v>
      </c>
      <c r="F6389" t="s">
        <v>1</v>
      </c>
      <c r="G6389" t="s">
        <v>2</v>
      </c>
      <c r="H6389" t="s">
        <v>28222</v>
      </c>
      <c r="I6389" t="s">
        <v>28223</v>
      </c>
      <c r="L6389" t="s">
        <v>23300</v>
      </c>
      <c r="M6389" t="s">
        <v>28224</v>
      </c>
      <c r="P6389" t="s">
        <v>22843</v>
      </c>
      <c r="Y6389" t="s">
        <v>28226</v>
      </c>
    </row>
    <row r="6390" spans="1:25" x14ac:dyDescent="0.25">
      <c r="A6390" t="str">
        <f>"34660662151"</f>
        <v>34660662151</v>
      </c>
      <c r="B6390" t="s">
        <v>18</v>
      </c>
      <c r="C6390" t="s">
        <v>959</v>
      </c>
      <c r="D6390" t="s">
        <v>28227</v>
      </c>
      <c r="E6390">
        <v>424003</v>
      </c>
      <c r="F6390" t="s">
        <v>1</v>
      </c>
      <c r="G6390" t="s">
        <v>2</v>
      </c>
      <c r="H6390" t="s">
        <v>5311</v>
      </c>
      <c r="Y6390" t="s">
        <v>28228</v>
      </c>
    </row>
    <row r="6391" spans="1:25" x14ac:dyDescent="0.25">
      <c r="A6391" t="str">
        <f>"34661257147"</f>
        <v>34661257147</v>
      </c>
      <c r="B6391" t="s">
        <v>18</v>
      </c>
      <c r="C6391" t="s">
        <v>2171</v>
      </c>
      <c r="D6391" t="s">
        <v>28229</v>
      </c>
      <c r="E6391">
        <v>424002</v>
      </c>
      <c r="F6391" t="s">
        <v>1</v>
      </c>
      <c r="G6391" t="s">
        <v>2</v>
      </c>
      <c r="H6391" t="s">
        <v>5596</v>
      </c>
      <c r="Y6391" t="s">
        <v>10583</v>
      </c>
    </row>
    <row r="6392" spans="1:25" x14ac:dyDescent="0.25">
      <c r="A6392" t="str">
        <f>"34745155693"</f>
        <v>34745155693</v>
      </c>
      <c r="B6392" t="s">
        <v>7312</v>
      </c>
      <c r="C6392" t="s">
        <v>9849</v>
      </c>
      <c r="D6392" t="s">
        <v>26647</v>
      </c>
      <c r="E6392">
        <v>424033</v>
      </c>
      <c r="F6392" t="s">
        <v>1</v>
      </c>
      <c r="G6392" t="s">
        <v>2</v>
      </c>
      <c r="H6392" t="s">
        <v>2597</v>
      </c>
      <c r="J6392" t="s">
        <v>26648</v>
      </c>
      <c r="L6392" t="s">
        <v>26649</v>
      </c>
      <c r="P6392" t="s">
        <v>1760</v>
      </c>
      <c r="Q6392" t="s">
        <v>26650</v>
      </c>
      <c r="V6392" t="s">
        <v>28230</v>
      </c>
      <c r="Y6392" t="s">
        <v>2718</v>
      </c>
    </row>
    <row r="6393" spans="1:25" x14ac:dyDescent="0.25">
      <c r="A6393" t="str">
        <f>"34787683902"</f>
        <v>34787683902</v>
      </c>
      <c r="B6393" t="s">
        <v>32</v>
      </c>
      <c r="C6393" t="s">
        <v>5809</v>
      </c>
      <c r="D6393" t="s">
        <v>9929</v>
      </c>
      <c r="E6393">
        <v>424028</v>
      </c>
      <c r="F6393" t="s">
        <v>1</v>
      </c>
      <c r="G6393" t="s">
        <v>2</v>
      </c>
      <c r="H6393" t="s">
        <v>17393</v>
      </c>
      <c r="I6393" t="s">
        <v>28231</v>
      </c>
      <c r="J6393" t="s">
        <v>28232</v>
      </c>
      <c r="P6393" t="s">
        <v>1404</v>
      </c>
      <c r="Y6393" t="s">
        <v>28233</v>
      </c>
    </row>
    <row r="6394" spans="1:25" x14ac:dyDescent="0.25">
      <c r="A6394" t="str">
        <f>"34809946608"</f>
        <v>34809946608</v>
      </c>
      <c r="B6394" t="s">
        <v>2361</v>
      </c>
      <c r="C6394" t="s">
        <v>28238</v>
      </c>
      <c r="D6394" t="s">
        <v>28234</v>
      </c>
      <c r="E6394">
        <v>424006</v>
      </c>
      <c r="F6394" t="s">
        <v>1</v>
      </c>
      <c r="G6394" t="s">
        <v>2</v>
      </c>
      <c r="H6394" t="s">
        <v>8622</v>
      </c>
      <c r="I6394" t="s">
        <v>28235</v>
      </c>
      <c r="L6394" t="s">
        <v>28236</v>
      </c>
      <c r="M6394" t="s">
        <v>28237</v>
      </c>
      <c r="P6394" t="s">
        <v>27</v>
      </c>
      <c r="Q6394" t="s">
        <v>28239</v>
      </c>
      <c r="R6394" t="s">
        <v>28240</v>
      </c>
      <c r="S6394" t="s">
        <v>28241</v>
      </c>
      <c r="T6394" t="s">
        <v>28242</v>
      </c>
      <c r="U6394" t="s">
        <v>28243</v>
      </c>
      <c r="V6394" t="s">
        <v>28244</v>
      </c>
      <c r="Y6394" t="s">
        <v>8866</v>
      </c>
    </row>
    <row r="6395" spans="1:25" x14ac:dyDescent="0.25">
      <c r="A6395" t="str">
        <f>"34835114208"</f>
        <v>34835114208</v>
      </c>
      <c r="B6395" t="s">
        <v>188</v>
      </c>
      <c r="C6395" t="s">
        <v>24568</v>
      </c>
      <c r="D6395" t="s">
        <v>24568</v>
      </c>
      <c r="F6395" t="s">
        <v>1</v>
      </c>
      <c r="G6395" t="s">
        <v>2</v>
      </c>
      <c r="H6395" t="s">
        <v>23480</v>
      </c>
      <c r="Y6395" t="s">
        <v>28245</v>
      </c>
    </row>
    <row r="6396" spans="1:25" x14ac:dyDescent="0.25">
      <c r="A6396" t="str">
        <f>"34973003906"</f>
        <v>34973003906</v>
      </c>
      <c r="B6396" t="s">
        <v>1046</v>
      </c>
      <c r="C6396" t="s">
        <v>22946</v>
      </c>
      <c r="D6396" t="s">
        <v>22946</v>
      </c>
      <c r="E6396">
        <v>424000</v>
      </c>
      <c r="F6396" t="s">
        <v>1</v>
      </c>
      <c r="G6396" t="s">
        <v>2</v>
      </c>
      <c r="H6396" t="s">
        <v>7297</v>
      </c>
      <c r="Y6396" t="s">
        <v>28246</v>
      </c>
    </row>
    <row r="6397" spans="1:25" x14ac:dyDescent="0.25">
      <c r="A6397" t="str">
        <f>"34991377296"</f>
        <v>34991377296</v>
      </c>
      <c r="B6397" t="s">
        <v>1343</v>
      </c>
      <c r="C6397" t="s">
        <v>13544</v>
      </c>
      <c r="D6397" t="s">
        <v>24040</v>
      </c>
      <c r="E6397">
        <v>424039</v>
      </c>
      <c r="F6397" t="s">
        <v>1</v>
      </c>
      <c r="G6397" t="s">
        <v>2</v>
      </c>
      <c r="H6397" t="s">
        <v>5827</v>
      </c>
      <c r="P6397" t="s">
        <v>941</v>
      </c>
      <c r="Y6397" t="s">
        <v>27950</v>
      </c>
    </row>
    <row r="6398" spans="1:25" x14ac:dyDescent="0.25">
      <c r="A6398" t="str">
        <f>"34993651914"</f>
        <v>34993651914</v>
      </c>
      <c r="B6398" t="s">
        <v>348</v>
      </c>
      <c r="C6398" t="s">
        <v>24364</v>
      </c>
      <c r="D6398" t="s">
        <v>28247</v>
      </c>
      <c r="E6398">
        <v>424033</v>
      </c>
      <c r="F6398" t="s">
        <v>1</v>
      </c>
      <c r="G6398" t="s">
        <v>2</v>
      </c>
      <c r="H6398" t="s">
        <v>1383</v>
      </c>
      <c r="L6398" t="s">
        <v>28248</v>
      </c>
      <c r="M6398" t="s">
        <v>28249</v>
      </c>
      <c r="P6398" t="s">
        <v>16441</v>
      </c>
      <c r="Y6398" t="s">
        <v>1387</v>
      </c>
    </row>
    <row r="6399" spans="1:25" x14ac:dyDescent="0.25">
      <c r="A6399" t="str">
        <f>"35007684583"</f>
        <v>35007684583</v>
      </c>
      <c r="B6399" t="s">
        <v>18</v>
      </c>
      <c r="C6399" t="s">
        <v>28195</v>
      </c>
      <c r="D6399" t="s">
        <v>28250</v>
      </c>
      <c r="E6399">
        <v>424005</v>
      </c>
      <c r="F6399" t="s">
        <v>1</v>
      </c>
      <c r="G6399" t="s">
        <v>2</v>
      </c>
      <c r="H6399" t="s">
        <v>3042</v>
      </c>
      <c r="J6399" t="s">
        <v>28251</v>
      </c>
      <c r="L6399" t="s">
        <v>28252</v>
      </c>
      <c r="M6399" t="s">
        <v>28253</v>
      </c>
      <c r="P6399" t="s">
        <v>312</v>
      </c>
      <c r="Q6399" t="s">
        <v>28254</v>
      </c>
      <c r="V6399" t="s">
        <v>28255</v>
      </c>
      <c r="Y6399" t="s">
        <v>16045</v>
      </c>
    </row>
    <row r="6400" spans="1:25" x14ac:dyDescent="0.25">
      <c r="A6400" t="str">
        <f>"35013310003"</f>
        <v>35013310003</v>
      </c>
      <c r="B6400" t="s">
        <v>530</v>
      </c>
      <c r="C6400" t="s">
        <v>23950</v>
      </c>
      <c r="D6400" t="s">
        <v>23950</v>
      </c>
      <c r="F6400" t="s">
        <v>1</v>
      </c>
      <c r="G6400" t="s">
        <v>2</v>
      </c>
      <c r="H6400" t="s">
        <v>26653</v>
      </c>
      <c r="Y6400" t="s">
        <v>28256</v>
      </c>
    </row>
    <row r="6401" spans="1:25" x14ac:dyDescent="0.25">
      <c r="A6401" t="str">
        <f>"35026227779"</f>
        <v>35026227779</v>
      </c>
      <c r="B6401" t="s">
        <v>371</v>
      </c>
      <c r="C6401" t="s">
        <v>28258</v>
      </c>
      <c r="D6401" t="s">
        <v>28257</v>
      </c>
      <c r="E6401">
        <v>424005</v>
      </c>
      <c r="F6401" t="s">
        <v>1</v>
      </c>
      <c r="G6401" t="s">
        <v>2</v>
      </c>
      <c r="H6401" t="s">
        <v>1310</v>
      </c>
      <c r="P6401" t="s">
        <v>5084</v>
      </c>
      <c r="Y6401" t="s">
        <v>3926</v>
      </c>
    </row>
    <row r="6402" spans="1:25" x14ac:dyDescent="0.25">
      <c r="A6402" t="str">
        <f>"35035001695"</f>
        <v>35035001695</v>
      </c>
      <c r="B6402" t="s">
        <v>530</v>
      </c>
      <c r="C6402" t="s">
        <v>23950</v>
      </c>
      <c r="D6402" t="s">
        <v>23950</v>
      </c>
      <c r="F6402" t="s">
        <v>1</v>
      </c>
      <c r="G6402" t="s">
        <v>2</v>
      </c>
      <c r="H6402" t="s">
        <v>28259</v>
      </c>
      <c r="Y6402" t="s">
        <v>28260</v>
      </c>
    </row>
    <row r="6403" spans="1:25" x14ac:dyDescent="0.25">
      <c r="A6403" t="str">
        <f>"35079815666"</f>
        <v>35079815666</v>
      </c>
      <c r="B6403" t="s">
        <v>25</v>
      </c>
      <c r="C6403" t="s">
        <v>24938</v>
      </c>
      <c r="D6403" t="s">
        <v>28261</v>
      </c>
      <c r="E6403">
        <v>424033</v>
      </c>
      <c r="F6403" t="s">
        <v>1</v>
      </c>
      <c r="G6403" t="s">
        <v>2</v>
      </c>
      <c r="H6403" t="s">
        <v>24707</v>
      </c>
      <c r="I6403" t="s">
        <v>24696</v>
      </c>
      <c r="L6403" t="s">
        <v>24697</v>
      </c>
      <c r="M6403" t="s">
        <v>28262</v>
      </c>
      <c r="Y6403" t="s">
        <v>28263</v>
      </c>
    </row>
    <row r="6404" spans="1:25" x14ac:dyDescent="0.25">
      <c r="A6404" t="str">
        <f>"35102815764"</f>
        <v>35102815764</v>
      </c>
      <c r="B6404" t="s">
        <v>1352</v>
      </c>
      <c r="C6404" t="s">
        <v>1353</v>
      </c>
      <c r="D6404" t="s">
        <v>28264</v>
      </c>
      <c r="E6404">
        <v>424031</v>
      </c>
      <c r="F6404" t="s">
        <v>1</v>
      </c>
      <c r="G6404" t="s">
        <v>2</v>
      </c>
      <c r="H6404" t="s">
        <v>4622</v>
      </c>
      <c r="I6404" t="s">
        <v>24334</v>
      </c>
      <c r="L6404" t="s">
        <v>24336</v>
      </c>
      <c r="P6404" t="s">
        <v>2050</v>
      </c>
      <c r="Q6404" t="s">
        <v>24337</v>
      </c>
      <c r="Y6404" t="s">
        <v>28265</v>
      </c>
    </row>
    <row r="6405" spans="1:25" x14ac:dyDescent="0.25">
      <c r="A6405" t="str">
        <f>"35150667564"</f>
        <v>35150667564</v>
      </c>
      <c r="B6405" t="s">
        <v>462</v>
      </c>
      <c r="C6405" t="s">
        <v>5618</v>
      </c>
      <c r="D6405" t="s">
        <v>28266</v>
      </c>
      <c r="F6405" t="s">
        <v>1</v>
      </c>
      <c r="G6405" t="s">
        <v>2</v>
      </c>
      <c r="H6405" t="s">
        <v>11761</v>
      </c>
      <c r="L6405" t="s">
        <v>28267</v>
      </c>
      <c r="M6405" t="s">
        <v>28268</v>
      </c>
      <c r="Y6405" t="s">
        <v>11764</v>
      </c>
    </row>
    <row r="6406" spans="1:25" x14ac:dyDescent="0.25">
      <c r="A6406" t="str">
        <f>"35177193292"</f>
        <v>35177193292</v>
      </c>
      <c r="B6406" t="s">
        <v>96</v>
      </c>
      <c r="C6406" t="s">
        <v>659</v>
      </c>
      <c r="D6406" t="s">
        <v>28269</v>
      </c>
      <c r="E6406">
        <v>424019</v>
      </c>
      <c r="F6406" t="s">
        <v>1</v>
      </c>
      <c r="G6406" t="s">
        <v>2</v>
      </c>
      <c r="H6406" t="s">
        <v>7785</v>
      </c>
      <c r="J6406" t="s">
        <v>28270</v>
      </c>
      <c r="P6406" t="s">
        <v>98</v>
      </c>
      <c r="Y6406" t="s">
        <v>28271</v>
      </c>
    </row>
    <row r="6407" spans="1:25" x14ac:dyDescent="0.25">
      <c r="A6407" t="str">
        <f>"35182803873"</f>
        <v>35182803873</v>
      </c>
      <c r="B6407" t="s">
        <v>1544</v>
      </c>
      <c r="C6407" t="s">
        <v>7974</v>
      </c>
      <c r="D6407" t="s">
        <v>28272</v>
      </c>
      <c r="E6407">
        <v>424033</v>
      </c>
      <c r="F6407" t="s">
        <v>1</v>
      </c>
      <c r="G6407" t="s">
        <v>2</v>
      </c>
      <c r="H6407" t="s">
        <v>25986</v>
      </c>
      <c r="Y6407" t="s">
        <v>25988</v>
      </c>
    </row>
    <row r="6408" spans="1:25" x14ac:dyDescent="0.25">
      <c r="A6408" t="str">
        <f>"35217530382"</f>
        <v>35217530382</v>
      </c>
      <c r="B6408" t="s">
        <v>18</v>
      </c>
      <c r="C6408" t="s">
        <v>4522</v>
      </c>
      <c r="D6408" t="s">
        <v>11574</v>
      </c>
      <c r="E6408">
        <v>424006</v>
      </c>
      <c r="F6408" t="s">
        <v>1</v>
      </c>
      <c r="G6408" t="s">
        <v>2</v>
      </c>
      <c r="H6408" t="s">
        <v>9823</v>
      </c>
      <c r="Y6408" t="s">
        <v>28273</v>
      </c>
    </row>
    <row r="6409" spans="1:25" x14ac:dyDescent="0.25">
      <c r="A6409" t="str">
        <f>"35233192819"</f>
        <v>35233192819</v>
      </c>
      <c r="B6409" t="s">
        <v>96</v>
      </c>
      <c r="C6409" t="s">
        <v>659</v>
      </c>
      <c r="D6409" t="s">
        <v>26827</v>
      </c>
      <c r="E6409">
        <v>424019</v>
      </c>
      <c r="F6409" t="s">
        <v>1</v>
      </c>
      <c r="G6409" t="s">
        <v>2</v>
      </c>
      <c r="H6409" t="s">
        <v>7785</v>
      </c>
      <c r="J6409" t="s">
        <v>26828</v>
      </c>
      <c r="P6409" t="s">
        <v>144</v>
      </c>
      <c r="Y6409" t="s">
        <v>28274</v>
      </c>
    </row>
    <row r="6410" spans="1:25" x14ac:dyDescent="0.25">
      <c r="A6410" t="str">
        <f>"35249394557"</f>
        <v>35249394557</v>
      </c>
      <c r="B6410" t="s">
        <v>1230</v>
      </c>
      <c r="C6410" t="s">
        <v>28277</v>
      </c>
      <c r="D6410" t="s">
        <v>28275</v>
      </c>
      <c r="E6410">
        <v>424031</v>
      </c>
      <c r="F6410" t="s">
        <v>1</v>
      </c>
      <c r="G6410" t="s">
        <v>2</v>
      </c>
      <c r="H6410" t="s">
        <v>239</v>
      </c>
      <c r="J6410" t="s">
        <v>28276</v>
      </c>
      <c r="P6410" t="s">
        <v>27</v>
      </c>
      <c r="Y6410" t="s">
        <v>28278</v>
      </c>
    </row>
    <row r="6411" spans="1:25" x14ac:dyDescent="0.25">
      <c r="A6411" t="str">
        <f>"35313916650"</f>
        <v>35313916650</v>
      </c>
      <c r="B6411" t="s">
        <v>1152</v>
      </c>
      <c r="C6411" t="s">
        <v>1385</v>
      </c>
      <c r="D6411" t="s">
        <v>28279</v>
      </c>
      <c r="E6411">
        <v>424000</v>
      </c>
      <c r="F6411" t="s">
        <v>1</v>
      </c>
      <c r="G6411" t="s">
        <v>2</v>
      </c>
      <c r="H6411" t="s">
        <v>10803</v>
      </c>
      <c r="Y6411" t="s">
        <v>28280</v>
      </c>
    </row>
    <row r="6412" spans="1:25" x14ac:dyDescent="0.25">
      <c r="A6412" t="str">
        <f>"35327705789"</f>
        <v>35327705789</v>
      </c>
      <c r="B6412" t="s">
        <v>4084</v>
      </c>
      <c r="C6412" t="s">
        <v>28282</v>
      </c>
      <c r="D6412" t="s">
        <v>28281</v>
      </c>
      <c r="E6412">
        <v>424031</v>
      </c>
      <c r="F6412" t="s">
        <v>1</v>
      </c>
      <c r="G6412" t="s">
        <v>2</v>
      </c>
      <c r="H6412" t="s">
        <v>22995</v>
      </c>
      <c r="Y6412" t="s">
        <v>28283</v>
      </c>
    </row>
    <row r="6413" spans="1:25" x14ac:dyDescent="0.25">
      <c r="A6413" t="str">
        <f>"35367140834"</f>
        <v>35367140834</v>
      </c>
      <c r="B6413" t="s">
        <v>123</v>
      </c>
      <c r="C6413" t="s">
        <v>424</v>
      </c>
      <c r="D6413" t="s">
        <v>28284</v>
      </c>
      <c r="E6413">
        <v>424020</v>
      </c>
      <c r="F6413" t="s">
        <v>1</v>
      </c>
      <c r="G6413" t="s">
        <v>2</v>
      </c>
      <c r="H6413" t="s">
        <v>121</v>
      </c>
      <c r="P6413" t="s">
        <v>18361</v>
      </c>
      <c r="Y6413" t="s">
        <v>28285</v>
      </c>
    </row>
    <row r="6414" spans="1:25" x14ac:dyDescent="0.25">
      <c r="A6414" t="str">
        <f>"35385236127"</f>
        <v>35385236127</v>
      </c>
      <c r="B6414" t="s">
        <v>1343</v>
      </c>
      <c r="C6414" t="s">
        <v>1344</v>
      </c>
      <c r="D6414" t="s">
        <v>1340</v>
      </c>
      <c r="E6414">
        <v>424038</v>
      </c>
      <c r="F6414" t="s">
        <v>1</v>
      </c>
      <c r="G6414" t="s">
        <v>2</v>
      </c>
      <c r="H6414" t="s">
        <v>2614</v>
      </c>
      <c r="I6414" t="s">
        <v>1342</v>
      </c>
      <c r="P6414" t="s">
        <v>1345</v>
      </c>
      <c r="Y6414" t="s">
        <v>2617</v>
      </c>
    </row>
    <row r="6415" spans="1:25" x14ac:dyDescent="0.25">
      <c r="A6415" t="str">
        <f>"35445664305"</f>
        <v>35445664305</v>
      </c>
      <c r="B6415" t="s">
        <v>574</v>
      </c>
      <c r="C6415" t="s">
        <v>23462</v>
      </c>
      <c r="D6415" t="s">
        <v>27898</v>
      </c>
      <c r="E6415">
        <v>424005</v>
      </c>
      <c r="F6415" t="s">
        <v>1</v>
      </c>
      <c r="G6415" t="s">
        <v>2</v>
      </c>
      <c r="H6415" t="s">
        <v>1148</v>
      </c>
      <c r="Y6415" t="s">
        <v>28286</v>
      </c>
    </row>
    <row r="6416" spans="1:25" x14ac:dyDescent="0.25">
      <c r="A6416" t="str">
        <f>"35466879936"</f>
        <v>35466879936</v>
      </c>
      <c r="B6416" t="s">
        <v>1475</v>
      </c>
      <c r="C6416" t="s">
        <v>4005</v>
      </c>
      <c r="D6416" t="s">
        <v>1781</v>
      </c>
      <c r="E6416">
        <v>424033</v>
      </c>
      <c r="F6416" t="s">
        <v>1</v>
      </c>
      <c r="G6416" t="s">
        <v>2</v>
      </c>
      <c r="H6416" t="s">
        <v>1782</v>
      </c>
      <c r="P6416" t="s">
        <v>144</v>
      </c>
      <c r="Y6416" t="s">
        <v>28287</v>
      </c>
    </row>
    <row r="6417" spans="1:25" x14ac:dyDescent="0.25">
      <c r="A6417" t="str">
        <f>"35480098376"</f>
        <v>35480098376</v>
      </c>
      <c r="B6417" t="s">
        <v>530</v>
      </c>
      <c r="C6417" t="s">
        <v>23950</v>
      </c>
      <c r="D6417" t="s">
        <v>23950</v>
      </c>
      <c r="F6417" t="s">
        <v>1</v>
      </c>
      <c r="G6417" t="s">
        <v>2</v>
      </c>
      <c r="H6417" t="s">
        <v>27736</v>
      </c>
      <c r="Y6417" t="s">
        <v>28288</v>
      </c>
    </row>
    <row r="6418" spans="1:25" x14ac:dyDescent="0.25">
      <c r="A6418" t="str">
        <f>"35500331889"</f>
        <v>35500331889</v>
      </c>
      <c r="B6418" t="s">
        <v>123</v>
      </c>
      <c r="C6418" t="s">
        <v>196</v>
      </c>
      <c r="D6418" t="s">
        <v>28289</v>
      </c>
      <c r="E6418">
        <v>424039</v>
      </c>
      <c r="F6418" t="s">
        <v>1</v>
      </c>
      <c r="G6418" t="s">
        <v>2</v>
      </c>
      <c r="H6418" t="s">
        <v>148</v>
      </c>
      <c r="Y6418" t="s">
        <v>28290</v>
      </c>
    </row>
    <row r="6419" spans="1:25" x14ac:dyDescent="0.25">
      <c r="A6419" t="str">
        <f>"35523034915"</f>
        <v>35523034915</v>
      </c>
      <c r="B6419" t="s">
        <v>96</v>
      </c>
      <c r="C6419" t="s">
        <v>893</v>
      </c>
      <c r="D6419" t="s">
        <v>28291</v>
      </c>
      <c r="E6419">
        <v>424000</v>
      </c>
      <c r="F6419" t="s">
        <v>1</v>
      </c>
      <c r="G6419" t="s">
        <v>2</v>
      </c>
      <c r="H6419" t="s">
        <v>1473</v>
      </c>
      <c r="P6419" t="s">
        <v>941</v>
      </c>
      <c r="Y6419" t="s">
        <v>4067</v>
      </c>
    </row>
    <row r="6420" spans="1:25" x14ac:dyDescent="0.25">
      <c r="A6420" t="str">
        <f>"35532340737"</f>
        <v>35532340737</v>
      </c>
      <c r="B6420" t="s">
        <v>319</v>
      </c>
      <c r="C6420" t="s">
        <v>320</v>
      </c>
      <c r="D6420" t="s">
        <v>28292</v>
      </c>
      <c r="E6420">
        <v>424003</v>
      </c>
      <c r="F6420" t="s">
        <v>1</v>
      </c>
      <c r="G6420" t="s">
        <v>2</v>
      </c>
      <c r="H6420" t="s">
        <v>28293</v>
      </c>
      <c r="Y6420" t="s">
        <v>3999</v>
      </c>
    </row>
    <row r="6421" spans="1:25" x14ac:dyDescent="0.25">
      <c r="A6421" t="str">
        <f>"35532626208"</f>
        <v>35532626208</v>
      </c>
      <c r="B6421" t="s">
        <v>574</v>
      </c>
      <c r="C6421" t="s">
        <v>23462</v>
      </c>
      <c r="D6421" t="s">
        <v>28294</v>
      </c>
      <c r="E6421">
        <v>424039</v>
      </c>
      <c r="F6421" t="s">
        <v>1</v>
      </c>
      <c r="G6421" t="s">
        <v>2</v>
      </c>
      <c r="H6421" t="s">
        <v>24212</v>
      </c>
      <c r="Y6421" t="s">
        <v>28295</v>
      </c>
    </row>
    <row r="6422" spans="1:25" x14ac:dyDescent="0.25">
      <c r="A6422" t="str">
        <f>"35543263987"</f>
        <v>35543263987</v>
      </c>
      <c r="B6422" t="s">
        <v>188</v>
      </c>
      <c r="C6422" t="s">
        <v>24568</v>
      </c>
      <c r="D6422" t="s">
        <v>24568</v>
      </c>
      <c r="E6422">
        <v>424019</v>
      </c>
      <c r="F6422" t="s">
        <v>1</v>
      </c>
      <c r="G6422" t="s">
        <v>2</v>
      </c>
      <c r="H6422" t="s">
        <v>7785</v>
      </c>
      <c r="P6422" t="s">
        <v>98</v>
      </c>
      <c r="Y6422" t="s">
        <v>28296</v>
      </c>
    </row>
    <row r="6423" spans="1:25" x14ac:dyDescent="0.25">
      <c r="A6423" t="str">
        <f>"35571510283"</f>
        <v>35571510283</v>
      </c>
      <c r="B6423" t="s">
        <v>797</v>
      </c>
      <c r="C6423" t="s">
        <v>5123</v>
      </c>
      <c r="D6423" t="s">
        <v>28297</v>
      </c>
      <c r="E6423">
        <v>424007</v>
      </c>
      <c r="F6423" t="s">
        <v>1</v>
      </c>
      <c r="G6423" t="s">
        <v>2</v>
      </c>
      <c r="H6423" t="s">
        <v>1085</v>
      </c>
      <c r="J6423" t="s">
        <v>19863</v>
      </c>
      <c r="P6423" t="s">
        <v>280</v>
      </c>
      <c r="Y6423" t="s">
        <v>1412</v>
      </c>
    </row>
    <row r="6424" spans="1:25" x14ac:dyDescent="0.25">
      <c r="A6424" t="str">
        <f>"35594414995"</f>
        <v>35594414995</v>
      </c>
      <c r="B6424" t="s">
        <v>1343</v>
      </c>
      <c r="C6424" t="s">
        <v>28301</v>
      </c>
      <c r="D6424" t="s">
        <v>28298</v>
      </c>
      <c r="E6424">
        <v>424918</v>
      </c>
      <c r="F6424" t="s">
        <v>1</v>
      </c>
      <c r="G6424" t="s">
        <v>2</v>
      </c>
      <c r="H6424" t="s">
        <v>629</v>
      </c>
      <c r="I6424" t="s">
        <v>28299</v>
      </c>
      <c r="L6424" t="s">
        <v>28300</v>
      </c>
      <c r="P6424" t="s">
        <v>630</v>
      </c>
      <c r="Y6424" t="s">
        <v>1744</v>
      </c>
    </row>
    <row r="6425" spans="1:25" x14ac:dyDescent="0.25">
      <c r="A6425" t="str">
        <f>"35596369093"</f>
        <v>35596369093</v>
      </c>
      <c r="B6425" t="s">
        <v>290</v>
      </c>
      <c r="C6425" t="s">
        <v>290</v>
      </c>
      <c r="D6425" t="s">
        <v>28302</v>
      </c>
      <c r="E6425">
        <v>424000</v>
      </c>
      <c r="F6425" t="s">
        <v>1</v>
      </c>
      <c r="G6425" t="s">
        <v>2</v>
      </c>
      <c r="H6425" t="s">
        <v>7628</v>
      </c>
      <c r="J6425" t="s">
        <v>28303</v>
      </c>
      <c r="P6425" t="s">
        <v>1642</v>
      </c>
      <c r="Y6425" t="s">
        <v>28304</v>
      </c>
    </row>
    <row r="6426" spans="1:25" x14ac:dyDescent="0.25">
      <c r="A6426" t="str">
        <f>"35609371206"</f>
        <v>35609371206</v>
      </c>
      <c r="B6426" t="s">
        <v>25</v>
      </c>
      <c r="C6426" t="s">
        <v>24938</v>
      </c>
      <c r="D6426" t="s">
        <v>28305</v>
      </c>
      <c r="F6426" t="s">
        <v>1</v>
      </c>
      <c r="G6426" t="s">
        <v>2</v>
      </c>
      <c r="H6426" t="s">
        <v>28306</v>
      </c>
      <c r="I6426" t="s">
        <v>28307</v>
      </c>
      <c r="L6426" t="s">
        <v>26146</v>
      </c>
      <c r="M6426" t="s">
        <v>28308</v>
      </c>
      <c r="Y6426" t="s">
        <v>28309</v>
      </c>
    </row>
    <row r="6427" spans="1:25" x14ac:dyDescent="0.25">
      <c r="A6427" t="str">
        <f>"35617735903"</f>
        <v>35617735903</v>
      </c>
      <c r="B6427" t="s">
        <v>790</v>
      </c>
      <c r="C6427" t="s">
        <v>4693</v>
      </c>
      <c r="D6427" t="s">
        <v>28310</v>
      </c>
      <c r="E6427">
        <v>424006</v>
      </c>
      <c r="F6427" t="s">
        <v>1</v>
      </c>
      <c r="G6427" t="s">
        <v>2</v>
      </c>
      <c r="H6427" t="s">
        <v>28311</v>
      </c>
      <c r="J6427" t="s">
        <v>28312</v>
      </c>
      <c r="L6427" t="s">
        <v>16920</v>
      </c>
      <c r="M6427" t="s">
        <v>28313</v>
      </c>
      <c r="P6427" t="s">
        <v>27</v>
      </c>
      <c r="Y6427" t="s">
        <v>2779</v>
      </c>
    </row>
    <row r="6428" spans="1:25" x14ac:dyDescent="0.25">
      <c r="A6428" t="str">
        <f>"35632879875"</f>
        <v>35632879875</v>
      </c>
      <c r="B6428" t="s">
        <v>284</v>
      </c>
      <c r="C6428" t="s">
        <v>27632</v>
      </c>
      <c r="D6428" t="s">
        <v>28314</v>
      </c>
      <c r="E6428">
        <v>424004</v>
      </c>
      <c r="F6428" t="s">
        <v>1</v>
      </c>
      <c r="G6428" t="s">
        <v>2</v>
      </c>
      <c r="H6428" t="s">
        <v>26629</v>
      </c>
      <c r="Y6428" t="s">
        <v>28315</v>
      </c>
    </row>
    <row r="6429" spans="1:25" x14ac:dyDescent="0.25">
      <c r="A6429" t="str">
        <f>"35637652762"</f>
        <v>35637652762</v>
      </c>
      <c r="B6429" t="s">
        <v>18</v>
      </c>
      <c r="C6429" t="s">
        <v>3386</v>
      </c>
      <c r="D6429" t="s">
        <v>28316</v>
      </c>
      <c r="E6429">
        <v>424006</v>
      </c>
      <c r="F6429" t="s">
        <v>1</v>
      </c>
      <c r="G6429" t="s">
        <v>2</v>
      </c>
      <c r="H6429" t="s">
        <v>7984</v>
      </c>
      <c r="J6429" t="s">
        <v>28317</v>
      </c>
      <c r="P6429" t="s">
        <v>20</v>
      </c>
      <c r="Y6429" t="s">
        <v>28318</v>
      </c>
    </row>
    <row r="6430" spans="1:25" x14ac:dyDescent="0.25">
      <c r="A6430" t="str">
        <f>"35639314768"</f>
        <v>35639314768</v>
      </c>
      <c r="B6430" t="s">
        <v>930</v>
      </c>
      <c r="C6430" t="s">
        <v>4781</v>
      </c>
      <c r="D6430" t="s">
        <v>28319</v>
      </c>
      <c r="E6430">
        <v>424007</v>
      </c>
      <c r="F6430" t="s">
        <v>1</v>
      </c>
      <c r="G6430" t="s">
        <v>2</v>
      </c>
      <c r="H6430" t="s">
        <v>1085</v>
      </c>
      <c r="I6430" t="s">
        <v>28320</v>
      </c>
      <c r="P6430" t="s">
        <v>2580</v>
      </c>
      <c r="Y6430" t="s">
        <v>28321</v>
      </c>
    </row>
    <row r="6431" spans="1:25" x14ac:dyDescent="0.25">
      <c r="A6431" t="str">
        <f>"35689442518"</f>
        <v>35689442518</v>
      </c>
      <c r="B6431" t="s">
        <v>18</v>
      </c>
      <c r="C6431" t="s">
        <v>28324</v>
      </c>
      <c r="D6431" t="s">
        <v>13452</v>
      </c>
      <c r="E6431">
        <v>424002</v>
      </c>
      <c r="F6431" t="s">
        <v>1</v>
      </c>
      <c r="G6431" t="s">
        <v>2</v>
      </c>
      <c r="H6431" t="s">
        <v>10581</v>
      </c>
      <c r="I6431" t="s">
        <v>28322</v>
      </c>
      <c r="L6431" t="s">
        <v>28323</v>
      </c>
      <c r="P6431" t="s">
        <v>11503</v>
      </c>
      <c r="Y6431" t="s">
        <v>28325</v>
      </c>
    </row>
    <row r="6432" spans="1:25" x14ac:dyDescent="0.25">
      <c r="A6432" t="str">
        <f>"35749562947"</f>
        <v>35749562947</v>
      </c>
      <c r="B6432" t="s">
        <v>123</v>
      </c>
      <c r="C6432" t="s">
        <v>18438</v>
      </c>
      <c r="D6432" t="s">
        <v>28326</v>
      </c>
      <c r="F6432" t="s">
        <v>1</v>
      </c>
      <c r="G6432" t="s">
        <v>2</v>
      </c>
      <c r="H6432" t="s">
        <v>28327</v>
      </c>
      <c r="Y6432" t="s">
        <v>28328</v>
      </c>
    </row>
    <row r="6433" spans="1:25" x14ac:dyDescent="0.25">
      <c r="A6433" t="str">
        <f>"35761248413"</f>
        <v>35761248413</v>
      </c>
      <c r="B6433" t="s">
        <v>32</v>
      </c>
      <c r="C6433" t="s">
        <v>28331</v>
      </c>
      <c r="D6433" t="s">
        <v>28329</v>
      </c>
      <c r="E6433">
        <v>424002</v>
      </c>
      <c r="F6433" t="s">
        <v>1</v>
      </c>
      <c r="G6433" t="s">
        <v>2</v>
      </c>
      <c r="H6433" t="s">
        <v>28330</v>
      </c>
      <c r="Y6433" t="s">
        <v>28332</v>
      </c>
    </row>
    <row r="6434" spans="1:25" x14ac:dyDescent="0.25">
      <c r="A6434" t="str">
        <f>"35787564522"</f>
        <v>35787564522</v>
      </c>
      <c r="B6434" t="s">
        <v>3094</v>
      </c>
      <c r="C6434" t="s">
        <v>3095</v>
      </c>
      <c r="D6434" t="s">
        <v>28333</v>
      </c>
      <c r="E6434">
        <v>424032</v>
      </c>
      <c r="F6434" t="s">
        <v>1</v>
      </c>
      <c r="G6434" t="s">
        <v>2</v>
      </c>
      <c r="H6434" t="s">
        <v>14413</v>
      </c>
      <c r="I6434" t="s">
        <v>28334</v>
      </c>
      <c r="L6434" t="s">
        <v>28335</v>
      </c>
      <c r="M6434" t="s">
        <v>28336</v>
      </c>
      <c r="P6434" t="s">
        <v>5396</v>
      </c>
      <c r="Q6434" t="s">
        <v>28337</v>
      </c>
      <c r="Y6434" t="s">
        <v>28338</v>
      </c>
    </row>
    <row r="6435" spans="1:25" x14ac:dyDescent="0.25">
      <c r="A6435" t="str">
        <f>"35809625460"</f>
        <v>35809625460</v>
      </c>
      <c r="B6435" t="s">
        <v>290</v>
      </c>
      <c r="C6435" t="s">
        <v>290</v>
      </c>
      <c r="D6435" t="s">
        <v>28339</v>
      </c>
      <c r="E6435">
        <v>424028</v>
      </c>
      <c r="F6435" t="s">
        <v>1</v>
      </c>
      <c r="G6435" t="s">
        <v>2</v>
      </c>
      <c r="H6435" t="s">
        <v>28340</v>
      </c>
      <c r="P6435" t="s">
        <v>21688</v>
      </c>
      <c r="V6435" t="s">
        <v>28341</v>
      </c>
      <c r="Y6435" t="s">
        <v>28342</v>
      </c>
    </row>
    <row r="6436" spans="1:25" x14ac:dyDescent="0.25">
      <c r="A6436" t="str">
        <f>"35844091907"</f>
        <v>35844091907</v>
      </c>
      <c r="B6436" t="s">
        <v>841</v>
      </c>
      <c r="C6436" t="s">
        <v>25954</v>
      </c>
      <c r="D6436" t="s">
        <v>28343</v>
      </c>
      <c r="E6436">
        <v>424000</v>
      </c>
      <c r="F6436" t="s">
        <v>1</v>
      </c>
      <c r="G6436" t="s">
        <v>2</v>
      </c>
      <c r="H6436" t="s">
        <v>1531</v>
      </c>
      <c r="I6436" t="s">
        <v>28344</v>
      </c>
      <c r="P6436" t="s">
        <v>10024</v>
      </c>
      <c r="Q6436" t="s">
        <v>28345</v>
      </c>
      <c r="Y6436" t="s">
        <v>1707</v>
      </c>
    </row>
    <row r="6437" spans="1:25" x14ac:dyDescent="0.25">
      <c r="A6437" t="str">
        <f>"35851017284"</f>
        <v>35851017284</v>
      </c>
      <c r="B6437" t="s">
        <v>160</v>
      </c>
      <c r="C6437" t="s">
        <v>28350</v>
      </c>
      <c r="D6437" t="s">
        <v>28346</v>
      </c>
      <c r="E6437">
        <v>424006</v>
      </c>
      <c r="F6437" t="s">
        <v>1</v>
      </c>
      <c r="G6437" t="s">
        <v>2</v>
      </c>
      <c r="H6437" t="s">
        <v>445</v>
      </c>
      <c r="J6437" t="s">
        <v>28347</v>
      </c>
      <c r="L6437" t="s">
        <v>28348</v>
      </c>
      <c r="M6437" t="s">
        <v>28349</v>
      </c>
      <c r="P6437" t="s">
        <v>390</v>
      </c>
      <c r="Y6437" t="s">
        <v>8488</v>
      </c>
    </row>
    <row r="6438" spans="1:25" x14ac:dyDescent="0.25">
      <c r="A6438" t="str">
        <f>"35892988446"</f>
        <v>35892988446</v>
      </c>
      <c r="B6438" t="s">
        <v>96</v>
      </c>
      <c r="C6438" t="s">
        <v>12339</v>
      </c>
      <c r="D6438" t="s">
        <v>28351</v>
      </c>
      <c r="E6438">
        <v>424038</v>
      </c>
      <c r="F6438" t="s">
        <v>1</v>
      </c>
      <c r="G6438" t="s">
        <v>2</v>
      </c>
      <c r="H6438" t="s">
        <v>7597</v>
      </c>
      <c r="J6438" t="s">
        <v>28352</v>
      </c>
      <c r="L6438" t="s">
        <v>28353</v>
      </c>
      <c r="M6438" t="s">
        <v>28354</v>
      </c>
      <c r="P6438" t="s">
        <v>1642</v>
      </c>
      <c r="Q6438" t="s">
        <v>28355</v>
      </c>
      <c r="S6438" t="s">
        <v>28356</v>
      </c>
      <c r="T6438" t="s">
        <v>28357</v>
      </c>
      <c r="U6438" t="s">
        <v>28358</v>
      </c>
      <c r="V6438" t="s">
        <v>28359</v>
      </c>
      <c r="Y6438" t="s">
        <v>28360</v>
      </c>
    </row>
    <row r="6439" spans="1:25" x14ac:dyDescent="0.25">
      <c r="A6439" t="str">
        <f>"35907713611"</f>
        <v>35907713611</v>
      </c>
      <c r="B6439" t="s">
        <v>3094</v>
      </c>
      <c r="C6439" t="s">
        <v>7527</v>
      </c>
      <c r="D6439" t="s">
        <v>28361</v>
      </c>
      <c r="E6439">
        <v>424039</v>
      </c>
      <c r="F6439" t="s">
        <v>1</v>
      </c>
      <c r="G6439" t="s">
        <v>2</v>
      </c>
      <c r="H6439" t="s">
        <v>28362</v>
      </c>
      <c r="I6439" t="s">
        <v>28363</v>
      </c>
      <c r="L6439" t="s">
        <v>3001</v>
      </c>
      <c r="M6439" t="s">
        <v>3002</v>
      </c>
      <c r="Y6439" t="s">
        <v>28364</v>
      </c>
    </row>
    <row r="6440" spans="1:25" x14ac:dyDescent="0.25">
      <c r="A6440" t="str">
        <f>"35913652165"</f>
        <v>35913652165</v>
      </c>
      <c r="B6440" t="s">
        <v>1352</v>
      </c>
      <c r="C6440" t="s">
        <v>2093</v>
      </c>
      <c r="D6440" t="s">
        <v>28365</v>
      </c>
      <c r="E6440">
        <v>424002</v>
      </c>
      <c r="F6440" t="s">
        <v>1</v>
      </c>
      <c r="G6440" t="s">
        <v>2</v>
      </c>
      <c r="H6440" t="s">
        <v>57</v>
      </c>
      <c r="J6440" t="s">
        <v>28366</v>
      </c>
      <c r="L6440" t="s">
        <v>28367</v>
      </c>
      <c r="M6440" t="s">
        <v>28368</v>
      </c>
      <c r="P6440" t="s">
        <v>28369</v>
      </c>
      <c r="Y6440" t="s">
        <v>61</v>
      </c>
    </row>
    <row r="6441" spans="1:25" x14ac:dyDescent="0.25">
      <c r="A6441" t="str">
        <f>"35926181828"</f>
        <v>35926181828</v>
      </c>
      <c r="B6441" t="s">
        <v>1611</v>
      </c>
      <c r="C6441" t="s">
        <v>25647</v>
      </c>
      <c r="D6441" t="s">
        <v>28370</v>
      </c>
      <c r="E6441">
        <v>424000</v>
      </c>
      <c r="F6441" t="s">
        <v>1</v>
      </c>
      <c r="G6441" t="s">
        <v>2</v>
      </c>
      <c r="H6441" t="s">
        <v>16280</v>
      </c>
      <c r="Y6441" t="s">
        <v>28371</v>
      </c>
    </row>
    <row r="6442" spans="1:25" x14ac:dyDescent="0.25">
      <c r="A6442" t="str">
        <f>"35941557252"</f>
        <v>35941557252</v>
      </c>
      <c r="B6442" t="s">
        <v>1315</v>
      </c>
      <c r="C6442" t="s">
        <v>4274</v>
      </c>
      <c r="D6442" t="s">
        <v>28372</v>
      </c>
      <c r="E6442">
        <v>424016</v>
      </c>
      <c r="F6442" t="s">
        <v>1</v>
      </c>
      <c r="G6442" t="s">
        <v>2</v>
      </c>
      <c r="H6442" t="s">
        <v>16995</v>
      </c>
      <c r="Y6442" t="s">
        <v>28373</v>
      </c>
    </row>
    <row r="6443" spans="1:25" x14ac:dyDescent="0.25">
      <c r="A6443" t="str">
        <f>"35974528912"</f>
        <v>35974528912</v>
      </c>
      <c r="B6443" t="s">
        <v>352</v>
      </c>
      <c r="C6443" t="s">
        <v>28375</v>
      </c>
      <c r="D6443" t="s">
        <v>28374</v>
      </c>
      <c r="E6443">
        <v>424031</v>
      </c>
      <c r="F6443" t="s">
        <v>1</v>
      </c>
      <c r="G6443" t="s">
        <v>2</v>
      </c>
      <c r="H6443" t="s">
        <v>1524</v>
      </c>
      <c r="Y6443" t="s">
        <v>5358</v>
      </c>
    </row>
    <row r="6444" spans="1:25" x14ac:dyDescent="0.25">
      <c r="A6444" t="str">
        <f>"36003613512"</f>
        <v>36003613512</v>
      </c>
      <c r="B6444" t="s">
        <v>1053</v>
      </c>
      <c r="C6444" t="s">
        <v>11751</v>
      </c>
      <c r="D6444" t="s">
        <v>28376</v>
      </c>
      <c r="E6444">
        <v>424006</v>
      </c>
      <c r="F6444" t="s">
        <v>1</v>
      </c>
      <c r="G6444" t="s">
        <v>2</v>
      </c>
      <c r="H6444" t="s">
        <v>751</v>
      </c>
      <c r="I6444" t="s">
        <v>28377</v>
      </c>
      <c r="J6444" t="s">
        <v>28378</v>
      </c>
      <c r="P6444" t="s">
        <v>17660</v>
      </c>
      <c r="Y6444" t="s">
        <v>755</v>
      </c>
    </row>
    <row r="6445" spans="1:25" x14ac:dyDescent="0.25">
      <c r="A6445" t="str">
        <f>"36048003790"</f>
        <v>36048003790</v>
      </c>
      <c r="B6445" t="s">
        <v>574</v>
      </c>
      <c r="C6445" t="s">
        <v>646</v>
      </c>
      <c r="D6445" t="s">
        <v>28379</v>
      </c>
      <c r="E6445">
        <v>424020</v>
      </c>
      <c r="F6445" t="s">
        <v>1</v>
      </c>
      <c r="G6445" t="s">
        <v>2</v>
      </c>
      <c r="H6445" t="s">
        <v>28380</v>
      </c>
      <c r="Y6445" t="s">
        <v>28381</v>
      </c>
    </row>
    <row r="6446" spans="1:25" x14ac:dyDescent="0.25">
      <c r="A6446" t="str">
        <f>"36062076821"</f>
        <v>36062076821</v>
      </c>
      <c r="B6446" t="s">
        <v>1544</v>
      </c>
      <c r="C6446" t="s">
        <v>15598</v>
      </c>
      <c r="D6446" t="s">
        <v>28382</v>
      </c>
      <c r="E6446">
        <v>424028</v>
      </c>
      <c r="F6446" t="s">
        <v>1</v>
      </c>
      <c r="G6446" t="s">
        <v>2</v>
      </c>
      <c r="H6446" t="s">
        <v>28383</v>
      </c>
      <c r="P6446" t="s">
        <v>330</v>
      </c>
      <c r="Y6446" t="s">
        <v>28384</v>
      </c>
    </row>
    <row r="6447" spans="1:25" x14ac:dyDescent="0.25">
      <c r="A6447" t="str">
        <f>"36071206845"</f>
        <v>36071206845</v>
      </c>
      <c r="B6447" t="s">
        <v>574</v>
      </c>
      <c r="C6447" t="s">
        <v>23462</v>
      </c>
      <c r="D6447" t="s">
        <v>28385</v>
      </c>
      <c r="E6447">
        <v>424020</v>
      </c>
      <c r="F6447" t="s">
        <v>1</v>
      </c>
      <c r="G6447" t="s">
        <v>2</v>
      </c>
      <c r="H6447" t="s">
        <v>24402</v>
      </c>
      <c r="P6447" t="s">
        <v>216</v>
      </c>
      <c r="Y6447" t="s">
        <v>28386</v>
      </c>
    </row>
    <row r="6448" spans="1:25" x14ac:dyDescent="0.25">
      <c r="A6448" t="str">
        <f>"36085311867"</f>
        <v>36085311867</v>
      </c>
      <c r="B6448" t="s">
        <v>430</v>
      </c>
      <c r="C6448" t="s">
        <v>2431</v>
      </c>
      <c r="D6448" t="s">
        <v>17625</v>
      </c>
      <c r="E6448">
        <v>424033</v>
      </c>
      <c r="F6448" t="s">
        <v>1</v>
      </c>
      <c r="G6448" t="s">
        <v>2</v>
      </c>
      <c r="H6448" t="s">
        <v>2597</v>
      </c>
      <c r="J6448" t="s">
        <v>17626</v>
      </c>
      <c r="P6448" t="s">
        <v>2050</v>
      </c>
      <c r="Q6448" t="s">
        <v>28387</v>
      </c>
      <c r="V6448" t="s">
        <v>17628</v>
      </c>
      <c r="Y6448" t="s">
        <v>28388</v>
      </c>
    </row>
    <row r="6449" spans="1:25" x14ac:dyDescent="0.25">
      <c r="A6449" t="str">
        <f>"36109785416"</f>
        <v>36109785416</v>
      </c>
      <c r="B6449" t="s">
        <v>96</v>
      </c>
      <c r="C6449" t="s">
        <v>893</v>
      </c>
      <c r="D6449" t="s">
        <v>1594</v>
      </c>
      <c r="E6449">
        <v>424028</v>
      </c>
      <c r="F6449" t="s">
        <v>1</v>
      </c>
      <c r="G6449" t="s">
        <v>2</v>
      </c>
      <c r="H6449" t="s">
        <v>3359</v>
      </c>
      <c r="J6449" t="s">
        <v>28389</v>
      </c>
      <c r="P6449" t="s">
        <v>112</v>
      </c>
      <c r="Y6449" t="s">
        <v>28390</v>
      </c>
    </row>
    <row r="6450" spans="1:25" x14ac:dyDescent="0.25">
      <c r="A6450" t="str">
        <f>"36116281828"</f>
        <v>36116281828</v>
      </c>
      <c r="B6450" t="s">
        <v>18</v>
      </c>
      <c r="C6450" t="s">
        <v>143</v>
      </c>
      <c r="D6450" t="s">
        <v>392</v>
      </c>
      <c r="F6450" t="s">
        <v>1</v>
      </c>
      <c r="G6450" t="s">
        <v>2</v>
      </c>
      <c r="H6450" t="s">
        <v>6026</v>
      </c>
      <c r="I6450" t="s">
        <v>28391</v>
      </c>
      <c r="M6450" t="s">
        <v>28392</v>
      </c>
      <c r="Y6450" t="s">
        <v>21228</v>
      </c>
    </row>
    <row r="6451" spans="1:25" x14ac:dyDescent="0.25">
      <c r="A6451" t="str">
        <f>"36130729405"</f>
        <v>36130729405</v>
      </c>
      <c r="B6451" t="s">
        <v>930</v>
      </c>
      <c r="C6451" t="s">
        <v>1096</v>
      </c>
      <c r="D6451" t="s">
        <v>28393</v>
      </c>
      <c r="E6451">
        <v>424006</v>
      </c>
      <c r="F6451" t="s">
        <v>1</v>
      </c>
      <c r="G6451" t="s">
        <v>2</v>
      </c>
      <c r="H6451" t="s">
        <v>28394</v>
      </c>
      <c r="I6451" t="s">
        <v>28395</v>
      </c>
      <c r="P6451" t="s">
        <v>2050</v>
      </c>
      <c r="Y6451" t="s">
        <v>28396</v>
      </c>
    </row>
    <row r="6452" spans="1:25" x14ac:dyDescent="0.25">
      <c r="A6452" t="str">
        <f>"36164325244"</f>
        <v>36164325244</v>
      </c>
      <c r="B6452" t="s">
        <v>96</v>
      </c>
      <c r="C6452" t="s">
        <v>8479</v>
      </c>
      <c r="D6452" t="s">
        <v>27619</v>
      </c>
      <c r="E6452">
        <v>424000</v>
      </c>
      <c r="F6452" t="s">
        <v>1</v>
      </c>
      <c r="G6452" t="s">
        <v>2</v>
      </c>
      <c r="H6452" t="s">
        <v>92</v>
      </c>
      <c r="Y6452" t="s">
        <v>28397</v>
      </c>
    </row>
    <row r="6453" spans="1:25" x14ac:dyDescent="0.25">
      <c r="A6453" t="str">
        <f>"36313532329"</f>
        <v>36313532329</v>
      </c>
      <c r="B6453" t="s">
        <v>530</v>
      </c>
      <c r="C6453" t="s">
        <v>23950</v>
      </c>
      <c r="D6453" t="s">
        <v>23950</v>
      </c>
      <c r="F6453" t="s">
        <v>1</v>
      </c>
      <c r="G6453" t="s">
        <v>2</v>
      </c>
      <c r="H6453" t="s">
        <v>28398</v>
      </c>
      <c r="Y6453" t="s">
        <v>28399</v>
      </c>
    </row>
    <row r="6454" spans="1:25" x14ac:dyDescent="0.25">
      <c r="A6454" t="str">
        <f>"36334164995"</f>
        <v>36334164995</v>
      </c>
      <c r="B6454" t="s">
        <v>110</v>
      </c>
      <c r="C6454" t="s">
        <v>784</v>
      </c>
      <c r="D6454" t="s">
        <v>111</v>
      </c>
      <c r="E6454">
        <v>424000</v>
      </c>
      <c r="F6454" t="s">
        <v>1</v>
      </c>
      <c r="G6454" t="s">
        <v>2</v>
      </c>
      <c r="H6454" t="s">
        <v>5942</v>
      </c>
      <c r="J6454" t="s">
        <v>28400</v>
      </c>
      <c r="P6454" t="s">
        <v>6400</v>
      </c>
      <c r="Y6454" t="s">
        <v>5944</v>
      </c>
    </row>
    <row r="6455" spans="1:25" x14ac:dyDescent="0.25">
      <c r="A6455" t="str">
        <f>"36340319811"</f>
        <v>36340319811</v>
      </c>
      <c r="B6455" t="s">
        <v>574</v>
      </c>
      <c r="C6455" t="s">
        <v>27049</v>
      </c>
      <c r="D6455" t="s">
        <v>22154</v>
      </c>
      <c r="E6455">
        <v>424020</v>
      </c>
      <c r="F6455" t="s">
        <v>1</v>
      </c>
      <c r="G6455" t="s">
        <v>2</v>
      </c>
      <c r="H6455" t="s">
        <v>27048</v>
      </c>
      <c r="Y6455" t="s">
        <v>27050</v>
      </c>
    </row>
    <row r="6456" spans="1:25" x14ac:dyDescent="0.25">
      <c r="A6456" t="str">
        <f>"36375399753"</f>
        <v>36375399753</v>
      </c>
      <c r="B6456" t="s">
        <v>574</v>
      </c>
      <c r="C6456" t="s">
        <v>9802</v>
      </c>
      <c r="D6456" t="s">
        <v>28401</v>
      </c>
      <c r="E6456">
        <v>424000</v>
      </c>
      <c r="F6456" t="s">
        <v>1</v>
      </c>
      <c r="G6456" t="s">
        <v>2</v>
      </c>
      <c r="H6456" t="s">
        <v>6974</v>
      </c>
      <c r="Y6456" t="s">
        <v>28402</v>
      </c>
    </row>
    <row r="6457" spans="1:25" x14ac:dyDescent="0.25">
      <c r="A6457" t="str">
        <f>"36403971042"</f>
        <v>36403971042</v>
      </c>
      <c r="B6457" t="s">
        <v>930</v>
      </c>
      <c r="C6457" t="s">
        <v>23108</v>
      </c>
      <c r="D6457" t="s">
        <v>28403</v>
      </c>
      <c r="F6457" t="s">
        <v>1</v>
      </c>
      <c r="G6457" t="s">
        <v>2</v>
      </c>
      <c r="H6457" t="s">
        <v>28404</v>
      </c>
      <c r="J6457" t="s">
        <v>28405</v>
      </c>
      <c r="P6457" t="s">
        <v>133</v>
      </c>
      <c r="V6457" t="s">
        <v>28406</v>
      </c>
      <c r="Y6457" t="s">
        <v>28407</v>
      </c>
    </row>
    <row r="6458" spans="1:25" x14ac:dyDescent="0.25">
      <c r="A6458" t="str">
        <f>"36463306897"</f>
        <v>36463306897</v>
      </c>
      <c r="B6458" t="s">
        <v>1544</v>
      </c>
      <c r="C6458" t="s">
        <v>28410</v>
      </c>
      <c r="D6458" t="s">
        <v>28408</v>
      </c>
      <c r="F6458" t="s">
        <v>1</v>
      </c>
      <c r="G6458" t="s">
        <v>2</v>
      </c>
      <c r="H6458" t="s">
        <v>21391</v>
      </c>
      <c r="J6458" t="s">
        <v>28409</v>
      </c>
      <c r="P6458" t="s">
        <v>330</v>
      </c>
      <c r="Q6458" t="s">
        <v>28411</v>
      </c>
      <c r="V6458" t="s">
        <v>28412</v>
      </c>
      <c r="Y6458" t="s">
        <v>28413</v>
      </c>
    </row>
    <row r="6459" spans="1:25" x14ac:dyDescent="0.25">
      <c r="A6459" t="str">
        <f>"36474914009"</f>
        <v>36474914009</v>
      </c>
      <c r="B6459" t="s">
        <v>151</v>
      </c>
      <c r="C6459" t="s">
        <v>10922</v>
      </c>
      <c r="D6459" t="s">
        <v>28414</v>
      </c>
      <c r="E6459">
        <v>424031</v>
      </c>
      <c r="F6459" t="s">
        <v>1</v>
      </c>
      <c r="G6459" t="s">
        <v>2</v>
      </c>
      <c r="H6459" t="s">
        <v>26972</v>
      </c>
      <c r="I6459" t="s">
        <v>28415</v>
      </c>
      <c r="L6459" t="s">
        <v>20389</v>
      </c>
      <c r="M6459" t="s">
        <v>28416</v>
      </c>
      <c r="Y6459" t="s">
        <v>28417</v>
      </c>
    </row>
    <row r="6460" spans="1:25" x14ac:dyDescent="0.25">
      <c r="A6460" t="str">
        <f>"36478384262"</f>
        <v>36478384262</v>
      </c>
      <c r="B6460" t="s">
        <v>151</v>
      </c>
      <c r="C6460" t="s">
        <v>1034</v>
      </c>
      <c r="D6460" t="s">
        <v>28418</v>
      </c>
      <c r="E6460">
        <v>424031</v>
      </c>
      <c r="F6460" t="s">
        <v>1</v>
      </c>
      <c r="G6460" t="s">
        <v>2</v>
      </c>
      <c r="H6460" t="s">
        <v>239</v>
      </c>
      <c r="I6460" t="s">
        <v>18304</v>
      </c>
      <c r="J6460" t="s">
        <v>28419</v>
      </c>
      <c r="L6460" t="s">
        <v>28420</v>
      </c>
      <c r="M6460" t="s">
        <v>28421</v>
      </c>
      <c r="P6460" t="s">
        <v>27</v>
      </c>
      <c r="Y6460" t="s">
        <v>246</v>
      </c>
    </row>
    <row r="6461" spans="1:25" x14ac:dyDescent="0.25">
      <c r="A6461" t="str">
        <f>"36491208592"</f>
        <v>36491208592</v>
      </c>
      <c r="B6461" t="s">
        <v>1222</v>
      </c>
      <c r="C6461" t="s">
        <v>2114</v>
      </c>
      <c r="D6461" t="s">
        <v>17969</v>
      </c>
      <c r="E6461">
        <v>424020</v>
      </c>
      <c r="F6461" t="s">
        <v>1</v>
      </c>
      <c r="G6461" t="s">
        <v>2</v>
      </c>
      <c r="H6461" t="s">
        <v>802</v>
      </c>
      <c r="Y6461" t="s">
        <v>28422</v>
      </c>
    </row>
    <row r="6462" spans="1:25" x14ac:dyDescent="0.25">
      <c r="A6462" t="str">
        <f>"36551278831"</f>
        <v>36551278831</v>
      </c>
      <c r="B6462" t="s">
        <v>1544</v>
      </c>
      <c r="C6462" t="s">
        <v>15598</v>
      </c>
      <c r="D6462" t="s">
        <v>28423</v>
      </c>
      <c r="E6462">
        <v>424030</v>
      </c>
      <c r="F6462" t="s">
        <v>1</v>
      </c>
      <c r="G6462" t="s">
        <v>2</v>
      </c>
      <c r="H6462" t="s">
        <v>15539</v>
      </c>
      <c r="Y6462" t="s">
        <v>28424</v>
      </c>
    </row>
    <row r="6463" spans="1:25" x14ac:dyDescent="0.25">
      <c r="A6463" t="str">
        <f>"36578493340"</f>
        <v>36578493340</v>
      </c>
      <c r="B6463" t="s">
        <v>379</v>
      </c>
      <c r="C6463" t="s">
        <v>766</v>
      </c>
      <c r="D6463" t="s">
        <v>28425</v>
      </c>
      <c r="E6463">
        <v>424000</v>
      </c>
      <c r="F6463" t="s">
        <v>1</v>
      </c>
      <c r="G6463" t="s">
        <v>2</v>
      </c>
      <c r="H6463" t="s">
        <v>265</v>
      </c>
      <c r="I6463" t="s">
        <v>28426</v>
      </c>
      <c r="M6463" t="s">
        <v>28427</v>
      </c>
      <c r="P6463" t="s">
        <v>133</v>
      </c>
      <c r="Q6463" t="s">
        <v>28428</v>
      </c>
      <c r="V6463" t="s">
        <v>28429</v>
      </c>
      <c r="Y6463" t="s">
        <v>11205</v>
      </c>
    </row>
    <row r="6464" spans="1:25" x14ac:dyDescent="0.25">
      <c r="A6464" t="str">
        <f>"36583168179"</f>
        <v>36583168179</v>
      </c>
      <c r="B6464" t="s">
        <v>18</v>
      </c>
      <c r="C6464" t="s">
        <v>28431</v>
      </c>
      <c r="D6464" t="s">
        <v>28430</v>
      </c>
      <c r="E6464">
        <v>424032</v>
      </c>
      <c r="F6464" t="s">
        <v>1</v>
      </c>
      <c r="G6464" t="s">
        <v>2</v>
      </c>
      <c r="H6464" t="s">
        <v>5699</v>
      </c>
      <c r="Y6464" t="s">
        <v>28432</v>
      </c>
    </row>
    <row r="6465" spans="1:25" x14ac:dyDescent="0.25">
      <c r="A6465" t="str">
        <f>"36588600742"</f>
        <v>36588600742</v>
      </c>
      <c r="B6465" t="s">
        <v>930</v>
      </c>
      <c r="C6465" t="s">
        <v>11882</v>
      </c>
      <c r="D6465" t="s">
        <v>28433</v>
      </c>
      <c r="F6465" t="s">
        <v>1</v>
      </c>
      <c r="G6465" t="s">
        <v>2</v>
      </c>
      <c r="H6465" t="s">
        <v>9124</v>
      </c>
      <c r="I6465" t="s">
        <v>28434</v>
      </c>
      <c r="J6465" t="s">
        <v>28435</v>
      </c>
      <c r="P6465" t="s">
        <v>28436</v>
      </c>
      <c r="Y6465" t="s">
        <v>28437</v>
      </c>
    </row>
    <row r="6466" spans="1:25" x14ac:dyDescent="0.25">
      <c r="A6466" t="str">
        <f>"36589099822"</f>
        <v>36589099822</v>
      </c>
      <c r="B6466" t="s">
        <v>319</v>
      </c>
      <c r="C6466" t="s">
        <v>320</v>
      </c>
      <c r="D6466" t="s">
        <v>24367</v>
      </c>
      <c r="E6466">
        <v>424006</v>
      </c>
      <c r="F6466" t="s">
        <v>1</v>
      </c>
      <c r="G6466" t="s">
        <v>2</v>
      </c>
      <c r="H6466" t="s">
        <v>10019</v>
      </c>
      <c r="I6466" t="s">
        <v>24368</v>
      </c>
      <c r="M6466" t="s">
        <v>24369</v>
      </c>
      <c r="P6466" t="s">
        <v>216</v>
      </c>
      <c r="Q6466" t="s">
        <v>24370</v>
      </c>
      <c r="R6466" t="s">
        <v>24371</v>
      </c>
      <c r="T6466" t="s">
        <v>24372</v>
      </c>
      <c r="U6466" t="s">
        <v>24373</v>
      </c>
      <c r="V6466" t="s">
        <v>27119</v>
      </c>
      <c r="Y6466" t="s">
        <v>28438</v>
      </c>
    </row>
    <row r="6467" spans="1:25" x14ac:dyDescent="0.25">
      <c r="A6467" t="str">
        <f>"36669568193"</f>
        <v>36669568193</v>
      </c>
      <c r="B6467" t="s">
        <v>930</v>
      </c>
      <c r="C6467" t="s">
        <v>1096</v>
      </c>
      <c r="D6467" t="s">
        <v>28439</v>
      </c>
      <c r="E6467">
        <v>424005</v>
      </c>
      <c r="F6467" t="s">
        <v>1</v>
      </c>
      <c r="G6467" t="s">
        <v>2</v>
      </c>
      <c r="H6467" t="s">
        <v>28440</v>
      </c>
      <c r="I6467" t="s">
        <v>28441</v>
      </c>
      <c r="J6467" t="s">
        <v>28442</v>
      </c>
      <c r="P6467" t="s">
        <v>13820</v>
      </c>
      <c r="Y6467" t="s">
        <v>28443</v>
      </c>
    </row>
    <row r="6468" spans="1:25" x14ac:dyDescent="0.25">
      <c r="A6468" t="str">
        <f>"36676944383"</f>
        <v>36676944383</v>
      </c>
      <c r="B6468" t="s">
        <v>1061</v>
      </c>
      <c r="C6468" t="s">
        <v>25591</v>
      </c>
      <c r="D6468" t="s">
        <v>25591</v>
      </c>
      <c r="F6468" t="s">
        <v>1</v>
      </c>
      <c r="G6468" t="s">
        <v>2</v>
      </c>
      <c r="H6468" t="s">
        <v>28444</v>
      </c>
      <c r="Y6468" t="s">
        <v>28445</v>
      </c>
    </row>
    <row r="6469" spans="1:25" x14ac:dyDescent="0.25">
      <c r="A6469" t="str">
        <f>"36796983841"</f>
        <v>36796983841</v>
      </c>
      <c r="B6469" t="s">
        <v>328</v>
      </c>
      <c r="C6469" t="s">
        <v>1920</v>
      </c>
      <c r="D6469" t="s">
        <v>17991</v>
      </c>
      <c r="E6469">
        <v>424031</v>
      </c>
      <c r="F6469" t="s">
        <v>1</v>
      </c>
      <c r="G6469" t="s">
        <v>2</v>
      </c>
      <c r="H6469" t="s">
        <v>239</v>
      </c>
      <c r="Y6469" t="s">
        <v>246</v>
      </c>
    </row>
    <row r="6470" spans="1:25" x14ac:dyDescent="0.25">
      <c r="A6470" t="str">
        <f>"36799670940"</f>
        <v>36799670940</v>
      </c>
      <c r="B6470" t="s">
        <v>290</v>
      </c>
      <c r="C6470" t="s">
        <v>290</v>
      </c>
      <c r="D6470" t="s">
        <v>25268</v>
      </c>
      <c r="E6470">
        <v>424028</v>
      </c>
      <c r="F6470" t="s">
        <v>1</v>
      </c>
      <c r="G6470" t="s">
        <v>2</v>
      </c>
      <c r="H6470" t="s">
        <v>3359</v>
      </c>
      <c r="P6470" t="s">
        <v>330</v>
      </c>
      <c r="Y6470" t="s">
        <v>28446</v>
      </c>
    </row>
    <row r="6471" spans="1:25" x14ac:dyDescent="0.25">
      <c r="A6471" t="str">
        <f>"36806774361"</f>
        <v>36806774361</v>
      </c>
      <c r="B6471" t="s">
        <v>1053</v>
      </c>
      <c r="C6471" t="s">
        <v>28449</v>
      </c>
      <c r="D6471" t="s">
        <v>28447</v>
      </c>
      <c r="E6471">
        <v>424006</v>
      </c>
      <c r="F6471" t="s">
        <v>1</v>
      </c>
      <c r="G6471" t="s">
        <v>2</v>
      </c>
      <c r="H6471" t="s">
        <v>28448</v>
      </c>
      <c r="P6471" t="s">
        <v>280</v>
      </c>
      <c r="Y6471" t="s">
        <v>28450</v>
      </c>
    </row>
    <row r="6472" spans="1:25" x14ac:dyDescent="0.25">
      <c r="A6472" t="str">
        <f>"36826500806"</f>
        <v>36826500806</v>
      </c>
      <c r="B6472" t="s">
        <v>10383</v>
      </c>
      <c r="C6472" t="s">
        <v>24146</v>
      </c>
      <c r="D6472" t="s">
        <v>24146</v>
      </c>
      <c r="F6472" t="s">
        <v>1</v>
      </c>
      <c r="G6472" t="s">
        <v>2</v>
      </c>
      <c r="H6472" t="s">
        <v>28451</v>
      </c>
      <c r="Y6472" t="s">
        <v>28452</v>
      </c>
    </row>
    <row r="6473" spans="1:25" x14ac:dyDescent="0.25">
      <c r="A6473" t="str">
        <f>"36888080159"</f>
        <v>36888080159</v>
      </c>
      <c r="B6473" t="s">
        <v>1046</v>
      </c>
      <c r="C6473" t="s">
        <v>22946</v>
      </c>
      <c r="D6473" t="s">
        <v>22946</v>
      </c>
      <c r="E6473">
        <v>424005</v>
      </c>
      <c r="F6473" t="s">
        <v>1</v>
      </c>
      <c r="G6473" t="s">
        <v>2</v>
      </c>
      <c r="H6473" t="s">
        <v>28453</v>
      </c>
      <c r="Y6473" t="s">
        <v>28454</v>
      </c>
    </row>
    <row r="6474" spans="1:25" x14ac:dyDescent="0.25">
      <c r="A6474" t="str">
        <f>"36914587419"</f>
        <v>36914587419</v>
      </c>
      <c r="B6474" t="s">
        <v>574</v>
      </c>
      <c r="C6474" t="s">
        <v>26901</v>
      </c>
      <c r="D6474" t="s">
        <v>28455</v>
      </c>
      <c r="E6474">
        <v>424007</v>
      </c>
      <c r="F6474" t="s">
        <v>1</v>
      </c>
      <c r="G6474" t="s">
        <v>2</v>
      </c>
      <c r="H6474" t="s">
        <v>28456</v>
      </c>
      <c r="Y6474" t="s">
        <v>28457</v>
      </c>
    </row>
    <row r="6475" spans="1:25" x14ac:dyDescent="0.25">
      <c r="A6475" t="str">
        <f>"36919811390"</f>
        <v>36919811390</v>
      </c>
      <c r="B6475" t="s">
        <v>123</v>
      </c>
      <c r="C6475" t="s">
        <v>18438</v>
      </c>
      <c r="D6475" t="s">
        <v>28458</v>
      </c>
      <c r="E6475">
        <v>424033</v>
      </c>
      <c r="F6475" t="s">
        <v>1</v>
      </c>
      <c r="G6475" t="s">
        <v>2</v>
      </c>
      <c r="H6475" t="s">
        <v>1383</v>
      </c>
      <c r="Y6475" t="s">
        <v>28459</v>
      </c>
    </row>
    <row r="6476" spans="1:25" x14ac:dyDescent="0.25">
      <c r="A6476" t="str">
        <f>"36949621403"</f>
        <v>36949621403</v>
      </c>
      <c r="B6476" t="s">
        <v>7312</v>
      </c>
      <c r="C6476" t="s">
        <v>19097</v>
      </c>
      <c r="D6476" t="s">
        <v>19130</v>
      </c>
      <c r="E6476">
        <v>424005</v>
      </c>
      <c r="F6476" t="s">
        <v>1</v>
      </c>
      <c r="G6476" t="s">
        <v>2</v>
      </c>
      <c r="H6476" t="s">
        <v>7480</v>
      </c>
      <c r="Y6476" t="s">
        <v>28460</v>
      </c>
    </row>
    <row r="6477" spans="1:25" x14ac:dyDescent="0.25">
      <c r="A6477" t="str">
        <f>"37005127805"</f>
        <v>37005127805</v>
      </c>
      <c r="B6477" t="s">
        <v>4084</v>
      </c>
      <c r="C6477" t="s">
        <v>28282</v>
      </c>
      <c r="D6477" t="s">
        <v>28461</v>
      </c>
      <c r="E6477">
        <v>424007</v>
      </c>
      <c r="F6477" t="s">
        <v>1</v>
      </c>
      <c r="G6477" t="s">
        <v>2</v>
      </c>
      <c r="H6477" t="s">
        <v>5178</v>
      </c>
      <c r="P6477" t="s">
        <v>2731</v>
      </c>
      <c r="Y6477" t="s">
        <v>26052</v>
      </c>
    </row>
    <row r="6478" spans="1:25" x14ac:dyDescent="0.25">
      <c r="A6478" t="str">
        <f>"37013637050"</f>
        <v>37013637050</v>
      </c>
      <c r="B6478" t="s">
        <v>1046</v>
      </c>
      <c r="C6478" t="s">
        <v>22946</v>
      </c>
      <c r="D6478" t="s">
        <v>22946</v>
      </c>
      <c r="E6478">
        <v>424005</v>
      </c>
      <c r="F6478" t="s">
        <v>1</v>
      </c>
      <c r="G6478" t="s">
        <v>2</v>
      </c>
      <c r="H6478" t="s">
        <v>1148</v>
      </c>
      <c r="Y6478" t="s">
        <v>28462</v>
      </c>
    </row>
    <row r="6479" spans="1:25" x14ac:dyDescent="0.25">
      <c r="A6479" t="str">
        <f>"37053676152"</f>
        <v>37053676152</v>
      </c>
      <c r="B6479" t="s">
        <v>803</v>
      </c>
      <c r="C6479" t="s">
        <v>28467</v>
      </c>
      <c r="D6479" t="s">
        <v>28463</v>
      </c>
      <c r="E6479">
        <v>424003</v>
      </c>
      <c r="F6479" t="s">
        <v>1</v>
      </c>
      <c r="G6479" t="s">
        <v>2</v>
      </c>
      <c r="H6479" t="s">
        <v>28464</v>
      </c>
      <c r="I6479" t="s">
        <v>28465</v>
      </c>
      <c r="J6479" t="s">
        <v>28466</v>
      </c>
      <c r="P6479" t="s">
        <v>27</v>
      </c>
      <c r="Y6479" t="s">
        <v>28468</v>
      </c>
    </row>
    <row r="6480" spans="1:25" x14ac:dyDescent="0.25">
      <c r="A6480" t="str">
        <f>"37101631909"</f>
        <v>37101631909</v>
      </c>
      <c r="B6480" t="s">
        <v>117</v>
      </c>
      <c r="C6480" t="s">
        <v>873</v>
      </c>
      <c r="D6480" t="s">
        <v>28469</v>
      </c>
      <c r="F6480" t="s">
        <v>1</v>
      </c>
      <c r="G6480" t="s">
        <v>2</v>
      </c>
      <c r="H6480" t="s">
        <v>28470</v>
      </c>
      <c r="Y6480" t="s">
        <v>28471</v>
      </c>
    </row>
    <row r="6481" spans="1:25" x14ac:dyDescent="0.25">
      <c r="A6481" t="str">
        <f>"37106880405"</f>
        <v>37106880405</v>
      </c>
      <c r="B6481" t="s">
        <v>930</v>
      </c>
      <c r="C6481" t="s">
        <v>10263</v>
      </c>
      <c r="D6481" t="s">
        <v>10263</v>
      </c>
      <c r="E6481">
        <v>424037</v>
      </c>
      <c r="F6481" t="s">
        <v>1</v>
      </c>
      <c r="G6481" t="s">
        <v>2</v>
      </c>
      <c r="H6481" t="s">
        <v>3765</v>
      </c>
      <c r="Y6481" t="s">
        <v>28472</v>
      </c>
    </row>
    <row r="6482" spans="1:25" x14ac:dyDescent="0.25">
      <c r="A6482" t="str">
        <f>"37107870386"</f>
        <v>37107870386</v>
      </c>
      <c r="B6482" t="s">
        <v>25</v>
      </c>
      <c r="C6482" t="s">
        <v>20320</v>
      </c>
      <c r="D6482" t="s">
        <v>28473</v>
      </c>
      <c r="E6482">
        <v>424019</v>
      </c>
      <c r="F6482" t="s">
        <v>1</v>
      </c>
      <c r="G6482" t="s">
        <v>2</v>
      </c>
      <c r="H6482" t="s">
        <v>28474</v>
      </c>
      <c r="Y6482" t="s">
        <v>28475</v>
      </c>
    </row>
    <row r="6483" spans="1:25" x14ac:dyDescent="0.25">
      <c r="A6483" t="str">
        <f>"37133692514"</f>
        <v>37133692514</v>
      </c>
      <c r="B6483" t="s">
        <v>25</v>
      </c>
      <c r="C6483" t="s">
        <v>24938</v>
      </c>
      <c r="D6483" t="s">
        <v>28476</v>
      </c>
      <c r="F6483" t="s">
        <v>1</v>
      </c>
      <c r="G6483" t="s">
        <v>2</v>
      </c>
      <c r="H6483" t="s">
        <v>28477</v>
      </c>
      <c r="I6483" t="s">
        <v>24408</v>
      </c>
      <c r="L6483" t="s">
        <v>5239</v>
      </c>
      <c r="M6483" t="s">
        <v>28478</v>
      </c>
      <c r="Y6483" t="s">
        <v>28479</v>
      </c>
    </row>
    <row r="6484" spans="1:25" x14ac:dyDescent="0.25">
      <c r="A6484" t="str">
        <f>"37207324154"</f>
        <v>37207324154</v>
      </c>
      <c r="B6484" t="s">
        <v>379</v>
      </c>
      <c r="C6484" t="s">
        <v>9174</v>
      </c>
      <c r="D6484" t="s">
        <v>2329</v>
      </c>
      <c r="E6484">
        <v>424002</v>
      </c>
      <c r="F6484" t="s">
        <v>1</v>
      </c>
      <c r="G6484" t="s">
        <v>2</v>
      </c>
      <c r="H6484" t="s">
        <v>3604</v>
      </c>
      <c r="I6484" t="s">
        <v>26997</v>
      </c>
      <c r="L6484" t="s">
        <v>26998</v>
      </c>
      <c r="M6484" t="s">
        <v>28480</v>
      </c>
      <c r="P6484" t="s">
        <v>1027</v>
      </c>
      <c r="Y6484" t="s">
        <v>28481</v>
      </c>
    </row>
    <row r="6485" spans="1:25" x14ac:dyDescent="0.25">
      <c r="A6485" t="str">
        <f>"37209049576"</f>
        <v>37209049576</v>
      </c>
      <c r="B6485" t="s">
        <v>530</v>
      </c>
      <c r="C6485" t="s">
        <v>23950</v>
      </c>
      <c r="D6485" t="s">
        <v>23950</v>
      </c>
      <c r="F6485" t="s">
        <v>1</v>
      </c>
      <c r="G6485" t="s">
        <v>2</v>
      </c>
      <c r="H6485" t="s">
        <v>28482</v>
      </c>
      <c r="Y6485" t="s">
        <v>28483</v>
      </c>
    </row>
    <row r="6486" spans="1:25" x14ac:dyDescent="0.25">
      <c r="A6486" t="str">
        <f>"37241229820"</f>
        <v>37241229820</v>
      </c>
      <c r="B6486" t="s">
        <v>25</v>
      </c>
      <c r="C6486" t="s">
        <v>13425</v>
      </c>
      <c r="D6486" t="s">
        <v>28484</v>
      </c>
      <c r="E6486">
        <v>424006</v>
      </c>
      <c r="F6486" t="s">
        <v>1</v>
      </c>
      <c r="G6486" t="s">
        <v>2</v>
      </c>
      <c r="H6486" t="s">
        <v>13758</v>
      </c>
      <c r="Y6486" t="s">
        <v>28485</v>
      </c>
    </row>
    <row r="6487" spans="1:25" x14ac:dyDescent="0.25">
      <c r="A6487" t="str">
        <f>"37260487821"</f>
        <v>37260487821</v>
      </c>
      <c r="B6487" t="s">
        <v>624</v>
      </c>
      <c r="C6487" t="s">
        <v>1637</v>
      </c>
      <c r="D6487" t="s">
        <v>28486</v>
      </c>
      <c r="E6487">
        <v>424004</v>
      </c>
      <c r="F6487" t="s">
        <v>1</v>
      </c>
      <c r="G6487" t="s">
        <v>2</v>
      </c>
      <c r="H6487" t="s">
        <v>186</v>
      </c>
      <c r="I6487" t="s">
        <v>28487</v>
      </c>
      <c r="L6487" t="s">
        <v>597</v>
      </c>
      <c r="M6487" t="s">
        <v>28488</v>
      </c>
      <c r="P6487" t="s">
        <v>28489</v>
      </c>
      <c r="Y6487" t="s">
        <v>190</v>
      </c>
    </row>
    <row r="6488" spans="1:25" x14ac:dyDescent="0.25">
      <c r="A6488" t="str">
        <f>"37263743740"</f>
        <v>37263743740</v>
      </c>
      <c r="B6488" t="s">
        <v>574</v>
      </c>
      <c r="C6488" t="s">
        <v>26901</v>
      </c>
      <c r="D6488" t="s">
        <v>21345</v>
      </c>
      <c r="E6488">
        <v>424006</v>
      </c>
      <c r="F6488" t="s">
        <v>1</v>
      </c>
      <c r="G6488" t="s">
        <v>2</v>
      </c>
      <c r="H6488" t="s">
        <v>13383</v>
      </c>
      <c r="I6488" t="s">
        <v>28490</v>
      </c>
      <c r="L6488" t="s">
        <v>11157</v>
      </c>
      <c r="M6488" t="s">
        <v>28491</v>
      </c>
      <c r="P6488" t="s">
        <v>216</v>
      </c>
      <c r="Y6488" t="s">
        <v>28492</v>
      </c>
    </row>
    <row r="6489" spans="1:25" x14ac:dyDescent="0.25">
      <c r="A6489" t="str">
        <f>"37391306470"</f>
        <v>37391306470</v>
      </c>
      <c r="B6489" t="s">
        <v>1078</v>
      </c>
      <c r="C6489" t="s">
        <v>28494</v>
      </c>
      <c r="D6489" t="s">
        <v>28493</v>
      </c>
      <c r="E6489">
        <v>424005</v>
      </c>
      <c r="F6489" t="s">
        <v>1</v>
      </c>
      <c r="G6489" t="s">
        <v>2</v>
      </c>
      <c r="H6489" t="s">
        <v>11683</v>
      </c>
      <c r="Y6489" t="s">
        <v>28495</v>
      </c>
    </row>
    <row r="6490" spans="1:25" x14ac:dyDescent="0.25">
      <c r="A6490" t="str">
        <f>"37410670931"</f>
        <v>37410670931</v>
      </c>
      <c r="B6490" t="s">
        <v>96</v>
      </c>
      <c r="C6490" t="s">
        <v>893</v>
      </c>
      <c r="D6490" t="s">
        <v>28496</v>
      </c>
      <c r="E6490">
        <v>424918</v>
      </c>
      <c r="F6490" t="s">
        <v>1</v>
      </c>
      <c r="G6490" t="s">
        <v>2</v>
      </c>
      <c r="H6490" t="s">
        <v>629</v>
      </c>
      <c r="P6490" t="s">
        <v>630</v>
      </c>
      <c r="Y6490" t="s">
        <v>28497</v>
      </c>
    </row>
    <row r="6491" spans="1:25" x14ac:dyDescent="0.25">
      <c r="A6491" t="str">
        <f>"37415933564"</f>
        <v>37415933564</v>
      </c>
      <c r="B6491" t="s">
        <v>574</v>
      </c>
      <c r="C6491" t="s">
        <v>646</v>
      </c>
      <c r="D6491" t="s">
        <v>28498</v>
      </c>
      <c r="E6491">
        <v>424007</v>
      </c>
      <c r="F6491" t="s">
        <v>1</v>
      </c>
      <c r="G6491" t="s">
        <v>2</v>
      </c>
      <c r="H6491" t="s">
        <v>6164</v>
      </c>
      <c r="P6491" t="s">
        <v>26241</v>
      </c>
      <c r="Y6491" t="s">
        <v>28499</v>
      </c>
    </row>
    <row r="6492" spans="1:25" x14ac:dyDescent="0.25">
      <c r="A6492" t="str">
        <f>"37431686806"</f>
        <v>37431686806</v>
      </c>
      <c r="B6492" t="s">
        <v>379</v>
      </c>
      <c r="C6492" t="s">
        <v>28504</v>
      </c>
      <c r="D6492" t="s">
        <v>28500</v>
      </c>
      <c r="E6492">
        <v>424002</v>
      </c>
      <c r="F6492" t="s">
        <v>1</v>
      </c>
      <c r="G6492" t="s">
        <v>2</v>
      </c>
      <c r="H6492" t="s">
        <v>5398</v>
      </c>
      <c r="I6492" t="s">
        <v>28501</v>
      </c>
      <c r="L6492" t="s">
        <v>28502</v>
      </c>
      <c r="M6492" t="s">
        <v>28503</v>
      </c>
      <c r="P6492" t="s">
        <v>260</v>
      </c>
      <c r="Q6492" t="s">
        <v>28505</v>
      </c>
      <c r="V6492" t="s">
        <v>28506</v>
      </c>
      <c r="Y6492" t="s">
        <v>26148</v>
      </c>
    </row>
    <row r="6493" spans="1:25" x14ac:dyDescent="0.25">
      <c r="A6493" t="str">
        <f>"37471669403"</f>
        <v>37471669403</v>
      </c>
      <c r="B6493" t="s">
        <v>319</v>
      </c>
      <c r="C6493" t="s">
        <v>19472</v>
      </c>
      <c r="D6493" t="s">
        <v>28507</v>
      </c>
      <c r="F6493" t="s">
        <v>1</v>
      </c>
      <c r="G6493" t="s">
        <v>2</v>
      </c>
      <c r="H6493" t="s">
        <v>757</v>
      </c>
      <c r="Y6493" t="s">
        <v>760</v>
      </c>
    </row>
    <row r="6494" spans="1:25" x14ac:dyDescent="0.25">
      <c r="A6494" t="str">
        <f>"37527816599"</f>
        <v>37527816599</v>
      </c>
      <c r="B6494" t="s">
        <v>7312</v>
      </c>
      <c r="C6494" t="s">
        <v>19097</v>
      </c>
      <c r="D6494" t="s">
        <v>19130</v>
      </c>
      <c r="E6494">
        <v>424002</v>
      </c>
      <c r="F6494" t="s">
        <v>1</v>
      </c>
      <c r="G6494" t="s">
        <v>2</v>
      </c>
      <c r="H6494" t="s">
        <v>12337</v>
      </c>
      <c r="Y6494" t="s">
        <v>28508</v>
      </c>
    </row>
    <row r="6495" spans="1:25" x14ac:dyDescent="0.25">
      <c r="A6495" t="str">
        <f>"37527848882"</f>
        <v>37527848882</v>
      </c>
      <c r="B6495" t="s">
        <v>88</v>
      </c>
      <c r="C6495" t="s">
        <v>4246</v>
      </c>
      <c r="D6495" t="s">
        <v>28509</v>
      </c>
      <c r="E6495">
        <v>424004</v>
      </c>
      <c r="F6495" t="s">
        <v>1</v>
      </c>
      <c r="G6495" t="s">
        <v>2</v>
      </c>
      <c r="H6495" t="s">
        <v>19118</v>
      </c>
      <c r="J6495" t="s">
        <v>2826</v>
      </c>
      <c r="L6495" t="s">
        <v>2827</v>
      </c>
      <c r="M6495" t="s">
        <v>28510</v>
      </c>
      <c r="P6495" t="s">
        <v>6837</v>
      </c>
      <c r="Q6495" t="s">
        <v>28511</v>
      </c>
      <c r="T6495" t="s">
        <v>28512</v>
      </c>
      <c r="U6495" t="s">
        <v>2831</v>
      </c>
      <c r="V6495" t="s">
        <v>28513</v>
      </c>
      <c r="Y6495" t="s">
        <v>28514</v>
      </c>
    </row>
    <row r="6496" spans="1:25" x14ac:dyDescent="0.25">
      <c r="A6496" t="str">
        <f>"37528415372"</f>
        <v>37528415372</v>
      </c>
      <c r="B6496" t="s">
        <v>151</v>
      </c>
      <c r="C6496" t="s">
        <v>151</v>
      </c>
      <c r="D6496" t="s">
        <v>28515</v>
      </c>
      <c r="F6496" t="s">
        <v>1</v>
      </c>
      <c r="G6496" t="s">
        <v>2</v>
      </c>
      <c r="H6496" t="s">
        <v>3984</v>
      </c>
      <c r="J6496" t="s">
        <v>28516</v>
      </c>
      <c r="L6496" t="s">
        <v>28517</v>
      </c>
      <c r="M6496" t="s">
        <v>28518</v>
      </c>
      <c r="P6496" t="s">
        <v>1027</v>
      </c>
      <c r="Y6496" t="s">
        <v>4409</v>
      </c>
    </row>
    <row r="6497" spans="1:25" x14ac:dyDescent="0.25">
      <c r="A6497" t="str">
        <f>"37546571873"</f>
        <v>37546571873</v>
      </c>
      <c r="B6497" t="s">
        <v>18</v>
      </c>
      <c r="C6497" t="s">
        <v>16412</v>
      </c>
      <c r="D6497" t="s">
        <v>28519</v>
      </c>
      <c r="E6497">
        <v>424007</v>
      </c>
      <c r="F6497" t="s">
        <v>1</v>
      </c>
      <c r="G6497" t="s">
        <v>2</v>
      </c>
      <c r="H6497" t="s">
        <v>220</v>
      </c>
      <c r="J6497" t="s">
        <v>28520</v>
      </c>
      <c r="Y6497" t="s">
        <v>227</v>
      </c>
    </row>
    <row r="6498" spans="1:25" x14ac:dyDescent="0.25">
      <c r="A6498" t="str">
        <f>"37672823418"</f>
        <v>37672823418</v>
      </c>
      <c r="B6498" t="s">
        <v>574</v>
      </c>
      <c r="C6498" t="s">
        <v>26901</v>
      </c>
      <c r="D6498" t="s">
        <v>27363</v>
      </c>
      <c r="E6498">
        <v>424005</v>
      </c>
      <c r="F6498" t="s">
        <v>1</v>
      </c>
      <c r="G6498" t="s">
        <v>2</v>
      </c>
      <c r="H6498" t="s">
        <v>25885</v>
      </c>
      <c r="Y6498" t="s">
        <v>28521</v>
      </c>
    </row>
    <row r="6499" spans="1:25" x14ac:dyDescent="0.25">
      <c r="A6499" t="str">
        <f>"37676450980"</f>
        <v>37676450980</v>
      </c>
      <c r="B6499" t="s">
        <v>574</v>
      </c>
      <c r="C6499" t="s">
        <v>28522</v>
      </c>
      <c r="D6499" t="s">
        <v>24083</v>
      </c>
      <c r="E6499">
        <v>424019</v>
      </c>
      <c r="F6499" t="s">
        <v>1</v>
      </c>
      <c r="G6499" t="s">
        <v>2</v>
      </c>
      <c r="H6499" t="s">
        <v>7785</v>
      </c>
      <c r="L6499" t="s">
        <v>26535</v>
      </c>
      <c r="M6499" t="s">
        <v>26536</v>
      </c>
      <c r="P6499" t="s">
        <v>2457</v>
      </c>
      <c r="Q6499" t="s">
        <v>26537</v>
      </c>
      <c r="T6499" t="s">
        <v>26538</v>
      </c>
      <c r="V6499" t="s">
        <v>26539</v>
      </c>
      <c r="Y6499" t="s">
        <v>28523</v>
      </c>
    </row>
    <row r="6500" spans="1:25" x14ac:dyDescent="0.25">
      <c r="A6500" t="str">
        <f>"37681131050"</f>
        <v>37681131050</v>
      </c>
      <c r="B6500" t="s">
        <v>117</v>
      </c>
      <c r="C6500" t="s">
        <v>28526</v>
      </c>
      <c r="D6500" t="s">
        <v>28524</v>
      </c>
      <c r="F6500" t="s">
        <v>1</v>
      </c>
      <c r="G6500" t="s">
        <v>2</v>
      </c>
      <c r="H6500" t="s">
        <v>3500</v>
      </c>
      <c r="I6500" t="s">
        <v>28525</v>
      </c>
      <c r="P6500" t="s">
        <v>330</v>
      </c>
      <c r="Y6500" t="s">
        <v>28527</v>
      </c>
    </row>
    <row r="6501" spans="1:25" x14ac:dyDescent="0.25">
      <c r="A6501" t="str">
        <f>"37700627649"</f>
        <v>37700627649</v>
      </c>
      <c r="B6501" t="s">
        <v>530</v>
      </c>
      <c r="C6501" t="s">
        <v>23950</v>
      </c>
      <c r="D6501" t="s">
        <v>23950</v>
      </c>
      <c r="E6501">
        <v>424002</v>
      </c>
      <c r="F6501" t="s">
        <v>1</v>
      </c>
      <c r="G6501" t="s">
        <v>2</v>
      </c>
      <c r="H6501" t="s">
        <v>662</v>
      </c>
      <c r="Y6501" t="s">
        <v>28528</v>
      </c>
    </row>
    <row r="6502" spans="1:25" x14ac:dyDescent="0.25">
      <c r="A6502" t="str">
        <f>"37706319651"</f>
        <v>37706319651</v>
      </c>
      <c r="B6502" t="s">
        <v>1573</v>
      </c>
      <c r="C6502" t="s">
        <v>1817</v>
      </c>
      <c r="D6502" t="s">
        <v>28529</v>
      </c>
      <c r="F6502" t="s">
        <v>1</v>
      </c>
      <c r="G6502" t="s">
        <v>2</v>
      </c>
      <c r="H6502" t="s">
        <v>28530</v>
      </c>
      <c r="Y6502" t="s">
        <v>28531</v>
      </c>
    </row>
    <row r="6503" spans="1:25" x14ac:dyDescent="0.25">
      <c r="A6503" t="str">
        <f>"37716096085"</f>
        <v>37716096085</v>
      </c>
      <c r="B6503" t="s">
        <v>640</v>
      </c>
      <c r="C6503" t="s">
        <v>663</v>
      </c>
      <c r="D6503" t="s">
        <v>27636</v>
      </c>
      <c r="F6503" t="s">
        <v>1</v>
      </c>
      <c r="G6503" t="s">
        <v>2</v>
      </c>
      <c r="H6503" t="s">
        <v>27499</v>
      </c>
      <c r="Y6503" t="s">
        <v>28532</v>
      </c>
    </row>
    <row r="6504" spans="1:25" x14ac:dyDescent="0.25">
      <c r="A6504" t="str">
        <f>"37722972173"</f>
        <v>37722972173</v>
      </c>
      <c r="B6504" t="s">
        <v>1391</v>
      </c>
      <c r="C6504" t="s">
        <v>1392</v>
      </c>
      <c r="D6504" t="s">
        <v>28533</v>
      </c>
      <c r="F6504" t="s">
        <v>1</v>
      </c>
      <c r="G6504" t="s">
        <v>2</v>
      </c>
      <c r="H6504" t="s">
        <v>1508</v>
      </c>
      <c r="Y6504" t="s">
        <v>10196</v>
      </c>
    </row>
    <row r="6505" spans="1:25" x14ac:dyDescent="0.25">
      <c r="A6505" t="str">
        <f>"37728686052"</f>
        <v>37728686052</v>
      </c>
      <c r="B6505" t="s">
        <v>430</v>
      </c>
      <c r="C6505" t="s">
        <v>15509</v>
      </c>
      <c r="D6505" t="s">
        <v>28534</v>
      </c>
      <c r="E6505">
        <v>424038</v>
      </c>
      <c r="F6505" t="s">
        <v>1</v>
      </c>
      <c r="G6505" t="s">
        <v>2</v>
      </c>
      <c r="H6505" t="s">
        <v>2614</v>
      </c>
      <c r="J6505" t="s">
        <v>28535</v>
      </c>
      <c r="M6505" t="s">
        <v>28536</v>
      </c>
      <c r="P6505" t="s">
        <v>2050</v>
      </c>
      <c r="Q6505" t="s">
        <v>28537</v>
      </c>
      <c r="Y6505" t="s">
        <v>28538</v>
      </c>
    </row>
    <row r="6506" spans="1:25" x14ac:dyDescent="0.25">
      <c r="A6506" t="str">
        <f>"37744045819"</f>
        <v>37744045819</v>
      </c>
      <c r="B6506" t="s">
        <v>790</v>
      </c>
      <c r="C6506" t="s">
        <v>4693</v>
      </c>
      <c r="D6506" t="s">
        <v>23214</v>
      </c>
      <c r="E6506">
        <v>424000</v>
      </c>
      <c r="F6506" t="s">
        <v>1</v>
      </c>
      <c r="G6506" t="s">
        <v>2</v>
      </c>
      <c r="H6506" t="s">
        <v>10803</v>
      </c>
      <c r="Y6506" t="s">
        <v>10805</v>
      </c>
    </row>
    <row r="6507" spans="1:25" x14ac:dyDescent="0.25">
      <c r="A6507" t="str">
        <f>"37777367378"</f>
        <v>37777367378</v>
      </c>
      <c r="B6507" t="s">
        <v>1544</v>
      </c>
      <c r="C6507" t="s">
        <v>7974</v>
      </c>
      <c r="D6507" t="s">
        <v>28272</v>
      </c>
      <c r="E6507">
        <v>424006</v>
      </c>
      <c r="F6507" t="s">
        <v>1</v>
      </c>
      <c r="G6507" t="s">
        <v>2</v>
      </c>
      <c r="H6507" t="s">
        <v>6902</v>
      </c>
      <c r="Y6507" t="s">
        <v>7256</v>
      </c>
    </row>
    <row r="6508" spans="1:25" x14ac:dyDescent="0.25">
      <c r="A6508" t="str">
        <f>"37840822430"</f>
        <v>37840822430</v>
      </c>
      <c r="B6508" t="s">
        <v>18</v>
      </c>
      <c r="C6508" t="s">
        <v>143</v>
      </c>
      <c r="D6508" t="s">
        <v>28539</v>
      </c>
      <c r="F6508" t="s">
        <v>1</v>
      </c>
      <c r="G6508" t="s">
        <v>2</v>
      </c>
      <c r="H6508" t="s">
        <v>28540</v>
      </c>
      <c r="I6508" t="s">
        <v>28541</v>
      </c>
      <c r="L6508" t="s">
        <v>28542</v>
      </c>
      <c r="M6508" t="s">
        <v>28543</v>
      </c>
      <c r="P6508" t="s">
        <v>20</v>
      </c>
      <c r="Q6508" t="s">
        <v>28544</v>
      </c>
      <c r="V6508" t="s">
        <v>28545</v>
      </c>
      <c r="Y6508" t="s">
        <v>28546</v>
      </c>
    </row>
    <row r="6509" spans="1:25" x14ac:dyDescent="0.25">
      <c r="A6509" t="str">
        <f>"37845858062"</f>
        <v>37845858062</v>
      </c>
      <c r="B6509" t="s">
        <v>2790</v>
      </c>
      <c r="C6509" t="s">
        <v>3528</v>
      </c>
      <c r="D6509" t="s">
        <v>28547</v>
      </c>
      <c r="E6509">
        <v>424000</v>
      </c>
      <c r="F6509" t="s">
        <v>1</v>
      </c>
      <c r="G6509" t="s">
        <v>2</v>
      </c>
      <c r="H6509" t="s">
        <v>211</v>
      </c>
      <c r="Y6509" t="s">
        <v>28548</v>
      </c>
    </row>
    <row r="6510" spans="1:25" x14ac:dyDescent="0.25">
      <c r="A6510" t="str">
        <f>"37856528588"</f>
        <v>37856528588</v>
      </c>
      <c r="B6510" t="s">
        <v>25</v>
      </c>
      <c r="C6510" t="s">
        <v>20320</v>
      </c>
      <c r="D6510" t="s">
        <v>28549</v>
      </c>
      <c r="E6510">
        <v>424000</v>
      </c>
      <c r="F6510" t="s">
        <v>1</v>
      </c>
      <c r="G6510" t="s">
        <v>2</v>
      </c>
      <c r="H6510" t="s">
        <v>14090</v>
      </c>
      <c r="J6510" t="s">
        <v>27350</v>
      </c>
      <c r="M6510" t="s">
        <v>27351</v>
      </c>
      <c r="P6510" t="s">
        <v>330</v>
      </c>
      <c r="Q6510" t="s">
        <v>28550</v>
      </c>
      <c r="Y6510" t="s">
        <v>28551</v>
      </c>
    </row>
    <row r="6511" spans="1:25" x14ac:dyDescent="0.25">
      <c r="A6511" t="str">
        <f>"37863857619"</f>
        <v>37863857619</v>
      </c>
      <c r="B6511" t="s">
        <v>716</v>
      </c>
      <c r="C6511" t="s">
        <v>717</v>
      </c>
      <c r="D6511" t="s">
        <v>28552</v>
      </c>
      <c r="E6511">
        <v>424004</v>
      </c>
      <c r="F6511" t="s">
        <v>1</v>
      </c>
      <c r="G6511" t="s">
        <v>2</v>
      </c>
      <c r="H6511" t="s">
        <v>14351</v>
      </c>
      <c r="P6511" t="s">
        <v>260</v>
      </c>
      <c r="Y6511" t="s">
        <v>28553</v>
      </c>
    </row>
    <row r="6512" spans="1:25" x14ac:dyDescent="0.25">
      <c r="A6512" t="str">
        <f>"37926811709"</f>
        <v>37926811709</v>
      </c>
      <c r="B6512" t="s">
        <v>574</v>
      </c>
      <c r="C6512" t="s">
        <v>646</v>
      </c>
      <c r="D6512" t="s">
        <v>28554</v>
      </c>
      <c r="E6512">
        <v>424030</v>
      </c>
      <c r="F6512" t="s">
        <v>1</v>
      </c>
      <c r="G6512" t="s">
        <v>2</v>
      </c>
      <c r="H6512" t="s">
        <v>18541</v>
      </c>
      <c r="P6512" t="s">
        <v>28555</v>
      </c>
      <c r="Y6512" t="s">
        <v>28556</v>
      </c>
    </row>
    <row r="6513" spans="1:25" x14ac:dyDescent="0.25">
      <c r="A6513" t="str">
        <f>"37932283976"</f>
        <v>37932283976</v>
      </c>
      <c r="B6513" t="s">
        <v>687</v>
      </c>
      <c r="C6513" t="s">
        <v>28562</v>
      </c>
      <c r="D6513" t="s">
        <v>28557</v>
      </c>
      <c r="E6513">
        <v>424038</v>
      </c>
      <c r="F6513" t="s">
        <v>1</v>
      </c>
      <c r="G6513" t="s">
        <v>2</v>
      </c>
      <c r="H6513" t="s">
        <v>28558</v>
      </c>
      <c r="J6513" t="s">
        <v>28559</v>
      </c>
      <c r="L6513" t="s">
        <v>28560</v>
      </c>
      <c r="M6513" t="s">
        <v>28561</v>
      </c>
      <c r="Y6513" t="s">
        <v>28563</v>
      </c>
    </row>
    <row r="6514" spans="1:25" x14ac:dyDescent="0.25">
      <c r="A6514" t="str">
        <f>"37944516254"</f>
        <v>37944516254</v>
      </c>
      <c r="B6514" t="s">
        <v>32</v>
      </c>
      <c r="C6514" t="s">
        <v>40</v>
      </c>
      <c r="D6514" t="s">
        <v>28564</v>
      </c>
      <c r="E6514">
        <v>424000</v>
      </c>
      <c r="F6514" t="s">
        <v>1</v>
      </c>
      <c r="G6514" t="s">
        <v>2</v>
      </c>
      <c r="H6514" t="s">
        <v>28565</v>
      </c>
      <c r="P6514" t="s">
        <v>12824</v>
      </c>
      <c r="Y6514" t="s">
        <v>28566</v>
      </c>
    </row>
    <row r="6515" spans="1:25" x14ac:dyDescent="0.25">
      <c r="A6515" t="str">
        <f>"37990490016"</f>
        <v>37990490016</v>
      </c>
      <c r="B6515" t="s">
        <v>32</v>
      </c>
      <c r="C6515" t="s">
        <v>2996</v>
      </c>
      <c r="D6515" t="s">
        <v>28567</v>
      </c>
      <c r="E6515">
        <v>424038</v>
      </c>
      <c r="F6515" t="s">
        <v>1</v>
      </c>
      <c r="G6515" t="s">
        <v>2</v>
      </c>
      <c r="H6515" t="s">
        <v>546</v>
      </c>
      <c r="J6515" t="s">
        <v>28568</v>
      </c>
      <c r="P6515" t="s">
        <v>216</v>
      </c>
      <c r="Q6515" t="s">
        <v>28569</v>
      </c>
      <c r="Y6515" t="s">
        <v>549</v>
      </c>
    </row>
    <row r="6516" spans="1:25" x14ac:dyDescent="0.25">
      <c r="A6516" t="str">
        <f>"38001138447"</f>
        <v>38001138447</v>
      </c>
      <c r="B6516" t="s">
        <v>348</v>
      </c>
      <c r="C6516" t="s">
        <v>28572</v>
      </c>
      <c r="D6516" t="s">
        <v>28570</v>
      </c>
      <c r="E6516">
        <v>424037</v>
      </c>
      <c r="F6516" t="s">
        <v>1</v>
      </c>
      <c r="G6516" t="s">
        <v>2</v>
      </c>
      <c r="H6516" t="s">
        <v>13232</v>
      </c>
      <c r="J6516" t="s">
        <v>28571</v>
      </c>
      <c r="P6516" t="s">
        <v>10632</v>
      </c>
      <c r="Q6516" t="s">
        <v>28573</v>
      </c>
      <c r="Y6516" t="s">
        <v>13235</v>
      </c>
    </row>
    <row r="6517" spans="1:25" x14ac:dyDescent="0.25">
      <c r="A6517" t="str">
        <f>"38025547159"</f>
        <v>38025547159</v>
      </c>
      <c r="B6517" t="s">
        <v>80</v>
      </c>
      <c r="C6517" t="s">
        <v>28579</v>
      </c>
      <c r="D6517" t="s">
        <v>28574</v>
      </c>
      <c r="E6517">
        <v>424008</v>
      </c>
      <c r="F6517" t="s">
        <v>1</v>
      </c>
      <c r="G6517" t="s">
        <v>2</v>
      </c>
      <c r="H6517" t="s">
        <v>12529</v>
      </c>
      <c r="I6517" t="s">
        <v>28575</v>
      </c>
      <c r="J6517" t="s">
        <v>28576</v>
      </c>
      <c r="L6517" t="s">
        <v>28577</v>
      </c>
      <c r="M6517" t="s">
        <v>28578</v>
      </c>
      <c r="P6517" t="s">
        <v>1160</v>
      </c>
      <c r="Y6517" t="s">
        <v>28580</v>
      </c>
    </row>
    <row r="6518" spans="1:25" x14ac:dyDescent="0.25">
      <c r="A6518" t="str">
        <f>"38029079136"</f>
        <v>38029079136</v>
      </c>
      <c r="B6518" t="s">
        <v>348</v>
      </c>
      <c r="C6518" t="s">
        <v>5728</v>
      </c>
      <c r="D6518" t="s">
        <v>28581</v>
      </c>
      <c r="E6518">
        <v>424033</v>
      </c>
      <c r="F6518" t="s">
        <v>1</v>
      </c>
      <c r="G6518" t="s">
        <v>2</v>
      </c>
      <c r="H6518" t="s">
        <v>1383</v>
      </c>
      <c r="J6518" t="s">
        <v>28582</v>
      </c>
      <c r="P6518" t="s">
        <v>10812</v>
      </c>
      <c r="Y6518" t="s">
        <v>1387</v>
      </c>
    </row>
    <row r="6519" spans="1:25" x14ac:dyDescent="0.25">
      <c r="A6519" t="str">
        <f>"38038565646"</f>
        <v>38038565646</v>
      </c>
      <c r="B6519" t="s">
        <v>32</v>
      </c>
      <c r="C6519" t="s">
        <v>6659</v>
      </c>
      <c r="D6519" t="s">
        <v>28583</v>
      </c>
      <c r="E6519">
        <v>424003</v>
      </c>
      <c r="F6519" t="s">
        <v>1</v>
      </c>
      <c r="G6519" t="s">
        <v>2</v>
      </c>
      <c r="H6519" t="s">
        <v>7258</v>
      </c>
      <c r="J6519" t="s">
        <v>28584</v>
      </c>
      <c r="L6519" t="s">
        <v>28585</v>
      </c>
      <c r="M6519" t="s">
        <v>28586</v>
      </c>
      <c r="P6519" t="s">
        <v>7650</v>
      </c>
      <c r="Y6519" t="s">
        <v>17052</v>
      </c>
    </row>
    <row r="6520" spans="1:25" x14ac:dyDescent="0.25">
      <c r="A6520" t="str">
        <f>"38044630479"</f>
        <v>38044630479</v>
      </c>
      <c r="B6520" t="s">
        <v>1323</v>
      </c>
      <c r="C6520" t="s">
        <v>1324</v>
      </c>
      <c r="D6520" t="s">
        <v>28587</v>
      </c>
      <c r="E6520">
        <v>424031</v>
      </c>
      <c r="F6520" t="s">
        <v>1</v>
      </c>
      <c r="G6520" t="s">
        <v>2</v>
      </c>
      <c r="H6520" t="s">
        <v>28588</v>
      </c>
      <c r="Y6520" t="s">
        <v>28589</v>
      </c>
    </row>
    <row r="6521" spans="1:25" x14ac:dyDescent="0.25">
      <c r="A6521" t="str">
        <f>"38055247273"</f>
        <v>38055247273</v>
      </c>
      <c r="B6521" t="s">
        <v>469</v>
      </c>
      <c r="C6521" t="s">
        <v>28594</v>
      </c>
      <c r="D6521" t="s">
        <v>28590</v>
      </c>
      <c r="E6521">
        <v>424033</v>
      </c>
      <c r="F6521" t="s">
        <v>1</v>
      </c>
      <c r="G6521" t="s">
        <v>2</v>
      </c>
      <c r="H6521" t="s">
        <v>22045</v>
      </c>
      <c r="I6521" t="s">
        <v>28591</v>
      </c>
      <c r="L6521" t="s">
        <v>28592</v>
      </c>
      <c r="M6521" t="s">
        <v>28593</v>
      </c>
      <c r="P6521" t="s">
        <v>2513</v>
      </c>
      <c r="Q6521" t="s">
        <v>28595</v>
      </c>
      <c r="T6521" t="s">
        <v>28596</v>
      </c>
      <c r="V6521" t="s">
        <v>28597</v>
      </c>
      <c r="Y6521" t="s">
        <v>28598</v>
      </c>
    </row>
    <row r="6522" spans="1:25" x14ac:dyDescent="0.25">
      <c r="A6522" t="str">
        <f>"38057964390"</f>
        <v>38057964390</v>
      </c>
      <c r="B6522" t="s">
        <v>574</v>
      </c>
      <c r="C6522" t="s">
        <v>8884</v>
      </c>
      <c r="D6522" t="s">
        <v>28599</v>
      </c>
      <c r="E6522">
        <v>424028</v>
      </c>
      <c r="F6522" t="s">
        <v>1</v>
      </c>
      <c r="G6522" t="s">
        <v>2</v>
      </c>
      <c r="H6522" t="s">
        <v>24503</v>
      </c>
      <c r="Y6522" t="s">
        <v>28600</v>
      </c>
    </row>
    <row r="6523" spans="1:25" x14ac:dyDescent="0.25">
      <c r="A6523" t="str">
        <f>"38070757227"</f>
        <v>38070757227</v>
      </c>
      <c r="B6523" t="s">
        <v>117</v>
      </c>
      <c r="C6523" t="s">
        <v>28605</v>
      </c>
      <c r="D6523" t="s">
        <v>28601</v>
      </c>
      <c r="F6523" t="s">
        <v>1</v>
      </c>
      <c r="G6523" t="s">
        <v>2</v>
      </c>
      <c r="H6523" t="s">
        <v>7547</v>
      </c>
      <c r="I6523" t="s">
        <v>28602</v>
      </c>
      <c r="L6523" t="s">
        <v>28603</v>
      </c>
      <c r="M6523" t="s">
        <v>28604</v>
      </c>
      <c r="Y6523" t="s">
        <v>28606</v>
      </c>
    </row>
    <row r="6524" spans="1:25" x14ac:dyDescent="0.25">
      <c r="A6524" t="str">
        <f>"38097762869"</f>
        <v>38097762869</v>
      </c>
      <c r="B6524" t="s">
        <v>1493</v>
      </c>
      <c r="C6524" t="s">
        <v>28609</v>
      </c>
      <c r="D6524" t="s">
        <v>28607</v>
      </c>
      <c r="E6524">
        <v>424032</v>
      </c>
      <c r="F6524" t="s">
        <v>1</v>
      </c>
      <c r="G6524" t="s">
        <v>2</v>
      </c>
      <c r="H6524" t="s">
        <v>11296</v>
      </c>
      <c r="J6524" t="s">
        <v>28608</v>
      </c>
      <c r="P6524" t="s">
        <v>28610</v>
      </c>
      <c r="Y6524" t="s">
        <v>11299</v>
      </c>
    </row>
    <row r="6525" spans="1:25" x14ac:dyDescent="0.25">
      <c r="A6525" t="str">
        <f>"38140226882"</f>
        <v>38140226882</v>
      </c>
      <c r="B6525" t="s">
        <v>2104</v>
      </c>
      <c r="C6525" t="s">
        <v>2105</v>
      </c>
      <c r="D6525" t="s">
        <v>24033</v>
      </c>
      <c r="E6525">
        <v>424030</v>
      </c>
      <c r="F6525" t="s">
        <v>1</v>
      </c>
      <c r="G6525" t="s">
        <v>2</v>
      </c>
      <c r="H6525" t="s">
        <v>12562</v>
      </c>
      <c r="Y6525" t="s">
        <v>17595</v>
      </c>
    </row>
    <row r="6526" spans="1:25" x14ac:dyDescent="0.25">
      <c r="A6526" t="str">
        <f>"38150278222"</f>
        <v>38150278222</v>
      </c>
      <c r="B6526" t="s">
        <v>574</v>
      </c>
      <c r="C6526" t="s">
        <v>646</v>
      </c>
      <c r="D6526" t="s">
        <v>21849</v>
      </c>
      <c r="E6526">
        <v>424006</v>
      </c>
      <c r="F6526" t="s">
        <v>1</v>
      </c>
      <c r="G6526" t="s">
        <v>2</v>
      </c>
      <c r="H6526" t="s">
        <v>2775</v>
      </c>
      <c r="I6526" t="s">
        <v>28611</v>
      </c>
      <c r="P6526" t="s">
        <v>28612</v>
      </c>
      <c r="Y6526" t="s">
        <v>2779</v>
      </c>
    </row>
    <row r="6527" spans="1:25" x14ac:dyDescent="0.25">
      <c r="A6527" t="str">
        <f>"38173752553"</f>
        <v>38173752553</v>
      </c>
      <c r="B6527" t="s">
        <v>519</v>
      </c>
      <c r="C6527" t="s">
        <v>23996</v>
      </c>
      <c r="D6527" t="s">
        <v>2192</v>
      </c>
      <c r="E6527">
        <v>424037</v>
      </c>
      <c r="F6527" t="s">
        <v>1</v>
      </c>
      <c r="G6527" t="s">
        <v>2</v>
      </c>
      <c r="H6527" t="s">
        <v>30</v>
      </c>
      <c r="Y6527" t="s">
        <v>28613</v>
      </c>
    </row>
    <row r="6528" spans="1:25" x14ac:dyDescent="0.25">
      <c r="A6528" t="str">
        <f>"38174475513"</f>
        <v>38174475513</v>
      </c>
      <c r="B6528" t="s">
        <v>1152</v>
      </c>
      <c r="C6528" t="s">
        <v>2319</v>
      </c>
      <c r="D6528" t="s">
        <v>28614</v>
      </c>
      <c r="E6528">
        <v>424019</v>
      </c>
      <c r="F6528" t="s">
        <v>1</v>
      </c>
      <c r="G6528" t="s">
        <v>2</v>
      </c>
      <c r="H6528" t="s">
        <v>1801</v>
      </c>
      <c r="Y6528" t="s">
        <v>1804</v>
      </c>
    </row>
    <row r="6529" spans="1:25" x14ac:dyDescent="0.25">
      <c r="A6529" t="str">
        <f>"38251287139"</f>
        <v>38251287139</v>
      </c>
      <c r="B6529" t="s">
        <v>930</v>
      </c>
      <c r="C6529" t="s">
        <v>4781</v>
      </c>
      <c r="D6529" t="s">
        <v>28615</v>
      </c>
      <c r="E6529">
        <v>424004</v>
      </c>
      <c r="F6529" t="s">
        <v>1</v>
      </c>
      <c r="G6529" t="s">
        <v>2</v>
      </c>
      <c r="H6529" t="s">
        <v>4036</v>
      </c>
      <c r="I6529" t="s">
        <v>28616</v>
      </c>
      <c r="P6529" t="s">
        <v>381</v>
      </c>
      <c r="Y6529" t="s">
        <v>28617</v>
      </c>
    </row>
    <row r="6530" spans="1:25" x14ac:dyDescent="0.25">
      <c r="A6530" t="str">
        <f>"38254582038"</f>
        <v>38254582038</v>
      </c>
      <c r="B6530" t="s">
        <v>1573</v>
      </c>
      <c r="C6530" t="s">
        <v>1817</v>
      </c>
      <c r="D6530" t="s">
        <v>28618</v>
      </c>
      <c r="E6530">
        <v>424037</v>
      </c>
      <c r="F6530" t="s">
        <v>1</v>
      </c>
      <c r="G6530" t="s">
        <v>2</v>
      </c>
      <c r="H6530" t="s">
        <v>3278</v>
      </c>
      <c r="I6530" t="s">
        <v>13877</v>
      </c>
      <c r="P6530" t="s">
        <v>1306</v>
      </c>
      <c r="Y6530" t="s">
        <v>28619</v>
      </c>
    </row>
    <row r="6531" spans="1:25" x14ac:dyDescent="0.25">
      <c r="A6531" t="str">
        <f>"38264429471"</f>
        <v>38264429471</v>
      </c>
      <c r="B6531" t="s">
        <v>160</v>
      </c>
      <c r="C6531" t="s">
        <v>9976</v>
      </c>
      <c r="D6531" t="s">
        <v>28620</v>
      </c>
      <c r="E6531">
        <v>424038</v>
      </c>
      <c r="F6531" t="s">
        <v>1</v>
      </c>
      <c r="G6531" t="s">
        <v>2</v>
      </c>
      <c r="H6531" t="s">
        <v>13118</v>
      </c>
      <c r="Y6531" t="s">
        <v>28621</v>
      </c>
    </row>
    <row r="6532" spans="1:25" x14ac:dyDescent="0.25">
      <c r="A6532" t="str">
        <f>"38284145430"</f>
        <v>38284145430</v>
      </c>
      <c r="B6532" t="s">
        <v>117</v>
      </c>
      <c r="C6532" t="s">
        <v>6850</v>
      </c>
      <c r="D6532" t="s">
        <v>25606</v>
      </c>
      <c r="F6532" t="s">
        <v>1</v>
      </c>
      <c r="G6532" t="s">
        <v>2</v>
      </c>
      <c r="H6532" t="s">
        <v>7547</v>
      </c>
      <c r="L6532" t="s">
        <v>17611</v>
      </c>
      <c r="M6532" t="s">
        <v>17612</v>
      </c>
      <c r="Y6532" t="s">
        <v>28622</v>
      </c>
    </row>
    <row r="6533" spans="1:25" x14ac:dyDescent="0.25">
      <c r="A6533" t="str">
        <f>"38293946459"</f>
        <v>38293946459</v>
      </c>
      <c r="B6533" t="s">
        <v>1343</v>
      </c>
      <c r="C6533" t="s">
        <v>1344</v>
      </c>
      <c r="D6533" t="s">
        <v>20882</v>
      </c>
      <c r="E6533">
        <v>424019</v>
      </c>
      <c r="F6533" t="s">
        <v>1</v>
      </c>
      <c r="G6533" t="s">
        <v>2</v>
      </c>
      <c r="H6533" t="s">
        <v>12105</v>
      </c>
      <c r="P6533" t="s">
        <v>2050</v>
      </c>
      <c r="Y6533" t="s">
        <v>28623</v>
      </c>
    </row>
    <row r="6534" spans="1:25" x14ac:dyDescent="0.25">
      <c r="A6534" t="str">
        <f>"38319626189"</f>
        <v>38319626189</v>
      </c>
      <c r="B6534" t="s">
        <v>160</v>
      </c>
      <c r="C6534" t="s">
        <v>2479</v>
      </c>
      <c r="D6534" t="s">
        <v>28624</v>
      </c>
      <c r="F6534" t="s">
        <v>1</v>
      </c>
      <c r="G6534" t="s">
        <v>2</v>
      </c>
      <c r="H6534" t="s">
        <v>1428</v>
      </c>
      <c r="Y6534" t="s">
        <v>28625</v>
      </c>
    </row>
    <row r="6535" spans="1:25" x14ac:dyDescent="0.25">
      <c r="A6535" t="str">
        <f>"38349731758"</f>
        <v>38349731758</v>
      </c>
      <c r="B6535" t="s">
        <v>930</v>
      </c>
      <c r="C6535" t="s">
        <v>6070</v>
      </c>
      <c r="D6535" t="s">
        <v>20039</v>
      </c>
      <c r="E6535">
        <v>424007</v>
      </c>
      <c r="F6535" t="s">
        <v>1</v>
      </c>
      <c r="G6535" t="s">
        <v>2</v>
      </c>
      <c r="H6535" t="s">
        <v>9500</v>
      </c>
      <c r="J6535" t="s">
        <v>28626</v>
      </c>
      <c r="P6535" t="s">
        <v>330</v>
      </c>
      <c r="Y6535" t="s">
        <v>9503</v>
      </c>
    </row>
    <row r="6536" spans="1:25" x14ac:dyDescent="0.25">
      <c r="A6536" t="str">
        <f>"38379280414"</f>
        <v>38379280414</v>
      </c>
      <c r="B6536" t="s">
        <v>1323</v>
      </c>
      <c r="C6536" t="s">
        <v>1324</v>
      </c>
      <c r="D6536" t="s">
        <v>28627</v>
      </c>
      <c r="E6536">
        <v>424031</v>
      </c>
      <c r="F6536" t="s">
        <v>1</v>
      </c>
      <c r="G6536" t="s">
        <v>2</v>
      </c>
      <c r="H6536" t="s">
        <v>18205</v>
      </c>
      <c r="Y6536" t="s">
        <v>28628</v>
      </c>
    </row>
    <row r="6537" spans="1:25" x14ac:dyDescent="0.25">
      <c r="A6537" t="str">
        <f>"38383542338"</f>
        <v>38383542338</v>
      </c>
      <c r="B6537" t="s">
        <v>530</v>
      </c>
      <c r="C6537" t="s">
        <v>23950</v>
      </c>
      <c r="D6537" t="s">
        <v>23950</v>
      </c>
      <c r="E6537">
        <v>424031</v>
      </c>
      <c r="F6537" t="s">
        <v>1</v>
      </c>
      <c r="G6537" t="s">
        <v>2</v>
      </c>
      <c r="H6537" t="s">
        <v>11384</v>
      </c>
      <c r="Y6537" t="s">
        <v>28629</v>
      </c>
    </row>
    <row r="6538" spans="1:25" x14ac:dyDescent="0.25">
      <c r="A6538" t="str">
        <f>"38406641708"</f>
        <v>38406641708</v>
      </c>
      <c r="B6538" t="s">
        <v>18</v>
      </c>
      <c r="C6538" t="s">
        <v>28634</v>
      </c>
      <c r="D6538" t="s">
        <v>28630</v>
      </c>
      <c r="E6538">
        <v>424006</v>
      </c>
      <c r="F6538" t="s">
        <v>1</v>
      </c>
      <c r="G6538" t="s">
        <v>2</v>
      </c>
      <c r="H6538" t="s">
        <v>18005</v>
      </c>
      <c r="I6538" t="s">
        <v>28631</v>
      </c>
      <c r="L6538" t="s">
        <v>28632</v>
      </c>
      <c r="M6538" t="s">
        <v>28633</v>
      </c>
      <c r="P6538" t="s">
        <v>28635</v>
      </c>
      <c r="Q6538" t="s">
        <v>28636</v>
      </c>
      <c r="V6538" t="s">
        <v>28637</v>
      </c>
      <c r="Y6538" t="s">
        <v>28638</v>
      </c>
    </row>
    <row r="6539" spans="1:25" x14ac:dyDescent="0.25">
      <c r="A6539" t="str">
        <f>"38496394452"</f>
        <v>38496394452</v>
      </c>
      <c r="B6539" t="s">
        <v>1475</v>
      </c>
      <c r="C6539" t="s">
        <v>1476</v>
      </c>
      <c r="D6539" t="s">
        <v>28639</v>
      </c>
      <c r="E6539">
        <v>424000</v>
      </c>
      <c r="F6539" t="s">
        <v>1</v>
      </c>
      <c r="G6539" t="s">
        <v>2</v>
      </c>
      <c r="H6539" t="s">
        <v>937</v>
      </c>
      <c r="P6539" t="s">
        <v>941</v>
      </c>
      <c r="Y6539" t="s">
        <v>28640</v>
      </c>
    </row>
    <row r="6540" spans="1:25" x14ac:dyDescent="0.25">
      <c r="A6540" t="str">
        <f>"38512218750"</f>
        <v>38512218750</v>
      </c>
      <c r="B6540" t="s">
        <v>117</v>
      </c>
      <c r="C6540" t="s">
        <v>118</v>
      </c>
      <c r="D6540" t="s">
        <v>28641</v>
      </c>
      <c r="E6540">
        <v>424030</v>
      </c>
      <c r="F6540" t="s">
        <v>1</v>
      </c>
      <c r="G6540" t="s">
        <v>2</v>
      </c>
      <c r="H6540" t="s">
        <v>28642</v>
      </c>
      <c r="I6540" t="s">
        <v>28643</v>
      </c>
      <c r="P6540" t="s">
        <v>28644</v>
      </c>
      <c r="Y6540" t="s">
        <v>28645</v>
      </c>
    </row>
    <row r="6541" spans="1:25" x14ac:dyDescent="0.25">
      <c r="A6541" t="str">
        <f>"38533190581"</f>
        <v>38533190581</v>
      </c>
      <c r="B6541" t="s">
        <v>1053</v>
      </c>
      <c r="C6541" t="s">
        <v>28649</v>
      </c>
      <c r="D6541" t="s">
        <v>28646</v>
      </c>
      <c r="E6541">
        <v>424006</v>
      </c>
      <c r="F6541" t="s">
        <v>1</v>
      </c>
      <c r="G6541" t="s">
        <v>2</v>
      </c>
      <c r="H6541" t="s">
        <v>1003</v>
      </c>
      <c r="I6541" t="s">
        <v>28647</v>
      </c>
      <c r="J6541" t="s">
        <v>28648</v>
      </c>
      <c r="P6541" t="s">
        <v>280</v>
      </c>
      <c r="Y6541" t="s">
        <v>1006</v>
      </c>
    </row>
    <row r="6542" spans="1:25" x14ac:dyDescent="0.25">
      <c r="A6542" t="str">
        <f>"38589037836"</f>
        <v>38589037836</v>
      </c>
      <c r="B6542" t="s">
        <v>530</v>
      </c>
      <c r="C6542" t="s">
        <v>23950</v>
      </c>
      <c r="D6542" t="s">
        <v>23950</v>
      </c>
      <c r="F6542" t="s">
        <v>1</v>
      </c>
      <c r="G6542" t="s">
        <v>2</v>
      </c>
      <c r="H6542" t="s">
        <v>28650</v>
      </c>
      <c r="Y6542" t="s">
        <v>28651</v>
      </c>
    </row>
    <row r="6543" spans="1:25" x14ac:dyDescent="0.25">
      <c r="A6543" t="str">
        <f>"38693234172"</f>
        <v>38693234172</v>
      </c>
      <c r="B6543" t="s">
        <v>117</v>
      </c>
      <c r="C6543" t="s">
        <v>118</v>
      </c>
      <c r="D6543" t="s">
        <v>28652</v>
      </c>
      <c r="E6543">
        <v>424000</v>
      </c>
      <c r="F6543" t="s">
        <v>1</v>
      </c>
      <c r="G6543" t="s">
        <v>2</v>
      </c>
      <c r="H6543" t="s">
        <v>28653</v>
      </c>
      <c r="Y6543" t="s">
        <v>28654</v>
      </c>
    </row>
    <row r="6544" spans="1:25" x14ac:dyDescent="0.25">
      <c r="A6544" t="str">
        <f>"38715125010"</f>
        <v>38715125010</v>
      </c>
      <c r="B6544" t="s">
        <v>430</v>
      </c>
      <c r="C6544" t="s">
        <v>28657</v>
      </c>
      <c r="D6544" t="s">
        <v>10135</v>
      </c>
      <c r="E6544">
        <v>424028</v>
      </c>
      <c r="F6544" t="s">
        <v>1</v>
      </c>
      <c r="G6544" t="s">
        <v>2</v>
      </c>
      <c r="H6544" t="s">
        <v>5034</v>
      </c>
      <c r="I6544" t="s">
        <v>28655</v>
      </c>
      <c r="J6544" t="s">
        <v>28656</v>
      </c>
      <c r="P6544" t="s">
        <v>13505</v>
      </c>
      <c r="Y6544" t="s">
        <v>28658</v>
      </c>
    </row>
    <row r="6545" spans="1:25" x14ac:dyDescent="0.25">
      <c r="A6545" t="str">
        <f>"38767131142"</f>
        <v>38767131142</v>
      </c>
      <c r="B6545" t="s">
        <v>67</v>
      </c>
      <c r="C6545" t="s">
        <v>269</v>
      </c>
      <c r="D6545" t="s">
        <v>28659</v>
      </c>
      <c r="E6545">
        <v>424003</v>
      </c>
      <c r="F6545" t="s">
        <v>1</v>
      </c>
      <c r="G6545" t="s">
        <v>2</v>
      </c>
      <c r="H6545" t="s">
        <v>28660</v>
      </c>
      <c r="Y6545" t="s">
        <v>3999</v>
      </c>
    </row>
    <row r="6546" spans="1:25" x14ac:dyDescent="0.25">
      <c r="A6546" t="str">
        <f>"38772855466"</f>
        <v>38772855466</v>
      </c>
      <c r="B6546" t="s">
        <v>530</v>
      </c>
      <c r="C6546" t="s">
        <v>23950</v>
      </c>
      <c r="D6546" t="s">
        <v>23950</v>
      </c>
      <c r="E6546">
        <v>424006</v>
      </c>
      <c r="F6546" t="s">
        <v>1</v>
      </c>
      <c r="G6546" t="s">
        <v>2</v>
      </c>
      <c r="H6546" t="s">
        <v>28661</v>
      </c>
      <c r="Y6546" t="s">
        <v>28662</v>
      </c>
    </row>
    <row r="6547" spans="1:25" x14ac:dyDescent="0.25">
      <c r="A6547" t="str">
        <f>"38788246993"</f>
        <v>38788246993</v>
      </c>
      <c r="B6547" t="s">
        <v>456</v>
      </c>
      <c r="C6547" t="s">
        <v>16246</v>
      </c>
      <c r="D6547" t="s">
        <v>28663</v>
      </c>
      <c r="E6547">
        <v>424033</v>
      </c>
      <c r="F6547" t="s">
        <v>1</v>
      </c>
      <c r="G6547" t="s">
        <v>2</v>
      </c>
      <c r="H6547" t="s">
        <v>28664</v>
      </c>
      <c r="J6547" t="s">
        <v>12360</v>
      </c>
      <c r="M6547" t="s">
        <v>28665</v>
      </c>
      <c r="P6547" t="s">
        <v>2438</v>
      </c>
      <c r="Q6547" t="s">
        <v>28666</v>
      </c>
      <c r="U6547" t="s">
        <v>28667</v>
      </c>
      <c r="V6547" t="s">
        <v>28668</v>
      </c>
      <c r="Y6547" t="s">
        <v>28669</v>
      </c>
    </row>
    <row r="6548" spans="1:25" x14ac:dyDescent="0.25">
      <c r="A6548" t="str">
        <f>"38814985063"</f>
        <v>38814985063</v>
      </c>
      <c r="B6548" t="s">
        <v>188</v>
      </c>
      <c r="C6548" t="s">
        <v>23982</v>
      </c>
      <c r="D6548" t="s">
        <v>23982</v>
      </c>
      <c r="E6548">
        <v>424000</v>
      </c>
      <c r="F6548" t="s">
        <v>1</v>
      </c>
      <c r="G6548" t="s">
        <v>2</v>
      </c>
      <c r="H6548" t="s">
        <v>7709</v>
      </c>
      <c r="Y6548" t="s">
        <v>28670</v>
      </c>
    </row>
    <row r="6549" spans="1:25" x14ac:dyDescent="0.25">
      <c r="A6549" t="str">
        <f>"38861736618"</f>
        <v>38861736618</v>
      </c>
      <c r="B6549" t="s">
        <v>348</v>
      </c>
      <c r="C6549" t="s">
        <v>349</v>
      </c>
      <c r="D6549" t="s">
        <v>28671</v>
      </c>
      <c r="E6549">
        <v>424000</v>
      </c>
      <c r="F6549" t="s">
        <v>1</v>
      </c>
      <c r="G6549" t="s">
        <v>2</v>
      </c>
      <c r="H6549" t="s">
        <v>28208</v>
      </c>
      <c r="Y6549" t="s">
        <v>28209</v>
      </c>
    </row>
    <row r="6550" spans="1:25" x14ac:dyDescent="0.25">
      <c r="A6550" t="str">
        <f>"38941071887"</f>
        <v>38941071887</v>
      </c>
      <c r="B6550" t="s">
        <v>1262</v>
      </c>
      <c r="C6550" t="s">
        <v>3214</v>
      </c>
      <c r="D6550" t="s">
        <v>28672</v>
      </c>
      <c r="E6550">
        <v>424007</v>
      </c>
      <c r="F6550" t="s">
        <v>1</v>
      </c>
      <c r="G6550" t="s">
        <v>2</v>
      </c>
      <c r="H6550" t="s">
        <v>3476</v>
      </c>
      <c r="J6550" t="s">
        <v>28673</v>
      </c>
      <c r="Y6550" t="s">
        <v>20214</v>
      </c>
    </row>
    <row r="6551" spans="1:25" x14ac:dyDescent="0.25">
      <c r="A6551" t="str">
        <f>"38953266088"</f>
        <v>38953266088</v>
      </c>
      <c r="B6551" t="s">
        <v>2104</v>
      </c>
      <c r="C6551" t="s">
        <v>28677</v>
      </c>
      <c r="D6551" t="s">
        <v>28674</v>
      </c>
      <c r="E6551">
        <v>424016</v>
      </c>
      <c r="F6551" t="s">
        <v>1</v>
      </c>
      <c r="G6551" t="s">
        <v>2</v>
      </c>
      <c r="H6551" t="s">
        <v>28675</v>
      </c>
      <c r="J6551" t="s">
        <v>28676</v>
      </c>
      <c r="P6551" t="s">
        <v>5922</v>
      </c>
      <c r="Y6551" t="s">
        <v>28678</v>
      </c>
    </row>
    <row r="6552" spans="1:25" x14ac:dyDescent="0.25">
      <c r="A6552" t="str">
        <f>"38963940805"</f>
        <v>38963940805</v>
      </c>
      <c r="B6552" t="s">
        <v>188</v>
      </c>
      <c r="C6552" t="s">
        <v>8311</v>
      </c>
      <c r="D6552" t="s">
        <v>28679</v>
      </c>
      <c r="E6552">
        <v>424002</v>
      </c>
      <c r="F6552" t="s">
        <v>1</v>
      </c>
      <c r="G6552" t="s">
        <v>2</v>
      </c>
      <c r="H6552" t="s">
        <v>6656</v>
      </c>
      <c r="Y6552" t="s">
        <v>11652</v>
      </c>
    </row>
    <row r="6553" spans="1:25" x14ac:dyDescent="0.25">
      <c r="A6553" t="str">
        <f>"38987844343"</f>
        <v>38987844343</v>
      </c>
      <c r="B6553" t="s">
        <v>25</v>
      </c>
      <c r="C6553" t="s">
        <v>20320</v>
      </c>
      <c r="D6553" t="s">
        <v>28680</v>
      </c>
      <c r="F6553" t="s">
        <v>1</v>
      </c>
      <c r="G6553" t="s">
        <v>2</v>
      </c>
      <c r="H6553" t="s">
        <v>28681</v>
      </c>
      <c r="Y6553" t="s">
        <v>28682</v>
      </c>
    </row>
    <row r="6554" spans="1:25" x14ac:dyDescent="0.25">
      <c r="A6554" t="str">
        <f>"39042030582"</f>
        <v>39042030582</v>
      </c>
      <c r="B6554" t="s">
        <v>224</v>
      </c>
      <c r="C6554" t="s">
        <v>3240</v>
      </c>
      <c r="D6554" t="s">
        <v>28683</v>
      </c>
      <c r="F6554" t="s">
        <v>1</v>
      </c>
      <c r="G6554" t="s">
        <v>2</v>
      </c>
      <c r="H6554" t="s">
        <v>10011</v>
      </c>
      <c r="I6554" t="s">
        <v>28684</v>
      </c>
      <c r="P6554" t="s">
        <v>27</v>
      </c>
      <c r="Y6554" t="s">
        <v>10013</v>
      </c>
    </row>
    <row r="6555" spans="1:25" x14ac:dyDescent="0.25">
      <c r="A6555" t="str">
        <f>"39069117255"</f>
        <v>39069117255</v>
      </c>
      <c r="B6555" t="s">
        <v>18</v>
      </c>
      <c r="C6555" t="s">
        <v>28688</v>
      </c>
      <c r="D6555" t="s">
        <v>28685</v>
      </c>
      <c r="F6555" t="s">
        <v>1</v>
      </c>
      <c r="G6555" t="s">
        <v>2</v>
      </c>
      <c r="H6555" t="s">
        <v>19499</v>
      </c>
      <c r="I6555" t="s">
        <v>28686</v>
      </c>
      <c r="J6555" t="s">
        <v>28687</v>
      </c>
      <c r="P6555" t="s">
        <v>26322</v>
      </c>
      <c r="Q6555" t="s">
        <v>28689</v>
      </c>
      <c r="Y6555" t="s">
        <v>24185</v>
      </c>
    </row>
    <row r="6556" spans="1:25" x14ac:dyDescent="0.25">
      <c r="A6556" t="str">
        <f>"39110052962"</f>
        <v>39110052962</v>
      </c>
      <c r="B6556" t="s">
        <v>456</v>
      </c>
      <c r="C6556" t="s">
        <v>28692</v>
      </c>
      <c r="D6556" t="s">
        <v>28690</v>
      </c>
      <c r="E6556">
        <v>424000</v>
      </c>
      <c r="F6556" t="s">
        <v>1</v>
      </c>
      <c r="G6556" t="s">
        <v>2</v>
      </c>
      <c r="H6556" t="s">
        <v>128</v>
      </c>
      <c r="J6556" t="s">
        <v>28691</v>
      </c>
      <c r="P6556" t="s">
        <v>330</v>
      </c>
      <c r="Q6556" t="s">
        <v>28693</v>
      </c>
      <c r="Y6556" t="s">
        <v>28694</v>
      </c>
    </row>
    <row r="6557" spans="1:25" x14ac:dyDescent="0.25">
      <c r="A6557" t="str">
        <f>"39270263752"</f>
        <v>39270263752</v>
      </c>
      <c r="B6557" t="s">
        <v>530</v>
      </c>
      <c r="C6557" t="s">
        <v>23950</v>
      </c>
      <c r="D6557" t="s">
        <v>23950</v>
      </c>
      <c r="F6557" t="s">
        <v>1</v>
      </c>
      <c r="G6557" t="s">
        <v>2</v>
      </c>
      <c r="H6557" t="s">
        <v>28695</v>
      </c>
      <c r="Y6557" t="s">
        <v>28696</v>
      </c>
    </row>
    <row r="6558" spans="1:25" x14ac:dyDescent="0.25">
      <c r="A6558" t="str">
        <f>"39272330165"</f>
        <v>39272330165</v>
      </c>
      <c r="B6558" t="s">
        <v>319</v>
      </c>
      <c r="C6558" t="s">
        <v>320</v>
      </c>
      <c r="D6558" t="s">
        <v>28697</v>
      </c>
      <c r="E6558">
        <v>424006</v>
      </c>
      <c r="F6558" t="s">
        <v>1</v>
      </c>
      <c r="G6558" t="s">
        <v>2</v>
      </c>
      <c r="H6558" t="s">
        <v>2007</v>
      </c>
      <c r="I6558" t="s">
        <v>28698</v>
      </c>
      <c r="K6558" t="s">
        <v>28699</v>
      </c>
      <c r="L6558" t="s">
        <v>7276</v>
      </c>
      <c r="M6558" t="s">
        <v>14509</v>
      </c>
      <c r="P6558" t="s">
        <v>10124</v>
      </c>
      <c r="Y6558" t="s">
        <v>28700</v>
      </c>
    </row>
    <row r="6559" spans="1:25" x14ac:dyDescent="0.25">
      <c r="A6559" t="str">
        <f>"39278799064"</f>
        <v>39278799064</v>
      </c>
      <c r="B6559" t="s">
        <v>1053</v>
      </c>
      <c r="C6559" t="s">
        <v>28702</v>
      </c>
      <c r="D6559" t="s">
        <v>28701</v>
      </c>
      <c r="E6559">
        <v>424006</v>
      </c>
      <c r="F6559" t="s">
        <v>1</v>
      </c>
      <c r="G6559" t="s">
        <v>2</v>
      </c>
      <c r="H6559" t="s">
        <v>1709</v>
      </c>
      <c r="P6559" t="s">
        <v>20</v>
      </c>
      <c r="Y6559" t="s">
        <v>28703</v>
      </c>
    </row>
    <row r="6560" spans="1:25" x14ac:dyDescent="0.25">
      <c r="A6560" t="str">
        <f>"39287131450"</f>
        <v>39287131450</v>
      </c>
      <c r="B6560" t="s">
        <v>624</v>
      </c>
      <c r="C6560" t="s">
        <v>28706</v>
      </c>
      <c r="D6560" t="s">
        <v>28704</v>
      </c>
      <c r="E6560">
        <v>424004</v>
      </c>
      <c r="F6560" t="s">
        <v>1</v>
      </c>
      <c r="G6560" t="s">
        <v>2</v>
      </c>
      <c r="H6560" t="s">
        <v>1169</v>
      </c>
      <c r="I6560" t="s">
        <v>28705</v>
      </c>
      <c r="P6560" t="s">
        <v>280</v>
      </c>
      <c r="Y6560" t="s">
        <v>15559</v>
      </c>
    </row>
    <row r="6561" spans="1:25" x14ac:dyDescent="0.25">
      <c r="A6561" t="str">
        <f>"39292399164"</f>
        <v>39292399164</v>
      </c>
      <c r="B6561" t="s">
        <v>117</v>
      </c>
      <c r="C6561" t="s">
        <v>118</v>
      </c>
      <c r="D6561" t="s">
        <v>28707</v>
      </c>
      <c r="F6561" t="s">
        <v>1</v>
      </c>
      <c r="G6561" t="s">
        <v>2</v>
      </c>
      <c r="H6561" t="s">
        <v>7547</v>
      </c>
      <c r="Y6561" t="s">
        <v>28708</v>
      </c>
    </row>
    <row r="6562" spans="1:25" x14ac:dyDescent="0.25">
      <c r="A6562" t="str">
        <f>"39304216916"</f>
        <v>39304216916</v>
      </c>
      <c r="B6562" t="s">
        <v>2104</v>
      </c>
      <c r="C6562" t="s">
        <v>28710</v>
      </c>
      <c r="D6562" t="s">
        <v>24033</v>
      </c>
      <c r="E6562">
        <v>424033</v>
      </c>
      <c r="F6562" t="s">
        <v>1</v>
      </c>
      <c r="G6562" t="s">
        <v>2</v>
      </c>
      <c r="H6562" t="s">
        <v>22045</v>
      </c>
      <c r="L6562" t="s">
        <v>28709</v>
      </c>
      <c r="Q6562" t="s">
        <v>28711</v>
      </c>
      <c r="Y6562" t="s">
        <v>28712</v>
      </c>
    </row>
    <row r="6563" spans="1:25" x14ac:dyDescent="0.25">
      <c r="A6563" t="str">
        <f>"39334434568"</f>
        <v>39334434568</v>
      </c>
      <c r="B6563" t="s">
        <v>1611</v>
      </c>
      <c r="C6563" t="s">
        <v>2214</v>
      </c>
      <c r="D6563" t="s">
        <v>28713</v>
      </c>
      <c r="E6563">
        <v>424030</v>
      </c>
      <c r="F6563" t="s">
        <v>1</v>
      </c>
      <c r="G6563" t="s">
        <v>2</v>
      </c>
      <c r="H6563" t="s">
        <v>6529</v>
      </c>
      <c r="I6563" t="s">
        <v>28714</v>
      </c>
      <c r="P6563" t="s">
        <v>1721</v>
      </c>
      <c r="Y6563" t="s">
        <v>28715</v>
      </c>
    </row>
    <row r="6564" spans="1:25" x14ac:dyDescent="0.25">
      <c r="A6564" t="str">
        <f>"39335596541"</f>
        <v>39335596541</v>
      </c>
      <c r="B6564" t="s">
        <v>1343</v>
      </c>
      <c r="C6564" t="s">
        <v>28717</v>
      </c>
      <c r="D6564" t="s">
        <v>28716</v>
      </c>
      <c r="E6564">
        <v>424019</v>
      </c>
      <c r="F6564" t="s">
        <v>1</v>
      </c>
      <c r="G6564" t="s">
        <v>2</v>
      </c>
      <c r="H6564" t="s">
        <v>1801</v>
      </c>
      <c r="Y6564" t="s">
        <v>28718</v>
      </c>
    </row>
    <row r="6565" spans="1:25" x14ac:dyDescent="0.25">
      <c r="A6565" t="str">
        <f>"39354594226"</f>
        <v>39354594226</v>
      </c>
      <c r="B6565" t="s">
        <v>930</v>
      </c>
      <c r="C6565" t="s">
        <v>28722</v>
      </c>
      <c r="D6565" t="s">
        <v>28719</v>
      </c>
      <c r="E6565">
        <v>424031</v>
      </c>
      <c r="F6565" t="s">
        <v>1</v>
      </c>
      <c r="G6565" t="s">
        <v>2</v>
      </c>
      <c r="H6565" t="s">
        <v>3412</v>
      </c>
      <c r="I6565" t="s">
        <v>28720</v>
      </c>
      <c r="L6565" t="s">
        <v>28721</v>
      </c>
      <c r="P6565" t="s">
        <v>2580</v>
      </c>
      <c r="Q6565" t="s">
        <v>28723</v>
      </c>
      <c r="Y6565" t="s">
        <v>28724</v>
      </c>
    </row>
    <row r="6566" spans="1:25" x14ac:dyDescent="0.25">
      <c r="A6566" t="str">
        <f>"39368650376"</f>
        <v>39368650376</v>
      </c>
      <c r="B6566" t="s">
        <v>1833</v>
      </c>
      <c r="C6566" t="s">
        <v>28727</v>
      </c>
      <c r="D6566" t="s">
        <v>28725</v>
      </c>
      <c r="E6566">
        <v>424006</v>
      </c>
      <c r="F6566" t="s">
        <v>1</v>
      </c>
      <c r="G6566" t="s">
        <v>2</v>
      </c>
      <c r="H6566" t="s">
        <v>3033</v>
      </c>
      <c r="I6566" t="s">
        <v>28726</v>
      </c>
      <c r="L6566" t="s">
        <v>10032</v>
      </c>
      <c r="M6566" t="s">
        <v>10033</v>
      </c>
      <c r="P6566" t="s">
        <v>9</v>
      </c>
      <c r="Y6566" t="s">
        <v>3035</v>
      </c>
    </row>
    <row r="6567" spans="1:25" x14ac:dyDescent="0.25">
      <c r="A6567" t="str">
        <f>"39369335113"</f>
        <v>39369335113</v>
      </c>
      <c r="B6567" t="s">
        <v>160</v>
      </c>
      <c r="C6567" t="s">
        <v>2479</v>
      </c>
      <c r="D6567" t="s">
        <v>28728</v>
      </c>
      <c r="F6567" t="s">
        <v>1</v>
      </c>
      <c r="G6567" t="s">
        <v>2</v>
      </c>
      <c r="H6567" t="s">
        <v>27567</v>
      </c>
      <c r="Y6567" t="s">
        <v>28729</v>
      </c>
    </row>
    <row r="6568" spans="1:25" x14ac:dyDescent="0.25">
      <c r="A6568" t="str">
        <f>"39407479329"</f>
        <v>39407479329</v>
      </c>
      <c r="B6568" t="s">
        <v>96</v>
      </c>
      <c r="C6568" t="s">
        <v>893</v>
      </c>
      <c r="D6568" t="s">
        <v>28730</v>
      </c>
      <c r="E6568">
        <v>424000</v>
      </c>
      <c r="F6568" t="s">
        <v>1</v>
      </c>
      <c r="G6568" t="s">
        <v>2</v>
      </c>
      <c r="H6568" t="s">
        <v>1473</v>
      </c>
      <c r="P6568" t="s">
        <v>941</v>
      </c>
      <c r="Y6568" t="s">
        <v>4067</v>
      </c>
    </row>
    <row r="6569" spans="1:25" x14ac:dyDescent="0.25">
      <c r="A6569" t="str">
        <f>"39412930686"</f>
        <v>39412930686</v>
      </c>
      <c r="B6569" t="s">
        <v>530</v>
      </c>
      <c r="C6569" t="s">
        <v>23950</v>
      </c>
      <c r="D6569" t="s">
        <v>23950</v>
      </c>
      <c r="F6569" t="s">
        <v>1</v>
      </c>
      <c r="G6569" t="s">
        <v>2</v>
      </c>
      <c r="H6569" t="s">
        <v>28731</v>
      </c>
      <c r="Y6569" t="s">
        <v>28732</v>
      </c>
    </row>
    <row r="6570" spans="1:25" x14ac:dyDescent="0.25">
      <c r="A6570" t="str">
        <f>"39416778980"</f>
        <v>39416778980</v>
      </c>
      <c r="B6570" t="s">
        <v>379</v>
      </c>
      <c r="C6570" t="s">
        <v>766</v>
      </c>
      <c r="D6570" t="s">
        <v>28733</v>
      </c>
      <c r="E6570">
        <v>424028</v>
      </c>
      <c r="F6570" t="s">
        <v>1</v>
      </c>
      <c r="G6570" t="s">
        <v>2</v>
      </c>
      <c r="H6570" t="s">
        <v>5034</v>
      </c>
      <c r="I6570" t="s">
        <v>763</v>
      </c>
      <c r="L6570" t="s">
        <v>23054</v>
      </c>
      <c r="M6570" t="s">
        <v>28734</v>
      </c>
      <c r="P6570" t="s">
        <v>941</v>
      </c>
      <c r="Q6570" t="s">
        <v>28735</v>
      </c>
      <c r="Y6570" t="s">
        <v>28736</v>
      </c>
    </row>
    <row r="6571" spans="1:25" x14ac:dyDescent="0.25">
      <c r="A6571" t="str">
        <f>"39417941326"</f>
        <v>39417941326</v>
      </c>
      <c r="B6571" t="s">
        <v>117</v>
      </c>
      <c r="C6571" t="s">
        <v>873</v>
      </c>
      <c r="D6571" t="s">
        <v>873</v>
      </c>
      <c r="E6571">
        <v>424039</v>
      </c>
      <c r="F6571" t="s">
        <v>1</v>
      </c>
      <c r="G6571" t="s">
        <v>2</v>
      </c>
      <c r="H6571" t="s">
        <v>28737</v>
      </c>
      <c r="Y6571" t="s">
        <v>28738</v>
      </c>
    </row>
    <row r="6572" spans="1:25" x14ac:dyDescent="0.25">
      <c r="A6572" t="str">
        <f>"39464833420"</f>
        <v>39464833420</v>
      </c>
      <c r="B6572" t="s">
        <v>352</v>
      </c>
      <c r="C6572" t="s">
        <v>8051</v>
      </c>
      <c r="D6572" t="s">
        <v>28739</v>
      </c>
      <c r="E6572">
        <v>424006</v>
      </c>
      <c r="F6572" t="s">
        <v>1</v>
      </c>
      <c r="G6572" t="s">
        <v>2</v>
      </c>
      <c r="H6572" t="s">
        <v>9355</v>
      </c>
      <c r="P6572" t="s">
        <v>13994</v>
      </c>
      <c r="Y6572" t="s">
        <v>28740</v>
      </c>
    </row>
    <row r="6573" spans="1:25" x14ac:dyDescent="0.25">
      <c r="A6573" t="str">
        <f>"39468411576"</f>
        <v>39468411576</v>
      </c>
      <c r="B6573" t="s">
        <v>188</v>
      </c>
      <c r="C6573" t="s">
        <v>8311</v>
      </c>
      <c r="D6573" t="s">
        <v>28741</v>
      </c>
      <c r="F6573" t="s">
        <v>1</v>
      </c>
      <c r="G6573" t="s">
        <v>2</v>
      </c>
      <c r="H6573" t="s">
        <v>7547</v>
      </c>
      <c r="Y6573" t="s">
        <v>28742</v>
      </c>
    </row>
    <row r="6574" spans="1:25" x14ac:dyDescent="0.25">
      <c r="A6574" t="str">
        <f>"39474656650"</f>
        <v>39474656650</v>
      </c>
      <c r="B6574" t="s">
        <v>117</v>
      </c>
      <c r="C6574" t="s">
        <v>118</v>
      </c>
      <c r="D6574" t="s">
        <v>28743</v>
      </c>
      <c r="E6574">
        <v>424003</v>
      </c>
      <c r="F6574" t="s">
        <v>1</v>
      </c>
      <c r="G6574" t="s">
        <v>2</v>
      </c>
      <c r="H6574" t="s">
        <v>24961</v>
      </c>
      <c r="I6574" t="s">
        <v>28744</v>
      </c>
      <c r="Y6574" t="s">
        <v>12012</v>
      </c>
    </row>
    <row r="6575" spans="1:25" x14ac:dyDescent="0.25">
      <c r="A6575" t="str">
        <f>"39481825405"</f>
        <v>39481825405</v>
      </c>
      <c r="B6575" t="s">
        <v>2104</v>
      </c>
      <c r="C6575" t="s">
        <v>21175</v>
      </c>
      <c r="D6575" t="s">
        <v>28745</v>
      </c>
      <c r="E6575">
        <v>424038</v>
      </c>
      <c r="F6575" t="s">
        <v>1</v>
      </c>
      <c r="G6575" t="s">
        <v>2</v>
      </c>
      <c r="H6575" t="s">
        <v>28746</v>
      </c>
      <c r="I6575" t="s">
        <v>28747</v>
      </c>
      <c r="J6575" t="s">
        <v>28748</v>
      </c>
      <c r="P6575" t="s">
        <v>21688</v>
      </c>
      <c r="Q6575" t="s">
        <v>28749</v>
      </c>
      <c r="V6575" t="s">
        <v>28750</v>
      </c>
      <c r="Y6575" t="s">
        <v>28751</v>
      </c>
    </row>
    <row r="6576" spans="1:25" x14ac:dyDescent="0.25">
      <c r="A6576" t="str">
        <f>"39646749347"</f>
        <v>39646749347</v>
      </c>
      <c r="B6576" t="s">
        <v>348</v>
      </c>
      <c r="C6576" t="s">
        <v>4366</v>
      </c>
      <c r="D6576" t="s">
        <v>28752</v>
      </c>
      <c r="E6576">
        <v>424031</v>
      </c>
      <c r="F6576" t="s">
        <v>1</v>
      </c>
      <c r="G6576" t="s">
        <v>2</v>
      </c>
      <c r="H6576" t="s">
        <v>1900</v>
      </c>
      <c r="I6576" t="s">
        <v>28753</v>
      </c>
      <c r="L6576" t="s">
        <v>28754</v>
      </c>
      <c r="P6576" t="s">
        <v>28755</v>
      </c>
      <c r="Q6576" t="s">
        <v>28756</v>
      </c>
      <c r="Y6576" t="s">
        <v>28757</v>
      </c>
    </row>
    <row r="6577" spans="1:25" x14ac:dyDescent="0.25">
      <c r="A6577" t="str">
        <f>"39650889757"</f>
        <v>39650889757</v>
      </c>
      <c r="B6577" t="s">
        <v>930</v>
      </c>
      <c r="C6577" t="s">
        <v>13865</v>
      </c>
      <c r="D6577" t="s">
        <v>28758</v>
      </c>
      <c r="E6577">
        <v>424006</v>
      </c>
      <c r="F6577" t="s">
        <v>1</v>
      </c>
      <c r="G6577" t="s">
        <v>2</v>
      </c>
      <c r="H6577" t="s">
        <v>13191</v>
      </c>
      <c r="I6577" t="s">
        <v>28759</v>
      </c>
      <c r="J6577" t="s">
        <v>28760</v>
      </c>
      <c r="L6577" t="s">
        <v>28761</v>
      </c>
      <c r="P6577" t="s">
        <v>3938</v>
      </c>
      <c r="Q6577" t="s">
        <v>28762</v>
      </c>
      <c r="Y6577" t="s">
        <v>13197</v>
      </c>
    </row>
    <row r="6578" spans="1:25" x14ac:dyDescent="0.25">
      <c r="A6578" t="str">
        <f>"39706456726"</f>
        <v>39706456726</v>
      </c>
      <c r="B6578" t="s">
        <v>703</v>
      </c>
      <c r="C6578" t="s">
        <v>2129</v>
      </c>
      <c r="D6578" t="s">
        <v>28763</v>
      </c>
      <c r="E6578">
        <v>424030</v>
      </c>
      <c r="F6578" t="s">
        <v>1</v>
      </c>
      <c r="G6578" t="s">
        <v>2</v>
      </c>
      <c r="H6578" t="s">
        <v>23601</v>
      </c>
      <c r="J6578" t="s">
        <v>28764</v>
      </c>
      <c r="P6578" t="s">
        <v>16914</v>
      </c>
      <c r="Y6578" t="s">
        <v>28765</v>
      </c>
    </row>
    <row r="6579" spans="1:25" x14ac:dyDescent="0.25">
      <c r="A6579" t="str">
        <f>"39707216044"</f>
        <v>39707216044</v>
      </c>
      <c r="B6579" t="s">
        <v>1222</v>
      </c>
      <c r="C6579" t="s">
        <v>12417</v>
      </c>
      <c r="D6579" t="s">
        <v>28766</v>
      </c>
      <c r="E6579">
        <v>424031</v>
      </c>
      <c r="F6579" t="s">
        <v>1</v>
      </c>
      <c r="G6579" t="s">
        <v>2</v>
      </c>
      <c r="H6579" t="s">
        <v>239</v>
      </c>
      <c r="J6579" t="s">
        <v>28767</v>
      </c>
      <c r="P6579" t="s">
        <v>28768</v>
      </c>
      <c r="Q6579" t="s">
        <v>28769</v>
      </c>
      <c r="Y6579" t="s">
        <v>246</v>
      </c>
    </row>
    <row r="6580" spans="1:25" x14ac:dyDescent="0.25">
      <c r="A6580" t="str">
        <f>"39741963680"</f>
        <v>39741963680</v>
      </c>
      <c r="B6580" t="s">
        <v>379</v>
      </c>
      <c r="C6580" t="s">
        <v>766</v>
      </c>
      <c r="D6580" t="s">
        <v>24391</v>
      </c>
      <c r="E6580">
        <v>424003</v>
      </c>
      <c r="F6580" t="s">
        <v>1</v>
      </c>
      <c r="G6580" t="s">
        <v>2</v>
      </c>
      <c r="H6580" t="s">
        <v>7888</v>
      </c>
      <c r="I6580" t="s">
        <v>24392</v>
      </c>
      <c r="P6580" t="s">
        <v>2738</v>
      </c>
      <c r="Q6580" t="s">
        <v>24395</v>
      </c>
      <c r="R6580" t="s">
        <v>28770</v>
      </c>
      <c r="V6580" t="s">
        <v>28771</v>
      </c>
      <c r="Y6580" t="s">
        <v>28772</v>
      </c>
    </row>
    <row r="6581" spans="1:25" x14ac:dyDescent="0.25">
      <c r="A6581" t="str">
        <f>"39774027308"</f>
        <v>39774027308</v>
      </c>
      <c r="B6581" t="s">
        <v>1046</v>
      </c>
      <c r="C6581" t="s">
        <v>22946</v>
      </c>
      <c r="D6581" t="s">
        <v>22946</v>
      </c>
      <c r="F6581" t="s">
        <v>1</v>
      </c>
      <c r="G6581" t="s">
        <v>2</v>
      </c>
      <c r="H6581" t="s">
        <v>28773</v>
      </c>
      <c r="Y6581" t="s">
        <v>28774</v>
      </c>
    </row>
    <row r="6582" spans="1:25" x14ac:dyDescent="0.25">
      <c r="A6582" t="str">
        <f>"39799172763"</f>
        <v>39799172763</v>
      </c>
      <c r="B6582" t="s">
        <v>1343</v>
      </c>
      <c r="C6582" t="s">
        <v>5308</v>
      </c>
      <c r="D6582" t="s">
        <v>28775</v>
      </c>
      <c r="E6582">
        <v>424019</v>
      </c>
      <c r="F6582" t="s">
        <v>1</v>
      </c>
      <c r="G6582" t="s">
        <v>2</v>
      </c>
      <c r="H6582" t="s">
        <v>28776</v>
      </c>
      <c r="J6582" t="s">
        <v>28777</v>
      </c>
      <c r="P6582" t="s">
        <v>28778</v>
      </c>
      <c r="Y6582" t="s">
        <v>28779</v>
      </c>
    </row>
    <row r="6583" spans="1:25" x14ac:dyDescent="0.25">
      <c r="A6583" t="str">
        <f>"39816515403"</f>
        <v>39816515403</v>
      </c>
      <c r="B6583" t="s">
        <v>1544</v>
      </c>
      <c r="C6583" t="s">
        <v>15598</v>
      </c>
      <c r="D6583" t="s">
        <v>28780</v>
      </c>
      <c r="E6583">
        <v>424038</v>
      </c>
      <c r="F6583" t="s">
        <v>1</v>
      </c>
      <c r="G6583" t="s">
        <v>2</v>
      </c>
      <c r="H6583" t="s">
        <v>546</v>
      </c>
      <c r="Y6583" t="s">
        <v>549</v>
      </c>
    </row>
    <row r="6584" spans="1:25" x14ac:dyDescent="0.25">
      <c r="A6584" t="str">
        <f>"39833401260"</f>
        <v>39833401260</v>
      </c>
      <c r="B6584" t="s">
        <v>32</v>
      </c>
      <c r="C6584" t="s">
        <v>4125</v>
      </c>
      <c r="D6584" t="s">
        <v>28781</v>
      </c>
      <c r="E6584">
        <v>424000</v>
      </c>
      <c r="F6584" t="s">
        <v>1</v>
      </c>
      <c r="G6584" t="s">
        <v>2</v>
      </c>
      <c r="H6584" t="s">
        <v>4427</v>
      </c>
      <c r="I6584" t="s">
        <v>28782</v>
      </c>
      <c r="P6584" t="s">
        <v>144</v>
      </c>
      <c r="Y6584" t="s">
        <v>28783</v>
      </c>
    </row>
    <row r="6585" spans="1:25" x14ac:dyDescent="0.25">
      <c r="A6585" t="str">
        <f>"39843323550"</f>
        <v>39843323550</v>
      </c>
      <c r="B6585" t="s">
        <v>716</v>
      </c>
      <c r="C6585" t="s">
        <v>717</v>
      </c>
      <c r="D6585" t="s">
        <v>756</v>
      </c>
      <c r="F6585" t="s">
        <v>1</v>
      </c>
      <c r="G6585" t="s">
        <v>2</v>
      </c>
      <c r="H6585" t="s">
        <v>1359</v>
      </c>
      <c r="I6585" t="s">
        <v>28784</v>
      </c>
      <c r="P6585" t="s">
        <v>330</v>
      </c>
      <c r="Y6585" t="s">
        <v>1364</v>
      </c>
    </row>
    <row r="6586" spans="1:25" x14ac:dyDescent="0.25">
      <c r="A6586" t="str">
        <f>"39847334177"</f>
        <v>39847334177</v>
      </c>
      <c r="B6586" t="s">
        <v>1611</v>
      </c>
      <c r="C6586" t="s">
        <v>3218</v>
      </c>
      <c r="D6586" t="s">
        <v>28785</v>
      </c>
      <c r="E6586">
        <v>424037</v>
      </c>
      <c r="F6586" t="s">
        <v>1</v>
      </c>
      <c r="G6586" t="s">
        <v>2</v>
      </c>
      <c r="H6586" t="s">
        <v>15407</v>
      </c>
      <c r="I6586" t="s">
        <v>28786</v>
      </c>
      <c r="L6586" t="s">
        <v>3217</v>
      </c>
      <c r="P6586" t="s">
        <v>330</v>
      </c>
      <c r="Y6586" t="s">
        <v>4724</v>
      </c>
    </row>
    <row r="6587" spans="1:25" x14ac:dyDescent="0.25">
      <c r="A6587" t="str">
        <f>"39854782690"</f>
        <v>39854782690</v>
      </c>
      <c r="B6587" t="s">
        <v>1053</v>
      </c>
      <c r="C6587" t="s">
        <v>28789</v>
      </c>
      <c r="D6587" t="s">
        <v>28787</v>
      </c>
      <c r="E6587">
        <v>424002</v>
      </c>
      <c r="F6587" t="s">
        <v>1</v>
      </c>
      <c r="G6587" t="s">
        <v>2</v>
      </c>
      <c r="H6587" t="s">
        <v>6502</v>
      </c>
      <c r="I6587" t="s">
        <v>28788</v>
      </c>
      <c r="P6587" t="s">
        <v>1160</v>
      </c>
      <c r="Y6587" t="s">
        <v>28790</v>
      </c>
    </row>
    <row r="6588" spans="1:25" x14ac:dyDescent="0.25">
      <c r="A6588" t="str">
        <f>"39861467033"</f>
        <v>39861467033</v>
      </c>
      <c r="B6588" t="s">
        <v>930</v>
      </c>
      <c r="C6588" t="s">
        <v>28791</v>
      </c>
      <c r="D6588" t="s">
        <v>927</v>
      </c>
      <c r="F6588" t="s">
        <v>1</v>
      </c>
      <c r="G6588" t="s">
        <v>2</v>
      </c>
      <c r="H6588" t="s">
        <v>25642</v>
      </c>
      <c r="Y6588" t="s">
        <v>28792</v>
      </c>
    </row>
    <row r="6589" spans="1:25" x14ac:dyDescent="0.25">
      <c r="A6589" t="str">
        <f>"39895653304"</f>
        <v>39895653304</v>
      </c>
      <c r="B6589" t="s">
        <v>18</v>
      </c>
      <c r="C6589" t="s">
        <v>28195</v>
      </c>
      <c r="D6589" t="s">
        <v>28195</v>
      </c>
      <c r="E6589">
        <v>424000</v>
      </c>
      <c r="F6589" t="s">
        <v>1</v>
      </c>
      <c r="G6589" t="s">
        <v>2</v>
      </c>
      <c r="H6589" t="s">
        <v>5754</v>
      </c>
      <c r="P6589" t="s">
        <v>3456</v>
      </c>
      <c r="Y6589" t="s">
        <v>1141</v>
      </c>
    </row>
    <row r="6590" spans="1:25" x14ac:dyDescent="0.25">
      <c r="A6590" t="str">
        <f>"39923721638"</f>
        <v>39923721638</v>
      </c>
      <c r="B6590" t="s">
        <v>738</v>
      </c>
      <c r="C6590" t="s">
        <v>739</v>
      </c>
      <c r="D6590" t="s">
        <v>8988</v>
      </c>
      <c r="F6590" t="s">
        <v>1</v>
      </c>
      <c r="G6590" t="s">
        <v>2</v>
      </c>
      <c r="H6590" t="s">
        <v>28793</v>
      </c>
      <c r="Y6590" t="s">
        <v>28794</v>
      </c>
    </row>
    <row r="6591" spans="1:25" x14ac:dyDescent="0.25">
      <c r="A6591" t="str">
        <f>"39965402521"</f>
        <v>39965402521</v>
      </c>
      <c r="B6591" t="s">
        <v>188</v>
      </c>
      <c r="C6591" t="s">
        <v>24568</v>
      </c>
      <c r="D6591" t="s">
        <v>24568</v>
      </c>
      <c r="E6591">
        <v>424003</v>
      </c>
      <c r="F6591" t="s">
        <v>1</v>
      </c>
      <c r="G6591" t="s">
        <v>2</v>
      </c>
      <c r="H6591" t="s">
        <v>1725</v>
      </c>
      <c r="Y6591" t="s">
        <v>28795</v>
      </c>
    </row>
    <row r="6592" spans="1:25" x14ac:dyDescent="0.25">
      <c r="A6592" t="str">
        <f>"40024129153"</f>
        <v>40024129153</v>
      </c>
      <c r="B6592" t="s">
        <v>3008</v>
      </c>
      <c r="C6592" t="s">
        <v>28798</v>
      </c>
      <c r="D6592" t="s">
        <v>28796</v>
      </c>
      <c r="E6592">
        <v>424007</v>
      </c>
      <c r="F6592" t="s">
        <v>1</v>
      </c>
      <c r="G6592" t="s">
        <v>2</v>
      </c>
      <c r="H6592" t="s">
        <v>3243</v>
      </c>
      <c r="I6592" t="s">
        <v>28797</v>
      </c>
      <c r="P6592" t="s">
        <v>5459</v>
      </c>
      <c r="Y6592" t="s">
        <v>3249</v>
      </c>
    </row>
    <row r="6593" spans="1:25" x14ac:dyDescent="0.25">
      <c r="A6593" t="str">
        <f>"40102220561"</f>
        <v>40102220561</v>
      </c>
      <c r="B6593" t="s">
        <v>18</v>
      </c>
      <c r="C6593" t="s">
        <v>4522</v>
      </c>
      <c r="D6593" t="s">
        <v>13302</v>
      </c>
      <c r="F6593" t="s">
        <v>1</v>
      </c>
      <c r="G6593" t="s">
        <v>2</v>
      </c>
      <c r="H6593" t="s">
        <v>16051</v>
      </c>
      <c r="Y6593" t="s">
        <v>28799</v>
      </c>
    </row>
    <row r="6594" spans="1:25" x14ac:dyDescent="0.25">
      <c r="A6594" t="str">
        <f>"40142897040"</f>
        <v>40142897040</v>
      </c>
      <c r="B6594" t="s">
        <v>530</v>
      </c>
      <c r="C6594" t="s">
        <v>10576</v>
      </c>
      <c r="D6594" t="s">
        <v>28800</v>
      </c>
      <c r="E6594">
        <v>424031</v>
      </c>
      <c r="F6594" t="s">
        <v>1</v>
      </c>
      <c r="G6594" t="s">
        <v>2</v>
      </c>
      <c r="H6594" t="s">
        <v>239</v>
      </c>
      <c r="I6594" t="s">
        <v>28801</v>
      </c>
      <c r="L6594" t="s">
        <v>15713</v>
      </c>
      <c r="M6594" t="s">
        <v>15714</v>
      </c>
      <c r="P6594" t="s">
        <v>1638</v>
      </c>
      <c r="Y6594" t="s">
        <v>28802</v>
      </c>
    </row>
    <row r="6595" spans="1:25" x14ac:dyDescent="0.25">
      <c r="A6595" t="str">
        <f>"40167005394"</f>
        <v>40167005394</v>
      </c>
      <c r="B6595" t="s">
        <v>738</v>
      </c>
      <c r="C6595" t="s">
        <v>739</v>
      </c>
      <c r="D6595" t="s">
        <v>28803</v>
      </c>
      <c r="E6595">
        <v>424005</v>
      </c>
      <c r="F6595" t="s">
        <v>1</v>
      </c>
      <c r="G6595" t="s">
        <v>2</v>
      </c>
      <c r="H6595" t="s">
        <v>17184</v>
      </c>
      <c r="J6595" t="s">
        <v>28804</v>
      </c>
      <c r="M6595" t="s">
        <v>28805</v>
      </c>
      <c r="P6595" t="s">
        <v>1027</v>
      </c>
      <c r="Y6595" t="s">
        <v>28806</v>
      </c>
    </row>
    <row r="6596" spans="1:25" x14ac:dyDescent="0.25">
      <c r="A6596" t="str">
        <f>"40182715830"</f>
        <v>40182715830</v>
      </c>
      <c r="B6596" t="s">
        <v>96</v>
      </c>
      <c r="C6596" t="s">
        <v>893</v>
      </c>
      <c r="D6596" t="s">
        <v>28807</v>
      </c>
      <c r="E6596">
        <v>424033</v>
      </c>
      <c r="F6596" t="s">
        <v>1</v>
      </c>
      <c r="G6596" t="s">
        <v>2</v>
      </c>
      <c r="H6596" t="s">
        <v>10720</v>
      </c>
      <c r="Y6596" t="s">
        <v>28808</v>
      </c>
    </row>
    <row r="6597" spans="1:25" x14ac:dyDescent="0.25">
      <c r="A6597" t="str">
        <f>"40184498728"</f>
        <v>40184498728</v>
      </c>
      <c r="B6597" t="s">
        <v>930</v>
      </c>
      <c r="C6597" t="s">
        <v>28814</v>
      </c>
      <c r="D6597" t="s">
        <v>28809</v>
      </c>
      <c r="F6597" t="s">
        <v>1</v>
      </c>
      <c r="G6597" t="s">
        <v>2</v>
      </c>
      <c r="H6597" t="s">
        <v>684</v>
      </c>
      <c r="I6597" t="s">
        <v>28810</v>
      </c>
      <c r="J6597" t="s">
        <v>28811</v>
      </c>
      <c r="L6597" t="s">
        <v>28812</v>
      </c>
      <c r="M6597" t="s">
        <v>28813</v>
      </c>
      <c r="P6597" t="s">
        <v>799</v>
      </c>
      <c r="Y6597" t="s">
        <v>690</v>
      </c>
    </row>
    <row r="6598" spans="1:25" x14ac:dyDescent="0.25">
      <c r="A6598" t="str">
        <f>"40193810963"</f>
        <v>40193810963</v>
      </c>
      <c r="B6598" t="s">
        <v>456</v>
      </c>
      <c r="C6598" t="s">
        <v>24964</v>
      </c>
      <c r="D6598" t="s">
        <v>28815</v>
      </c>
      <c r="E6598">
        <v>424033</v>
      </c>
      <c r="F6598" t="s">
        <v>1</v>
      </c>
      <c r="G6598" t="s">
        <v>2</v>
      </c>
      <c r="H6598" t="s">
        <v>28816</v>
      </c>
      <c r="Y6598" t="s">
        <v>9977</v>
      </c>
    </row>
    <row r="6599" spans="1:25" x14ac:dyDescent="0.25">
      <c r="A6599" t="str">
        <f>"40207693973"</f>
        <v>40207693973</v>
      </c>
      <c r="B6599" t="s">
        <v>1299</v>
      </c>
      <c r="C6599" t="s">
        <v>1504</v>
      </c>
      <c r="D6599" t="s">
        <v>3297</v>
      </c>
      <c r="E6599">
        <v>424006</v>
      </c>
      <c r="F6599" t="s">
        <v>1</v>
      </c>
      <c r="G6599" t="s">
        <v>2</v>
      </c>
      <c r="H6599" t="s">
        <v>8622</v>
      </c>
      <c r="I6599" t="s">
        <v>28817</v>
      </c>
      <c r="J6599" t="s">
        <v>28818</v>
      </c>
      <c r="K6599" t="s">
        <v>28819</v>
      </c>
      <c r="P6599" t="s">
        <v>260</v>
      </c>
      <c r="Y6599" t="s">
        <v>8866</v>
      </c>
    </row>
    <row r="6600" spans="1:25" x14ac:dyDescent="0.25">
      <c r="A6600" t="str">
        <f>"40213523644"</f>
        <v>40213523644</v>
      </c>
      <c r="B6600" t="s">
        <v>408</v>
      </c>
      <c r="C6600" t="s">
        <v>25792</v>
      </c>
      <c r="D6600" t="s">
        <v>25790</v>
      </c>
      <c r="E6600">
        <v>424030</v>
      </c>
      <c r="F6600" t="s">
        <v>1</v>
      </c>
      <c r="G6600" t="s">
        <v>2</v>
      </c>
      <c r="H6600" t="s">
        <v>28820</v>
      </c>
      <c r="Y6600" t="s">
        <v>28821</v>
      </c>
    </row>
    <row r="6601" spans="1:25" x14ac:dyDescent="0.25">
      <c r="A6601" t="str">
        <f>"40234885132"</f>
        <v>40234885132</v>
      </c>
      <c r="B6601" t="s">
        <v>1544</v>
      </c>
      <c r="C6601" t="s">
        <v>7974</v>
      </c>
      <c r="D6601" t="s">
        <v>28822</v>
      </c>
      <c r="E6601">
        <v>424002</v>
      </c>
      <c r="F6601" t="s">
        <v>1</v>
      </c>
      <c r="G6601" t="s">
        <v>2</v>
      </c>
      <c r="H6601" t="s">
        <v>28823</v>
      </c>
      <c r="Y6601" t="s">
        <v>25324</v>
      </c>
    </row>
    <row r="6602" spans="1:25" x14ac:dyDescent="0.25">
      <c r="A6602" t="str">
        <f>"40237266203"</f>
        <v>40237266203</v>
      </c>
      <c r="B6602" t="s">
        <v>5745</v>
      </c>
      <c r="C6602" t="s">
        <v>5746</v>
      </c>
      <c r="D6602" t="s">
        <v>28824</v>
      </c>
      <c r="E6602">
        <v>424004</v>
      </c>
      <c r="F6602" t="s">
        <v>1</v>
      </c>
      <c r="G6602" t="s">
        <v>2</v>
      </c>
      <c r="H6602" t="s">
        <v>5226</v>
      </c>
      <c r="P6602" t="s">
        <v>27</v>
      </c>
      <c r="Y6602" t="s">
        <v>28825</v>
      </c>
    </row>
    <row r="6603" spans="1:25" x14ac:dyDescent="0.25">
      <c r="A6603" t="str">
        <f>"40251887747"</f>
        <v>40251887747</v>
      </c>
      <c r="B6603" t="s">
        <v>574</v>
      </c>
      <c r="C6603" t="s">
        <v>952</v>
      </c>
      <c r="D6603" t="s">
        <v>28826</v>
      </c>
      <c r="E6603">
        <v>424032</v>
      </c>
      <c r="F6603" t="s">
        <v>1</v>
      </c>
      <c r="G6603" t="s">
        <v>2</v>
      </c>
      <c r="H6603" t="s">
        <v>2250</v>
      </c>
      <c r="I6603" t="s">
        <v>28827</v>
      </c>
      <c r="P6603" t="s">
        <v>28828</v>
      </c>
      <c r="Y6603" t="s">
        <v>28829</v>
      </c>
    </row>
    <row r="6604" spans="1:25" x14ac:dyDescent="0.25">
      <c r="A6604" t="str">
        <f>"40287825148"</f>
        <v>40287825148</v>
      </c>
      <c r="B6604" t="s">
        <v>123</v>
      </c>
      <c r="C6604" t="s">
        <v>424</v>
      </c>
      <c r="D6604" t="s">
        <v>28830</v>
      </c>
      <c r="E6604">
        <v>424007</v>
      </c>
      <c r="F6604" t="s">
        <v>1</v>
      </c>
      <c r="G6604" t="s">
        <v>2</v>
      </c>
      <c r="H6604" t="s">
        <v>17867</v>
      </c>
      <c r="Y6604" t="s">
        <v>28831</v>
      </c>
    </row>
    <row r="6605" spans="1:25" x14ac:dyDescent="0.25">
      <c r="A6605" t="str">
        <f>"40312657290"</f>
        <v>40312657290</v>
      </c>
      <c r="B6605" t="s">
        <v>574</v>
      </c>
      <c r="C6605" t="s">
        <v>646</v>
      </c>
      <c r="D6605" t="s">
        <v>3057</v>
      </c>
      <c r="E6605">
        <v>424004</v>
      </c>
      <c r="F6605" t="s">
        <v>1</v>
      </c>
      <c r="G6605" t="s">
        <v>2</v>
      </c>
      <c r="H6605" t="s">
        <v>351</v>
      </c>
      <c r="Y6605" t="s">
        <v>354</v>
      </c>
    </row>
    <row r="6606" spans="1:25" x14ac:dyDescent="0.25">
      <c r="A6606" t="str">
        <f>"40345620020"</f>
        <v>40345620020</v>
      </c>
      <c r="B6606" t="s">
        <v>1152</v>
      </c>
      <c r="C6606" t="s">
        <v>1153</v>
      </c>
      <c r="D6606" t="s">
        <v>10280</v>
      </c>
      <c r="E6606">
        <v>424028</v>
      </c>
      <c r="F6606" t="s">
        <v>1</v>
      </c>
      <c r="G6606" t="s">
        <v>2</v>
      </c>
      <c r="H6606" t="s">
        <v>5034</v>
      </c>
      <c r="I6606" t="s">
        <v>21921</v>
      </c>
      <c r="M6606" t="s">
        <v>10284</v>
      </c>
      <c r="Y6606" t="s">
        <v>28832</v>
      </c>
    </row>
    <row r="6607" spans="1:25" x14ac:dyDescent="0.25">
      <c r="A6607" t="str">
        <f>"40350518037"</f>
        <v>40350518037</v>
      </c>
      <c r="B6607" t="s">
        <v>2601</v>
      </c>
      <c r="C6607" t="s">
        <v>26383</v>
      </c>
      <c r="D6607" t="s">
        <v>28833</v>
      </c>
      <c r="E6607">
        <v>424036</v>
      </c>
      <c r="F6607" t="s">
        <v>1</v>
      </c>
      <c r="G6607" t="s">
        <v>2</v>
      </c>
      <c r="H6607" t="s">
        <v>2291</v>
      </c>
      <c r="J6607" t="s">
        <v>28834</v>
      </c>
      <c r="L6607" t="s">
        <v>28835</v>
      </c>
      <c r="Y6607" t="s">
        <v>2872</v>
      </c>
    </row>
    <row r="6608" spans="1:25" x14ac:dyDescent="0.25">
      <c r="A6608" t="str">
        <f>"40364148095"</f>
        <v>40364148095</v>
      </c>
      <c r="B6608" t="s">
        <v>2790</v>
      </c>
      <c r="C6608" t="s">
        <v>3528</v>
      </c>
      <c r="D6608" t="s">
        <v>28836</v>
      </c>
      <c r="E6608">
        <v>424019</v>
      </c>
      <c r="F6608" t="s">
        <v>1</v>
      </c>
      <c r="G6608" t="s">
        <v>2</v>
      </c>
      <c r="H6608" t="s">
        <v>7643</v>
      </c>
      <c r="Y6608" t="s">
        <v>28837</v>
      </c>
    </row>
    <row r="6609" spans="1:25" x14ac:dyDescent="0.25">
      <c r="A6609" t="str">
        <f>"40413622568"</f>
        <v>40413622568</v>
      </c>
      <c r="B6609" t="s">
        <v>96</v>
      </c>
      <c r="C6609" t="s">
        <v>28839</v>
      </c>
      <c r="D6609" t="s">
        <v>28838</v>
      </c>
      <c r="E6609">
        <v>424000</v>
      </c>
      <c r="F6609" t="s">
        <v>1</v>
      </c>
      <c r="G6609" t="s">
        <v>2</v>
      </c>
      <c r="H6609" t="s">
        <v>92</v>
      </c>
      <c r="Y6609" t="s">
        <v>28397</v>
      </c>
    </row>
    <row r="6610" spans="1:25" x14ac:dyDescent="0.25">
      <c r="A6610" t="str">
        <f>"40421622905"</f>
        <v>40421622905</v>
      </c>
      <c r="B6610" t="s">
        <v>1315</v>
      </c>
      <c r="C6610" t="s">
        <v>4274</v>
      </c>
      <c r="D6610" t="s">
        <v>28840</v>
      </c>
      <c r="E6610">
        <v>424016</v>
      </c>
      <c r="F6610" t="s">
        <v>1</v>
      </c>
      <c r="G6610" t="s">
        <v>2</v>
      </c>
      <c r="H6610" t="s">
        <v>12014</v>
      </c>
      <c r="I6610" t="s">
        <v>28841</v>
      </c>
      <c r="J6610" t="s">
        <v>28842</v>
      </c>
      <c r="L6610" t="s">
        <v>28843</v>
      </c>
      <c r="M6610" t="s">
        <v>28844</v>
      </c>
      <c r="P6610" t="s">
        <v>15914</v>
      </c>
      <c r="T6610" t="s">
        <v>28845</v>
      </c>
      <c r="V6610" t="s">
        <v>28846</v>
      </c>
      <c r="Y6610" t="s">
        <v>28847</v>
      </c>
    </row>
    <row r="6611" spans="1:25" x14ac:dyDescent="0.25">
      <c r="A6611" t="str">
        <f>"40423804813"</f>
        <v>40423804813</v>
      </c>
      <c r="B6611" t="s">
        <v>25</v>
      </c>
      <c r="C6611" t="s">
        <v>20320</v>
      </c>
      <c r="D6611" t="s">
        <v>28848</v>
      </c>
      <c r="E6611">
        <v>424000</v>
      </c>
      <c r="F6611" t="s">
        <v>1</v>
      </c>
      <c r="G6611" t="s">
        <v>2</v>
      </c>
      <c r="H6611" t="s">
        <v>3483</v>
      </c>
      <c r="Y6611" t="s">
        <v>28849</v>
      </c>
    </row>
    <row r="6612" spans="1:25" x14ac:dyDescent="0.25">
      <c r="A6612" t="str">
        <f>"40443938804"</f>
        <v>40443938804</v>
      </c>
      <c r="B6612" t="s">
        <v>123</v>
      </c>
      <c r="C6612" t="s">
        <v>124</v>
      </c>
      <c r="D6612" t="s">
        <v>28850</v>
      </c>
      <c r="E6612">
        <v>424028</v>
      </c>
      <c r="F6612" t="s">
        <v>1</v>
      </c>
      <c r="G6612" t="s">
        <v>2</v>
      </c>
      <c r="H6612" t="s">
        <v>589</v>
      </c>
      <c r="J6612" t="s">
        <v>28851</v>
      </c>
      <c r="P6612" t="s">
        <v>12743</v>
      </c>
      <c r="Q6612" t="s">
        <v>28852</v>
      </c>
      <c r="Y6612" t="s">
        <v>28853</v>
      </c>
    </row>
    <row r="6613" spans="1:25" x14ac:dyDescent="0.25">
      <c r="A6613" t="str">
        <f>"40459186957"</f>
        <v>40459186957</v>
      </c>
      <c r="B6613" t="s">
        <v>348</v>
      </c>
      <c r="C6613" t="s">
        <v>28855</v>
      </c>
      <c r="D6613" t="s">
        <v>28854</v>
      </c>
      <c r="F6613" t="s">
        <v>1</v>
      </c>
      <c r="G6613" t="s">
        <v>2</v>
      </c>
      <c r="H6613" t="s">
        <v>26558</v>
      </c>
      <c r="Y6613" t="s">
        <v>28856</v>
      </c>
    </row>
    <row r="6614" spans="1:25" x14ac:dyDescent="0.25">
      <c r="A6614" t="str">
        <f>"40505476026"</f>
        <v>40505476026</v>
      </c>
      <c r="B6614" t="s">
        <v>160</v>
      </c>
      <c r="C6614" t="s">
        <v>28860</v>
      </c>
      <c r="D6614" t="s">
        <v>28857</v>
      </c>
      <c r="E6614">
        <v>424006</v>
      </c>
      <c r="F6614" t="s">
        <v>1</v>
      </c>
      <c r="G6614" t="s">
        <v>2</v>
      </c>
      <c r="H6614" t="s">
        <v>4821</v>
      </c>
      <c r="I6614" t="s">
        <v>28858</v>
      </c>
      <c r="J6614" t="s">
        <v>28859</v>
      </c>
      <c r="P6614" t="s">
        <v>27</v>
      </c>
      <c r="Y6614" t="s">
        <v>4825</v>
      </c>
    </row>
    <row r="6615" spans="1:25" x14ac:dyDescent="0.25">
      <c r="A6615" t="str">
        <f>"40526436277"</f>
        <v>40526436277</v>
      </c>
      <c r="B6615" t="s">
        <v>290</v>
      </c>
      <c r="C6615" t="s">
        <v>23328</v>
      </c>
      <c r="D6615" t="s">
        <v>28861</v>
      </c>
      <c r="E6615">
        <v>424000</v>
      </c>
      <c r="F6615" t="s">
        <v>1</v>
      </c>
      <c r="G6615" t="s">
        <v>2</v>
      </c>
      <c r="H6615" t="s">
        <v>1531</v>
      </c>
      <c r="Y6615" t="s">
        <v>28862</v>
      </c>
    </row>
    <row r="6616" spans="1:25" x14ac:dyDescent="0.25">
      <c r="A6616" t="str">
        <f>"40540077045"</f>
        <v>40540077045</v>
      </c>
      <c r="B6616" t="s">
        <v>519</v>
      </c>
      <c r="C6616" t="s">
        <v>28865</v>
      </c>
      <c r="D6616" t="s">
        <v>28863</v>
      </c>
      <c r="E6616">
        <v>424040</v>
      </c>
      <c r="F6616" t="s">
        <v>1</v>
      </c>
      <c r="G6616" t="s">
        <v>2</v>
      </c>
      <c r="H6616" t="s">
        <v>7989</v>
      </c>
      <c r="J6616" t="s">
        <v>28864</v>
      </c>
      <c r="P6616" t="s">
        <v>28866</v>
      </c>
      <c r="Y6616" t="s">
        <v>28867</v>
      </c>
    </row>
    <row r="6617" spans="1:25" x14ac:dyDescent="0.25">
      <c r="A6617" t="str">
        <f>"40549110434"</f>
        <v>40549110434</v>
      </c>
      <c r="B6617" t="s">
        <v>176</v>
      </c>
      <c r="C6617" t="s">
        <v>566</v>
      </c>
      <c r="D6617" t="s">
        <v>28868</v>
      </c>
      <c r="E6617">
        <v>424004</v>
      </c>
      <c r="F6617" t="s">
        <v>1</v>
      </c>
      <c r="G6617" t="s">
        <v>2</v>
      </c>
      <c r="H6617" t="s">
        <v>28869</v>
      </c>
      <c r="I6617" t="s">
        <v>28870</v>
      </c>
      <c r="P6617" t="s">
        <v>330</v>
      </c>
      <c r="Y6617" t="s">
        <v>28871</v>
      </c>
    </row>
    <row r="6618" spans="1:25" x14ac:dyDescent="0.25">
      <c r="A6618" t="str">
        <f>"40556074092"</f>
        <v>40556074092</v>
      </c>
      <c r="B6618" t="s">
        <v>8011</v>
      </c>
      <c r="C6618" t="s">
        <v>28874</v>
      </c>
      <c r="D6618" t="s">
        <v>28872</v>
      </c>
      <c r="F6618" t="s">
        <v>1</v>
      </c>
      <c r="G6618" t="s">
        <v>2</v>
      </c>
      <c r="H6618" t="s">
        <v>1221</v>
      </c>
      <c r="I6618" t="s">
        <v>28873</v>
      </c>
      <c r="J6618" t="s">
        <v>10952</v>
      </c>
      <c r="P6618" t="s">
        <v>3690</v>
      </c>
      <c r="Y6618" t="s">
        <v>28875</v>
      </c>
    </row>
    <row r="6619" spans="1:25" x14ac:dyDescent="0.25">
      <c r="A6619" t="str">
        <f>"40565032757"</f>
        <v>40565032757</v>
      </c>
      <c r="B6619" t="s">
        <v>151</v>
      </c>
      <c r="C6619" t="s">
        <v>151</v>
      </c>
      <c r="D6619" t="s">
        <v>28876</v>
      </c>
      <c r="E6619">
        <v>424004</v>
      </c>
      <c r="F6619" t="s">
        <v>1</v>
      </c>
      <c r="G6619" t="s">
        <v>2</v>
      </c>
      <c r="H6619" t="s">
        <v>351</v>
      </c>
      <c r="J6619" t="s">
        <v>28877</v>
      </c>
      <c r="P6619" t="s">
        <v>869</v>
      </c>
      <c r="Y6619" t="s">
        <v>354</v>
      </c>
    </row>
    <row r="6620" spans="1:25" x14ac:dyDescent="0.25">
      <c r="A6620" t="str">
        <f>"40613013244"</f>
        <v>40613013244</v>
      </c>
      <c r="B6620" t="s">
        <v>32</v>
      </c>
      <c r="C6620" t="s">
        <v>182</v>
      </c>
      <c r="D6620" t="s">
        <v>28878</v>
      </c>
      <c r="E6620">
        <v>424019</v>
      </c>
      <c r="F6620" t="s">
        <v>1</v>
      </c>
      <c r="G6620" t="s">
        <v>2</v>
      </c>
      <c r="H6620" t="s">
        <v>19290</v>
      </c>
      <c r="Q6620" t="s">
        <v>28879</v>
      </c>
      <c r="Y6620" t="s">
        <v>28880</v>
      </c>
    </row>
    <row r="6621" spans="1:25" x14ac:dyDescent="0.25">
      <c r="A6621" t="str">
        <f>"40713583432"</f>
        <v>40713583432</v>
      </c>
      <c r="B6621" t="s">
        <v>2104</v>
      </c>
      <c r="C6621" t="s">
        <v>2105</v>
      </c>
      <c r="D6621" t="s">
        <v>24033</v>
      </c>
      <c r="F6621" t="s">
        <v>1</v>
      </c>
      <c r="G6621" t="s">
        <v>2</v>
      </c>
      <c r="H6621" t="s">
        <v>5350</v>
      </c>
      <c r="P6621" t="s">
        <v>1642</v>
      </c>
      <c r="Y6621" t="s">
        <v>28881</v>
      </c>
    </row>
    <row r="6622" spans="1:25" x14ac:dyDescent="0.25">
      <c r="A6622" t="str">
        <f>"40753482160"</f>
        <v>40753482160</v>
      </c>
      <c r="B6622" t="s">
        <v>348</v>
      </c>
      <c r="C6622" t="s">
        <v>28885</v>
      </c>
      <c r="D6622" t="s">
        <v>28882</v>
      </c>
      <c r="F6622" t="s">
        <v>1</v>
      </c>
      <c r="G6622" t="s">
        <v>2</v>
      </c>
      <c r="H6622" t="s">
        <v>28883</v>
      </c>
      <c r="J6622" t="s">
        <v>28884</v>
      </c>
      <c r="P6622" t="s">
        <v>2951</v>
      </c>
      <c r="Q6622" t="s">
        <v>28886</v>
      </c>
      <c r="V6622" t="s">
        <v>28887</v>
      </c>
      <c r="Y6622" t="s">
        <v>24699</v>
      </c>
    </row>
    <row r="6623" spans="1:25" x14ac:dyDescent="0.25">
      <c r="A6623" t="str">
        <f>"40765794535"</f>
        <v>40765794535</v>
      </c>
      <c r="B6623" t="s">
        <v>530</v>
      </c>
      <c r="C6623" t="s">
        <v>23950</v>
      </c>
      <c r="D6623" t="s">
        <v>23950</v>
      </c>
      <c r="F6623" t="s">
        <v>1</v>
      </c>
      <c r="G6623" t="s">
        <v>2</v>
      </c>
      <c r="H6623" t="s">
        <v>27019</v>
      </c>
      <c r="Y6623" t="s">
        <v>28888</v>
      </c>
    </row>
    <row r="6624" spans="1:25" x14ac:dyDescent="0.25">
      <c r="A6624" t="str">
        <f>"40797646780"</f>
        <v>40797646780</v>
      </c>
      <c r="B6624" t="s">
        <v>123</v>
      </c>
      <c r="C6624" t="s">
        <v>10249</v>
      </c>
      <c r="D6624" t="s">
        <v>28889</v>
      </c>
      <c r="E6624">
        <v>424038</v>
      </c>
      <c r="F6624" t="s">
        <v>1</v>
      </c>
      <c r="G6624" t="s">
        <v>2</v>
      </c>
      <c r="H6624" t="s">
        <v>1366</v>
      </c>
      <c r="Y6624" t="s">
        <v>7381</v>
      </c>
    </row>
    <row r="6625" spans="1:25" x14ac:dyDescent="0.25">
      <c r="A6625" t="str">
        <f>"40822562792"</f>
        <v>40822562792</v>
      </c>
      <c r="B6625" t="s">
        <v>1046</v>
      </c>
      <c r="C6625" t="s">
        <v>27404</v>
      </c>
      <c r="D6625" t="s">
        <v>28890</v>
      </c>
      <c r="F6625" t="s">
        <v>1</v>
      </c>
      <c r="G6625" t="s">
        <v>2</v>
      </c>
      <c r="H6625" t="s">
        <v>27403</v>
      </c>
      <c r="Y6625" t="s">
        <v>28891</v>
      </c>
    </row>
    <row r="6626" spans="1:25" x14ac:dyDescent="0.25">
      <c r="A6626" t="str">
        <f>"40858535421"</f>
        <v>40858535421</v>
      </c>
      <c r="B6626" t="s">
        <v>96</v>
      </c>
      <c r="C6626" t="s">
        <v>26416</v>
      </c>
      <c r="D6626" t="s">
        <v>28892</v>
      </c>
      <c r="E6626">
        <v>424000</v>
      </c>
      <c r="F6626" t="s">
        <v>1</v>
      </c>
      <c r="G6626" t="s">
        <v>2</v>
      </c>
      <c r="H6626" t="s">
        <v>1473</v>
      </c>
      <c r="P6626" t="s">
        <v>941</v>
      </c>
      <c r="Y6626" t="s">
        <v>28893</v>
      </c>
    </row>
    <row r="6627" spans="1:25" x14ac:dyDescent="0.25">
      <c r="A6627" t="str">
        <f>"40862666270"</f>
        <v>40862666270</v>
      </c>
      <c r="B6627" t="s">
        <v>1152</v>
      </c>
      <c r="C6627" t="s">
        <v>1153</v>
      </c>
      <c r="D6627" t="s">
        <v>10280</v>
      </c>
      <c r="E6627">
        <v>424028</v>
      </c>
      <c r="F6627" t="s">
        <v>1</v>
      </c>
      <c r="G6627" t="s">
        <v>2</v>
      </c>
      <c r="H6627" t="s">
        <v>20877</v>
      </c>
      <c r="I6627" t="s">
        <v>22092</v>
      </c>
      <c r="M6627" t="s">
        <v>10284</v>
      </c>
      <c r="Q6627" t="s">
        <v>10286</v>
      </c>
      <c r="R6627" t="s">
        <v>10287</v>
      </c>
      <c r="S6627" t="s">
        <v>10288</v>
      </c>
      <c r="T6627" t="s">
        <v>10289</v>
      </c>
      <c r="U6627" t="s">
        <v>10290</v>
      </c>
      <c r="V6627" t="s">
        <v>10291</v>
      </c>
      <c r="Y6627" t="s">
        <v>28894</v>
      </c>
    </row>
    <row r="6628" spans="1:25" x14ac:dyDescent="0.25">
      <c r="A6628" t="str">
        <f>"40902054523"</f>
        <v>40902054523</v>
      </c>
      <c r="B6628" t="s">
        <v>18</v>
      </c>
      <c r="C6628" t="s">
        <v>12289</v>
      </c>
      <c r="D6628" t="s">
        <v>28895</v>
      </c>
      <c r="E6628">
        <v>424006</v>
      </c>
      <c r="F6628" t="s">
        <v>1</v>
      </c>
      <c r="G6628" t="s">
        <v>2</v>
      </c>
      <c r="H6628" t="s">
        <v>451</v>
      </c>
      <c r="Y6628" t="s">
        <v>28896</v>
      </c>
    </row>
    <row r="6629" spans="1:25" x14ac:dyDescent="0.25">
      <c r="A6629" t="str">
        <f>"40962547217"</f>
        <v>40962547217</v>
      </c>
      <c r="B6629" t="s">
        <v>456</v>
      </c>
      <c r="C6629" t="s">
        <v>2040</v>
      </c>
      <c r="D6629" t="s">
        <v>28897</v>
      </c>
      <c r="F6629" t="s">
        <v>1</v>
      </c>
      <c r="G6629" t="s">
        <v>2</v>
      </c>
      <c r="H6629" t="s">
        <v>23852</v>
      </c>
      <c r="J6629" t="s">
        <v>28898</v>
      </c>
      <c r="Y6629" t="s">
        <v>24833</v>
      </c>
    </row>
    <row r="6630" spans="1:25" x14ac:dyDescent="0.25">
      <c r="A6630" t="str">
        <f>"40966122068"</f>
        <v>40966122068</v>
      </c>
      <c r="B6630" t="s">
        <v>1475</v>
      </c>
      <c r="C6630" t="s">
        <v>28903</v>
      </c>
      <c r="D6630" t="s">
        <v>28899</v>
      </c>
      <c r="E6630">
        <v>424037</v>
      </c>
      <c r="F6630" t="s">
        <v>1</v>
      </c>
      <c r="G6630" t="s">
        <v>2</v>
      </c>
      <c r="H6630" t="s">
        <v>28900</v>
      </c>
      <c r="L6630" t="s">
        <v>28901</v>
      </c>
      <c r="M6630" t="s">
        <v>28902</v>
      </c>
      <c r="P6630" t="s">
        <v>60</v>
      </c>
      <c r="Q6630" t="s">
        <v>28904</v>
      </c>
      <c r="T6630" t="s">
        <v>28905</v>
      </c>
      <c r="V6630" t="s">
        <v>28906</v>
      </c>
      <c r="Y6630" t="s">
        <v>28907</v>
      </c>
    </row>
    <row r="6631" spans="1:25" x14ac:dyDescent="0.25">
      <c r="A6631" t="str">
        <f>"40967720958"</f>
        <v>40967720958</v>
      </c>
      <c r="B6631" t="s">
        <v>841</v>
      </c>
      <c r="C6631" t="s">
        <v>28908</v>
      </c>
      <c r="D6631" t="s">
        <v>21067</v>
      </c>
      <c r="E6631">
        <v>424031</v>
      </c>
      <c r="F6631" t="s">
        <v>1</v>
      </c>
      <c r="G6631" t="s">
        <v>2</v>
      </c>
      <c r="H6631" t="s">
        <v>3962</v>
      </c>
      <c r="P6631" t="s">
        <v>2050</v>
      </c>
      <c r="Y6631" t="s">
        <v>19108</v>
      </c>
    </row>
    <row r="6632" spans="1:25" x14ac:dyDescent="0.25">
      <c r="A6632" t="str">
        <f>"41061392249"</f>
        <v>41061392249</v>
      </c>
      <c r="B6632" t="s">
        <v>1611</v>
      </c>
      <c r="C6632" t="s">
        <v>3218</v>
      </c>
      <c r="D6632" t="s">
        <v>28909</v>
      </c>
      <c r="E6632">
        <v>424038</v>
      </c>
      <c r="F6632" t="s">
        <v>1</v>
      </c>
      <c r="G6632" t="s">
        <v>2</v>
      </c>
      <c r="H6632" t="s">
        <v>8063</v>
      </c>
      <c r="Y6632" t="s">
        <v>28910</v>
      </c>
    </row>
    <row r="6633" spans="1:25" x14ac:dyDescent="0.25">
      <c r="A6633" t="str">
        <f>"41129558364"</f>
        <v>41129558364</v>
      </c>
      <c r="B6633" t="s">
        <v>96</v>
      </c>
      <c r="C6633" t="s">
        <v>893</v>
      </c>
      <c r="D6633" t="s">
        <v>28911</v>
      </c>
      <c r="E6633">
        <v>424918</v>
      </c>
      <c r="F6633" t="s">
        <v>1</v>
      </c>
      <c r="G6633" t="s">
        <v>2</v>
      </c>
      <c r="H6633" t="s">
        <v>629</v>
      </c>
      <c r="P6633" t="s">
        <v>630</v>
      </c>
      <c r="Y6633" t="s">
        <v>28912</v>
      </c>
    </row>
    <row r="6634" spans="1:25" x14ac:dyDescent="0.25">
      <c r="A6634" t="str">
        <f>"41133087427"</f>
        <v>41133087427</v>
      </c>
      <c r="B6634" t="s">
        <v>1152</v>
      </c>
      <c r="C6634" t="s">
        <v>1152</v>
      </c>
      <c r="D6634" t="s">
        <v>28913</v>
      </c>
      <c r="E6634">
        <v>424007</v>
      </c>
      <c r="F6634" t="s">
        <v>1</v>
      </c>
      <c r="G6634" t="s">
        <v>2</v>
      </c>
      <c r="H6634" t="s">
        <v>4321</v>
      </c>
      <c r="J6634" t="s">
        <v>28914</v>
      </c>
      <c r="P6634" t="s">
        <v>799</v>
      </c>
      <c r="Y6634" t="s">
        <v>28915</v>
      </c>
    </row>
    <row r="6635" spans="1:25" x14ac:dyDescent="0.25">
      <c r="A6635" t="str">
        <f>"41176400190"</f>
        <v>41176400190</v>
      </c>
      <c r="B6635" t="s">
        <v>1758</v>
      </c>
      <c r="C6635" t="s">
        <v>8089</v>
      </c>
      <c r="D6635" t="s">
        <v>28916</v>
      </c>
      <c r="E6635">
        <v>424007</v>
      </c>
      <c r="F6635" t="s">
        <v>1</v>
      </c>
      <c r="G6635" t="s">
        <v>2</v>
      </c>
      <c r="H6635" t="s">
        <v>11607</v>
      </c>
      <c r="J6635" t="s">
        <v>28917</v>
      </c>
      <c r="Q6635" t="s">
        <v>28918</v>
      </c>
      <c r="Y6635" t="s">
        <v>12398</v>
      </c>
    </row>
    <row r="6636" spans="1:25" x14ac:dyDescent="0.25">
      <c r="A6636" t="str">
        <f>"41185740859"</f>
        <v>41185740859</v>
      </c>
      <c r="B6636" t="s">
        <v>519</v>
      </c>
      <c r="C6636" t="s">
        <v>27829</v>
      </c>
      <c r="D6636" t="s">
        <v>27825</v>
      </c>
      <c r="E6636">
        <v>424006</v>
      </c>
      <c r="F6636" t="s">
        <v>1</v>
      </c>
      <c r="G6636" t="s">
        <v>2</v>
      </c>
      <c r="H6636" t="s">
        <v>4821</v>
      </c>
      <c r="J6636" t="s">
        <v>27826</v>
      </c>
      <c r="L6636" t="s">
        <v>27827</v>
      </c>
      <c r="M6636" t="s">
        <v>27828</v>
      </c>
      <c r="V6636" t="s">
        <v>27830</v>
      </c>
      <c r="Y6636" t="s">
        <v>4825</v>
      </c>
    </row>
    <row r="6637" spans="1:25" x14ac:dyDescent="0.25">
      <c r="A6637" t="str">
        <f>"41230659007"</f>
        <v>41230659007</v>
      </c>
      <c r="B6637" t="s">
        <v>1046</v>
      </c>
      <c r="C6637" t="s">
        <v>22946</v>
      </c>
      <c r="D6637" t="s">
        <v>22946</v>
      </c>
      <c r="E6637">
        <v>424003</v>
      </c>
      <c r="F6637" t="s">
        <v>1</v>
      </c>
      <c r="G6637" t="s">
        <v>2</v>
      </c>
      <c r="H6637" t="s">
        <v>2518</v>
      </c>
      <c r="Y6637" t="s">
        <v>28919</v>
      </c>
    </row>
    <row r="6638" spans="1:25" x14ac:dyDescent="0.25">
      <c r="A6638" t="str">
        <f>"41231762891"</f>
        <v>41231762891</v>
      </c>
      <c r="B6638" t="s">
        <v>1152</v>
      </c>
      <c r="C6638" t="s">
        <v>1159</v>
      </c>
      <c r="D6638" t="s">
        <v>28920</v>
      </c>
      <c r="E6638">
        <v>424019</v>
      </c>
      <c r="F6638" t="s">
        <v>1</v>
      </c>
      <c r="G6638" t="s">
        <v>2</v>
      </c>
      <c r="H6638" t="s">
        <v>14385</v>
      </c>
      <c r="I6638" t="s">
        <v>17007</v>
      </c>
      <c r="L6638" t="s">
        <v>28921</v>
      </c>
      <c r="M6638" t="s">
        <v>28922</v>
      </c>
      <c r="P6638" t="s">
        <v>28923</v>
      </c>
      <c r="T6638" t="s">
        <v>28924</v>
      </c>
      <c r="U6638" t="s">
        <v>28925</v>
      </c>
      <c r="Y6638" t="s">
        <v>28926</v>
      </c>
    </row>
    <row r="6639" spans="1:25" x14ac:dyDescent="0.25">
      <c r="A6639" t="str">
        <f>"41232905234"</f>
        <v>41232905234</v>
      </c>
      <c r="B6639" t="s">
        <v>1573</v>
      </c>
      <c r="C6639" t="s">
        <v>1753</v>
      </c>
      <c r="D6639" t="s">
        <v>28927</v>
      </c>
      <c r="E6639">
        <v>424019</v>
      </c>
      <c r="F6639" t="s">
        <v>1</v>
      </c>
      <c r="G6639" t="s">
        <v>2</v>
      </c>
      <c r="H6639" t="s">
        <v>666</v>
      </c>
      <c r="Y6639" t="s">
        <v>28928</v>
      </c>
    </row>
    <row r="6640" spans="1:25" x14ac:dyDescent="0.25">
      <c r="A6640" t="str">
        <f>"41360754322"</f>
        <v>41360754322</v>
      </c>
      <c r="B6640" t="s">
        <v>574</v>
      </c>
      <c r="C6640" t="s">
        <v>646</v>
      </c>
      <c r="D6640" t="s">
        <v>14396</v>
      </c>
      <c r="E6640">
        <v>424002</v>
      </c>
      <c r="F6640" t="s">
        <v>1</v>
      </c>
      <c r="G6640" t="s">
        <v>2</v>
      </c>
      <c r="H6640" t="s">
        <v>744</v>
      </c>
      <c r="I6640" t="s">
        <v>14397</v>
      </c>
      <c r="J6640" t="s">
        <v>14398</v>
      </c>
      <c r="P6640" t="s">
        <v>28929</v>
      </c>
      <c r="Y6640" t="s">
        <v>749</v>
      </c>
    </row>
    <row r="6641" spans="1:25" x14ac:dyDescent="0.25">
      <c r="A6641" t="str">
        <f>"41410045912"</f>
        <v>41410045912</v>
      </c>
      <c r="B6641" t="s">
        <v>1611</v>
      </c>
      <c r="C6641" t="s">
        <v>28931</v>
      </c>
      <c r="D6641" t="s">
        <v>20927</v>
      </c>
      <c r="F6641" t="s">
        <v>1</v>
      </c>
      <c r="G6641" t="s">
        <v>2</v>
      </c>
      <c r="H6641" t="s">
        <v>5721</v>
      </c>
      <c r="I6641" t="s">
        <v>28930</v>
      </c>
      <c r="P6641" t="s">
        <v>5723</v>
      </c>
      <c r="Y6641" t="s">
        <v>28932</v>
      </c>
    </row>
    <row r="6642" spans="1:25" x14ac:dyDescent="0.25">
      <c r="A6642" t="str">
        <f>"41411351594"</f>
        <v>41411351594</v>
      </c>
      <c r="B6642" t="s">
        <v>430</v>
      </c>
      <c r="C6642" t="s">
        <v>16178</v>
      </c>
      <c r="D6642" t="s">
        <v>20410</v>
      </c>
      <c r="E6642">
        <v>424000</v>
      </c>
      <c r="F6642" t="s">
        <v>1</v>
      </c>
      <c r="G6642" t="s">
        <v>2</v>
      </c>
      <c r="H6642" t="s">
        <v>4726</v>
      </c>
      <c r="P6642" t="s">
        <v>144</v>
      </c>
      <c r="V6642" t="s">
        <v>28933</v>
      </c>
      <c r="Y6642" t="s">
        <v>28934</v>
      </c>
    </row>
    <row r="6643" spans="1:25" x14ac:dyDescent="0.25">
      <c r="A6643" t="str">
        <f>"41539560283"</f>
        <v>41539560283</v>
      </c>
      <c r="B6643" t="s">
        <v>348</v>
      </c>
      <c r="C6643" t="s">
        <v>7354</v>
      </c>
      <c r="D6643" t="s">
        <v>28935</v>
      </c>
      <c r="E6643">
        <v>424038</v>
      </c>
      <c r="F6643" t="s">
        <v>1</v>
      </c>
      <c r="G6643" t="s">
        <v>2</v>
      </c>
      <c r="H6643" t="s">
        <v>8196</v>
      </c>
      <c r="I6643" t="s">
        <v>28936</v>
      </c>
      <c r="J6643" t="s">
        <v>28937</v>
      </c>
      <c r="L6643" t="s">
        <v>3752</v>
      </c>
      <c r="M6643" t="s">
        <v>28938</v>
      </c>
      <c r="P6643" t="s">
        <v>16441</v>
      </c>
      <c r="Q6643" t="s">
        <v>28939</v>
      </c>
      <c r="Y6643" t="s">
        <v>15483</v>
      </c>
    </row>
    <row r="6644" spans="1:25" x14ac:dyDescent="0.25">
      <c r="A6644" t="str">
        <f>"41657989648"</f>
        <v>41657989648</v>
      </c>
      <c r="B6644" t="s">
        <v>352</v>
      </c>
      <c r="C6644" t="s">
        <v>353</v>
      </c>
      <c r="D6644" t="s">
        <v>28940</v>
      </c>
      <c r="E6644">
        <v>424032</v>
      </c>
      <c r="F6644" t="s">
        <v>1</v>
      </c>
      <c r="G6644" t="s">
        <v>2</v>
      </c>
      <c r="H6644" t="s">
        <v>28941</v>
      </c>
      <c r="J6644" t="s">
        <v>28942</v>
      </c>
      <c r="M6644" t="s">
        <v>28943</v>
      </c>
      <c r="P6644" t="s">
        <v>6236</v>
      </c>
      <c r="Y6644" t="s">
        <v>28944</v>
      </c>
    </row>
    <row r="6645" spans="1:25" x14ac:dyDescent="0.25">
      <c r="A6645" t="str">
        <f>"41683318318"</f>
        <v>41683318318</v>
      </c>
      <c r="B6645" t="s">
        <v>319</v>
      </c>
      <c r="C6645" t="s">
        <v>320</v>
      </c>
      <c r="D6645" t="s">
        <v>28945</v>
      </c>
      <c r="E6645">
        <v>424028</v>
      </c>
      <c r="F6645" t="s">
        <v>1</v>
      </c>
      <c r="G6645" t="s">
        <v>2</v>
      </c>
      <c r="H6645" t="s">
        <v>28946</v>
      </c>
      <c r="I6645" t="s">
        <v>24130</v>
      </c>
      <c r="M6645" t="s">
        <v>24131</v>
      </c>
      <c r="P6645" t="s">
        <v>216</v>
      </c>
      <c r="Y6645" t="s">
        <v>28947</v>
      </c>
    </row>
    <row r="6646" spans="1:25" x14ac:dyDescent="0.25">
      <c r="A6646" t="str">
        <f>"41692646418"</f>
        <v>41692646418</v>
      </c>
      <c r="B6646" t="s">
        <v>1053</v>
      </c>
      <c r="C6646" t="s">
        <v>28951</v>
      </c>
      <c r="D6646" t="s">
        <v>28948</v>
      </c>
      <c r="E6646">
        <v>424001</v>
      </c>
      <c r="F6646" t="s">
        <v>1</v>
      </c>
      <c r="G6646" t="s">
        <v>2</v>
      </c>
      <c r="H6646" t="s">
        <v>919</v>
      </c>
      <c r="I6646" t="s">
        <v>28949</v>
      </c>
      <c r="J6646" t="s">
        <v>28950</v>
      </c>
      <c r="P6646" t="s">
        <v>280</v>
      </c>
      <c r="Y6646" t="s">
        <v>1750</v>
      </c>
    </row>
    <row r="6647" spans="1:25" x14ac:dyDescent="0.25">
      <c r="A6647" t="str">
        <f>"41716490816"</f>
        <v>41716490816</v>
      </c>
      <c r="B6647" t="s">
        <v>290</v>
      </c>
      <c r="C6647" t="s">
        <v>1641</v>
      </c>
      <c r="D6647" t="s">
        <v>21345</v>
      </c>
      <c r="E6647">
        <v>424008</v>
      </c>
      <c r="F6647" t="s">
        <v>1</v>
      </c>
      <c r="G6647" t="s">
        <v>2</v>
      </c>
      <c r="H6647" t="s">
        <v>1031</v>
      </c>
      <c r="I6647" t="s">
        <v>28952</v>
      </c>
      <c r="M6647" t="s">
        <v>21348</v>
      </c>
      <c r="P6647" t="s">
        <v>216</v>
      </c>
      <c r="Y6647" t="s">
        <v>28953</v>
      </c>
    </row>
    <row r="6648" spans="1:25" x14ac:dyDescent="0.25">
      <c r="A6648" t="str">
        <f>"41750987912"</f>
        <v>41750987912</v>
      </c>
      <c r="B6648" t="s">
        <v>574</v>
      </c>
      <c r="C6648" t="s">
        <v>9802</v>
      </c>
      <c r="D6648" t="s">
        <v>3057</v>
      </c>
      <c r="E6648">
        <v>424033</v>
      </c>
      <c r="F6648" t="s">
        <v>1</v>
      </c>
      <c r="G6648" t="s">
        <v>2</v>
      </c>
      <c r="H6648" t="s">
        <v>22482</v>
      </c>
      <c r="Y6648" t="s">
        <v>28954</v>
      </c>
    </row>
    <row r="6649" spans="1:25" x14ac:dyDescent="0.25">
      <c r="A6649" t="str">
        <f>"41767013661"</f>
        <v>41767013661</v>
      </c>
      <c r="B6649" t="s">
        <v>25</v>
      </c>
      <c r="C6649" t="s">
        <v>28958</v>
      </c>
      <c r="D6649" t="s">
        <v>6663</v>
      </c>
      <c r="E6649">
        <v>424031</v>
      </c>
      <c r="F6649" t="s">
        <v>1</v>
      </c>
      <c r="G6649" t="s">
        <v>2</v>
      </c>
      <c r="H6649" t="s">
        <v>15700</v>
      </c>
      <c r="I6649" t="s">
        <v>28955</v>
      </c>
      <c r="L6649" t="s">
        <v>28956</v>
      </c>
      <c r="M6649" t="s">
        <v>28957</v>
      </c>
      <c r="P6649" t="s">
        <v>340</v>
      </c>
      <c r="Y6649" t="s">
        <v>18394</v>
      </c>
    </row>
    <row r="6650" spans="1:25" x14ac:dyDescent="0.25">
      <c r="A6650" t="str">
        <f>"41772997857"</f>
        <v>41772997857</v>
      </c>
      <c r="B6650" t="s">
        <v>334</v>
      </c>
      <c r="C6650" t="s">
        <v>2551</v>
      </c>
      <c r="D6650" t="s">
        <v>28959</v>
      </c>
      <c r="E6650">
        <v>424006</v>
      </c>
      <c r="F6650" t="s">
        <v>1</v>
      </c>
      <c r="G6650" t="s">
        <v>2</v>
      </c>
      <c r="H6650" t="s">
        <v>830</v>
      </c>
      <c r="I6650" t="s">
        <v>28960</v>
      </c>
      <c r="L6650" t="s">
        <v>28961</v>
      </c>
      <c r="M6650" t="s">
        <v>28962</v>
      </c>
      <c r="P6650" t="s">
        <v>27</v>
      </c>
      <c r="Q6650" t="s">
        <v>28963</v>
      </c>
      <c r="S6650" t="s">
        <v>28964</v>
      </c>
      <c r="T6650" t="s">
        <v>28965</v>
      </c>
      <c r="U6650" t="s">
        <v>28966</v>
      </c>
      <c r="V6650" t="s">
        <v>28967</v>
      </c>
      <c r="Y6650" t="s">
        <v>3830</v>
      </c>
    </row>
    <row r="6651" spans="1:25" x14ac:dyDescent="0.25">
      <c r="A6651" t="str">
        <f>"41787161302"</f>
        <v>41787161302</v>
      </c>
      <c r="B6651" t="s">
        <v>348</v>
      </c>
      <c r="C6651" t="s">
        <v>9150</v>
      </c>
      <c r="D6651" t="s">
        <v>17174</v>
      </c>
      <c r="E6651">
        <v>424019</v>
      </c>
      <c r="F6651" t="s">
        <v>1</v>
      </c>
      <c r="G6651" t="s">
        <v>2</v>
      </c>
      <c r="H6651" t="s">
        <v>15506</v>
      </c>
      <c r="I6651" t="s">
        <v>28968</v>
      </c>
      <c r="J6651" t="s">
        <v>28969</v>
      </c>
      <c r="P6651" t="s">
        <v>7816</v>
      </c>
      <c r="Y6651" t="s">
        <v>28970</v>
      </c>
    </row>
    <row r="6652" spans="1:25" x14ac:dyDescent="0.25">
      <c r="A6652" t="str">
        <f>"41789155123"</f>
        <v>41789155123</v>
      </c>
      <c r="B6652" t="s">
        <v>32</v>
      </c>
      <c r="C6652" t="s">
        <v>28973</v>
      </c>
      <c r="D6652" t="s">
        <v>28971</v>
      </c>
      <c r="E6652">
        <v>424007</v>
      </c>
      <c r="F6652" t="s">
        <v>1</v>
      </c>
      <c r="G6652" t="s">
        <v>2</v>
      </c>
      <c r="H6652" t="s">
        <v>1992</v>
      </c>
      <c r="J6652" t="s">
        <v>28972</v>
      </c>
      <c r="P6652" t="s">
        <v>34</v>
      </c>
      <c r="Q6652" t="s">
        <v>28974</v>
      </c>
      <c r="Y6652" t="s">
        <v>18751</v>
      </c>
    </row>
    <row r="6653" spans="1:25" x14ac:dyDescent="0.25">
      <c r="A6653" t="str">
        <f>"41817197484"</f>
        <v>41817197484</v>
      </c>
      <c r="B6653" t="s">
        <v>3008</v>
      </c>
      <c r="C6653" t="s">
        <v>28979</v>
      </c>
      <c r="D6653" t="s">
        <v>28975</v>
      </c>
      <c r="F6653" t="s">
        <v>1</v>
      </c>
      <c r="G6653" t="s">
        <v>2</v>
      </c>
      <c r="H6653" t="s">
        <v>8043</v>
      </c>
      <c r="I6653" t="s">
        <v>28976</v>
      </c>
      <c r="L6653" t="s">
        <v>28977</v>
      </c>
      <c r="M6653" t="s">
        <v>28978</v>
      </c>
      <c r="Q6653" t="s">
        <v>28980</v>
      </c>
      <c r="T6653" t="s">
        <v>28981</v>
      </c>
      <c r="V6653" t="s">
        <v>28982</v>
      </c>
      <c r="Y6653" t="s">
        <v>28983</v>
      </c>
    </row>
    <row r="6654" spans="1:25" x14ac:dyDescent="0.25">
      <c r="A6654" t="str">
        <f>"41818731638"</f>
        <v>41818731638</v>
      </c>
      <c r="B6654" t="s">
        <v>67</v>
      </c>
      <c r="C6654" t="s">
        <v>496</v>
      </c>
      <c r="D6654" t="s">
        <v>28984</v>
      </c>
      <c r="E6654">
        <v>424003</v>
      </c>
      <c r="F6654" t="s">
        <v>1</v>
      </c>
      <c r="G6654" t="s">
        <v>2</v>
      </c>
      <c r="H6654" t="s">
        <v>7888</v>
      </c>
      <c r="I6654" t="s">
        <v>28985</v>
      </c>
      <c r="L6654" t="s">
        <v>28986</v>
      </c>
      <c r="M6654" t="s">
        <v>28987</v>
      </c>
      <c r="P6654" t="s">
        <v>260</v>
      </c>
      <c r="Q6654" t="s">
        <v>28988</v>
      </c>
      <c r="T6654" t="s">
        <v>28989</v>
      </c>
      <c r="Y6654" t="s">
        <v>28990</v>
      </c>
    </row>
    <row r="6655" spans="1:25" x14ac:dyDescent="0.25">
      <c r="A6655" t="str">
        <f>"41870444686"</f>
        <v>41870444686</v>
      </c>
      <c r="B6655" t="s">
        <v>96</v>
      </c>
      <c r="C6655" t="s">
        <v>28991</v>
      </c>
      <c r="D6655" t="s">
        <v>27619</v>
      </c>
      <c r="E6655">
        <v>424007</v>
      </c>
      <c r="F6655" t="s">
        <v>1</v>
      </c>
      <c r="G6655" t="s">
        <v>2</v>
      </c>
      <c r="H6655" t="s">
        <v>5178</v>
      </c>
      <c r="P6655" t="s">
        <v>2731</v>
      </c>
      <c r="Y6655" t="s">
        <v>28992</v>
      </c>
    </row>
    <row r="6656" spans="1:25" x14ac:dyDescent="0.25">
      <c r="A6656" t="str">
        <f>"41877001589"</f>
        <v>41877001589</v>
      </c>
      <c r="B6656" t="s">
        <v>1604</v>
      </c>
      <c r="C6656" t="s">
        <v>2271</v>
      </c>
      <c r="D6656" t="s">
        <v>13464</v>
      </c>
      <c r="E6656">
        <v>424038</v>
      </c>
      <c r="F6656" t="s">
        <v>1</v>
      </c>
      <c r="G6656" t="s">
        <v>2</v>
      </c>
      <c r="H6656" t="s">
        <v>386</v>
      </c>
      <c r="J6656" t="s">
        <v>13466</v>
      </c>
      <c r="P6656" t="s">
        <v>27</v>
      </c>
      <c r="Y6656" t="s">
        <v>391</v>
      </c>
    </row>
    <row r="6657" spans="1:25" x14ac:dyDescent="0.25">
      <c r="A6657" t="str">
        <f>"41886630063"</f>
        <v>41886630063</v>
      </c>
      <c r="B6657" t="s">
        <v>1352</v>
      </c>
      <c r="C6657" t="s">
        <v>11624</v>
      </c>
      <c r="D6657" t="s">
        <v>28993</v>
      </c>
      <c r="E6657">
        <v>424000</v>
      </c>
      <c r="F6657" t="s">
        <v>1</v>
      </c>
      <c r="G6657" t="s">
        <v>2</v>
      </c>
      <c r="H6657" t="s">
        <v>1473</v>
      </c>
      <c r="I6657" t="s">
        <v>28994</v>
      </c>
      <c r="J6657" t="s">
        <v>28995</v>
      </c>
      <c r="P6657" t="s">
        <v>28996</v>
      </c>
      <c r="V6657" t="s">
        <v>28997</v>
      </c>
      <c r="Y6657" t="s">
        <v>28998</v>
      </c>
    </row>
    <row r="6658" spans="1:25" x14ac:dyDescent="0.25">
      <c r="A6658" t="str">
        <f>"41887920316"</f>
        <v>41887920316</v>
      </c>
      <c r="B6658" t="s">
        <v>430</v>
      </c>
      <c r="C6658" t="s">
        <v>29001</v>
      </c>
      <c r="D6658" t="s">
        <v>28999</v>
      </c>
      <c r="E6658">
        <v>424006</v>
      </c>
      <c r="F6658" t="s">
        <v>1</v>
      </c>
      <c r="G6658" t="s">
        <v>2</v>
      </c>
      <c r="H6658" t="s">
        <v>492</v>
      </c>
      <c r="J6658" t="s">
        <v>29000</v>
      </c>
      <c r="P6658" t="s">
        <v>216</v>
      </c>
      <c r="Y6658" t="s">
        <v>29002</v>
      </c>
    </row>
    <row r="6659" spans="1:25" x14ac:dyDescent="0.25">
      <c r="A6659" t="str">
        <f>"41902449858"</f>
        <v>41902449858</v>
      </c>
      <c r="B6659" t="s">
        <v>117</v>
      </c>
      <c r="C6659" t="s">
        <v>873</v>
      </c>
      <c r="D6659" t="s">
        <v>873</v>
      </c>
      <c r="F6659" t="s">
        <v>1</v>
      </c>
      <c r="G6659" t="s">
        <v>2</v>
      </c>
      <c r="H6659" t="s">
        <v>29003</v>
      </c>
      <c r="Y6659" t="s">
        <v>29004</v>
      </c>
    </row>
    <row r="6660" spans="1:25" x14ac:dyDescent="0.25">
      <c r="A6660" t="str">
        <f>"41926931520"</f>
        <v>41926931520</v>
      </c>
      <c r="B6660" t="s">
        <v>574</v>
      </c>
      <c r="C6660" t="s">
        <v>14652</v>
      </c>
      <c r="D6660" t="s">
        <v>24972</v>
      </c>
      <c r="E6660">
        <v>424030</v>
      </c>
      <c r="F6660" t="s">
        <v>1</v>
      </c>
      <c r="G6660" t="s">
        <v>2</v>
      </c>
      <c r="H6660" t="s">
        <v>29005</v>
      </c>
      <c r="Y6660" t="s">
        <v>8767</v>
      </c>
    </row>
    <row r="6661" spans="1:25" x14ac:dyDescent="0.25">
      <c r="A6661" t="str">
        <f>"42001391125"</f>
        <v>42001391125</v>
      </c>
      <c r="B6661" t="s">
        <v>1475</v>
      </c>
      <c r="C6661" t="s">
        <v>1476</v>
      </c>
      <c r="D6661" t="s">
        <v>15012</v>
      </c>
      <c r="E6661">
        <v>424033</v>
      </c>
      <c r="F6661" t="s">
        <v>1</v>
      </c>
      <c r="G6661" t="s">
        <v>2</v>
      </c>
      <c r="H6661" t="s">
        <v>29006</v>
      </c>
      <c r="Y6661" t="s">
        <v>29007</v>
      </c>
    </row>
    <row r="6662" spans="1:25" x14ac:dyDescent="0.25">
      <c r="A6662" t="str">
        <f>"42012317868"</f>
        <v>42012317868</v>
      </c>
      <c r="B6662" t="s">
        <v>123</v>
      </c>
      <c r="C6662" t="s">
        <v>196</v>
      </c>
      <c r="D6662" t="s">
        <v>29008</v>
      </c>
      <c r="E6662">
        <v>424031</v>
      </c>
      <c r="F6662" t="s">
        <v>1</v>
      </c>
      <c r="G6662" t="s">
        <v>2</v>
      </c>
      <c r="H6662" t="s">
        <v>2481</v>
      </c>
      <c r="I6662" t="s">
        <v>29009</v>
      </c>
      <c r="P6662" t="s">
        <v>330</v>
      </c>
      <c r="Y6662" t="s">
        <v>29010</v>
      </c>
    </row>
    <row r="6663" spans="1:25" x14ac:dyDescent="0.25">
      <c r="A6663" t="str">
        <f>"42013172687"</f>
        <v>42013172687</v>
      </c>
      <c r="B6663" t="s">
        <v>96</v>
      </c>
      <c r="C6663" t="s">
        <v>893</v>
      </c>
      <c r="D6663" t="s">
        <v>15072</v>
      </c>
      <c r="F6663" t="s">
        <v>1</v>
      </c>
      <c r="G6663" t="s">
        <v>2</v>
      </c>
      <c r="H6663" t="s">
        <v>15073</v>
      </c>
      <c r="P6663" t="s">
        <v>390</v>
      </c>
      <c r="Y6663" t="s">
        <v>29011</v>
      </c>
    </row>
    <row r="6664" spans="1:25" x14ac:dyDescent="0.25">
      <c r="A6664" t="str">
        <f>"42015426798"</f>
        <v>42015426798</v>
      </c>
      <c r="B6664" t="s">
        <v>1611</v>
      </c>
      <c r="C6664" t="s">
        <v>11688</v>
      </c>
      <c r="D6664" t="s">
        <v>29012</v>
      </c>
      <c r="E6664">
        <v>424002</v>
      </c>
      <c r="F6664" t="s">
        <v>1</v>
      </c>
      <c r="G6664" t="s">
        <v>2</v>
      </c>
      <c r="H6664" t="s">
        <v>20175</v>
      </c>
      <c r="I6664" t="s">
        <v>29013</v>
      </c>
      <c r="L6664" t="s">
        <v>20111</v>
      </c>
      <c r="M6664" t="s">
        <v>29014</v>
      </c>
      <c r="P6664" t="s">
        <v>330</v>
      </c>
      <c r="Y6664" t="s">
        <v>24301</v>
      </c>
    </row>
    <row r="6665" spans="1:25" x14ac:dyDescent="0.25">
      <c r="A6665" t="str">
        <f>"42036933229"</f>
        <v>42036933229</v>
      </c>
      <c r="B6665" t="s">
        <v>1053</v>
      </c>
      <c r="C6665" t="s">
        <v>1927</v>
      </c>
      <c r="D6665" t="s">
        <v>29015</v>
      </c>
      <c r="E6665">
        <v>424028</v>
      </c>
      <c r="F6665" t="s">
        <v>1</v>
      </c>
      <c r="G6665" t="s">
        <v>2</v>
      </c>
      <c r="H6665" t="s">
        <v>2942</v>
      </c>
      <c r="J6665" t="s">
        <v>7000</v>
      </c>
      <c r="P6665" t="s">
        <v>20</v>
      </c>
      <c r="Y6665" t="s">
        <v>2944</v>
      </c>
    </row>
    <row r="6666" spans="1:25" x14ac:dyDescent="0.25">
      <c r="A6666" t="str">
        <f>"42042662330"</f>
        <v>42042662330</v>
      </c>
      <c r="B6666" t="s">
        <v>3573</v>
      </c>
      <c r="C6666" t="s">
        <v>5816</v>
      </c>
      <c r="D6666" t="s">
        <v>29016</v>
      </c>
      <c r="E6666">
        <v>424038</v>
      </c>
      <c r="F6666" t="s">
        <v>1</v>
      </c>
      <c r="G6666" t="s">
        <v>2</v>
      </c>
      <c r="H6666" t="s">
        <v>10772</v>
      </c>
      <c r="J6666" t="s">
        <v>29017</v>
      </c>
      <c r="P6666" t="s">
        <v>27</v>
      </c>
      <c r="Y6666" t="s">
        <v>10776</v>
      </c>
    </row>
    <row r="6667" spans="1:25" x14ac:dyDescent="0.25">
      <c r="A6667" t="str">
        <f>"42070116708"</f>
        <v>42070116708</v>
      </c>
      <c r="B6667" t="s">
        <v>447</v>
      </c>
      <c r="C6667" t="s">
        <v>448</v>
      </c>
      <c r="D6667" t="s">
        <v>29018</v>
      </c>
      <c r="E6667">
        <v>424002</v>
      </c>
      <c r="F6667" t="s">
        <v>1</v>
      </c>
      <c r="G6667" t="s">
        <v>2</v>
      </c>
      <c r="H6667" t="s">
        <v>29019</v>
      </c>
      <c r="J6667" t="s">
        <v>29020</v>
      </c>
      <c r="L6667" t="s">
        <v>20407</v>
      </c>
      <c r="M6667" t="s">
        <v>29021</v>
      </c>
      <c r="Y6667" t="s">
        <v>29022</v>
      </c>
    </row>
    <row r="6668" spans="1:25" x14ac:dyDescent="0.25">
      <c r="A6668" t="str">
        <f>"42082593564"</f>
        <v>42082593564</v>
      </c>
      <c r="B6668" t="s">
        <v>1230</v>
      </c>
      <c r="C6668" t="s">
        <v>2526</v>
      </c>
      <c r="D6668" t="s">
        <v>29023</v>
      </c>
      <c r="E6668">
        <v>424033</v>
      </c>
      <c r="F6668" t="s">
        <v>1</v>
      </c>
      <c r="G6668" t="s">
        <v>2</v>
      </c>
      <c r="H6668" t="s">
        <v>29024</v>
      </c>
      <c r="I6668" t="s">
        <v>29025</v>
      </c>
      <c r="K6668" t="s">
        <v>29026</v>
      </c>
      <c r="L6668" t="s">
        <v>581</v>
      </c>
      <c r="M6668" t="s">
        <v>29027</v>
      </c>
      <c r="P6668" t="s">
        <v>425</v>
      </c>
      <c r="Y6668" t="s">
        <v>29028</v>
      </c>
    </row>
    <row r="6669" spans="1:25" x14ac:dyDescent="0.25">
      <c r="A6669" t="str">
        <f>"42104975727"</f>
        <v>42104975727</v>
      </c>
      <c r="B6669" t="s">
        <v>233</v>
      </c>
      <c r="C6669" t="s">
        <v>29030</v>
      </c>
      <c r="D6669" t="s">
        <v>13452</v>
      </c>
      <c r="E6669">
        <v>424000</v>
      </c>
      <c r="F6669" t="s">
        <v>1</v>
      </c>
      <c r="G6669" t="s">
        <v>2</v>
      </c>
      <c r="H6669" t="s">
        <v>10803</v>
      </c>
      <c r="I6669" t="s">
        <v>29029</v>
      </c>
      <c r="P6669" t="s">
        <v>280</v>
      </c>
      <c r="Y6669" t="s">
        <v>10805</v>
      </c>
    </row>
    <row r="6670" spans="1:25" x14ac:dyDescent="0.25">
      <c r="A6670" t="str">
        <f>"42122347440"</f>
        <v>42122347440</v>
      </c>
      <c r="B6670" t="s">
        <v>1702</v>
      </c>
      <c r="C6670" t="s">
        <v>2265</v>
      </c>
      <c r="D6670" t="s">
        <v>29031</v>
      </c>
      <c r="E6670">
        <v>424002</v>
      </c>
      <c r="F6670" t="s">
        <v>1</v>
      </c>
      <c r="G6670" t="s">
        <v>2</v>
      </c>
      <c r="H6670" t="s">
        <v>29032</v>
      </c>
      <c r="P6670" t="s">
        <v>29033</v>
      </c>
      <c r="Y6670" t="s">
        <v>29034</v>
      </c>
    </row>
    <row r="6671" spans="1:25" x14ac:dyDescent="0.25">
      <c r="A6671" t="str">
        <f>"42133071547"</f>
        <v>42133071547</v>
      </c>
      <c r="B6671" t="s">
        <v>1611</v>
      </c>
      <c r="C6671" t="s">
        <v>29036</v>
      </c>
      <c r="D6671" t="s">
        <v>29035</v>
      </c>
      <c r="E6671">
        <v>424037</v>
      </c>
      <c r="F6671" t="s">
        <v>1</v>
      </c>
      <c r="G6671" t="s">
        <v>2</v>
      </c>
      <c r="H6671" t="s">
        <v>2381</v>
      </c>
      <c r="Y6671" t="s">
        <v>29037</v>
      </c>
    </row>
    <row r="6672" spans="1:25" x14ac:dyDescent="0.25">
      <c r="A6672" t="str">
        <f>"42134241981"</f>
        <v>42134241981</v>
      </c>
      <c r="B6672" t="s">
        <v>3652</v>
      </c>
      <c r="C6672" t="s">
        <v>14101</v>
      </c>
      <c r="D6672" t="s">
        <v>29038</v>
      </c>
      <c r="E6672">
        <v>424004</v>
      </c>
      <c r="F6672" t="s">
        <v>1</v>
      </c>
      <c r="G6672" t="s">
        <v>2</v>
      </c>
      <c r="H6672" t="s">
        <v>3489</v>
      </c>
      <c r="Y6672" t="s">
        <v>29039</v>
      </c>
    </row>
    <row r="6673" spans="1:25" x14ac:dyDescent="0.25">
      <c r="A6673" t="str">
        <f>"42146277742"</f>
        <v>42146277742</v>
      </c>
      <c r="B6673" t="s">
        <v>1604</v>
      </c>
      <c r="C6673" t="s">
        <v>2271</v>
      </c>
      <c r="D6673" t="s">
        <v>29040</v>
      </c>
      <c r="E6673">
        <v>424000</v>
      </c>
      <c r="F6673" t="s">
        <v>1</v>
      </c>
      <c r="G6673" t="s">
        <v>2</v>
      </c>
      <c r="H6673" t="s">
        <v>3570</v>
      </c>
      <c r="I6673" t="s">
        <v>29041</v>
      </c>
      <c r="P6673" t="s">
        <v>20</v>
      </c>
      <c r="Y6673" t="s">
        <v>6301</v>
      </c>
    </row>
    <row r="6674" spans="1:25" x14ac:dyDescent="0.25">
      <c r="A6674" t="str">
        <f>"42158397931"</f>
        <v>42158397931</v>
      </c>
      <c r="B6674" t="s">
        <v>67</v>
      </c>
      <c r="C6674" t="s">
        <v>269</v>
      </c>
      <c r="D6674" t="s">
        <v>29042</v>
      </c>
      <c r="F6674" t="s">
        <v>1</v>
      </c>
      <c r="G6674" t="s">
        <v>2</v>
      </c>
      <c r="H6674" t="s">
        <v>29043</v>
      </c>
      <c r="P6674" t="s">
        <v>330</v>
      </c>
      <c r="Y6674" t="s">
        <v>29044</v>
      </c>
    </row>
    <row r="6675" spans="1:25" x14ac:dyDescent="0.25">
      <c r="A6675" t="str">
        <f>"42201379870"</f>
        <v>42201379870</v>
      </c>
      <c r="B6675" t="s">
        <v>160</v>
      </c>
      <c r="C6675" t="s">
        <v>2479</v>
      </c>
      <c r="D6675" t="s">
        <v>29045</v>
      </c>
      <c r="F6675" t="s">
        <v>1</v>
      </c>
      <c r="G6675" t="s">
        <v>2</v>
      </c>
      <c r="H6675" t="s">
        <v>29046</v>
      </c>
      <c r="Y6675" t="s">
        <v>29047</v>
      </c>
    </row>
    <row r="6676" spans="1:25" x14ac:dyDescent="0.25">
      <c r="A6676" t="str">
        <f>"42251558570"</f>
        <v>42251558570</v>
      </c>
      <c r="B6676" t="s">
        <v>188</v>
      </c>
      <c r="C6676" t="s">
        <v>24568</v>
      </c>
      <c r="D6676" t="s">
        <v>24568</v>
      </c>
      <c r="E6676">
        <v>424007</v>
      </c>
      <c r="F6676" t="s">
        <v>1</v>
      </c>
      <c r="G6676" t="s">
        <v>2</v>
      </c>
      <c r="H6676" t="s">
        <v>10198</v>
      </c>
      <c r="Y6676" t="s">
        <v>29048</v>
      </c>
    </row>
    <row r="6677" spans="1:25" x14ac:dyDescent="0.25">
      <c r="A6677" t="str">
        <f>"42303679041"</f>
        <v>42303679041</v>
      </c>
      <c r="B6677" t="s">
        <v>25</v>
      </c>
      <c r="C6677" t="s">
        <v>4208</v>
      </c>
      <c r="D6677" t="s">
        <v>29049</v>
      </c>
      <c r="E6677">
        <v>424007</v>
      </c>
      <c r="F6677" t="s">
        <v>1</v>
      </c>
      <c r="G6677" t="s">
        <v>2</v>
      </c>
      <c r="H6677" t="s">
        <v>1566</v>
      </c>
      <c r="Y6677" t="s">
        <v>2882</v>
      </c>
    </row>
    <row r="6678" spans="1:25" x14ac:dyDescent="0.25">
      <c r="A6678" t="str">
        <f>"42316308250"</f>
        <v>42316308250</v>
      </c>
      <c r="B6678" t="s">
        <v>430</v>
      </c>
      <c r="C6678" t="s">
        <v>29053</v>
      </c>
      <c r="D6678" t="s">
        <v>29050</v>
      </c>
      <c r="F6678" t="s">
        <v>1</v>
      </c>
      <c r="G6678" t="s">
        <v>2</v>
      </c>
      <c r="H6678" t="s">
        <v>24976</v>
      </c>
      <c r="I6678" t="s">
        <v>29051</v>
      </c>
      <c r="J6678" t="s">
        <v>29052</v>
      </c>
      <c r="P6678" t="s">
        <v>8133</v>
      </c>
      <c r="Y6678" t="s">
        <v>29054</v>
      </c>
    </row>
    <row r="6679" spans="1:25" x14ac:dyDescent="0.25">
      <c r="A6679" t="str">
        <f>"42317101171"</f>
        <v>42317101171</v>
      </c>
      <c r="B6679" t="s">
        <v>738</v>
      </c>
      <c r="C6679" t="s">
        <v>739</v>
      </c>
      <c r="D6679" t="s">
        <v>2578</v>
      </c>
      <c r="E6679">
        <v>424040</v>
      </c>
      <c r="F6679" t="s">
        <v>1</v>
      </c>
      <c r="G6679" t="s">
        <v>2</v>
      </c>
      <c r="H6679" t="s">
        <v>29055</v>
      </c>
      <c r="P6679" t="s">
        <v>10150</v>
      </c>
      <c r="Y6679" t="s">
        <v>29056</v>
      </c>
    </row>
    <row r="6680" spans="1:25" x14ac:dyDescent="0.25">
      <c r="A6680" t="str">
        <f>"42383170091"</f>
        <v>42383170091</v>
      </c>
      <c r="B6680" t="s">
        <v>117</v>
      </c>
      <c r="C6680" t="s">
        <v>118</v>
      </c>
      <c r="D6680" t="s">
        <v>29057</v>
      </c>
      <c r="E6680">
        <v>424007</v>
      </c>
      <c r="F6680" t="s">
        <v>1</v>
      </c>
      <c r="G6680" t="s">
        <v>2</v>
      </c>
      <c r="H6680" t="s">
        <v>29058</v>
      </c>
      <c r="I6680" t="s">
        <v>29059</v>
      </c>
      <c r="P6680" t="s">
        <v>330</v>
      </c>
      <c r="Y6680" t="s">
        <v>29060</v>
      </c>
    </row>
    <row r="6681" spans="1:25" x14ac:dyDescent="0.25">
      <c r="A6681" t="str">
        <f>"42399132481"</f>
        <v>42399132481</v>
      </c>
      <c r="B6681" t="s">
        <v>290</v>
      </c>
      <c r="C6681" t="s">
        <v>290</v>
      </c>
      <c r="D6681" t="s">
        <v>8798</v>
      </c>
      <c r="E6681">
        <v>424038</v>
      </c>
      <c r="F6681" t="s">
        <v>1</v>
      </c>
      <c r="G6681" t="s">
        <v>2</v>
      </c>
      <c r="H6681" t="s">
        <v>10681</v>
      </c>
      <c r="Y6681" t="s">
        <v>29061</v>
      </c>
    </row>
    <row r="6682" spans="1:25" x14ac:dyDescent="0.25">
      <c r="A6682" t="str">
        <f>"42405825575"</f>
        <v>42405825575</v>
      </c>
      <c r="B6682" t="s">
        <v>574</v>
      </c>
      <c r="C6682" t="s">
        <v>29062</v>
      </c>
      <c r="D6682" t="s">
        <v>3057</v>
      </c>
      <c r="E6682">
        <v>424007</v>
      </c>
      <c r="F6682" t="s">
        <v>1</v>
      </c>
      <c r="G6682" t="s">
        <v>2</v>
      </c>
      <c r="H6682" t="s">
        <v>4411</v>
      </c>
      <c r="P6682" t="s">
        <v>2457</v>
      </c>
      <c r="Y6682" t="s">
        <v>29063</v>
      </c>
    </row>
    <row r="6683" spans="1:25" x14ac:dyDescent="0.25">
      <c r="A6683" t="str">
        <f>"42421456964"</f>
        <v>42421456964</v>
      </c>
      <c r="B6683" t="s">
        <v>930</v>
      </c>
      <c r="C6683" t="s">
        <v>1096</v>
      </c>
      <c r="D6683" t="s">
        <v>29064</v>
      </c>
      <c r="E6683">
        <v>424007</v>
      </c>
      <c r="F6683" t="s">
        <v>1</v>
      </c>
      <c r="G6683" t="s">
        <v>2</v>
      </c>
      <c r="H6683" t="s">
        <v>2460</v>
      </c>
      <c r="I6683" t="s">
        <v>29065</v>
      </c>
      <c r="L6683" t="s">
        <v>29066</v>
      </c>
      <c r="M6683" t="s">
        <v>29067</v>
      </c>
      <c r="P6683" t="s">
        <v>1270</v>
      </c>
      <c r="Y6683" t="s">
        <v>29068</v>
      </c>
    </row>
    <row r="6684" spans="1:25" x14ac:dyDescent="0.25">
      <c r="A6684" t="str">
        <f>"42436192665"</f>
        <v>42436192665</v>
      </c>
      <c r="B6684" t="s">
        <v>1573</v>
      </c>
      <c r="C6684" t="s">
        <v>1817</v>
      </c>
      <c r="D6684" t="s">
        <v>29069</v>
      </c>
      <c r="E6684">
        <v>424038</v>
      </c>
      <c r="F6684" t="s">
        <v>1</v>
      </c>
      <c r="G6684" t="s">
        <v>2</v>
      </c>
      <c r="H6684" t="s">
        <v>2614</v>
      </c>
      <c r="Y6684" t="s">
        <v>7651</v>
      </c>
    </row>
    <row r="6685" spans="1:25" x14ac:dyDescent="0.25">
      <c r="A6685" t="str">
        <f>"42452883429"</f>
        <v>42452883429</v>
      </c>
      <c r="B6685" t="s">
        <v>5573</v>
      </c>
      <c r="C6685" t="s">
        <v>21453</v>
      </c>
      <c r="D6685" t="s">
        <v>28971</v>
      </c>
      <c r="E6685">
        <v>424003</v>
      </c>
      <c r="F6685" t="s">
        <v>1</v>
      </c>
      <c r="G6685" t="s">
        <v>2</v>
      </c>
      <c r="H6685" t="s">
        <v>5773</v>
      </c>
      <c r="J6685" t="s">
        <v>28972</v>
      </c>
      <c r="L6685" t="s">
        <v>29070</v>
      </c>
      <c r="Q6685" t="s">
        <v>29071</v>
      </c>
      <c r="Y6685" t="s">
        <v>5775</v>
      </c>
    </row>
    <row r="6686" spans="1:25" x14ac:dyDescent="0.25">
      <c r="A6686" t="str">
        <f>"42507810273"</f>
        <v>42507810273</v>
      </c>
      <c r="B6686" t="s">
        <v>574</v>
      </c>
      <c r="C6686" t="s">
        <v>646</v>
      </c>
      <c r="D6686" t="s">
        <v>4221</v>
      </c>
      <c r="E6686">
        <v>424006</v>
      </c>
      <c r="F6686" t="s">
        <v>1</v>
      </c>
      <c r="G6686" t="s">
        <v>2</v>
      </c>
      <c r="H6686" t="s">
        <v>5886</v>
      </c>
      <c r="Y6686" t="s">
        <v>29072</v>
      </c>
    </row>
    <row r="6687" spans="1:25" x14ac:dyDescent="0.25">
      <c r="A6687" t="str">
        <f>"42514702857"</f>
        <v>42514702857</v>
      </c>
      <c r="B6687" t="s">
        <v>18</v>
      </c>
      <c r="C6687" t="s">
        <v>28431</v>
      </c>
      <c r="D6687" t="s">
        <v>29073</v>
      </c>
      <c r="E6687">
        <v>424006</v>
      </c>
      <c r="F6687" t="s">
        <v>1</v>
      </c>
      <c r="G6687" t="s">
        <v>2</v>
      </c>
      <c r="H6687" t="s">
        <v>4897</v>
      </c>
      <c r="I6687" t="s">
        <v>29074</v>
      </c>
      <c r="L6687" t="s">
        <v>29075</v>
      </c>
      <c r="M6687" t="s">
        <v>29076</v>
      </c>
      <c r="P6687" t="s">
        <v>152</v>
      </c>
      <c r="Q6687" t="s">
        <v>29077</v>
      </c>
      <c r="U6687" t="s">
        <v>29078</v>
      </c>
      <c r="V6687" t="s">
        <v>29079</v>
      </c>
      <c r="Y6687" t="s">
        <v>4900</v>
      </c>
    </row>
    <row r="6688" spans="1:25" x14ac:dyDescent="0.25">
      <c r="A6688" t="str">
        <f>"42533182786"</f>
        <v>42533182786</v>
      </c>
      <c r="B6688" t="s">
        <v>1152</v>
      </c>
      <c r="C6688" t="s">
        <v>1153</v>
      </c>
      <c r="D6688" t="s">
        <v>24071</v>
      </c>
      <c r="E6688">
        <v>424033</v>
      </c>
      <c r="F6688" t="s">
        <v>1</v>
      </c>
      <c r="G6688" t="s">
        <v>2</v>
      </c>
      <c r="H6688" t="s">
        <v>1782</v>
      </c>
      <c r="P6688" t="s">
        <v>60</v>
      </c>
      <c r="Y6688" t="s">
        <v>29080</v>
      </c>
    </row>
    <row r="6689" spans="1:25" x14ac:dyDescent="0.25">
      <c r="A6689" t="str">
        <f>"42555507020"</f>
        <v>42555507020</v>
      </c>
      <c r="B6689" t="s">
        <v>3958</v>
      </c>
      <c r="C6689" t="s">
        <v>13978</v>
      </c>
      <c r="D6689" t="s">
        <v>29081</v>
      </c>
      <c r="E6689">
        <v>424003</v>
      </c>
      <c r="F6689" t="s">
        <v>1</v>
      </c>
      <c r="G6689" t="s">
        <v>2</v>
      </c>
      <c r="H6689" t="s">
        <v>13256</v>
      </c>
      <c r="Y6689" t="s">
        <v>23832</v>
      </c>
    </row>
    <row r="6690" spans="1:25" x14ac:dyDescent="0.25">
      <c r="A6690" t="str">
        <f>"42572453426"</f>
        <v>42572453426</v>
      </c>
      <c r="B6690" t="s">
        <v>319</v>
      </c>
      <c r="C6690" t="s">
        <v>24358</v>
      </c>
      <c r="D6690" t="s">
        <v>29082</v>
      </c>
      <c r="E6690">
        <v>424007</v>
      </c>
      <c r="F6690" t="s">
        <v>1</v>
      </c>
      <c r="G6690" t="s">
        <v>2</v>
      </c>
      <c r="H6690" t="s">
        <v>5178</v>
      </c>
      <c r="I6690" t="s">
        <v>29083</v>
      </c>
      <c r="J6690" t="s">
        <v>29084</v>
      </c>
      <c r="L6690" t="s">
        <v>29085</v>
      </c>
      <c r="P6690" t="s">
        <v>2731</v>
      </c>
      <c r="Q6690" t="s">
        <v>29086</v>
      </c>
      <c r="Y6690" t="s">
        <v>29087</v>
      </c>
    </row>
    <row r="6691" spans="1:25" x14ac:dyDescent="0.25">
      <c r="A6691" t="str">
        <f>"42681474623"</f>
        <v>42681474623</v>
      </c>
      <c r="B6691" t="s">
        <v>574</v>
      </c>
      <c r="C6691" t="s">
        <v>29091</v>
      </c>
      <c r="D6691" t="s">
        <v>14267</v>
      </c>
      <c r="E6691">
        <v>424006</v>
      </c>
      <c r="F6691" t="s">
        <v>1</v>
      </c>
      <c r="G6691" t="s">
        <v>2</v>
      </c>
      <c r="H6691" t="s">
        <v>3330</v>
      </c>
      <c r="I6691" t="s">
        <v>29088</v>
      </c>
      <c r="L6691" t="s">
        <v>29089</v>
      </c>
      <c r="M6691" t="s">
        <v>29090</v>
      </c>
      <c r="P6691" t="s">
        <v>29092</v>
      </c>
      <c r="Q6691" t="s">
        <v>29093</v>
      </c>
      <c r="Y6691" t="s">
        <v>29094</v>
      </c>
    </row>
    <row r="6692" spans="1:25" x14ac:dyDescent="0.25">
      <c r="A6692" t="str">
        <f>"42688142023"</f>
        <v>42688142023</v>
      </c>
      <c r="B6692" t="s">
        <v>151</v>
      </c>
      <c r="C6692" t="s">
        <v>151</v>
      </c>
      <c r="D6692" t="s">
        <v>7488</v>
      </c>
      <c r="E6692">
        <v>424033</v>
      </c>
      <c r="F6692" t="s">
        <v>1</v>
      </c>
      <c r="G6692" t="s">
        <v>2</v>
      </c>
      <c r="H6692" t="s">
        <v>6953</v>
      </c>
      <c r="Y6692" t="s">
        <v>29095</v>
      </c>
    </row>
    <row r="6693" spans="1:25" x14ac:dyDescent="0.25">
      <c r="A6693" t="str">
        <f>"42720094623"</f>
        <v>42720094623</v>
      </c>
      <c r="B6693" t="s">
        <v>3094</v>
      </c>
      <c r="C6693" t="s">
        <v>3095</v>
      </c>
      <c r="D6693" t="s">
        <v>29096</v>
      </c>
      <c r="F6693" t="s">
        <v>1</v>
      </c>
      <c r="G6693" t="s">
        <v>2</v>
      </c>
      <c r="H6693" t="s">
        <v>27308</v>
      </c>
      <c r="I6693" t="s">
        <v>29097</v>
      </c>
      <c r="Y6693" t="s">
        <v>29098</v>
      </c>
    </row>
    <row r="6694" spans="1:25" x14ac:dyDescent="0.25">
      <c r="A6694" t="str">
        <f>"42743625306"</f>
        <v>42743625306</v>
      </c>
      <c r="B6694" t="s">
        <v>1552</v>
      </c>
      <c r="C6694" t="s">
        <v>5112</v>
      </c>
      <c r="D6694" t="s">
        <v>18439</v>
      </c>
      <c r="E6694">
        <v>424038</v>
      </c>
      <c r="F6694" t="s">
        <v>1</v>
      </c>
      <c r="G6694" t="s">
        <v>2</v>
      </c>
      <c r="H6694" t="s">
        <v>8196</v>
      </c>
      <c r="Y6694" t="s">
        <v>29099</v>
      </c>
    </row>
    <row r="6695" spans="1:25" x14ac:dyDescent="0.25">
      <c r="A6695" t="str">
        <f>"42749471973"</f>
        <v>42749471973</v>
      </c>
      <c r="B6695" t="s">
        <v>2104</v>
      </c>
      <c r="C6695" t="s">
        <v>11739</v>
      </c>
      <c r="D6695" t="s">
        <v>29100</v>
      </c>
      <c r="E6695">
        <v>424005</v>
      </c>
      <c r="F6695" t="s">
        <v>1</v>
      </c>
      <c r="G6695" t="s">
        <v>2</v>
      </c>
      <c r="H6695" t="s">
        <v>7480</v>
      </c>
      <c r="P6695" t="s">
        <v>941</v>
      </c>
      <c r="Q6695" t="s">
        <v>29101</v>
      </c>
      <c r="Y6695" t="s">
        <v>29102</v>
      </c>
    </row>
    <row r="6696" spans="1:25" x14ac:dyDescent="0.25">
      <c r="A6696" t="str">
        <f>"42755144070"</f>
        <v>42755144070</v>
      </c>
      <c r="B6696" t="s">
        <v>22502</v>
      </c>
      <c r="C6696" t="s">
        <v>29105</v>
      </c>
      <c r="D6696" t="s">
        <v>29103</v>
      </c>
      <c r="E6696">
        <v>424007</v>
      </c>
      <c r="F6696" t="s">
        <v>1</v>
      </c>
      <c r="G6696" t="s">
        <v>2</v>
      </c>
      <c r="H6696" t="s">
        <v>10252</v>
      </c>
      <c r="J6696" t="s">
        <v>29104</v>
      </c>
      <c r="P6696" t="s">
        <v>390</v>
      </c>
      <c r="Y6696" t="s">
        <v>10258</v>
      </c>
    </row>
    <row r="6697" spans="1:25" x14ac:dyDescent="0.25">
      <c r="A6697" t="str">
        <f>"42763198598"</f>
        <v>42763198598</v>
      </c>
      <c r="B6697" t="s">
        <v>348</v>
      </c>
      <c r="C6697" t="s">
        <v>21775</v>
      </c>
      <c r="D6697" t="s">
        <v>29106</v>
      </c>
      <c r="E6697">
        <v>424039</v>
      </c>
      <c r="F6697" t="s">
        <v>1</v>
      </c>
      <c r="G6697" t="s">
        <v>2</v>
      </c>
      <c r="H6697" t="s">
        <v>8694</v>
      </c>
      <c r="J6697" t="s">
        <v>29107</v>
      </c>
      <c r="Q6697" t="s">
        <v>29108</v>
      </c>
      <c r="Y6697" t="s">
        <v>12226</v>
      </c>
    </row>
    <row r="6698" spans="1:25" x14ac:dyDescent="0.25">
      <c r="A6698" t="str">
        <f>"42773559505"</f>
        <v>42773559505</v>
      </c>
      <c r="B6698" t="s">
        <v>25</v>
      </c>
      <c r="C6698" t="s">
        <v>20320</v>
      </c>
      <c r="D6698" t="s">
        <v>29109</v>
      </c>
      <c r="F6698" t="s">
        <v>1</v>
      </c>
      <c r="G6698" t="s">
        <v>2</v>
      </c>
      <c r="H6698" t="s">
        <v>19139</v>
      </c>
      <c r="I6698" t="s">
        <v>19140</v>
      </c>
      <c r="J6698" t="s">
        <v>29110</v>
      </c>
      <c r="M6698" t="s">
        <v>29111</v>
      </c>
      <c r="Y6698" t="s">
        <v>29112</v>
      </c>
    </row>
    <row r="6699" spans="1:25" x14ac:dyDescent="0.25">
      <c r="A6699" t="str">
        <f>"42821595003"</f>
        <v>42821595003</v>
      </c>
      <c r="B6699" t="s">
        <v>1152</v>
      </c>
      <c r="C6699" t="s">
        <v>29115</v>
      </c>
      <c r="D6699" t="s">
        <v>29113</v>
      </c>
      <c r="E6699">
        <v>424000</v>
      </c>
      <c r="F6699" t="s">
        <v>1</v>
      </c>
      <c r="G6699" t="s">
        <v>2</v>
      </c>
      <c r="H6699" t="s">
        <v>2193</v>
      </c>
      <c r="I6699" t="s">
        <v>29114</v>
      </c>
      <c r="P6699" t="s">
        <v>6400</v>
      </c>
      <c r="Y6699" t="s">
        <v>29116</v>
      </c>
    </row>
    <row r="6700" spans="1:25" x14ac:dyDescent="0.25">
      <c r="A6700" t="str">
        <f>"42872243257"</f>
        <v>42872243257</v>
      </c>
      <c r="B6700" t="s">
        <v>574</v>
      </c>
      <c r="C6700" t="s">
        <v>646</v>
      </c>
      <c r="D6700" t="s">
        <v>28599</v>
      </c>
      <c r="E6700">
        <v>424006</v>
      </c>
      <c r="F6700" t="s">
        <v>1</v>
      </c>
      <c r="G6700" t="s">
        <v>2</v>
      </c>
      <c r="H6700" t="s">
        <v>15013</v>
      </c>
      <c r="P6700" t="s">
        <v>410</v>
      </c>
      <c r="Y6700" t="s">
        <v>29117</v>
      </c>
    </row>
    <row r="6701" spans="1:25" x14ac:dyDescent="0.25">
      <c r="A6701" t="str">
        <f>"42884249544"</f>
        <v>42884249544</v>
      </c>
      <c r="B6701" t="s">
        <v>88</v>
      </c>
      <c r="C6701" t="s">
        <v>29119</v>
      </c>
      <c r="D6701" t="s">
        <v>29118</v>
      </c>
      <c r="E6701">
        <v>424019</v>
      </c>
      <c r="F6701" t="s">
        <v>1</v>
      </c>
      <c r="G6701" t="s">
        <v>2</v>
      </c>
      <c r="H6701" t="s">
        <v>12105</v>
      </c>
      <c r="Y6701" t="s">
        <v>29120</v>
      </c>
    </row>
    <row r="6702" spans="1:25" x14ac:dyDescent="0.25">
      <c r="A6702" t="str">
        <f>"42891129873"</f>
        <v>42891129873</v>
      </c>
      <c r="B6702" t="s">
        <v>1299</v>
      </c>
      <c r="C6702" t="s">
        <v>1300</v>
      </c>
      <c r="D6702" t="s">
        <v>29121</v>
      </c>
      <c r="E6702">
        <v>424006</v>
      </c>
      <c r="F6702" t="s">
        <v>1</v>
      </c>
      <c r="G6702" t="s">
        <v>2</v>
      </c>
      <c r="H6702" t="s">
        <v>2775</v>
      </c>
      <c r="Y6702" t="s">
        <v>29122</v>
      </c>
    </row>
    <row r="6703" spans="1:25" x14ac:dyDescent="0.25">
      <c r="A6703" t="str">
        <f>"42912829904"</f>
        <v>42912829904</v>
      </c>
      <c r="B6703" t="s">
        <v>1053</v>
      </c>
      <c r="C6703" t="s">
        <v>1927</v>
      </c>
      <c r="D6703" t="s">
        <v>29123</v>
      </c>
      <c r="F6703" t="s">
        <v>1</v>
      </c>
      <c r="G6703" t="s">
        <v>2</v>
      </c>
      <c r="H6703" t="s">
        <v>24703</v>
      </c>
      <c r="Y6703" t="s">
        <v>29124</v>
      </c>
    </row>
    <row r="6704" spans="1:25" x14ac:dyDescent="0.25">
      <c r="A6704" t="str">
        <f>"42913187773"</f>
        <v>42913187773</v>
      </c>
      <c r="B6704" t="s">
        <v>530</v>
      </c>
      <c r="C6704" t="s">
        <v>23950</v>
      </c>
      <c r="D6704" t="s">
        <v>23950</v>
      </c>
      <c r="F6704" t="s">
        <v>1</v>
      </c>
      <c r="G6704" t="s">
        <v>2</v>
      </c>
      <c r="H6704" t="s">
        <v>29125</v>
      </c>
      <c r="Y6704" t="s">
        <v>29126</v>
      </c>
    </row>
    <row r="6705" spans="1:25" x14ac:dyDescent="0.25">
      <c r="A6705" t="str">
        <f>"42914109138"</f>
        <v>42914109138</v>
      </c>
      <c r="B6705" t="s">
        <v>290</v>
      </c>
      <c r="C6705" t="s">
        <v>290</v>
      </c>
      <c r="D6705" t="s">
        <v>13563</v>
      </c>
      <c r="E6705">
        <v>424033</v>
      </c>
      <c r="F6705" t="s">
        <v>1</v>
      </c>
      <c r="G6705" t="s">
        <v>2</v>
      </c>
      <c r="H6705" t="s">
        <v>29127</v>
      </c>
      <c r="I6705" t="s">
        <v>29128</v>
      </c>
      <c r="L6705" t="s">
        <v>13565</v>
      </c>
      <c r="M6705" t="s">
        <v>13566</v>
      </c>
      <c r="P6705" t="s">
        <v>1642</v>
      </c>
      <c r="Q6705" t="s">
        <v>13567</v>
      </c>
      <c r="V6705" t="s">
        <v>13568</v>
      </c>
      <c r="Y6705" t="s">
        <v>29129</v>
      </c>
    </row>
    <row r="6706" spans="1:25" x14ac:dyDescent="0.25">
      <c r="A6706" t="str">
        <f>"42928556570"</f>
        <v>42928556570</v>
      </c>
      <c r="B6706" t="s">
        <v>4084</v>
      </c>
      <c r="C6706" t="s">
        <v>28282</v>
      </c>
      <c r="D6706" t="s">
        <v>28461</v>
      </c>
      <c r="E6706">
        <v>424019</v>
      </c>
      <c r="F6706" t="s">
        <v>1</v>
      </c>
      <c r="G6706" t="s">
        <v>2</v>
      </c>
      <c r="H6706" t="s">
        <v>7785</v>
      </c>
      <c r="P6706" t="s">
        <v>98</v>
      </c>
      <c r="Y6706" t="s">
        <v>29130</v>
      </c>
    </row>
    <row r="6707" spans="1:25" x14ac:dyDescent="0.25">
      <c r="A6707" t="str">
        <f>"42975401956"</f>
        <v>42975401956</v>
      </c>
      <c r="B6707" t="s">
        <v>12698</v>
      </c>
      <c r="C6707" t="s">
        <v>29132</v>
      </c>
      <c r="D6707" t="s">
        <v>29131</v>
      </c>
      <c r="F6707" t="s">
        <v>1</v>
      </c>
      <c r="G6707" t="s">
        <v>2</v>
      </c>
      <c r="H6707" t="s">
        <v>7547</v>
      </c>
      <c r="Y6707" t="s">
        <v>29133</v>
      </c>
    </row>
    <row r="6708" spans="1:25" x14ac:dyDescent="0.25">
      <c r="A6708" t="str">
        <f>"43033146649"</f>
        <v>43033146649</v>
      </c>
      <c r="B6708" t="s">
        <v>1299</v>
      </c>
      <c r="C6708" t="s">
        <v>1300</v>
      </c>
      <c r="D6708" t="s">
        <v>29134</v>
      </c>
      <c r="E6708">
        <v>424003</v>
      </c>
      <c r="F6708" t="s">
        <v>1</v>
      </c>
      <c r="G6708" t="s">
        <v>2</v>
      </c>
      <c r="H6708" t="s">
        <v>15183</v>
      </c>
      <c r="I6708" t="s">
        <v>29135</v>
      </c>
      <c r="L6708" t="s">
        <v>29136</v>
      </c>
      <c r="M6708" t="s">
        <v>29137</v>
      </c>
      <c r="P6708" t="s">
        <v>2258</v>
      </c>
      <c r="Y6708" t="s">
        <v>29138</v>
      </c>
    </row>
    <row r="6709" spans="1:25" x14ac:dyDescent="0.25">
      <c r="A6709" t="str">
        <f>"43063288418"</f>
        <v>43063288418</v>
      </c>
      <c r="B6709" t="s">
        <v>538</v>
      </c>
      <c r="C6709" t="s">
        <v>539</v>
      </c>
      <c r="D6709" t="s">
        <v>29139</v>
      </c>
      <c r="E6709">
        <v>424028</v>
      </c>
      <c r="F6709" t="s">
        <v>1</v>
      </c>
      <c r="G6709" t="s">
        <v>2</v>
      </c>
      <c r="H6709" t="s">
        <v>29140</v>
      </c>
      <c r="I6709" t="s">
        <v>29141</v>
      </c>
      <c r="L6709" t="s">
        <v>3631</v>
      </c>
      <c r="M6709" t="s">
        <v>29142</v>
      </c>
      <c r="Y6709" t="s">
        <v>29143</v>
      </c>
    </row>
    <row r="6710" spans="1:25" x14ac:dyDescent="0.25">
      <c r="A6710" t="str">
        <f>"43147342228"</f>
        <v>43147342228</v>
      </c>
      <c r="B6710" t="s">
        <v>624</v>
      </c>
      <c r="C6710" t="s">
        <v>29146</v>
      </c>
      <c r="D6710" t="s">
        <v>29144</v>
      </c>
      <c r="F6710" t="s">
        <v>1</v>
      </c>
      <c r="G6710" t="s">
        <v>2</v>
      </c>
      <c r="H6710" t="s">
        <v>2586</v>
      </c>
      <c r="I6710" t="s">
        <v>29145</v>
      </c>
      <c r="P6710" t="s">
        <v>2084</v>
      </c>
      <c r="Y6710" t="s">
        <v>23342</v>
      </c>
    </row>
    <row r="6711" spans="1:25" x14ac:dyDescent="0.25">
      <c r="A6711" t="str">
        <f>"43160080543"</f>
        <v>43160080543</v>
      </c>
      <c r="B6711" t="s">
        <v>591</v>
      </c>
      <c r="C6711" t="s">
        <v>592</v>
      </c>
      <c r="D6711" t="s">
        <v>29147</v>
      </c>
      <c r="E6711">
        <v>424004</v>
      </c>
      <c r="F6711" t="s">
        <v>1</v>
      </c>
      <c r="G6711" t="s">
        <v>2</v>
      </c>
      <c r="H6711" t="s">
        <v>186</v>
      </c>
      <c r="J6711" t="s">
        <v>29148</v>
      </c>
      <c r="L6711" t="s">
        <v>29149</v>
      </c>
      <c r="Y6711" t="s">
        <v>190</v>
      </c>
    </row>
    <row r="6712" spans="1:25" x14ac:dyDescent="0.25">
      <c r="A6712" t="str">
        <f>"43165656331"</f>
        <v>43165656331</v>
      </c>
      <c r="B6712" t="s">
        <v>1611</v>
      </c>
      <c r="C6712" t="s">
        <v>11688</v>
      </c>
      <c r="D6712" t="s">
        <v>29150</v>
      </c>
      <c r="E6712">
        <v>424005</v>
      </c>
      <c r="F6712" t="s">
        <v>1</v>
      </c>
      <c r="G6712" t="s">
        <v>2</v>
      </c>
      <c r="H6712" t="s">
        <v>11683</v>
      </c>
      <c r="P6712" t="s">
        <v>330</v>
      </c>
      <c r="Y6712" t="s">
        <v>29151</v>
      </c>
    </row>
    <row r="6713" spans="1:25" x14ac:dyDescent="0.25">
      <c r="A6713" t="str">
        <f>"43175099199"</f>
        <v>43175099199</v>
      </c>
      <c r="B6713" t="s">
        <v>930</v>
      </c>
      <c r="C6713" t="s">
        <v>29157</v>
      </c>
      <c r="D6713" t="s">
        <v>29152</v>
      </c>
      <c r="E6713">
        <v>424037</v>
      </c>
      <c r="F6713" t="s">
        <v>1</v>
      </c>
      <c r="G6713" t="s">
        <v>2</v>
      </c>
      <c r="H6713" t="s">
        <v>29153</v>
      </c>
      <c r="I6713" t="s">
        <v>29154</v>
      </c>
      <c r="J6713" t="s">
        <v>29155</v>
      </c>
      <c r="L6713" t="s">
        <v>46</v>
      </c>
      <c r="M6713" t="s">
        <v>29156</v>
      </c>
      <c r="P6713" t="s">
        <v>10632</v>
      </c>
      <c r="Q6713" t="s">
        <v>29158</v>
      </c>
      <c r="Y6713" t="s">
        <v>29159</v>
      </c>
    </row>
    <row r="6714" spans="1:25" x14ac:dyDescent="0.25">
      <c r="A6714" t="str">
        <f>"43188777126"</f>
        <v>43188777126</v>
      </c>
      <c r="B6714" t="s">
        <v>530</v>
      </c>
      <c r="C6714" t="s">
        <v>23950</v>
      </c>
      <c r="D6714" t="s">
        <v>23950</v>
      </c>
      <c r="E6714">
        <v>424039</v>
      </c>
      <c r="F6714" t="s">
        <v>1</v>
      </c>
      <c r="G6714" t="s">
        <v>2</v>
      </c>
      <c r="H6714" t="s">
        <v>29160</v>
      </c>
      <c r="Y6714" t="s">
        <v>29161</v>
      </c>
    </row>
    <row r="6715" spans="1:25" x14ac:dyDescent="0.25">
      <c r="A6715" t="str">
        <f>"43223765591"</f>
        <v>43223765591</v>
      </c>
      <c r="B6715" t="s">
        <v>96</v>
      </c>
      <c r="C6715" t="s">
        <v>29163</v>
      </c>
      <c r="D6715" t="s">
        <v>29162</v>
      </c>
      <c r="E6715">
        <v>424002</v>
      </c>
      <c r="F6715" t="s">
        <v>1</v>
      </c>
      <c r="G6715" t="s">
        <v>2</v>
      </c>
      <c r="H6715" t="s">
        <v>3864</v>
      </c>
      <c r="P6715" t="s">
        <v>1760</v>
      </c>
      <c r="Y6715" t="s">
        <v>3867</v>
      </c>
    </row>
    <row r="6716" spans="1:25" x14ac:dyDescent="0.25">
      <c r="A6716" t="str">
        <f>"43237167257"</f>
        <v>43237167257</v>
      </c>
      <c r="B6716" t="s">
        <v>640</v>
      </c>
      <c r="C6716" t="s">
        <v>29164</v>
      </c>
      <c r="D6716" t="s">
        <v>29164</v>
      </c>
      <c r="E6716">
        <v>424002</v>
      </c>
      <c r="F6716" t="s">
        <v>1</v>
      </c>
      <c r="G6716" t="s">
        <v>2</v>
      </c>
      <c r="H6716" t="s">
        <v>29165</v>
      </c>
      <c r="Y6716" t="s">
        <v>29166</v>
      </c>
    </row>
    <row r="6717" spans="1:25" x14ac:dyDescent="0.25">
      <c r="A6717" t="str">
        <f>"43274224460"</f>
        <v>43274224460</v>
      </c>
      <c r="B6717" t="s">
        <v>32</v>
      </c>
      <c r="C6717" t="s">
        <v>40</v>
      </c>
      <c r="D6717" t="s">
        <v>29167</v>
      </c>
      <c r="F6717" t="s">
        <v>1</v>
      </c>
      <c r="G6717" t="s">
        <v>2</v>
      </c>
      <c r="H6717" t="s">
        <v>4446</v>
      </c>
      <c r="Y6717" t="s">
        <v>29168</v>
      </c>
    </row>
    <row r="6718" spans="1:25" x14ac:dyDescent="0.25">
      <c r="A6718" t="str">
        <f>"43285868515"</f>
        <v>43285868515</v>
      </c>
      <c r="B6718" t="s">
        <v>18</v>
      </c>
      <c r="C6718" t="s">
        <v>29174</v>
      </c>
      <c r="D6718" t="s">
        <v>29169</v>
      </c>
      <c r="E6718">
        <v>424032</v>
      </c>
      <c r="F6718" t="s">
        <v>1</v>
      </c>
      <c r="G6718" t="s">
        <v>2</v>
      </c>
      <c r="H6718" t="s">
        <v>7410</v>
      </c>
      <c r="I6718" t="s">
        <v>29170</v>
      </c>
      <c r="J6718" t="s">
        <v>29171</v>
      </c>
      <c r="L6718" t="s">
        <v>29172</v>
      </c>
      <c r="M6718" t="s">
        <v>29173</v>
      </c>
      <c r="P6718" t="s">
        <v>29175</v>
      </c>
      <c r="Y6718" t="s">
        <v>17267</v>
      </c>
    </row>
    <row r="6719" spans="1:25" x14ac:dyDescent="0.25">
      <c r="A6719" t="str">
        <f>"43318859659"</f>
        <v>43318859659</v>
      </c>
      <c r="B6719" t="s">
        <v>224</v>
      </c>
      <c r="C6719" t="s">
        <v>29179</v>
      </c>
      <c r="D6719" t="s">
        <v>29176</v>
      </c>
      <c r="E6719">
        <v>424028</v>
      </c>
      <c r="F6719" t="s">
        <v>1</v>
      </c>
      <c r="G6719" t="s">
        <v>2</v>
      </c>
      <c r="H6719" t="s">
        <v>8743</v>
      </c>
      <c r="I6719" t="s">
        <v>29177</v>
      </c>
      <c r="J6719" t="s">
        <v>29178</v>
      </c>
      <c r="P6719" t="s">
        <v>11503</v>
      </c>
      <c r="Y6719" t="s">
        <v>29180</v>
      </c>
    </row>
    <row r="6720" spans="1:25" x14ac:dyDescent="0.25">
      <c r="A6720" t="str">
        <f>"43327909247"</f>
        <v>43327909247</v>
      </c>
      <c r="B6720" t="s">
        <v>7</v>
      </c>
      <c r="C6720" t="s">
        <v>29185</v>
      </c>
      <c r="D6720" t="s">
        <v>29181</v>
      </c>
      <c r="E6720">
        <v>424000</v>
      </c>
      <c r="F6720" t="s">
        <v>1</v>
      </c>
      <c r="G6720" t="s">
        <v>2</v>
      </c>
      <c r="H6720" t="s">
        <v>1746</v>
      </c>
      <c r="I6720" t="s">
        <v>29182</v>
      </c>
      <c r="L6720" t="s">
        <v>29183</v>
      </c>
      <c r="M6720" t="s">
        <v>29184</v>
      </c>
      <c r="P6720" t="s">
        <v>27</v>
      </c>
      <c r="Q6720" t="s">
        <v>29186</v>
      </c>
      <c r="T6720" t="s">
        <v>29187</v>
      </c>
      <c r="V6720" t="s">
        <v>29188</v>
      </c>
      <c r="Y6720" t="s">
        <v>14431</v>
      </c>
    </row>
    <row r="6721" spans="1:25" x14ac:dyDescent="0.25">
      <c r="A6721" t="str">
        <f>"43409611903"</f>
        <v>43409611903</v>
      </c>
      <c r="B6721" t="s">
        <v>1323</v>
      </c>
      <c r="C6721" t="s">
        <v>1324</v>
      </c>
      <c r="D6721" t="s">
        <v>29189</v>
      </c>
      <c r="E6721">
        <v>424000</v>
      </c>
      <c r="F6721" t="s">
        <v>1</v>
      </c>
      <c r="G6721" t="s">
        <v>2</v>
      </c>
      <c r="H6721" t="s">
        <v>4492</v>
      </c>
      <c r="I6721" t="s">
        <v>29190</v>
      </c>
      <c r="L6721" t="s">
        <v>2444</v>
      </c>
      <c r="M6721" t="s">
        <v>29191</v>
      </c>
      <c r="P6721" t="s">
        <v>1071</v>
      </c>
      <c r="Y6721" t="s">
        <v>29192</v>
      </c>
    </row>
    <row r="6722" spans="1:25" x14ac:dyDescent="0.25">
      <c r="A6722" t="str">
        <f>"43438304894"</f>
        <v>43438304894</v>
      </c>
      <c r="B6722" t="s">
        <v>1544</v>
      </c>
      <c r="C6722" t="s">
        <v>15598</v>
      </c>
      <c r="D6722" t="s">
        <v>23165</v>
      </c>
      <c r="E6722">
        <v>424032</v>
      </c>
      <c r="F6722" t="s">
        <v>1</v>
      </c>
      <c r="G6722" t="s">
        <v>2</v>
      </c>
      <c r="H6722" t="s">
        <v>29193</v>
      </c>
      <c r="Y6722" t="s">
        <v>29194</v>
      </c>
    </row>
    <row r="6723" spans="1:25" x14ac:dyDescent="0.25">
      <c r="A6723" t="str">
        <f>"43445963124"</f>
        <v>43445963124</v>
      </c>
      <c r="B6723" t="s">
        <v>530</v>
      </c>
      <c r="C6723" t="s">
        <v>5046</v>
      </c>
      <c r="D6723" t="s">
        <v>29195</v>
      </c>
      <c r="E6723">
        <v>424006</v>
      </c>
      <c r="F6723" t="s">
        <v>1</v>
      </c>
      <c r="G6723" t="s">
        <v>2</v>
      </c>
      <c r="H6723" t="s">
        <v>29196</v>
      </c>
      <c r="Y6723" t="s">
        <v>29197</v>
      </c>
    </row>
    <row r="6724" spans="1:25" x14ac:dyDescent="0.25">
      <c r="A6724" t="str">
        <f>"43452798991"</f>
        <v>43452798991</v>
      </c>
      <c r="B6724" t="s">
        <v>687</v>
      </c>
      <c r="C6724" t="s">
        <v>29199</v>
      </c>
      <c r="D6724" t="s">
        <v>11310</v>
      </c>
      <c r="E6724">
        <v>424006</v>
      </c>
      <c r="F6724" t="s">
        <v>1</v>
      </c>
      <c r="G6724" t="s">
        <v>2</v>
      </c>
      <c r="H6724" t="s">
        <v>8482</v>
      </c>
      <c r="J6724" t="s">
        <v>29198</v>
      </c>
      <c r="P6724" t="s">
        <v>2296</v>
      </c>
      <c r="Y6724" t="s">
        <v>25853</v>
      </c>
    </row>
    <row r="6725" spans="1:25" x14ac:dyDescent="0.25">
      <c r="A6725" t="str">
        <f>"43484376174"</f>
        <v>43484376174</v>
      </c>
      <c r="B6725" t="s">
        <v>25</v>
      </c>
      <c r="C6725" t="s">
        <v>59</v>
      </c>
      <c r="D6725" t="s">
        <v>29200</v>
      </c>
      <c r="E6725">
        <v>424002</v>
      </c>
      <c r="F6725" t="s">
        <v>1</v>
      </c>
      <c r="G6725" t="s">
        <v>2</v>
      </c>
      <c r="H6725" t="s">
        <v>3098</v>
      </c>
      <c r="I6725" t="s">
        <v>29201</v>
      </c>
      <c r="P6725" t="s">
        <v>27</v>
      </c>
      <c r="Y6725" t="s">
        <v>29202</v>
      </c>
    </row>
    <row r="6726" spans="1:25" x14ac:dyDescent="0.25">
      <c r="A6726" t="str">
        <f>"43504197298"</f>
        <v>43504197298</v>
      </c>
      <c r="B6726" t="s">
        <v>530</v>
      </c>
      <c r="C6726" t="s">
        <v>23950</v>
      </c>
      <c r="D6726" t="s">
        <v>23950</v>
      </c>
      <c r="F6726" t="s">
        <v>1</v>
      </c>
      <c r="G6726" t="s">
        <v>2</v>
      </c>
      <c r="H6726" t="s">
        <v>29203</v>
      </c>
      <c r="Y6726" t="s">
        <v>29204</v>
      </c>
    </row>
    <row r="6727" spans="1:25" x14ac:dyDescent="0.25">
      <c r="A6727" t="str">
        <f>"43521401418"</f>
        <v>43521401418</v>
      </c>
      <c r="B6727" t="s">
        <v>96</v>
      </c>
      <c r="C6727" t="s">
        <v>893</v>
      </c>
      <c r="D6727" t="s">
        <v>29205</v>
      </c>
      <c r="E6727">
        <v>424005</v>
      </c>
      <c r="F6727" t="s">
        <v>1</v>
      </c>
      <c r="G6727" t="s">
        <v>2</v>
      </c>
      <c r="H6727" t="s">
        <v>1298</v>
      </c>
      <c r="Y6727" t="s">
        <v>1301</v>
      </c>
    </row>
    <row r="6728" spans="1:25" x14ac:dyDescent="0.25">
      <c r="A6728" t="str">
        <f>"43525976043"</f>
        <v>43525976043</v>
      </c>
      <c r="B6728" t="s">
        <v>462</v>
      </c>
      <c r="C6728" t="s">
        <v>1140</v>
      </c>
      <c r="D6728" t="s">
        <v>29206</v>
      </c>
      <c r="E6728">
        <v>424001</v>
      </c>
      <c r="F6728" t="s">
        <v>1</v>
      </c>
      <c r="G6728" t="s">
        <v>2</v>
      </c>
      <c r="H6728" t="s">
        <v>919</v>
      </c>
      <c r="I6728" t="s">
        <v>29207</v>
      </c>
      <c r="L6728" t="s">
        <v>29208</v>
      </c>
      <c r="M6728" t="s">
        <v>29209</v>
      </c>
      <c r="P6728" t="s">
        <v>2839</v>
      </c>
      <c r="Q6728" t="s">
        <v>29210</v>
      </c>
      <c r="T6728" t="s">
        <v>29211</v>
      </c>
      <c r="V6728" t="s">
        <v>29212</v>
      </c>
      <c r="Y6728" t="s">
        <v>1750</v>
      </c>
    </row>
    <row r="6729" spans="1:25" x14ac:dyDescent="0.25">
      <c r="A6729" t="str">
        <f>"43540175021"</f>
        <v>43540175021</v>
      </c>
      <c r="B6729" t="s">
        <v>1391</v>
      </c>
      <c r="C6729" t="s">
        <v>1392</v>
      </c>
      <c r="D6729" t="s">
        <v>1615</v>
      </c>
      <c r="E6729">
        <v>424007</v>
      </c>
      <c r="F6729" t="s">
        <v>1</v>
      </c>
      <c r="G6729" t="s">
        <v>2</v>
      </c>
      <c r="H6729" t="s">
        <v>11314</v>
      </c>
      <c r="J6729" t="s">
        <v>29213</v>
      </c>
      <c r="P6729" t="s">
        <v>1404</v>
      </c>
      <c r="Y6729" t="s">
        <v>11316</v>
      </c>
    </row>
    <row r="6730" spans="1:25" x14ac:dyDescent="0.25">
      <c r="A6730" t="str">
        <f>"43562609801"</f>
        <v>43562609801</v>
      </c>
      <c r="B6730" t="s">
        <v>530</v>
      </c>
      <c r="C6730" t="s">
        <v>23950</v>
      </c>
      <c r="D6730" t="s">
        <v>23950</v>
      </c>
      <c r="E6730">
        <v>424030</v>
      </c>
      <c r="F6730" t="s">
        <v>1</v>
      </c>
      <c r="G6730" t="s">
        <v>2</v>
      </c>
      <c r="H6730" t="s">
        <v>13187</v>
      </c>
      <c r="Y6730" t="s">
        <v>29214</v>
      </c>
    </row>
    <row r="6731" spans="1:25" x14ac:dyDescent="0.25">
      <c r="A6731" t="str">
        <f>"43609172426"</f>
        <v>43609172426</v>
      </c>
      <c r="B6731" t="s">
        <v>96</v>
      </c>
      <c r="C6731" t="s">
        <v>695</v>
      </c>
      <c r="D6731" t="s">
        <v>29215</v>
      </c>
      <c r="E6731">
        <v>424038</v>
      </c>
      <c r="F6731" t="s">
        <v>1</v>
      </c>
      <c r="G6731" t="s">
        <v>2</v>
      </c>
      <c r="H6731" t="s">
        <v>2614</v>
      </c>
      <c r="Y6731" t="s">
        <v>2617</v>
      </c>
    </row>
    <row r="6732" spans="1:25" x14ac:dyDescent="0.25">
      <c r="A6732" t="str">
        <f>"43633216314"</f>
        <v>43633216314</v>
      </c>
      <c r="B6732" t="s">
        <v>96</v>
      </c>
      <c r="C6732" t="s">
        <v>893</v>
      </c>
      <c r="D6732" t="s">
        <v>29216</v>
      </c>
      <c r="E6732">
        <v>424000</v>
      </c>
      <c r="F6732" t="s">
        <v>1</v>
      </c>
      <c r="G6732" t="s">
        <v>2</v>
      </c>
      <c r="H6732" t="s">
        <v>1531</v>
      </c>
      <c r="Y6732" t="s">
        <v>1707</v>
      </c>
    </row>
    <row r="6733" spans="1:25" x14ac:dyDescent="0.25">
      <c r="A6733" t="str">
        <f>"43687822864"</f>
        <v>43687822864</v>
      </c>
      <c r="B6733" t="s">
        <v>96</v>
      </c>
      <c r="C6733" t="s">
        <v>7071</v>
      </c>
      <c r="D6733" t="s">
        <v>29217</v>
      </c>
      <c r="E6733">
        <v>424031</v>
      </c>
      <c r="F6733" t="s">
        <v>1</v>
      </c>
      <c r="G6733" t="s">
        <v>2</v>
      </c>
      <c r="H6733" t="s">
        <v>239</v>
      </c>
      <c r="I6733" t="s">
        <v>29218</v>
      </c>
      <c r="P6733" t="s">
        <v>29219</v>
      </c>
      <c r="Y6733" t="s">
        <v>246</v>
      </c>
    </row>
    <row r="6734" spans="1:25" x14ac:dyDescent="0.25">
      <c r="A6734" t="str">
        <f>"43688600439"</f>
        <v>43688600439</v>
      </c>
      <c r="B6734" t="s">
        <v>204</v>
      </c>
      <c r="C6734" t="s">
        <v>7914</v>
      </c>
      <c r="D6734" t="s">
        <v>29220</v>
      </c>
      <c r="E6734">
        <v>424033</v>
      </c>
      <c r="F6734" t="s">
        <v>1</v>
      </c>
      <c r="G6734" t="s">
        <v>2</v>
      </c>
      <c r="H6734" t="s">
        <v>22290</v>
      </c>
      <c r="J6734" t="s">
        <v>29221</v>
      </c>
      <c r="P6734" t="s">
        <v>144</v>
      </c>
      <c r="V6734" t="s">
        <v>29222</v>
      </c>
      <c r="Y6734" t="s">
        <v>29223</v>
      </c>
    </row>
    <row r="6735" spans="1:25" x14ac:dyDescent="0.25">
      <c r="A6735" t="str">
        <f>"43705556370"</f>
        <v>43705556370</v>
      </c>
      <c r="B6735" t="s">
        <v>25</v>
      </c>
      <c r="C6735" t="s">
        <v>20320</v>
      </c>
      <c r="D6735" t="s">
        <v>29224</v>
      </c>
      <c r="E6735">
        <v>424039</v>
      </c>
      <c r="F6735" t="s">
        <v>1</v>
      </c>
      <c r="G6735" t="s">
        <v>2</v>
      </c>
      <c r="H6735" t="s">
        <v>17278</v>
      </c>
      <c r="Y6735" t="s">
        <v>29225</v>
      </c>
    </row>
    <row r="6736" spans="1:25" x14ac:dyDescent="0.25">
      <c r="A6736" t="str">
        <f>"43732062891"</f>
        <v>43732062891</v>
      </c>
      <c r="B6736" t="s">
        <v>96</v>
      </c>
      <c r="C6736" t="s">
        <v>2285</v>
      </c>
      <c r="D6736" t="s">
        <v>11860</v>
      </c>
      <c r="E6736">
        <v>424918</v>
      </c>
      <c r="F6736" t="s">
        <v>1</v>
      </c>
      <c r="G6736" t="s">
        <v>2</v>
      </c>
      <c r="H6736" t="s">
        <v>629</v>
      </c>
      <c r="P6736" t="s">
        <v>630</v>
      </c>
      <c r="Y6736" t="s">
        <v>29226</v>
      </c>
    </row>
    <row r="6737" spans="1:25" x14ac:dyDescent="0.25">
      <c r="A6737" t="str">
        <f>"43741470131"</f>
        <v>43741470131</v>
      </c>
      <c r="B6737" t="s">
        <v>352</v>
      </c>
      <c r="C6737" t="s">
        <v>29229</v>
      </c>
      <c r="D6737" t="s">
        <v>29227</v>
      </c>
      <c r="E6737">
        <v>424007</v>
      </c>
      <c r="F6737" t="s">
        <v>1</v>
      </c>
      <c r="G6737" t="s">
        <v>2</v>
      </c>
      <c r="H6737" t="s">
        <v>4321</v>
      </c>
      <c r="M6737" t="s">
        <v>29228</v>
      </c>
      <c r="P6737" t="s">
        <v>10416</v>
      </c>
      <c r="Y6737" t="s">
        <v>29230</v>
      </c>
    </row>
    <row r="6738" spans="1:25" x14ac:dyDescent="0.25">
      <c r="A6738" t="str">
        <f>"43778943034"</f>
        <v>43778943034</v>
      </c>
      <c r="B6738" t="s">
        <v>18</v>
      </c>
      <c r="C6738" t="s">
        <v>29231</v>
      </c>
      <c r="D6738" t="s">
        <v>26345</v>
      </c>
      <c r="E6738">
        <v>424016</v>
      </c>
      <c r="F6738" t="s">
        <v>1</v>
      </c>
      <c r="G6738" t="s">
        <v>2</v>
      </c>
      <c r="H6738" t="s">
        <v>5561</v>
      </c>
      <c r="Y6738" t="s">
        <v>29232</v>
      </c>
    </row>
    <row r="6739" spans="1:25" x14ac:dyDescent="0.25">
      <c r="A6739" t="str">
        <f>"43793137631"</f>
        <v>43793137631</v>
      </c>
      <c r="B6739" t="s">
        <v>290</v>
      </c>
      <c r="C6739" t="s">
        <v>290</v>
      </c>
      <c r="D6739" t="s">
        <v>28272</v>
      </c>
      <c r="E6739">
        <v>424028</v>
      </c>
      <c r="F6739" t="s">
        <v>1</v>
      </c>
      <c r="G6739" t="s">
        <v>2</v>
      </c>
      <c r="H6739" t="s">
        <v>4480</v>
      </c>
      <c r="P6739" t="s">
        <v>4459</v>
      </c>
      <c r="Y6739" t="s">
        <v>29233</v>
      </c>
    </row>
    <row r="6740" spans="1:25" x14ac:dyDescent="0.25">
      <c r="A6740" t="str">
        <f>"43806477523"</f>
        <v>43806477523</v>
      </c>
      <c r="B6740" t="s">
        <v>1544</v>
      </c>
      <c r="C6740" t="s">
        <v>15598</v>
      </c>
      <c r="D6740" t="s">
        <v>29234</v>
      </c>
      <c r="E6740">
        <v>424000</v>
      </c>
      <c r="F6740" t="s">
        <v>1</v>
      </c>
      <c r="G6740" t="s">
        <v>2</v>
      </c>
      <c r="H6740" t="s">
        <v>128</v>
      </c>
      <c r="Y6740" t="s">
        <v>29235</v>
      </c>
    </row>
    <row r="6741" spans="1:25" x14ac:dyDescent="0.25">
      <c r="A6741" t="str">
        <f>"43810802104"</f>
        <v>43810802104</v>
      </c>
      <c r="B6741" t="s">
        <v>574</v>
      </c>
      <c r="C6741" t="s">
        <v>952</v>
      </c>
      <c r="D6741" t="s">
        <v>26311</v>
      </c>
      <c r="E6741">
        <v>424038</v>
      </c>
      <c r="F6741" t="s">
        <v>1</v>
      </c>
      <c r="G6741" t="s">
        <v>2</v>
      </c>
      <c r="H6741" t="s">
        <v>16183</v>
      </c>
      <c r="Y6741" t="s">
        <v>29236</v>
      </c>
    </row>
    <row r="6742" spans="1:25" x14ac:dyDescent="0.25">
      <c r="A6742" t="str">
        <f>"43878424302"</f>
        <v>43878424302</v>
      </c>
      <c r="B6742" t="s">
        <v>18</v>
      </c>
      <c r="C6742" t="s">
        <v>4522</v>
      </c>
      <c r="D6742" t="s">
        <v>29237</v>
      </c>
      <c r="E6742">
        <v>424006</v>
      </c>
      <c r="F6742" t="s">
        <v>1</v>
      </c>
      <c r="G6742" t="s">
        <v>2</v>
      </c>
      <c r="H6742" t="s">
        <v>2825</v>
      </c>
      <c r="L6742" t="s">
        <v>29238</v>
      </c>
      <c r="M6742" t="s">
        <v>29239</v>
      </c>
      <c r="Y6742" t="s">
        <v>2832</v>
      </c>
    </row>
    <row r="6743" spans="1:25" x14ac:dyDescent="0.25">
      <c r="A6743" t="str">
        <f>"43900932266"</f>
        <v>43900932266</v>
      </c>
      <c r="B6743" t="s">
        <v>4084</v>
      </c>
      <c r="C6743" t="s">
        <v>28282</v>
      </c>
      <c r="D6743" t="s">
        <v>28461</v>
      </c>
      <c r="E6743">
        <v>424033</v>
      </c>
      <c r="F6743" t="s">
        <v>1</v>
      </c>
      <c r="G6743" t="s">
        <v>2</v>
      </c>
      <c r="H6743" t="s">
        <v>6126</v>
      </c>
      <c r="Y6743" t="s">
        <v>25024</v>
      </c>
    </row>
    <row r="6744" spans="1:25" x14ac:dyDescent="0.25">
      <c r="A6744" t="str">
        <f>"43930729204"</f>
        <v>43930729204</v>
      </c>
      <c r="B6744" t="s">
        <v>930</v>
      </c>
      <c r="C6744" t="s">
        <v>12649</v>
      </c>
      <c r="D6744" t="s">
        <v>29240</v>
      </c>
      <c r="E6744">
        <v>424008</v>
      </c>
      <c r="F6744" t="s">
        <v>1</v>
      </c>
      <c r="G6744" t="s">
        <v>2</v>
      </c>
      <c r="H6744" t="s">
        <v>11833</v>
      </c>
      <c r="J6744" t="s">
        <v>29241</v>
      </c>
      <c r="P6744" t="s">
        <v>27</v>
      </c>
      <c r="Y6744" t="s">
        <v>16542</v>
      </c>
    </row>
    <row r="6745" spans="1:25" x14ac:dyDescent="0.25">
      <c r="A6745" t="str">
        <f>"43937309083"</f>
        <v>43937309083</v>
      </c>
      <c r="B6745" t="s">
        <v>32</v>
      </c>
      <c r="C6745" t="s">
        <v>182</v>
      </c>
      <c r="D6745" t="s">
        <v>11478</v>
      </c>
      <c r="E6745">
        <v>424000</v>
      </c>
      <c r="F6745" t="s">
        <v>1</v>
      </c>
      <c r="G6745" t="s">
        <v>2</v>
      </c>
      <c r="H6745" t="s">
        <v>1746</v>
      </c>
      <c r="Y6745" t="s">
        <v>14431</v>
      </c>
    </row>
    <row r="6746" spans="1:25" x14ac:dyDescent="0.25">
      <c r="A6746" t="str">
        <f>"43950961905"</f>
        <v>43950961905</v>
      </c>
      <c r="B6746" t="s">
        <v>348</v>
      </c>
      <c r="C6746" t="s">
        <v>4366</v>
      </c>
      <c r="D6746" t="s">
        <v>19151</v>
      </c>
      <c r="F6746" t="s">
        <v>1</v>
      </c>
      <c r="G6746" t="s">
        <v>2</v>
      </c>
      <c r="H6746" t="s">
        <v>138</v>
      </c>
      <c r="J6746" t="s">
        <v>29242</v>
      </c>
      <c r="L6746" t="s">
        <v>19154</v>
      </c>
      <c r="M6746" t="s">
        <v>29243</v>
      </c>
      <c r="P6746" t="s">
        <v>144</v>
      </c>
      <c r="Y6746" t="s">
        <v>146</v>
      </c>
    </row>
    <row r="6747" spans="1:25" x14ac:dyDescent="0.25">
      <c r="A6747" t="str">
        <f>"43960067465"</f>
        <v>43960067465</v>
      </c>
      <c r="B6747" t="s">
        <v>574</v>
      </c>
      <c r="C6747" t="s">
        <v>14269</v>
      </c>
      <c r="D6747" t="s">
        <v>29244</v>
      </c>
      <c r="E6747">
        <v>424006</v>
      </c>
      <c r="F6747" t="s">
        <v>1</v>
      </c>
      <c r="G6747" t="s">
        <v>2</v>
      </c>
      <c r="H6747" t="s">
        <v>29245</v>
      </c>
      <c r="Y6747" t="s">
        <v>29246</v>
      </c>
    </row>
    <row r="6748" spans="1:25" x14ac:dyDescent="0.25">
      <c r="A6748" t="str">
        <f>"43963202542"</f>
        <v>43963202542</v>
      </c>
      <c r="B6748" t="s">
        <v>519</v>
      </c>
      <c r="C6748" t="s">
        <v>23996</v>
      </c>
      <c r="D6748" t="s">
        <v>13519</v>
      </c>
      <c r="E6748">
        <v>424020</v>
      </c>
      <c r="F6748" t="s">
        <v>1</v>
      </c>
      <c r="G6748" t="s">
        <v>2</v>
      </c>
      <c r="H6748" t="s">
        <v>10825</v>
      </c>
      <c r="Y6748" t="s">
        <v>26856</v>
      </c>
    </row>
    <row r="6749" spans="1:25" x14ac:dyDescent="0.25">
      <c r="A6749" t="str">
        <f>"43966968788"</f>
        <v>43966968788</v>
      </c>
      <c r="B6749" t="s">
        <v>397</v>
      </c>
      <c r="C6749" t="s">
        <v>5148</v>
      </c>
      <c r="D6749" t="s">
        <v>29247</v>
      </c>
      <c r="E6749">
        <v>424006</v>
      </c>
      <c r="F6749" t="s">
        <v>1</v>
      </c>
      <c r="G6749" t="s">
        <v>2</v>
      </c>
      <c r="H6749" t="s">
        <v>1890</v>
      </c>
      <c r="J6749" t="s">
        <v>29248</v>
      </c>
      <c r="Y6749" t="s">
        <v>1893</v>
      </c>
    </row>
    <row r="6750" spans="1:25" x14ac:dyDescent="0.25">
      <c r="A6750" t="str">
        <f>"43999020346"</f>
        <v>43999020346</v>
      </c>
      <c r="B6750" t="s">
        <v>888</v>
      </c>
      <c r="C6750" t="s">
        <v>7389</v>
      </c>
      <c r="D6750" t="s">
        <v>29249</v>
      </c>
      <c r="E6750">
        <v>424002</v>
      </c>
      <c r="F6750" t="s">
        <v>1</v>
      </c>
      <c r="G6750" t="s">
        <v>2</v>
      </c>
      <c r="H6750" t="s">
        <v>22908</v>
      </c>
      <c r="J6750" t="s">
        <v>29250</v>
      </c>
      <c r="L6750" t="s">
        <v>29251</v>
      </c>
      <c r="Q6750" t="s">
        <v>29252</v>
      </c>
      <c r="Y6750" t="s">
        <v>29253</v>
      </c>
    </row>
    <row r="6751" spans="1:25" x14ac:dyDescent="0.25">
      <c r="A6751" t="str">
        <f>"44041725731"</f>
        <v>44041725731</v>
      </c>
      <c r="B6751" t="s">
        <v>1617</v>
      </c>
      <c r="C6751" t="s">
        <v>21001</v>
      </c>
      <c r="D6751" t="s">
        <v>20999</v>
      </c>
      <c r="E6751">
        <v>424031</v>
      </c>
      <c r="F6751" t="s">
        <v>1</v>
      </c>
      <c r="G6751" t="s">
        <v>2</v>
      </c>
      <c r="H6751" t="s">
        <v>18923</v>
      </c>
      <c r="Y6751" t="s">
        <v>29254</v>
      </c>
    </row>
    <row r="6752" spans="1:25" x14ac:dyDescent="0.25">
      <c r="A6752" t="str">
        <f>"44053658362"</f>
        <v>44053658362</v>
      </c>
      <c r="B6752" t="s">
        <v>96</v>
      </c>
      <c r="C6752" t="s">
        <v>695</v>
      </c>
      <c r="D6752" t="s">
        <v>12083</v>
      </c>
      <c r="E6752">
        <v>424000</v>
      </c>
      <c r="F6752" t="s">
        <v>1</v>
      </c>
      <c r="G6752" t="s">
        <v>2</v>
      </c>
      <c r="H6752" t="s">
        <v>1473</v>
      </c>
      <c r="I6752" t="s">
        <v>29255</v>
      </c>
      <c r="P6752" t="s">
        <v>941</v>
      </c>
      <c r="Y6752" t="s">
        <v>4067</v>
      </c>
    </row>
    <row r="6753" spans="1:25" x14ac:dyDescent="0.25">
      <c r="A6753" t="str">
        <f>"44111506696"</f>
        <v>44111506696</v>
      </c>
      <c r="B6753" t="s">
        <v>574</v>
      </c>
      <c r="C6753" t="s">
        <v>646</v>
      </c>
      <c r="D6753" t="s">
        <v>29256</v>
      </c>
      <c r="E6753">
        <v>424016</v>
      </c>
      <c r="F6753" t="s">
        <v>1</v>
      </c>
      <c r="G6753" t="s">
        <v>2</v>
      </c>
      <c r="H6753" t="s">
        <v>18429</v>
      </c>
      <c r="Y6753" t="s">
        <v>29257</v>
      </c>
    </row>
    <row r="6754" spans="1:25" x14ac:dyDescent="0.25">
      <c r="A6754" t="str">
        <f>"44127767304"</f>
        <v>44127767304</v>
      </c>
      <c r="B6754" t="s">
        <v>18</v>
      </c>
      <c r="C6754" t="s">
        <v>143</v>
      </c>
      <c r="D6754" t="s">
        <v>29258</v>
      </c>
      <c r="E6754">
        <v>424002</v>
      </c>
      <c r="F6754" t="s">
        <v>1</v>
      </c>
      <c r="G6754" t="s">
        <v>2</v>
      </c>
      <c r="H6754" t="s">
        <v>744</v>
      </c>
      <c r="I6754" t="s">
        <v>29259</v>
      </c>
      <c r="P6754" t="s">
        <v>27</v>
      </c>
      <c r="Y6754" t="s">
        <v>749</v>
      </c>
    </row>
    <row r="6755" spans="1:25" x14ac:dyDescent="0.25">
      <c r="A6755" t="str">
        <f>"44163281231"</f>
        <v>44163281231</v>
      </c>
      <c r="B6755" t="s">
        <v>188</v>
      </c>
      <c r="C6755" t="s">
        <v>29262</v>
      </c>
      <c r="D6755" t="s">
        <v>29260</v>
      </c>
      <c r="E6755">
        <v>424004</v>
      </c>
      <c r="F6755" t="s">
        <v>1</v>
      </c>
      <c r="G6755" t="s">
        <v>2</v>
      </c>
      <c r="H6755" t="s">
        <v>12781</v>
      </c>
      <c r="J6755" t="s">
        <v>29261</v>
      </c>
      <c r="P6755" t="s">
        <v>8133</v>
      </c>
      <c r="Y6755" t="s">
        <v>14082</v>
      </c>
    </row>
    <row r="6756" spans="1:25" x14ac:dyDescent="0.25">
      <c r="A6756" t="str">
        <f>"44183649940"</f>
        <v>44183649940</v>
      </c>
      <c r="B6756" t="s">
        <v>352</v>
      </c>
      <c r="C6756" t="s">
        <v>29265</v>
      </c>
      <c r="D6756" t="s">
        <v>29263</v>
      </c>
      <c r="E6756">
        <v>424001</v>
      </c>
      <c r="F6756" t="s">
        <v>1</v>
      </c>
      <c r="G6756" t="s">
        <v>2</v>
      </c>
      <c r="H6756" t="s">
        <v>919</v>
      </c>
      <c r="I6756" t="s">
        <v>29264</v>
      </c>
      <c r="P6756" t="s">
        <v>20</v>
      </c>
      <c r="Y6756" t="s">
        <v>1750</v>
      </c>
    </row>
    <row r="6757" spans="1:25" x14ac:dyDescent="0.25">
      <c r="A6757" t="str">
        <f>"44225052512"</f>
        <v>44225052512</v>
      </c>
      <c r="B6757" t="s">
        <v>123</v>
      </c>
      <c r="C6757" t="s">
        <v>196</v>
      </c>
      <c r="D6757" t="s">
        <v>29266</v>
      </c>
      <c r="E6757">
        <v>424000</v>
      </c>
      <c r="F6757" t="s">
        <v>1</v>
      </c>
      <c r="G6757" t="s">
        <v>2</v>
      </c>
      <c r="H6757" t="s">
        <v>16321</v>
      </c>
      <c r="I6757" t="s">
        <v>29267</v>
      </c>
      <c r="P6757" t="s">
        <v>29268</v>
      </c>
      <c r="Y6757" t="s">
        <v>29269</v>
      </c>
    </row>
    <row r="6758" spans="1:25" x14ac:dyDescent="0.25">
      <c r="A6758" t="str">
        <f>"44287121351"</f>
        <v>44287121351</v>
      </c>
      <c r="B6758" t="s">
        <v>7</v>
      </c>
      <c r="C6758" t="s">
        <v>29274</v>
      </c>
      <c r="D6758" t="s">
        <v>29270</v>
      </c>
      <c r="E6758">
        <v>424007</v>
      </c>
      <c r="F6758" t="s">
        <v>1</v>
      </c>
      <c r="G6758" t="s">
        <v>2</v>
      </c>
      <c r="H6758" t="s">
        <v>819</v>
      </c>
      <c r="I6758" t="s">
        <v>29271</v>
      </c>
      <c r="L6758" t="s">
        <v>29272</v>
      </c>
      <c r="M6758" t="s">
        <v>29273</v>
      </c>
      <c r="P6758" t="s">
        <v>2951</v>
      </c>
      <c r="Q6758" t="s">
        <v>29275</v>
      </c>
      <c r="R6758" t="s">
        <v>29276</v>
      </c>
      <c r="U6758" t="s">
        <v>29277</v>
      </c>
      <c r="V6758" t="s">
        <v>29278</v>
      </c>
      <c r="Y6758" t="s">
        <v>29279</v>
      </c>
    </row>
    <row r="6759" spans="1:25" x14ac:dyDescent="0.25">
      <c r="A6759" t="str">
        <f>"44355684123"</f>
        <v>44355684123</v>
      </c>
      <c r="B6759" t="s">
        <v>1343</v>
      </c>
      <c r="C6759" t="s">
        <v>29280</v>
      </c>
      <c r="D6759" t="s">
        <v>4856</v>
      </c>
      <c r="F6759" t="s">
        <v>1</v>
      </c>
      <c r="G6759" t="s">
        <v>2</v>
      </c>
      <c r="H6759" t="s">
        <v>4857</v>
      </c>
      <c r="Y6759" t="s">
        <v>29281</v>
      </c>
    </row>
    <row r="6760" spans="1:25" x14ac:dyDescent="0.25">
      <c r="A6760" t="str">
        <f>"44394499834"</f>
        <v>44394499834</v>
      </c>
      <c r="B6760" t="s">
        <v>1343</v>
      </c>
      <c r="C6760" t="s">
        <v>13544</v>
      </c>
      <c r="D6760" t="s">
        <v>25086</v>
      </c>
      <c r="E6760">
        <v>424006</v>
      </c>
      <c r="F6760" t="s">
        <v>1</v>
      </c>
      <c r="G6760" t="s">
        <v>2</v>
      </c>
      <c r="H6760" t="s">
        <v>15013</v>
      </c>
      <c r="Y6760" t="s">
        <v>29282</v>
      </c>
    </row>
    <row r="6761" spans="1:25" x14ac:dyDescent="0.25">
      <c r="A6761" t="str">
        <f>"44472772405"</f>
        <v>44472772405</v>
      </c>
      <c r="B6761" t="s">
        <v>530</v>
      </c>
      <c r="C6761" t="s">
        <v>23950</v>
      </c>
      <c r="D6761" t="s">
        <v>23950</v>
      </c>
      <c r="F6761" t="s">
        <v>1</v>
      </c>
      <c r="G6761" t="s">
        <v>2</v>
      </c>
      <c r="H6761" t="s">
        <v>29283</v>
      </c>
      <c r="Y6761" t="s">
        <v>29284</v>
      </c>
    </row>
    <row r="6762" spans="1:25" x14ac:dyDescent="0.25">
      <c r="A6762" t="str">
        <f>"44472994422"</f>
        <v>44472994422</v>
      </c>
      <c r="B6762" t="s">
        <v>574</v>
      </c>
      <c r="C6762" t="s">
        <v>25489</v>
      </c>
      <c r="D6762" t="s">
        <v>29285</v>
      </c>
      <c r="E6762">
        <v>424004</v>
      </c>
      <c r="F6762" t="s">
        <v>1</v>
      </c>
      <c r="G6762" t="s">
        <v>2</v>
      </c>
      <c r="H6762" t="s">
        <v>3266</v>
      </c>
      <c r="Y6762" t="s">
        <v>29286</v>
      </c>
    </row>
    <row r="6763" spans="1:25" x14ac:dyDescent="0.25">
      <c r="A6763" t="str">
        <f>"44482625055"</f>
        <v>44482625055</v>
      </c>
      <c r="B6763" t="s">
        <v>4495</v>
      </c>
      <c r="C6763" t="s">
        <v>11755</v>
      </c>
      <c r="D6763" t="s">
        <v>29287</v>
      </c>
      <c r="E6763">
        <v>424038</v>
      </c>
      <c r="F6763" t="s">
        <v>1</v>
      </c>
      <c r="G6763" t="s">
        <v>2</v>
      </c>
      <c r="H6763" t="s">
        <v>13118</v>
      </c>
      <c r="L6763" t="s">
        <v>29288</v>
      </c>
      <c r="M6763" t="s">
        <v>29289</v>
      </c>
      <c r="Y6763" t="s">
        <v>29290</v>
      </c>
    </row>
    <row r="6764" spans="1:25" x14ac:dyDescent="0.25">
      <c r="A6764" t="str">
        <f>"44512095726"</f>
        <v>44512095726</v>
      </c>
      <c r="B6764" t="s">
        <v>7312</v>
      </c>
      <c r="C6764" t="s">
        <v>29293</v>
      </c>
      <c r="D6764" t="s">
        <v>29291</v>
      </c>
      <c r="E6764">
        <v>424031</v>
      </c>
      <c r="F6764" t="s">
        <v>1</v>
      </c>
      <c r="G6764" t="s">
        <v>2</v>
      </c>
      <c r="H6764" t="s">
        <v>5057</v>
      </c>
      <c r="I6764" t="s">
        <v>29292</v>
      </c>
      <c r="P6764" t="s">
        <v>29294</v>
      </c>
      <c r="Y6764" t="s">
        <v>29295</v>
      </c>
    </row>
    <row r="6765" spans="1:25" x14ac:dyDescent="0.25">
      <c r="A6765" t="str">
        <f>"44524741043"</f>
        <v>44524741043</v>
      </c>
      <c r="B6765" t="s">
        <v>574</v>
      </c>
      <c r="C6765" t="s">
        <v>14269</v>
      </c>
      <c r="D6765" t="s">
        <v>21152</v>
      </c>
      <c r="F6765" t="s">
        <v>1</v>
      </c>
      <c r="G6765" t="s">
        <v>2</v>
      </c>
      <c r="H6765" t="s">
        <v>4222</v>
      </c>
      <c r="Y6765" t="s">
        <v>29296</v>
      </c>
    </row>
    <row r="6766" spans="1:25" x14ac:dyDescent="0.25">
      <c r="A6766" t="str">
        <f>"44536119718"</f>
        <v>44536119718</v>
      </c>
      <c r="B6766" t="s">
        <v>2372</v>
      </c>
      <c r="C6766" t="s">
        <v>10683</v>
      </c>
      <c r="D6766" t="s">
        <v>29297</v>
      </c>
      <c r="E6766">
        <v>424033</v>
      </c>
      <c r="F6766" t="s">
        <v>1</v>
      </c>
      <c r="G6766" t="s">
        <v>2</v>
      </c>
      <c r="H6766" t="s">
        <v>1383</v>
      </c>
      <c r="Y6766" t="s">
        <v>1387</v>
      </c>
    </row>
    <row r="6767" spans="1:25" x14ac:dyDescent="0.25">
      <c r="A6767" t="str">
        <f>"44581601480"</f>
        <v>44581601480</v>
      </c>
      <c r="B6767" t="s">
        <v>1544</v>
      </c>
      <c r="C6767" t="s">
        <v>7974</v>
      </c>
      <c r="D6767" t="s">
        <v>24570</v>
      </c>
      <c r="E6767">
        <v>424033</v>
      </c>
      <c r="F6767" t="s">
        <v>1</v>
      </c>
      <c r="G6767" t="s">
        <v>2</v>
      </c>
      <c r="H6767" t="s">
        <v>2597</v>
      </c>
      <c r="Y6767" t="s">
        <v>29298</v>
      </c>
    </row>
    <row r="6768" spans="1:25" x14ac:dyDescent="0.25">
      <c r="A6768" t="str">
        <f>"44593355547"</f>
        <v>44593355547</v>
      </c>
      <c r="B6768" t="s">
        <v>290</v>
      </c>
      <c r="C6768" t="s">
        <v>23328</v>
      </c>
      <c r="D6768" t="s">
        <v>28861</v>
      </c>
      <c r="E6768">
        <v>424000</v>
      </c>
      <c r="F6768" t="s">
        <v>1</v>
      </c>
      <c r="G6768" t="s">
        <v>2</v>
      </c>
      <c r="H6768" t="s">
        <v>2671</v>
      </c>
      <c r="Y6768" t="s">
        <v>29299</v>
      </c>
    </row>
    <row r="6769" spans="1:25" x14ac:dyDescent="0.25">
      <c r="A6769" t="str">
        <f>"44632091972"</f>
        <v>44632091972</v>
      </c>
      <c r="B6769" t="s">
        <v>1729</v>
      </c>
      <c r="C6769" t="s">
        <v>2992</v>
      </c>
      <c r="D6769" t="s">
        <v>29300</v>
      </c>
      <c r="E6769">
        <v>424006</v>
      </c>
      <c r="F6769" t="s">
        <v>1</v>
      </c>
      <c r="G6769" t="s">
        <v>2</v>
      </c>
      <c r="H6769" t="s">
        <v>8482</v>
      </c>
      <c r="Y6769" t="s">
        <v>8488</v>
      </c>
    </row>
    <row r="6770" spans="1:25" x14ac:dyDescent="0.25">
      <c r="A6770" t="str">
        <f>"44632192535"</f>
        <v>44632192535</v>
      </c>
      <c r="B6770" t="s">
        <v>624</v>
      </c>
      <c r="C6770" t="s">
        <v>1637</v>
      </c>
      <c r="D6770" t="s">
        <v>12396</v>
      </c>
      <c r="E6770">
        <v>424037</v>
      </c>
      <c r="F6770" t="s">
        <v>1</v>
      </c>
      <c r="G6770" t="s">
        <v>2</v>
      </c>
      <c r="H6770" t="s">
        <v>3278</v>
      </c>
      <c r="J6770" t="s">
        <v>12397</v>
      </c>
      <c r="P6770" t="s">
        <v>280</v>
      </c>
      <c r="Y6770" t="s">
        <v>27071</v>
      </c>
    </row>
    <row r="6771" spans="1:25" x14ac:dyDescent="0.25">
      <c r="A6771" t="str">
        <f>"44665910635"</f>
        <v>44665910635</v>
      </c>
      <c r="B6771" t="s">
        <v>716</v>
      </c>
      <c r="C6771" t="s">
        <v>13188</v>
      </c>
      <c r="D6771" t="s">
        <v>27741</v>
      </c>
      <c r="E6771">
        <v>424019</v>
      </c>
      <c r="F6771" t="s">
        <v>1</v>
      </c>
      <c r="G6771" t="s">
        <v>2</v>
      </c>
      <c r="H6771" t="s">
        <v>1467</v>
      </c>
      <c r="Y6771" t="s">
        <v>1630</v>
      </c>
    </row>
    <row r="6772" spans="1:25" x14ac:dyDescent="0.25">
      <c r="A6772" t="str">
        <f>"44733275186"</f>
        <v>44733275186</v>
      </c>
      <c r="B6772" t="s">
        <v>80</v>
      </c>
      <c r="C6772" t="s">
        <v>3295</v>
      </c>
      <c r="D6772" t="s">
        <v>29301</v>
      </c>
      <c r="E6772">
        <v>424020</v>
      </c>
      <c r="F6772" t="s">
        <v>1</v>
      </c>
      <c r="G6772" t="s">
        <v>2</v>
      </c>
      <c r="H6772" t="s">
        <v>12984</v>
      </c>
      <c r="Y6772" t="s">
        <v>29302</v>
      </c>
    </row>
    <row r="6773" spans="1:25" x14ac:dyDescent="0.25">
      <c r="A6773" t="str">
        <f>"44761103412"</f>
        <v>44761103412</v>
      </c>
      <c r="B6773" t="s">
        <v>930</v>
      </c>
      <c r="C6773" t="s">
        <v>29305</v>
      </c>
      <c r="D6773" t="s">
        <v>29303</v>
      </c>
      <c r="E6773">
        <v>424006</v>
      </c>
      <c r="F6773" t="s">
        <v>1</v>
      </c>
      <c r="G6773" t="s">
        <v>2</v>
      </c>
      <c r="H6773" t="s">
        <v>4304</v>
      </c>
      <c r="I6773" t="s">
        <v>29304</v>
      </c>
      <c r="P6773" t="s">
        <v>1000</v>
      </c>
      <c r="Y6773" t="s">
        <v>29306</v>
      </c>
    </row>
    <row r="6774" spans="1:25" x14ac:dyDescent="0.25">
      <c r="A6774" t="str">
        <f>"44807923962"</f>
        <v>44807923962</v>
      </c>
      <c r="B6774" t="s">
        <v>290</v>
      </c>
      <c r="C6774" t="s">
        <v>11114</v>
      </c>
      <c r="D6774" t="s">
        <v>29307</v>
      </c>
      <c r="E6774">
        <v>424000</v>
      </c>
      <c r="F6774" t="s">
        <v>1</v>
      </c>
      <c r="G6774" t="s">
        <v>2</v>
      </c>
      <c r="H6774" t="s">
        <v>2311</v>
      </c>
      <c r="V6774" t="s">
        <v>29308</v>
      </c>
      <c r="Y6774" t="s">
        <v>29309</v>
      </c>
    </row>
    <row r="6775" spans="1:25" x14ac:dyDescent="0.25">
      <c r="A6775" t="str">
        <f>"44816782500"</f>
        <v>44816782500</v>
      </c>
      <c r="B6775" t="s">
        <v>1544</v>
      </c>
      <c r="C6775" t="s">
        <v>7974</v>
      </c>
      <c r="D6775" t="s">
        <v>24500</v>
      </c>
      <c r="E6775">
        <v>424006</v>
      </c>
      <c r="F6775" t="s">
        <v>1</v>
      </c>
      <c r="G6775" t="s">
        <v>2</v>
      </c>
      <c r="H6775" t="s">
        <v>4628</v>
      </c>
      <c r="Y6775" t="s">
        <v>29310</v>
      </c>
    </row>
    <row r="6776" spans="1:25" x14ac:dyDescent="0.25">
      <c r="A6776" t="str">
        <f>"44823965957"</f>
        <v>44823965957</v>
      </c>
      <c r="B6776" t="s">
        <v>430</v>
      </c>
      <c r="C6776" t="s">
        <v>29313</v>
      </c>
      <c r="D6776" t="s">
        <v>29311</v>
      </c>
      <c r="E6776">
        <v>424020</v>
      </c>
      <c r="F6776" t="s">
        <v>1</v>
      </c>
      <c r="G6776" t="s">
        <v>2</v>
      </c>
      <c r="H6776" t="s">
        <v>8643</v>
      </c>
      <c r="J6776" t="s">
        <v>29312</v>
      </c>
      <c r="P6776" t="s">
        <v>60</v>
      </c>
      <c r="Q6776" t="s">
        <v>29314</v>
      </c>
      <c r="V6776" t="s">
        <v>29315</v>
      </c>
      <c r="Y6776" t="s">
        <v>29316</v>
      </c>
    </row>
    <row r="6777" spans="1:25" x14ac:dyDescent="0.25">
      <c r="A6777" t="str">
        <f>"44884054230"</f>
        <v>44884054230</v>
      </c>
      <c r="B6777" t="s">
        <v>803</v>
      </c>
      <c r="C6777" t="s">
        <v>29318</v>
      </c>
      <c r="D6777" t="s">
        <v>29317</v>
      </c>
      <c r="E6777">
        <v>424008</v>
      </c>
      <c r="F6777" t="s">
        <v>1</v>
      </c>
      <c r="G6777" t="s">
        <v>2</v>
      </c>
      <c r="H6777" t="s">
        <v>1031</v>
      </c>
      <c r="Y6777" t="s">
        <v>29319</v>
      </c>
    </row>
    <row r="6778" spans="1:25" x14ac:dyDescent="0.25">
      <c r="A6778" t="str">
        <f>"44903109206"</f>
        <v>44903109206</v>
      </c>
      <c r="B6778" t="s">
        <v>96</v>
      </c>
      <c r="C6778" t="s">
        <v>29320</v>
      </c>
      <c r="D6778" t="s">
        <v>24312</v>
      </c>
      <c r="E6778">
        <v>424031</v>
      </c>
      <c r="F6778" t="s">
        <v>1</v>
      </c>
      <c r="G6778" t="s">
        <v>2</v>
      </c>
      <c r="H6778" t="s">
        <v>16588</v>
      </c>
      <c r="J6778" t="s">
        <v>24465</v>
      </c>
      <c r="P6778" t="s">
        <v>1120</v>
      </c>
      <c r="Y6778" t="s">
        <v>29321</v>
      </c>
    </row>
    <row r="6779" spans="1:25" x14ac:dyDescent="0.25">
      <c r="A6779" t="str">
        <f>"44990289742"</f>
        <v>44990289742</v>
      </c>
      <c r="B6779" t="s">
        <v>224</v>
      </c>
      <c r="C6779" t="s">
        <v>29326</v>
      </c>
      <c r="D6779" t="s">
        <v>29322</v>
      </c>
      <c r="E6779">
        <v>424006</v>
      </c>
      <c r="F6779" t="s">
        <v>1</v>
      </c>
      <c r="G6779" t="s">
        <v>2</v>
      </c>
      <c r="H6779" t="s">
        <v>7984</v>
      </c>
      <c r="I6779" t="s">
        <v>29323</v>
      </c>
      <c r="L6779" t="s">
        <v>29324</v>
      </c>
      <c r="M6779" t="s">
        <v>29325</v>
      </c>
      <c r="P6779" t="s">
        <v>27</v>
      </c>
      <c r="Y6779" t="s">
        <v>28318</v>
      </c>
    </row>
    <row r="6780" spans="1:25" x14ac:dyDescent="0.25">
      <c r="A6780" t="str">
        <f>"45004806801"</f>
        <v>45004806801</v>
      </c>
      <c r="B6780" t="s">
        <v>18</v>
      </c>
      <c r="C6780" t="s">
        <v>16738</v>
      </c>
      <c r="D6780" t="s">
        <v>29327</v>
      </c>
      <c r="E6780">
        <v>424032</v>
      </c>
      <c r="F6780" t="s">
        <v>1</v>
      </c>
      <c r="G6780" t="s">
        <v>2</v>
      </c>
      <c r="H6780" t="s">
        <v>29328</v>
      </c>
      <c r="Y6780" t="s">
        <v>29329</v>
      </c>
    </row>
    <row r="6781" spans="1:25" x14ac:dyDescent="0.25">
      <c r="A6781" t="str">
        <f>"45019283365"</f>
        <v>45019283365</v>
      </c>
      <c r="B6781" t="s">
        <v>2178</v>
      </c>
      <c r="C6781" t="s">
        <v>3223</v>
      </c>
      <c r="D6781" t="s">
        <v>29330</v>
      </c>
      <c r="E6781">
        <v>424004</v>
      </c>
      <c r="F6781" t="s">
        <v>1</v>
      </c>
      <c r="G6781" t="s">
        <v>2</v>
      </c>
      <c r="H6781" t="s">
        <v>25965</v>
      </c>
      <c r="I6781" t="s">
        <v>29331</v>
      </c>
      <c r="P6781" t="s">
        <v>2839</v>
      </c>
      <c r="Y6781" t="s">
        <v>29332</v>
      </c>
    </row>
    <row r="6782" spans="1:25" x14ac:dyDescent="0.25">
      <c r="A6782" t="str">
        <f>"45026028746"</f>
        <v>45026028746</v>
      </c>
      <c r="B6782" t="s">
        <v>7312</v>
      </c>
      <c r="C6782" t="s">
        <v>21136</v>
      </c>
      <c r="D6782" t="s">
        <v>22445</v>
      </c>
      <c r="E6782">
        <v>424008</v>
      </c>
      <c r="F6782" t="s">
        <v>1</v>
      </c>
      <c r="G6782" t="s">
        <v>2</v>
      </c>
      <c r="H6782" t="s">
        <v>1031</v>
      </c>
      <c r="Y6782" t="s">
        <v>29333</v>
      </c>
    </row>
    <row r="6783" spans="1:25" x14ac:dyDescent="0.25">
      <c r="A6783" t="str">
        <f>"45126369312"</f>
        <v>45126369312</v>
      </c>
      <c r="B6783" t="s">
        <v>574</v>
      </c>
      <c r="C6783" t="s">
        <v>646</v>
      </c>
      <c r="D6783" t="s">
        <v>28599</v>
      </c>
      <c r="E6783">
        <v>424036</v>
      </c>
      <c r="F6783" t="s">
        <v>1</v>
      </c>
      <c r="G6783" t="s">
        <v>2</v>
      </c>
      <c r="H6783" t="s">
        <v>12575</v>
      </c>
      <c r="Y6783" t="s">
        <v>29334</v>
      </c>
    </row>
    <row r="6784" spans="1:25" x14ac:dyDescent="0.25">
      <c r="A6784" t="str">
        <f>"45168468731"</f>
        <v>45168468731</v>
      </c>
      <c r="B6784" t="s">
        <v>2601</v>
      </c>
      <c r="C6784" t="s">
        <v>24678</v>
      </c>
      <c r="D6784" t="s">
        <v>29335</v>
      </c>
      <c r="E6784">
        <v>424020</v>
      </c>
      <c r="F6784" t="s">
        <v>1</v>
      </c>
      <c r="G6784" t="s">
        <v>2</v>
      </c>
      <c r="H6784" t="s">
        <v>802</v>
      </c>
      <c r="L6784" t="s">
        <v>29336</v>
      </c>
      <c r="M6784" t="s">
        <v>29337</v>
      </c>
      <c r="Q6784" t="s">
        <v>29338</v>
      </c>
      <c r="Y6784" t="s">
        <v>29339</v>
      </c>
    </row>
    <row r="6785" spans="1:25" x14ac:dyDescent="0.25">
      <c r="A6785" t="str">
        <f>"45172371810"</f>
        <v>45172371810</v>
      </c>
      <c r="B6785" t="s">
        <v>574</v>
      </c>
      <c r="C6785" t="s">
        <v>26901</v>
      </c>
      <c r="D6785" t="s">
        <v>21345</v>
      </c>
      <c r="E6785">
        <v>424007</v>
      </c>
      <c r="F6785" t="s">
        <v>1</v>
      </c>
      <c r="G6785" t="s">
        <v>2</v>
      </c>
      <c r="H6785" t="s">
        <v>15418</v>
      </c>
      <c r="I6785" t="s">
        <v>28490</v>
      </c>
      <c r="M6785" t="s">
        <v>21348</v>
      </c>
      <c r="P6785" t="s">
        <v>216</v>
      </c>
      <c r="Y6785" t="s">
        <v>29340</v>
      </c>
    </row>
    <row r="6786" spans="1:25" x14ac:dyDescent="0.25">
      <c r="A6786" t="str">
        <f>"45221569341"</f>
        <v>45221569341</v>
      </c>
      <c r="B6786" t="s">
        <v>530</v>
      </c>
      <c r="C6786" t="s">
        <v>23950</v>
      </c>
      <c r="D6786" t="s">
        <v>23950</v>
      </c>
      <c r="E6786">
        <v>424006</v>
      </c>
      <c r="F6786" t="s">
        <v>1</v>
      </c>
      <c r="G6786" t="s">
        <v>2</v>
      </c>
      <c r="H6786" t="s">
        <v>1483</v>
      </c>
      <c r="Y6786" t="s">
        <v>29341</v>
      </c>
    </row>
    <row r="6787" spans="1:25" x14ac:dyDescent="0.25">
      <c r="A6787" t="str">
        <f>"45225144230"</f>
        <v>45225144230</v>
      </c>
      <c r="B6787" t="s">
        <v>397</v>
      </c>
      <c r="C6787" t="s">
        <v>1432</v>
      </c>
      <c r="D6787" t="s">
        <v>29342</v>
      </c>
      <c r="F6787" t="s">
        <v>1</v>
      </c>
      <c r="G6787" t="s">
        <v>2</v>
      </c>
      <c r="H6787" t="s">
        <v>1600</v>
      </c>
      <c r="I6787" t="s">
        <v>29343</v>
      </c>
      <c r="P6787" t="s">
        <v>280</v>
      </c>
      <c r="Y6787" t="s">
        <v>29344</v>
      </c>
    </row>
    <row r="6788" spans="1:25" x14ac:dyDescent="0.25">
      <c r="A6788" t="str">
        <f>"45253466109"</f>
        <v>45253466109</v>
      </c>
      <c r="B6788" t="s">
        <v>803</v>
      </c>
      <c r="C6788" t="s">
        <v>3088</v>
      </c>
      <c r="D6788" t="s">
        <v>29345</v>
      </c>
      <c r="E6788">
        <v>424038</v>
      </c>
      <c r="F6788" t="s">
        <v>1</v>
      </c>
      <c r="G6788" t="s">
        <v>2</v>
      </c>
      <c r="H6788" t="s">
        <v>29346</v>
      </c>
      <c r="I6788" t="s">
        <v>29347</v>
      </c>
      <c r="P6788" t="s">
        <v>27</v>
      </c>
      <c r="Y6788" t="s">
        <v>29348</v>
      </c>
    </row>
    <row r="6789" spans="1:25" x14ac:dyDescent="0.25">
      <c r="A6789" t="str">
        <f>"45263012629"</f>
        <v>45263012629</v>
      </c>
      <c r="B6789" t="s">
        <v>1046</v>
      </c>
      <c r="C6789" t="s">
        <v>29352</v>
      </c>
      <c r="D6789" t="s">
        <v>29349</v>
      </c>
      <c r="E6789">
        <v>424038</v>
      </c>
      <c r="F6789" t="s">
        <v>1</v>
      </c>
      <c r="G6789" t="s">
        <v>2</v>
      </c>
      <c r="H6789" t="s">
        <v>6550</v>
      </c>
      <c r="I6789" t="s">
        <v>29350</v>
      </c>
      <c r="J6789" t="s">
        <v>29351</v>
      </c>
      <c r="P6789" t="s">
        <v>144</v>
      </c>
      <c r="Q6789" t="s">
        <v>29353</v>
      </c>
      <c r="T6789" t="s">
        <v>29354</v>
      </c>
      <c r="V6789" t="s">
        <v>29355</v>
      </c>
      <c r="Y6789" t="s">
        <v>29356</v>
      </c>
    </row>
    <row r="6790" spans="1:25" x14ac:dyDescent="0.25">
      <c r="A6790" t="str">
        <f>"45343483212"</f>
        <v>45343483212</v>
      </c>
      <c r="B6790" t="s">
        <v>456</v>
      </c>
      <c r="C6790" t="s">
        <v>29362</v>
      </c>
      <c r="D6790" t="s">
        <v>29357</v>
      </c>
      <c r="E6790">
        <v>424031</v>
      </c>
      <c r="F6790" t="s">
        <v>1</v>
      </c>
      <c r="G6790" t="s">
        <v>2</v>
      </c>
      <c r="H6790" t="s">
        <v>5386</v>
      </c>
      <c r="I6790" t="s">
        <v>29358</v>
      </c>
      <c r="J6790" t="s">
        <v>29359</v>
      </c>
      <c r="L6790" t="s">
        <v>29360</v>
      </c>
      <c r="M6790" t="s">
        <v>29361</v>
      </c>
      <c r="P6790" t="s">
        <v>6467</v>
      </c>
      <c r="Q6790" t="s">
        <v>29363</v>
      </c>
      <c r="V6790" t="s">
        <v>29364</v>
      </c>
      <c r="Y6790" t="s">
        <v>29365</v>
      </c>
    </row>
    <row r="6791" spans="1:25" x14ac:dyDescent="0.25">
      <c r="A6791" t="str">
        <f>"45367763361"</f>
        <v>45367763361</v>
      </c>
      <c r="B6791" t="s">
        <v>1053</v>
      </c>
      <c r="C6791" t="s">
        <v>29370</v>
      </c>
      <c r="D6791" t="s">
        <v>29366</v>
      </c>
      <c r="E6791">
        <v>424032</v>
      </c>
      <c r="F6791" t="s">
        <v>1</v>
      </c>
      <c r="G6791" t="s">
        <v>2</v>
      </c>
      <c r="H6791" t="s">
        <v>11296</v>
      </c>
      <c r="I6791" t="s">
        <v>29367</v>
      </c>
      <c r="K6791" t="s">
        <v>29368</v>
      </c>
      <c r="L6791" t="s">
        <v>29369</v>
      </c>
      <c r="P6791" t="s">
        <v>20</v>
      </c>
      <c r="Y6791" t="s">
        <v>11299</v>
      </c>
    </row>
    <row r="6792" spans="1:25" x14ac:dyDescent="0.25">
      <c r="A6792" t="str">
        <f>"45371125549"</f>
        <v>45371125549</v>
      </c>
      <c r="B6792" t="s">
        <v>574</v>
      </c>
      <c r="C6792" t="s">
        <v>646</v>
      </c>
      <c r="D6792" t="s">
        <v>29371</v>
      </c>
      <c r="E6792">
        <v>424030</v>
      </c>
      <c r="F6792" t="s">
        <v>1</v>
      </c>
      <c r="G6792" t="s">
        <v>2</v>
      </c>
      <c r="H6792" t="s">
        <v>28820</v>
      </c>
      <c r="P6792" t="s">
        <v>330</v>
      </c>
      <c r="Y6792" t="s">
        <v>29372</v>
      </c>
    </row>
    <row r="6793" spans="1:25" x14ac:dyDescent="0.25">
      <c r="A6793" t="str">
        <f>"45385291048"</f>
        <v>45385291048</v>
      </c>
      <c r="B6793" t="s">
        <v>687</v>
      </c>
      <c r="C6793" t="s">
        <v>29375</v>
      </c>
      <c r="D6793" t="s">
        <v>29373</v>
      </c>
      <c r="E6793">
        <v>424005</v>
      </c>
      <c r="F6793" t="s">
        <v>1</v>
      </c>
      <c r="G6793" t="s">
        <v>2</v>
      </c>
      <c r="H6793" t="s">
        <v>29374</v>
      </c>
      <c r="Y6793" t="s">
        <v>29376</v>
      </c>
    </row>
    <row r="6794" spans="1:25" x14ac:dyDescent="0.25">
      <c r="A6794" t="str">
        <f>"45388404505"</f>
        <v>45388404505</v>
      </c>
      <c r="B6794" t="s">
        <v>530</v>
      </c>
      <c r="C6794" t="s">
        <v>23950</v>
      </c>
      <c r="D6794" t="s">
        <v>23950</v>
      </c>
      <c r="F6794" t="s">
        <v>1</v>
      </c>
      <c r="G6794" t="s">
        <v>2</v>
      </c>
      <c r="H6794" t="s">
        <v>26231</v>
      </c>
      <c r="Y6794" t="s">
        <v>29377</v>
      </c>
    </row>
    <row r="6795" spans="1:25" x14ac:dyDescent="0.25">
      <c r="A6795" t="str">
        <f>"45402557157"</f>
        <v>45402557157</v>
      </c>
      <c r="B6795" t="s">
        <v>48</v>
      </c>
      <c r="C6795" t="s">
        <v>16070</v>
      </c>
      <c r="D6795" t="s">
        <v>29378</v>
      </c>
      <c r="E6795">
        <v>424004</v>
      </c>
      <c r="F6795" t="s">
        <v>1</v>
      </c>
      <c r="G6795" t="s">
        <v>2</v>
      </c>
      <c r="H6795" t="s">
        <v>505</v>
      </c>
      <c r="I6795" t="s">
        <v>29379</v>
      </c>
      <c r="J6795" t="s">
        <v>29380</v>
      </c>
      <c r="L6795" t="s">
        <v>29381</v>
      </c>
      <c r="M6795" t="s">
        <v>29382</v>
      </c>
      <c r="P6795" t="s">
        <v>29383</v>
      </c>
      <c r="Q6795" t="s">
        <v>29384</v>
      </c>
      <c r="T6795" t="s">
        <v>29385</v>
      </c>
      <c r="V6795" t="s">
        <v>29386</v>
      </c>
      <c r="Y6795" t="s">
        <v>29387</v>
      </c>
    </row>
    <row r="6796" spans="1:25" x14ac:dyDescent="0.25">
      <c r="A6796" t="str">
        <f>"45417824166"</f>
        <v>45417824166</v>
      </c>
      <c r="B6796" t="s">
        <v>32</v>
      </c>
      <c r="C6796" t="s">
        <v>40</v>
      </c>
      <c r="D6796" t="s">
        <v>29388</v>
      </c>
      <c r="E6796">
        <v>424004</v>
      </c>
      <c r="F6796" t="s">
        <v>1</v>
      </c>
      <c r="G6796" t="s">
        <v>2</v>
      </c>
      <c r="H6796" t="s">
        <v>3285</v>
      </c>
      <c r="J6796" t="s">
        <v>29389</v>
      </c>
      <c r="P6796" t="s">
        <v>1505</v>
      </c>
      <c r="V6796" t="s">
        <v>29390</v>
      </c>
      <c r="Y6796" t="s">
        <v>29391</v>
      </c>
    </row>
    <row r="6797" spans="1:25" x14ac:dyDescent="0.25">
      <c r="A6797" t="str">
        <f>"45443624892"</f>
        <v>45443624892</v>
      </c>
      <c r="B6797" t="s">
        <v>117</v>
      </c>
      <c r="C6797" t="s">
        <v>873</v>
      </c>
      <c r="D6797" t="s">
        <v>870</v>
      </c>
      <c r="E6797">
        <v>424032</v>
      </c>
      <c r="F6797" t="s">
        <v>1</v>
      </c>
      <c r="G6797" t="s">
        <v>2</v>
      </c>
      <c r="H6797" t="s">
        <v>29392</v>
      </c>
      <c r="J6797" t="s">
        <v>29393</v>
      </c>
      <c r="Y6797" t="s">
        <v>29394</v>
      </c>
    </row>
    <row r="6798" spans="1:25" x14ac:dyDescent="0.25">
      <c r="A6798" t="str">
        <f>"45446997167"</f>
        <v>45446997167</v>
      </c>
      <c r="B6798" t="s">
        <v>1544</v>
      </c>
      <c r="C6798" t="s">
        <v>15598</v>
      </c>
      <c r="D6798" t="s">
        <v>29395</v>
      </c>
      <c r="E6798">
        <v>424006</v>
      </c>
      <c r="F6798" t="s">
        <v>1</v>
      </c>
      <c r="G6798" t="s">
        <v>2</v>
      </c>
      <c r="H6798" t="s">
        <v>24389</v>
      </c>
      <c r="P6798" t="s">
        <v>4006</v>
      </c>
      <c r="Y6798" t="s">
        <v>29396</v>
      </c>
    </row>
    <row r="6799" spans="1:25" x14ac:dyDescent="0.25">
      <c r="A6799" t="str">
        <f>"45506807557"</f>
        <v>45506807557</v>
      </c>
      <c r="B6799" t="s">
        <v>233</v>
      </c>
      <c r="C6799" t="s">
        <v>1897</v>
      </c>
      <c r="D6799" t="s">
        <v>11916</v>
      </c>
      <c r="E6799">
        <v>424031</v>
      </c>
      <c r="F6799" t="s">
        <v>1</v>
      </c>
      <c r="G6799" t="s">
        <v>2</v>
      </c>
      <c r="H6799" t="s">
        <v>8799</v>
      </c>
      <c r="P6799" t="s">
        <v>330</v>
      </c>
      <c r="Y6799" t="s">
        <v>8803</v>
      </c>
    </row>
    <row r="6800" spans="1:25" x14ac:dyDescent="0.25">
      <c r="A6800" t="str">
        <f>"45554789876"</f>
        <v>45554789876</v>
      </c>
      <c r="B6800" t="s">
        <v>96</v>
      </c>
      <c r="C6800" t="s">
        <v>3621</v>
      </c>
      <c r="D6800" t="s">
        <v>13544</v>
      </c>
      <c r="E6800">
        <v>424006</v>
      </c>
      <c r="F6800" t="s">
        <v>1</v>
      </c>
      <c r="G6800" t="s">
        <v>2</v>
      </c>
      <c r="H6800" t="s">
        <v>15013</v>
      </c>
      <c r="P6800" t="s">
        <v>1505</v>
      </c>
      <c r="Y6800" t="s">
        <v>29282</v>
      </c>
    </row>
    <row r="6801" spans="1:25" x14ac:dyDescent="0.25">
      <c r="A6801" t="str">
        <f>"45572913994"</f>
        <v>45572913994</v>
      </c>
      <c r="B6801" t="s">
        <v>1078</v>
      </c>
      <c r="C6801" t="s">
        <v>19700</v>
      </c>
      <c r="D6801" t="s">
        <v>29397</v>
      </c>
      <c r="E6801">
        <v>424918</v>
      </c>
      <c r="F6801" t="s">
        <v>1</v>
      </c>
      <c r="G6801" t="s">
        <v>2</v>
      </c>
      <c r="H6801" t="s">
        <v>629</v>
      </c>
      <c r="P6801" t="s">
        <v>630</v>
      </c>
      <c r="Y6801" t="s">
        <v>1744</v>
      </c>
    </row>
    <row r="6802" spans="1:25" x14ac:dyDescent="0.25">
      <c r="A6802" t="str">
        <f>"45574997792"</f>
        <v>45574997792</v>
      </c>
      <c r="B6802" t="s">
        <v>3008</v>
      </c>
      <c r="C6802" t="s">
        <v>29399</v>
      </c>
      <c r="D6802" t="s">
        <v>26696</v>
      </c>
      <c r="F6802" t="s">
        <v>1</v>
      </c>
      <c r="G6802" t="s">
        <v>2</v>
      </c>
      <c r="H6802" t="s">
        <v>29398</v>
      </c>
      <c r="I6802" t="s">
        <v>26698</v>
      </c>
      <c r="J6802" t="s">
        <v>26699</v>
      </c>
      <c r="P6802" t="s">
        <v>2280</v>
      </c>
      <c r="Y6802" t="s">
        <v>29400</v>
      </c>
    </row>
    <row r="6803" spans="1:25" x14ac:dyDescent="0.25">
      <c r="A6803" t="str">
        <f>"45606438843"</f>
        <v>45606438843</v>
      </c>
      <c r="B6803" t="s">
        <v>96</v>
      </c>
      <c r="C6803" t="s">
        <v>659</v>
      </c>
      <c r="D6803" t="s">
        <v>29401</v>
      </c>
      <c r="E6803">
        <v>424918</v>
      </c>
      <c r="F6803" t="s">
        <v>1</v>
      </c>
      <c r="G6803" t="s">
        <v>2</v>
      </c>
      <c r="H6803" t="s">
        <v>629</v>
      </c>
      <c r="P6803" t="s">
        <v>630</v>
      </c>
      <c r="Y6803" t="s">
        <v>29402</v>
      </c>
    </row>
    <row r="6804" spans="1:25" x14ac:dyDescent="0.25">
      <c r="A6804" t="str">
        <f>"45688689867"</f>
        <v>45688689867</v>
      </c>
      <c r="B6804" t="s">
        <v>188</v>
      </c>
      <c r="C6804" t="s">
        <v>24568</v>
      </c>
      <c r="D6804" t="s">
        <v>24568</v>
      </c>
      <c r="E6804">
        <v>424003</v>
      </c>
      <c r="F6804" t="s">
        <v>1</v>
      </c>
      <c r="G6804" t="s">
        <v>2</v>
      </c>
      <c r="H6804" t="s">
        <v>1303</v>
      </c>
      <c r="Y6804" t="s">
        <v>29403</v>
      </c>
    </row>
    <row r="6805" spans="1:25" x14ac:dyDescent="0.25">
      <c r="A6805" t="str">
        <f>"45702974122"</f>
        <v>45702974122</v>
      </c>
      <c r="B6805" t="s">
        <v>371</v>
      </c>
      <c r="C6805" t="s">
        <v>372</v>
      </c>
      <c r="D6805" t="s">
        <v>29404</v>
      </c>
      <c r="F6805" t="s">
        <v>1</v>
      </c>
      <c r="G6805" t="s">
        <v>2</v>
      </c>
      <c r="H6805" t="s">
        <v>3984</v>
      </c>
      <c r="Y6805" t="s">
        <v>29405</v>
      </c>
    </row>
    <row r="6806" spans="1:25" x14ac:dyDescent="0.25">
      <c r="A6806" t="str">
        <f>"45706240531"</f>
        <v>45706240531</v>
      </c>
      <c r="B6806" t="s">
        <v>574</v>
      </c>
      <c r="C6806" t="s">
        <v>29409</v>
      </c>
      <c r="D6806" t="s">
        <v>25943</v>
      </c>
      <c r="F6806" t="s">
        <v>1</v>
      </c>
      <c r="G6806" t="s">
        <v>2</v>
      </c>
      <c r="H6806" t="s">
        <v>4915</v>
      </c>
      <c r="I6806" t="s">
        <v>29406</v>
      </c>
      <c r="L6806" t="s">
        <v>29407</v>
      </c>
      <c r="M6806" t="s">
        <v>29408</v>
      </c>
      <c r="Y6806" t="s">
        <v>4917</v>
      </c>
    </row>
    <row r="6807" spans="1:25" x14ac:dyDescent="0.25">
      <c r="A6807" t="str">
        <f>"45714819951"</f>
        <v>45714819951</v>
      </c>
      <c r="B6807" t="s">
        <v>1573</v>
      </c>
      <c r="C6807" t="s">
        <v>1817</v>
      </c>
      <c r="D6807" t="s">
        <v>1815</v>
      </c>
      <c r="E6807">
        <v>424038</v>
      </c>
      <c r="F6807" t="s">
        <v>1</v>
      </c>
      <c r="G6807" t="s">
        <v>2</v>
      </c>
      <c r="H6807" t="s">
        <v>21507</v>
      </c>
      <c r="Y6807" t="s">
        <v>29410</v>
      </c>
    </row>
    <row r="6808" spans="1:25" x14ac:dyDescent="0.25">
      <c r="A6808" t="str">
        <f>"45762032650"</f>
        <v>45762032650</v>
      </c>
      <c r="B6808" t="s">
        <v>1544</v>
      </c>
      <c r="C6808" t="s">
        <v>7974</v>
      </c>
      <c r="D6808" t="s">
        <v>28272</v>
      </c>
      <c r="E6808">
        <v>424000</v>
      </c>
      <c r="F6808" t="s">
        <v>1</v>
      </c>
      <c r="G6808" t="s">
        <v>2</v>
      </c>
      <c r="H6808" t="s">
        <v>1473</v>
      </c>
      <c r="P6808" t="s">
        <v>941</v>
      </c>
      <c r="Y6808" t="s">
        <v>4067</v>
      </c>
    </row>
    <row r="6809" spans="1:25" x14ac:dyDescent="0.25">
      <c r="A6809" t="str">
        <f>"45796226712"</f>
        <v>45796226712</v>
      </c>
      <c r="B6809" t="s">
        <v>4495</v>
      </c>
      <c r="C6809" t="s">
        <v>11755</v>
      </c>
      <c r="D6809" t="s">
        <v>29411</v>
      </c>
      <c r="F6809" t="s">
        <v>1</v>
      </c>
      <c r="G6809" t="s">
        <v>2</v>
      </c>
      <c r="H6809" t="s">
        <v>29412</v>
      </c>
      <c r="Y6809" t="s">
        <v>29413</v>
      </c>
    </row>
    <row r="6810" spans="1:25" x14ac:dyDescent="0.25">
      <c r="A6810" t="str">
        <f>"45802064303"</f>
        <v>45802064303</v>
      </c>
      <c r="B6810" t="s">
        <v>1152</v>
      </c>
      <c r="C6810" t="s">
        <v>1153</v>
      </c>
      <c r="D6810" t="s">
        <v>10280</v>
      </c>
      <c r="E6810">
        <v>424039</v>
      </c>
      <c r="F6810" t="s">
        <v>1</v>
      </c>
      <c r="G6810" t="s">
        <v>2</v>
      </c>
      <c r="H6810" t="s">
        <v>29414</v>
      </c>
      <c r="I6810" t="s">
        <v>22092</v>
      </c>
      <c r="M6810" t="s">
        <v>10284</v>
      </c>
      <c r="Q6810" t="s">
        <v>10286</v>
      </c>
      <c r="R6810" t="s">
        <v>10287</v>
      </c>
      <c r="S6810" t="s">
        <v>10288</v>
      </c>
      <c r="T6810" t="s">
        <v>10289</v>
      </c>
      <c r="U6810" t="s">
        <v>10290</v>
      </c>
      <c r="V6810" t="s">
        <v>10291</v>
      </c>
      <c r="Y6810" t="s">
        <v>29415</v>
      </c>
    </row>
    <row r="6811" spans="1:25" x14ac:dyDescent="0.25">
      <c r="A6811" t="str">
        <f>"45823115908"</f>
        <v>45823115908</v>
      </c>
      <c r="B6811" t="s">
        <v>430</v>
      </c>
      <c r="C6811" t="s">
        <v>612</v>
      </c>
      <c r="D6811" t="s">
        <v>29416</v>
      </c>
      <c r="E6811">
        <v>424007</v>
      </c>
      <c r="F6811" t="s">
        <v>1</v>
      </c>
      <c r="G6811" t="s">
        <v>2</v>
      </c>
      <c r="H6811" t="s">
        <v>29417</v>
      </c>
      <c r="Y6811" t="s">
        <v>29418</v>
      </c>
    </row>
    <row r="6812" spans="1:25" x14ac:dyDescent="0.25">
      <c r="A6812" t="str">
        <f>"45891215192"</f>
        <v>45891215192</v>
      </c>
      <c r="B6812" t="s">
        <v>96</v>
      </c>
      <c r="C6812" t="s">
        <v>29421</v>
      </c>
      <c r="D6812" t="s">
        <v>29419</v>
      </c>
      <c r="E6812">
        <v>424031</v>
      </c>
      <c r="F6812" t="s">
        <v>1</v>
      </c>
      <c r="G6812" t="s">
        <v>2</v>
      </c>
      <c r="H6812" t="s">
        <v>4622</v>
      </c>
      <c r="J6812" t="s">
        <v>29420</v>
      </c>
      <c r="P6812" t="s">
        <v>144</v>
      </c>
      <c r="Q6812" t="s">
        <v>29422</v>
      </c>
      <c r="Y6812" t="s">
        <v>7838</v>
      </c>
    </row>
    <row r="6813" spans="1:25" x14ac:dyDescent="0.25">
      <c r="A6813" t="str">
        <f>"45897156232"</f>
        <v>45897156232</v>
      </c>
      <c r="B6813" t="s">
        <v>930</v>
      </c>
      <c r="C6813" t="s">
        <v>4781</v>
      </c>
      <c r="D6813" t="s">
        <v>29423</v>
      </c>
      <c r="F6813" t="s">
        <v>1</v>
      </c>
      <c r="G6813" t="s">
        <v>2</v>
      </c>
      <c r="H6813" t="s">
        <v>25877</v>
      </c>
      <c r="J6813" t="s">
        <v>29424</v>
      </c>
      <c r="P6813" t="s">
        <v>260</v>
      </c>
      <c r="Y6813" t="s">
        <v>21223</v>
      </c>
    </row>
    <row r="6814" spans="1:25" x14ac:dyDescent="0.25">
      <c r="A6814" t="str">
        <f>"45904876652"</f>
        <v>45904876652</v>
      </c>
      <c r="B6814" t="s">
        <v>284</v>
      </c>
      <c r="C6814" t="s">
        <v>2462</v>
      </c>
      <c r="D6814" t="s">
        <v>29425</v>
      </c>
      <c r="E6814">
        <v>424032</v>
      </c>
      <c r="F6814" t="s">
        <v>1</v>
      </c>
      <c r="G6814" t="s">
        <v>2</v>
      </c>
      <c r="H6814" t="s">
        <v>29426</v>
      </c>
      <c r="J6814" t="s">
        <v>29427</v>
      </c>
      <c r="P6814" t="s">
        <v>330</v>
      </c>
      <c r="Y6814" t="s">
        <v>2584</v>
      </c>
    </row>
    <row r="6815" spans="1:25" x14ac:dyDescent="0.25">
      <c r="A6815" t="str">
        <f>"45927134982"</f>
        <v>45927134982</v>
      </c>
      <c r="B6815" t="s">
        <v>123</v>
      </c>
      <c r="C6815" t="s">
        <v>196</v>
      </c>
      <c r="D6815" t="s">
        <v>29428</v>
      </c>
      <c r="E6815">
        <v>424003</v>
      </c>
      <c r="F6815" t="s">
        <v>1</v>
      </c>
      <c r="G6815" t="s">
        <v>2</v>
      </c>
      <c r="H6815" t="s">
        <v>38</v>
      </c>
      <c r="J6815" t="s">
        <v>29429</v>
      </c>
      <c r="P6815" t="s">
        <v>144</v>
      </c>
      <c r="Y6815" t="s">
        <v>8462</v>
      </c>
    </row>
    <row r="6816" spans="1:25" x14ac:dyDescent="0.25">
      <c r="A6816" t="str">
        <f>"45950395037"</f>
        <v>45950395037</v>
      </c>
      <c r="B6816" t="s">
        <v>25</v>
      </c>
      <c r="C6816" t="s">
        <v>29433</v>
      </c>
      <c r="D6816" t="s">
        <v>29430</v>
      </c>
      <c r="E6816">
        <v>424000</v>
      </c>
      <c r="F6816" t="s">
        <v>1</v>
      </c>
      <c r="G6816" t="s">
        <v>2</v>
      </c>
      <c r="H6816" t="s">
        <v>2193</v>
      </c>
      <c r="I6816" t="s">
        <v>29431</v>
      </c>
      <c r="L6816" t="s">
        <v>29432</v>
      </c>
      <c r="P6816" t="s">
        <v>20</v>
      </c>
      <c r="Y6816" t="s">
        <v>2196</v>
      </c>
    </row>
    <row r="6817" spans="1:25" x14ac:dyDescent="0.25">
      <c r="A6817" t="str">
        <f>"45984983160"</f>
        <v>45984983160</v>
      </c>
      <c r="B6817" t="s">
        <v>574</v>
      </c>
      <c r="C6817" t="s">
        <v>27049</v>
      </c>
      <c r="D6817" t="s">
        <v>569</v>
      </c>
      <c r="F6817" t="s">
        <v>1</v>
      </c>
      <c r="G6817" t="s">
        <v>2</v>
      </c>
      <c r="H6817" t="s">
        <v>25421</v>
      </c>
      <c r="P6817" t="s">
        <v>216</v>
      </c>
      <c r="Y6817" t="s">
        <v>29434</v>
      </c>
    </row>
    <row r="6818" spans="1:25" x14ac:dyDescent="0.25">
      <c r="A6818" t="str">
        <f>"46000364368"</f>
        <v>46000364368</v>
      </c>
      <c r="B6818" t="s">
        <v>32</v>
      </c>
      <c r="C6818" t="s">
        <v>20137</v>
      </c>
      <c r="D6818" t="s">
        <v>20137</v>
      </c>
      <c r="E6818">
        <v>424002</v>
      </c>
      <c r="F6818" t="s">
        <v>1</v>
      </c>
      <c r="G6818" t="s">
        <v>2</v>
      </c>
      <c r="H6818" t="s">
        <v>1190</v>
      </c>
      <c r="J6818" t="s">
        <v>29435</v>
      </c>
      <c r="P6818" t="s">
        <v>5871</v>
      </c>
      <c r="Y6818" t="s">
        <v>1193</v>
      </c>
    </row>
    <row r="6819" spans="1:25" x14ac:dyDescent="0.25">
      <c r="A6819" t="str">
        <f>"46074710352"</f>
        <v>46074710352</v>
      </c>
      <c r="B6819" t="s">
        <v>574</v>
      </c>
      <c r="C6819" t="s">
        <v>646</v>
      </c>
      <c r="D6819" t="s">
        <v>29371</v>
      </c>
      <c r="E6819">
        <v>424032</v>
      </c>
      <c r="F6819" t="s">
        <v>1</v>
      </c>
      <c r="G6819" t="s">
        <v>2</v>
      </c>
      <c r="H6819" t="s">
        <v>24307</v>
      </c>
      <c r="P6819" t="s">
        <v>330</v>
      </c>
      <c r="Y6819" t="s">
        <v>29436</v>
      </c>
    </row>
    <row r="6820" spans="1:25" x14ac:dyDescent="0.25">
      <c r="A6820" t="str">
        <f>"46077063168"</f>
        <v>46077063168</v>
      </c>
      <c r="B6820" t="s">
        <v>25</v>
      </c>
      <c r="C6820" t="s">
        <v>20320</v>
      </c>
      <c r="D6820" t="s">
        <v>29437</v>
      </c>
      <c r="E6820">
        <v>424002</v>
      </c>
      <c r="F6820" t="s">
        <v>1</v>
      </c>
      <c r="G6820" t="s">
        <v>2</v>
      </c>
      <c r="H6820" t="s">
        <v>27652</v>
      </c>
      <c r="Y6820" t="s">
        <v>29438</v>
      </c>
    </row>
    <row r="6821" spans="1:25" x14ac:dyDescent="0.25">
      <c r="A6821" t="str">
        <f>"46083153011"</f>
        <v>46083153011</v>
      </c>
      <c r="B6821" t="s">
        <v>574</v>
      </c>
      <c r="C6821" t="s">
        <v>646</v>
      </c>
      <c r="D6821" t="s">
        <v>29439</v>
      </c>
      <c r="E6821">
        <v>424006</v>
      </c>
      <c r="F6821" t="s">
        <v>1</v>
      </c>
      <c r="G6821" t="s">
        <v>2</v>
      </c>
      <c r="H6821" t="s">
        <v>27301</v>
      </c>
      <c r="P6821" t="s">
        <v>330</v>
      </c>
      <c r="Y6821" t="s">
        <v>29440</v>
      </c>
    </row>
    <row r="6822" spans="1:25" x14ac:dyDescent="0.25">
      <c r="A6822" t="str">
        <f>"46109895999"</f>
        <v>46109895999</v>
      </c>
      <c r="B6822" t="s">
        <v>18</v>
      </c>
      <c r="C6822" t="s">
        <v>959</v>
      </c>
      <c r="D6822" t="s">
        <v>29441</v>
      </c>
      <c r="E6822">
        <v>424000</v>
      </c>
      <c r="F6822" t="s">
        <v>1</v>
      </c>
      <c r="G6822" t="s">
        <v>2</v>
      </c>
      <c r="H6822" t="s">
        <v>5754</v>
      </c>
      <c r="J6822" t="s">
        <v>29442</v>
      </c>
      <c r="M6822" t="s">
        <v>29443</v>
      </c>
      <c r="P6822" t="s">
        <v>1027</v>
      </c>
      <c r="Y6822" t="s">
        <v>29444</v>
      </c>
    </row>
    <row r="6823" spans="1:25" x14ac:dyDescent="0.25">
      <c r="A6823" t="str">
        <f>"46116007388"</f>
        <v>46116007388</v>
      </c>
      <c r="B6823" t="s">
        <v>319</v>
      </c>
      <c r="C6823" t="s">
        <v>320</v>
      </c>
      <c r="D6823" t="s">
        <v>320</v>
      </c>
      <c r="E6823">
        <v>424008</v>
      </c>
      <c r="F6823" t="s">
        <v>1</v>
      </c>
      <c r="G6823" t="s">
        <v>2</v>
      </c>
      <c r="H6823" t="s">
        <v>29445</v>
      </c>
      <c r="Y6823" t="s">
        <v>29446</v>
      </c>
    </row>
    <row r="6824" spans="1:25" x14ac:dyDescent="0.25">
      <c r="A6824" t="str">
        <f>"46128659815"</f>
        <v>46128659815</v>
      </c>
      <c r="B6824" t="s">
        <v>703</v>
      </c>
      <c r="C6824" t="s">
        <v>2129</v>
      </c>
      <c r="D6824" t="s">
        <v>23105</v>
      </c>
      <c r="E6824">
        <v>424007</v>
      </c>
      <c r="F6824" t="s">
        <v>1</v>
      </c>
      <c r="G6824" t="s">
        <v>2</v>
      </c>
      <c r="H6824" t="s">
        <v>10906</v>
      </c>
      <c r="I6824" t="s">
        <v>29447</v>
      </c>
      <c r="P6824" t="s">
        <v>280</v>
      </c>
      <c r="Y6824" t="s">
        <v>22016</v>
      </c>
    </row>
    <row r="6825" spans="1:25" x14ac:dyDescent="0.25">
      <c r="A6825" t="str">
        <f>"46142584984"</f>
        <v>46142584984</v>
      </c>
      <c r="B6825" t="s">
        <v>978</v>
      </c>
      <c r="C6825" t="s">
        <v>29450</v>
      </c>
      <c r="D6825" t="s">
        <v>19467</v>
      </c>
      <c r="E6825">
        <v>424002</v>
      </c>
      <c r="F6825" t="s">
        <v>1</v>
      </c>
      <c r="G6825" t="s">
        <v>2</v>
      </c>
      <c r="H6825" t="s">
        <v>57</v>
      </c>
      <c r="J6825" t="s">
        <v>29448</v>
      </c>
      <c r="M6825" t="s">
        <v>29449</v>
      </c>
      <c r="P6825" t="s">
        <v>29451</v>
      </c>
      <c r="Y6825" t="s">
        <v>3783</v>
      </c>
    </row>
    <row r="6826" spans="1:25" x14ac:dyDescent="0.25">
      <c r="A6826" t="str">
        <f>"46156153006"</f>
        <v>46156153006</v>
      </c>
      <c r="B6826" t="s">
        <v>1552</v>
      </c>
      <c r="C6826" t="s">
        <v>12654</v>
      </c>
      <c r="D6826" t="s">
        <v>29452</v>
      </c>
      <c r="E6826">
        <v>424031</v>
      </c>
      <c r="F6826" t="s">
        <v>1</v>
      </c>
      <c r="G6826" t="s">
        <v>2</v>
      </c>
      <c r="H6826" t="s">
        <v>29453</v>
      </c>
      <c r="J6826" t="s">
        <v>29454</v>
      </c>
      <c r="L6826" t="s">
        <v>29455</v>
      </c>
      <c r="M6826" t="s">
        <v>29456</v>
      </c>
      <c r="P6826" t="s">
        <v>17269</v>
      </c>
      <c r="Y6826" t="s">
        <v>29457</v>
      </c>
    </row>
    <row r="6827" spans="1:25" x14ac:dyDescent="0.25">
      <c r="A6827" t="str">
        <f>"46163249380"</f>
        <v>46163249380</v>
      </c>
      <c r="B6827" t="s">
        <v>640</v>
      </c>
      <c r="C6827" t="s">
        <v>12914</v>
      </c>
      <c r="D6827" t="s">
        <v>29458</v>
      </c>
      <c r="E6827">
        <v>424003</v>
      </c>
      <c r="F6827" t="s">
        <v>1</v>
      </c>
      <c r="G6827" t="s">
        <v>2</v>
      </c>
      <c r="H6827" t="s">
        <v>5773</v>
      </c>
      <c r="I6827" t="s">
        <v>27375</v>
      </c>
      <c r="J6827" t="s">
        <v>27376</v>
      </c>
      <c r="P6827" t="s">
        <v>29459</v>
      </c>
      <c r="Y6827" t="s">
        <v>5775</v>
      </c>
    </row>
    <row r="6828" spans="1:25" x14ac:dyDescent="0.25">
      <c r="A6828" t="str">
        <f>"46170534186"</f>
        <v>46170534186</v>
      </c>
      <c r="B6828" t="s">
        <v>204</v>
      </c>
      <c r="C6828" t="s">
        <v>29461</v>
      </c>
      <c r="D6828" t="s">
        <v>29460</v>
      </c>
      <c r="E6828">
        <v>424918</v>
      </c>
      <c r="F6828" t="s">
        <v>1</v>
      </c>
      <c r="G6828" t="s">
        <v>2</v>
      </c>
      <c r="H6828" t="s">
        <v>629</v>
      </c>
      <c r="P6828" t="s">
        <v>630</v>
      </c>
      <c r="Y6828" t="s">
        <v>22877</v>
      </c>
    </row>
    <row r="6829" spans="1:25" x14ac:dyDescent="0.25">
      <c r="A6829" t="str">
        <f>"46229003002"</f>
        <v>46229003002</v>
      </c>
      <c r="B6829" t="s">
        <v>530</v>
      </c>
      <c r="C6829" t="s">
        <v>23950</v>
      </c>
      <c r="D6829" t="s">
        <v>23950</v>
      </c>
      <c r="E6829">
        <v>424006</v>
      </c>
      <c r="F6829" t="s">
        <v>1</v>
      </c>
      <c r="G6829" t="s">
        <v>2</v>
      </c>
      <c r="H6829" t="s">
        <v>29462</v>
      </c>
      <c r="Y6829" t="s">
        <v>29463</v>
      </c>
    </row>
    <row r="6830" spans="1:25" x14ac:dyDescent="0.25">
      <c r="A6830" t="str">
        <f>"46291101781"</f>
        <v>46291101781</v>
      </c>
      <c r="B6830" t="s">
        <v>8011</v>
      </c>
      <c r="C6830" t="s">
        <v>25177</v>
      </c>
      <c r="D6830" t="s">
        <v>29464</v>
      </c>
      <c r="E6830">
        <v>424000</v>
      </c>
      <c r="F6830" t="s">
        <v>1</v>
      </c>
      <c r="G6830" t="s">
        <v>2</v>
      </c>
      <c r="H6830" t="s">
        <v>4255</v>
      </c>
      <c r="Y6830" t="s">
        <v>29465</v>
      </c>
    </row>
    <row r="6831" spans="1:25" x14ac:dyDescent="0.25">
      <c r="A6831" t="str">
        <f>"46293924685"</f>
        <v>46293924685</v>
      </c>
      <c r="B6831" t="s">
        <v>4084</v>
      </c>
      <c r="C6831" t="s">
        <v>10526</v>
      </c>
      <c r="D6831" t="s">
        <v>29466</v>
      </c>
      <c r="F6831" t="s">
        <v>1</v>
      </c>
      <c r="G6831" t="s">
        <v>2</v>
      </c>
      <c r="H6831" t="s">
        <v>29467</v>
      </c>
      <c r="Y6831" t="s">
        <v>29468</v>
      </c>
    </row>
    <row r="6832" spans="1:25" x14ac:dyDescent="0.25">
      <c r="A6832" t="str">
        <f>"46322603364"</f>
        <v>46322603364</v>
      </c>
      <c r="B6832" t="s">
        <v>96</v>
      </c>
      <c r="C6832" t="s">
        <v>24441</v>
      </c>
      <c r="D6832" t="s">
        <v>29469</v>
      </c>
      <c r="E6832">
        <v>424038</v>
      </c>
      <c r="F6832" t="s">
        <v>1</v>
      </c>
      <c r="G6832" t="s">
        <v>2</v>
      </c>
      <c r="H6832" t="s">
        <v>21507</v>
      </c>
      <c r="Y6832" t="s">
        <v>29470</v>
      </c>
    </row>
    <row r="6833" spans="1:25" x14ac:dyDescent="0.25">
      <c r="A6833" t="str">
        <f>"46329588665"</f>
        <v>46329588665</v>
      </c>
      <c r="B6833" t="s">
        <v>96</v>
      </c>
      <c r="C6833" t="s">
        <v>893</v>
      </c>
      <c r="D6833" t="s">
        <v>29471</v>
      </c>
      <c r="E6833">
        <v>424000</v>
      </c>
      <c r="F6833" t="s">
        <v>1</v>
      </c>
      <c r="G6833" t="s">
        <v>2</v>
      </c>
      <c r="H6833" t="s">
        <v>10803</v>
      </c>
      <c r="Y6833" t="s">
        <v>10805</v>
      </c>
    </row>
    <row r="6834" spans="1:25" x14ac:dyDescent="0.25">
      <c r="A6834" t="str">
        <f>"46360434034"</f>
        <v>46360434034</v>
      </c>
      <c r="B6834" t="s">
        <v>233</v>
      </c>
      <c r="C6834" t="s">
        <v>29474</v>
      </c>
      <c r="D6834" t="s">
        <v>29472</v>
      </c>
      <c r="E6834">
        <v>424006</v>
      </c>
      <c r="F6834" t="s">
        <v>1</v>
      </c>
      <c r="G6834" t="s">
        <v>2</v>
      </c>
      <c r="H6834" t="s">
        <v>4821</v>
      </c>
      <c r="J6834" t="s">
        <v>29473</v>
      </c>
      <c r="P6834" t="s">
        <v>799</v>
      </c>
      <c r="Y6834" t="s">
        <v>29475</v>
      </c>
    </row>
    <row r="6835" spans="1:25" x14ac:dyDescent="0.25">
      <c r="A6835" t="str">
        <f>"46363029241"</f>
        <v>46363029241</v>
      </c>
      <c r="B6835" t="s">
        <v>1182</v>
      </c>
      <c r="C6835" t="s">
        <v>29478</v>
      </c>
      <c r="D6835" t="s">
        <v>29476</v>
      </c>
      <c r="E6835">
        <v>424006</v>
      </c>
      <c r="F6835" t="s">
        <v>1</v>
      </c>
      <c r="G6835" t="s">
        <v>2</v>
      </c>
      <c r="H6835" t="s">
        <v>20220</v>
      </c>
      <c r="I6835" t="s">
        <v>29477</v>
      </c>
      <c r="P6835" t="s">
        <v>2362</v>
      </c>
      <c r="Y6835" t="s">
        <v>29479</v>
      </c>
    </row>
    <row r="6836" spans="1:25" x14ac:dyDescent="0.25">
      <c r="A6836" t="str">
        <f>"46363921453"</f>
        <v>46363921453</v>
      </c>
      <c r="B6836" t="s">
        <v>1152</v>
      </c>
      <c r="C6836" t="s">
        <v>29482</v>
      </c>
      <c r="D6836" t="s">
        <v>25385</v>
      </c>
      <c r="E6836">
        <v>424000</v>
      </c>
      <c r="F6836" t="s">
        <v>1</v>
      </c>
      <c r="G6836" t="s">
        <v>2</v>
      </c>
      <c r="H6836" t="s">
        <v>265</v>
      </c>
      <c r="I6836" t="s">
        <v>29480</v>
      </c>
      <c r="J6836" t="s">
        <v>29481</v>
      </c>
      <c r="P6836" t="s">
        <v>3690</v>
      </c>
      <c r="Y6836" t="s">
        <v>29483</v>
      </c>
    </row>
    <row r="6837" spans="1:25" x14ac:dyDescent="0.25">
      <c r="A6837" t="str">
        <f>"46376109398"</f>
        <v>46376109398</v>
      </c>
      <c r="B6837" t="s">
        <v>117</v>
      </c>
      <c r="C6837" t="s">
        <v>6850</v>
      </c>
      <c r="D6837" t="s">
        <v>29484</v>
      </c>
      <c r="F6837" t="s">
        <v>1</v>
      </c>
      <c r="G6837" t="s">
        <v>2</v>
      </c>
      <c r="H6837" t="s">
        <v>29485</v>
      </c>
      <c r="J6837" t="s">
        <v>29486</v>
      </c>
      <c r="P6837" t="s">
        <v>330</v>
      </c>
      <c r="Y6837" t="s">
        <v>119</v>
      </c>
    </row>
    <row r="6838" spans="1:25" x14ac:dyDescent="0.25">
      <c r="A6838" t="str">
        <f>"46379629752"</f>
        <v>46379629752</v>
      </c>
      <c r="B6838" t="s">
        <v>348</v>
      </c>
      <c r="C6838" t="s">
        <v>13490</v>
      </c>
      <c r="D6838" t="s">
        <v>29487</v>
      </c>
      <c r="E6838">
        <v>424004</v>
      </c>
      <c r="F6838" t="s">
        <v>1</v>
      </c>
      <c r="G6838" t="s">
        <v>2</v>
      </c>
      <c r="H6838" t="s">
        <v>3489</v>
      </c>
      <c r="I6838" t="s">
        <v>29488</v>
      </c>
      <c r="L6838" t="s">
        <v>29489</v>
      </c>
      <c r="M6838" t="s">
        <v>29490</v>
      </c>
      <c r="P6838" t="s">
        <v>17269</v>
      </c>
      <c r="Q6838" t="s">
        <v>29491</v>
      </c>
      <c r="Y6838" t="s">
        <v>29492</v>
      </c>
    </row>
    <row r="6839" spans="1:25" x14ac:dyDescent="0.25">
      <c r="A6839" t="str">
        <f>"46444933467"</f>
        <v>46444933467</v>
      </c>
      <c r="B6839" t="s">
        <v>716</v>
      </c>
      <c r="C6839" t="s">
        <v>26823</v>
      </c>
      <c r="D6839" t="s">
        <v>29493</v>
      </c>
      <c r="F6839" t="s">
        <v>1</v>
      </c>
      <c r="G6839" t="s">
        <v>2</v>
      </c>
      <c r="H6839" t="s">
        <v>8989</v>
      </c>
      <c r="Y6839" t="s">
        <v>29494</v>
      </c>
    </row>
    <row r="6840" spans="1:25" x14ac:dyDescent="0.25">
      <c r="A6840" t="str">
        <f>"46447967825"</f>
        <v>46447967825</v>
      </c>
      <c r="B6840" t="s">
        <v>348</v>
      </c>
      <c r="C6840" t="s">
        <v>4366</v>
      </c>
      <c r="D6840" t="s">
        <v>29495</v>
      </c>
      <c r="F6840" t="s">
        <v>1</v>
      </c>
      <c r="G6840" t="s">
        <v>2</v>
      </c>
      <c r="H6840" t="s">
        <v>138</v>
      </c>
      <c r="P6840" t="s">
        <v>144</v>
      </c>
      <c r="Y6840" t="s">
        <v>29496</v>
      </c>
    </row>
    <row r="6841" spans="1:25" x14ac:dyDescent="0.25">
      <c r="A6841" t="str">
        <f>"46462029638"</f>
        <v>46462029638</v>
      </c>
      <c r="B6841" t="s">
        <v>18</v>
      </c>
      <c r="C6841" t="s">
        <v>29498</v>
      </c>
      <c r="D6841" t="s">
        <v>29497</v>
      </c>
      <c r="E6841">
        <v>424007</v>
      </c>
      <c r="F6841" t="s">
        <v>1</v>
      </c>
      <c r="G6841" t="s">
        <v>2</v>
      </c>
      <c r="H6841" t="s">
        <v>23983</v>
      </c>
      <c r="Y6841" t="s">
        <v>24758</v>
      </c>
    </row>
    <row r="6842" spans="1:25" x14ac:dyDescent="0.25">
      <c r="A6842" t="str">
        <f>"46470184660"</f>
        <v>46470184660</v>
      </c>
      <c r="B6842" t="s">
        <v>3700</v>
      </c>
      <c r="C6842" t="s">
        <v>29501</v>
      </c>
      <c r="D6842" t="s">
        <v>29499</v>
      </c>
      <c r="E6842">
        <v>424918</v>
      </c>
      <c r="F6842" t="s">
        <v>1</v>
      </c>
      <c r="G6842" t="s">
        <v>2</v>
      </c>
      <c r="H6842" t="s">
        <v>629</v>
      </c>
      <c r="J6842" t="s">
        <v>29500</v>
      </c>
      <c r="P6842" t="s">
        <v>27</v>
      </c>
      <c r="Q6842" t="s">
        <v>29502</v>
      </c>
      <c r="Y6842" t="s">
        <v>1744</v>
      </c>
    </row>
    <row r="6843" spans="1:25" x14ac:dyDescent="0.25">
      <c r="A6843" t="str">
        <f>"46491413552"</f>
        <v>46491413552</v>
      </c>
      <c r="B6843" t="s">
        <v>1604</v>
      </c>
      <c r="C6843" t="s">
        <v>29505</v>
      </c>
      <c r="D6843" t="s">
        <v>29503</v>
      </c>
      <c r="E6843">
        <v>424003</v>
      </c>
      <c r="F6843" t="s">
        <v>1</v>
      </c>
      <c r="G6843" t="s">
        <v>2</v>
      </c>
      <c r="H6843" t="s">
        <v>2465</v>
      </c>
      <c r="I6843" t="s">
        <v>29504</v>
      </c>
      <c r="P6843" t="s">
        <v>2020</v>
      </c>
      <c r="Y6843" t="s">
        <v>2469</v>
      </c>
    </row>
    <row r="6844" spans="1:25" x14ac:dyDescent="0.25">
      <c r="A6844" t="str">
        <f>"46552881864"</f>
        <v>46552881864</v>
      </c>
      <c r="B6844" t="s">
        <v>456</v>
      </c>
      <c r="C6844" t="s">
        <v>29509</v>
      </c>
      <c r="D6844" t="s">
        <v>29506</v>
      </c>
      <c r="F6844" t="s">
        <v>1</v>
      </c>
      <c r="G6844" t="s">
        <v>2</v>
      </c>
      <c r="H6844" t="s">
        <v>8610</v>
      </c>
      <c r="J6844" t="s">
        <v>29507</v>
      </c>
      <c r="L6844" t="s">
        <v>29508</v>
      </c>
      <c r="P6844" t="s">
        <v>216</v>
      </c>
      <c r="Y6844" t="s">
        <v>29510</v>
      </c>
    </row>
    <row r="6845" spans="1:25" x14ac:dyDescent="0.25">
      <c r="A6845" t="str">
        <f>"46555870872"</f>
        <v>46555870872</v>
      </c>
      <c r="B6845" t="s">
        <v>1262</v>
      </c>
      <c r="C6845" t="s">
        <v>29512</v>
      </c>
      <c r="D6845" t="s">
        <v>29511</v>
      </c>
      <c r="E6845">
        <v>424028</v>
      </c>
      <c r="F6845" t="s">
        <v>1</v>
      </c>
      <c r="G6845" t="s">
        <v>2</v>
      </c>
      <c r="H6845" t="s">
        <v>1260</v>
      </c>
      <c r="I6845" t="s">
        <v>12640</v>
      </c>
      <c r="L6845" t="s">
        <v>12641</v>
      </c>
      <c r="M6845" t="s">
        <v>12642</v>
      </c>
      <c r="P6845" t="s">
        <v>29513</v>
      </c>
      <c r="Y6845" t="s">
        <v>29514</v>
      </c>
    </row>
    <row r="6846" spans="1:25" x14ac:dyDescent="0.25">
      <c r="A6846" t="str">
        <f>"46590045891"</f>
        <v>46590045891</v>
      </c>
      <c r="B6846" t="s">
        <v>574</v>
      </c>
      <c r="C6846" t="s">
        <v>10644</v>
      </c>
      <c r="D6846" t="s">
        <v>25486</v>
      </c>
      <c r="E6846">
        <v>424002</v>
      </c>
      <c r="F6846" t="s">
        <v>1</v>
      </c>
      <c r="G6846" t="s">
        <v>2</v>
      </c>
      <c r="H6846" t="s">
        <v>29515</v>
      </c>
      <c r="I6846" t="s">
        <v>27466</v>
      </c>
      <c r="L6846" t="s">
        <v>18047</v>
      </c>
      <c r="M6846" t="s">
        <v>18048</v>
      </c>
      <c r="P6846" t="s">
        <v>216</v>
      </c>
      <c r="Y6846" t="s">
        <v>29516</v>
      </c>
    </row>
    <row r="6847" spans="1:25" x14ac:dyDescent="0.25">
      <c r="A6847" t="str">
        <f>"46610565329"</f>
        <v>46610565329</v>
      </c>
      <c r="B6847" t="s">
        <v>160</v>
      </c>
      <c r="C6847" t="s">
        <v>1666</v>
      </c>
      <c r="D6847" t="s">
        <v>29517</v>
      </c>
      <c r="F6847" t="s">
        <v>1</v>
      </c>
      <c r="G6847" t="s">
        <v>2</v>
      </c>
      <c r="H6847" t="s">
        <v>29518</v>
      </c>
      <c r="I6847" t="s">
        <v>29519</v>
      </c>
      <c r="P6847" t="s">
        <v>280</v>
      </c>
      <c r="Y6847" t="s">
        <v>26439</v>
      </c>
    </row>
    <row r="6848" spans="1:25" x14ac:dyDescent="0.25">
      <c r="A6848" t="str">
        <f>"46704295615"</f>
        <v>46704295615</v>
      </c>
      <c r="B6848" t="s">
        <v>96</v>
      </c>
      <c r="C6848" t="s">
        <v>893</v>
      </c>
      <c r="D6848" t="s">
        <v>29520</v>
      </c>
      <c r="E6848">
        <v>424038</v>
      </c>
      <c r="F6848" t="s">
        <v>1</v>
      </c>
      <c r="G6848" t="s">
        <v>2</v>
      </c>
      <c r="H6848" t="s">
        <v>6550</v>
      </c>
      <c r="Y6848" t="s">
        <v>29521</v>
      </c>
    </row>
    <row r="6849" spans="1:25" x14ac:dyDescent="0.25">
      <c r="A6849" t="str">
        <f>"46709241159"</f>
        <v>46709241159</v>
      </c>
      <c r="B6849" t="s">
        <v>188</v>
      </c>
      <c r="C6849" t="s">
        <v>24568</v>
      </c>
      <c r="D6849" t="s">
        <v>24568</v>
      </c>
      <c r="F6849" t="s">
        <v>1</v>
      </c>
      <c r="G6849" t="s">
        <v>2</v>
      </c>
      <c r="H6849" t="s">
        <v>27612</v>
      </c>
      <c r="Y6849" t="s">
        <v>29522</v>
      </c>
    </row>
    <row r="6850" spans="1:25" x14ac:dyDescent="0.25">
      <c r="A6850" t="str">
        <f>"46789202582"</f>
        <v>46789202582</v>
      </c>
      <c r="B6850" t="s">
        <v>96</v>
      </c>
      <c r="C6850" t="s">
        <v>29525</v>
      </c>
      <c r="D6850" t="s">
        <v>29523</v>
      </c>
      <c r="E6850">
        <v>424002</v>
      </c>
      <c r="F6850" t="s">
        <v>1</v>
      </c>
      <c r="G6850" t="s">
        <v>2</v>
      </c>
      <c r="H6850" t="s">
        <v>915</v>
      </c>
      <c r="J6850" t="s">
        <v>29524</v>
      </c>
      <c r="P6850" t="s">
        <v>26745</v>
      </c>
      <c r="Q6850" t="s">
        <v>29526</v>
      </c>
      <c r="V6850" t="s">
        <v>29527</v>
      </c>
      <c r="Y6850" t="s">
        <v>29528</v>
      </c>
    </row>
    <row r="6851" spans="1:25" x14ac:dyDescent="0.25">
      <c r="A6851" t="str">
        <f>"46803146807"</f>
        <v>46803146807</v>
      </c>
      <c r="B6851" t="s">
        <v>96</v>
      </c>
      <c r="C6851" t="s">
        <v>14175</v>
      </c>
      <c r="D6851" t="s">
        <v>9929</v>
      </c>
      <c r="E6851">
        <v>424000</v>
      </c>
      <c r="F6851" t="s">
        <v>1</v>
      </c>
      <c r="G6851" t="s">
        <v>2</v>
      </c>
      <c r="H6851" t="s">
        <v>265</v>
      </c>
      <c r="Y6851" t="s">
        <v>11205</v>
      </c>
    </row>
    <row r="6852" spans="1:25" x14ac:dyDescent="0.25">
      <c r="A6852" t="str">
        <f>"46813823809"</f>
        <v>46813823809</v>
      </c>
      <c r="B6852" t="s">
        <v>96</v>
      </c>
      <c r="C6852" t="s">
        <v>8479</v>
      </c>
      <c r="D6852" t="s">
        <v>27619</v>
      </c>
      <c r="E6852">
        <v>424005</v>
      </c>
      <c r="F6852" t="s">
        <v>1</v>
      </c>
      <c r="G6852" t="s">
        <v>2</v>
      </c>
      <c r="H6852" t="s">
        <v>1298</v>
      </c>
      <c r="Y6852" t="s">
        <v>1301</v>
      </c>
    </row>
    <row r="6853" spans="1:25" x14ac:dyDescent="0.25">
      <c r="A6853" t="str">
        <f>"46848224753"</f>
        <v>46848224753</v>
      </c>
      <c r="B6853" t="s">
        <v>2178</v>
      </c>
      <c r="C6853" t="s">
        <v>3223</v>
      </c>
      <c r="D6853" t="s">
        <v>29529</v>
      </c>
      <c r="E6853">
        <v>424002</v>
      </c>
      <c r="F6853" t="s">
        <v>1</v>
      </c>
      <c r="G6853" t="s">
        <v>2</v>
      </c>
      <c r="H6853" t="s">
        <v>2714</v>
      </c>
      <c r="I6853" t="s">
        <v>29530</v>
      </c>
      <c r="Y6853" t="s">
        <v>29531</v>
      </c>
    </row>
    <row r="6854" spans="1:25" x14ac:dyDescent="0.25">
      <c r="A6854" t="str">
        <f>"46851608956"</f>
        <v>46851608956</v>
      </c>
      <c r="B6854" t="s">
        <v>96</v>
      </c>
      <c r="C6854" t="s">
        <v>893</v>
      </c>
      <c r="D6854" t="s">
        <v>29532</v>
      </c>
      <c r="E6854">
        <v>424038</v>
      </c>
      <c r="F6854" t="s">
        <v>1</v>
      </c>
      <c r="G6854" t="s">
        <v>2</v>
      </c>
      <c r="H6854" t="s">
        <v>2614</v>
      </c>
      <c r="Q6854" t="s">
        <v>29533</v>
      </c>
      <c r="Y6854" t="s">
        <v>2617</v>
      </c>
    </row>
    <row r="6855" spans="1:25" x14ac:dyDescent="0.25">
      <c r="A6855" t="str">
        <f>"46852790452"</f>
        <v>46852790452</v>
      </c>
      <c r="B6855" t="s">
        <v>123</v>
      </c>
      <c r="C6855" t="s">
        <v>424</v>
      </c>
      <c r="D6855" t="s">
        <v>7296</v>
      </c>
      <c r="E6855">
        <v>424020</v>
      </c>
      <c r="F6855" t="s">
        <v>1</v>
      </c>
      <c r="G6855" t="s">
        <v>2</v>
      </c>
      <c r="H6855" t="s">
        <v>29534</v>
      </c>
      <c r="I6855" t="s">
        <v>10892</v>
      </c>
      <c r="P6855" t="s">
        <v>11204</v>
      </c>
      <c r="Q6855" t="s">
        <v>14914</v>
      </c>
      <c r="Y6855" t="s">
        <v>29535</v>
      </c>
    </row>
    <row r="6856" spans="1:25" x14ac:dyDescent="0.25">
      <c r="A6856" t="str">
        <f>"46868271240"</f>
        <v>46868271240</v>
      </c>
      <c r="B6856" t="s">
        <v>88</v>
      </c>
      <c r="C6856" t="s">
        <v>8056</v>
      </c>
      <c r="D6856" t="s">
        <v>5805</v>
      </c>
      <c r="E6856">
        <v>424039</v>
      </c>
      <c r="F6856" t="s">
        <v>1</v>
      </c>
      <c r="G6856" t="s">
        <v>2</v>
      </c>
      <c r="H6856" t="s">
        <v>17278</v>
      </c>
      <c r="Y6856" t="s">
        <v>17280</v>
      </c>
    </row>
    <row r="6857" spans="1:25" x14ac:dyDescent="0.25">
      <c r="A6857" t="str">
        <f>"46885894342"</f>
        <v>46885894342</v>
      </c>
      <c r="B6857" t="s">
        <v>10383</v>
      </c>
      <c r="C6857" t="s">
        <v>24146</v>
      </c>
      <c r="D6857" t="s">
        <v>24146</v>
      </c>
      <c r="F6857" t="s">
        <v>1</v>
      </c>
      <c r="G6857" t="s">
        <v>2</v>
      </c>
      <c r="H6857" t="s">
        <v>29536</v>
      </c>
      <c r="Y6857" t="s">
        <v>29537</v>
      </c>
    </row>
    <row r="6858" spans="1:25" x14ac:dyDescent="0.25">
      <c r="A6858" t="str">
        <f>"46886956772"</f>
        <v>46886956772</v>
      </c>
      <c r="B6858" t="s">
        <v>1046</v>
      </c>
      <c r="C6858" t="s">
        <v>29540</v>
      </c>
      <c r="D6858" t="s">
        <v>29538</v>
      </c>
      <c r="E6858">
        <v>424918</v>
      </c>
      <c r="F6858" t="s">
        <v>1</v>
      </c>
      <c r="G6858" t="s">
        <v>2</v>
      </c>
      <c r="H6858" t="s">
        <v>629</v>
      </c>
      <c r="J6858" t="s">
        <v>29539</v>
      </c>
      <c r="P6858" t="s">
        <v>98</v>
      </c>
      <c r="Q6858" t="s">
        <v>29541</v>
      </c>
      <c r="V6858" t="s">
        <v>29542</v>
      </c>
      <c r="Y6858" t="s">
        <v>1744</v>
      </c>
    </row>
    <row r="6859" spans="1:25" x14ac:dyDescent="0.25">
      <c r="A6859" t="str">
        <f>"46893843473"</f>
        <v>46893843473</v>
      </c>
      <c r="B6859" t="s">
        <v>96</v>
      </c>
      <c r="C6859" t="s">
        <v>893</v>
      </c>
      <c r="D6859" t="s">
        <v>10554</v>
      </c>
      <c r="E6859">
        <v>424005</v>
      </c>
      <c r="F6859" t="s">
        <v>1</v>
      </c>
      <c r="G6859" t="s">
        <v>2</v>
      </c>
      <c r="H6859" t="s">
        <v>7480</v>
      </c>
      <c r="J6859" t="s">
        <v>29543</v>
      </c>
      <c r="P6859" t="s">
        <v>29544</v>
      </c>
      <c r="Y6859" t="s">
        <v>7482</v>
      </c>
    </row>
    <row r="6860" spans="1:25" x14ac:dyDescent="0.25">
      <c r="A6860" t="str">
        <f>"46918142386"</f>
        <v>46918142386</v>
      </c>
      <c r="B6860" t="s">
        <v>96</v>
      </c>
      <c r="C6860" t="s">
        <v>893</v>
      </c>
      <c r="D6860" t="s">
        <v>29545</v>
      </c>
      <c r="E6860">
        <v>424000</v>
      </c>
      <c r="F6860" t="s">
        <v>1</v>
      </c>
      <c r="G6860" t="s">
        <v>2</v>
      </c>
      <c r="H6860" t="s">
        <v>1473</v>
      </c>
      <c r="P6860" t="s">
        <v>941</v>
      </c>
      <c r="Y6860" t="s">
        <v>4067</v>
      </c>
    </row>
    <row r="6861" spans="1:25" x14ac:dyDescent="0.25">
      <c r="A6861" t="str">
        <f>"47003853130"</f>
        <v>47003853130</v>
      </c>
      <c r="B6861" t="s">
        <v>1343</v>
      </c>
      <c r="C6861" t="s">
        <v>1344</v>
      </c>
      <c r="D6861" t="s">
        <v>29546</v>
      </c>
      <c r="E6861">
        <v>424000</v>
      </c>
      <c r="F6861" t="s">
        <v>1</v>
      </c>
      <c r="G6861" t="s">
        <v>2</v>
      </c>
      <c r="H6861" t="s">
        <v>3749</v>
      </c>
      <c r="Y6861" t="s">
        <v>29547</v>
      </c>
    </row>
    <row r="6862" spans="1:25" x14ac:dyDescent="0.25">
      <c r="A6862" t="str">
        <f>"47013984519"</f>
        <v>47013984519</v>
      </c>
      <c r="B6862" t="s">
        <v>96</v>
      </c>
      <c r="C6862" t="s">
        <v>893</v>
      </c>
      <c r="D6862" t="s">
        <v>29548</v>
      </c>
      <c r="E6862">
        <v>424918</v>
      </c>
      <c r="F6862" t="s">
        <v>1</v>
      </c>
      <c r="G6862" t="s">
        <v>2</v>
      </c>
      <c r="H6862" t="s">
        <v>629</v>
      </c>
      <c r="P6862" t="s">
        <v>630</v>
      </c>
      <c r="Y6862" t="s">
        <v>1744</v>
      </c>
    </row>
    <row r="6863" spans="1:25" x14ac:dyDescent="0.25">
      <c r="A6863" t="str">
        <f>"47018844473"</f>
        <v>47018844473</v>
      </c>
      <c r="B6863" t="s">
        <v>1544</v>
      </c>
      <c r="C6863" t="s">
        <v>7974</v>
      </c>
      <c r="D6863" t="s">
        <v>2733</v>
      </c>
      <c r="E6863">
        <v>424032</v>
      </c>
      <c r="F6863" t="s">
        <v>1</v>
      </c>
      <c r="G6863" t="s">
        <v>2</v>
      </c>
      <c r="H6863" t="s">
        <v>6280</v>
      </c>
      <c r="Y6863" t="s">
        <v>29549</v>
      </c>
    </row>
    <row r="6864" spans="1:25" x14ac:dyDescent="0.25">
      <c r="A6864" t="str">
        <f>"47019686838"</f>
        <v>47019686838</v>
      </c>
      <c r="B6864" t="s">
        <v>4084</v>
      </c>
      <c r="C6864" t="s">
        <v>29553</v>
      </c>
      <c r="D6864" t="s">
        <v>29550</v>
      </c>
      <c r="E6864">
        <v>424031</v>
      </c>
      <c r="F6864" t="s">
        <v>1</v>
      </c>
      <c r="G6864" t="s">
        <v>2</v>
      </c>
      <c r="H6864" t="s">
        <v>18356</v>
      </c>
      <c r="I6864" t="s">
        <v>4978</v>
      </c>
      <c r="L6864" t="s">
        <v>29551</v>
      </c>
      <c r="M6864" t="s">
        <v>29552</v>
      </c>
      <c r="P6864" t="s">
        <v>29554</v>
      </c>
      <c r="Q6864" t="s">
        <v>29555</v>
      </c>
      <c r="Y6864" t="s">
        <v>29556</v>
      </c>
    </row>
    <row r="6865" spans="1:25" x14ac:dyDescent="0.25">
      <c r="A6865" t="str">
        <f>"47030737661"</f>
        <v>47030737661</v>
      </c>
      <c r="B6865" t="s">
        <v>176</v>
      </c>
      <c r="C6865" t="s">
        <v>29561</v>
      </c>
      <c r="D6865" t="s">
        <v>29557</v>
      </c>
      <c r="E6865">
        <v>424006</v>
      </c>
      <c r="F6865" t="s">
        <v>1</v>
      </c>
      <c r="G6865" t="s">
        <v>2</v>
      </c>
      <c r="H6865" t="s">
        <v>1923</v>
      </c>
      <c r="I6865" t="s">
        <v>29558</v>
      </c>
      <c r="J6865" t="s">
        <v>29559</v>
      </c>
      <c r="L6865" t="s">
        <v>17793</v>
      </c>
      <c r="M6865" t="s">
        <v>29560</v>
      </c>
      <c r="Y6865" t="s">
        <v>1928</v>
      </c>
    </row>
    <row r="6866" spans="1:25" x14ac:dyDescent="0.25">
      <c r="A6866" t="str">
        <f>"47129717540"</f>
        <v>47129717540</v>
      </c>
      <c r="B6866" t="s">
        <v>123</v>
      </c>
      <c r="C6866" t="s">
        <v>29564</v>
      </c>
      <c r="D6866" t="s">
        <v>29562</v>
      </c>
      <c r="E6866">
        <v>424038</v>
      </c>
      <c r="F6866" t="s">
        <v>1</v>
      </c>
      <c r="G6866" t="s">
        <v>2</v>
      </c>
      <c r="H6866" t="s">
        <v>1366</v>
      </c>
      <c r="J6866" t="s">
        <v>29563</v>
      </c>
      <c r="P6866" t="s">
        <v>17179</v>
      </c>
      <c r="Y6866" t="s">
        <v>7381</v>
      </c>
    </row>
    <row r="6867" spans="1:25" x14ac:dyDescent="0.25">
      <c r="A6867" t="str">
        <f>"47135622478"</f>
        <v>47135622478</v>
      </c>
      <c r="B6867" t="s">
        <v>2846</v>
      </c>
      <c r="C6867" t="s">
        <v>29566</v>
      </c>
      <c r="D6867" t="s">
        <v>23031</v>
      </c>
      <c r="E6867">
        <v>424002</v>
      </c>
      <c r="F6867" t="s">
        <v>1</v>
      </c>
      <c r="G6867" t="s">
        <v>2</v>
      </c>
      <c r="H6867" t="s">
        <v>744</v>
      </c>
      <c r="J6867" t="s">
        <v>29565</v>
      </c>
      <c r="P6867" t="s">
        <v>748</v>
      </c>
      <c r="Y6867" t="s">
        <v>749</v>
      </c>
    </row>
    <row r="6868" spans="1:25" x14ac:dyDescent="0.25">
      <c r="A6868" t="str">
        <f>"47260328962"</f>
        <v>47260328962</v>
      </c>
      <c r="B6868" t="s">
        <v>176</v>
      </c>
      <c r="C6868" t="s">
        <v>29570</v>
      </c>
      <c r="D6868" t="s">
        <v>29567</v>
      </c>
      <c r="E6868">
        <v>424031</v>
      </c>
      <c r="F6868" t="s">
        <v>1</v>
      </c>
      <c r="G6868" t="s">
        <v>2</v>
      </c>
      <c r="H6868" t="s">
        <v>29568</v>
      </c>
      <c r="J6868" t="s">
        <v>29569</v>
      </c>
      <c r="Y6868" t="s">
        <v>29571</v>
      </c>
    </row>
    <row r="6869" spans="1:25" x14ac:dyDescent="0.25">
      <c r="A6869" t="str">
        <f>"47294179431"</f>
        <v>47294179431</v>
      </c>
      <c r="B6869" t="s">
        <v>96</v>
      </c>
      <c r="C6869" t="s">
        <v>10490</v>
      </c>
      <c r="D6869" t="s">
        <v>29572</v>
      </c>
      <c r="E6869">
        <v>424030</v>
      </c>
      <c r="F6869" t="s">
        <v>1</v>
      </c>
      <c r="G6869" t="s">
        <v>2</v>
      </c>
      <c r="H6869" t="s">
        <v>13962</v>
      </c>
      <c r="Y6869" t="s">
        <v>24039</v>
      </c>
    </row>
    <row r="6870" spans="1:25" x14ac:dyDescent="0.25">
      <c r="A6870" t="str">
        <f>"47297709142"</f>
        <v>47297709142</v>
      </c>
      <c r="B6870" t="s">
        <v>430</v>
      </c>
      <c r="C6870" t="s">
        <v>17210</v>
      </c>
      <c r="D6870" t="s">
        <v>29573</v>
      </c>
      <c r="E6870">
        <v>424006</v>
      </c>
      <c r="F6870" t="s">
        <v>1</v>
      </c>
      <c r="G6870" t="s">
        <v>2</v>
      </c>
      <c r="H6870" t="s">
        <v>478</v>
      </c>
      <c r="J6870" t="s">
        <v>29574</v>
      </c>
      <c r="L6870" t="s">
        <v>29575</v>
      </c>
      <c r="M6870" t="s">
        <v>29576</v>
      </c>
      <c r="P6870" t="s">
        <v>4459</v>
      </c>
      <c r="Q6870" t="s">
        <v>29577</v>
      </c>
      <c r="V6870" t="s">
        <v>29578</v>
      </c>
      <c r="Y6870" t="s">
        <v>926</v>
      </c>
    </row>
    <row r="6871" spans="1:25" x14ac:dyDescent="0.25">
      <c r="A6871" t="str">
        <f>"47315581972"</f>
        <v>47315581972</v>
      </c>
      <c r="B6871" t="s">
        <v>176</v>
      </c>
      <c r="C6871" t="s">
        <v>4741</v>
      </c>
      <c r="D6871" t="s">
        <v>17606</v>
      </c>
      <c r="E6871">
        <v>424032</v>
      </c>
      <c r="F6871" t="s">
        <v>1</v>
      </c>
      <c r="G6871" t="s">
        <v>2</v>
      </c>
      <c r="H6871" t="s">
        <v>26780</v>
      </c>
      <c r="J6871" t="s">
        <v>17607</v>
      </c>
      <c r="P6871" t="s">
        <v>29579</v>
      </c>
      <c r="Y6871" t="s">
        <v>29580</v>
      </c>
    </row>
    <row r="6872" spans="1:25" x14ac:dyDescent="0.25">
      <c r="A6872" t="str">
        <f>"47367585264"</f>
        <v>47367585264</v>
      </c>
      <c r="B6872" t="s">
        <v>96</v>
      </c>
      <c r="C6872" t="s">
        <v>893</v>
      </c>
      <c r="D6872" t="s">
        <v>29581</v>
      </c>
      <c r="E6872">
        <v>424000</v>
      </c>
      <c r="F6872" t="s">
        <v>1</v>
      </c>
      <c r="G6872" t="s">
        <v>2</v>
      </c>
      <c r="H6872" t="s">
        <v>1531</v>
      </c>
      <c r="Y6872" t="s">
        <v>1707</v>
      </c>
    </row>
    <row r="6873" spans="1:25" x14ac:dyDescent="0.25">
      <c r="A6873" t="str">
        <f>"47463504349"</f>
        <v>47463504349</v>
      </c>
      <c r="B6873" t="s">
        <v>1758</v>
      </c>
      <c r="C6873" t="s">
        <v>8089</v>
      </c>
      <c r="D6873" t="s">
        <v>29582</v>
      </c>
      <c r="E6873">
        <v>424038</v>
      </c>
      <c r="F6873" t="s">
        <v>1</v>
      </c>
      <c r="G6873" t="s">
        <v>2</v>
      </c>
      <c r="H6873" t="s">
        <v>19362</v>
      </c>
      <c r="Y6873" t="s">
        <v>29583</v>
      </c>
    </row>
    <row r="6874" spans="1:25" x14ac:dyDescent="0.25">
      <c r="A6874" t="str">
        <f>"47482530083"</f>
        <v>47482530083</v>
      </c>
      <c r="B6874" t="s">
        <v>1573</v>
      </c>
      <c r="C6874" t="s">
        <v>1817</v>
      </c>
      <c r="D6874" t="s">
        <v>29584</v>
      </c>
      <c r="E6874">
        <v>424028</v>
      </c>
      <c r="F6874" t="s">
        <v>1</v>
      </c>
      <c r="G6874" t="s">
        <v>2</v>
      </c>
      <c r="H6874" t="s">
        <v>1969</v>
      </c>
      <c r="Y6874" t="s">
        <v>29585</v>
      </c>
    </row>
    <row r="6875" spans="1:25" x14ac:dyDescent="0.25">
      <c r="A6875" t="str">
        <f>"47489294065"</f>
        <v>47489294065</v>
      </c>
      <c r="B6875" t="s">
        <v>530</v>
      </c>
      <c r="C6875" t="s">
        <v>23950</v>
      </c>
      <c r="D6875" t="s">
        <v>23950</v>
      </c>
      <c r="F6875" t="s">
        <v>1</v>
      </c>
      <c r="G6875" t="s">
        <v>2</v>
      </c>
      <c r="H6875" t="s">
        <v>7547</v>
      </c>
      <c r="Y6875" t="s">
        <v>29586</v>
      </c>
    </row>
    <row r="6876" spans="1:25" x14ac:dyDescent="0.25">
      <c r="A6876" t="str">
        <f>"47527899515"</f>
        <v>47527899515</v>
      </c>
      <c r="B6876" t="s">
        <v>290</v>
      </c>
      <c r="C6876" t="s">
        <v>3798</v>
      </c>
      <c r="D6876" t="s">
        <v>29587</v>
      </c>
      <c r="E6876">
        <v>424031</v>
      </c>
      <c r="F6876" t="s">
        <v>1</v>
      </c>
      <c r="G6876" t="s">
        <v>2</v>
      </c>
      <c r="H6876" t="s">
        <v>16397</v>
      </c>
      <c r="J6876" t="s">
        <v>29588</v>
      </c>
      <c r="P6876" t="s">
        <v>26289</v>
      </c>
      <c r="Q6876" t="s">
        <v>29589</v>
      </c>
      <c r="Y6876" t="s">
        <v>29590</v>
      </c>
    </row>
    <row r="6877" spans="1:25" x14ac:dyDescent="0.25">
      <c r="A6877" t="str">
        <f>"47556535483"</f>
        <v>47556535483</v>
      </c>
      <c r="B6877" t="s">
        <v>18</v>
      </c>
      <c r="C6877" t="s">
        <v>29592</v>
      </c>
      <c r="D6877" t="s">
        <v>29591</v>
      </c>
      <c r="E6877">
        <v>424004</v>
      </c>
      <c r="F6877" t="s">
        <v>1</v>
      </c>
      <c r="G6877" t="s">
        <v>2</v>
      </c>
      <c r="H6877" t="s">
        <v>14351</v>
      </c>
      <c r="I6877" t="s">
        <v>14352</v>
      </c>
      <c r="P6877" t="s">
        <v>14067</v>
      </c>
      <c r="Y6877" t="s">
        <v>14356</v>
      </c>
    </row>
    <row r="6878" spans="1:25" x14ac:dyDescent="0.25">
      <c r="A6878" t="str">
        <f>"47556622206"</f>
        <v>47556622206</v>
      </c>
      <c r="B6878" t="s">
        <v>25</v>
      </c>
      <c r="C6878" t="s">
        <v>59</v>
      </c>
      <c r="D6878" t="s">
        <v>7680</v>
      </c>
      <c r="F6878" t="s">
        <v>1</v>
      </c>
      <c r="G6878" t="s">
        <v>2</v>
      </c>
      <c r="H6878" t="s">
        <v>1508</v>
      </c>
      <c r="Y6878" t="s">
        <v>10196</v>
      </c>
    </row>
    <row r="6879" spans="1:25" x14ac:dyDescent="0.25">
      <c r="A6879" t="str">
        <f>"47578110472"</f>
        <v>47578110472</v>
      </c>
      <c r="B6879" t="s">
        <v>348</v>
      </c>
      <c r="C6879" t="s">
        <v>4366</v>
      </c>
      <c r="D6879" t="s">
        <v>5966</v>
      </c>
      <c r="E6879">
        <v>424002</v>
      </c>
      <c r="F6879" t="s">
        <v>1</v>
      </c>
      <c r="G6879" t="s">
        <v>2</v>
      </c>
      <c r="H6879" t="s">
        <v>7234</v>
      </c>
      <c r="Y6879" t="s">
        <v>18293</v>
      </c>
    </row>
    <row r="6880" spans="1:25" x14ac:dyDescent="0.25">
      <c r="A6880" t="str">
        <f>"47630852999"</f>
        <v>47630852999</v>
      </c>
      <c r="B6880" t="s">
        <v>151</v>
      </c>
      <c r="C6880" t="s">
        <v>151</v>
      </c>
      <c r="D6880" t="s">
        <v>6670</v>
      </c>
      <c r="E6880">
        <v>424007</v>
      </c>
      <c r="F6880" t="s">
        <v>1</v>
      </c>
      <c r="G6880" t="s">
        <v>2</v>
      </c>
      <c r="H6880" t="s">
        <v>14570</v>
      </c>
      <c r="I6880" t="s">
        <v>29593</v>
      </c>
      <c r="P6880" t="s">
        <v>9</v>
      </c>
      <c r="Y6880" t="s">
        <v>14573</v>
      </c>
    </row>
    <row r="6881" spans="1:25" x14ac:dyDescent="0.25">
      <c r="A6881" t="str">
        <f>"47660206231"</f>
        <v>47660206231</v>
      </c>
      <c r="B6881" t="s">
        <v>96</v>
      </c>
      <c r="C6881" t="s">
        <v>893</v>
      </c>
      <c r="D6881" t="s">
        <v>29594</v>
      </c>
      <c r="E6881">
        <v>424019</v>
      </c>
      <c r="F6881" t="s">
        <v>1</v>
      </c>
      <c r="G6881" t="s">
        <v>2</v>
      </c>
      <c r="H6881" t="s">
        <v>7785</v>
      </c>
      <c r="P6881" t="s">
        <v>98</v>
      </c>
      <c r="Y6881" t="s">
        <v>29595</v>
      </c>
    </row>
    <row r="6882" spans="1:25" x14ac:dyDescent="0.25">
      <c r="A6882" t="str">
        <f>"47681238231"</f>
        <v>47681238231</v>
      </c>
      <c r="B6882" t="s">
        <v>574</v>
      </c>
      <c r="C6882" t="s">
        <v>26901</v>
      </c>
      <c r="D6882" t="s">
        <v>21345</v>
      </c>
      <c r="E6882">
        <v>424019</v>
      </c>
      <c r="F6882" t="s">
        <v>1</v>
      </c>
      <c r="G6882" t="s">
        <v>2</v>
      </c>
      <c r="H6882" t="s">
        <v>29596</v>
      </c>
      <c r="I6882" t="s">
        <v>29597</v>
      </c>
      <c r="M6882" t="s">
        <v>21348</v>
      </c>
      <c r="P6882" t="s">
        <v>216</v>
      </c>
      <c r="Y6882" t="s">
        <v>29598</v>
      </c>
    </row>
    <row r="6883" spans="1:25" x14ac:dyDescent="0.25">
      <c r="A6883" t="str">
        <f>"47689503633"</f>
        <v>47689503633</v>
      </c>
      <c r="B6883" t="s">
        <v>1061</v>
      </c>
      <c r="C6883" t="s">
        <v>26953</v>
      </c>
      <c r="D6883" t="s">
        <v>29599</v>
      </c>
      <c r="F6883" t="s">
        <v>1</v>
      </c>
      <c r="G6883" t="s">
        <v>2</v>
      </c>
      <c r="H6883" t="s">
        <v>29600</v>
      </c>
      <c r="Y6883" t="s">
        <v>29601</v>
      </c>
    </row>
    <row r="6884" spans="1:25" x14ac:dyDescent="0.25">
      <c r="A6884" t="str">
        <f>"47709184964"</f>
        <v>47709184964</v>
      </c>
      <c r="B6884" t="s">
        <v>233</v>
      </c>
      <c r="C6884" t="s">
        <v>14003</v>
      </c>
      <c r="D6884" t="s">
        <v>22154</v>
      </c>
      <c r="E6884">
        <v>424037</v>
      </c>
      <c r="F6884" t="s">
        <v>1</v>
      </c>
      <c r="G6884" t="s">
        <v>2</v>
      </c>
      <c r="H6884" t="s">
        <v>29602</v>
      </c>
      <c r="P6884" t="s">
        <v>410</v>
      </c>
      <c r="Y6884" t="s">
        <v>29603</v>
      </c>
    </row>
    <row r="6885" spans="1:25" x14ac:dyDescent="0.25">
      <c r="A6885" t="str">
        <f>"47759893282"</f>
        <v>47759893282</v>
      </c>
      <c r="B6885" t="s">
        <v>348</v>
      </c>
      <c r="C6885" t="s">
        <v>4366</v>
      </c>
      <c r="D6885" t="s">
        <v>27041</v>
      </c>
      <c r="E6885">
        <v>424006</v>
      </c>
      <c r="F6885" t="s">
        <v>1</v>
      </c>
      <c r="G6885" t="s">
        <v>2</v>
      </c>
      <c r="H6885" t="s">
        <v>2012</v>
      </c>
      <c r="J6885" t="s">
        <v>27042</v>
      </c>
      <c r="P6885" t="s">
        <v>27</v>
      </c>
      <c r="Y6885" t="s">
        <v>2016</v>
      </c>
    </row>
    <row r="6886" spans="1:25" x14ac:dyDescent="0.25">
      <c r="A6886" t="str">
        <f>"47763096793"</f>
        <v>47763096793</v>
      </c>
      <c r="B6886" t="s">
        <v>538</v>
      </c>
      <c r="C6886" t="s">
        <v>3633</v>
      </c>
      <c r="D6886" t="s">
        <v>29604</v>
      </c>
      <c r="E6886">
        <v>424005</v>
      </c>
      <c r="F6886" t="s">
        <v>1</v>
      </c>
      <c r="G6886" t="s">
        <v>2</v>
      </c>
      <c r="H6886" t="s">
        <v>29605</v>
      </c>
      <c r="Y6886" t="s">
        <v>29606</v>
      </c>
    </row>
    <row r="6887" spans="1:25" x14ac:dyDescent="0.25">
      <c r="A6887" t="str">
        <f>"47775608978"</f>
        <v>47775608978</v>
      </c>
      <c r="B6887" t="s">
        <v>348</v>
      </c>
      <c r="C6887" t="s">
        <v>24364</v>
      </c>
      <c r="D6887" t="s">
        <v>29607</v>
      </c>
      <c r="E6887">
        <v>424000</v>
      </c>
      <c r="F6887" t="s">
        <v>1</v>
      </c>
      <c r="G6887" t="s">
        <v>2</v>
      </c>
      <c r="H6887" t="s">
        <v>1531</v>
      </c>
      <c r="Y6887" t="s">
        <v>1707</v>
      </c>
    </row>
    <row r="6888" spans="1:25" x14ac:dyDescent="0.25">
      <c r="A6888" t="str">
        <f>"47783542415"</f>
        <v>47783542415</v>
      </c>
      <c r="B6888" t="s">
        <v>334</v>
      </c>
      <c r="C6888" t="s">
        <v>29609</v>
      </c>
      <c r="D6888" t="s">
        <v>29608</v>
      </c>
      <c r="F6888" t="s">
        <v>1</v>
      </c>
      <c r="G6888" t="s">
        <v>2</v>
      </c>
      <c r="H6888" t="s">
        <v>3984</v>
      </c>
      <c r="Y6888" t="s">
        <v>29610</v>
      </c>
    </row>
    <row r="6889" spans="1:25" x14ac:dyDescent="0.25">
      <c r="A6889" t="str">
        <f>"47785605293"</f>
        <v>47785605293</v>
      </c>
      <c r="B6889" t="s">
        <v>1046</v>
      </c>
      <c r="C6889" t="s">
        <v>2695</v>
      </c>
      <c r="D6889" t="s">
        <v>29611</v>
      </c>
      <c r="F6889" t="s">
        <v>1</v>
      </c>
      <c r="G6889" t="s">
        <v>2</v>
      </c>
      <c r="H6889" t="s">
        <v>7547</v>
      </c>
      <c r="Y6889" t="s">
        <v>29612</v>
      </c>
    </row>
    <row r="6890" spans="1:25" x14ac:dyDescent="0.25">
      <c r="A6890" t="str">
        <f>"47786075065"</f>
        <v>47786075065</v>
      </c>
      <c r="B6890" t="s">
        <v>96</v>
      </c>
      <c r="C6890" t="s">
        <v>29614</v>
      </c>
      <c r="D6890" t="s">
        <v>29613</v>
      </c>
      <c r="E6890">
        <v>424005</v>
      </c>
      <c r="F6890" t="s">
        <v>1</v>
      </c>
      <c r="G6890" t="s">
        <v>2</v>
      </c>
      <c r="H6890" t="s">
        <v>7480</v>
      </c>
      <c r="Y6890" t="s">
        <v>7482</v>
      </c>
    </row>
    <row r="6891" spans="1:25" x14ac:dyDescent="0.25">
      <c r="A6891" t="str">
        <f>"47790122226"</f>
        <v>47790122226</v>
      </c>
      <c r="B6891" t="s">
        <v>284</v>
      </c>
      <c r="C6891" t="s">
        <v>711</v>
      </c>
      <c r="D6891" t="s">
        <v>29615</v>
      </c>
      <c r="E6891">
        <v>424006</v>
      </c>
      <c r="F6891" t="s">
        <v>1</v>
      </c>
      <c r="G6891" t="s">
        <v>2</v>
      </c>
      <c r="H6891" t="s">
        <v>21558</v>
      </c>
      <c r="J6891" t="s">
        <v>5762</v>
      </c>
      <c r="P6891" t="s">
        <v>5763</v>
      </c>
      <c r="Y6891" t="s">
        <v>26687</v>
      </c>
    </row>
    <row r="6892" spans="1:25" x14ac:dyDescent="0.25">
      <c r="A6892" t="str">
        <f>"47791216461"</f>
        <v>47791216461</v>
      </c>
      <c r="B6892" t="s">
        <v>1611</v>
      </c>
      <c r="C6892" t="s">
        <v>6872</v>
      </c>
      <c r="D6892" t="s">
        <v>29616</v>
      </c>
      <c r="E6892">
        <v>424005</v>
      </c>
      <c r="F6892" t="s">
        <v>1</v>
      </c>
      <c r="G6892" t="s">
        <v>2</v>
      </c>
      <c r="H6892" t="s">
        <v>11683</v>
      </c>
      <c r="Y6892" t="s">
        <v>29617</v>
      </c>
    </row>
    <row r="6893" spans="1:25" x14ac:dyDescent="0.25">
      <c r="A6893" t="str">
        <f>"47793524880"</f>
        <v>47793524880</v>
      </c>
      <c r="B6893" t="s">
        <v>290</v>
      </c>
      <c r="C6893" t="s">
        <v>21096</v>
      </c>
      <c r="D6893" t="s">
        <v>29618</v>
      </c>
      <c r="E6893">
        <v>424002</v>
      </c>
      <c r="F6893" t="s">
        <v>1</v>
      </c>
      <c r="G6893" t="s">
        <v>2</v>
      </c>
      <c r="H6893" t="s">
        <v>662</v>
      </c>
      <c r="J6893" t="s">
        <v>29619</v>
      </c>
      <c r="P6893" t="s">
        <v>14394</v>
      </c>
      <c r="V6893" t="s">
        <v>29620</v>
      </c>
      <c r="Y6893" t="s">
        <v>3342</v>
      </c>
    </row>
    <row r="6894" spans="1:25" x14ac:dyDescent="0.25">
      <c r="A6894" t="str">
        <f>"47855473976"</f>
        <v>47855473976</v>
      </c>
      <c r="B6894" t="s">
        <v>447</v>
      </c>
      <c r="C6894" t="s">
        <v>448</v>
      </c>
      <c r="D6894" t="s">
        <v>24316</v>
      </c>
      <c r="E6894">
        <v>424038</v>
      </c>
      <c r="F6894" t="s">
        <v>1</v>
      </c>
      <c r="G6894" t="s">
        <v>2</v>
      </c>
      <c r="H6894" t="s">
        <v>1366</v>
      </c>
      <c r="Y6894" t="s">
        <v>29621</v>
      </c>
    </row>
    <row r="6895" spans="1:25" x14ac:dyDescent="0.25">
      <c r="A6895" t="str">
        <f>"47879553144"</f>
        <v>47879553144</v>
      </c>
      <c r="B6895" t="s">
        <v>1611</v>
      </c>
      <c r="C6895" t="s">
        <v>3218</v>
      </c>
      <c r="D6895" t="s">
        <v>29622</v>
      </c>
      <c r="E6895">
        <v>424037</v>
      </c>
      <c r="F6895" t="s">
        <v>1</v>
      </c>
      <c r="G6895" t="s">
        <v>2</v>
      </c>
      <c r="H6895" t="s">
        <v>3216</v>
      </c>
      <c r="I6895" t="s">
        <v>29623</v>
      </c>
      <c r="L6895" t="s">
        <v>3217</v>
      </c>
      <c r="P6895" t="s">
        <v>330</v>
      </c>
      <c r="Y6895" t="s">
        <v>13404</v>
      </c>
    </row>
    <row r="6896" spans="1:25" x14ac:dyDescent="0.25">
      <c r="A6896" t="str">
        <f>"47886005903"</f>
        <v>47886005903</v>
      </c>
      <c r="B6896" t="s">
        <v>96</v>
      </c>
      <c r="C6896" t="s">
        <v>893</v>
      </c>
      <c r="D6896" t="s">
        <v>29624</v>
      </c>
      <c r="E6896">
        <v>424005</v>
      </c>
      <c r="F6896" t="s">
        <v>1</v>
      </c>
      <c r="G6896" t="s">
        <v>2</v>
      </c>
      <c r="H6896" t="s">
        <v>4965</v>
      </c>
      <c r="Y6896" t="s">
        <v>29625</v>
      </c>
    </row>
    <row r="6897" spans="1:25" x14ac:dyDescent="0.25">
      <c r="A6897" t="str">
        <f>"47894197508"</f>
        <v>47894197508</v>
      </c>
      <c r="B6897" t="s">
        <v>2601</v>
      </c>
      <c r="C6897" t="s">
        <v>5375</v>
      </c>
      <c r="D6897" t="s">
        <v>29626</v>
      </c>
      <c r="E6897">
        <v>424006</v>
      </c>
      <c r="F6897" t="s">
        <v>1</v>
      </c>
      <c r="G6897" t="s">
        <v>2</v>
      </c>
      <c r="H6897" t="s">
        <v>10019</v>
      </c>
      <c r="Y6897" t="s">
        <v>29627</v>
      </c>
    </row>
    <row r="6898" spans="1:25" x14ac:dyDescent="0.25">
      <c r="A6898" t="str">
        <f>"47911349648"</f>
        <v>47911349648</v>
      </c>
      <c r="B6898" t="s">
        <v>188</v>
      </c>
      <c r="C6898" t="s">
        <v>23982</v>
      </c>
      <c r="D6898" t="s">
        <v>23982</v>
      </c>
      <c r="E6898">
        <v>424033</v>
      </c>
      <c r="F6898" t="s">
        <v>1</v>
      </c>
      <c r="G6898" t="s">
        <v>2</v>
      </c>
      <c r="H6898" t="s">
        <v>6126</v>
      </c>
      <c r="Y6898" t="s">
        <v>29628</v>
      </c>
    </row>
    <row r="6899" spans="1:25" x14ac:dyDescent="0.25">
      <c r="A6899" t="str">
        <f>"47982061583"</f>
        <v>47982061583</v>
      </c>
      <c r="B6899" t="s">
        <v>462</v>
      </c>
      <c r="C6899" t="s">
        <v>29632</v>
      </c>
      <c r="D6899" t="s">
        <v>29629</v>
      </c>
      <c r="F6899" t="s">
        <v>1</v>
      </c>
      <c r="G6899" t="s">
        <v>2</v>
      </c>
      <c r="H6899" t="s">
        <v>4456</v>
      </c>
      <c r="J6899" t="s">
        <v>29630</v>
      </c>
      <c r="L6899" t="s">
        <v>29631</v>
      </c>
      <c r="Q6899" t="s">
        <v>29633</v>
      </c>
      <c r="R6899" t="s">
        <v>29634</v>
      </c>
      <c r="Y6899" t="s">
        <v>29635</v>
      </c>
    </row>
    <row r="6900" spans="1:25" x14ac:dyDescent="0.25">
      <c r="A6900" t="str">
        <f>"47998641348"</f>
        <v>47998641348</v>
      </c>
      <c r="B6900" t="s">
        <v>18</v>
      </c>
      <c r="C6900" t="s">
        <v>29638</v>
      </c>
      <c r="D6900" t="s">
        <v>29636</v>
      </c>
      <c r="E6900">
        <v>424007</v>
      </c>
      <c r="F6900" t="s">
        <v>1</v>
      </c>
      <c r="G6900" t="s">
        <v>2</v>
      </c>
      <c r="H6900" t="s">
        <v>7511</v>
      </c>
      <c r="J6900" t="s">
        <v>29637</v>
      </c>
      <c r="P6900" t="s">
        <v>330</v>
      </c>
      <c r="Q6900" t="s">
        <v>29639</v>
      </c>
      <c r="Y6900" t="s">
        <v>7512</v>
      </c>
    </row>
    <row r="6901" spans="1:25" x14ac:dyDescent="0.25">
      <c r="A6901" t="str">
        <f>"48018228837"</f>
        <v>48018228837</v>
      </c>
      <c r="B6901" t="s">
        <v>348</v>
      </c>
      <c r="C6901" t="s">
        <v>26811</v>
      </c>
      <c r="D6901" t="s">
        <v>29640</v>
      </c>
      <c r="E6901">
        <v>424000</v>
      </c>
      <c r="F6901" t="s">
        <v>1</v>
      </c>
      <c r="G6901" t="s">
        <v>2</v>
      </c>
      <c r="H6901" t="s">
        <v>5942</v>
      </c>
      <c r="I6901" t="s">
        <v>29641</v>
      </c>
      <c r="J6901" t="s">
        <v>29642</v>
      </c>
      <c r="P6901" t="s">
        <v>29643</v>
      </c>
      <c r="Y6901" t="s">
        <v>5944</v>
      </c>
    </row>
    <row r="6902" spans="1:25" x14ac:dyDescent="0.25">
      <c r="A6902" t="str">
        <f>"48034512352"</f>
        <v>48034512352</v>
      </c>
      <c r="B6902" t="s">
        <v>574</v>
      </c>
      <c r="C6902" t="s">
        <v>29645</v>
      </c>
      <c r="D6902" t="s">
        <v>15669</v>
      </c>
      <c r="E6902">
        <v>424002</v>
      </c>
      <c r="F6902" t="s">
        <v>1</v>
      </c>
      <c r="G6902" t="s">
        <v>2</v>
      </c>
      <c r="H6902" t="s">
        <v>1208</v>
      </c>
      <c r="I6902" t="s">
        <v>29644</v>
      </c>
      <c r="P6902" t="s">
        <v>216</v>
      </c>
      <c r="Y6902" t="s">
        <v>29646</v>
      </c>
    </row>
    <row r="6903" spans="1:25" x14ac:dyDescent="0.25">
      <c r="A6903" t="str">
        <f>"48035899675"</f>
        <v>48035899675</v>
      </c>
      <c r="B6903" t="s">
        <v>574</v>
      </c>
      <c r="C6903" t="s">
        <v>14269</v>
      </c>
      <c r="D6903" t="s">
        <v>29647</v>
      </c>
      <c r="F6903" t="s">
        <v>1</v>
      </c>
      <c r="G6903" t="s">
        <v>2</v>
      </c>
      <c r="H6903" t="s">
        <v>29648</v>
      </c>
      <c r="Y6903" t="s">
        <v>29649</v>
      </c>
    </row>
    <row r="6904" spans="1:25" x14ac:dyDescent="0.25">
      <c r="A6904" t="str">
        <f>"48102814163"</f>
        <v>48102814163</v>
      </c>
      <c r="B6904" t="s">
        <v>1046</v>
      </c>
      <c r="C6904" t="s">
        <v>22946</v>
      </c>
      <c r="D6904" t="s">
        <v>22946</v>
      </c>
      <c r="E6904">
        <v>424028</v>
      </c>
      <c r="F6904" t="s">
        <v>1</v>
      </c>
      <c r="G6904" t="s">
        <v>2</v>
      </c>
      <c r="H6904" t="s">
        <v>29650</v>
      </c>
      <c r="Y6904" t="s">
        <v>29651</v>
      </c>
    </row>
    <row r="6905" spans="1:25" x14ac:dyDescent="0.25">
      <c r="A6905" t="str">
        <f>"48230063452"</f>
        <v>48230063452</v>
      </c>
      <c r="B6905" t="s">
        <v>233</v>
      </c>
      <c r="C6905" t="s">
        <v>29653</v>
      </c>
      <c r="D6905" t="s">
        <v>28326</v>
      </c>
      <c r="F6905" t="s">
        <v>1</v>
      </c>
      <c r="G6905" t="s">
        <v>2</v>
      </c>
      <c r="H6905" t="s">
        <v>5906</v>
      </c>
      <c r="J6905" t="s">
        <v>29652</v>
      </c>
      <c r="P6905" t="s">
        <v>152</v>
      </c>
      <c r="Y6905" t="s">
        <v>5907</v>
      </c>
    </row>
    <row r="6906" spans="1:25" x14ac:dyDescent="0.25">
      <c r="A6906" t="str">
        <f>"48232606282"</f>
        <v>48232606282</v>
      </c>
      <c r="B6906" t="s">
        <v>388</v>
      </c>
      <c r="C6906" t="s">
        <v>9224</v>
      </c>
      <c r="D6906" t="s">
        <v>29654</v>
      </c>
      <c r="E6906">
        <v>424007</v>
      </c>
      <c r="F6906" t="s">
        <v>1</v>
      </c>
      <c r="G6906" t="s">
        <v>2</v>
      </c>
      <c r="H6906" t="s">
        <v>15418</v>
      </c>
      <c r="I6906" t="s">
        <v>29655</v>
      </c>
      <c r="L6906" t="s">
        <v>29656</v>
      </c>
      <c r="P6906" t="s">
        <v>27</v>
      </c>
      <c r="Q6906" t="s">
        <v>29657</v>
      </c>
      <c r="T6906" t="s">
        <v>29658</v>
      </c>
      <c r="Y6906" t="s">
        <v>20468</v>
      </c>
    </row>
    <row r="6907" spans="1:25" x14ac:dyDescent="0.25">
      <c r="A6907" t="str">
        <f>"48262266600"</f>
        <v>48262266600</v>
      </c>
      <c r="B6907" t="s">
        <v>1544</v>
      </c>
      <c r="C6907" t="s">
        <v>7974</v>
      </c>
      <c r="D6907" t="s">
        <v>29659</v>
      </c>
      <c r="E6907">
        <v>424003</v>
      </c>
      <c r="F6907" t="s">
        <v>1</v>
      </c>
      <c r="G6907" t="s">
        <v>2</v>
      </c>
      <c r="H6907" t="s">
        <v>29660</v>
      </c>
      <c r="P6907" t="s">
        <v>3734</v>
      </c>
      <c r="Y6907" t="s">
        <v>29661</v>
      </c>
    </row>
    <row r="6908" spans="1:25" x14ac:dyDescent="0.25">
      <c r="A6908" t="str">
        <f>"48296576486"</f>
        <v>48296576486</v>
      </c>
      <c r="B6908" t="s">
        <v>290</v>
      </c>
      <c r="C6908" t="s">
        <v>290</v>
      </c>
      <c r="D6908" t="s">
        <v>29662</v>
      </c>
      <c r="E6908">
        <v>424038</v>
      </c>
      <c r="F6908" t="s">
        <v>1</v>
      </c>
      <c r="G6908" t="s">
        <v>2</v>
      </c>
      <c r="H6908" t="s">
        <v>2145</v>
      </c>
      <c r="J6908" t="s">
        <v>29663</v>
      </c>
      <c r="P6908" t="s">
        <v>2738</v>
      </c>
      <c r="Q6908" t="s">
        <v>29664</v>
      </c>
      <c r="Y6908" t="s">
        <v>29665</v>
      </c>
    </row>
    <row r="6909" spans="1:25" x14ac:dyDescent="0.25">
      <c r="A6909" t="str">
        <f>"48305698058"</f>
        <v>48305698058</v>
      </c>
      <c r="B6909" t="s">
        <v>397</v>
      </c>
      <c r="C6909" t="s">
        <v>1432</v>
      </c>
      <c r="D6909" t="s">
        <v>29666</v>
      </c>
      <c r="E6909">
        <v>424006</v>
      </c>
      <c r="F6909" t="s">
        <v>1</v>
      </c>
      <c r="G6909" t="s">
        <v>2</v>
      </c>
      <c r="H6909" t="s">
        <v>8622</v>
      </c>
      <c r="I6909" t="s">
        <v>29667</v>
      </c>
      <c r="L6909" t="s">
        <v>29668</v>
      </c>
      <c r="M6909" t="s">
        <v>29669</v>
      </c>
      <c r="P6909" t="s">
        <v>144</v>
      </c>
      <c r="Q6909" t="s">
        <v>29670</v>
      </c>
      <c r="Y6909" t="s">
        <v>8866</v>
      </c>
    </row>
    <row r="6910" spans="1:25" x14ac:dyDescent="0.25">
      <c r="A6910" t="str">
        <f>"48316252017"</f>
        <v>48316252017</v>
      </c>
      <c r="B6910" t="s">
        <v>352</v>
      </c>
      <c r="C6910" t="s">
        <v>29673</v>
      </c>
      <c r="D6910" t="s">
        <v>29671</v>
      </c>
      <c r="E6910">
        <v>424008</v>
      </c>
      <c r="F6910" t="s">
        <v>1</v>
      </c>
      <c r="G6910" t="s">
        <v>2</v>
      </c>
      <c r="H6910" t="s">
        <v>3812</v>
      </c>
      <c r="I6910" t="s">
        <v>29672</v>
      </c>
      <c r="P6910" t="s">
        <v>29674</v>
      </c>
      <c r="Y6910" t="s">
        <v>29675</v>
      </c>
    </row>
    <row r="6911" spans="1:25" x14ac:dyDescent="0.25">
      <c r="A6911" t="str">
        <f>"48334082588"</f>
        <v>48334082588</v>
      </c>
      <c r="B6911" t="s">
        <v>738</v>
      </c>
      <c r="C6911" t="s">
        <v>29679</v>
      </c>
      <c r="D6911" t="s">
        <v>29676</v>
      </c>
      <c r="F6911" t="s">
        <v>1</v>
      </c>
      <c r="G6911" t="s">
        <v>2</v>
      </c>
      <c r="H6911" t="s">
        <v>5539</v>
      </c>
      <c r="J6911" t="s">
        <v>29677</v>
      </c>
      <c r="L6911" t="s">
        <v>29678</v>
      </c>
      <c r="P6911" t="s">
        <v>29680</v>
      </c>
      <c r="Q6911" t="s">
        <v>29681</v>
      </c>
      <c r="Y6911" t="s">
        <v>5541</v>
      </c>
    </row>
    <row r="6912" spans="1:25" x14ac:dyDescent="0.25">
      <c r="A6912" t="str">
        <f>"48337979663"</f>
        <v>48337979663</v>
      </c>
      <c r="B6912" t="s">
        <v>96</v>
      </c>
      <c r="C6912" t="s">
        <v>507</v>
      </c>
      <c r="D6912" t="s">
        <v>29682</v>
      </c>
      <c r="E6912">
        <v>424033</v>
      </c>
      <c r="F6912" t="s">
        <v>1</v>
      </c>
      <c r="G6912" t="s">
        <v>2</v>
      </c>
      <c r="H6912" t="s">
        <v>6126</v>
      </c>
      <c r="J6912" t="s">
        <v>29683</v>
      </c>
      <c r="L6912" t="s">
        <v>29684</v>
      </c>
      <c r="M6912" t="s">
        <v>29685</v>
      </c>
      <c r="Q6912" t="s">
        <v>29686</v>
      </c>
      <c r="V6912" t="s">
        <v>29687</v>
      </c>
      <c r="Y6912" t="s">
        <v>25024</v>
      </c>
    </row>
    <row r="6913" spans="1:25" x14ac:dyDescent="0.25">
      <c r="A6913" t="str">
        <f>"48381961629"</f>
        <v>48381961629</v>
      </c>
      <c r="B6913" t="s">
        <v>188</v>
      </c>
      <c r="C6913" t="s">
        <v>29691</v>
      </c>
      <c r="D6913" t="s">
        <v>29688</v>
      </c>
      <c r="E6913">
        <v>424004</v>
      </c>
      <c r="F6913" t="s">
        <v>1</v>
      </c>
      <c r="G6913" t="s">
        <v>2</v>
      </c>
      <c r="H6913" t="s">
        <v>229</v>
      </c>
      <c r="J6913" t="s">
        <v>29689</v>
      </c>
      <c r="M6913" t="s">
        <v>29690</v>
      </c>
      <c r="P6913" t="s">
        <v>1027</v>
      </c>
      <c r="Y6913" t="s">
        <v>237</v>
      </c>
    </row>
    <row r="6914" spans="1:25" x14ac:dyDescent="0.25">
      <c r="A6914" t="str">
        <f>"48383341378"</f>
        <v>48383341378</v>
      </c>
      <c r="B6914" t="s">
        <v>1046</v>
      </c>
      <c r="C6914" t="s">
        <v>22946</v>
      </c>
      <c r="D6914" t="s">
        <v>29692</v>
      </c>
      <c r="F6914" t="s">
        <v>1</v>
      </c>
      <c r="G6914" t="s">
        <v>2</v>
      </c>
      <c r="H6914" t="s">
        <v>27403</v>
      </c>
      <c r="Y6914" t="s">
        <v>29693</v>
      </c>
    </row>
    <row r="6915" spans="1:25" x14ac:dyDescent="0.25">
      <c r="A6915" t="str">
        <f>"48417122682"</f>
        <v>48417122682</v>
      </c>
      <c r="B6915" t="s">
        <v>1152</v>
      </c>
      <c r="C6915" t="s">
        <v>1153</v>
      </c>
      <c r="D6915" t="s">
        <v>24071</v>
      </c>
      <c r="E6915">
        <v>424007</v>
      </c>
      <c r="F6915" t="s">
        <v>1</v>
      </c>
      <c r="G6915" t="s">
        <v>2</v>
      </c>
      <c r="H6915" t="s">
        <v>5281</v>
      </c>
      <c r="P6915" t="s">
        <v>1404</v>
      </c>
      <c r="Y6915" t="s">
        <v>29694</v>
      </c>
    </row>
    <row r="6916" spans="1:25" x14ac:dyDescent="0.25">
      <c r="A6916" t="str">
        <f>"48462199371"</f>
        <v>48462199371</v>
      </c>
      <c r="B6916" t="s">
        <v>1053</v>
      </c>
      <c r="C6916" t="s">
        <v>29698</v>
      </c>
      <c r="D6916" t="s">
        <v>29695</v>
      </c>
      <c r="E6916">
        <v>424000</v>
      </c>
      <c r="F6916" t="s">
        <v>1</v>
      </c>
      <c r="G6916" t="s">
        <v>2</v>
      </c>
      <c r="H6916" t="s">
        <v>29696</v>
      </c>
      <c r="J6916" t="s">
        <v>29697</v>
      </c>
      <c r="P6916" t="s">
        <v>2457</v>
      </c>
      <c r="Q6916" t="s">
        <v>29699</v>
      </c>
      <c r="Y6916" t="s">
        <v>1707</v>
      </c>
    </row>
    <row r="6917" spans="1:25" x14ac:dyDescent="0.25">
      <c r="A6917" t="str">
        <f>"48465711489"</f>
        <v>48465711489</v>
      </c>
      <c r="B6917" t="s">
        <v>348</v>
      </c>
      <c r="C6917" t="s">
        <v>4366</v>
      </c>
      <c r="D6917" t="s">
        <v>29700</v>
      </c>
      <c r="E6917">
        <v>424000</v>
      </c>
      <c r="F6917" t="s">
        <v>1</v>
      </c>
      <c r="G6917" t="s">
        <v>2</v>
      </c>
      <c r="H6917" t="s">
        <v>3749</v>
      </c>
      <c r="Y6917" t="s">
        <v>29701</v>
      </c>
    </row>
    <row r="6918" spans="1:25" x14ac:dyDescent="0.25">
      <c r="A6918" t="str">
        <f>"48465897985"</f>
        <v>48465897985</v>
      </c>
      <c r="B6918" t="s">
        <v>530</v>
      </c>
      <c r="C6918" t="s">
        <v>5046</v>
      </c>
      <c r="D6918" t="s">
        <v>29702</v>
      </c>
      <c r="E6918">
        <v>424006</v>
      </c>
      <c r="F6918" t="s">
        <v>1</v>
      </c>
      <c r="G6918" t="s">
        <v>2</v>
      </c>
      <c r="H6918" t="s">
        <v>2775</v>
      </c>
      <c r="I6918" t="s">
        <v>29703</v>
      </c>
      <c r="P6918" t="s">
        <v>29704</v>
      </c>
      <c r="Y6918" t="s">
        <v>2779</v>
      </c>
    </row>
    <row r="6919" spans="1:25" x14ac:dyDescent="0.25">
      <c r="A6919" t="str">
        <f>"48504767916"</f>
        <v>48504767916</v>
      </c>
      <c r="B6919" t="s">
        <v>7312</v>
      </c>
      <c r="C6919" t="s">
        <v>29705</v>
      </c>
      <c r="D6919" t="s">
        <v>23310</v>
      </c>
      <c r="E6919">
        <v>424001</v>
      </c>
      <c r="F6919" t="s">
        <v>1</v>
      </c>
      <c r="G6919" t="s">
        <v>2</v>
      </c>
      <c r="H6919" t="s">
        <v>919</v>
      </c>
      <c r="Y6919" t="s">
        <v>1750</v>
      </c>
    </row>
    <row r="6920" spans="1:25" x14ac:dyDescent="0.25">
      <c r="A6920" t="str">
        <f>"48606078425"</f>
        <v>48606078425</v>
      </c>
      <c r="B6920" t="s">
        <v>18</v>
      </c>
      <c r="C6920" t="s">
        <v>4522</v>
      </c>
      <c r="D6920" t="s">
        <v>29706</v>
      </c>
      <c r="E6920">
        <v>424020</v>
      </c>
      <c r="F6920" t="s">
        <v>1</v>
      </c>
      <c r="G6920" t="s">
        <v>2</v>
      </c>
      <c r="H6920" t="s">
        <v>6262</v>
      </c>
      <c r="Y6920" t="s">
        <v>29707</v>
      </c>
    </row>
    <row r="6921" spans="1:25" x14ac:dyDescent="0.25">
      <c r="A6921" t="str">
        <f>"48615583788"</f>
        <v>48615583788</v>
      </c>
      <c r="B6921" t="s">
        <v>430</v>
      </c>
      <c r="C6921" t="s">
        <v>431</v>
      </c>
      <c r="D6921" t="s">
        <v>24542</v>
      </c>
      <c r="F6921" t="s">
        <v>1</v>
      </c>
      <c r="G6921" t="s">
        <v>2</v>
      </c>
      <c r="H6921" t="s">
        <v>2018</v>
      </c>
      <c r="I6921" t="s">
        <v>29708</v>
      </c>
      <c r="P6921" t="s">
        <v>4126</v>
      </c>
      <c r="Y6921" t="s">
        <v>29709</v>
      </c>
    </row>
    <row r="6922" spans="1:25" x14ac:dyDescent="0.25">
      <c r="A6922" t="str">
        <f>"48616075041"</f>
        <v>48616075041</v>
      </c>
      <c r="B6922" t="s">
        <v>7</v>
      </c>
      <c r="C6922" t="s">
        <v>20780</v>
      </c>
      <c r="D6922" t="s">
        <v>29710</v>
      </c>
      <c r="E6922">
        <v>424000</v>
      </c>
      <c r="F6922" t="s">
        <v>1</v>
      </c>
      <c r="G6922" t="s">
        <v>2</v>
      </c>
      <c r="H6922" t="s">
        <v>20776</v>
      </c>
      <c r="I6922" t="s">
        <v>20777</v>
      </c>
      <c r="L6922" t="s">
        <v>29711</v>
      </c>
      <c r="M6922" t="s">
        <v>29712</v>
      </c>
      <c r="P6922" t="s">
        <v>330</v>
      </c>
      <c r="Y6922" t="s">
        <v>29713</v>
      </c>
    </row>
    <row r="6923" spans="1:25" x14ac:dyDescent="0.25">
      <c r="A6923" t="str">
        <f>"48636507514"</f>
        <v>48636507514</v>
      </c>
      <c r="B6923" t="s">
        <v>1046</v>
      </c>
      <c r="C6923" t="s">
        <v>22946</v>
      </c>
      <c r="D6923" t="s">
        <v>22946</v>
      </c>
      <c r="F6923" t="s">
        <v>1</v>
      </c>
      <c r="G6923" t="s">
        <v>2</v>
      </c>
      <c r="H6923" t="s">
        <v>29714</v>
      </c>
      <c r="Y6923" t="s">
        <v>29715</v>
      </c>
    </row>
    <row r="6924" spans="1:25" x14ac:dyDescent="0.25">
      <c r="A6924" t="str">
        <f>"48669556096"</f>
        <v>48669556096</v>
      </c>
      <c r="B6924" t="s">
        <v>1053</v>
      </c>
      <c r="C6924" t="s">
        <v>1927</v>
      </c>
      <c r="D6924" t="s">
        <v>29716</v>
      </c>
      <c r="E6924">
        <v>424007</v>
      </c>
      <c r="F6924" t="s">
        <v>1</v>
      </c>
      <c r="G6924" t="s">
        <v>2</v>
      </c>
      <c r="H6924" t="s">
        <v>220</v>
      </c>
      <c r="I6924" t="s">
        <v>29717</v>
      </c>
      <c r="P6924" t="s">
        <v>280</v>
      </c>
      <c r="Y6924" t="s">
        <v>227</v>
      </c>
    </row>
    <row r="6925" spans="1:25" x14ac:dyDescent="0.25">
      <c r="A6925" t="str">
        <f>"48709308747"</f>
        <v>48709308747</v>
      </c>
      <c r="B6925" t="s">
        <v>96</v>
      </c>
      <c r="C6925" t="s">
        <v>16462</v>
      </c>
      <c r="D6925" t="s">
        <v>29718</v>
      </c>
      <c r="E6925">
        <v>424039</v>
      </c>
      <c r="F6925" t="s">
        <v>1</v>
      </c>
      <c r="G6925" t="s">
        <v>2</v>
      </c>
      <c r="H6925" t="s">
        <v>5827</v>
      </c>
      <c r="Y6925" t="s">
        <v>10310</v>
      </c>
    </row>
    <row r="6926" spans="1:25" x14ac:dyDescent="0.25">
      <c r="A6926" t="str">
        <f>"48712817236"</f>
        <v>48712817236</v>
      </c>
      <c r="B6926" t="s">
        <v>1493</v>
      </c>
      <c r="C6926" t="s">
        <v>25603</v>
      </c>
      <c r="D6926" t="s">
        <v>29719</v>
      </c>
      <c r="E6926">
        <v>424005</v>
      </c>
      <c r="F6926" t="s">
        <v>1</v>
      </c>
      <c r="G6926" t="s">
        <v>2</v>
      </c>
      <c r="H6926" t="s">
        <v>18082</v>
      </c>
      <c r="I6926" t="s">
        <v>29720</v>
      </c>
      <c r="P6926" t="s">
        <v>9</v>
      </c>
      <c r="Y6926" t="s">
        <v>29721</v>
      </c>
    </row>
    <row r="6927" spans="1:25" x14ac:dyDescent="0.25">
      <c r="A6927" t="str">
        <f>"48745548214"</f>
        <v>48745548214</v>
      </c>
      <c r="B6927" t="s">
        <v>746</v>
      </c>
      <c r="C6927" t="s">
        <v>29723</v>
      </c>
      <c r="D6927" t="s">
        <v>29722</v>
      </c>
      <c r="E6927">
        <v>424004</v>
      </c>
      <c r="F6927" t="s">
        <v>1</v>
      </c>
      <c r="G6927" t="s">
        <v>2</v>
      </c>
      <c r="H6927" t="s">
        <v>1590</v>
      </c>
      <c r="J6927" t="s">
        <v>25939</v>
      </c>
      <c r="P6927" t="s">
        <v>34</v>
      </c>
      <c r="Y6927" t="s">
        <v>1593</v>
      </c>
    </row>
    <row r="6928" spans="1:25" x14ac:dyDescent="0.25">
      <c r="A6928" t="str">
        <f>"48810247618"</f>
        <v>48810247618</v>
      </c>
      <c r="B6928" t="s">
        <v>978</v>
      </c>
      <c r="C6928" t="s">
        <v>1659</v>
      </c>
      <c r="D6928" t="s">
        <v>29724</v>
      </c>
      <c r="E6928">
        <v>424036</v>
      </c>
      <c r="F6928" t="s">
        <v>1</v>
      </c>
      <c r="G6928" t="s">
        <v>2</v>
      </c>
      <c r="H6928" t="s">
        <v>29725</v>
      </c>
      <c r="I6928" t="s">
        <v>29726</v>
      </c>
      <c r="L6928" t="s">
        <v>29727</v>
      </c>
      <c r="M6928" t="s">
        <v>29728</v>
      </c>
      <c r="P6928" t="s">
        <v>29729</v>
      </c>
      <c r="Y6928" t="s">
        <v>29730</v>
      </c>
    </row>
    <row r="6929" spans="1:25" x14ac:dyDescent="0.25">
      <c r="A6929" t="str">
        <f>"48863016995"</f>
        <v>48863016995</v>
      </c>
      <c r="B6929" t="s">
        <v>1222</v>
      </c>
      <c r="C6929" t="s">
        <v>29734</v>
      </c>
      <c r="D6929" t="s">
        <v>29731</v>
      </c>
      <c r="E6929">
        <v>424038</v>
      </c>
      <c r="F6929" t="s">
        <v>1</v>
      </c>
      <c r="G6929" t="s">
        <v>2</v>
      </c>
      <c r="H6929" t="s">
        <v>2614</v>
      </c>
      <c r="J6929" t="s">
        <v>29732</v>
      </c>
      <c r="L6929" t="s">
        <v>29733</v>
      </c>
      <c r="P6929" t="s">
        <v>2050</v>
      </c>
      <c r="Q6929" t="s">
        <v>29735</v>
      </c>
      <c r="Y6929" t="s">
        <v>29736</v>
      </c>
    </row>
    <row r="6930" spans="1:25" x14ac:dyDescent="0.25">
      <c r="A6930" t="str">
        <f>"48889586009"</f>
        <v>48889586009</v>
      </c>
      <c r="B6930" t="s">
        <v>117</v>
      </c>
      <c r="C6930" t="s">
        <v>873</v>
      </c>
      <c r="D6930" t="s">
        <v>873</v>
      </c>
      <c r="E6930">
        <v>424006</v>
      </c>
      <c r="F6930" t="s">
        <v>1</v>
      </c>
      <c r="G6930" t="s">
        <v>2</v>
      </c>
      <c r="H6930" t="s">
        <v>14111</v>
      </c>
      <c r="Y6930" t="s">
        <v>29737</v>
      </c>
    </row>
    <row r="6931" spans="1:25" x14ac:dyDescent="0.25">
      <c r="A6931" t="str">
        <f>"48960125841"</f>
        <v>48960125841</v>
      </c>
      <c r="B6931" t="s">
        <v>430</v>
      </c>
      <c r="C6931" t="s">
        <v>29742</v>
      </c>
      <c r="D6931" t="s">
        <v>29738</v>
      </c>
      <c r="F6931" t="s">
        <v>1</v>
      </c>
      <c r="G6931" t="s">
        <v>2</v>
      </c>
      <c r="H6931" t="s">
        <v>29739</v>
      </c>
      <c r="I6931" t="s">
        <v>29740</v>
      </c>
      <c r="J6931" t="s">
        <v>29741</v>
      </c>
      <c r="P6931" t="s">
        <v>1027</v>
      </c>
      <c r="Q6931" t="s">
        <v>29743</v>
      </c>
      <c r="Y6931" t="s">
        <v>29744</v>
      </c>
    </row>
    <row r="6932" spans="1:25" x14ac:dyDescent="0.25">
      <c r="A6932" t="str">
        <f>"48976867448"</f>
        <v>48976867448</v>
      </c>
      <c r="B6932" t="s">
        <v>530</v>
      </c>
      <c r="C6932" t="s">
        <v>23950</v>
      </c>
      <c r="D6932" t="s">
        <v>23950</v>
      </c>
      <c r="F6932" t="s">
        <v>1</v>
      </c>
      <c r="G6932" t="s">
        <v>2</v>
      </c>
      <c r="H6932" t="s">
        <v>25667</v>
      </c>
      <c r="Y6932" t="s">
        <v>29745</v>
      </c>
    </row>
    <row r="6933" spans="1:25" x14ac:dyDescent="0.25">
      <c r="A6933" t="str">
        <f>"48994883079"</f>
        <v>48994883079</v>
      </c>
      <c r="B6933" t="s">
        <v>96</v>
      </c>
      <c r="C6933" t="s">
        <v>28839</v>
      </c>
      <c r="D6933" t="s">
        <v>29746</v>
      </c>
      <c r="F6933" t="s">
        <v>1</v>
      </c>
      <c r="G6933" t="s">
        <v>2</v>
      </c>
      <c r="H6933" t="s">
        <v>5906</v>
      </c>
      <c r="Y6933" t="s">
        <v>29747</v>
      </c>
    </row>
    <row r="6934" spans="1:25" x14ac:dyDescent="0.25">
      <c r="A6934" t="str">
        <f>"49019485939"</f>
        <v>49019485939</v>
      </c>
      <c r="B6934" t="s">
        <v>96</v>
      </c>
      <c r="C6934" t="s">
        <v>893</v>
      </c>
      <c r="D6934" t="s">
        <v>29748</v>
      </c>
      <c r="E6934">
        <v>424031</v>
      </c>
      <c r="F6934" t="s">
        <v>1</v>
      </c>
      <c r="G6934" t="s">
        <v>2</v>
      </c>
      <c r="H6934" t="s">
        <v>4622</v>
      </c>
      <c r="Q6934" t="s">
        <v>29749</v>
      </c>
      <c r="Y6934" t="s">
        <v>7838</v>
      </c>
    </row>
    <row r="6935" spans="1:25" x14ac:dyDescent="0.25">
      <c r="A6935" t="str">
        <f>"49050407228"</f>
        <v>49050407228</v>
      </c>
      <c r="B6935" t="s">
        <v>574</v>
      </c>
      <c r="C6935" t="s">
        <v>25422</v>
      </c>
      <c r="D6935" t="s">
        <v>29750</v>
      </c>
      <c r="E6935">
        <v>424004</v>
      </c>
      <c r="F6935" t="s">
        <v>1</v>
      </c>
      <c r="G6935" t="s">
        <v>2</v>
      </c>
      <c r="H6935" t="s">
        <v>3489</v>
      </c>
      <c r="Y6935" t="s">
        <v>8402</v>
      </c>
    </row>
    <row r="6936" spans="1:25" x14ac:dyDescent="0.25">
      <c r="A6936" t="str">
        <f>"49078999898"</f>
        <v>49078999898</v>
      </c>
      <c r="B6936" t="s">
        <v>738</v>
      </c>
      <c r="C6936" t="s">
        <v>29754</v>
      </c>
      <c r="D6936" t="s">
        <v>29751</v>
      </c>
      <c r="E6936">
        <v>424006</v>
      </c>
      <c r="F6936" t="s">
        <v>1</v>
      </c>
      <c r="G6936" t="s">
        <v>2</v>
      </c>
      <c r="H6936" t="s">
        <v>8622</v>
      </c>
      <c r="I6936" t="s">
        <v>29752</v>
      </c>
      <c r="M6936" t="s">
        <v>29753</v>
      </c>
      <c r="P6936" t="s">
        <v>29755</v>
      </c>
      <c r="Q6936" t="s">
        <v>29756</v>
      </c>
      <c r="V6936" t="s">
        <v>29757</v>
      </c>
      <c r="Y6936" t="s">
        <v>8866</v>
      </c>
    </row>
    <row r="6937" spans="1:25" x14ac:dyDescent="0.25">
      <c r="A6937" t="str">
        <f>"49096503761"</f>
        <v>49096503761</v>
      </c>
      <c r="B6937" t="s">
        <v>123</v>
      </c>
      <c r="C6937" t="s">
        <v>10249</v>
      </c>
      <c r="D6937" t="s">
        <v>27358</v>
      </c>
      <c r="E6937">
        <v>424031</v>
      </c>
      <c r="F6937" t="s">
        <v>1</v>
      </c>
      <c r="G6937" t="s">
        <v>2</v>
      </c>
      <c r="H6937" t="s">
        <v>17906</v>
      </c>
      <c r="I6937" t="s">
        <v>27359</v>
      </c>
      <c r="J6937" t="s">
        <v>29758</v>
      </c>
      <c r="P6937" t="s">
        <v>3039</v>
      </c>
      <c r="Y6937" t="s">
        <v>29759</v>
      </c>
    </row>
    <row r="6938" spans="1:25" x14ac:dyDescent="0.25">
      <c r="A6938" t="str">
        <f>"49184139186"</f>
        <v>49184139186</v>
      </c>
      <c r="B6938" t="s">
        <v>462</v>
      </c>
      <c r="C6938" t="s">
        <v>1140</v>
      </c>
      <c r="D6938" t="s">
        <v>29760</v>
      </c>
      <c r="E6938">
        <v>424038</v>
      </c>
      <c r="F6938" t="s">
        <v>1</v>
      </c>
      <c r="G6938" t="s">
        <v>2</v>
      </c>
      <c r="H6938" t="s">
        <v>546</v>
      </c>
      <c r="Y6938" t="s">
        <v>549</v>
      </c>
    </row>
    <row r="6939" spans="1:25" x14ac:dyDescent="0.25">
      <c r="A6939" t="str">
        <f>"49185566856"</f>
        <v>49185566856</v>
      </c>
      <c r="B6939" t="s">
        <v>290</v>
      </c>
      <c r="C6939" t="s">
        <v>23328</v>
      </c>
      <c r="D6939" t="s">
        <v>29761</v>
      </c>
      <c r="E6939">
        <v>424038</v>
      </c>
      <c r="F6939" t="s">
        <v>1</v>
      </c>
      <c r="G6939" t="s">
        <v>2</v>
      </c>
      <c r="H6939" t="s">
        <v>1862</v>
      </c>
      <c r="J6939" t="s">
        <v>29762</v>
      </c>
      <c r="P6939" t="s">
        <v>60</v>
      </c>
      <c r="Y6939" t="s">
        <v>29763</v>
      </c>
    </row>
    <row r="6940" spans="1:25" x14ac:dyDescent="0.25">
      <c r="A6940" t="str">
        <f>"49189601222"</f>
        <v>49189601222</v>
      </c>
      <c r="B6940" t="s">
        <v>96</v>
      </c>
      <c r="C6940" t="s">
        <v>24042</v>
      </c>
      <c r="D6940" t="s">
        <v>29764</v>
      </c>
      <c r="E6940">
        <v>424019</v>
      </c>
      <c r="F6940" t="s">
        <v>1</v>
      </c>
      <c r="G6940" t="s">
        <v>2</v>
      </c>
      <c r="H6940" t="s">
        <v>22572</v>
      </c>
      <c r="P6940" t="s">
        <v>330</v>
      </c>
      <c r="Y6940" t="s">
        <v>29765</v>
      </c>
    </row>
    <row r="6941" spans="1:25" x14ac:dyDescent="0.25">
      <c r="A6941" t="str">
        <f>"49206897211"</f>
        <v>49206897211</v>
      </c>
      <c r="B6941" t="s">
        <v>290</v>
      </c>
      <c r="C6941" t="s">
        <v>16563</v>
      </c>
      <c r="D6941" t="s">
        <v>29766</v>
      </c>
      <c r="E6941">
        <v>424019</v>
      </c>
      <c r="F6941" t="s">
        <v>1</v>
      </c>
      <c r="G6941" t="s">
        <v>2</v>
      </c>
      <c r="H6941" t="s">
        <v>19488</v>
      </c>
      <c r="J6941" t="s">
        <v>29767</v>
      </c>
      <c r="P6941" t="s">
        <v>330</v>
      </c>
      <c r="Y6941" t="s">
        <v>29768</v>
      </c>
    </row>
    <row r="6942" spans="1:25" x14ac:dyDescent="0.25">
      <c r="A6942" t="str">
        <f>"49211033933"</f>
        <v>49211033933</v>
      </c>
      <c r="B6942" t="s">
        <v>2846</v>
      </c>
      <c r="C6942" t="s">
        <v>13079</v>
      </c>
      <c r="D6942" t="s">
        <v>7257</v>
      </c>
      <c r="F6942" t="s">
        <v>1</v>
      </c>
      <c r="G6942" t="s">
        <v>2</v>
      </c>
      <c r="H6942" t="s">
        <v>19499</v>
      </c>
      <c r="I6942" t="s">
        <v>29769</v>
      </c>
      <c r="P6942" t="s">
        <v>144</v>
      </c>
      <c r="Y6942" t="s">
        <v>26741</v>
      </c>
    </row>
    <row r="6943" spans="1:25" x14ac:dyDescent="0.25">
      <c r="A6943" t="str">
        <f>"49251829275"</f>
        <v>49251829275</v>
      </c>
      <c r="B6943" t="s">
        <v>7</v>
      </c>
      <c r="C6943" t="s">
        <v>29772</v>
      </c>
      <c r="D6943" t="s">
        <v>29770</v>
      </c>
      <c r="E6943">
        <v>424004</v>
      </c>
      <c r="F6943" t="s">
        <v>1</v>
      </c>
      <c r="G6943" t="s">
        <v>2</v>
      </c>
      <c r="H6943" t="s">
        <v>1330</v>
      </c>
      <c r="I6943" t="s">
        <v>29771</v>
      </c>
      <c r="P6943" t="s">
        <v>152</v>
      </c>
      <c r="Y6943" t="s">
        <v>29773</v>
      </c>
    </row>
    <row r="6944" spans="1:25" x14ac:dyDescent="0.25">
      <c r="A6944" t="str">
        <f>"49269444390"</f>
        <v>49269444390</v>
      </c>
      <c r="B6944" t="s">
        <v>1352</v>
      </c>
      <c r="C6944" t="s">
        <v>29779</v>
      </c>
      <c r="D6944" t="s">
        <v>29774</v>
      </c>
      <c r="E6944">
        <v>424016</v>
      </c>
      <c r="F6944" t="s">
        <v>1</v>
      </c>
      <c r="G6944" t="s">
        <v>2</v>
      </c>
      <c r="H6944" t="s">
        <v>12130</v>
      </c>
      <c r="I6944" t="s">
        <v>29775</v>
      </c>
      <c r="J6944" t="s">
        <v>29776</v>
      </c>
      <c r="L6944" t="s">
        <v>29777</v>
      </c>
      <c r="M6944" t="s">
        <v>29778</v>
      </c>
      <c r="P6944" t="s">
        <v>11727</v>
      </c>
      <c r="Q6944" t="s">
        <v>14840</v>
      </c>
      <c r="V6944" t="s">
        <v>29780</v>
      </c>
      <c r="Y6944" t="s">
        <v>29781</v>
      </c>
    </row>
    <row r="6945" spans="1:25" x14ac:dyDescent="0.25">
      <c r="A6945" t="str">
        <f>"49325387834"</f>
        <v>49325387834</v>
      </c>
      <c r="B6945" t="s">
        <v>456</v>
      </c>
      <c r="C6945" t="s">
        <v>14932</v>
      </c>
      <c r="D6945" t="s">
        <v>29782</v>
      </c>
      <c r="E6945">
        <v>424003</v>
      </c>
      <c r="F6945" t="s">
        <v>1</v>
      </c>
      <c r="G6945" t="s">
        <v>2</v>
      </c>
      <c r="H6945" t="s">
        <v>14928</v>
      </c>
      <c r="J6945" t="s">
        <v>29783</v>
      </c>
      <c r="L6945" t="s">
        <v>29784</v>
      </c>
      <c r="M6945" t="s">
        <v>29785</v>
      </c>
      <c r="P6945" t="s">
        <v>330</v>
      </c>
      <c r="Y6945" t="s">
        <v>25046</v>
      </c>
    </row>
    <row r="6946" spans="1:25" x14ac:dyDescent="0.25">
      <c r="A6946" t="str">
        <f>"49434202676"</f>
        <v>49434202676</v>
      </c>
      <c r="B6946" t="s">
        <v>1152</v>
      </c>
      <c r="C6946" t="s">
        <v>29789</v>
      </c>
      <c r="D6946" t="s">
        <v>29786</v>
      </c>
      <c r="E6946">
        <v>424020</v>
      </c>
      <c r="F6946" t="s">
        <v>1</v>
      </c>
      <c r="G6946" t="s">
        <v>2</v>
      </c>
      <c r="H6946" t="s">
        <v>29787</v>
      </c>
      <c r="J6946" t="s">
        <v>29788</v>
      </c>
      <c r="P6946" t="s">
        <v>330</v>
      </c>
      <c r="Y6946" t="s">
        <v>29790</v>
      </c>
    </row>
    <row r="6947" spans="1:25" x14ac:dyDescent="0.25">
      <c r="A6947" t="str">
        <f>"49445184589"</f>
        <v>49445184589</v>
      </c>
      <c r="B6947" t="s">
        <v>1046</v>
      </c>
      <c r="C6947" t="s">
        <v>22946</v>
      </c>
      <c r="D6947" t="s">
        <v>22946</v>
      </c>
      <c r="E6947">
        <v>424005</v>
      </c>
      <c r="F6947" t="s">
        <v>1</v>
      </c>
      <c r="G6947" t="s">
        <v>2</v>
      </c>
      <c r="H6947" t="s">
        <v>29791</v>
      </c>
      <c r="Y6947" t="s">
        <v>29792</v>
      </c>
    </row>
    <row r="6948" spans="1:25" x14ac:dyDescent="0.25">
      <c r="A6948" t="str">
        <f>"49467849013"</f>
        <v>49467849013</v>
      </c>
      <c r="B6948" t="s">
        <v>25</v>
      </c>
      <c r="C6948" t="s">
        <v>4458</v>
      </c>
      <c r="D6948" t="s">
        <v>29793</v>
      </c>
      <c r="E6948">
        <v>424004</v>
      </c>
      <c r="F6948" t="s">
        <v>1</v>
      </c>
      <c r="G6948" t="s">
        <v>2</v>
      </c>
      <c r="H6948" t="s">
        <v>186</v>
      </c>
      <c r="Y6948" t="s">
        <v>190</v>
      </c>
    </row>
    <row r="6949" spans="1:25" x14ac:dyDescent="0.25">
      <c r="A6949" t="str">
        <f>"49477746362"</f>
        <v>49477746362</v>
      </c>
      <c r="B6949" t="s">
        <v>574</v>
      </c>
      <c r="C6949" t="s">
        <v>646</v>
      </c>
      <c r="D6949" t="s">
        <v>29794</v>
      </c>
      <c r="E6949">
        <v>424019</v>
      </c>
      <c r="F6949" t="s">
        <v>1</v>
      </c>
      <c r="G6949" t="s">
        <v>2</v>
      </c>
      <c r="H6949" t="s">
        <v>27095</v>
      </c>
      <c r="Y6949" t="s">
        <v>29795</v>
      </c>
    </row>
    <row r="6950" spans="1:25" x14ac:dyDescent="0.25">
      <c r="A6950" t="str">
        <f>"49484796789"</f>
        <v>49484796789</v>
      </c>
      <c r="B6950" t="s">
        <v>530</v>
      </c>
      <c r="C6950" t="s">
        <v>23950</v>
      </c>
      <c r="D6950" t="s">
        <v>23950</v>
      </c>
      <c r="F6950" t="s">
        <v>1</v>
      </c>
      <c r="G6950" t="s">
        <v>2</v>
      </c>
      <c r="H6950" t="s">
        <v>7547</v>
      </c>
      <c r="Y6950" t="s">
        <v>29796</v>
      </c>
    </row>
    <row r="6951" spans="1:25" x14ac:dyDescent="0.25">
      <c r="A6951" t="str">
        <f>"49488518475"</f>
        <v>49488518475</v>
      </c>
      <c r="B6951" t="s">
        <v>1046</v>
      </c>
      <c r="C6951" t="s">
        <v>22946</v>
      </c>
      <c r="D6951" t="s">
        <v>22946</v>
      </c>
      <c r="E6951">
        <v>424003</v>
      </c>
      <c r="F6951" t="s">
        <v>1</v>
      </c>
      <c r="G6951" t="s">
        <v>2</v>
      </c>
      <c r="H6951" t="s">
        <v>14928</v>
      </c>
      <c r="Y6951" t="s">
        <v>29797</v>
      </c>
    </row>
    <row r="6952" spans="1:25" x14ac:dyDescent="0.25">
      <c r="A6952" t="str">
        <f>"49506722060"</f>
        <v>49506722060</v>
      </c>
      <c r="B6952" t="s">
        <v>96</v>
      </c>
      <c r="C6952" t="s">
        <v>29799</v>
      </c>
      <c r="D6952" t="s">
        <v>29798</v>
      </c>
      <c r="E6952">
        <v>424020</v>
      </c>
      <c r="F6952" t="s">
        <v>1</v>
      </c>
      <c r="G6952" t="s">
        <v>2</v>
      </c>
      <c r="H6952" t="s">
        <v>6262</v>
      </c>
      <c r="Y6952" t="s">
        <v>6264</v>
      </c>
    </row>
    <row r="6953" spans="1:25" x14ac:dyDescent="0.25">
      <c r="A6953" t="str">
        <f>"49520525124"</f>
        <v>49520525124</v>
      </c>
      <c r="B6953" t="s">
        <v>32</v>
      </c>
      <c r="C6953" t="s">
        <v>182</v>
      </c>
      <c r="D6953" t="s">
        <v>29800</v>
      </c>
      <c r="E6953">
        <v>424030</v>
      </c>
      <c r="F6953" t="s">
        <v>1</v>
      </c>
      <c r="G6953" t="s">
        <v>2</v>
      </c>
      <c r="H6953" t="s">
        <v>28820</v>
      </c>
      <c r="Y6953" t="s">
        <v>29801</v>
      </c>
    </row>
    <row r="6954" spans="1:25" x14ac:dyDescent="0.25">
      <c r="A6954" t="str">
        <f>"49525603475"</f>
        <v>49525603475</v>
      </c>
      <c r="B6954" t="s">
        <v>319</v>
      </c>
      <c r="C6954" t="s">
        <v>19472</v>
      </c>
      <c r="D6954" t="s">
        <v>29802</v>
      </c>
      <c r="F6954" t="s">
        <v>1</v>
      </c>
      <c r="G6954" t="s">
        <v>2</v>
      </c>
      <c r="H6954" t="s">
        <v>29803</v>
      </c>
      <c r="Y6954" t="s">
        <v>29804</v>
      </c>
    </row>
    <row r="6955" spans="1:25" x14ac:dyDescent="0.25">
      <c r="A6955" t="str">
        <f>"49529157965"</f>
        <v>49529157965</v>
      </c>
      <c r="B6955" t="s">
        <v>1611</v>
      </c>
      <c r="C6955" t="s">
        <v>26250</v>
      </c>
      <c r="D6955" t="s">
        <v>29805</v>
      </c>
      <c r="E6955">
        <v>424005</v>
      </c>
      <c r="F6955" t="s">
        <v>1</v>
      </c>
      <c r="G6955" t="s">
        <v>2</v>
      </c>
      <c r="H6955" t="s">
        <v>11683</v>
      </c>
      <c r="Y6955" t="s">
        <v>29806</v>
      </c>
    </row>
    <row r="6956" spans="1:25" x14ac:dyDescent="0.25">
      <c r="A6956" t="str">
        <f>"49537670001"</f>
        <v>49537670001</v>
      </c>
      <c r="B6956" t="s">
        <v>96</v>
      </c>
      <c r="C6956" t="s">
        <v>659</v>
      </c>
      <c r="D6956" t="s">
        <v>29807</v>
      </c>
      <c r="E6956">
        <v>424000</v>
      </c>
      <c r="F6956" t="s">
        <v>1</v>
      </c>
      <c r="G6956" t="s">
        <v>2</v>
      </c>
      <c r="H6956" t="s">
        <v>92</v>
      </c>
      <c r="J6956" t="s">
        <v>28270</v>
      </c>
      <c r="P6956" t="s">
        <v>98</v>
      </c>
      <c r="Y6956" t="s">
        <v>28397</v>
      </c>
    </row>
    <row r="6957" spans="1:25" x14ac:dyDescent="0.25">
      <c r="A6957" t="str">
        <f>"49552218000"</f>
        <v>49552218000</v>
      </c>
      <c r="B6957" t="s">
        <v>624</v>
      </c>
      <c r="C6957" t="s">
        <v>1637</v>
      </c>
      <c r="D6957" t="s">
        <v>29808</v>
      </c>
      <c r="E6957">
        <v>424006</v>
      </c>
      <c r="F6957" t="s">
        <v>1</v>
      </c>
      <c r="G6957" t="s">
        <v>2</v>
      </c>
      <c r="H6957" t="s">
        <v>4821</v>
      </c>
      <c r="I6957" t="s">
        <v>29809</v>
      </c>
      <c r="K6957" t="s">
        <v>29810</v>
      </c>
      <c r="P6957" t="s">
        <v>1232</v>
      </c>
      <c r="Y6957" t="s">
        <v>4825</v>
      </c>
    </row>
    <row r="6958" spans="1:25" x14ac:dyDescent="0.25">
      <c r="A6958" t="str">
        <f>"49565841301"</f>
        <v>49565841301</v>
      </c>
      <c r="B6958" t="s">
        <v>1573</v>
      </c>
      <c r="C6958" t="s">
        <v>24508</v>
      </c>
      <c r="D6958" t="s">
        <v>29811</v>
      </c>
      <c r="E6958">
        <v>424030</v>
      </c>
      <c r="F6958" t="s">
        <v>1</v>
      </c>
      <c r="G6958" t="s">
        <v>2</v>
      </c>
      <c r="H6958" t="s">
        <v>10204</v>
      </c>
      <c r="P6958" t="s">
        <v>5278</v>
      </c>
      <c r="Y6958" t="s">
        <v>29812</v>
      </c>
    </row>
    <row r="6959" spans="1:25" x14ac:dyDescent="0.25">
      <c r="A6959" t="str">
        <f>"49632374887"</f>
        <v>49632374887</v>
      </c>
      <c r="B6959" t="s">
        <v>32</v>
      </c>
      <c r="C6959" t="s">
        <v>5623</v>
      </c>
      <c r="D6959" t="s">
        <v>12025</v>
      </c>
      <c r="E6959">
        <v>424032</v>
      </c>
      <c r="F6959" t="s">
        <v>1</v>
      </c>
      <c r="G6959" t="s">
        <v>2</v>
      </c>
      <c r="H6959" t="s">
        <v>2250</v>
      </c>
      <c r="I6959" t="s">
        <v>29813</v>
      </c>
      <c r="P6959" t="s">
        <v>29814</v>
      </c>
      <c r="Y6959" t="s">
        <v>29815</v>
      </c>
    </row>
    <row r="6960" spans="1:25" x14ac:dyDescent="0.25">
      <c r="A6960" t="str">
        <f>"49636609021"</f>
        <v>49636609021</v>
      </c>
      <c r="B6960" t="s">
        <v>96</v>
      </c>
      <c r="C6960" t="s">
        <v>695</v>
      </c>
      <c r="D6960" t="s">
        <v>29816</v>
      </c>
      <c r="E6960">
        <v>424019</v>
      </c>
      <c r="F6960" t="s">
        <v>1</v>
      </c>
      <c r="G6960" t="s">
        <v>2</v>
      </c>
      <c r="H6960" t="s">
        <v>1801</v>
      </c>
      <c r="Y6960" t="s">
        <v>1804</v>
      </c>
    </row>
    <row r="6961" spans="1:25" x14ac:dyDescent="0.25">
      <c r="A6961" t="str">
        <f>"49652058793"</f>
        <v>49652058793</v>
      </c>
      <c r="B6961" t="s">
        <v>117</v>
      </c>
      <c r="C6961" t="s">
        <v>873</v>
      </c>
      <c r="D6961" t="s">
        <v>873</v>
      </c>
      <c r="F6961" t="s">
        <v>1</v>
      </c>
      <c r="G6961" t="s">
        <v>2</v>
      </c>
      <c r="H6961" t="s">
        <v>16051</v>
      </c>
      <c r="Y6961" t="s">
        <v>29817</v>
      </c>
    </row>
    <row r="6962" spans="1:25" x14ac:dyDescent="0.25">
      <c r="A6962" t="str">
        <f>"49670210388"</f>
        <v>49670210388</v>
      </c>
      <c r="B6962" t="s">
        <v>12698</v>
      </c>
      <c r="C6962" t="s">
        <v>29132</v>
      </c>
      <c r="D6962" t="s">
        <v>29818</v>
      </c>
      <c r="E6962">
        <v>424031</v>
      </c>
      <c r="F6962" t="s">
        <v>1</v>
      </c>
      <c r="G6962" t="s">
        <v>2</v>
      </c>
      <c r="H6962" t="s">
        <v>27631</v>
      </c>
      <c r="Y6962" t="s">
        <v>29819</v>
      </c>
    </row>
    <row r="6963" spans="1:25" x14ac:dyDescent="0.25">
      <c r="A6963" t="str">
        <f>"49685525529"</f>
        <v>49685525529</v>
      </c>
      <c r="B6963" t="s">
        <v>930</v>
      </c>
      <c r="C6963" t="s">
        <v>1096</v>
      </c>
      <c r="D6963" t="s">
        <v>29820</v>
      </c>
      <c r="F6963" t="s">
        <v>1</v>
      </c>
      <c r="G6963" t="s">
        <v>2</v>
      </c>
      <c r="H6963" t="s">
        <v>29821</v>
      </c>
      <c r="J6963" t="s">
        <v>29822</v>
      </c>
      <c r="Y6963" t="s">
        <v>29823</v>
      </c>
    </row>
    <row r="6964" spans="1:25" x14ac:dyDescent="0.25">
      <c r="A6964" t="str">
        <f>"49687231252"</f>
        <v>49687231252</v>
      </c>
      <c r="B6964" t="s">
        <v>530</v>
      </c>
      <c r="C6964" t="s">
        <v>23950</v>
      </c>
      <c r="D6964" t="s">
        <v>23950</v>
      </c>
      <c r="E6964">
        <v>424004</v>
      </c>
      <c r="F6964" t="s">
        <v>1</v>
      </c>
      <c r="G6964" t="s">
        <v>2</v>
      </c>
      <c r="H6964" t="s">
        <v>29824</v>
      </c>
      <c r="Y6964" t="s">
        <v>29825</v>
      </c>
    </row>
    <row r="6965" spans="1:25" x14ac:dyDescent="0.25">
      <c r="A6965" t="str">
        <f>"49692613663"</f>
        <v>49692613663</v>
      </c>
      <c r="B6965" t="s">
        <v>110</v>
      </c>
      <c r="C6965" t="s">
        <v>29830</v>
      </c>
      <c r="D6965" t="s">
        <v>29826</v>
      </c>
      <c r="E6965">
        <v>424002</v>
      </c>
      <c r="F6965" t="s">
        <v>1</v>
      </c>
      <c r="G6965" t="s">
        <v>2</v>
      </c>
      <c r="H6965" t="s">
        <v>1190</v>
      </c>
      <c r="I6965" t="s">
        <v>29827</v>
      </c>
      <c r="L6965" t="s">
        <v>29828</v>
      </c>
      <c r="M6965" t="s">
        <v>29829</v>
      </c>
      <c r="P6965" t="s">
        <v>280</v>
      </c>
      <c r="Y6965" t="s">
        <v>11055</v>
      </c>
    </row>
    <row r="6966" spans="1:25" x14ac:dyDescent="0.25">
      <c r="A6966" t="str">
        <f>"49695052643"</f>
        <v>49695052643</v>
      </c>
      <c r="B6966" t="s">
        <v>574</v>
      </c>
      <c r="C6966" t="s">
        <v>952</v>
      </c>
      <c r="D6966" t="s">
        <v>26311</v>
      </c>
      <c r="E6966">
        <v>424030</v>
      </c>
      <c r="F6966" t="s">
        <v>1</v>
      </c>
      <c r="G6966" t="s">
        <v>2</v>
      </c>
      <c r="H6966" t="s">
        <v>8006</v>
      </c>
      <c r="Y6966" t="s">
        <v>29831</v>
      </c>
    </row>
    <row r="6967" spans="1:25" x14ac:dyDescent="0.25">
      <c r="A6967" t="str">
        <f>"49747526259"</f>
        <v>49747526259</v>
      </c>
      <c r="B6967" t="s">
        <v>482</v>
      </c>
      <c r="C6967" t="s">
        <v>483</v>
      </c>
      <c r="D6967" t="s">
        <v>29832</v>
      </c>
      <c r="E6967">
        <v>424032</v>
      </c>
      <c r="F6967" t="s">
        <v>1</v>
      </c>
      <c r="G6967" t="s">
        <v>2</v>
      </c>
      <c r="H6967" t="s">
        <v>29833</v>
      </c>
      <c r="J6967" t="s">
        <v>29834</v>
      </c>
      <c r="P6967" t="s">
        <v>280</v>
      </c>
      <c r="Y6967" t="s">
        <v>29835</v>
      </c>
    </row>
    <row r="6968" spans="1:25" x14ac:dyDescent="0.25">
      <c r="A6968" t="str">
        <f>"49776722789"</f>
        <v>49776722789</v>
      </c>
      <c r="B6968" t="s">
        <v>176</v>
      </c>
      <c r="C6968" t="s">
        <v>250</v>
      </c>
      <c r="D6968" t="s">
        <v>29836</v>
      </c>
      <c r="E6968">
        <v>424019</v>
      </c>
      <c r="F6968" t="s">
        <v>1</v>
      </c>
      <c r="G6968" t="s">
        <v>2</v>
      </c>
      <c r="H6968" t="s">
        <v>7785</v>
      </c>
      <c r="I6968" t="s">
        <v>29837</v>
      </c>
      <c r="L6968" t="s">
        <v>29838</v>
      </c>
      <c r="M6968" t="s">
        <v>29839</v>
      </c>
      <c r="P6968" t="s">
        <v>98</v>
      </c>
      <c r="Y6968" t="s">
        <v>29840</v>
      </c>
    </row>
    <row r="6969" spans="1:25" x14ac:dyDescent="0.25">
      <c r="A6969" t="str">
        <f>"49830054768"</f>
        <v>49830054768</v>
      </c>
      <c r="B6969" t="s">
        <v>224</v>
      </c>
      <c r="C6969" t="s">
        <v>4139</v>
      </c>
      <c r="D6969" t="s">
        <v>29841</v>
      </c>
      <c r="F6969" t="s">
        <v>1</v>
      </c>
      <c r="G6969" t="s">
        <v>2</v>
      </c>
      <c r="H6969" t="s">
        <v>7547</v>
      </c>
      <c r="Y6969" t="s">
        <v>29842</v>
      </c>
    </row>
    <row r="6970" spans="1:25" x14ac:dyDescent="0.25">
      <c r="A6970" t="str">
        <f>"49875512677"</f>
        <v>49875512677</v>
      </c>
      <c r="B6970" t="s">
        <v>1046</v>
      </c>
      <c r="C6970" t="s">
        <v>29846</v>
      </c>
      <c r="D6970" t="s">
        <v>29843</v>
      </c>
      <c r="E6970">
        <v>424000</v>
      </c>
      <c r="F6970" t="s">
        <v>1</v>
      </c>
      <c r="G6970" t="s">
        <v>2</v>
      </c>
      <c r="H6970" t="s">
        <v>128</v>
      </c>
      <c r="J6970" t="s">
        <v>29844</v>
      </c>
      <c r="L6970" t="s">
        <v>29845</v>
      </c>
      <c r="P6970" t="s">
        <v>29847</v>
      </c>
      <c r="Q6970" t="s">
        <v>29848</v>
      </c>
      <c r="Y6970" t="s">
        <v>5640</v>
      </c>
    </row>
    <row r="6971" spans="1:25" x14ac:dyDescent="0.25">
      <c r="A6971" t="str">
        <f>"49882660674"</f>
        <v>49882660674</v>
      </c>
      <c r="B6971" t="s">
        <v>574</v>
      </c>
      <c r="C6971" t="s">
        <v>29849</v>
      </c>
      <c r="D6971" t="s">
        <v>25536</v>
      </c>
      <c r="E6971">
        <v>424037</v>
      </c>
      <c r="F6971" t="s">
        <v>1</v>
      </c>
      <c r="G6971" t="s">
        <v>2</v>
      </c>
      <c r="H6971" t="s">
        <v>12646</v>
      </c>
      <c r="Y6971" t="s">
        <v>29850</v>
      </c>
    </row>
    <row r="6972" spans="1:25" x14ac:dyDescent="0.25">
      <c r="A6972" t="str">
        <f>"49896646063"</f>
        <v>49896646063</v>
      </c>
      <c r="B6972" t="s">
        <v>131</v>
      </c>
      <c r="C6972" t="s">
        <v>3866</v>
      </c>
      <c r="D6972" t="s">
        <v>29851</v>
      </c>
      <c r="F6972" t="s">
        <v>1</v>
      </c>
      <c r="G6972" t="s">
        <v>2</v>
      </c>
      <c r="H6972" t="s">
        <v>138</v>
      </c>
      <c r="I6972" t="s">
        <v>29852</v>
      </c>
      <c r="P6972" t="s">
        <v>29853</v>
      </c>
      <c r="Q6972" t="s">
        <v>29854</v>
      </c>
      <c r="Y6972" t="s">
        <v>29855</v>
      </c>
    </row>
    <row r="6973" spans="1:25" x14ac:dyDescent="0.25">
      <c r="A6973" t="str">
        <f>"49933474384"</f>
        <v>49933474384</v>
      </c>
      <c r="B6973" t="s">
        <v>1152</v>
      </c>
      <c r="C6973" t="s">
        <v>1153</v>
      </c>
      <c r="D6973" t="s">
        <v>10280</v>
      </c>
      <c r="F6973" t="s">
        <v>1</v>
      </c>
      <c r="G6973" t="s">
        <v>2</v>
      </c>
      <c r="H6973" t="s">
        <v>29856</v>
      </c>
      <c r="I6973" t="s">
        <v>22092</v>
      </c>
      <c r="M6973" t="s">
        <v>10284</v>
      </c>
      <c r="Q6973" t="s">
        <v>10286</v>
      </c>
      <c r="R6973" t="s">
        <v>10287</v>
      </c>
      <c r="S6973" t="s">
        <v>10288</v>
      </c>
      <c r="T6973" t="s">
        <v>10289</v>
      </c>
      <c r="U6973" t="s">
        <v>10290</v>
      </c>
      <c r="V6973" t="s">
        <v>10291</v>
      </c>
      <c r="Y6973" t="s">
        <v>5804</v>
      </c>
    </row>
    <row r="6974" spans="1:25" x14ac:dyDescent="0.25">
      <c r="A6974" t="str">
        <f>"49958330211"</f>
        <v>49958330211</v>
      </c>
      <c r="B6974" t="s">
        <v>319</v>
      </c>
      <c r="C6974" t="s">
        <v>320</v>
      </c>
      <c r="D6974" t="s">
        <v>21525</v>
      </c>
      <c r="E6974">
        <v>424007</v>
      </c>
      <c r="F6974" t="s">
        <v>1</v>
      </c>
      <c r="G6974" t="s">
        <v>2</v>
      </c>
      <c r="H6974" t="s">
        <v>23983</v>
      </c>
      <c r="P6974" t="s">
        <v>2738</v>
      </c>
      <c r="Y6974" t="s">
        <v>29857</v>
      </c>
    </row>
    <row r="6975" spans="1:25" x14ac:dyDescent="0.25">
      <c r="A6975" t="str">
        <f>"50008012364"</f>
        <v>50008012364</v>
      </c>
      <c r="B6975" t="s">
        <v>371</v>
      </c>
      <c r="C6975" t="s">
        <v>372</v>
      </c>
      <c r="D6975" t="s">
        <v>29858</v>
      </c>
      <c r="F6975" t="s">
        <v>1</v>
      </c>
      <c r="G6975" t="s">
        <v>2</v>
      </c>
      <c r="H6975" t="s">
        <v>3984</v>
      </c>
      <c r="P6975" t="s">
        <v>2438</v>
      </c>
      <c r="Y6975" t="s">
        <v>4409</v>
      </c>
    </row>
    <row r="6976" spans="1:25" x14ac:dyDescent="0.25">
      <c r="A6976" t="str">
        <f>"50060446814"</f>
        <v>50060446814</v>
      </c>
      <c r="B6976" t="s">
        <v>96</v>
      </c>
      <c r="C6976" t="s">
        <v>15131</v>
      </c>
      <c r="D6976" t="s">
        <v>12083</v>
      </c>
      <c r="E6976">
        <v>424033</v>
      </c>
      <c r="F6976" t="s">
        <v>1</v>
      </c>
      <c r="G6976" t="s">
        <v>2</v>
      </c>
      <c r="H6976" t="s">
        <v>15428</v>
      </c>
      <c r="Y6976" t="s">
        <v>29859</v>
      </c>
    </row>
    <row r="6977" spans="1:25" x14ac:dyDescent="0.25">
      <c r="A6977" t="str">
        <f>"50075224950"</f>
        <v>50075224950</v>
      </c>
      <c r="B6977" t="s">
        <v>32</v>
      </c>
      <c r="C6977" t="s">
        <v>29861</v>
      </c>
      <c r="D6977" t="s">
        <v>29860</v>
      </c>
      <c r="E6977">
        <v>424003</v>
      </c>
      <c r="F6977" t="s">
        <v>1</v>
      </c>
      <c r="G6977" t="s">
        <v>2</v>
      </c>
      <c r="H6977" t="s">
        <v>3158</v>
      </c>
      <c r="Y6977" t="s">
        <v>29862</v>
      </c>
    </row>
    <row r="6978" spans="1:25" x14ac:dyDescent="0.25">
      <c r="A6978" t="str">
        <f>"50089839668"</f>
        <v>50089839668</v>
      </c>
      <c r="B6978" t="s">
        <v>574</v>
      </c>
      <c r="C6978" t="s">
        <v>646</v>
      </c>
      <c r="D6978" t="s">
        <v>29863</v>
      </c>
      <c r="E6978">
        <v>424005</v>
      </c>
      <c r="F6978" t="s">
        <v>1</v>
      </c>
      <c r="G6978" t="s">
        <v>2</v>
      </c>
      <c r="H6978" t="s">
        <v>29864</v>
      </c>
      <c r="P6978" t="s">
        <v>29865</v>
      </c>
      <c r="Y6978" t="s">
        <v>29866</v>
      </c>
    </row>
    <row r="6979" spans="1:25" x14ac:dyDescent="0.25">
      <c r="A6979" t="str">
        <f>"50130304676"</f>
        <v>50130304676</v>
      </c>
      <c r="B6979" t="s">
        <v>1078</v>
      </c>
      <c r="C6979" t="s">
        <v>27113</v>
      </c>
      <c r="D6979" t="s">
        <v>29867</v>
      </c>
      <c r="E6979">
        <v>424016</v>
      </c>
      <c r="F6979" t="s">
        <v>1</v>
      </c>
      <c r="G6979" t="s">
        <v>2</v>
      </c>
      <c r="H6979" t="s">
        <v>3703</v>
      </c>
      <c r="J6979" t="s">
        <v>22964</v>
      </c>
      <c r="L6979" t="s">
        <v>29868</v>
      </c>
      <c r="M6979" t="s">
        <v>29869</v>
      </c>
      <c r="P6979" t="s">
        <v>21202</v>
      </c>
      <c r="Y6979" t="s">
        <v>29870</v>
      </c>
    </row>
    <row r="6980" spans="1:25" x14ac:dyDescent="0.25">
      <c r="A6980" t="str">
        <f>"50133506851"</f>
        <v>50133506851</v>
      </c>
      <c r="B6980" t="s">
        <v>574</v>
      </c>
      <c r="C6980" t="s">
        <v>952</v>
      </c>
      <c r="D6980" t="s">
        <v>14987</v>
      </c>
      <c r="E6980">
        <v>424038</v>
      </c>
      <c r="F6980" t="s">
        <v>1</v>
      </c>
      <c r="G6980" t="s">
        <v>2</v>
      </c>
      <c r="H6980" t="s">
        <v>13986</v>
      </c>
      <c r="Y6980" t="s">
        <v>29871</v>
      </c>
    </row>
    <row r="6981" spans="1:25" x14ac:dyDescent="0.25">
      <c r="A6981" t="str">
        <f>"50169092071"</f>
        <v>50169092071</v>
      </c>
      <c r="B6981" t="s">
        <v>930</v>
      </c>
      <c r="C6981" t="s">
        <v>9679</v>
      </c>
      <c r="D6981" t="s">
        <v>28935</v>
      </c>
      <c r="E6981">
        <v>424005</v>
      </c>
      <c r="F6981" t="s">
        <v>1</v>
      </c>
      <c r="G6981" t="s">
        <v>2</v>
      </c>
      <c r="H6981" t="s">
        <v>29872</v>
      </c>
      <c r="I6981" t="s">
        <v>29873</v>
      </c>
      <c r="Q6981" t="s">
        <v>29874</v>
      </c>
      <c r="Y6981" t="s">
        <v>29875</v>
      </c>
    </row>
    <row r="6982" spans="1:25" x14ac:dyDescent="0.25">
      <c r="A6982" t="str">
        <f>"50181095859"</f>
        <v>50181095859</v>
      </c>
      <c r="B6982" t="s">
        <v>243</v>
      </c>
      <c r="C6982" t="s">
        <v>5683</v>
      </c>
      <c r="D6982" t="s">
        <v>29876</v>
      </c>
      <c r="E6982">
        <v>424031</v>
      </c>
      <c r="F6982" t="s">
        <v>1</v>
      </c>
      <c r="G6982" t="s">
        <v>2</v>
      </c>
      <c r="H6982" t="s">
        <v>4622</v>
      </c>
      <c r="Y6982" t="s">
        <v>29877</v>
      </c>
    </row>
    <row r="6983" spans="1:25" x14ac:dyDescent="0.25">
      <c r="A6983" t="str">
        <f>"50186481646"</f>
        <v>50186481646</v>
      </c>
      <c r="B6983" t="s">
        <v>7312</v>
      </c>
      <c r="C6983" t="s">
        <v>29879</v>
      </c>
      <c r="D6983" t="s">
        <v>29878</v>
      </c>
      <c r="E6983">
        <v>424038</v>
      </c>
      <c r="F6983" t="s">
        <v>1</v>
      </c>
      <c r="G6983" t="s">
        <v>2</v>
      </c>
      <c r="H6983" t="s">
        <v>6059</v>
      </c>
      <c r="Y6983" t="s">
        <v>29880</v>
      </c>
    </row>
    <row r="6984" spans="1:25" x14ac:dyDescent="0.25">
      <c r="A6984" t="str">
        <f>"50268410841"</f>
        <v>50268410841</v>
      </c>
      <c r="B6984" t="s">
        <v>574</v>
      </c>
      <c r="C6984" t="s">
        <v>23520</v>
      </c>
      <c r="D6984" t="s">
        <v>23520</v>
      </c>
      <c r="E6984">
        <v>424007</v>
      </c>
      <c r="F6984" t="s">
        <v>1</v>
      </c>
      <c r="G6984" t="s">
        <v>2</v>
      </c>
      <c r="H6984" t="s">
        <v>4411</v>
      </c>
      <c r="Y6984" t="s">
        <v>29881</v>
      </c>
    </row>
    <row r="6985" spans="1:25" x14ac:dyDescent="0.25">
      <c r="A6985" t="str">
        <f>"50280428838"</f>
        <v>50280428838</v>
      </c>
      <c r="B6985" t="s">
        <v>1053</v>
      </c>
      <c r="C6985" t="s">
        <v>1927</v>
      </c>
      <c r="D6985" t="s">
        <v>29882</v>
      </c>
      <c r="E6985">
        <v>424007</v>
      </c>
      <c r="F6985" t="s">
        <v>1</v>
      </c>
      <c r="G6985" t="s">
        <v>2</v>
      </c>
      <c r="H6985" t="s">
        <v>4869</v>
      </c>
      <c r="Y6985" t="s">
        <v>5759</v>
      </c>
    </row>
    <row r="6986" spans="1:25" x14ac:dyDescent="0.25">
      <c r="A6986" t="str">
        <f>"50287147919"</f>
        <v>50287147919</v>
      </c>
      <c r="B6986" t="s">
        <v>462</v>
      </c>
      <c r="C6986" t="s">
        <v>12544</v>
      </c>
      <c r="D6986" t="s">
        <v>29883</v>
      </c>
      <c r="F6986" t="s">
        <v>1</v>
      </c>
      <c r="G6986" t="s">
        <v>2</v>
      </c>
      <c r="H6986" t="s">
        <v>3984</v>
      </c>
      <c r="J6986" t="s">
        <v>29884</v>
      </c>
      <c r="M6986" t="s">
        <v>29885</v>
      </c>
      <c r="P6986" t="s">
        <v>390</v>
      </c>
      <c r="Y6986" t="s">
        <v>4409</v>
      </c>
    </row>
    <row r="6987" spans="1:25" x14ac:dyDescent="0.25">
      <c r="A6987" t="str">
        <f>"50304214222"</f>
        <v>50304214222</v>
      </c>
      <c r="B6987" t="s">
        <v>530</v>
      </c>
      <c r="C6987" t="s">
        <v>23950</v>
      </c>
      <c r="D6987" t="s">
        <v>23950</v>
      </c>
      <c r="F6987" t="s">
        <v>1</v>
      </c>
      <c r="G6987" t="s">
        <v>2</v>
      </c>
      <c r="H6987" t="s">
        <v>29886</v>
      </c>
      <c r="Y6987" t="s">
        <v>29887</v>
      </c>
    </row>
    <row r="6988" spans="1:25" x14ac:dyDescent="0.25">
      <c r="A6988" t="str">
        <f>"50356069767"</f>
        <v>50356069767</v>
      </c>
      <c r="B6988" t="s">
        <v>18</v>
      </c>
      <c r="C6988" t="s">
        <v>143</v>
      </c>
      <c r="D6988" t="s">
        <v>29888</v>
      </c>
      <c r="E6988">
        <v>424005</v>
      </c>
      <c r="F6988" t="s">
        <v>1</v>
      </c>
      <c r="G6988" t="s">
        <v>2</v>
      </c>
      <c r="H6988" t="s">
        <v>17184</v>
      </c>
      <c r="J6988" t="s">
        <v>29889</v>
      </c>
      <c r="Y6988" t="s">
        <v>17189</v>
      </c>
    </row>
    <row r="6989" spans="1:25" x14ac:dyDescent="0.25">
      <c r="A6989" t="str">
        <f>"50363495119"</f>
        <v>50363495119</v>
      </c>
      <c r="B6989" t="s">
        <v>290</v>
      </c>
      <c r="C6989" t="s">
        <v>290</v>
      </c>
      <c r="D6989" t="s">
        <v>29890</v>
      </c>
      <c r="E6989">
        <v>424006</v>
      </c>
      <c r="F6989" t="s">
        <v>1</v>
      </c>
      <c r="G6989" t="s">
        <v>2</v>
      </c>
      <c r="H6989" t="s">
        <v>13758</v>
      </c>
      <c r="Y6989" t="s">
        <v>29891</v>
      </c>
    </row>
    <row r="6990" spans="1:25" x14ac:dyDescent="0.25">
      <c r="A6990" t="str">
        <f>"50392276627"</f>
        <v>50392276627</v>
      </c>
      <c r="B6990" t="s">
        <v>1611</v>
      </c>
      <c r="C6990" t="s">
        <v>29893</v>
      </c>
      <c r="D6990" t="s">
        <v>29892</v>
      </c>
      <c r="E6990">
        <v>424037</v>
      </c>
      <c r="F6990" t="s">
        <v>1</v>
      </c>
      <c r="G6990" t="s">
        <v>2</v>
      </c>
      <c r="H6990" t="s">
        <v>4169</v>
      </c>
      <c r="Y6990" t="s">
        <v>29894</v>
      </c>
    </row>
    <row r="6991" spans="1:25" x14ac:dyDescent="0.25">
      <c r="A6991" t="str">
        <f>"50402838308"</f>
        <v>50402838308</v>
      </c>
      <c r="B6991" t="s">
        <v>738</v>
      </c>
      <c r="C6991" t="s">
        <v>29898</v>
      </c>
      <c r="D6991" t="s">
        <v>29895</v>
      </c>
      <c r="E6991">
        <v>424040</v>
      </c>
      <c r="F6991" t="s">
        <v>1</v>
      </c>
      <c r="G6991" t="s">
        <v>2</v>
      </c>
      <c r="H6991" t="s">
        <v>16312</v>
      </c>
      <c r="I6991" t="s">
        <v>29896</v>
      </c>
      <c r="M6991" t="s">
        <v>29897</v>
      </c>
      <c r="P6991" t="s">
        <v>29899</v>
      </c>
      <c r="Y6991" t="s">
        <v>29900</v>
      </c>
    </row>
    <row r="6992" spans="1:25" x14ac:dyDescent="0.25">
      <c r="A6992" t="str">
        <f>"50443939645"</f>
        <v>50443939645</v>
      </c>
      <c r="B6992" t="s">
        <v>5573</v>
      </c>
      <c r="C6992" t="s">
        <v>21453</v>
      </c>
      <c r="D6992" t="s">
        <v>25138</v>
      </c>
      <c r="E6992">
        <v>424000</v>
      </c>
      <c r="F6992" t="s">
        <v>1</v>
      </c>
      <c r="G6992" t="s">
        <v>2</v>
      </c>
      <c r="H6992" t="s">
        <v>92</v>
      </c>
      <c r="J6992" t="s">
        <v>25140</v>
      </c>
      <c r="L6992" t="s">
        <v>29901</v>
      </c>
      <c r="M6992" t="s">
        <v>25142</v>
      </c>
      <c r="Q6992" t="s">
        <v>29902</v>
      </c>
      <c r="Y6992" t="s">
        <v>28397</v>
      </c>
    </row>
    <row r="6993" spans="1:25" x14ac:dyDescent="0.25">
      <c r="A6993" t="str">
        <f>"50461779164"</f>
        <v>50461779164</v>
      </c>
      <c r="B6993" t="s">
        <v>117</v>
      </c>
      <c r="C6993" t="s">
        <v>28605</v>
      </c>
      <c r="D6993" t="s">
        <v>29903</v>
      </c>
      <c r="E6993">
        <v>424019</v>
      </c>
      <c r="F6993" t="s">
        <v>1</v>
      </c>
      <c r="G6993" t="s">
        <v>2</v>
      </c>
      <c r="H6993" t="s">
        <v>29904</v>
      </c>
      <c r="Y6993" t="s">
        <v>29905</v>
      </c>
    </row>
    <row r="6994" spans="1:25" x14ac:dyDescent="0.25">
      <c r="A6994" t="str">
        <f>"50651372001"</f>
        <v>50651372001</v>
      </c>
      <c r="B6994" t="s">
        <v>574</v>
      </c>
      <c r="C6994" t="s">
        <v>646</v>
      </c>
      <c r="D6994" t="s">
        <v>29906</v>
      </c>
      <c r="E6994">
        <v>424030</v>
      </c>
      <c r="F6994" t="s">
        <v>1</v>
      </c>
      <c r="G6994" t="s">
        <v>2</v>
      </c>
      <c r="H6994" t="s">
        <v>12562</v>
      </c>
      <c r="P6994" t="s">
        <v>29907</v>
      </c>
      <c r="Y6994" t="s">
        <v>29908</v>
      </c>
    </row>
    <row r="6995" spans="1:25" x14ac:dyDescent="0.25">
      <c r="A6995" t="str">
        <f>"50652013332"</f>
        <v>50652013332</v>
      </c>
      <c r="B6995" t="s">
        <v>1182</v>
      </c>
      <c r="C6995" t="s">
        <v>29911</v>
      </c>
      <c r="D6995" t="s">
        <v>29909</v>
      </c>
      <c r="F6995" t="s">
        <v>1</v>
      </c>
      <c r="G6995" t="s">
        <v>2</v>
      </c>
      <c r="H6995" t="s">
        <v>29910</v>
      </c>
      <c r="J6995" t="s">
        <v>24755</v>
      </c>
      <c r="P6995" t="s">
        <v>2544</v>
      </c>
      <c r="Y6995" t="s">
        <v>29912</v>
      </c>
    </row>
    <row r="6996" spans="1:25" x14ac:dyDescent="0.25">
      <c r="A6996" t="str">
        <f>"50658729178"</f>
        <v>50658729178</v>
      </c>
      <c r="B6996" t="s">
        <v>96</v>
      </c>
      <c r="C6996" t="s">
        <v>29913</v>
      </c>
      <c r="D6996" t="s">
        <v>20943</v>
      </c>
      <c r="E6996">
        <v>424019</v>
      </c>
      <c r="F6996" t="s">
        <v>1</v>
      </c>
      <c r="G6996" t="s">
        <v>2</v>
      </c>
      <c r="H6996" t="s">
        <v>1801</v>
      </c>
      <c r="Y6996" t="s">
        <v>1804</v>
      </c>
    </row>
    <row r="6997" spans="1:25" x14ac:dyDescent="0.25">
      <c r="A6997" t="str">
        <f>"50671320960"</f>
        <v>50671320960</v>
      </c>
      <c r="B6997" t="s">
        <v>930</v>
      </c>
      <c r="C6997" t="s">
        <v>29916</v>
      </c>
      <c r="D6997" t="s">
        <v>29914</v>
      </c>
      <c r="E6997">
        <v>424037</v>
      </c>
      <c r="F6997" t="s">
        <v>1</v>
      </c>
      <c r="G6997" t="s">
        <v>2</v>
      </c>
      <c r="H6997" t="s">
        <v>3765</v>
      </c>
      <c r="I6997" t="s">
        <v>29915</v>
      </c>
      <c r="J6997" t="s">
        <v>12782</v>
      </c>
      <c r="P6997" t="s">
        <v>330</v>
      </c>
      <c r="Y6997" t="s">
        <v>23745</v>
      </c>
    </row>
    <row r="6998" spans="1:25" x14ac:dyDescent="0.25">
      <c r="A6998" t="str">
        <f>"50680079172"</f>
        <v>50680079172</v>
      </c>
      <c r="B6998" t="s">
        <v>96</v>
      </c>
      <c r="C6998" t="s">
        <v>15030</v>
      </c>
      <c r="D6998" t="s">
        <v>29917</v>
      </c>
      <c r="E6998">
        <v>424031</v>
      </c>
      <c r="F6998" t="s">
        <v>1</v>
      </c>
      <c r="G6998" t="s">
        <v>2</v>
      </c>
      <c r="H6998" t="s">
        <v>3271</v>
      </c>
      <c r="I6998" t="s">
        <v>29918</v>
      </c>
      <c r="P6998" t="s">
        <v>3393</v>
      </c>
      <c r="Y6998" t="s">
        <v>3274</v>
      </c>
    </row>
    <row r="6999" spans="1:25" x14ac:dyDescent="0.25">
      <c r="A6999" t="str">
        <f>"50686683292"</f>
        <v>50686683292</v>
      </c>
      <c r="B6999" t="s">
        <v>397</v>
      </c>
      <c r="C6999" t="s">
        <v>1432</v>
      </c>
      <c r="D6999" t="s">
        <v>29919</v>
      </c>
      <c r="E6999">
        <v>424032</v>
      </c>
      <c r="F6999" t="s">
        <v>1</v>
      </c>
      <c r="G6999" t="s">
        <v>2</v>
      </c>
      <c r="H6999" t="s">
        <v>29920</v>
      </c>
      <c r="Y6999" t="s">
        <v>29921</v>
      </c>
    </row>
    <row r="7000" spans="1:25" x14ac:dyDescent="0.25">
      <c r="A7000" t="str">
        <f>"50718526128"</f>
        <v>50718526128</v>
      </c>
      <c r="B7000" t="s">
        <v>574</v>
      </c>
      <c r="C7000" t="s">
        <v>14269</v>
      </c>
      <c r="D7000" t="s">
        <v>29922</v>
      </c>
      <c r="E7000">
        <v>424020</v>
      </c>
      <c r="F7000" t="s">
        <v>1</v>
      </c>
      <c r="G7000" t="s">
        <v>2</v>
      </c>
      <c r="H7000" t="s">
        <v>7063</v>
      </c>
      <c r="Y7000" t="s">
        <v>29923</v>
      </c>
    </row>
    <row r="7001" spans="1:25" x14ac:dyDescent="0.25">
      <c r="A7001" t="str">
        <f>"50722647447"</f>
        <v>50722647447</v>
      </c>
      <c r="B7001" t="s">
        <v>18</v>
      </c>
      <c r="C7001" t="s">
        <v>25242</v>
      </c>
      <c r="D7001" t="s">
        <v>29924</v>
      </c>
      <c r="E7001">
        <v>424004</v>
      </c>
      <c r="F7001" t="s">
        <v>1</v>
      </c>
      <c r="G7001" t="s">
        <v>2</v>
      </c>
      <c r="H7001" t="s">
        <v>351</v>
      </c>
      <c r="I7001" t="s">
        <v>29925</v>
      </c>
      <c r="L7001" t="s">
        <v>29926</v>
      </c>
      <c r="M7001" t="s">
        <v>29927</v>
      </c>
      <c r="Y7001" t="s">
        <v>354</v>
      </c>
    </row>
    <row r="7002" spans="1:25" x14ac:dyDescent="0.25">
      <c r="A7002" t="str">
        <f>"50784677593"</f>
        <v>50784677593</v>
      </c>
      <c r="B7002" t="s">
        <v>930</v>
      </c>
      <c r="C7002" t="s">
        <v>29930</v>
      </c>
      <c r="D7002" t="s">
        <v>927</v>
      </c>
      <c r="E7002">
        <v>424039</v>
      </c>
      <c r="F7002" t="s">
        <v>1</v>
      </c>
      <c r="G7002" t="s">
        <v>2</v>
      </c>
      <c r="H7002" t="s">
        <v>29928</v>
      </c>
      <c r="J7002" t="s">
        <v>29929</v>
      </c>
      <c r="P7002" t="s">
        <v>1027</v>
      </c>
      <c r="Q7002" t="s">
        <v>29931</v>
      </c>
      <c r="Y7002" t="s">
        <v>29932</v>
      </c>
    </row>
    <row r="7003" spans="1:25" x14ac:dyDescent="0.25">
      <c r="A7003" t="str">
        <f>"50863101115"</f>
        <v>50863101115</v>
      </c>
      <c r="B7003" t="s">
        <v>7</v>
      </c>
      <c r="C7003" t="s">
        <v>29937</v>
      </c>
      <c r="D7003" t="s">
        <v>29933</v>
      </c>
      <c r="E7003">
        <v>424000</v>
      </c>
      <c r="F7003" t="s">
        <v>1</v>
      </c>
      <c r="G7003" t="s">
        <v>2</v>
      </c>
      <c r="H7003" t="s">
        <v>17190</v>
      </c>
      <c r="I7003" t="s">
        <v>29934</v>
      </c>
      <c r="L7003" t="s">
        <v>29935</v>
      </c>
      <c r="M7003" t="s">
        <v>29936</v>
      </c>
      <c r="P7003" t="s">
        <v>399</v>
      </c>
      <c r="Y7003" t="s">
        <v>19172</v>
      </c>
    </row>
    <row r="7004" spans="1:25" x14ac:dyDescent="0.25">
      <c r="A7004" t="str">
        <f>"50864278293"</f>
        <v>50864278293</v>
      </c>
      <c r="B7004" t="s">
        <v>334</v>
      </c>
      <c r="C7004" t="s">
        <v>334</v>
      </c>
      <c r="D7004" t="s">
        <v>29938</v>
      </c>
      <c r="E7004">
        <v>424028</v>
      </c>
      <c r="F7004" t="s">
        <v>1</v>
      </c>
      <c r="G7004" t="s">
        <v>2</v>
      </c>
      <c r="H7004" t="s">
        <v>23258</v>
      </c>
      <c r="Y7004" t="s">
        <v>29939</v>
      </c>
    </row>
    <row r="7005" spans="1:25" x14ac:dyDescent="0.25">
      <c r="A7005" t="str">
        <f>"50865174050"</f>
        <v>50865174050</v>
      </c>
      <c r="B7005" t="s">
        <v>716</v>
      </c>
      <c r="C7005" t="s">
        <v>717</v>
      </c>
      <c r="D7005" t="s">
        <v>29940</v>
      </c>
      <c r="E7005">
        <v>424006</v>
      </c>
      <c r="F7005" t="s">
        <v>1</v>
      </c>
      <c r="G7005" t="s">
        <v>2</v>
      </c>
      <c r="H7005" t="s">
        <v>29941</v>
      </c>
      <c r="P7005" t="s">
        <v>152</v>
      </c>
      <c r="Y7005" t="s">
        <v>3739</v>
      </c>
    </row>
    <row r="7006" spans="1:25" x14ac:dyDescent="0.25">
      <c r="A7006" t="str">
        <f>"50914166740"</f>
        <v>50914166740</v>
      </c>
      <c r="B7006" t="s">
        <v>530</v>
      </c>
      <c r="C7006" t="s">
        <v>23950</v>
      </c>
      <c r="D7006" t="s">
        <v>23950</v>
      </c>
      <c r="F7006" t="s">
        <v>1</v>
      </c>
      <c r="G7006" t="s">
        <v>2</v>
      </c>
      <c r="H7006" t="s">
        <v>29942</v>
      </c>
      <c r="Y7006" t="s">
        <v>29943</v>
      </c>
    </row>
    <row r="7007" spans="1:25" x14ac:dyDescent="0.25">
      <c r="A7007" t="str">
        <f>"50914555374"</f>
        <v>50914555374</v>
      </c>
      <c r="B7007" t="s">
        <v>930</v>
      </c>
      <c r="C7007" t="s">
        <v>15966</v>
      </c>
      <c r="D7007" t="s">
        <v>18614</v>
      </c>
      <c r="F7007" t="s">
        <v>1</v>
      </c>
      <c r="G7007" t="s">
        <v>2</v>
      </c>
      <c r="H7007" t="s">
        <v>1109</v>
      </c>
      <c r="Y7007" t="s">
        <v>29944</v>
      </c>
    </row>
    <row r="7008" spans="1:25" x14ac:dyDescent="0.25">
      <c r="A7008" t="str">
        <f>"50965658208"</f>
        <v>50965658208</v>
      </c>
      <c r="B7008" t="s">
        <v>1046</v>
      </c>
      <c r="C7008" t="s">
        <v>22946</v>
      </c>
      <c r="D7008" t="s">
        <v>22946</v>
      </c>
      <c r="E7008">
        <v>424000</v>
      </c>
      <c r="F7008" t="s">
        <v>1</v>
      </c>
      <c r="G7008" t="s">
        <v>2</v>
      </c>
      <c r="H7008" t="s">
        <v>11351</v>
      </c>
      <c r="Y7008" t="s">
        <v>29945</v>
      </c>
    </row>
    <row r="7009" spans="1:25" x14ac:dyDescent="0.25">
      <c r="A7009" t="str">
        <f>"50980867593"</f>
        <v>50980867593</v>
      </c>
      <c r="B7009" t="s">
        <v>1078</v>
      </c>
      <c r="C7009" t="s">
        <v>4259</v>
      </c>
      <c r="D7009" t="s">
        <v>11675</v>
      </c>
      <c r="E7009">
        <v>424007</v>
      </c>
      <c r="F7009" t="s">
        <v>1</v>
      </c>
      <c r="G7009" t="s">
        <v>2</v>
      </c>
      <c r="H7009" t="s">
        <v>499</v>
      </c>
      <c r="Y7009" t="s">
        <v>1598</v>
      </c>
    </row>
    <row r="7010" spans="1:25" x14ac:dyDescent="0.25">
      <c r="A7010" t="str">
        <f>"50990930283"</f>
        <v>50990930283</v>
      </c>
      <c r="B7010" t="s">
        <v>25</v>
      </c>
      <c r="C7010" t="s">
        <v>59</v>
      </c>
      <c r="D7010" t="s">
        <v>25111</v>
      </c>
      <c r="E7010">
        <v>424918</v>
      </c>
      <c r="F7010" t="s">
        <v>1</v>
      </c>
      <c r="G7010" t="s">
        <v>2</v>
      </c>
      <c r="H7010" t="s">
        <v>629</v>
      </c>
      <c r="P7010" t="s">
        <v>630</v>
      </c>
      <c r="Y7010" t="s">
        <v>29946</v>
      </c>
    </row>
    <row r="7011" spans="1:25" x14ac:dyDescent="0.25">
      <c r="A7011" t="str">
        <f>"51000597957"</f>
        <v>51000597957</v>
      </c>
      <c r="B7011" t="s">
        <v>32</v>
      </c>
      <c r="C7011" t="s">
        <v>182</v>
      </c>
      <c r="D7011" t="s">
        <v>14804</v>
      </c>
      <c r="E7011">
        <v>424007</v>
      </c>
      <c r="F7011" t="s">
        <v>1</v>
      </c>
      <c r="G7011" t="s">
        <v>2</v>
      </c>
      <c r="H7011" t="s">
        <v>14211</v>
      </c>
      <c r="Y7011" t="s">
        <v>29947</v>
      </c>
    </row>
    <row r="7012" spans="1:25" x14ac:dyDescent="0.25">
      <c r="A7012" t="str">
        <f>"51078670417"</f>
        <v>51078670417</v>
      </c>
      <c r="B7012" t="s">
        <v>1544</v>
      </c>
      <c r="C7012" t="s">
        <v>15598</v>
      </c>
      <c r="D7012" t="s">
        <v>29948</v>
      </c>
      <c r="E7012">
        <v>424033</v>
      </c>
      <c r="F7012" t="s">
        <v>1</v>
      </c>
      <c r="G7012" t="s">
        <v>2</v>
      </c>
      <c r="H7012" t="s">
        <v>16703</v>
      </c>
      <c r="P7012" t="s">
        <v>330</v>
      </c>
      <c r="Y7012" t="s">
        <v>29949</v>
      </c>
    </row>
    <row r="7013" spans="1:25" x14ac:dyDescent="0.25">
      <c r="A7013" t="str">
        <f>"51111585372"</f>
        <v>51111585372</v>
      </c>
      <c r="B7013" t="s">
        <v>88</v>
      </c>
      <c r="C7013" t="s">
        <v>29952</v>
      </c>
      <c r="D7013" t="s">
        <v>29950</v>
      </c>
      <c r="E7013">
        <v>424006</v>
      </c>
      <c r="F7013" t="s">
        <v>1</v>
      </c>
      <c r="G7013" t="s">
        <v>2</v>
      </c>
      <c r="H7013" t="s">
        <v>4628</v>
      </c>
      <c r="J7013" t="s">
        <v>29951</v>
      </c>
      <c r="P7013" t="s">
        <v>21813</v>
      </c>
      <c r="V7013" t="s">
        <v>29953</v>
      </c>
      <c r="Y7013" t="s">
        <v>29954</v>
      </c>
    </row>
    <row r="7014" spans="1:25" x14ac:dyDescent="0.25">
      <c r="A7014" t="str">
        <f>"51121399570"</f>
        <v>51121399570</v>
      </c>
      <c r="B7014" t="s">
        <v>290</v>
      </c>
      <c r="C7014" t="s">
        <v>11114</v>
      </c>
      <c r="D7014" t="s">
        <v>29955</v>
      </c>
      <c r="E7014">
        <v>424000</v>
      </c>
      <c r="F7014" t="s">
        <v>1</v>
      </c>
      <c r="G7014" t="s">
        <v>2</v>
      </c>
      <c r="H7014" t="s">
        <v>29956</v>
      </c>
      <c r="P7014" t="s">
        <v>1642</v>
      </c>
      <c r="Y7014" t="s">
        <v>13335</v>
      </c>
    </row>
    <row r="7015" spans="1:25" x14ac:dyDescent="0.25">
      <c r="A7015" t="str">
        <f>"51129164072"</f>
        <v>51129164072</v>
      </c>
      <c r="B7015" t="s">
        <v>7312</v>
      </c>
      <c r="C7015" t="s">
        <v>19097</v>
      </c>
      <c r="D7015" t="s">
        <v>29957</v>
      </c>
      <c r="E7015">
        <v>424033</v>
      </c>
      <c r="F7015" t="s">
        <v>1</v>
      </c>
      <c r="G7015" t="s">
        <v>2</v>
      </c>
      <c r="H7015" t="s">
        <v>6875</v>
      </c>
      <c r="Y7015" t="s">
        <v>29958</v>
      </c>
    </row>
    <row r="7016" spans="1:25" x14ac:dyDescent="0.25">
      <c r="A7016" t="str">
        <f>"51142305663"</f>
        <v>51142305663</v>
      </c>
      <c r="B7016" t="s">
        <v>574</v>
      </c>
      <c r="C7016" t="s">
        <v>29962</v>
      </c>
      <c r="D7016" t="s">
        <v>29959</v>
      </c>
      <c r="E7016">
        <v>424007</v>
      </c>
      <c r="F7016" t="s">
        <v>1</v>
      </c>
      <c r="G7016" t="s">
        <v>2</v>
      </c>
      <c r="H7016" t="s">
        <v>3243</v>
      </c>
      <c r="I7016" t="s">
        <v>29960</v>
      </c>
      <c r="L7016" t="s">
        <v>597</v>
      </c>
      <c r="M7016" t="s">
        <v>29961</v>
      </c>
      <c r="P7016" t="s">
        <v>27</v>
      </c>
      <c r="Y7016" t="s">
        <v>3249</v>
      </c>
    </row>
    <row r="7017" spans="1:25" x14ac:dyDescent="0.25">
      <c r="A7017" t="str">
        <f>"51160266520"</f>
        <v>51160266520</v>
      </c>
      <c r="B7017" t="s">
        <v>447</v>
      </c>
      <c r="C7017" t="s">
        <v>448</v>
      </c>
      <c r="D7017" t="s">
        <v>27862</v>
      </c>
      <c r="E7017">
        <v>424007</v>
      </c>
      <c r="F7017" t="s">
        <v>1</v>
      </c>
      <c r="G7017" t="s">
        <v>2</v>
      </c>
      <c r="H7017" t="s">
        <v>29963</v>
      </c>
      <c r="J7017" t="s">
        <v>29964</v>
      </c>
      <c r="P7017" t="s">
        <v>152</v>
      </c>
      <c r="Y7017" t="s">
        <v>9503</v>
      </c>
    </row>
    <row r="7018" spans="1:25" x14ac:dyDescent="0.25">
      <c r="A7018" t="str">
        <f>"51227980825"</f>
        <v>51227980825</v>
      </c>
      <c r="B7018" t="s">
        <v>117</v>
      </c>
      <c r="C7018" t="s">
        <v>118</v>
      </c>
      <c r="D7018" t="s">
        <v>163</v>
      </c>
      <c r="F7018" t="s">
        <v>1</v>
      </c>
      <c r="G7018" t="s">
        <v>2</v>
      </c>
      <c r="H7018" t="s">
        <v>16294</v>
      </c>
      <c r="Y7018" t="s">
        <v>29965</v>
      </c>
    </row>
    <row r="7019" spans="1:25" x14ac:dyDescent="0.25">
      <c r="A7019" t="str">
        <f>"51233333975"</f>
        <v>51233333975</v>
      </c>
      <c r="B7019" t="s">
        <v>5745</v>
      </c>
      <c r="C7019" t="s">
        <v>29967</v>
      </c>
      <c r="D7019" t="s">
        <v>29966</v>
      </c>
      <c r="F7019" t="s">
        <v>1</v>
      </c>
      <c r="G7019" t="s">
        <v>2</v>
      </c>
      <c r="H7019" t="s">
        <v>7547</v>
      </c>
      <c r="Y7019" t="s">
        <v>29968</v>
      </c>
    </row>
    <row r="7020" spans="1:25" x14ac:dyDescent="0.25">
      <c r="A7020" t="str">
        <f>"51234570357"</f>
        <v>51234570357</v>
      </c>
      <c r="B7020" t="s">
        <v>1352</v>
      </c>
      <c r="C7020" t="s">
        <v>1353</v>
      </c>
      <c r="D7020" t="s">
        <v>29969</v>
      </c>
      <c r="E7020">
        <v>424000</v>
      </c>
      <c r="F7020" t="s">
        <v>1</v>
      </c>
      <c r="G7020" t="s">
        <v>2</v>
      </c>
      <c r="H7020" t="s">
        <v>837</v>
      </c>
      <c r="Y7020" t="s">
        <v>29970</v>
      </c>
    </row>
    <row r="7021" spans="1:25" x14ac:dyDescent="0.25">
      <c r="A7021" t="str">
        <f>"51235924653"</f>
        <v>51235924653</v>
      </c>
      <c r="B7021" t="s">
        <v>2236</v>
      </c>
      <c r="C7021" t="s">
        <v>2236</v>
      </c>
      <c r="D7021" t="s">
        <v>29971</v>
      </c>
      <c r="E7021">
        <v>424038</v>
      </c>
      <c r="F7021" t="s">
        <v>1</v>
      </c>
      <c r="G7021" t="s">
        <v>2</v>
      </c>
      <c r="H7021" t="s">
        <v>546</v>
      </c>
      <c r="I7021" t="s">
        <v>29972</v>
      </c>
      <c r="L7021" t="s">
        <v>29973</v>
      </c>
      <c r="M7021" t="s">
        <v>29974</v>
      </c>
      <c r="Y7021" t="s">
        <v>549</v>
      </c>
    </row>
    <row r="7022" spans="1:25" x14ac:dyDescent="0.25">
      <c r="A7022" t="str">
        <f>"51247703586"</f>
        <v>51247703586</v>
      </c>
      <c r="B7022" t="s">
        <v>469</v>
      </c>
      <c r="C7022" t="s">
        <v>29979</v>
      </c>
      <c r="D7022" t="s">
        <v>29975</v>
      </c>
      <c r="E7022">
        <v>424038</v>
      </c>
      <c r="F7022" t="s">
        <v>1</v>
      </c>
      <c r="G7022" t="s">
        <v>2</v>
      </c>
      <c r="H7022" t="s">
        <v>7597</v>
      </c>
      <c r="I7022" t="s">
        <v>29976</v>
      </c>
      <c r="L7022" t="s">
        <v>29977</v>
      </c>
      <c r="M7022" t="s">
        <v>29978</v>
      </c>
      <c r="P7022" t="s">
        <v>1642</v>
      </c>
      <c r="Q7022" t="s">
        <v>29980</v>
      </c>
      <c r="R7022" t="s">
        <v>29981</v>
      </c>
      <c r="S7022" t="s">
        <v>29982</v>
      </c>
      <c r="T7022" t="s">
        <v>29983</v>
      </c>
      <c r="V7022" t="s">
        <v>29984</v>
      </c>
      <c r="Y7022" t="s">
        <v>29985</v>
      </c>
    </row>
    <row r="7023" spans="1:25" x14ac:dyDescent="0.25">
      <c r="A7023" t="str">
        <f>"51269754187"</f>
        <v>51269754187</v>
      </c>
      <c r="B7023" t="s">
        <v>18</v>
      </c>
      <c r="C7023" t="s">
        <v>29989</v>
      </c>
      <c r="D7023" t="s">
        <v>29986</v>
      </c>
      <c r="F7023" t="s">
        <v>1</v>
      </c>
      <c r="G7023" t="s">
        <v>2</v>
      </c>
      <c r="H7023" t="s">
        <v>29987</v>
      </c>
      <c r="I7023" t="s">
        <v>29988</v>
      </c>
      <c r="P7023" t="s">
        <v>605</v>
      </c>
      <c r="Y7023" t="s">
        <v>29990</v>
      </c>
    </row>
    <row r="7024" spans="1:25" x14ac:dyDescent="0.25">
      <c r="A7024" t="str">
        <f>"51280059468"</f>
        <v>51280059468</v>
      </c>
      <c r="B7024" t="s">
        <v>25</v>
      </c>
      <c r="C7024" t="s">
        <v>20320</v>
      </c>
      <c r="D7024" t="s">
        <v>29991</v>
      </c>
      <c r="E7024">
        <v>424020</v>
      </c>
      <c r="F7024" t="s">
        <v>1</v>
      </c>
      <c r="G7024" t="s">
        <v>2</v>
      </c>
      <c r="H7024" t="s">
        <v>29992</v>
      </c>
      <c r="Y7024" t="s">
        <v>29993</v>
      </c>
    </row>
    <row r="7025" spans="1:25" x14ac:dyDescent="0.25">
      <c r="A7025" t="str">
        <f>"51304719205"</f>
        <v>51304719205</v>
      </c>
      <c r="B7025" t="s">
        <v>25</v>
      </c>
      <c r="C7025" t="s">
        <v>24938</v>
      </c>
      <c r="D7025" t="s">
        <v>29994</v>
      </c>
      <c r="F7025" t="s">
        <v>1</v>
      </c>
      <c r="G7025" t="s">
        <v>2</v>
      </c>
      <c r="H7025" t="s">
        <v>24169</v>
      </c>
      <c r="I7025" t="s">
        <v>29995</v>
      </c>
      <c r="M7025" t="s">
        <v>29996</v>
      </c>
      <c r="Y7025" t="s">
        <v>29997</v>
      </c>
    </row>
    <row r="7026" spans="1:25" x14ac:dyDescent="0.25">
      <c r="A7026" t="str">
        <f>"51311255720"</f>
        <v>51311255720</v>
      </c>
      <c r="B7026" t="s">
        <v>530</v>
      </c>
      <c r="C7026" t="s">
        <v>23950</v>
      </c>
      <c r="D7026" t="s">
        <v>23950</v>
      </c>
      <c r="F7026" t="s">
        <v>1</v>
      </c>
      <c r="G7026" t="s">
        <v>2</v>
      </c>
      <c r="H7026" t="s">
        <v>25832</v>
      </c>
      <c r="Y7026" t="s">
        <v>29998</v>
      </c>
    </row>
    <row r="7027" spans="1:25" x14ac:dyDescent="0.25">
      <c r="A7027" t="str">
        <f>"51318532203"</f>
        <v>51318532203</v>
      </c>
      <c r="B7027" t="s">
        <v>151</v>
      </c>
      <c r="C7027" t="s">
        <v>151</v>
      </c>
      <c r="D7027" t="s">
        <v>29999</v>
      </c>
      <c r="E7027">
        <v>424002</v>
      </c>
      <c r="F7027" t="s">
        <v>1</v>
      </c>
      <c r="G7027" t="s">
        <v>2</v>
      </c>
      <c r="H7027" t="s">
        <v>57</v>
      </c>
      <c r="J7027" t="s">
        <v>30000</v>
      </c>
      <c r="P7027" t="s">
        <v>27</v>
      </c>
      <c r="Y7027" t="s">
        <v>3783</v>
      </c>
    </row>
    <row r="7028" spans="1:25" x14ac:dyDescent="0.25">
      <c r="A7028" t="str">
        <f>"51332078255"</f>
        <v>51332078255</v>
      </c>
      <c r="B7028" t="s">
        <v>530</v>
      </c>
      <c r="C7028" t="s">
        <v>23950</v>
      </c>
      <c r="D7028" t="s">
        <v>23950</v>
      </c>
      <c r="F7028" t="s">
        <v>1</v>
      </c>
      <c r="G7028" t="s">
        <v>2</v>
      </c>
      <c r="H7028" t="s">
        <v>27736</v>
      </c>
      <c r="Y7028" t="s">
        <v>30001</v>
      </c>
    </row>
    <row r="7029" spans="1:25" x14ac:dyDescent="0.25">
      <c r="A7029" t="str">
        <f>"51353207718"</f>
        <v>51353207718</v>
      </c>
      <c r="B7029" t="s">
        <v>284</v>
      </c>
      <c r="C7029" t="s">
        <v>711</v>
      </c>
      <c r="D7029" t="s">
        <v>30002</v>
      </c>
      <c r="E7029">
        <v>424003</v>
      </c>
      <c r="F7029" t="s">
        <v>1</v>
      </c>
      <c r="G7029" t="s">
        <v>2</v>
      </c>
      <c r="H7029" t="s">
        <v>30003</v>
      </c>
      <c r="J7029" t="s">
        <v>30004</v>
      </c>
      <c r="P7029" t="s">
        <v>330</v>
      </c>
      <c r="Y7029" t="s">
        <v>30005</v>
      </c>
    </row>
    <row r="7030" spans="1:25" x14ac:dyDescent="0.25">
      <c r="A7030" t="str">
        <f>"51366442690"</f>
        <v>51366442690</v>
      </c>
      <c r="B7030" t="s">
        <v>176</v>
      </c>
      <c r="C7030" t="s">
        <v>250</v>
      </c>
      <c r="D7030" t="s">
        <v>30006</v>
      </c>
      <c r="E7030">
        <v>424038</v>
      </c>
      <c r="F7030" t="s">
        <v>1</v>
      </c>
      <c r="G7030" t="s">
        <v>2</v>
      </c>
      <c r="H7030" t="s">
        <v>1366</v>
      </c>
      <c r="Y7030" t="s">
        <v>30007</v>
      </c>
    </row>
    <row r="7031" spans="1:25" x14ac:dyDescent="0.25">
      <c r="A7031" t="str">
        <f>"51387915175"</f>
        <v>51387915175</v>
      </c>
      <c r="B7031" t="s">
        <v>3008</v>
      </c>
      <c r="C7031" t="s">
        <v>15744</v>
      </c>
      <c r="D7031" t="s">
        <v>30008</v>
      </c>
      <c r="E7031">
        <v>424002</v>
      </c>
      <c r="F7031" t="s">
        <v>1</v>
      </c>
      <c r="G7031" t="s">
        <v>2</v>
      </c>
      <c r="H7031" t="s">
        <v>3877</v>
      </c>
      <c r="I7031" t="s">
        <v>30009</v>
      </c>
      <c r="P7031" t="s">
        <v>30010</v>
      </c>
      <c r="Y7031" t="s">
        <v>3881</v>
      </c>
    </row>
    <row r="7032" spans="1:25" x14ac:dyDescent="0.25">
      <c r="A7032" t="str">
        <f>"51420669702"</f>
        <v>51420669702</v>
      </c>
      <c r="B7032" t="s">
        <v>7</v>
      </c>
      <c r="C7032" t="s">
        <v>30012</v>
      </c>
      <c r="D7032" t="s">
        <v>30011</v>
      </c>
      <c r="E7032">
        <v>424038</v>
      </c>
      <c r="F7032" t="s">
        <v>1</v>
      </c>
      <c r="G7032" t="s">
        <v>2</v>
      </c>
      <c r="H7032" t="s">
        <v>1366</v>
      </c>
      <c r="Y7032" t="s">
        <v>30013</v>
      </c>
    </row>
    <row r="7033" spans="1:25" x14ac:dyDescent="0.25">
      <c r="A7033" t="str">
        <f>"51438254151"</f>
        <v>51438254151</v>
      </c>
      <c r="B7033" t="s">
        <v>640</v>
      </c>
      <c r="C7033" t="s">
        <v>663</v>
      </c>
      <c r="D7033" t="s">
        <v>30014</v>
      </c>
      <c r="E7033">
        <v>424007</v>
      </c>
      <c r="F7033" t="s">
        <v>1</v>
      </c>
      <c r="G7033" t="s">
        <v>2</v>
      </c>
      <c r="H7033" t="s">
        <v>5647</v>
      </c>
      <c r="I7033" t="s">
        <v>30015</v>
      </c>
      <c r="P7033" t="s">
        <v>8673</v>
      </c>
      <c r="Q7033" t="s">
        <v>30016</v>
      </c>
      <c r="Y7033" t="s">
        <v>30017</v>
      </c>
    </row>
    <row r="7034" spans="1:25" x14ac:dyDescent="0.25">
      <c r="A7034" t="str">
        <f>"51442286484"</f>
        <v>51442286484</v>
      </c>
      <c r="B7034" t="s">
        <v>32</v>
      </c>
      <c r="C7034" t="s">
        <v>182</v>
      </c>
      <c r="D7034" t="s">
        <v>30018</v>
      </c>
      <c r="E7034">
        <v>424007</v>
      </c>
      <c r="F7034" t="s">
        <v>1</v>
      </c>
      <c r="G7034" t="s">
        <v>2</v>
      </c>
      <c r="H7034" t="s">
        <v>15418</v>
      </c>
      <c r="Y7034" t="s">
        <v>30019</v>
      </c>
    </row>
    <row r="7035" spans="1:25" x14ac:dyDescent="0.25">
      <c r="A7035" t="str">
        <f>"51447826594"</f>
        <v>51447826594</v>
      </c>
      <c r="B7035" t="s">
        <v>188</v>
      </c>
      <c r="C7035" t="s">
        <v>24568</v>
      </c>
      <c r="D7035" t="s">
        <v>24568</v>
      </c>
      <c r="F7035" t="s">
        <v>1</v>
      </c>
      <c r="G7035" t="s">
        <v>2</v>
      </c>
      <c r="H7035" t="s">
        <v>30020</v>
      </c>
      <c r="Y7035" t="s">
        <v>30021</v>
      </c>
    </row>
    <row r="7036" spans="1:25" x14ac:dyDescent="0.25">
      <c r="A7036" t="str">
        <f>"51516742731"</f>
        <v>51516742731</v>
      </c>
      <c r="B7036" t="s">
        <v>151</v>
      </c>
      <c r="C7036" t="s">
        <v>151</v>
      </c>
      <c r="D7036" t="s">
        <v>30022</v>
      </c>
      <c r="E7036">
        <v>424008</v>
      </c>
      <c r="F7036" t="s">
        <v>1</v>
      </c>
      <c r="G7036" t="s">
        <v>2</v>
      </c>
      <c r="H7036" t="s">
        <v>17958</v>
      </c>
      <c r="Y7036" t="s">
        <v>30023</v>
      </c>
    </row>
    <row r="7037" spans="1:25" x14ac:dyDescent="0.25">
      <c r="A7037" t="str">
        <f>"51539286671"</f>
        <v>51539286671</v>
      </c>
      <c r="B7037" t="s">
        <v>290</v>
      </c>
      <c r="C7037" t="s">
        <v>290</v>
      </c>
      <c r="D7037" t="s">
        <v>21094</v>
      </c>
      <c r="E7037">
        <v>424008</v>
      </c>
      <c r="F7037" t="s">
        <v>1</v>
      </c>
      <c r="G7037" t="s">
        <v>2</v>
      </c>
      <c r="H7037" t="s">
        <v>30024</v>
      </c>
      <c r="P7037" t="s">
        <v>60</v>
      </c>
      <c r="Y7037" t="s">
        <v>30025</v>
      </c>
    </row>
    <row r="7038" spans="1:25" x14ac:dyDescent="0.25">
      <c r="A7038" t="str">
        <f>"51542732962"</f>
        <v>51542732962</v>
      </c>
      <c r="B7038" t="s">
        <v>290</v>
      </c>
      <c r="C7038" t="s">
        <v>290</v>
      </c>
      <c r="D7038" t="s">
        <v>30026</v>
      </c>
      <c r="E7038">
        <v>424004</v>
      </c>
      <c r="F7038" t="s">
        <v>1</v>
      </c>
      <c r="G7038" t="s">
        <v>2</v>
      </c>
      <c r="H7038" t="s">
        <v>20918</v>
      </c>
      <c r="I7038" t="s">
        <v>30027</v>
      </c>
      <c r="P7038" t="s">
        <v>1306</v>
      </c>
      <c r="Y7038" t="s">
        <v>20921</v>
      </c>
    </row>
    <row r="7039" spans="1:25" x14ac:dyDescent="0.25">
      <c r="A7039" t="str">
        <f>"51561619121"</f>
        <v>51561619121</v>
      </c>
      <c r="B7039" t="s">
        <v>1544</v>
      </c>
      <c r="C7039" t="s">
        <v>30029</v>
      </c>
      <c r="D7039" t="s">
        <v>30028</v>
      </c>
      <c r="E7039">
        <v>424037</v>
      </c>
      <c r="F7039" t="s">
        <v>1</v>
      </c>
      <c r="G7039" t="s">
        <v>2</v>
      </c>
      <c r="H7039" t="s">
        <v>12646</v>
      </c>
      <c r="P7039" t="s">
        <v>3799</v>
      </c>
      <c r="Y7039" t="s">
        <v>30030</v>
      </c>
    </row>
    <row r="7040" spans="1:25" x14ac:dyDescent="0.25">
      <c r="A7040" t="str">
        <f>"51601971238"</f>
        <v>51601971238</v>
      </c>
      <c r="B7040" t="s">
        <v>574</v>
      </c>
      <c r="C7040" t="s">
        <v>646</v>
      </c>
      <c r="D7040" t="s">
        <v>4221</v>
      </c>
      <c r="F7040" t="s">
        <v>1</v>
      </c>
      <c r="G7040" t="s">
        <v>2</v>
      </c>
      <c r="H7040" t="s">
        <v>30031</v>
      </c>
      <c r="Y7040" t="s">
        <v>30032</v>
      </c>
    </row>
    <row r="7041" spans="1:25" x14ac:dyDescent="0.25">
      <c r="A7041" t="str">
        <f>"51606085338"</f>
        <v>51606085338</v>
      </c>
      <c r="B7041" t="s">
        <v>430</v>
      </c>
      <c r="C7041" t="s">
        <v>940</v>
      </c>
      <c r="D7041" t="s">
        <v>30033</v>
      </c>
      <c r="F7041" t="s">
        <v>1</v>
      </c>
      <c r="G7041" t="s">
        <v>2</v>
      </c>
      <c r="H7041" t="s">
        <v>25448</v>
      </c>
      <c r="J7041" t="s">
        <v>30034</v>
      </c>
      <c r="L7041" t="s">
        <v>30035</v>
      </c>
      <c r="P7041" t="s">
        <v>330</v>
      </c>
      <c r="Y7041" t="s">
        <v>30036</v>
      </c>
    </row>
    <row r="7042" spans="1:25" x14ac:dyDescent="0.25">
      <c r="A7042" t="str">
        <f>"51633590121"</f>
        <v>51633590121</v>
      </c>
      <c r="B7042" t="s">
        <v>18</v>
      </c>
      <c r="C7042" t="s">
        <v>4522</v>
      </c>
      <c r="D7042" t="s">
        <v>30037</v>
      </c>
      <c r="F7042" t="s">
        <v>1</v>
      </c>
      <c r="G7042" t="s">
        <v>2</v>
      </c>
      <c r="H7042" t="s">
        <v>4446</v>
      </c>
      <c r="I7042" t="s">
        <v>30038</v>
      </c>
      <c r="P7042" t="s">
        <v>3010</v>
      </c>
      <c r="Y7042" t="s">
        <v>30039</v>
      </c>
    </row>
    <row r="7043" spans="1:25" x14ac:dyDescent="0.25">
      <c r="A7043" t="str">
        <f>"51661729422"</f>
        <v>51661729422</v>
      </c>
      <c r="B7043" t="s">
        <v>1352</v>
      </c>
      <c r="C7043" t="s">
        <v>2093</v>
      </c>
      <c r="D7043" t="s">
        <v>6723</v>
      </c>
      <c r="E7043">
        <v>424028</v>
      </c>
      <c r="F7043" t="s">
        <v>1</v>
      </c>
      <c r="G7043" t="s">
        <v>2</v>
      </c>
      <c r="H7043" t="s">
        <v>21920</v>
      </c>
      <c r="Y7043" t="s">
        <v>30040</v>
      </c>
    </row>
    <row r="7044" spans="1:25" x14ac:dyDescent="0.25">
      <c r="A7044" t="str">
        <f>"51690465961"</f>
        <v>51690465961</v>
      </c>
      <c r="B7044" t="s">
        <v>738</v>
      </c>
      <c r="C7044" t="s">
        <v>739</v>
      </c>
      <c r="D7044" t="s">
        <v>2578</v>
      </c>
      <c r="E7044">
        <v>424006</v>
      </c>
      <c r="F7044" t="s">
        <v>1</v>
      </c>
      <c r="G7044" t="s">
        <v>2</v>
      </c>
      <c r="H7044" t="s">
        <v>30041</v>
      </c>
      <c r="Y7044" t="s">
        <v>30042</v>
      </c>
    </row>
    <row r="7045" spans="1:25" x14ac:dyDescent="0.25">
      <c r="A7045" t="str">
        <f>"51727048936"</f>
        <v>51727048936</v>
      </c>
      <c r="B7045" t="s">
        <v>117</v>
      </c>
      <c r="C7045" t="s">
        <v>873</v>
      </c>
      <c r="D7045" t="s">
        <v>873</v>
      </c>
      <c r="F7045" t="s">
        <v>1</v>
      </c>
      <c r="G7045" t="s">
        <v>2</v>
      </c>
      <c r="H7045" t="s">
        <v>21000</v>
      </c>
      <c r="Y7045" t="s">
        <v>30043</v>
      </c>
    </row>
    <row r="7046" spans="1:25" x14ac:dyDescent="0.25">
      <c r="A7046" t="str">
        <f>"51781021513"</f>
        <v>51781021513</v>
      </c>
      <c r="B7046" t="s">
        <v>574</v>
      </c>
      <c r="C7046" t="s">
        <v>646</v>
      </c>
      <c r="D7046" t="s">
        <v>16897</v>
      </c>
      <c r="E7046">
        <v>424031</v>
      </c>
      <c r="F7046" t="s">
        <v>1</v>
      </c>
      <c r="G7046" t="s">
        <v>2</v>
      </c>
      <c r="H7046" t="s">
        <v>30044</v>
      </c>
      <c r="Y7046" t="s">
        <v>30045</v>
      </c>
    </row>
    <row r="7047" spans="1:25" x14ac:dyDescent="0.25">
      <c r="A7047" t="str">
        <f>"51814729139"</f>
        <v>51814729139</v>
      </c>
      <c r="B7047" t="s">
        <v>151</v>
      </c>
      <c r="C7047" t="s">
        <v>1034</v>
      </c>
      <c r="D7047" t="s">
        <v>30046</v>
      </c>
      <c r="E7047">
        <v>424002</v>
      </c>
      <c r="F7047" t="s">
        <v>1</v>
      </c>
      <c r="G7047" t="s">
        <v>2</v>
      </c>
      <c r="H7047" t="s">
        <v>2338</v>
      </c>
      <c r="Y7047" t="s">
        <v>2954</v>
      </c>
    </row>
    <row r="7048" spans="1:25" x14ac:dyDescent="0.25">
      <c r="A7048" t="str">
        <f>"51861724936"</f>
        <v>51861724936</v>
      </c>
      <c r="B7048" t="s">
        <v>3908</v>
      </c>
      <c r="C7048" t="s">
        <v>30052</v>
      </c>
      <c r="D7048" t="s">
        <v>30047</v>
      </c>
      <c r="E7048">
        <v>424000</v>
      </c>
      <c r="F7048" t="s">
        <v>1</v>
      </c>
      <c r="G7048" t="s">
        <v>2</v>
      </c>
      <c r="H7048" t="s">
        <v>21667</v>
      </c>
      <c r="I7048" t="s">
        <v>30048</v>
      </c>
      <c r="K7048" t="s">
        <v>30049</v>
      </c>
      <c r="L7048" t="s">
        <v>30050</v>
      </c>
      <c r="M7048" t="s">
        <v>30051</v>
      </c>
      <c r="P7048" t="s">
        <v>30053</v>
      </c>
      <c r="Y7048" t="s">
        <v>30054</v>
      </c>
    </row>
    <row r="7049" spans="1:25" x14ac:dyDescent="0.25">
      <c r="A7049" t="str">
        <f>"51897298419"</f>
        <v>51897298419</v>
      </c>
      <c r="B7049" t="s">
        <v>290</v>
      </c>
      <c r="C7049" t="s">
        <v>290</v>
      </c>
      <c r="D7049" t="s">
        <v>30055</v>
      </c>
      <c r="E7049">
        <v>424030</v>
      </c>
      <c r="F7049" t="s">
        <v>1</v>
      </c>
      <c r="G7049" t="s">
        <v>2</v>
      </c>
      <c r="H7049" t="s">
        <v>30056</v>
      </c>
      <c r="I7049" t="s">
        <v>30057</v>
      </c>
      <c r="P7049" t="s">
        <v>144</v>
      </c>
      <c r="Y7049" t="s">
        <v>30058</v>
      </c>
    </row>
    <row r="7050" spans="1:25" x14ac:dyDescent="0.25">
      <c r="A7050" t="str">
        <f>"51898765578"</f>
        <v>51898765578</v>
      </c>
      <c r="B7050" t="s">
        <v>1053</v>
      </c>
      <c r="C7050" t="s">
        <v>1927</v>
      </c>
      <c r="D7050" t="s">
        <v>30059</v>
      </c>
      <c r="E7050">
        <v>424002</v>
      </c>
      <c r="F7050" t="s">
        <v>1</v>
      </c>
      <c r="G7050" t="s">
        <v>2</v>
      </c>
      <c r="H7050" t="s">
        <v>2338</v>
      </c>
      <c r="Y7050" t="s">
        <v>2954</v>
      </c>
    </row>
    <row r="7051" spans="1:25" x14ac:dyDescent="0.25">
      <c r="A7051" t="str">
        <f>"51923608181"</f>
        <v>51923608181</v>
      </c>
      <c r="B7051" t="s">
        <v>176</v>
      </c>
      <c r="C7051" t="s">
        <v>279</v>
      </c>
      <c r="D7051" t="s">
        <v>30060</v>
      </c>
      <c r="E7051">
        <v>424007</v>
      </c>
      <c r="F7051" t="s">
        <v>1</v>
      </c>
      <c r="G7051" t="s">
        <v>2</v>
      </c>
      <c r="H7051" t="s">
        <v>1918</v>
      </c>
      <c r="Y7051" t="s">
        <v>30061</v>
      </c>
    </row>
    <row r="7052" spans="1:25" x14ac:dyDescent="0.25">
      <c r="A7052" t="str">
        <f>"51937887007"</f>
        <v>51937887007</v>
      </c>
      <c r="B7052" t="s">
        <v>1544</v>
      </c>
      <c r="C7052" t="s">
        <v>30062</v>
      </c>
      <c r="D7052" t="s">
        <v>2733</v>
      </c>
      <c r="E7052">
        <v>424005</v>
      </c>
      <c r="F7052" t="s">
        <v>1</v>
      </c>
      <c r="G7052" t="s">
        <v>2</v>
      </c>
      <c r="H7052" t="s">
        <v>1148</v>
      </c>
      <c r="P7052" t="s">
        <v>3734</v>
      </c>
      <c r="Y7052" t="s">
        <v>30063</v>
      </c>
    </row>
    <row r="7053" spans="1:25" x14ac:dyDescent="0.25">
      <c r="A7053" t="str">
        <f>"51942921550"</f>
        <v>51942921550</v>
      </c>
      <c r="B7053" t="s">
        <v>738</v>
      </c>
      <c r="C7053" t="s">
        <v>30068</v>
      </c>
      <c r="D7053" t="s">
        <v>30064</v>
      </c>
      <c r="E7053">
        <v>424040</v>
      </c>
      <c r="F7053" t="s">
        <v>1</v>
      </c>
      <c r="G7053" t="s">
        <v>2</v>
      </c>
      <c r="H7053" t="s">
        <v>20151</v>
      </c>
      <c r="J7053" t="s">
        <v>30065</v>
      </c>
      <c r="L7053" t="s">
        <v>30066</v>
      </c>
      <c r="M7053" t="s">
        <v>30067</v>
      </c>
      <c r="P7053" t="s">
        <v>280</v>
      </c>
      <c r="Q7053" t="s">
        <v>30069</v>
      </c>
      <c r="T7053" t="s">
        <v>30070</v>
      </c>
      <c r="V7053" t="s">
        <v>30071</v>
      </c>
      <c r="Y7053" t="s">
        <v>20152</v>
      </c>
    </row>
    <row r="7054" spans="1:25" x14ac:dyDescent="0.25">
      <c r="A7054" t="str">
        <f>"51987784485"</f>
        <v>51987784485</v>
      </c>
      <c r="B7054" t="s">
        <v>26977</v>
      </c>
      <c r="C7054" t="s">
        <v>26978</v>
      </c>
      <c r="D7054" t="s">
        <v>30072</v>
      </c>
      <c r="E7054">
        <v>424037</v>
      </c>
      <c r="F7054" t="s">
        <v>1</v>
      </c>
      <c r="G7054" t="s">
        <v>2</v>
      </c>
      <c r="H7054" t="s">
        <v>30073</v>
      </c>
      <c r="L7054" t="s">
        <v>26975</v>
      </c>
      <c r="M7054" t="s">
        <v>26976</v>
      </c>
      <c r="P7054" t="s">
        <v>330</v>
      </c>
      <c r="Y7054" t="s">
        <v>30074</v>
      </c>
    </row>
    <row r="7055" spans="1:25" x14ac:dyDescent="0.25">
      <c r="A7055" t="str">
        <f>"51993207386"</f>
        <v>51993207386</v>
      </c>
      <c r="B7055" t="s">
        <v>32</v>
      </c>
      <c r="C7055" t="s">
        <v>40</v>
      </c>
      <c r="D7055" t="s">
        <v>30075</v>
      </c>
      <c r="E7055">
        <v>424000</v>
      </c>
      <c r="F7055" t="s">
        <v>1</v>
      </c>
      <c r="G7055" t="s">
        <v>2</v>
      </c>
      <c r="H7055" t="s">
        <v>30076</v>
      </c>
      <c r="Y7055" t="s">
        <v>30077</v>
      </c>
    </row>
    <row r="7056" spans="1:25" x14ac:dyDescent="0.25">
      <c r="A7056" t="str">
        <f>"51997512102"</f>
        <v>51997512102</v>
      </c>
      <c r="B7056" t="s">
        <v>48</v>
      </c>
      <c r="C7056" t="s">
        <v>30080</v>
      </c>
      <c r="D7056" t="s">
        <v>30078</v>
      </c>
      <c r="E7056">
        <v>424036</v>
      </c>
      <c r="F7056" t="s">
        <v>1</v>
      </c>
      <c r="G7056" t="s">
        <v>2</v>
      </c>
      <c r="H7056" t="s">
        <v>13132</v>
      </c>
      <c r="I7056" t="s">
        <v>30079</v>
      </c>
      <c r="P7056" t="s">
        <v>10296</v>
      </c>
      <c r="Q7056" t="s">
        <v>30081</v>
      </c>
      <c r="Y7056" t="s">
        <v>30082</v>
      </c>
    </row>
    <row r="7057" spans="1:25" x14ac:dyDescent="0.25">
      <c r="A7057" t="str">
        <f>"51997862990"</f>
        <v>51997862990</v>
      </c>
      <c r="B7057" t="s">
        <v>151</v>
      </c>
      <c r="C7057" t="s">
        <v>151</v>
      </c>
      <c r="D7057" t="s">
        <v>30083</v>
      </c>
      <c r="E7057">
        <v>424002</v>
      </c>
      <c r="F7057" t="s">
        <v>1</v>
      </c>
      <c r="G7057" t="s">
        <v>2</v>
      </c>
      <c r="H7057" t="s">
        <v>22908</v>
      </c>
      <c r="I7057" t="s">
        <v>30084</v>
      </c>
      <c r="J7057" t="s">
        <v>30085</v>
      </c>
      <c r="L7057" t="s">
        <v>30086</v>
      </c>
      <c r="M7057" t="s">
        <v>30087</v>
      </c>
      <c r="P7057" t="s">
        <v>1027</v>
      </c>
      <c r="Q7057" t="s">
        <v>30088</v>
      </c>
      <c r="Y7057" t="s">
        <v>29253</v>
      </c>
    </row>
    <row r="7058" spans="1:25" x14ac:dyDescent="0.25">
      <c r="A7058" t="str">
        <f>"52060240597"</f>
        <v>52060240597</v>
      </c>
      <c r="B7058" t="s">
        <v>18</v>
      </c>
      <c r="C7058" t="s">
        <v>4522</v>
      </c>
      <c r="D7058" t="s">
        <v>30089</v>
      </c>
      <c r="E7058">
        <v>424037</v>
      </c>
      <c r="F7058" t="s">
        <v>1</v>
      </c>
      <c r="G7058" t="s">
        <v>2</v>
      </c>
      <c r="H7058" t="s">
        <v>13232</v>
      </c>
      <c r="I7058" t="s">
        <v>30090</v>
      </c>
      <c r="Y7058" t="s">
        <v>13235</v>
      </c>
    </row>
    <row r="7059" spans="1:25" x14ac:dyDescent="0.25">
      <c r="A7059" t="str">
        <f>"52061695787"</f>
        <v>52061695787</v>
      </c>
      <c r="B7059" t="s">
        <v>290</v>
      </c>
      <c r="C7059" t="s">
        <v>11114</v>
      </c>
      <c r="D7059" t="s">
        <v>30091</v>
      </c>
      <c r="E7059">
        <v>424918</v>
      </c>
      <c r="F7059" t="s">
        <v>1</v>
      </c>
      <c r="G7059" t="s">
        <v>2</v>
      </c>
      <c r="H7059" t="s">
        <v>629</v>
      </c>
      <c r="P7059" t="s">
        <v>630</v>
      </c>
      <c r="Y7059" t="s">
        <v>30092</v>
      </c>
    </row>
    <row r="7060" spans="1:25" x14ac:dyDescent="0.25">
      <c r="A7060" t="str">
        <f>"52062175103"</f>
        <v>52062175103</v>
      </c>
      <c r="B7060" t="s">
        <v>2601</v>
      </c>
      <c r="C7060" t="s">
        <v>24678</v>
      </c>
      <c r="D7060" t="s">
        <v>30093</v>
      </c>
      <c r="E7060">
        <v>424005</v>
      </c>
      <c r="F7060" t="s">
        <v>1</v>
      </c>
      <c r="G7060" t="s">
        <v>2</v>
      </c>
      <c r="H7060" t="s">
        <v>7480</v>
      </c>
      <c r="Y7060" t="s">
        <v>30094</v>
      </c>
    </row>
    <row r="7061" spans="1:25" x14ac:dyDescent="0.25">
      <c r="A7061" t="str">
        <f>"52095205370"</f>
        <v>52095205370</v>
      </c>
      <c r="B7061" t="s">
        <v>117</v>
      </c>
      <c r="C7061" t="s">
        <v>873</v>
      </c>
      <c r="D7061" t="s">
        <v>873</v>
      </c>
      <c r="E7061">
        <v>424033</v>
      </c>
      <c r="F7061" t="s">
        <v>1</v>
      </c>
      <c r="G7061" t="s">
        <v>2</v>
      </c>
      <c r="H7061" t="s">
        <v>16208</v>
      </c>
      <c r="Y7061" t="s">
        <v>30095</v>
      </c>
    </row>
    <row r="7062" spans="1:25" x14ac:dyDescent="0.25">
      <c r="A7062" t="str">
        <f>"52135543042"</f>
        <v>52135543042</v>
      </c>
      <c r="B7062" t="s">
        <v>1343</v>
      </c>
      <c r="C7062" t="s">
        <v>30098</v>
      </c>
      <c r="D7062" t="s">
        <v>30096</v>
      </c>
      <c r="E7062">
        <v>424033</v>
      </c>
      <c r="F7062" t="s">
        <v>1</v>
      </c>
      <c r="G7062" t="s">
        <v>2</v>
      </c>
      <c r="H7062" t="s">
        <v>10720</v>
      </c>
      <c r="J7062" t="s">
        <v>30097</v>
      </c>
      <c r="P7062" t="s">
        <v>216</v>
      </c>
      <c r="Y7062" t="s">
        <v>30099</v>
      </c>
    </row>
    <row r="7063" spans="1:25" x14ac:dyDescent="0.25">
      <c r="A7063" t="str">
        <f>"52145247949"</f>
        <v>52145247949</v>
      </c>
      <c r="B7063" t="s">
        <v>640</v>
      </c>
      <c r="C7063" t="s">
        <v>663</v>
      </c>
      <c r="D7063" t="s">
        <v>30100</v>
      </c>
      <c r="E7063">
        <v>424002</v>
      </c>
      <c r="F7063" t="s">
        <v>1</v>
      </c>
      <c r="G7063" t="s">
        <v>2</v>
      </c>
      <c r="H7063" t="s">
        <v>10546</v>
      </c>
      <c r="J7063" t="s">
        <v>30101</v>
      </c>
      <c r="Q7063" t="s">
        <v>30102</v>
      </c>
      <c r="Y7063" t="s">
        <v>23665</v>
      </c>
    </row>
    <row r="7064" spans="1:25" x14ac:dyDescent="0.25">
      <c r="A7064" t="str">
        <f>"52162902282"</f>
        <v>52162902282</v>
      </c>
      <c r="B7064" t="s">
        <v>1152</v>
      </c>
      <c r="C7064" t="s">
        <v>1153</v>
      </c>
      <c r="D7064" t="s">
        <v>10280</v>
      </c>
      <c r="E7064">
        <v>424019</v>
      </c>
      <c r="F7064" t="s">
        <v>1</v>
      </c>
      <c r="G7064" t="s">
        <v>2</v>
      </c>
      <c r="H7064" t="s">
        <v>11012</v>
      </c>
      <c r="I7064" t="s">
        <v>22092</v>
      </c>
      <c r="M7064" t="s">
        <v>10284</v>
      </c>
      <c r="Q7064" t="s">
        <v>10286</v>
      </c>
      <c r="R7064" t="s">
        <v>10287</v>
      </c>
      <c r="S7064" t="s">
        <v>10288</v>
      </c>
      <c r="T7064" t="s">
        <v>10289</v>
      </c>
      <c r="U7064" t="s">
        <v>10290</v>
      </c>
      <c r="V7064" t="s">
        <v>10291</v>
      </c>
      <c r="Y7064" t="s">
        <v>11016</v>
      </c>
    </row>
    <row r="7065" spans="1:25" x14ac:dyDescent="0.25">
      <c r="A7065" t="str">
        <f>"52164077488"</f>
        <v>52164077488</v>
      </c>
      <c r="B7065" t="s">
        <v>482</v>
      </c>
      <c r="C7065" t="s">
        <v>483</v>
      </c>
      <c r="D7065" t="s">
        <v>30103</v>
      </c>
      <c r="E7065">
        <v>424000</v>
      </c>
      <c r="F7065" t="s">
        <v>1</v>
      </c>
      <c r="G7065" t="s">
        <v>2</v>
      </c>
      <c r="H7065" t="s">
        <v>25899</v>
      </c>
      <c r="I7065" t="s">
        <v>30104</v>
      </c>
      <c r="M7065" t="s">
        <v>30105</v>
      </c>
      <c r="Y7065" t="s">
        <v>30106</v>
      </c>
    </row>
    <row r="7066" spans="1:25" x14ac:dyDescent="0.25">
      <c r="A7066" t="str">
        <f>"52181941572"</f>
        <v>52181941572</v>
      </c>
      <c r="B7066" t="s">
        <v>738</v>
      </c>
      <c r="C7066" t="s">
        <v>10857</v>
      </c>
      <c r="D7066" t="s">
        <v>30107</v>
      </c>
      <c r="E7066">
        <v>424033</v>
      </c>
      <c r="F7066" t="s">
        <v>1</v>
      </c>
      <c r="G7066" t="s">
        <v>2</v>
      </c>
      <c r="H7066" t="s">
        <v>5916</v>
      </c>
      <c r="I7066" t="s">
        <v>30108</v>
      </c>
      <c r="L7066" t="s">
        <v>30109</v>
      </c>
      <c r="M7066" t="s">
        <v>30110</v>
      </c>
      <c r="P7066" t="s">
        <v>330</v>
      </c>
      <c r="Q7066" t="s">
        <v>30111</v>
      </c>
      <c r="Y7066" t="s">
        <v>5918</v>
      </c>
    </row>
    <row r="7067" spans="1:25" x14ac:dyDescent="0.25">
      <c r="A7067" t="str">
        <f>"52182100000"</f>
        <v>52182100000</v>
      </c>
      <c r="B7067" t="s">
        <v>591</v>
      </c>
      <c r="C7067" t="s">
        <v>1904</v>
      </c>
      <c r="D7067" t="s">
        <v>30112</v>
      </c>
      <c r="F7067" t="s">
        <v>1</v>
      </c>
      <c r="G7067" t="s">
        <v>2</v>
      </c>
      <c r="H7067" t="s">
        <v>19770</v>
      </c>
      <c r="I7067" t="s">
        <v>30113</v>
      </c>
      <c r="P7067" t="s">
        <v>216</v>
      </c>
      <c r="Y7067" t="s">
        <v>30114</v>
      </c>
    </row>
    <row r="7068" spans="1:25" x14ac:dyDescent="0.25">
      <c r="A7068" t="str">
        <f>"52194832402"</f>
        <v>52194832402</v>
      </c>
      <c r="B7068" t="s">
        <v>930</v>
      </c>
      <c r="C7068" t="s">
        <v>1096</v>
      </c>
      <c r="D7068" t="s">
        <v>30115</v>
      </c>
      <c r="E7068">
        <v>424006</v>
      </c>
      <c r="F7068" t="s">
        <v>1</v>
      </c>
      <c r="G7068" t="s">
        <v>2</v>
      </c>
      <c r="H7068" t="s">
        <v>2185</v>
      </c>
      <c r="Y7068" t="s">
        <v>2191</v>
      </c>
    </row>
    <row r="7069" spans="1:25" x14ac:dyDescent="0.25">
      <c r="A7069" t="str">
        <f>"52264218912"</f>
        <v>52264218912</v>
      </c>
      <c r="B7069" t="s">
        <v>379</v>
      </c>
      <c r="C7069" t="s">
        <v>25366</v>
      </c>
      <c r="D7069" t="s">
        <v>30116</v>
      </c>
      <c r="E7069">
        <v>424020</v>
      </c>
      <c r="F7069" t="s">
        <v>1</v>
      </c>
      <c r="G7069" t="s">
        <v>2</v>
      </c>
      <c r="H7069" t="s">
        <v>19901</v>
      </c>
      <c r="I7069" t="s">
        <v>30117</v>
      </c>
      <c r="J7069" t="s">
        <v>30118</v>
      </c>
      <c r="L7069" t="s">
        <v>30119</v>
      </c>
      <c r="M7069" t="s">
        <v>30120</v>
      </c>
      <c r="P7069" t="s">
        <v>330</v>
      </c>
      <c r="Q7069" t="s">
        <v>30121</v>
      </c>
      <c r="Y7069" t="s">
        <v>30122</v>
      </c>
    </row>
    <row r="7070" spans="1:25" x14ac:dyDescent="0.25">
      <c r="A7070" t="str">
        <f>"52291972590"</f>
        <v>52291972590</v>
      </c>
      <c r="B7070" t="s">
        <v>687</v>
      </c>
      <c r="C7070" t="s">
        <v>7047</v>
      </c>
      <c r="D7070" t="s">
        <v>30123</v>
      </c>
      <c r="E7070">
        <v>424006</v>
      </c>
      <c r="F7070" t="s">
        <v>1</v>
      </c>
      <c r="G7070" t="s">
        <v>2</v>
      </c>
      <c r="H7070" t="s">
        <v>6133</v>
      </c>
      <c r="I7070" t="s">
        <v>30124</v>
      </c>
      <c r="L7070" t="s">
        <v>30125</v>
      </c>
      <c r="M7070" t="s">
        <v>30126</v>
      </c>
      <c r="P7070" t="s">
        <v>27</v>
      </c>
      <c r="V7070" t="s">
        <v>30127</v>
      </c>
      <c r="Y7070" t="s">
        <v>30128</v>
      </c>
    </row>
    <row r="7071" spans="1:25" x14ac:dyDescent="0.25">
      <c r="A7071" t="str">
        <f>"52354317080"</f>
        <v>52354317080</v>
      </c>
      <c r="B7071" t="s">
        <v>574</v>
      </c>
      <c r="C7071" t="s">
        <v>646</v>
      </c>
      <c r="D7071" t="s">
        <v>27408</v>
      </c>
      <c r="F7071" t="s">
        <v>1</v>
      </c>
      <c r="G7071" t="s">
        <v>2</v>
      </c>
      <c r="H7071" t="s">
        <v>27499</v>
      </c>
      <c r="Y7071" t="s">
        <v>30129</v>
      </c>
    </row>
    <row r="7072" spans="1:25" x14ac:dyDescent="0.25">
      <c r="A7072" t="str">
        <f>"52365724914"</f>
        <v>52365724914</v>
      </c>
      <c r="B7072" t="s">
        <v>123</v>
      </c>
      <c r="C7072" t="s">
        <v>18438</v>
      </c>
      <c r="D7072" t="s">
        <v>30130</v>
      </c>
      <c r="E7072">
        <v>424028</v>
      </c>
      <c r="F7072" t="s">
        <v>1</v>
      </c>
      <c r="G7072" t="s">
        <v>2</v>
      </c>
      <c r="H7072" t="s">
        <v>3628</v>
      </c>
      <c r="I7072" t="s">
        <v>30131</v>
      </c>
      <c r="J7072" t="s">
        <v>30132</v>
      </c>
      <c r="L7072" t="s">
        <v>30133</v>
      </c>
      <c r="P7072" t="s">
        <v>30134</v>
      </c>
      <c r="Q7072" t="s">
        <v>30135</v>
      </c>
      <c r="Y7072" t="s">
        <v>30136</v>
      </c>
    </row>
    <row r="7073" spans="1:25" x14ac:dyDescent="0.25">
      <c r="A7073" t="str">
        <f>"52369075454"</f>
        <v>52369075454</v>
      </c>
      <c r="B7073" t="s">
        <v>1573</v>
      </c>
      <c r="C7073" t="s">
        <v>1817</v>
      </c>
      <c r="D7073" t="s">
        <v>24505</v>
      </c>
      <c r="F7073" t="s">
        <v>1</v>
      </c>
      <c r="G7073" t="s">
        <v>2</v>
      </c>
      <c r="H7073" t="s">
        <v>25588</v>
      </c>
      <c r="Y7073" t="s">
        <v>30137</v>
      </c>
    </row>
    <row r="7074" spans="1:25" x14ac:dyDescent="0.25">
      <c r="A7074" t="str">
        <f>"52451125993"</f>
        <v>52451125993</v>
      </c>
      <c r="B7074" t="s">
        <v>930</v>
      </c>
      <c r="C7074" t="s">
        <v>10263</v>
      </c>
      <c r="D7074" t="s">
        <v>10263</v>
      </c>
      <c r="F7074" t="s">
        <v>1</v>
      </c>
      <c r="G7074" t="s">
        <v>2</v>
      </c>
      <c r="H7074" t="s">
        <v>30138</v>
      </c>
      <c r="Y7074" t="s">
        <v>30139</v>
      </c>
    </row>
    <row r="7075" spans="1:25" x14ac:dyDescent="0.25">
      <c r="A7075" t="str">
        <f>"52459626503"</f>
        <v>52459626503</v>
      </c>
      <c r="B7075" t="s">
        <v>188</v>
      </c>
      <c r="C7075" t="s">
        <v>24568</v>
      </c>
      <c r="D7075" t="s">
        <v>24568</v>
      </c>
      <c r="E7075">
        <v>424019</v>
      </c>
      <c r="F7075" t="s">
        <v>1</v>
      </c>
      <c r="G7075" t="s">
        <v>2</v>
      </c>
      <c r="H7075" t="s">
        <v>22572</v>
      </c>
      <c r="Y7075" t="s">
        <v>30140</v>
      </c>
    </row>
    <row r="7076" spans="1:25" x14ac:dyDescent="0.25">
      <c r="A7076" t="str">
        <f>"52467984943"</f>
        <v>52467984943</v>
      </c>
      <c r="B7076" t="s">
        <v>18</v>
      </c>
      <c r="C7076" t="s">
        <v>14801</v>
      </c>
      <c r="D7076" t="s">
        <v>5269</v>
      </c>
      <c r="E7076">
        <v>424032</v>
      </c>
      <c r="F7076" t="s">
        <v>1</v>
      </c>
      <c r="G7076" t="s">
        <v>2</v>
      </c>
      <c r="H7076" t="s">
        <v>5699</v>
      </c>
      <c r="I7076" t="s">
        <v>30141</v>
      </c>
      <c r="L7076" t="s">
        <v>30142</v>
      </c>
      <c r="M7076" t="s">
        <v>30143</v>
      </c>
      <c r="P7076" t="s">
        <v>1039</v>
      </c>
      <c r="Q7076" t="s">
        <v>30144</v>
      </c>
      <c r="T7076" t="s">
        <v>30145</v>
      </c>
      <c r="U7076" t="s">
        <v>30146</v>
      </c>
      <c r="V7076" t="s">
        <v>30147</v>
      </c>
      <c r="Y7076" t="s">
        <v>5709</v>
      </c>
    </row>
    <row r="7077" spans="1:25" x14ac:dyDescent="0.25">
      <c r="A7077" t="str">
        <f>"52481177869"</f>
        <v>52481177869</v>
      </c>
      <c r="B7077" t="s">
        <v>32</v>
      </c>
      <c r="C7077" t="s">
        <v>5809</v>
      </c>
      <c r="D7077" t="s">
        <v>30148</v>
      </c>
      <c r="E7077">
        <v>424005</v>
      </c>
      <c r="F7077" t="s">
        <v>1</v>
      </c>
      <c r="G7077" t="s">
        <v>2</v>
      </c>
      <c r="H7077" t="s">
        <v>20684</v>
      </c>
      <c r="I7077" t="s">
        <v>30149</v>
      </c>
      <c r="P7077" t="s">
        <v>30150</v>
      </c>
      <c r="Y7077" t="s">
        <v>30151</v>
      </c>
    </row>
    <row r="7078" spans="1:25" x14ac:dyDescent="0.25">
      <c r="A7078" t="str">
        <f>"52549047267"</f>
        <v>52549047267</v>
      </c>
      <c r="B7078" t="s">
        <v>96</v>
      </c>
      <c r="C7078" t="s">
        <v>893</v>
      </c>
      <c r="D7078" t="s">
        <v>30152</v>
      </c>
      <c r="E7078">
        <v>424038</v>
      </c>
      <c r="F7078" t="s">
        <v>1</v>
      </c>
      <c r="G7078" t="s">
        <v>2</v>
      </c>
      <c r="H7078" t="s">
        <v>2614</v>
      </c>
      <c r="Y7078" t="s">
        <v>2617</v>
      </c>
    </row>
    <row r="7079" spans="1:25" x14ac:dyDescent="0.25">
      <c r="A7079" t="str">
        <f>"52558263116"</f>
        <v>52558263116</v>
      </c>
      <c r="B7079" t="s">
        <v>1611</v>
      </c>
      <c r="C7079" t="s">
        <v>2214</v>
      </c>
      <c r="D7079" t="s">
        <v>30153</v>
      </c>
      <c r="E7079">
        <v>424000</v>
      </c>
      <c r="F7079" t="s">
        <v>1</v>
      </c>
      <c r="G7079" t="s">
        <v>2</v>
      </c>
      <c r="H7079" t="s">
        <v>30154</v>
      </c>
      <c r="P7079" t="s">
        <v>30155</v>
      </c>
      <c r="Y7079" t="s">
        <v>30156</v>
      </c>
    </row>
    <row r="7080" spans="1:25" x14ac:dyDescent="0.25">
      <c r="A7080" t="str">
        <f>"52614851026"</f>
        <v>52614851026</v>
      </c>
      <c r="B7080" t="s">
        <v>930</v>
      </c>
      <c r="C7080" t="s">
        <v>28791</v>
      </c>
      <c r="D7080" t="s">
        <v>30157</v>
      </c>
      <c r="E7080">
        <v>424006</v>
      </c>
      <c r="F7080" t="s">
        <v>1</v>
      </c>
      <c r="G7080" t="s">
        <v>2</v>
      </c>
      <c r="H7080" t="s">
        <v>684</v>
      </c>
      <c r="I7080" t="s">
        <v>30158</v>
      </c>
      <c r="P7080" t="s">
        <v>216</v>
      </c>
      <c r="Y7080" t="s">
        <v>690</v>
      </c>
    </row>
    <row r="7081" spans="1:25" x14ac:dyDescent="0.25">
      <c r="A7081" t="str">
        <f>"52631646840"</f>
        <v>52631646840</v>
      </c>
      <c r="B7081" t="s">
        <v>530</v>
      </c>
      <c r="C7081" t="s">
        <v>23950</v>
      </c>
      <c r="D7081" t="s">
        <v>23950</v>
      </c>
      <c r="E7081">
        <v>424003</v>
      </c>
      <c r="F7081" t="s">
        <v>1</v>
      </c>
      <c r="G7081" t="s">
        <v>2</v>
      </c>
      <c r="H7081" t="s">
        <v>30159</v>
      </c>
      <c r="Y7081" t="s">
        <v>30160</v>
      </c>
    </row>
    <row r="7082" spans="1:25" x14ac:dyDescent="0.25">
      <c r="A7082" t="str">
        <f>"52707218954"</f>
        <v>52707218954</v>
      </c>
      <c r="B7082" t="s">
        <v>1152</v>
      </c>
      <c r="C7082" t="s">
        <v>30164</v>
      </c>
      <c r="D7082" t="s">
        <v>30161</v>
      </c>
      <c r="E7082">
        <v>424002</v>
      </c>
      <c r="F7082" t="s">
        <v>1</v>
      </c>
      <c r="G7082" t="s">
        <v>2</v>
      </c>
      <c r="H7082" t="s">
        <v>9138</v>
      </c>
      <c r="I7082" t="s">
        <v>30162</v>
      </c>
      <c r="L7082" t="s">
        <v>30163</v>
      </c>
      <c r="P7082" t="s">
        <v>2050</v>
      </c>
      <c r="Q7082" t="s">
        <v>30165</v>
      </c>
      <c r="R7082" t="s">
        <v>30166</v>
      </c>
      <c r="V7082" t="s">
        <v>30167</v>
      </c>
      <c r="Y7082" t="s">
        <v>9141</v>
      </c>
    </row>
    <row r="7083" spans="1:25" x14ac:dyDescent="0.25">
      <c r="A7083" t="str">
        <f>"52745442132"</f>
        <v>52745442132</v>
      </c>
      <c r="B7083" t="s">
        <v>117</v>
      </c>
      <c r="C7083" t="s">
        <v>6850</v>
      </c>
      <c r="D7083" t="s">
        <v>22571</v>
      </c>
      <c r="E7083">
        <v>424019</v>
      </c>
      <c r="F7083" t="s">
        <v>1</v>
      </c>
      <c r="G7083" t="s">
        <v>2</v>
      </c>
      <c r="H7083" t="s">
        <v>22572</v>
      </c>
      <c r="I7083" t="s">
        <v>22573</v>
      </c>
      <c r="J7083" t="s">
        <v>30168</v>
      </c>
      <c r="P7083" t="s">
        <v>11831</v>
      </c>
      <c r="Y7083" t="s">
        <v>30169</v>
      </c>
    </row>
    <row r="7084" spans="1:25" x14ac:dyDescent="0.25">
      <c r="A7084" t="str">
        <f>"52745862538"</f>
        <v>52745862538</v>
      </c>
      <c r="B7084" t="s">
        <v>290</v>
      </c>
      <c r="C7084" t="s">
        <v>290</v>
      </c>
      <c r="D7084" t="s">
        <v>30170</v>
      </c>
      <c r="E7084">
        <v>424000</v>
      </c>
      <c r="F7084" t="s">
        <v>1</v>
      </c>
      <c r="G7084" t="s">
        <v>2</v>
      </c>
      <c r="H7084" t="s">
        <v>5615</v>
      </c>
      <c r="P7084" t="s">
        <v>30171</v>
      </c>
      <c r="Y7084" t="s">
        <v>30172</v>
      </c>
    </row>
    <row r="7085" spans="1:25" x14ac:dyDescent="0.25">
      <c r="A7085" t="str">
        <f>"52746086377"</f>
        <v>52746086377</v>
      </c>
      <c r="B7085" t="s">
        <v>123</v>
      </c>
      <c r="C7085" t="s">
        <v>424</v>
      </c>
      <c r="D7085" t="s">
        <v>30173</v>
      </c>
      <c r="E7085">
        <v>424038</v>
      </c>
      <c r="F7085" t="s">
        <v>1</v>
      </c>
      <c r="G7085" t="s">
        <v>2</v>
      </c>
      <c r="H7085" t="s">
        <v>10766</v>
      </c>
      <c r="I7085" t="s">
        <v>10767</v>
      </c>
      <c r="J7085" t="s">
        <v>30174</v>
      </c>
      <c r="P7085" t="s">
        <v>18361</v>
      </c>
      <c r="Y7085" t="s">
        <v>9441</v>
      </c>
    </row>
    <row r="7086" spans="1:25" x14ac:dyDescent="0.25">
      <c r="A7086" t="str">
        <f>"52768090558"</f>
        <v>52768090558</v>
      </c>
      <c r="B7086" t="s">
        <v>1053</v>
      </c>
      <c r="C7086" t="s">
        <v>5528</v>
      </c>
      <c r="D7086" t="s">
        <v>30175</v>
      </c>
      <c r="E7086">
        <v>424007</v>
      </c>
      <c r="F7086" t="s">
        <v>1</v>
      </c>
      <c r="G7086" t="s">
        <v>2</v>
      </c>
      <c r="H7086" t="s">
        <v>1566</v>
      </c>
      <c r="I7086" t="s">
        <v>30176</v>
      </c>
      <c r="J7086" t="s">
        <v>30177</v>
      </c>
      <c r="L7086" t="s">
        <v>30178</v>
      </c>
      <c r="M7086" t="s">
        <v>30179</v>
      </c>
      <c r="P7086" t="s">
        <v>1160</v>
      </c>
      <c r="Q7086" t="s">
        <v>30180</v>
      </c>
      <c r="V7086" t="s">
        <v>30181</v>
      </c>
      <c r="Y7086" t="s">
        <v>2882</v>
      </c>
    </row>
    <row r="7087" spans="1:25" x14ac:dyDescent="0.25">
      <c r="A7087" t="str">
        <f>"52775766795"</f>
        <v>52775766795</v>
      </c>
      <c r="B7087" t="s">
        <v>624</v>
      </c>
      <c r="C7087" t="s">
        <v>2640</v>
      </c>
      <c r="D7087" t="s">
        <v>30182</v>
      </c>
      <c r="E7087">
        <v>424006</v>
      </c>
      <c r="F7087" t="s">
        <v>1</v>
      </c>
      <c r="G7087" t="s">
        <v>2</v>
      </c>
      <c r="H7087" t="s">
        <v>4078</v>
      </c>
      <c r="I7087" t="s">
        <v>30183</v>
      </c>
      <c r="P7087" t="s">
        <v>5575</v>
      </c>
      <c r="Y7087" t="s">
        <v>19108</v>
      </c>
    </row>
    <row r="7088" spans="1:25" x14ac:dyDescent="0.25">
      <c r="A7088" t="str">
        <f>"52797522016"</f>
        <v>52797522016</v>
      </c>
      <c r="B7088" t="s">
        <v>1046</v>
      </c>
      <c r="C7088" t="s">
        <v>4959</v>
      </c>
      <c r="D7088" t="s">
        <v>4959</v>
      </c>
      <c r="E7088">
        <v>424007</v>
      </c>
      <c r="F7088" t="s">
        <v>1</v>
      </c>
      <c r="G7088" t="s">
        <v>2</v>
      </c>
      <c r="H7088" t="s">
        <v>30184</v>
      </c>
      <c r="Y7088" t="s">
        <v>30185</v>
      </c>
    </row>
    <row r="7089" spans="1:25" x14ac:dyDescent="0.25">
      <c r="A7089" t="str">
        <f>"52831194893"</f>
        <v>52831194893</v>
      </c>
      <c r="B7089" t="s">
        <v>1222</v>
      </c>
      <c r="C7089" t="s">
        <v>30190</v>
      </c>
      <c r="D7089" t="s">
        <v>30186</v>
      </c>
      <c r="E7089">
        <v>424002</v>
      </c>
      <c r="F7089" t="s">
        <v>1</v>
      </c>
      <c r="G7089" t="s">
        <v>2</v>
      </c>
      <c r="H7089" t="s">
        <v>3421</v>
      </c>
      <c r="I7089" t="s">
        <v>30187</v>
      </c>
      <c r="L7089" t="s">
        <v>30188</v>
      </c>
      <c r="M7089" t="s">
        <v>30189</v>
      </c>
      <c r="P7089" t="s">
        <v>152</v>
      </c>
      <c r="Q7089" t="s">
        <v>30191</v>
      </c>
      <c r="Y7089" t="s">
        <v>30192</v>
      </c>
    </row>
    <row r="7090" spans="1:25" x14ac:dyDescent="0.25">
      <c r="A7090" t="str">
        <f>"52883274394"</f>
        <v>52883274394</v>
      </c>
      <c r="B7090" t="s">
        <v>430</v>
      </c>
      <c r="C7090" t="s">
        <v>612</v>
      </c>
      <c r="D7090" t="s">
        <v>30193</v>
      </c>
      <c r="E7090">
        <v>424005</v>
      </c>
      <c r="F7090" t="s">
        <v>1</v>
      </c>
      <c r="G7090" t="s">
        <v>2</v>
      </c>
      <c r="H7090" t="s">
        <v>24973</v>
      </c>
      <c r="P7090" t="s">
        <v>4671</v>
      </c>
      <c r="Y7090" t="s">
        <v>30194</v>
      </c>
    </row>
    <row r="7091" spans="1:25" x14ac:dyDescent="0.25">
      <c r="A7091" t="str">
        <f>"52895633026"</f>
        <v>52895633026</v>
      </c>
      <c r="B7091" t="s">
        <v>456</v>
      </c>
      <c r="C7091" t="s">
        <v>30200</v>
      </c>
      <c r="D7091" t="s">
        <v>30195</v>
      </c>
      <c r="E7091">
        <v>424008</v>
      </c>
      <c r="F7091" t="s">
        <v>1</v>
      </c>
      <c r="G7091" t="s">
        <v>2</v>
      </c>
      <c r="H7091" t="s">
        <v>30196</v>
      </c>
      <c r="J7091" t="s">
        <v>30197</v>
      </c>
      <c r="L7091" t="s">
        <v>30198</v>
      </c>
      <c r="M7091" t="s">
        <v>30199</v>
      </c>
      <c r="P7091" t="s">
        <v>4280</v>
      </c>
      <c r="Q7091" t="s">
        <v>30201</v>
      </c>
      <c r="T7091" t="s">
        <v>30202</v>
      </c>
      <c r="U7091" t="s">
        <v>30203</v>
      </c>
      <c r="V7091" t="s">
        <v>30204</v>
      </c>
      <c r="Y7091" t="s">
        <v>30205</v>
      </c>
    </row>
    <row r="7092" spans="1:25" x14ac:dyDescent="0.25">
      <c r="A7092" t="str">
        <f>"52909216060"</f>
        <v>52909216060</v>
      </c>
      <c r="B7092" t="s">
        <v>117</v>
      </c>
      <c r="C7092" t="s">
        <v>118</v>
      </c>
      <c r="D7092" t="s">
        <v>30206</v>
      </c>
      <c r="F7092" t="s">
        <v>1</v>
      </c>
      <c r="G7092" t="s">
        <v>2</v>
      </c>
      <c r="H7092" t="s">
        <v>7547</v>
      </c>
      <c r="Y7092" t="s">
        <v>30207</v>
      </c>
    </row>
    <row r="7093" spans="1:25" x14ac:dyDescent="0.25">
      <c r="A7093" t="str">
        <f>"52930202531"</f>
        <v>52930202531</v>
      </c>
      <c r="B7093" t="s">
        <v>348</v>
      </c>
      <c r="C7093" t="s">
        <v>30209</v>
      </c>
      <c r="D7093" t="s">
        <v>30208</v>
      </c>
      <c r="E7093">
        <v>424002</v>
      </c>
      <c r="F7093" t="s">
        <v>1</v>
      </c>
      <c r="G7093" t="s">
        <v>2</v>
      </c>
      <c r="H7093" t="s">
        <v>6656</v>
      </c>
      <c r="Y7093" t="s">
        <v>11652</v>
      </c>
    </row>
    <row r="7094" spans="1:25" x14ac:dyDescent="0.25">
      <c r="A7094" t="str">
        <f>"52966102403"</f>
        <v>52966102403</v>
      </c>
      <c r="B7094" t="s">
        <v>96</v>
      </c>
      <c r="C7094" t="s">
        <v>893</v>
      </c>
      <c r="D7094" t="s">
        <v>30210</v>
      </c>
      <c r="E7094">
        <v>424000</v>
      </c>
      <c r="F7094" t="s">
        <v>1</v>
      </c>
      <c r="G7094" t="s">
        <v>2</v>
      </c>
      <c r="H7094" t="s">
        <v>1473</v>
      </c>
      <c r="P7094" t="s">
        <v>941</v>
      </c>
      <c r="Y7094" t="s">
        <v>4067</v>
      </c>
    </row>
    <row r="7095" spans="1:25" x14ac:dyDescent="0.25">
      <c r="A7095" t="str">
        <f>"52972184858"</f>
        <v>52972184858</v>
      </c>
      <c r="B7095" t="s">
        <v>117</v>
      </c>
      <c r="C7095" t="s">
        <v>26692</v>
      </c>
      <c r="D7095" t="s">
        <v>30211</v>
      </c>
      <c r="E7095">
        <v>424019</v>
      </c>
      <c r="F7095" t="s">
        <v>1</v>
      </c>
      <c r="G7095" t="s">
        <v>2</v>
      </c>
      <c r="H7095" t="s">
        <v>29904</v>
      </c>
      <c r="I7095" t="s">
        <v>30212</v>
      </c>
      <c r="J7095" t="s">
        <v>30213</v>
      </c>
      <c r="L7095" t="s">
        <v>30214</v>
      </c>
      <c r="M7095" t="s">
        <v>30215</v>
      </c>
      <c r="P7095" t="s">
        <v>330</v>
      </c>
      <c r="Y7095" t="s">
        <v>30216</v>
      </c>
    </row>
    <row r="7096" spans="1:25" x14ac:dyDescent="0.25">
      <c r="A7096" t="str">
        <f>"53003549537"</f>
        <v>53003549537</v>
      </c>
      <c r="B7096" t="s">
        <v>32</v>
      </c>
      <c r="C7096" t="s">
        <v>30218</v>
      </c>
      <c r="D7096" t="s">
        <v>7507</v>
      </c>
      <c r="E7096">
        <v>424003</v>
      </c>
      <c r="F7096" t="s">
        <v>1</v>
      </c>
      <c r="G7096" t="s">
        <v>2</v>
      </c>
      <c r="H7096" t="s">
        <v>645</v>
      </c>
      <c r="I7096" t="s">
        <v>30217</v>
      </c>
      <c r="P7096" t="s">
        <v>2050</v>
      </c>
      <c r="Y7096" t="s">
        <v>30219</v>
      </c>
    </row>
    <row r="7097" spans="1:25" x14ac:dyDescent="0.25">
      <c r="A7097" t="str">
        <f>"53006795498"</f>
        <v>53006795498</v>
      </c>
      <c r="B7097" t="s">
        <v>930</v>
      </c>
      <c r="C7097" t="s">
        <v>30223</v>
      </c>
      <c r="D7097" t="s">
        <v>30220</v>
      </c>
      <c r="E7097">
        <v>424004</v>
      </c>
      <c r="F7097" t="s">
        <v>1</v>
      </c>
      <c r="G7097" t="s">
        <v>2</v>
      </c>
      <c r="H7097" t="s">
        <v>30221</v>
      </c>
      <c r="J7097" t="s">
        <v>30222</v>
      </c>
      <c r="P7097" t="s">
        <v>799</v>
      </c>
      <c r="Y7097" t="s">
        <v>30224</v>
      </c>
    </row>
    <row r="7098" spans="1:25" x14ac:dyDescent="0.25">
      <c r="A7098" t="str">
        <f>"53011349619"</f>
        <v>53011349619</v>
      </c>
      <c r="B7098" t="s">
        <v>2601</v>
      </c>
      <c r="C7098" t="s">
        <v>27941</v>
      </c>
      <c r="D7098" t="s">
        <v>30225</v>
      </c>
      <c r="E7098">
        <v>424038</v>
      </c>
      <c r="F7098" t="s">
        <v>1</v>
      </c>
      <c r="G7098" t="s">
        <v>2</v>
      </c>
      <c r="H7098" t="s">
        <v>7597</v>
      </c>
      <c r="J7098" t="s">
        <v>30226</v>
      </c>
      <c r="L7098" t="s">
        <v>30227</v>
      </c>
      <c r="M7098" t="s">
        <v>30228</v>
      </c>
      <c r="P7098" t="s">
        <v>1642</v>
      </c>
      <c r="Q7098" t="s">
        <v>30229</v>
      </c>
      <c r="S7098" t="s">
        <v>30230</v>
      </c>
      <c r="T7098" t="s">
        <v>30231</v>
      </c>
      <c r="U7098" t="s">
        <v>30232</v>
      </c>
      <c r="V7098" t="s">
        <v>30233</v>
      </c>
      <c r="Y7098" t="s">
        <v>16150</v>
      </c>
    </row>
    <row r="7099" spans="1:25" x14ac:dyDescent="0.25">
      <c r="A7099" t="str">
        <f>"53011814387"</f>
        <v>53011814387</v>
      </c>
      <c r="B7099" t="s">
        <v>18</v>
      </c>
      <c r="C7099" t="s">
        <v>4522</v>
      </c>
      <c r="D7099" t="s">
        <v>30234</v>
      </c>
      <c r="E7099">
        <v>424005</v>
      </c>
      <c r="F7099" t="s">
        <v>1</v>
      </c>
      <c r="G7099" t="s">
        <v>2</v>
      </c>
      <c r="H7099" t="s">
        <v>6843</v>
      </c>
      <c r="I7099" t="s">
        <v>30235</v>
      </c>
      <c r="J7099" t="s">
        <v>30236</v>
      </c>
      <c r="L7099" t="s">
        <v>30237</v>
      </c>
      <c r="M7099" t="s">
        <v>30238</v>
      </c>
      <c r="P7099" t="s">
        <v>27</v>
      </c>
      <c r="Q7099" t="s">
        <v>30239</v>
      </c>
      <c r="Y7099" t="s">
        <v>30240</v>
      </c>
    </row>
    <row r="7100" spans="1:25" x14ac:dyDescent="0.25">
      <c r="A7100" t="str">
        <f>"53018954452"</f>
        <v>53018954452</v>
      </c>
      <c r="B7100" t="s">
        <v>204</v>
      </c>
      <c r="C7100" t="s">
        <v>29461</v>
      </c>
      <c r="D7100" t="s">
        <v>30241</v>
      </c>
      <c r="E7100">
        <v>424007</v>
      </c>
      <c r="F7100" t="s">
        <v>1</v>
      </c>
      <c r="G7100" t="s">
        <v>2</v>
      </c>
      <c r="H7100" t="s">
        <v>5178</v>
      </c>
      <c r="P7100" t="s">
        <v>2731</v>
      </c>
      <c r="Y7100" t="s">
        <v>26052</v>
      </c>
    </row>
    <row r="7101" spans="1:25" x14ac:dyDescent="0.25">
      <c r="A7101" t="str">
        <f>"53038432804"</f>
        <v>53038432804</v>
      </c>
      <c r="B7101" t="s">
        <v>2104</v>
      </c>
      <c r="C7101" t="s">
        <v>2105</v>
      </c>
      <c r="D7101" t="s">
        <v>30242</v>
      </c>
      <c r="E7101">
        <v>424036</v>
      </c>
      <c r="F7101" t="s">
        <v>1</v>
      </c>
      <c r="G7101" t="s">
        <v>2</v>
      </c>
      <c r="H7101" t="s">
        <v>16931</v>
      </c>
      <c r="P7101" t="s">
        <v>1642</v>
      </c>
      <c r="Y7101" t="s">
        <v>16934</v>
      </c>
    </row>
    <row r="7102" spans="1:25" x14ac:dyDescent="0.25">
      <c r="A7102" t="str">
        <f>"53105697644"</f>
        <v>53105697644</v>
      </c>
      <c r="B7102" t="s">
        <v>703</v>
      </c>
      <c r="C7102" t="s">
        <v>30248</v>
      </c>
      <c r="D7102" t="s">
        <v>30243</v>
      </c>
      <c r="E7102">
        <v>424000</v>
      </c>
      <c r="F7102" t="s">
        <v>1</v>
      </c>
      <c r="G7102" t="s">
        <v>2</v>
      </c>
      <c r="H7102" t="s">
        <v>1531</v>
      </c>
      <c r="I7102" t="s">
        <v>30244</v>
      </c>
      <c r="J7102" t="s">
        <v>30245</v>
      </c>
      <c r="L7102" t="s">
        <v>30246</v>
      </c>
      <c r="M7102" t="s">
        <v>30247</v>
      </c>
      <c r="P7102" t="s">
        <v>330</v>
      </c>
      <c r="Q7102" t="s">
        <v>30249</v>
      </c>
      <c r="R7102" t="s">
        <v>30250</v>
      </c>
      <c r="S7102" t="s">
        <v>30251</v>
      </c>
      <c r="T7102" t="s">
        <v>30252</v>
      </c>
      <c r="Y7102" t="s">
        <v>1707</v>
      </c>
    </row>
    <row r="7103" spans="1:25" x14ac:dyDescent="0.25">
      <c r="A7103" t="str">
        <f>"53123214639"</f>
        <v>53123214639</v>
      </c>
      <c r="B7103" t="s">
        <v>25</v>
      </c>
      <c r="C7103" t="s">
        <v>30258</v>
      </c>
      <c r="D7103" t="s">
        <v>30253</v>
      </c>
      <c r="E7103">
        <v>424031</v>
      </c>
      <c r="F7103" t="s">
        <v>1</v>
      </c>
      <c r="G7103" t="s">
        <v>2</v>
      </c>
      <c r="H7103" t="s">
        <v>30254</v>
      </c>
      <c r="I7103" t="s">
        <v>30255</v>
      </c>
      <c r="L7103" t="s">
        <v>30256</v>
      </c>
      <c r="M7103" t="s">
        <v>30257</v>
      </c>
      <c r="P7103" t="s">
        <v>20</v>
      </c>
      <c r="Y7103" t="s">
        <v>30259</v>
      </c>
    </row>
    <row r="7104" spans="1:25" x14ac:dyDescent="0.25">
      <c r="A7104" t="str">
        <f>"53139732573"</f>
        <v>53139732573</v>
      </c>
      <c r="B7104" t="s">
        <v>352</v>
      </c>
      <c r="C7104" t="s">
        <v>30262</v>
      </c>
      <c r="D7104" t="s">
        <v>30260</v>
      </c>
      <c r="E7104">
        <v>424002</v>
      </c>
      <c r="F7104" t="s">
        <v>1</v>
      </c>
      <c r="G7104" t="s">
        <v>2</v>
      </c>
      <c r="H7104" t="s">
        <v>3611</v>
      </c>
      <c r="J7104" t="s">
        <v>30261</v>
      </c>
      <c r="P7104" t="s">
        <v>9</v>
      </c>
      <c r="Y7104" t="s">
        <v>8388</v>
      </c>
    </row>
    <row r="7105" spans="1:25" x14ac:dyDescent="0.25">
      <c r="A7105" t="str">
        <f>"53144512931"</f>
        <v>53144512931</v>
      </c>
      <c r="B7105" t="s">
        <v>117</v>
      </c>
      <c r="C7105" t="s">
        <v>873</v>
      </c>
      <c r="D7105" t="s">
        <v>873</v>
      </c>
      <c r="F7105" t="s">
        <v>1</v>
      </c>
      <c r="G7105" t="s">
        <v>2</v>
      </c>
      <c r="H7105" t="s">
        <v>27567</v>
      </c>
      <c r="Y7105" t="s">
        <v>30263</v>
      </c>
    </row>
    <row r="7106" spans="1:25" x14ac:dyDescent="0.25">
      <c r="A7106" t="str">
        <f>"53202103110"</f>
        <v>53202103110</v>
      </c>
      <c r="B7106" t="s">
        <v>25</v>
      </c>
      <c r="C7106" t="s">
        <v>24410</v>
      </c>
      <c r="D7106" t="s">
        <v>24694</v>
      </c>
      <c r="E7106">
        <v>424006</v>
      </c>
      <c r="F7106" t="s">
        <v>1</v>
      </c>
      <c r="G7106" t="s">
        <v>2</v>
      </c>
      <c r="H7106" t="s">
        <v>30264</v>
      </c>
      <c r="I7106" t="s">
        <v>24696</v>
      </c>
      <c r="L7106" t="s">
        <v>24697</v>
      </c>
      <c r="M7106" t="s">
        <v>24698</v>
      </c>
      <c r="Y7106" t="s">
        <v>30265</v>
      </c>
    </row>
    <row r="7107" spans="1:25" x14ac:dyDescent="0.25">
      <c r="A7107" t="str">
        <f>"53211192948"</f>
        <v>53211192948</v>
      </c>
      <c r="B7107" t="s">
        <v>6801</v>
      </c>
      <c r="C7107" t="s">
        <v>30271</v>
      </c>
      <c r="D7107" t="s">
        <v>30266</v>
      </c>
      <c r="E7107">
        <v>424000</v>
      </c>
      <c r="F7107" t="s">
        <v>1</v>
      </c>
      <c r="G7107" t="s">
        <v>2</v>
      </c>
      <c r="H7107" t="s">
        <v>5523</v>
      </c>
      <c r="I7107" t="s">
        <v>30267</v>
      </c>
      <c r="K7107" t="s">
        <v>30268</v>
      </c>
      <c r="L7107" t="s">
        <v>30269</v>
      </c>
      <c r="M7107" t="s">
        <v>30270</v>
      </c>
      <c r="P7107" t="s">
        <v>9</v>
      </c>
      <c r="Y7107" t="s">
        <v>30272</v>
      </c>
    </row>
    <row r="7108" spans="1:25" x14ac:dyDescent="0.25">
      <c r="A7108" t="str">
        <f>"53257043657"</f>
        <v>53257043657</v>
      </c>
      <c r="B7108" t="s">
        <v>67</v>
      </c>
      <c r="C7108" t="s">
        <v>832</v>
      </c>
      <c r="D7108" t="s">
        <v>30273</v>
      </c>
      <c r="E7108">
        <v>424006</v>
      </c>
      <c r="F7108" t="s">
        <v>1</v>
      </c>
      <c r="G7108" t="s">
        <v>2</v>
      </c>
      <c r="H7108" t="s">
        <v>9029</v>
      </c>
      <c r="Y7108" t="s">
        <v>30274</v>
      </c>
    </row>
    <row r="7109" spans="1:25" x14ac:dyDescent="0.25">
      <c r="A7109" t="str">
        <f>"53285387809"</f>
        <v>53285387809</v>
      </c>
      <c r="B7109" t="s">
        <v>738</v>
      </c>
      <c r="C7109" t="s">
        <v>739</v>
      </c>
      <c r="D7109" t="s">
        <v>30275</v>
      </c>
      <c r="E7109">
        <v>424038</v>
      </c>
      <c r="F7109" t="s">
        <v>1</v>
      </c>
      <c r="G7109" t="s">
        <v>2</v>
      </c>
      <c r="H7109" t="s">
        <v>30276</v>
      </c>
      <c r="Y7109" t="s">
        <v>30277</v>
      </c>
    </row>
    <row r="7110" spans="1:25" x14ac:dyDescent="0.25">
      <c r="A7110" t="str">
        <f>"53325396522"</f>
        <v>53325396522</v>
      </c>
      <c r="B7110" t="s">
        <v>1152</v>
      </c>
      <c r="C7110" t="s">
        <v>1385</v>
      </c>
      <c r="D7110" t="s">
        <v>1385</v>
      </c>
      <c r="E7110">
        <v>424037</v>
      </c>
      <c r="F7110" t="s">
        <v>1</v>
      </c>
      <c r="G7110" t="s">
        <v>2</v>
      </c>
      <c r="H7110" t="s">
        <v>3278</v>
      </c>
      <c r="Y7110" t="s">
        <v>3283</v>
      </c>
    </row>
    <row r="7111" spans="1:25" x14ac:dyDescent="0.25">
      <c r="A7111" t="str">
        <f>"53380805581"</f>
        <v>53380805581</v>
      </c>
      <c r="B7111" t="s">
        <v>1046</v>
      </c>
      <c r="C7111" t="s">
        <v>4959</v>
      </c>
      <c r="D7111" t="s">
        <v>4959</v>
      </c>
      <c r="E7111">
        <v>424002</v>
      </c>
      <c r="F7111" t="s">
        <v>1</v>
      </c>
      <c r="G7111" t="s">
        <v>2</v>
      </c>
      <c r="H7111" t="s">
        <v>16252</v>
      </c>
      <c r="Y7111" t="s">
        <v>30278</v>
      </c>
    </row>
    <row r="7112" spans="1:25" x14ac:dyDescent="0.25">
      <c r="A7112" t="str">
        <f>"53406841570"</f>
        <v>53406841570</v>
      </c>
      <c r="B7112" t="s">
        <v>18</v>
      </c>
      <c r="C7112" t="s">
        <v>30283</v>
      </c>
      <c r="D7112" t="s">
        <v>30279</v>
      </c>
      <c r="E7112">
        <v>424002</v>
      </c>
      <c r="F7112" t="s">
        <v>1</v>
      </c>
      <c r="G7112" t="s">
        <v>2</v>
      </c>
      <c r="H7112" t="s">
        <v>570</v>
      </c>
      <c r="I7112" t="s">
        <v>30280</v>
      </c>
      <c r="L7112" t="s">
        <v>30281</v>
      </c>
      <c r="M7112" t="s">
        <v>30282</v>
      </c>
      <c r="P7112" t="s">
        <v>390</v>
      </c>
      <c r="Y7112" t="s">
        <v>18782</v>
      </c>
    </row>
    <row r="7113" spans="1:25" x14ac:dyDescent="0.25">
      <c r="A7113" t="str">
        <f>"53431140534"</f>
        <v>53431140534</v>
      </c>
      <c r="B7113" t="s">
        <v>930</v>
      </c>
      <c r="C7113" t="s">
        <v>1940</v>
      </c>
      <c r="D7113" t="s">
        <v>10726</v>
      </c>
      <c r="E7113">
        <v>424040</v>
      </c>
      <c r="F7113" t="s">
        <v>1</v>
      </c>
      <c r="G7113" t="s">
        <v>2</v>
      </c>
      <c r="H7113" t="s">
        <v>20151</v>
      </c>
      <c r="I7113" t="s">
        <v>30284</v>
      </c>
      <c r="P7113" t="s">
        <v>27</v>
      </c>
      <c r="Y7113" t="s">
        <v>30285</v>
      </c>
    </row>
    <row r="7114" spans="1:25" x14ac:dyDescent="0.25">
      <c r="A7114" t="str">
        <f>"53465862633"</f>
        <v>53465862633</v>
      </c>
      <c r="B7114" t="s">
        <v>67</v>
      </c>
      <c r="C7114" t="s">
        <v>27252</v>
      </c>
      <c r="D7114" t="s">
        <v>7821</v>
      </c>
      <c r="E7114">
        <v>424004</v>
      </c>
      <c r="F7114" t="s">
        <v>1</v>
      </c>
      <c r="G7114" t="s">
        <v>2</v>
      </c>
      <c r="H7114" t="s">
        <v>25806</v>
      </c>
      <c r="Y7114" t="s">
        <v>30286</v>
      </c>
    </row>
    <row r="7115" spans="1:25" x14ac:dyDescent="0.25">
      <c r="A7115" t="str">
        <f>"53468437068"</f>
        <v>53468437068</v>
      </c>
      <c r="B7115" t="s">
        <v>530</v>
      </c>
      <c r="C7115" t="s">
        <v>23950</v>
      </c>
      <c r="D7115" t="s">
        <v>23950</v>
      </c>
      <c r="E7115">
        <v>424039</v>
      </c>
      <c r="F7115" t="s">
        <v>1</v>
      </c>
      <c r="G7115" t="s">
        <v>2</v>
      </c>
      <c r="H7115" t="s">
        <v>30287</v>
      </c>
      <c r="Y7115" t="s">
        <v>30288</v>
      </c>
    </row>
    <row r="7116" spans="1:25" x14ac:dyDescent="0.25">
      <c r="A7116" t="str">
        <f>"53530648809"</f>
        <v>53530648809</v>
      </c>
      <c r="B7116" t="s">
        <v>25</v>
      </c>
      <c r="C7116" t="s">
        <v>20320</v>
      </c>
      <c r="D7116" t="s">
        <v>30289</v>
      </c>
      <c r="E7116">
        <v>424002</v>
      </c>
      <c r="F7116" t="s">
        <v>1</v>
      </c>
      <c r="G7116" t="s">
        <v>2</v>
      </c>
      <c r="H7116" t="s">
        <v>915</v>
      </c>
      <c r="Y7116" t="s">
        <v>30290</v>
      </c>
    </row>
    <row r="7117" spans="1:25" x14ac:dyDescent="0.25">
      <c r="A7117" t="str">
        <f>"53534144621"</f>
        <v>53534144621</v>
      </c>
      <c r="B7117" t="s">
        <v>1222</v>
      </c>
      <c r="C7117" t="s">
        <v>30291</v>
      </c>
      <c r="D7117" t="s">
        <v>22058</v>
      </c>
      <c r="E7117">
        <v>424007</v>
      </c>
      <c r="F7117" t="s">
        <v>1</v>
      </c>
      <c r="G7117" t="s">
        <v>2</v>
      </c>
      <c r="H7117" t="s">
        <v>5281</v>
      </c>
      <c r="P7117" t="s">
        <v>1404</v>
      </c>
      <c r="Y7117" t="s">
        <v>30292</v>
      </c>
    </row>
    <row r="7118" spans="1:25" x14ac:dyDescent="0.25">
      <c r="A7118" t="str">
        <f>"53553924405"</f>
        <v>53553924405</v>
      </c>
      <c r="B7118" t="s">
        <v>48</v>
      </c>
      <c r="C7118" t="s">
        <v>16070</v>
      </c>
      <c r="D7118" t="s">
        <v>30293</v>
      </c>
      <c r="E7118">
        <v>424028</v>
      </c>
      <c r="F7118" t="s">
        <v>1</v>
      </c>
      <c r="G7118" t="s">
        <v>2</v>
      </c>
      <c r="H7118" t="s">
        <v>3628</v>
      </c>
      <c r="J7118" t="s">
        <v>30294</v>
      </c>
      <c r="M7118" t="s">
        <v>30295</v>
      </c>
      <c r="P7118" t="s">
        <v>30296</v>
      </c>
      <c r="Q7118" t="s">
        <v>30297</v>
      </c>
      <c r="Y7118" t="s">
        <v>30298</v>
      </c>
    </row>
    <row r="7119" spans="1:25" x14ac:dyDescent="0.25">
      <c r="A7119" t="str">
        <f>"53580928397"</f>
        <v>53580928397</v>
      </c>
      <c r="B7119" t="s">
        <v>290</v>
      </c>
      <c r="C7119" t="s">
        <v>290</v>
      </c>
      <c r="D7119" t="s">
        <v>30299</v>
      </c>
      <c r="E7119">
        <v>424000</v>
      </c>
      <c r="F7119" t="s">
        <v>1</v>
      </c>
      <c r="G7119" t="s">
        <v>2</v>
      </c>
      <c r="H7119" t="s">
        <v>27658</v>
      </c>
      <c r="I7119" t="s">
        <v>30300</v>
      </c>
      <c r="J7119" t="s">
        <v>30301</v>
      </c>
      <c r="P7119" t="s">
        <v>3039</v>
      </c>
      <c r="Y7119" t="s">
        <v>30302</v>
      </c>
    </row>
    <row r="7120" spans="1:25" x14ac:dyDescent="0.25">
      <c r="A7120" t="str">
        <f>"53596303616"</f>
        <v>53596303616</v>
      </c>
      <c r="B7120" t="s">
        <v>379</v>
      </c>
      <c r="C7120" t="s">
        <v>4852</v>
      </c>
      <c r="D7120" t="s">
        <v>4852</v>
      </c>
      <c r="E7120">
        <v>424036</v>
      </c>
      <c r="F7120" t="s">
        <v>1</v>
      </c>
      <c r="G7120" t="s">
        <v>2</v>
      </c>
      <c r="H7120" t="s">
        <v>7305</v>
      </c>
      <c r="Y7120" t="s">
        <v>30303</v>
      </c>
    </row>
    <row r="7121" spans="1:25" x14ac:dyDescent="0.25">
      <c r="A7121" t="str">
        <f>"53613908704"</f>
        <v>53613908704</v>
      </c>
      <c r="B7121" t="s">
        <v>18</v>
      </c>
      <c r="C7121" t="s">
        <v>30306</v>
      </c>
      <c r="D7121" t="s">
        <v>30304</v>
      </c>
      <c r="E7121">
        <v>424016</v>
      </c>
      <c r="F7121" t="s">
        <v>1</v>
      </c>
      <c r="G7121" t="s">
        <v>2</v>
      </c>
      <c r="H7121" t="s">
        <v>12286</v>
      </c>
      <c r="I7121" t="s">
        <v>30305</v>
      </c>
      <c r="L7121" t="s">
        <v>13262</v>
      </c>
      <c r="M7121" t="s">
        <v>13263</v>
      </c>
      <c r="P7121" t="s">
        <v>1760</v>
      </c>
      <c r="Y7121" t="s">
        <v>10401</v>
      </c>
    </row>
    <row r="7122" spans="1:25" x14ac:dyDescent="0.25">
      <c r="A7122" t="str">
        <f>"53710584874"</f>
        <v>53710584874</v>
      </c>
      <c r="B7122" t="s">
        <v>1078</v>
      </c>
      <c r="C7122" t="s">
        <v>25481</v>
      </c>
      <c r="D7122" t="s">
        <v>27713</v>
      </c>
      <c r="E7122">
        <v>424028</v>
      </c>
      <c r="F7122" t="s">
        <v>1</v>
      </c>
      <c r="G7122" t="s">
        <v>2</v>
      </c>
      <c r="H7122" t="s">
        <v>30307</v>
      </c>
      <c r="Y7122" t="s">
        <v>30308</v>
      </c>
    </row>
    <row r="7123" spans="1:25" x14ac:dyDescent="0.25">
      <c r="A7123" t="str">
        <f>"53720262633"</f>
        <v>53720262633</v>
      </c>
      <c r="B7123" t="s">
        <v>1152</v>
      </c>
      <c r="C7123" t="s">
        <v>4682</v>
      </c>
      <c r="D7123" t="s">
        <v>25385</v>
      </c>
      <c r="E7123">
        <v>424028</v>
      </c>
      <c r="F7123" t="s">
        <v>1</v>
      </c>
      <c r="G7123" t="s">
        <v>2</v>
      </c>
      <c r="H7123" t="s">
        <v>7204</v>
      </c>
      <c r="Y7123" t="s">
        <v>30309</v>
      </c>
    </row>
    <row r="7124" spans="1:25" x14ac:dyDescent="0.25">
      <c r="A7124" t="str">
        <f>"53725551868"</f>
        <v>53725551868</v>
      </c>
      <c r="B7124" t="s">
        <v>1152</v>
      </c>
      <c r="C7124" t="s">
        <v>30311</v>
      </c>
      <c r="D7124" t="s">
        <v>30310</v>
      </c>
      <c r="E7124">
        <v>424019</v>
      </c>
      <c r="F7124" t="s">
        <v>1</v>
      </c>
      <c r="G7124" t="s">
        <v>2</v>
      </c>
      <c r="H7124" t="s">
        <v>9271</v>
      </c>
      <c r="I7124" t="s">
        <v>16947</v>
      </c>
      <c r="J7124" t="s">
        <v>16948</v>
      </c>
      <c r="P7124" t="s">
        <v>399</v>
      </c>
      <c r="Y7124" t="s">
        <v>30312</v>
      </c>
    </row>
    <row r="7125" spans="1:25" x14ac:dyDescent="0.25">
      <c r="A7125" t="str">
        <f>"53787653984"</f>
        <v>53787653984</v>
      </c>
      <c r="B7125" t="s">
        <v>18</v>
      </c>
      <c r="C7125" t="s">
        <v>16044</v>
      </c>
      <c r="D7125" t="s">
        <v>30313</v>
      </c>
      <c r="E7125">
        <v>424007</v>
      </c>
      <c r="F7125" t="s">
        <v>1</v>
      </c>
      <c r="G7125" t="s">
        <v>2</v>
      </c>
      <c r="H7125" t="s">
        <v>10252</v>
      </c>
      <c r="I7125" t="s">
        <v>30314</v>
      </c>
      <c r="Y7125" t="s">
        <v>30315</v>
      </c>
    </row>
    <row r="7126" spans="1:25" x14ac:dyDescent="0.25">
      <c r="A7126" t="str">
        <f>"53787746625"</f>
        <v>53787746625</v>
      </c>
      <c r="B7126" t="s">
        <v>1046</v>
      </c>
      <c r="C7126" t="s">
        <v>22946</v>
      </c>
      <c r="D7126" t="s">
        <v>22946</v>
      </c>
      <c r="E7126">
        <v>424000</v>
      </c>
      <c r="F7126" t="s">
        <v>1</v>
      </c>
      <c r="G7126" t="s">
        <v>2</v>
      </c>
      <c r="H7126" t="s">
        <v>17325</v>
      </c>
      <c r="Y7126" t="s">
        <v>30316</v>
      </c>
    </row>
    <row r="7127" spans="1:25" x14ac:dyDescent="0.25">
      <c r="A7127" t="str">
        <f>"53804585322"</f>
        <v>53804585322</v>
      </c>
      <c r="B7127" t="s">
        <v>1152</v>
      </c>
      <c r="C7127" t="s">
        <v>1153</v>
      </c>
      <c r="D7127" t="s">
        <v>10280</v>
      </c>
      <c r="E7127">
        <v>424038</v>
      </c>
      <c r="F7127" t="s">
        <v>1</v>
      </c>
      <c r="G7127" t="s">
        <v>2</v>
      </c>
      <c r="H7127" t="s">
        <v>30317</v>
      </c>
      <c r="I7127" t="s">
        <v>22092</v>
      </c>
      <c r="M7127" t="s">
        <v>10284</v>
      </c>
      <c r="Q7127" t="s">
        <v>10286</v>
      </c>
      <c r="R7127" t="s">
        <v>10287</v>
      </c>
      <c r="S7127" t="s">
        <v>10288</v>
      </c>
      <c r="T7127" t="s">
        <v>10289</v>
      </c>
      <c r="U7127" t="s">
        <v>10290</v>
      </c>
      <c r="V7127" t="s">
        <v>10291</v>
      </c>
      <c r="Y7127" t="s">
        <v>30318</v>
      </c>
    </row>
    <row r="7128" spans="1:25" x14ac:dyDescent="0.25">
      <c r="A7128" t="str">
        <f>"53814428912"</f>
        <v>53814428912</v>
      </c>
      <c r="B7128" t="s">
        <v>96</v>
      </c>
      <c r="C7128" t="s">
        <v>659</v>
      </c>
      <c r="D7128" t="s">
        <v>30319</v>
      </c>
      <c r="E7128">
        <v>424002</v>
      </c>
      <c r="F7128" t="s">
        <v>1</v>
      </c>
      <c r="G7128" t="s">
        <v>2</v>
      </c>
      <c r="H7128" t="s">
        <v>12337</v>
      </c>
      <c r="L7128" t="s">
        <v>8198</v>
      </c>
      <c r="M7128" t="s">
        <v>30320</v>
      </c>
      <c r="Y7128" t="s">
        <v>30321</v>
      </c>
    </row>
    <row r="7129" spans="1:25" x14ac:dyDescent="0.25">
      <c r="A7129" t="str">
        <f>"53817278726"</f>
        <v>53817278726</v>
      </c>
      <c r="B7129" t="s">
        <v>188</v>
      </c>
      <c r="C7129" t="s">
        <v>24568</v>
      </c>
      <c r="D7129" t="s">
        <v>24568</v>
      </c>
      <c r="E7129">
        <v>424002</v>
      </c>
      <c r="F7129" t="s">
        <v>1</v>
      </c>
      <c r="G7129" t="s">
        <v>2</v>
      </c>
      <c r="H7129" t="s">
        <v>30322</v>
      </c>
      <c r="Y7129" t="s">
        <v>30323</v>
      </c>
    </row>
    <row r="7130" spans="1:25" x14ac:dyDescent="0.25">
      <c r="A7130" t="str">
        <f>"53865150062"</f>
        <v>53865150062</v>
      </c>
      <c r="B7130" t="s">
        <v>574</v>
      </c>
      <c r="C7130" t="s">
        <v>14269</v>
      </c>
      <c r="D7130" t="s">
        <v>30324</v>
      </c>
      <c r="E7130">
        <v>424005</v>
      </c>
      <c r="F7130" t="s">
        <v>1</v>
      </c>
      <c r="G7130" t="s">
        <v>2</v>
      </c>
      <c r="H7130" t="s">
        <v>7480</v>
      </c>
      <c r="Y7130" t="s">
        <v>7482</v>
      </c>
    </row>
    <row r="7131" spans="1:25" x14ac:dyDescent="0.25">
      <c r="A7131" t="str">
        <f>"53921305303"</f>
        <v>53921305303</v>
      </c>
      <c r="B7131" t="s">
        <v>96</v>
      </c>
      <c r="C7131" t="s">
        <v>8479</v>
      </c>
      <c r="D7131" t="s">
        <v>30325</v>
      </c>
      <c r="E7131">
        <v>424000</v>
      </c>
      <c r="F7131" t="s">
        <v>1</v>
      </c>
      <c r="G7131" t="s">
        <v>2</v>
      </c>
      <c r="H7131" t="s">
        <v>1473</v>
      </c>
      <c r="P7131" t="s">
        <v>941</v>
      </c>
      <c r="Y7131" t="s">
        <v>4067</v>
      </c>
    </row>
    <row r="7132" spans="1:25" x14ac:dyDescent="0.25">
      <c r="A7132" t="str">
        <f>"53955152320"</f>
        <v>53955152320</v>
      </c>
      <c r="B7132" t="s">
        <v>574</v>
      </c>
      <c r="C7132" t="s">
        <v>646</v>
      </c>
      <c r="D7132" t="s">
        <v>26023</v>
      </c>
      <c r="E7132">
        <v>424033</v>
      </c>
      <c r="F7132" t="s">
        <v>1</v>
      </c>
      <c r="G7132" t="s">
        <v>2</v>
      </c>
      <c r="H7132" t="s">
        <v>4300</v>
      </c>
      <c r="I7132" t="s">
        <v>30326</v>
      </c>
      <c r="P7132" t="s">
        <v>2457</v>
      </c>
      <c r="Y7132" t="s">
        <v>30327</v>
      </c>
    </row>
    <row r="7133" spans="1:25" x14ac:dyDescent="0.25">
      <c r="A7133" t="str">
        <f>"53956779628"</f>
        <v>53956779628</v>
      </c>
      <c r="B7133" t="s">
        <v>1046</v>
      </c>
      <c r="C7133" t="s">
        <v>27404</v>
      </c>
      <c r="D7133" t="s">
        <v>30328</v>
      </c>
      <c r="F7133" t="s">
        <v>1</v>
      </c>
      <c r="G7133" t="s">
        <v>2</v>
      </c>
      <c r="H7133" t="s">
        <v>27403</v>
      </c>
      <c r="P7133" t="s">
        <v>30329</v>
      </c>
      <c r="Y7133" t="s">
        <v>30330</v>
      </c>
    </row>
    <row r="7134" spans="1:25" x14ac:dyDescent="0.25">
      <c r="A7134" t="str">
        <f>"53995499049"</f>
        <v>53995499049</v>
      </c>
      <c r="B7134" t="s">
        <v>290</v>
      </c>
      <c r="C7134" t="s">
        <v>290</v>
      </c>
      <c r="D7134" t="s">
        <v>24306</v>
      </c>
      <c r="E7134">
        <v>424002</v>
      </c>
      <c r="F7134" t="s">
        <v>1</v>
      </c>
      <c r="G7134" t="s">
        <v>2</v>
      </c>
      <c r="H7134" t="s">
        <v>3877</v>
      </c>
      <c r="P7134" t="s">
        <v>8133</v>
      </c>
      <c r="Y7134" t="s">
        <v>3881</v>
      </c>
    </row>
    <row r="7135" spans="1:25" x14ac:dyDescent="0.25">
      <c r="A7135" t="str">
        <f>"54029547862"</f>
        <v>54029547862</v>
      </c>
      <c r="B7135" t="s">
        <v>96</v>
      </c>
      <c r="C7135" t="s">
        <v>22202</v>
      </c>
      <c r="D7135" t="s">
        <v>30331</v>
      </c>
      <c r="E7135">
        <v>424000</v>
      </c>
      <c r="F7135" t="s">
        <v>1</v>
      </c>
      <c r="G7135" t="s">
        <v>2</v>
      </c>
      <c r="H7135" t="s">
        <v>92</v>
      </c>
      <c r="Y7135" t="s">
        <v>28397</v>
      </c>
    </row>
    <row r="7136" spans="1:25" x14ac:dyDescent="0.25">
      <c r="A7136" t="str">
        <f>"54029628884"</f>
        <v>54029628884</v>
      </c>
      <c r="B7136" t="s">
        <v>1352</v>
      </c>
      <c r="C7136" t="s">
        <v>1353</v>
      </c>
      <c r="D7136" t="s">
        <v>30332</v>
      </c>
      <c r="E7136">
        <v>424000</v>
      </c>
      <c r="F7136" t="s">
        <v>1</v>
      </c>
      <c r="G7136" t="s">
        <v>2</v>
      </c>
      <c r="H7136" t="s">
        <v>1473</v>
      </c>
      <c r="P7136" t="s">
        <v>941</v>
      </c>
      <c r="Y7136" t="s">
        <v>4067</v>
      </c>
    </row>
    <row r="7137" spans="1:25" x14ac:dyDescent="0.25">
      <c r="A7137" t="str">
        <f>"54068241306"</f>
        <v>54068241306</v>
      </c>
      <c r="B7137" t="s">
        <v>574</v>
      </c>
      <c r="C7137" t="s">
        <v>952</v>
      </c>
      <c r="D7137" t="s">
        <v>25172</v>
      </c>
      <c r="E7137">
        <v>424039</v>
      </c>
      <c r="F7137" t="s">
        <v>1</v>
      </c>
      <c r="G7137" t="s">
        <v>2</v>
      </c>
      <c r="H7137" t="s">
        <v>5827</v>
      </c>
      <c r="Y7137" t="s">
        <v>23921</v>
      </c>
    </row>
    <row r="7138" spans="1:25" x14ac:dyDescent="0.25">
      <c r="A7138" t="str">
        <f>"54083283836"</f>
        <v>54083283836</v>
      </c>
      <c r="B7138" t="s">
        <v>123</v>
      </c>
      <c r="C7138" t="s">
        <v>18438</v>
      </c>
      <c r="D7138" t="s">
        <v>30333</v>
      </c>
      <c r="E7138">
        <v>424033</v>
      </c>
      <c r="F7138" t="s">
        <v>1</v>
      </c>
      <c r="G7138" t="s">
        <v>2</v>
      </c>
      <c r="H7138" t="s">
        <v>2342</v>
      </c>
      <c r="P7138" t="s">
        <v>12317</v>
      </c>
      <c r="Y7138" t="s">
        <v>30334</v>
      </c>
    </row>
    <row r="7139" spans="1:25" x14ac:dyDescent="0.25">
      <c r="A7139" t="str">
        <f>"54090296016"</f>
        <v>54090296016</v>
      </c>
      <c r="B7139" t="s">
        <v>10383</v>
      </c>
      <c r="C7139" t="s">
        <v>24146</v>
      </c>
      <c r="D7139" t="s">
        <v>24146</v>
      </c>
      <c r="F7139" t="s">
        <v>1</v>
      </c>
      <c r="G7139" t="s">
        <v>2</v>
      </c>
      <c r="H7139" t="s">
        <v>27288</v>
      </c>
      <c r="Y7139" t="s">
        <v>30335</v>
      </c>
    </row>
    <row r="7140" spans="1:25" x14ac:dyDescent="0.25">
      <c r="A7140" t="str">
        <f>"54103693467"</f>
        <v>54103693467</v>
      </c>
      <c r="B7140" t="s">
        <v>574</v>
      </c>
      <c r="C7140" t="s">
        <v>952</v>
      </c>
      <c r="D7140" t="s">
        <v>5349</v>
      </c>
      <c r="E7140">
        <v>424038</v>
      </c>
      <c r="F7140" t="s">
        <v>1</v>
      </c>
      <c r="G7140" t="s">
        <v>2</v>
      </c>
      <c r="H7140" t="s">
        <v>9865</v>
      </c>
      <c r="I7140" t="s">
        <v>30336</v>
      </c>
      <c r="P7140" t="s">
        <v>9840</v>
      </c>
      <c r="Y7140" t="s">
        <v>9870</v>
      </c>
    </row>
    <row r="7141" spans="1:25" x14ac:dyDescent="0.25">
      <c r="A7141" t="str">
        <f>"54173422565"</f>
        <v>54173422565</v>
      </c>
      <c r="B7141" t="s">
        <v>738</v>
      </c>
      <c r="C7141" t="s">
        <v>30339</v>
      </c>
      <c r="D7141" t="s">
        <v>30337</v>
      </c>
      <c r="F7141" t="s">
        <v>1</v>
      </c>
      <c r="G7141" t="s">
        <v>2</v>
      </c>
      <c r="H7141" t="s">
        <v>25877</v>
      </c>
      <c r="J7141" t="s">
        <v>30338</v>
      </c>
      <c r="P7141" t="s">
        <v>642</v>
      </c>
      <c r="Y7141" t="s">
        <v>30340</v>
      </c>
    </row>
    <row r="7142" spans="1:25" x14ac:dyDescent="0.25">
      <c r="A7142" t="str">
        <f>"54190267416"</f>
        <v>54190267416</v>
      </c>
      <c r="B7142" t="s">
        <v>888</v>
      </c>
      <c r="C7142" t="s">
        <v>4712</v>
      </c>
      <c r="D7142" t="s">
        <v>30341</v>
      </c>
      <c r="F7142" t="s">
        <v>1</v>
      </c>
      <c r="G7142" t="s">
        <v>2</v>
      </c>
      <c r="H7142" t="s">
        <v>30342</v>
      </c>
      <c r="J7142" t="s">
        <v>30343</v>
      </c>
      <c r="P7142" t="s">
        <v>14515</v>
      </c>
      <c r="Y7142" t="s">
        <v>30344</v>
      </c>
    </row>
    <row r="7143" spans="1:25" x14ac:dyDescent="0.25">
      <c r="A7143" t="str">
        <f>"54196993231"</f>
        <v>54196993231</v>
      </c>
      <c r="B7143" t="s">
        <v>574</v>
      </c>
      <c r="C7143" t="s">
        <v>646</v>
      </c>
      <c r="D7143" t="s">
        <v>25486</v>
      </c>
      <c r="E7143">
        <v>424005</v>
      </c>
      <c r="F7143" t="s">
        <v>1</v>
      </c>
      <c r="G7143" t="s">
        <v>2</v>
      </c>
      <c r="H7143" t="s">
        <v>30345</v>
      </c>
      <c r="I7143" t="s">
        <v>25488</v>
      </c>
      <c r="P7143" t="s">
        <v>216</v>
      </c>
      <c r="Y7143" t="s">
        <v>30346</v>
      </c>
    </row>
    <row r="7144" spans="1:25" x14ac:dyDescent="0.25">
      <c r="A7144" t="str">
        <f>"54319466754"</f>
        <v>54319466754</v>
      </c>
      <c r="B7144" t="s">
        <v>348</v>
      </c>
      <c r="C7144" t="s">
        <v>30351</v>
      </c>
      <c r="D7144" t="s">
        <v>30347</v>
      </c>
      <c r="E7144">
        <v>424019</v>
      </c>
      <c r="F7144" t="s">
        <v>1</v>
      </c>
      <c r="G7144" t="s">
        <v>2</v>
      </c>
      <c r="H7144" t="s">
        <v>7785</v>
      </c>
      <c r="J7144" t="s">
        <v>30348</v>
      </c>
      <c r="L7144" t="s">
        <v>30349</v>
      </c>
      <c r="M7144" t="s">
        <v>30350</v>
      </c>
      <c r="P7144" t="s">
        <v>1760</v>
      </c>
      <c r="Q7144" t="s">
        <v>30352</v>
      </c>
      <c r="S7144" t="s">
        <v>30353</v>
      </c>
      <c r="U7144" t="s">
        <v>30354</v>
      </c>
      <c r="V7144" t="s">
        <v>30355</v>
      </c>
      <c r="Y7144" t="s">
        <v>25001</v>
      </c>
    </row>
    <row r="7145" spans="1:25" x14ac:dyDescent="0.25">
      <c r="A7145" t="str">
        <f>"54325110027"</f>
        <v>54325110027</v>
      </c>
      <c r="B7145" t="s">
        <v>18</v>
      </c>
      <c r="C7145" t="s">
        <v>10928</v>
      </c>
      <c r="D7145" t="s">
        <v>30356</v>
      </c>
      <c r="F7145" t="s">
        <v>1</v>
      </c>
      <c r="G7145" t="s">
        <v>2</v>
      </c>
      <c r="H7145" t="s">
        <v>30357</v>
      </c>
      <c r="I7145" t="s">
        <v>30358</v>
      </c>
      <c r="J7145" t="s">
        <v>30359</v>
      </c>
      <c r="P7145" t="s">
        <v>12372</v>
      </c>
      <c r="Y7145" t="s">
        <v>30360</v>
      </c>
    </row>
    <row r="7146" spans="1:25" x14ac:dyDescent="0.25">
      <c r="A7146" t="str">
        <f>"54363347019"</f>
        <v>54363347019</v>
      </c>
      <c r="B7146" t="s">
        <v>176</v>
      </c>
      <c r="C7146" t="s">
        <v>30365</v>
      </c>
      <c r="D7146" t="s">
        <v>30361</v>
      </c>
      <c r="E7146">
        <v>424033</v>
      </c>
      <c r="F7146" t="s">
        <v>1</v>
      </c>
      <c r="G7146" t="s">
        <v>2</v>
      </c>
      <c r="H7146" t="s">
        <v>6126</v>
      </c>
      <c r="J7146" t="s">
        <v>30362</v>
      </c>
      <c r="L7146" t="s">
        <v>30363</v>
      </c>
      <c r="M7146" t="s">
        <v>30364</v>
      </c>
      <c r="P7146" t="s">
        <v>2738</v>
      </c>
      <c r="Y7146" t="s">
        <v>9488</v>
      </c>
    </row>
    <row r="7147" spans="1:25" x14ac:dyDescent="0.25">
      <c r="A7147" t="str">
        <f>"54382090430"</f>
        <v>54382090430</v>
      </c>
      <c r="B7147" t="s">
        <v>25</v>
      </c>
      <c r="C7147" t="s">
        <v>59</v>
      </c>
      <c r="D7147" t="s">
        <v>30366</v>
      </c>
      <c r="E7147">
        <v>424006</v>
      </c>
      <c r="F7147" t="s">
        <v>1</v>
      </c>
      <c r="G7147" t="s">
        <v>2</v>
      </c>
      <c r="H7147" t="s">
        <v>751</v>
      </c>
      <c r="P7147" t="s">
        <v>260</v>
      </c>
      <c r="Y7147" t="s">
        <v>755</v>
      </c>
    </row>
    <row r="7148" spans="1:25" x14ac:dyDescent="0.25">
      <c r="A7148" t="str">
        <f>"54413561362"</f>
        <v>54413561362</v>
      </c>
      <c r="B7148" t="s">
        <v>1152</v>
      </c>
      <c r="C7148" t="s">
        <v>1153</v>
      </c>
      <c r="D7148" t="s">
        <v>24071</v>
      </c>
      <c r="F7148" t="s">
        <v>1</v>
      </c>
      <c r="G7148" t="s">
        <v>2</v>
      </c>
      <c r="H7148" t="s">
        <v>30367</v>
      </c>
      <c r="Y7148" t="s">
        <v>30368</v>
      </c>
    </row>
    <row r="7149" spans="1:25" x14ac:dyDescent="0.25">
      <c r="A7149" t="str">
        <f>"54421458265"</f>
        <v>54421458265</v>
      </c>
      <c r="B7149" t="s">
        <v>224</v>
      </c>
      <c r="C7149" t="s">
        <v>4397</v>
      </c>
      <c r="D7149" t="s">
        <v>30369</v>
      </c>
      <c r="E7149">
        <v>424003</v>
      </c>
      <c r="F7149" t="s">
        <v>1</v>
      </c>
      <c r="G7149" t="s">
        <v>2</v>
      </c>
      <c r="H7149" t="s">
        <v>13303</v>
      </c>
      <c r="I7149" t="s">
        <v>30370</v>
      </c>
      <c r="J7149" t="s">
        <v>30371</v>
      </c>
      <c r="L7149" t="s">
        <v>30372</v>
      </c>
      <c r="M7149" t="s">
        <v>30373</v>
      </c>
      <c r="P7149" t="s">
        <v>340</v>
      </c>
      <c r="Q7149" t="s">
        <v>30374</v>
      </c>
      <c r="S7149" t="s">
        <v>30375</v>
      </c>
      <c r="T7149" t="s">
        <v>30376</v>
      </c>
      <c r="Y7149" t="s">
        <v>30377</v>
      </c>
    </row>
    <row r="7150" spans="1:25" x14ac:dyDescent="0.25">
      <c r="A7150" t="str">
        <f>"54552489991"</f>
        <v>54552489991</v>
      </c>
      <c r="B7150" t="s">
        <v>224</v>
      </c>
      <c r="C7150" t="s">
        <v>4139</v>
      </c>
      <c r="D7150" t="s">
        <v>30378</v>
      </c>
      <c r="E7150">
        <v>424007</v>
      </c>
      <c r="F7150" t="s">
        <v>1</v>
      </c>
      <c r="G7150" t="s">
        <v>2</v>
      </c>
      <c r="H7150" t="s">
        <v>1085</v>
      </c>
      <c r="Y7150" t="s">
        <v>1412</v>
      </c>
    </row>
    <row r="7151" spans="1:25" x14ac:dyDescent="0.25">
      <c r="A7151" t="str">
        <f>"54600644398"</f>
        <v>54600644398</v>
      </c>
      <c r="B7151" t="s">
        <v>558</v>
      </c>
      <c r="C7151" t="s">
        <v>559</v>
      </c>
      <c r="D7151" t="s">
        <v>30379</v>
      </c>
      <c r="E7151">
        <v>424000</v>
      </c>
      <c r="F7151" t="s">
        <v>1</v>
      </c>
      <c r="G7151" t="s">
        <v>2</v>
      </c>
      <c r="H7151" t="s">
        <v>211</v>
      </c>
      <c r="Y7151" t="s">
        <v>30380</v>
      </c>
    </row>
    <row r="7152" spans="1:25" x14ac:dyDescent="0.25">
      <c r="A7152" t="str">
        <f>"54614650105"</f>
        <v>54614650105</v>
      </c>
      <c r="B7152" t="s">
        <v>1617</v>
      </c>
      <c r="C7152" t="s">
        <v>21001</v>
      </c>
      <c r="D7152" t="s">
        <v>20999</v>
      </c>
      <c r="E7152">
        <v>424033</v>
      </c>
      <c r="F7152" t="s">
        <v>1</v>
      </c>
      <c r="G7152" t="s">
        <v>2</v>
      </c>
      <c r="H7152" t="s">
        <v>25986</v>
      </c>
      <c r="P7152" t="s">
        <v>30381</v>
      </c>
      <c r="Y7152" t="s">
        <v>30382</v>
      </c>
    </row>
    <row r="7153" spans="1:25" x14ac:dyDescent="0.25">
      <c r="A7153" t="str">
        <f>"54618080646"</f>
        <v>54618080646</v>
      </c>
      <c r="B7153" t="s">
        <v>32</v>
      </c>
      <c r="C7153" t="s">
        <v>182</v>
      </c>
      <c r="D7153" t="s">
        <v>30383</v>
      </c>
      <c r="E7153">
        <v>424033</v>
      </c>
      <c r="F7153" t="s">
        <v>1</v>
      </c>
      <c r="G7153" t="s">
        <v>2</v>
      </c>
      <c r="H7153" t="s">
        <v>2342</v>
      </c>
      <c r="I7153" t="s">
        <v>30384</v>
      </c>
      <c r="P7153" t="s">
        <v>30385</v>
      </c>
      <c r="V7153" t="s">
        <v>30386</v>
      </c>
      <c r="Y7153" t="s">
        <v>13169</v>
      </c>
    </row>
    <row r="7154" spans="1:25" x14ac:dyDescent="0.25">
      <c r="A7154" t="str">
        <f>"54638640356"</f>
        <v>54638640356</v>
      </c>
      <c r="B7154" t="s">
        <v>1152</v>
      </c>
      <c r="C7154" t="s">
        <v>30390</v>
      </c>
      <c r="D7154" t="s">
        <v>30387</v>
      </c>
      <c r="E7154">
        <v>424003</v>
      </c>
      <c r="F7154" t="s">
        <v>1</v>
      </c>
      <c r="G7154" t="s">
        <v>2</v>
      </c>
      <c r="H7154" t="s">
        <v>30388</v>
      </c>
      <c r="I7154" t="s">
        <v>19802</v>
      </c>
      <c r="J7154" t="s">
        <v>30389</v>
      </c>
      <c r="P7154" t="s">
        <v>5084</v>
      </c>
      <c r="Y7154" t="s">
        <v>30391</v>
      </c>
    </row>
    <row r="7155" spans="1:25" x14ac:dyDescent="0.25">
      <c r="A7155" t="str">
        <f>"54654105004"</f>
        <v>54654105004</v>
      </c>
      <c r="B7155" t="s">
        <v>1152</v>
      </c>
      <c r="C7155" t="s">
        <v>30396</v>
      </c>
      <c r="D7155" t="s">
        <v>30392</v>
      </c>
      <c r="E7155">
        <v>424019</v>
      </c>
      <c r="F7155" t="s">
        <v>1</v>
      </c>
      <c r="G7155" t="s">
        <v>2</v>
      </c>
      <c r="H7155" t="s">
        <v>30393</v>
      </c>
      <c r="I7155" t="s">
        <v>30394</v>
      </c>
      <c r="J7155" t="s">
        <v>30395</v>
      </c>
      <c r="P7155" t="s">
        <v>30397</v>
      </c>
      <c r="Y7155" t="s">
        <v>30398</v>
      </c>
    </row>
    <row r="7156" spans="1:25" x14ac:dyDescent="0.25">
      <c r="A7156" t="str">
        <f>"54693935356"</f>
        <v>54693935356</v>
      </c>
      <c r="B7156" t="s">
        <v>348</v>
      </c>
      <c r="C7156" t="s">
        <v>26811</v>
      </c>
      <c r="D7156" t="s">
        <v>30399</v>
      </c>
      <c r="E7156">
        <v>424006</v>
      </c>
      <c r="F7156" t="s">
        <v>1</v>
      </c>
      <c r="G7156" t="s">
        <v>2</v>
      </c>
      <c r="H7156" t="s">
        <v>2012</v>
      </c>
      <c r="I7156" t="s">
        <v>30400</v>
      </c>
      <c r="L7156" t="s">
        <v>30401</v>
      </c>
      <c r="M7156" t="s">
        <v>30402</v>
      </c>
      <c r="Y7156" t="s">
        <v>2016</v>
      </c>
    </row>
    <row r="7157" spans="1:25" x14ac:dyDescent="0.25">
      <c r="A7157" t="str">
        <f>"54700104566"</f>
        <v>54700104566</v>
      </c>
      <c r="B7157" t="s">
        <v>978</v>
      </c>
      <c r="C7157" t="s">
        <v>1659</v>
      </c>
      <c r="D7157" t="s">
        <v>30403</v>
      </c>
      <c r="E7157">
        <v>424031</v>
      </c>
      <c r="F7157" t="s">
        <v>1</v>
      </c>
      <c r="G7157" t="s">
        <v>2</v>
      </c>
      <c r="H7157" t="s">
        <v>4622</v>
      </c>
      <c r="M7157" t="s">
        <v>30404</v>
      </c>
      <c r="Y7157" t="s">
        <v>30405</v>
      </c>
    </row>
    <row r="7158" spans="1:25" x14ac:dyDescent="0.25">
      <c r="A7158" t="str">
        <f>"54752308705"</f>
        <v>54752308705</v>
      </c>
      <c r="B7158" t="s">
        <v>388</v>
      </c>
      <c r="C7158" t="s">
        <v>7194</v>
      </c>
      <c r="D7158" t="s">
        <v>30406</v>
      </c>
      <c r="E7158">
        <v>424019</v>
      </c>
      <c r="F7158" t="s">
        <v>1</v>
      </c>
      <c r="G7158" t="s">
        <v>2</v>
      </c>
      <c r="H7158" t="s">
        <v>30407</v>
      </c>
      <c r="I7158" t="s">
        <v>30408</v>
      </c>
      <c r="P7158" t="s">
        <v>10946</v>
      </c>
      <c r="Y7158" t="s">
        <v>30409</v>
      </c>
    </row>
    <row r="7159" spans="1:25" x14ac:dyDescent="0.25">
      <c r="A7159" t="str">
        <f>"54818224707"</f>
        <v>54818224707</v>
      </c>
      <c r="B7159" t="s">
        <v>96</v>
      </c>
      <c r="C7159" t="s">
        <v>659</v>
      </c>
      <c r="D7159" t="s">
        <v>30410</v>
      </c>
      <c r="E7159">
        <v>424000</v>
      </c>
      <c r="F7159" t="s">
        <v>1</v>
      </c>
      <c r="G7159" t="s">
        <v>2</v>
      </c>
      <c r="H7159" t="s">
        <v>1531</v>
      </c>
      <c r="Y7159" t="s">
        <v>30411</v>
      </c>
    </row>
    <row r="7160" spans="1:25" x14ac:dyDescent="0.25">
      <c r="A7160" t="str">
        <f>"54827421714"</f>
        <v>54827421714</v>
      </c>
      <c r="B7160" t="s">
        <v>1152</v>
      </c>
      <c r="C7160" t="s">
        <v>1385</v>
      </c>
      <c r="D7160" t="s">
        <v>30412</v>
      </c>
      <c r="E7160">
        <v>424005</v>
      </c>
      <c r="F7160" t="s">
        <v>1</v>
      </c>
      <c r="G7160" t="s">
        <v>2</v>
      </c>
      <c r="H7160" t="s">
        <v>1298</v>
      </c>
      <c r="Y7160" t="s">
        <v>1301</v>
      </c>
    </row>
    <row r="7161" spans="1:25" x14ac:dyDescent="0.25">
      <c r="A7161" t="str">
        <f>"54869762073"</f>
        <v>54869762073</v>
      </c>
      <c r="B7161" t="s">
        <v>348</v>
      </c>
      <c r="C7161" t="s">
        <v>1854</v>
      </c>
      <c r="D7161" t="s">
        <v>30413</v>
      </c>
      <c r="F7161" t="s">
        <v>1</v>
      </c>
      <c r="G7161" t="s">
        <v>2</v>
      </c>
      <c r="H7161" t="s">
        <v>138</v>
      </c>
      <c r="J7161" t="s">
        <v>30414</v>
      </c>
      <c r="L7161" t="s">
        <v>30415</v>
      </c>
      <c r="M7161" t="s">
        <v>30416</v>
      </c>
      <c r="P7161" t="s">
        <v>144</v>
      </c>
      <c r="Q7161" t="s">
        <v>30417</v>
      </c>
      <c r="V7161" t="s">
        <v>30418</v>
      </c>
      <c r="Y7161" t="s">
        <v>30419</v>
      </c>
    </row>
    <row r="7162" spans="1:25" x14ac:dyDescent="0.25">
      <c r="A7162" t="str">
        <f>"54967318549"</f>
        <v>54967318549</v>
      </c>
      <c r="B7162" t="s">
        <v>930</v>
      </c>
      <c r="C7162" t="s">
        <v>927</v>
      </c>
      <c r="D7162" t="s">
        <v>927</v>
      </c>
      <c r="E7162">
        <v>424019</v>
      </c>
      <c r="F7162" t="s">
        <v>1</v>
      </c>
      <c r="G7162" t="s">
        <v>2</v>
      </c>
      <c r="H7162" t="s">
        <v>16472</v>
      </c>
      <c r="Y7162" t="s">
        <v>30420</v>
      </c>
    </row>
    <row r="7163" spans="1:25" x14ac:dyDescent="0.25">
      <c r="A7163" t="str">
        <f>"54982581673"</f>
        <v>54982581673</v>
      </c>
      <c r="B7163" t="s">
        <v>530</v>
      </c>
      <c r="C7163" t="s">
        <v>23950</v>
      </c>
      <c r="D7163" t="s">
        <v>23950</v>
      </c>
      <c r="F7163" t="s">
        <v>1</v>
      </c>
      <c r="G7163" t="s">
        <v>2</v>
      </c>
      <c r="H7163" t="s">
        <v>29942</v>
      </c>
      <c r="Y7163" t="s">
        <v>30421</v>
      </c>
    </row>
    <row r="7164" spans="1:25" x14ac:dyDescent="0.25">
      <c r="A7164" t="str">
        <f>"54993446917"</f>
        <v>54993446917</v>
      </c>
      <c r="B7164" t="s">
        <v>1352</v>
      </c>
      <c r="C7164" t="s">
        <v>1353</v>
      </c>
      <c r="D7164" t="s">
        <v>30422</v>
      </c>
      <c r="E7164">
        <v>424000</v>
      </c>
      <c r="F7164" t="s">
        <v>1</v>
      </c>
      <c r="G7164" t="s">
        <v>2</v>
      </c>
      <c r="H7164" t="s">
        <v>2671</v>
      </c>
      <c r="J7164" t="s">
        <v>30423</v>
      </c>
      <c r="M7164" t="s">
        <v>30424</v>
      </c>
      <c r="P7164" t="s">
        <v>2050</v>
      </c>
      <c r="V7164" t="s">
        <v>30425</v>
      </c>
      <c r="Y7164" t="s">
        <v>2674</v>
      </c>
    </row>
    <row r="7165" spans="1:25" x14ac:dyDescent="0.25">
      <c r="A7165" t="str">
        <f>"55054957578"</f>
        <v>55054957578</v>
      </c>
      <c r="B7165" t="s">
        <v>352</v>
      </c>
      <c r="C7165" t="s">
        <v>30426</v>
      </c>
      <c r="D7165" t="s">
        <v>18913</v>
      </c>
      <c r="F7165" t="s">
        <v>1</v>
      </c>
      <c r="G7165" t="s">
        <v>2</v>
      </c>
      <c r="H7165" t="s">
        <v>3984</v>
      </c>
      <c r="Y7165" t="s">
        <v>30427</v>
      </c>
    </row>
    <row r="7166" spans="1:25" x14ac:dyDescent="0.25">
      <c r="A7166" t="str">
        <f>"55056102940"</f>
        <v>55056102940</v>
      </c>
      <c r="B7166" t="s">
        <v>482</v>
      </c>
      <c r="C7166" t="s">
        <v>6009</v>
      </c>
      <c r="D7166" t="s">
        <v>12515</v>
      </c>
      <c r="E7166">
        <v>424038</v>
      </c>
      <c r="F7166" t="s">
        <v>1</v>
      </c>
      <c r="G7166" t="s">
        <v>2</v>
      </c>
      <c r="H7166" t="s">
        <v>30428</v>
      </c>
      <c r="I7166" t="s">
        <v>12516</v>
      </c>
      <c r="L7166" t="s">
        <v>12517</v>
      </c>
      <c r="M7166" t="s">
        <v>12518</v>
      </c>
      <c r="P7166" t="s">
        <v>9</v>
      </c>
      <c r="Y7166" t="s">
        <v>30429</v>
      </c>
    </row>
    <row r="7167" spans="1:25" x14ac:dyDescent="0.25">
      <c r="A7167" t="str">
        <f>"55229560007"</f>
        <v>55229560007</v>
      </c>
      <c r="B7167" t="s">
        <v>530</v>
      </c>
      <c r="C7167" t="s">
        <v>10576</v>
      </c>
      <c r="D7167" t="s">
        <v>30430</v>
      </c>
      <c r="E7167">
        <v>424031</v>
      </c>
      <c r="F7167" t="s">
        <v>1</v>
      </c>
      <c r="G7167" t="s">
        <v>2</v>
      </c>
      <c r="H7167" t="s">
        <v>2018</v>
      </c>
      <c r="I7167" t="s">
        <v>30431</v>
      </c>
      <c r="L7167" t="s">
        <v>30432</v>
      </c>
      <c r="M7167" t="s">
        <v>30433</v>
      </c>
      <c r="P7167" t="s">
        <v>27</v>
      </c>
      <c r="Y7167" t="s">
        <v>2131</v>
      </c>
    </row>
    <row r="7168" spans="1:25" x14ac:dyDescent="0.25">
      <c r="A7168" t="str">
        <f>"55238993016"</f>
        <v>55238993016</v>
      </c>
      <c r="B7168" t="s">
        <v>447</v>
      </c>
      <c r="C7168" t="s">
        <v>5875</v>
      </c>
      <c r="D7168" t="s">
        <v>30434</v>
      </c>
      <c r="E7168">
        <v>424016</v>
      </c>
      <c r="F7168" t="s">
        <v>1</v>
      </c>
      <c r="G7168" t="s">
        <v>2</v>
      </c>
      <c r="H7168" t="s">
        <v>673</v>
      </c>
      <c r="Y7168" t="s">
        <v>1072</v>
      </c>
    </row>
    <row r="7169" spans="1:25" x14ac:dyDescent="0.25">
      <c r="A7169" t="str">
        <f>"55252099649"</f>
        <v>55252099649</v>
      </c>
      <c r="B7169" t="s">
        <v>930</v>
      </c>
      <c r="C7169" t="s">
        <v>30436</v>
      </c>
      <c r="D7169" t="s">
        <v>30435</v>
      </c>
      <c r="E7169">
        <v>424006</v>
      </c>
      <c r="F7169" t="s">
        <v>1</v>
      </c>
      <c r="G7169" t="s">
        <v>2</v>
      </c>
      <c r="H7169" t="s">
        <v>4078</v>
      </c>
      <c r="Y7169" t="s">
        <v>4080</v>
      </c>
    </row>
    <row r="7170" spans="1:25" x14ac:dyDescent="0.25">
      <c r="A7170" t="str">
        <f>"55278474508"</f>
        <v>55278474508</v>
      </c>
      <c r="B7170" t="s">
        <v>397</v>
      </c>
      <c r="C7170" t="s">
        <v>26392</v>
      </c>
      <c r="D7170" t="s">
        <v>30437</v>
      </c>
      <c r="E7170">
        <v>424019</v>
      </c>
      <c r="F7170" t="s">
        <v>1</v>
      </c>
      <c r="G7170" t="s">
        <v>2</v>
      </c>
      <c r="H7170" t="s">
        <v>8974</v>
      </c>
      <c r="Y7170" t="s">
        <v>30438</v>
      </c>
    </row>
    <row r="7171" spans="1:25" x14ac:dyDescent="0.25">
      <c r="A7171" t="str">
        <f>"55280430490"</f>
        <v>55280430490</v>
      </c>
      <c r="B7171" t="s">
        <v>25</v>
      </c>
      <c r="C7171" t="s">
        <v>11919</v>
      </c>
      <c r="D7171" t="s">
        <v>30439</v>
      </c>
      <c r="E7171">
        <v>424002</v>
      </c>
      <c r="F7171" t="s">
        <v>1</v>
      </c>
      <c r="G7171" t="s">
        <v>2</v>
      </c>
      <c r="H7171" t="s">
        <v>12740</v>
      </c>
      <c r="J7171" t="s">
        <v>30440</v>
      </c>
      <c r="P7171" t="s">
        <v>27</v>
      </c>
      <c r="Y7171" t="s">
        <v>12744</v>
      </c>
    </row>
    <row r="7172" spans="1:25" x14ac:dyDescent="0.25">
      <c r="A7172" t="str">
        <f>"55308513051"</f>
        <v>55308513051</v>
      </c>
      <c r="B7172" t="s">
        <v>319</v>
      </c>
      <c r="C7172" t="s">
        <v>320</v>
      </c>
      <c r="D7172" t="s">
        <v>30441</v>
      </c>
      <c r="E7172">
        <v>424020</v>
      </c>
      <c r="F7172" t="s">
        <v>1</v>
      </c>
      <c r="G7172" t="s">
        <v>2</v>
      </c>
      <c r="H7172" t="s">
        <v>8643</v>
      </c>
      <c r="J7172" t="s">
        <v>30442</v>
      </c>
      <c r="P7172" t="s">
        <v>216</v>
      </c>
      <c r="Y7172" t="s">
        <v>30443</v>
      </c>
    </row>
    <row r="7173" spans="1:25" x14ac:dyDescent="0.25">
      <c r="A7173" t="str">
        <f>"55319189247"</f>
        <v>55319189247</v>
      </c>
      <c r="B7173" t="s">
        <v>328</v>
      </c>
      <c r="C7173" t="s">
        <v>1920</v>
      </c>
      <c r="D7173" t="s">
        <v>30444</v>
      </c>
      <c r="E7173">
        <v>424008</v>
      </c>
      <c r="F7173" t="s">
        <v>1</v>
      </c>
      <c r="G7173" t="s">
        <v>2</v>
      </c>
      <c r="H7173" t="s">
        <v>7291</v>
      </c>
      <c r="Y7173" t="s">
        <v>30445</v>
      </c>
    </row>
    <row r="7174" spans="1:25" x14ac:dyDescent="0.25">
      <c r="A7174" t="str">
        <f>"55350625564"</f>
        <v>55350625564</v>
      </c>
      <c r="B7174" t="s">
        <v>96</v>
      </c>
      <c r="C7174" t="s">
        <v>893</v>
      </c>
      <c r="D7174" t="s">
        <v>30446</v>
      </c>
      <c r="E7174">
        <v>424019</v>
      </c>
      <c r="F7174" t="s">
        <v>1</v>
      </c>
      <c r="G7174" t="s">
        <v>2</v>
      </c>
      <c r="H7174" t="s">
        <v>1467</v>
      </c>
      <c r="Y7174" t="s">
        <v>1630</v>
      </c>
    </row>
    <row r="7175" spans="1:25" x14ac:dyDescent="0.25">
      <c r="A7175" t="str">
        <f>"55355180282"</f>
        <v>55355180282</v>
      </c>
      <c r="B7175" t="s">
        <v>2104</v>
      </c>
      <c r="C7175" t="s">
        <v>28677</v>
      </c>
      <c r="D7175" t="s">
        <v>30447</v>
      </c>
      <c r="E7175">
        <v>424002</v>
      </c>
      <c r="F7175" t="s">
        <v>1</v>
      </c>
      <c r="G7175" t="s">
        <v>2</v>
      </c>
      <c r="H7175" t="s">
        <v>6502</v>
      </c>
      <c r="L7175" t="s">
        <v>30448</v>
      </c>
      <c r="M7175" t="s">
        <v>30449</v>
      </c>
      <c r="P7175" t="s">
        <v>280</v>
      </c>
      <c r="Y7175" t="s">
        <v>16586</v>
      </c>
    </row>
    <row r="7176" spans="1:25" x14ac:dyDescent="0.25">
      <c r="A7176" t="str">
        <f>"55375991563"</f>
        <v>55375991563</v>
      </c>
      <c r="B7176" t="s">
        <v>96</v>
      </c>
      <c r="C7176" t="s">
        <v>893</v>
      </c>
      <c r="D7176" t="s">
        <v>30450</v>
      </c>
      <c r="E7176">
        <v>424000</v>
      </c>
      <c r="F7176" t="s">
        <v>1</v>
      </c>
      <c r="G7176" t="s">
        <v>2</v>
      </c>
      <c r="H7176" t="s">
        <v>92</v>
      </c>
      <c r="Y7176" t="s">
        <v>28397</v>
      </c>
    </row>
    <row r="7177" spans="1:25" x14ac:dyDescent="0.25">
      <c r="A7177" t="str">
        <f>"55473985574"</f>
        <v>55473985574</v>
      </c>
      <c r="B7177" t="s">
        <v>290</v>
      </c>
      <c r="C7177" t="s">
        <v>11114</v>
      </c>
      <c r="D7177" t="s">
        <v>30451</v>
      </c>
      <c r="E7177">
        <v>424020</v>
      </c>
      <c r="F7177" t="s">
        <v>1</v>
      </c>
      <c r="G7177" t="s">
        <v>2</v>
      </c>
      <c r="H7177" t="s">
        <v>18899</v>
      </c>
      <c r="Y7177" t="s">
        <v>30452</v>
      </c>
    </row>
    <row r="7178" spans="1:25" x14ac:dyDescent="0.25">
      <c r="A7178" t="str">
        <f>"55566084142"</f>
        <v>55566084142</v>
      </c>
      <c r="B7178" t="s">
        <v>25</v>
      </c>
      <c r="C7178" t="s">
        <v>30456</v>
      </c>
      <c r="D7178" t="s">
        <v>22462</v>
      </c>
      <c r="E7178">
        <v>424002</v>
      </c>
      <c r="F7178" t="s">
        <v>1</v>
      </c>
      <c r="G7178" t="s">
        <v>2</v>
      </c>
      <c r="H7178" t="s">
        <v>6502</v>
      </c>
      <c r="J7178" t="s">
        <v>30453</v>
      </c>
      <c r="L7178" t="s">
        <v>30454</v>
      </c>
      <c r="M7178" t="s">
        <v>30455</v>
      </c>
      <c r="P7178" t="s">
        <v>27</v>
      </c>
      <c r="Y7178" t="s">
        <v>16586</v>
      </c>
    </row>
    <row r="7179" spans="1:25" x14ac:dyDescent="0.25">
      <c r="A7179" t="str">
        <f>"55629246237"</f>
        <v>55629246237</v>
      </c>
      <c r="B7179" t="s">
        <v>123</v>
      </c>
      <c r="C7179" t="s">
        <v>424</v>
      </c>
      <c r="D7179" t="s">
        <v>30457</v>
      </c>
      <c r="E7179">
        <v>424028</v>
      </c>
      <c r="F7179" t="s">
        <v>1</v>
      </c>
      <c r="G7179" t="s">
        <v>2</v>
      </c>
      <c r="H7179" t="s">
        <v>20095</v>
      </c>
      <c r="Y7179" t="s">
        <v>30458</v>
      </c>
    </row>
    <row r="7180" spans="1:25" x14ac:dyDescent="0.25">
      <c r="A7180" t="str">
        <f>"55643187255"</f>
        <v>55643187255</v>
      </c>
      <c r="B7180" t="s">
        <v>67</v>
      </c>
      <c r="C7180" t="s">
        <v>27252</v>
      </c>
      <c r="D7180" t="s">
        <v>10280</v>
      </c>
      <c r="E7180">
        <v>424039</v>
      </c>
      <c r="F7180" t="s">
        <v>1</v>
      </c>
      <c r="G7180" t="s">
        <v>2</v>
      </c>
      <c r="H7180" t="s">
        <v>30459</v>
      </c>
      <c r="Y7180" t="s">
        <v>30460</v>
      </c>
    </row>
    <row r="7181" spans="1:25" x14ac:dyDescent="0.25">
      <c r="A7181" t="str">
        <f>"55715709118"</f>
        <v>55715709118</v>
      </c>
      <c r="B7181" t="s">
        <v>67</v>
      </c>
      <c r="C7181" t="s">
        <v>832</v>
      </c>
      <c r="D7181" t="s">
        <v>30461</v>
      </c>
      <c r="E7181">
        <v>424002</v>
      </c>
      <c r="F7181" t="s">
        <v>1</v>
      </c>
      <c r="G7181" t="s">
        <v>2</v>
      </c>
      <c r="H7181" t="s">
        <v>3068</v>
      </c>
      <c r="I7181" t="s">
        <v>30462</v>
      </c>
      <c r="L7181" t="s">
        <v>30463</v>
      </c>
      <c r="M7181" t="s">
        <v>30464</v>
      </c>
      <c r="P7181" t="s">
        <v>30465</v>
      </c>
      <c r="Y7181" t="s">
        <v>20005</v>
      </c>
    </row>
    <row r="7182" spans="1:25" x14ac:dyDescent="0.25">
      <c r="A7182" t="str">
        <f>"55717094045"</f>
        <v>55717094045</v>
      </c>
      <c r="B7182" t="s">
        <v>1352</v>
      </c>
      <c r="C7182" t="s">
        <v>1353</v>
      </c>
      <c r="D7182" t="s">
        <v>30466</v>
      </c>
      <c r="E7182">
        <v>424002</v>
      </c>
      <c r="F7182" t="s">
        <v>1</v>
      </c>
      <c r="G7182" t="s">
        <v>2</v>
      </c>
      <c r="H7182" t="s">
        <v>57</v>
      </c>
      <c r="J7182" t="s">
        <v>30467</v>
      </c>
      <c r="P7182" t="s">
        <v>30468</v>
      </c>
      <c r="Q7182" t="s">
        <v>30469</v>
      </c>
      <c r="Y7182" t="s">
        <v>3783</v>
      </c>
    </row>
    <row r="7183" spans="1:25" x14ac:dyDescent="0.25">
      <c r="A7183" t="str">
        <f>"55728279701"</f>
        <v>55728279701</v>
      </c>
      <c r="B7183" t="s">
        <v>2677</v>
      </c>
      <c r="C7183" t="s">
        <v>30473</v>
      </c>
      <c r="D7183" t="s">
        <v>30470</v>
      </c>
      <c r="E7183">
        <v>424032</v>
      </c>
      <c r="F7183" t="s">
        <v>1</v>
      </c>
      <c r="G7183" t="s">
        <v>2</v>
      </c>
      <c r="H7183" t="s">
        <v>2938</v>
      </c>
      <c r="L7183" t="s">
        <v>30471</v>
      </c>
      <c r="M7183" t="s">
        <v>30472</v>
      </c>
      <c r="Y7183" t="s">
        <v>12725</v>
      </c>
    </row>
    <row r="7184" spans="1:25" x14ac:dyDescent="0.25">
      <c r="A7184" t="str">
        <f>"55736607808"</f>
        <v>55736607808</v>
      </c>
      <c r="B7184" t="s">
        <v>290</v>
      </c>
      <c r="C7184" t="s">
        <v>11114</v>
      </c>
      <c r="D7184" t="s">
        <v>25503</v>
      </c>
      <c r="E7184">
        <v>424002</v>
      </c>
      <c r="F7184" t="s">
        <v>1</v>
      </c>
      <c r="G7184" t="s">
        <v>2</v>
      </c>
      <c r="H7184" t="s">
        <v>3864</v>
      </c>
      <c r="P7184" t="s">
        <v>98</v>
      </c>
      <c r="Y7184" t="s">
        <v>3867</v>
      </c>
    </row>
    <row r="7185" spans="1:25" x14ac:dyDescent="0.25">
      <c r="A7185" t="str">
        <f>"55753644901"</f>
        <v>55753644901</v>
      </c>
      <c r="B7185" t="s">
        <v>790</v>
      </c>
      <c r="C7185" t="s">
        <v>13430</v>
      </c>
      <c r="D7185" t="s">
        <v>13426</v>
      </c>
      <c r="E7185">
        <v>424038</v>
      </c>
      <c r="F7185" t="s">
        <v>1</v>
      </c>
      <c r="G7185" t="s">
        <v>2</v>
      </c>
      <c r="H7185" t="s">
        <v>7597</v>
      </c>
      <c r="I7185" t="s">
        <v>13427</v>
      </c>
      <c r="L7185" t="s">
        <v>30474</v>
      </c>
      <c r="M7185" t="s">
        <v>30475</v>
      </c>
      <c r="P7185" t="s">
        <v>1642</v>
      </c>
      <c r="Q7185" t="s">
        <v>30476</v>
      </c>
      <c r="T7185" t="s">
        <v>30477</v>
      </c>
      <c r="Y7185" t="s">
        <v>30478</v>
      </c>
    </row>
    <row r="7186" spans="1:25" x14ac:dyDescent="0.25">
      <c r="A7186" t="str">
        <f>"55772173658"</f>
        <v>55772173658</v>
      </c>
      <c r="B7186" t="s">
        <v>25</v>
      </c>
      <c r="C7186" t="s">
        <v>20320</v>
      </c>
      <c r="D7186" t="s">
        <v>30479</v>
      </c>
      <c r="F7186" t="s">
        <v>1</v>
      </c>
      <c r="G7186" t="s">
        <v>2</v>
      </c>
      <c r="H7186" t="s">
        <v>30480</v>
      </c>
      <c r="Y7186" t="s">
        <v>30481</v>
      </c>
    </row>
    <row r="7187" spans="1:25" x14ac:dyDescent="0.25">
      <c r="A7187" t="str">
        <f>"55812158614"</f>
        <v>55812158614</v>
      </c>
      <c r="B7187" t="s">
        <v>654</v>
      </c>
      <c r="C7187" t="s">
        <v>30487</v>
      </c>
      <c r="D7187" t="s">
        <v>30482</v>
      </c>
      <c r="F7187" t="s">
        <v>1</v>
      </c>
      <c r="G7187" t="s">
        <v>2</v>
      </c>
      <c r="H7187" t="s">
        <v>30483</v>
      </c>
      <c r="I7187" t="s">
        <v>30484</v>
      </c>
      <c r="J7187" t="s">
        <v>30485</v>
      </c>
      <c r="L7187" t="s">
        <v>30486</v>
      </c>
      <c r="P7187" t="s">
        <v>9</v>
      </c>
      <c r="Q7187" t="s">
        <v>30488</v>
      </c>
      <c r="V7187" t="s">
        <v>30489</v>
      </c>
      <c r="Y7187" t="s">
        <v>30490</v>
      </c>
    </row>
    <row r="7188" spans="1:25" x14ac:dyDescent="0.25">
      <c r="A7188" t="str">
        <f>"55831227793"</f>
        <v>55831227793</v>
      </c>
      <c r="B7188" t="s">
        <v>574</v>
      </c>
      <c r="C7188" t="s">
        <v>25422</v>
      </c>
      <c r="D7188" t="s">
        <v>29750</v>
      </c>
      <c r="E7188">
        <v>424038</v>
      </c>
      <c r="F7188" t="s">
        <v>1</v>
      </c>
      <c r="G7188" t="s">
        <v>2</v>
      </c>
      <c r="H7188" t="s">
        <v>2614</v>
      </c>
      <c r="P7188" t="s">
        <v>10150</v>
      </c>
      <c r="Y7188" t="s">
        <v>30491</v>
      </c>
    </row>
    <row r="7189" spans="1:25" x14ac:dyDescent="0.25">
      <c r="A7189" t="str">
        <f>"55854615938"</f>
        <v>55854615938</v>
      </c>
      <c r="B7189" t="s">
        <v>1343</v>
      </c>
      <c r="C7189" t="s">
        <v>5308</v>
      </c>
      <c r="D7189" t="s">
        <v>24868</v>
      </c>
      <c r="E7189">
        <v>424019</v>
      </c>
      <c r="F7189" t="s">
        <v>1</v>
      </c>
      <c r="G7189" t="s">
        <v>2</v>
      </c>
      <c r="H7189" t="s">
        <v>10665</v>
      </c>
      <c r="J7189" t="s">
        <v>30492</v>
      </c>
      <c r="P7189" t="s">
        <v>1404</v>
      </c>
      <c r="Y7189" t="s">
        <v>30493</v>
      </c>
    </row>
    <row r="7190" spans="1:25" x14ac:dyDescent="0.25">
      <c r="A7190" t="str">
        <f>"55857007261"</f>
        <v>55857007261</v>
      </c>
      <c r="B7190" t="s">
        <v>151</v>
      </c>
      <c r="C7190" t="s">
        <v>1034</v>
      </c>
      <c r="D7190" t="s">
        <v>30494</v>
      </c>
      <c r="E7190">
        <v>424000</v>
      </c>
      <c r="F7190" t="s">
        <v>1</v>
      </c>
      <c r="G7190" t="s">
        <v>2</v>
      </c>
      <c r="H7190" t="s">
        <v>2299</v>
      </c>
      <c r="Y7190" t="s">
        <v>2302</v>
      </c>
    </row>
    <row r="7191" spans="1:25" x14ac:dyDescent="0.25">
      <c r="A7191" t="str">
        <f>"55869934305"</f>
        <v>55869934305</v>
      </c>
      <c r="B7191" t="s">
        <v>397</v>
      </c>
      <c r="C7191" t="s">
        <v>5148</v>
      </c>
      <c r="D7191" t="s">
        <v>30495</v>
      </c>
      <c r="F7191" t="s">
        <v>1</v>
      </c>
      <c r="G7191" t="s">
        <v>2</v>
      </c>
      <c r="H7191" t="s">
        <v>4897</v>
      </c>
      <c r="J7191" t="s">
        <v>30496</v>
      </c>
      <c r="P7191" t="s">
        <v>7288</v>
      </c>
      <c r="Y7191" t="s">
        <v>4900</v>
      </c>
    </row>
    <row r="7192" spans="1:25" x14ac:dyDescent="0.25">
      <c r="A7192" t="str">
        <f>"55931482826"</f>
        <v>55931482826</v>
      </c>
      <c r="B7192" t="s">
        <v>574</v>
      </c>
      <c r="C7192" t="s">
        <v>646</v>
      </c>
      <c r="D7192" t="s">
        <v>4221</v>
      </c>
      <c r="E7192">
        <v>424030</v>
      </c>
      <c r="F7192" t="s">
        <v>1</v>
      </c>
      <c r="G7192" t="s">
        <v>2</v>
      </c>
      <c r="H7192" t="s">
        <v>30497</v>
      </c>
      <c r="Y7192" t="s">
        <v>30498</v>
      </c>
    </row>
    <row r="7193" spans="1:25" x14ac:dyDescent="0.25">
      <c r="A7193" t="str">
        <f>"55973185537"</f>
        <v>55973185537</v>
      </c>
      <c r="B7193" t="s">
        <v>96</v>
      </c>
      <c r="C7193" t="s">
        <v>30501</v>
      </c>
      <c r="D7193" t="s">
        <v>30499</v>
      </c>
      <c r="E7193">
        <v>424038</v>
      </c>
      <c r="F7193" t="s">
        <v>1</v>
      </c>
      <c r="G7193" t="s">
        <v>2</v>
      </c>
      <c r="H7193" t="s">
        <v>13986</v>
      </c>
      <c r="J7193" t="s">
        <v>30500</v>
      </c>
      <c r="P7193" t="s">
        <v>15510</v>
      </c>
      <c r="Y7193" t="s">
        <v>30502</v>
      </c>
    </row>
    <row r="7194" spans="1:25" x14ac:dyDescent="0.25">
      <c r="A7194" t="str">
        <f>"55993750656"</f>
        <v>55993750656</v>
      </c>
      <c r="B7194" t="s">
        <v>1544</v>
      </c>
      <c r="C7194" t="s">
        <v>7974</v>
      </c>
      <c r="D7194" t="s">
        <v>28272</v>
      </c>
      <c r="E7194">
        <v>424003</v>
      </c>
      <c r="F7194" t="s">
        <v>1</v>
      </c>
      <c r="G7194" t="s">
        <v>2</v>
      </c>
      <c r="H7194" t="s">
        <v>1725</v>
      </c>
      <c r="Y7194" t="s">
        <v>3999</v>
      </c>
    </row>
    <row r="7195" spans="1:25" x14ac:dyDescent="0.25">
      <c r="A7195" t="str">
        <f>"55996886010"</f>
        <v>55996886010</v>
      </c>
      <c r="B7195" t="s">
        <v>18</v>
      </c>
      <c r="C7195" t="s">
        <v>21015</v>
      </c>
      <c r="D7195" t="s">
        <v>30503</v>
      </c>
      <c r="E7195">
        <v>424003</v>
      </c>
      <c r="F7195" t="s">
        <v>1</v>
      </c>
      <c r="G7195" t="s">
        <v>2</v>
      </c>
      <c r="H7195" t="s">
        <v>30504</v>
      </c>
      <c r="I7195" t="s">
        <v>30505</v>
      </c>
      <c r="L7195" t="s">
        <v>30506</v>
      </c>
      <c r="M7195" t="s">
        <v>30507</v>
      </c>
      <c r="P7195" t="s">
        <v>1514</v>
      </c>
      <c r="V7195" t="s">
        <v>30508</v>
      </c>
      <c r="Y7195" t="s">
        <v>30509</v>
      </c>
    </row>
    <row r="7196" spans="1:25" x14ac:dyDescent="0.25">
      <c r="A7196" t="str">
        <f>"56033557004"</f>
        <v>56033557004</v>
      </c>
      <c r="B7196" t="s">
        <v>319</v>
      </c>
      <c r="C7196" t="s">
        <v>320</v>
      </c>
      <c r="D7196" t="s">
        <v>30510</v>
      </c>
      <c r="E7196">
        <v>424038</v>
      </c>
      <c r="F7196" t="s">
        <v>1</v>
      </c>
      <c r="G7196" t="s">
        <v>2</v>
      </c>
      <c r="H7196" t="s">
        <v>21507</v>
      </c>
      <c r="Y7196" t="s">
        <v>30511</v>
      </c>
    </row>
    <row r="7197" spans="1:25" x14ac:dyDescent="0.25">
      <c r="A7197" t="str">
        <f>"56039548016"</f>
        <v>56039548016</v>
      </c>
      <c r="B7197" t="s">
        <v>25</v>
      </c>
      <c r="C7197" t="s">
        <v>59</v>
      </c>
      <c r="D7197" t="s">
        <v>30512</v>
      </c>
      <c r="E7197">
        <v>424006</v>
      </c>
      <c r="F7197" t="s">
        <v>1</v>
      </c>
      <c r="G7197" t="s">
        <v>2</v>
      </c>
      <c r="H7197" t="s">
        <v>2012</v>
      </c>
      <c r="I7197" t="s">
        <v>30513</v>
      </c>
      <c r="K7197" t="s">
        <v>17133</v>
      </c>
      <c r="P7197" t="s">
        <v>3456</v>
      </c>
      <c r="Y7197" t="s">
        <v>2016</v>
      </c>
    </row>
    <row r="7198" spans="1:25" x14ac:dyDescent="0.25">
      <c r="A7198" t="str">
        <f>"56043011052"</f>
        <v>56043011052</v>
      </c>
      <c r="B7198" t="s">
        <v>430</v>
      </c>
      <c r="C7198" t="s">
        <v>940</v>
      </c>
      <c r="D7198" t="s">
        <v>30514</v>
      </c>
      <c r="E7198">
        <v>424033</v>
      </c>
      <c r="F7198" t="s">
        <v>1</v>
      </c>
      <c r="G7198" t="s">
        <v>2</v>
      </c>
      <c r="H7198" t="s">
        <v>4300</v>
      </c>
      <c r="J7198" t="s">
        <v>30515</v>
      </c>
      <c r="L7198" t="s">
        <v>30516</v>
      </c>
      <c r="M7198" t="s">
        <v>30517</v>
      </c>
      <c r="P7198" t="s">
        <v>133</v>
      </c>
      <c r="Y7198" t="s">
        <v>30518</v>
      </c>
    </row>
    <row r="7199" spans="1:25" x14ac:dyDescent="0.25">
      <c r="A7199" t="str">
        <f>"56128210758"</f>
        <v>56128210758</v>
      </c>
      <c r="B7199" t="s">
        <v>640</v>
      </c>
      <c r="C7199" t="s">
        <v>26599</v>
      </c>
      <c r="D7199" t="s">
        <v>30519</v>
      </c>
      <c r="E7199">
        <v>424000</v>
      </c>
      <c r="F7199" t="s">
        <v>1</v>
      </c>
      <c r="G7199" t="s">
        <v>2</v>
      </c>
      <c r="H7199" t="s">
        <v>128</v>
      </c>
      <c r="J7199" t="s">
        <v>30520</v>
      </c>
      <c r="P7199" t="s">
        <v>2438</v>
      </c>
      <c r="Y7199" t="s">
        <v>5640</v>
      </c>
    </row>
    <row r="7200" spans="1:25" x14ac:dyDescent="0.25">
      <c r="A7200" t="str">
        <f>"56134266663"</f>
        <v>56134266663</v>
      </c>
      <c r="B7200" t="s">
        <v>328</v>
      </c>
      <c r="C7200" t="s">
        <v>8392</v>
      </c>
      <c r="D7200" t="s">
        <v>27274</v>
      </c>
      <c r="E7200">
        <v>424000</v>
      </c>
      <c r="F7200" t="s">
        <v>1</v>
      </c>
      <c r="G7200" t="s">
        <v>2</v>
      </c>
      <c r="H7200" t="s">
        <v>837</v>
      </c>
      <c r="I7200" t="s">
        <v>30521</v>
      </c>
      <c r="J7200" t="s">
        <v>30522</v>
      </c>
      <c r="L7200" t="s">
        <v>27277</v>
      </c>
      <c r="M7200" t="s">
        <v>27278</v>
      </c>
      <c r="P7200" t="s">
        <v>4126</v>
      </c>
      <c r="Y7200" t="s">
        <v>2964</v>
      </c>
    </row>
    <row r="7201" spans="1:25" x14ac:dyDescent="0.25">
      <c r="A7201" t="str">
        <f>"56137719434"</f>
        <v>56137719434</v>
      </c>
      <c r="B7201" t="s">
        <v>790</v>
      </c>
      <c r="C7201" t="s">
        <v>30527</v>
      </c>
      <c r="D7201" t="s">
        <v>30523</v>
      </c>
      <c r="E7201">
        <v>424007</v>
      </c>
      <c r="F7201" t="s">
        <v>1</v>
      </c>
      <c r="G7201" t="s">
        <v>2</v>
      </c>
      <c r="H7201" t="s">
        <v>15418</v>
      </c>
      <c r="J7201" t="s">
        <v>30524</v>
      </c>
      <c r="L7201" t="s">
        <v>30525</v>
      </c>
      <c r="M7201" t="s">
        <v>30526</v>
      </c>
      <c r="P7201" t="s">
        <v>60</v>
      </c>
      <c r="Y7201" t="s">
        <v>30528</v>
      </c>
    </row>
    <row r="7202" spans="1:25" x14ac:dyDescent="0.25">
      <c r="A7202" t="str">
        <f>"56206887455"</f>
        <v>56206887455</v>
      </c>
      <c r="B7202" t="s">
        <v>1343</v>
      </c>
      <c r="C7202" t="s">
        <v>5308</v>
      </c>
      <c r="D7202" t="s">
        <v>7359</v>
      </c>
      <c r="E7202">
        <v>424003</v>
      </c>
      <c r="F7202" t="s">
        <v>1</v>
      </c>
      <c r="G7202" t="s">
        <v>2</v>
      </c>
      <c r="H7202" t="s">
        <v>4546</v>
      </c>
      <c r="J7202" t="s">
        <v>30529</v>
      </c>
      <c r="P7202" t="s">
        <v>2731</v>
      </c>
      <c r="Y7202" t="s">
        <v>30530</v>
      </c>
    </row>
    <row r="7203" spans="1:25" x14ac:dyDescent="0.25">
      <c r="A7203" t="str">
        <f>"56214916399"</f>
        <v>56214916399</v>
      </c>
      <c r="B7203" t="s">
        <v>1152</v>
      </c>
      <c r="C7203" t="s">
        <v>1153</v>
      </c>
      <c r="D7203" t="s">
        <v>10280</v>
      </c>
      <c r="E7203">
        <v>424033</v>
      </c>
      <c r="F7203" t="s">
        <v>1</v>
      </c>
      <c r="G7203" t="s">
        <v>2</v>
      </c>
      <c r="H7203" t="s">
        <v>10720</v>
      </c>
      <c r="Y7203" t="s">
        <v>30531</v>
      </c>
    </row>
    <row r="7204" spans="1:25" x14ac:dyDescent="0.25">
      <c r="A7204" t="str">
        <f>"56215008871"</f>
        <v>56215008871</v>
      </c>
      <c r="B7204" t="s">
        <v>188</v>
      </c>
      <c r="C7204" t="s">
        <v>8311</v>
      </c>
      <c r="D7204" t="s">
        <v>14927</v>
      </c>
      <c r="E7204">
        <v>424033</v>
      </c>
      <c r="F7204" t="s">
        <v>1</v>
      </c>
      <c r="G7204" t="s">
        <v>2</v>
      </c>
      <c r="H7204" t="s">
        <v>9700</v>
      </c>
      <c r="J7204" t="s">
        <v>30532</v>
      </c>
      <c r="M7204" t="s">
        <v>30533</v>
      </c>
      <c r="P7204" t="s">
        <v>13820</v>
      </c>
      <c r="Y7204" t="s">
        <v>30534</v>
      </c>
    </row>
    <row r="7205" spans="1:25" x14ac:dyDescent="0.25">
      <c r="A7205" t="str">
        <f>"56264035140"</f>
        <v>56264035140</v>
      </c>
      <c r="B7205" t="s">
        <v>176</v>
      </c>
      <c r="C7205" t="s">
        <v>27547</v>
      </c>
      <c r="D7205" t="s">
        <v>27545</v>
      </c>
      <c r="F7205" t="s">
        <v>1</v>
      </c>
      <c r="G7205" t="s">
        <v>2</v>
      </c>
      <c r="H7205" t="s">
        <v>30535</v>
      </c>
      <c r="Y7205" t="s">
        <v>30536</v>
      </c>
    </row>
    <row r="7206" spans="1:25" x14ac:dyDescent="0.25">
      <c r="A7206" t="str">
        <f>"56269248343"</f>
        <v>56269248343</v>
      </c>
      <c r="B7206" t="s">
        <v>88</v>
      </c>
      <c r="C7206" t="s">
        <v>17949</v>
      </c>
      <c r="D7206" t="s">
        <v>30537</v>
      </c>
      <c r="F7206" t="s">
        <v>1</v>
      </c>
      <c r="G7206" t="s">
        <v>2</v>
      </c>
      <c r="H7206" t="s">
        <v>138</v>
      </c>
      <c r="J7206" t="s">
        <v>30538</v>
      </c>
      <c r="M7206" t="s">
        <v>30539</v>
      </c>
      <c r="P7206" t="s">
        <v>144</v>
      </c>
      <c r="Y7206" t="s">
        <v>30540</v>
      </c>
    </row>
    <row r="7207" spans="1:25" x14ac:dyDescent="0.25">
      <c r="A7207" t="str">
        <f>"56302977337"</f>
        <v>56302977337</v>
      </c>
      <c r="B7207" t="s">
        <v>233</v>
      </c>
      <c r="C7207" t="s">
        <v>14003</v>
      </c>
      <c r="D7207" t="s">
        <v>24316</v>
      </c>
      <c r="E7207">
        <v>424006</v>
      </c>
      <c r="F7207" t="s">
        <v>1</v>
      </c>
      <c r="G7207" t="s">
        <v>2</v>
      </c>
      <c r="H7207" t="s">
        <v>10019</v>
      </c>
      <c r="Y7207" t="s">
        <v>30541</v>
      </c>
    </row>
    <row r="7208" spans="1:25" x14ac:dyDescent="0.25">
      <c r="A7208" t="str">
        <f>"56318003743"</f>
        <v>56318003743</v>
      </c>
      <c r="B7208" t="s">
        <v>25</v>
      </c>
      <c r="C7208" t="s">
        <v>20320</v>
      </c>
      <c r="D7208" t="s">
        <v>30542</v>
      </c>
      <c r="E7208">
        <v>424031</v>
      </c>
      <c r="F7208" t="s">
        <v>1</v>
      </c>
      <c r="G7208" t="s">
        <v>2</v>
      </c>
      <c r="H7208" t="s">
        <v>106</v>
      </c>
      <c r="Y7208" t="s">
        <v>30543</v>
      </c>
    </row>
    <row r="7209" spans="1:25" x14ac:dyDescent="0.25">
      <c r="A7209" t="str">
        <f>"56319655600"</f>
        <v>56319655600</v>
      </c>
      <c r="B7209" t="s">
        <v>290</v>
      </c>
      <c r="C7209" t="s">
        <v>290</v>
      </c>
      <c r="D7209" t="s">
        <v>30544</v>
      </c>
      <c r="E7209">
        <v>424002</v>
      </c>
      <c r="F7209" t="s">
        <v>1</v>
      </c>
      <c r="G7209" t="s">
        <v>2</v>
      </c>
      <c r="H7209" t="s">
        <v>3877</v>
      </c>
      <c r="P7209" t="s">
        <v>30545</v>
      </c>
      <c r="Y7209" t="s">
        <v>3881</v>
      </c>
    </row>
    <row r="7210" spans="1:25" x14ac:dyDescent="0.25">
      <c r="A7210" t="str">
        <f>"56334651604"</f>
        <v>56334651604</v>
      </c>
      <c r="B7210" t="s">
        <v>25</v>
      </c>
      <c r="C7210" t="s">
        <v>20320</v>
      </c>
      <c r="D7210" t="s">
        <v>30546</v>
      </c>
      <c r="E7210">
        <v>424037</v>
      </c>
      <c r="F7210" t="s">
        <v>1</v>
      </c>
      <c r="G7210" t="s">
        <v>2</v>
      </c>
      <c r="H7210" t="s">
        <v>2781</v>
      </c>
      <c r="J7210" t="s">
        <v>30547</v>
      </c>
      <c r="P7210" t="s">
        <v>330</v>
      </c>
      <c r="Q7210" t="s">
        <v>30548</v>
      </c>
      <c r="Y7210" t="s">
        <v>30549</v>
      </c>
    </row>
    <row r="7211" spans="1:25" x14ac:dyDescent="0.25">
      <c r="A7211" t="str">
        <f>"56352399216"</f>
        <v>56352399216</v>
      </c>
      <c r="B7211" t="s">
        <v>32</v>
      </c>
      <c r="C7211" t="s">
        <v>15493</v>
      </c>
      <c r="D7211" t="s">
        <v>30550</v>
      </c>
      <c r="E7211">
        <v>424000</v>
      </c>
      <c r="F7211" t="s">
        <v>1</v>
      </c>
      <c r="G7211" t="s">
        <v>2</v>
      </c>
      <c r="H7211" t="s">
        <v>12303</v>
      </c>
      <c r="I7211" t="s">
        <v>30551</v>
      </c>
      <c r="J7211" t="s">
        <v>30552</v>
      </c>
      <c r="P7211" t="s">
        <v>30553</v>
      </c>
      <c r="V7211" t="s">
        <v>30554</v>
      </c>
      <c r="Y7211" t="s">
        <v>13335</v>
      </c>
    </row>
    <row r="7212" spans="1:25" x14ac:dyDescent="0.25">
      <c r="A7212" t="str">
        <f>"56375462756"</f>
        <v>56375462756</v>
      </c>
      <c r="B7212" t="s">
        <v>790</v>
      </c>
      <c r="C7212" t="s">
        <v>4442</v>
      </c>
      <c r="D7212" t="s">
        <v>30555</v>
      </c>
      <c r="E7212">
        <v>424031</v>
      </c>
      <c r="F7212" t="s">
        <v>1</v>
      </c>
      <c r="G7212" t="s">
        <v>2</v>
      </c>
      <c r="H7212" t="s">
        <v>413</v>
      </c>
      <c r="I7212" t="s">
        <v>30556</v>
      </c>
      <c r="J7212" t="s">
        <v>30557</v>
      </c>
      <c r="P7212" t="s">
        <v>1404</v>
      </c>
      <c r="Q7212" t="s">
        <v>30558</v>
      </c>
      <c r="Y7212" t="s">
        <v>1421</v>
      </c>
    </row>
    <row r="7213" spans="1:25" x14ac:dyDescent="0.25">
      <c r="A7213" t="str">
        <f>"56378915275"</f>
        <v>56378915275</v>
      </c>
      <c r="B7213" t="s">
        <v>96</v>
      </c>
      <c r="C7213" t="s">
        <v>695</v>
      </c>
      <c r="D7213" t="s">
        <v>7507</v>
      </c>
      <c r="E7213">
        <v>424007</v>
      </c>
      <c r="F7213" t="s">
        <v>1</v>
      </c>
      <c r="G7213" t="s">
        <v>2</v>
      </c>
      <c r="H7213" t="s">
        <v>30559</v>
      </c>
      <c r="J7213" t="s">
        <v>30560</v>
      </c>
      <c r="P7213" t="s">
        <v>6764</v>
      </c>
      <c r="Y7213" t="s">
        <v>30561</v>
      </c>
    </row>
    <row r="7214" spans="1:25" x14ac:dyDescent="0.25">
      <c r="A7214" t="str">
        <f>"56409611231"</f>
        <v>56409611231</v>
      </c>
      <c r="B7214" t="s">
        <v>482</v>
      </c>
      <c r="C7214" t="s">
        <v>6009</v>
      </c>
      <c r="D7214" t="s">
        <v>30562</v>
      </c>
      <c r="E7214">
        <v>424038</v>
      </c>
      <c r="F7214" t="s">
        <v>1</v>
      </c>
      <c r="G7214" t="s">
        <v>2</v>
      </c>
      <c r="H7214" t="s">
        <v>23978</v>
      </c>
      <c r="J7214" t="s">
        <v>30563</v>
      </c>
      <c r="P7214" t="s">
        <v>330</v>
      </c>
      <c r="Y7214" t="s">
        <v>30564</v>
      </c>
    </row>
    <row r="7215" spans="1:25" x14ac:dyDescent="0.25">
      <c r="A7215" t="str">
        <f>"56430577243"</f>
        <v>56430577243</v>
      </c>
      <c r="B7215" t="s">
        <v>1544</v>
      </c>
      <c r="C7215" t="s">
        <v>30567</v>
      </c>
      <c r="D7215" t="s">
        <v>15669</v>
      </c>
      <c r="E7215">
        <v>424031</v>
      </c>
      <c r="F7215" t="s">
        <v>1</v>
      </c>
      <c r="G7215" t="s">
        <v>2</v>
      </c>
      <c r="H7215" t="s">
        <v>30565</v>
      </c>
      <c r="I7215" t="s">
        <v>30566</v>
      </c>
      <c r="P7215" t="s">
        <v>330</v>
      </c>
      <c r="Y7215" t="s">
        <v>30568</v>
      </c>
    </row>
    <row r="7216" spans="1:25" x14ac:dyDescent="0.25">
      <c r="A7216" t="str">
        <f>"56480086355"</f>
        <v>56480086355</v>
      </c>
      <c r="B7216" t="s">
        <v>1573</v>
      </c>
      <c r="C7216" t="s">
        <v>1817</v>
      </c>
      <c r="D7216" t="s">
        <v>24854</v>
      </c>
      <c r="E7216">
        <v>424028</v>
      </c>
      <c r="F7216" t="s">
        <v>1</v>
      </c>
      <c r="G7216" t="s">
        <v>2</v>
      </c>
      <c r="H7216" t="s">
        <v>30569</v>
      </c>
      <c r="Y7216" t="s">
        <v>30570</v>
      </c>
    </row>
    <row r="7217" spans="1:25" x14ac:dyDescent="0.25">
      <c r="A7217" t="str">
        <f>"56495649330"</f>
        <v>56495649330</v>
      </c>
      <c r="B7217" t="s">
        <v>1617</v>
      </c>
      <c r="C7217" t="s">
        <v>21001</v>
      </c>
      <c r="D7217" t="s">
        <v>20999</v>
      </c>
      <c r="F7217" t="s">
        <v>1</v>
      </c>
      <c r="G7217" t="s">
        <v>2</v>
      </c>
      <c r="H7217" t="s">
        <v>30571</v>
      </c>
      <c r="Y7217" t="s">
        <v>30572</v>
      </c>
    </row>
    <row r="7218" spans="1:25" x14ac:dyDescent="0.25">
      <c r="A7218" t="str">
        <f>"56502333316"</f>
        <v>56502333316</v>
      </c>
      <c r="B7218" t="s">
        <v>151</v>
      </c>
      <c r="C7218" t="s">
        <v>30578</v>
      </c>
      <c r="D7218" t="s">
        <v>30573</v>
      </c>
      <c r="E7218">
        <v>424033</v>
      </c>
      <c r="F7218" t="s">
        <v>1</v>
      </c>
      <c r="G7218" t="s">
        <v>2</v>
      </c>
      <c r="H7218" t="s">
        <v>30574</v>
      </c>
      <c r="J7218" t="s">
        <v>30575</v>
      </c>
      <c r="L7218" t="s">
        <v>30576</v>
      </c>
      <c r="M7218" t="s">
        <v>30577</v>
      </c>
      <c r="P7218" t="s">
        <v>330</v>
      </c>
      <c r="Q7218" t="s">
        <v>30579</v>
      </c>
      <c r="T7218" t="s">
        <v>30580</v>
      </c>
      <c r="U7218" t="s">
        <v>30581</v>
      </c>
      <c r="V7218" t="s">
        <v>30582</v>
      </c>
      <c r="Y7218" t="s">
        <v>30583</v>
      </c>
    </row>
    <row r="7219" spans="1:25" x14ac:dyDescent="0.25">
      <c r="A7219" t="str">
        <f>"56522569583"</f>
        <v>56522569583</v>
      </c>
      <c r="B7219" t="s">
        <v>96</v>
      </c>
      <c r="C7219" t="s">
        <v>30588</v>
      </c>
      <c r="D7219" t="s">
        <v>30584</v>
      </c>
      <c r="E7219">
        <v>424002</v>
      </c>
      <c r="F7219" t="s">
        <v>1</v>
      </c>
      <c r="G7219" t="s">
        <v>2</v>
      </c>
      <c r="H7219" t="s">
        <v>570</v>
      </c>
      <c r="I7219" t="s">
        <v>30585</v>
      </c>
      <c r="L7219" t="s">
        <v>30586</v>
      </c>
      <c r="M7219" t="s">
        <v>30587</v>
      </c>
      <c r="P7219" t="s">
        <v>2438</v>
      </c>
      <c r="Y7219" t="s">
        <v>18782</v>
      </c>
    </row>
    <row r="7220" spans="1:25" x14ac:dyDescent="0.25">
      <c r="A7220" t="str">
        <f>"56528878131"</f>
        <v>56528878131</v>
      </c>
      <c r="B7220" t="s">
        <v>574</v>
      </c>
      <c r="C7220" t="s">
        <v>9802</v>
      </c>
      <c r="D7220" t="s">
        <v>30589</v>
      </c>
      <c r="E7220">
        <v>424038</v>
      </c>
      <c r="F7220" t="s">
        <v>1</v>
      </c>
      <c r="G7220" t="s">
        <v>2</v>
      </c>
      <c r="H7220" t="s">
        <v>13986</v>
      </c>
      <c r="Y7220" t="s">
        <v>30590</v>
      </c>
    </row>
    <row r="7221" spans="1:25" x14ac:dyDescent="0.25">
      <c r="A7221" t="str">
        <f>"56536119846"</f>
        <v>56536119846</v>
      </c>
      <c r="B7221" t="s">
        <v>574</v>
      </c>
      <c r="C7221" t="s">
        <v>14269</v>
      </c>
      <c r="D7221" t="s">
        <v>30591</v>
      </c>
      <c r="E7221">
        <v>424033</v>
      </c>
      <c r="F7221" t="s">
        <v>1</v>
      </c>
      <c r="G7221" t="s">
        <v>2</v>
      </c>
      <c r="H7221" t="s">
        <v>8113</v>
      </c>
      <c r="P7221" t="s">
        <v>2050</v>
      </c>
      <c r="Y7221" t="s">
        <v>30592</v>
      </c>
    </row>
    <row r="7222" spans="1:25" x14ac:dyDescent="0.25">
      <c r="A7222" t="str">
        <f>"56540855572"</f>
        <v>56540855572</v>
      </c>
      <c r="B7222" t="s">
        <v>930</v>
      </c>
      <c r="C7222" t="s">
        <v>1096</v>
      </c>
      <c r="D7222" t="s">
        <v>9841</v>
      </c>
      <c r="F7222" t="s">
        <v>1</v>
      </c>
      <c r="G7222" t="s">
        <v>2</v>
      </c>
      <c r="H7222" t="s">
        <v>10643</v>
      </c>
      <c r="Y7222" t="s">
        <v>30593</v>
      </c>
    </row>
    <row r="7223" spans="1:25" x14ac:dyDescent="0.25">
      <c r="A7223" t="str">
        <f>"56543523207"</f>
        <v>56543523207</v>
      </c>
      <c r="B7223" t="s">
        <v>530</v>
      </c>
      <c r="C7223" t="s">
        <v>23950</v>
      </c>
      <c r="D7223" t="s">
        <v>23950</v>
      </c>
      <c r="E7223">
        <v>424007</v>
      </c>
      <c r="F7223" t="s">
        <v>1</v>
      </c>
      <c r="G7223" t="s">
        <v>2</v>
      </c>
      <c r="H7223" t="s">
        <v>1319</v>
      </c>
      <c r="Y7223" t="s">
        <v>30594</v>
      </c>
    </row>
    <row r="7224" spans="1:25" x14ac:dyDescent="0.25">
      <c r="A7224" t="str">
        <f>"56550305743"</f>
        <v>56550305743</v>
      </c>
      <c r="B7224" t="s">
        <v>352</v>
      </c>
      <c r="C7224" t="s">
        <v>30597</v>
      </c>
      <c r="D7224" t="s">
        <v>30595</v>
      </c>
      <c r="E7224">
        <v>424008</v>
      </c>
      <c r="F7224" t="s">
        <v>1</v>
      </c>
      <c r="G7224" t="s">
        <v>2</v>
      </c>
      <c r="H7224" t="s">
        <v>1031</v>
      </c>
      <c r="J7224" t="s">
        <v>30596</v>
      </c>
      <c r="P7224" t="s">
        <v>10632</v>
      </c>
      <c r="Y7224" t="s">
        <v>30598</v>
      </c>
    </row>
    <row r="7225" spans="1:25" x14ac:dyDescent="0.25">
      <c r="A7225" t="str">
        <f>"56563474821"</f>
        <v>56563474821</v>
      </c>
      <c r="B7225" t="s">
        <v>290</v>
      </c>
      <c r="C7225" t="s">
        <v>290</v>
      </c>
      <c r="D7225" t="s">
        <v>290</v>
      </c>
      <c r="E7225">
        <v>424002</v>
      </c>
      <c r="F7225" t="s">
        <v>1</v>
      </c>
      <c r="G7225" t="s">
        <v>2</v>
      </c>
      <c r="H7225" t="s">
        <v>3864</v>
      </c>
      <c r="P7225" t="s">
        <v>2738</v>
      </c>
      <c r="Y7225" t="s">
        <v>30599</v>
      </c>
    </row>
    <row r="7226" spans="1:25" x14ac:dyDescent="0.25">
      <c r="A7226" t="str">
        <f>"56564732834"</f>
        <v>56564732834</v>
      </c>
      <c r="B7226" t="s">
        <v>1046</v>
      </c>
      <c r="C7226" t="s">
        <v>22946</v>
      </c>
      <c r="D7226" t="s">
        <v>22946</v>
      </c>
      <c r="E7226">
        <v>424006</v>
      </c>
      <c r="F7226" t="s">
        <v>1</v>
      </c>
      <c r="G7226" t="s">
        <v>2</v>
      </c>
      <c r="H7226" t="s">
        <v>29462</v>
      </c>
      <c r="Y7226" t="s">
        <v>30600</v>
      </c>
    </row>
    <row r="7227" spans="1:25" x14ac:dyDescent="0.25">
      <c r="A7227" t="str">
        <f>"56575798396"</f>
        <v>56575798396</v>
      </c>
      <c r="B7227" t="s">
        <v>319</v>
      </c>
      <c r="C7227" t="s">
        <v>30605</v>
      </c>
      <c r="D7227" t="s">
        <v>30601</v>
      </c>
      <c r="E7227">
        <v>424031</v>
      </c>
      <c r="F7227" t="s">
        <v>1</v>
      </c>
      <c r="G7227" t="s">
        <v>2</v>
      </c>
      <c r="H7227" t="s">
        <v>757</v>
      </c>
      <c r="J7227" t="s">
        <v>30602</v>
      </c>
      <c r="L7227" t="s">
        <v>30603</v>
      </c>
      <c r="M7227" t="s">
        <v>30604</v>
      </c>
      <c r="P7227" t="s">
        <v>30606</v>
      </c>
      <c r="Q7227" t="s">
        <v>30607</v>
      </c>
      <c r="R7227" t="s">
        <v>30608</v>
      </c>
      <c r="T7227" t="s">
        <v>30609</v>
      </c>
      <c r="U7227" t="s">
        <v>30610</v>
      </c>
      <c r="V7227" t="s">
        <v>30611</v>
      </c>
      <c r="Y7227" t="s">
        <v>760</v>
      </c>
    </row>
    <row r="7228" spans="1:25" x14ac:dyDescent="0.25">
      <c r="A7228" t="str">
        <f>"56595519800"</f>
        <v>56595519800</v>
      </c>
      <c r="B7228" t="s">
        <v>18</v>
      </c>
      <c r="C7228" t="s">
        <v>9652</v>
      </c>
      <c r="D7228" t="s">
        <v>30612</v>
      </c>
      <c r="E7228">
        <v>424006</v>
      </c>
      <c r="F7228" t="s">
        <v>1</v>
      </c>
      <c r="G7228" t="s">
        <v>2</v>
      </c>
      <c r="H7228" t="s">
        <v>30613</v>
      </c>
      <c r="I7228" t="s">
        <v>30614</v>
      </c>
      <c r="L7228" t="s">
        <v>30615</v>
      </c>
      <c r="M7228" t="s">
        <v>30616</v>
      </c>
      <c r="P7228" t="s">
        <v>2979</v>
      </c>
      <c r="Y7228" t="s">
        <v>30617</v>
      </c>
    </row>
    <row r="7229" spans="1:25" x14ac:dyDescent="0.25">
      <c r="A7229" t="str">
        <f>"56649409833"</f>
        <v>56649409833</v>
      </c>
      <c r="B7229" t="s">
        <v>7</v>
      </c>
      <c r="C7229" t="s">
        <v>30623</v>
      </c>
      <c r="D7229" t="s">
        <v>30618</v>
      </c>
      <c r="E7229">
        <v>424040</v>
      </c>
      <c r="F7229" t="s">
        <v>1</v>
      </c>
      <c r="G7229" t="s">
        <v>2</v>
      </c>
      <c r="H7229" t="s">
        <v>7927</v>
      </c>
      <c r="I7229" t="s">
        <v>30619</v>
      </c>
      <c r="J7229" t="s">
        <v>30620</v>
      </c>
      <c r="L7229" t="s">
        <v>30621</v>
      </c>
      <c r="M7229" t="s">
        <v>30622</v>
      </c>
      <c r="P7229" t="s">
        <v>2979</v>
      </c>
      <c r="Q7229" t="s">
        <v>30624</v>
      </c>
      <c r="Y7229" t="s">
        <v>30625</v>
      </c>
    </row>
    <row r="7230" spans="1:25" x14ac:dyDescent="0.25">
      <c r="A7230" t="str">
        <f>"56692715804"</f>
        <v>56692715804</v>
      </c>
      <c r="B7230" t="s">
        <v>379</v>
      </c>
      <c r="C7230" t="s">
        <v>864</v>
      </c>
      <c r="D7230" t="s">
        <v>30626</v>
      </c>
      <c r="E7230">
        <v>424000</v>
      </c>
      <c r="F7230" t="s">
        <v>1</v>
      </c>
      <c r="G7230" t="s">
        <v>2</v>
      </c>
      <c r="H7230" t="s">
        <v>5615</v>
      </c>
      <c r="I7230" t="s">
        <v>30627</v>
      </c>
      <c r="L7230" t="s">
        <v>30628</v>
      </c>
      <c r="M7230" t="s">
        <v>30629</v>
      </c>
      <c r="P7230" t="s">
        <v>2923</v>
      </c>
      <c r="Q7230" t="s">
        <v>30630</v>
      </c>
      <c r="S7230" t="s">
        <v>30631</v>
      </c>
      <c r="T7230" t="s">
        <v>30632</v>
      </c>
      <c r="V7230" t="s">
        <v>30633</v>
      </c>
      <c r="Y7230" t="s">
        <v>5619</v>
      </c>
    </row>
    <row r="7231" spans="1:25" x14ac:dyDescent="0.25">
      <c r="A7231" t="str">
        <f>"56704037516"</f>
        <v>56704037516</v>
      </c>
      <c r="B7231" t="s">
        <v>1573</v>
      </c>
      <c r="C7231" t="s">
        <v>1817</v>
      </c>
      <c r="D7231" t="s">
        <v>10417</v>
      </c>
      <c r="E7231">
        <v>424037</v>
      </c>
      <c r="F7231" t="s">
        <v>1</v>
      </c>
      <c r="G7231" t="s">
        <v>2</v>
      </c>
      <c r="H7231" t="s">
        <v>30634</v>
      </c>
      <c r="P7231" t="s">
        <v>1404</v>
      </c>
      <c r="Y7231" t="s">
        <v>30635</v>
      </c>
    </row>
    <row r="7232" spans="1:25" x14ac:dyDescent="0.25">
      <c r="A7232" t="str">
        <f>"56719821682"</f>
        <v>56719821682</v>
      </c>
      <c r="B7232" t="s">
        <v>553</v>
      </c>
      <c r="C7232" t="s">
        <v>20604</v>
      </c>
      <c r="D7232" t="s">
        <v>30636</v>
      </c>
      <c r="E7232">
        <v>424038</v>
      </c>
      <c r="F7232" t="s">
        <v>1</v>
      </c>
      <c r="G7232" t="s">
        <v>2</v>
      </c>
      <c r="H7232" t="s">
        <v>30637</v>
      </c>
      <c r="J7232" t="s">
        <v>30638</v>
      </c>
      <c r="P7232" t="s">
        <v>27</v>
      </c>
      <c r="V7232" t="s">
        <v>30639</v>
      </c>
      <c r="Y7232" t="s">
        <v>30640</v>
      </c>
    </row>
    <row r="7233" spans="1:25" x14ac:dyDescent="0.25">
      <c r="A7233" t="str">
        <f>"56820346834"</f>
        <v>56820346834</v>
      </c>
      <c r="B7233" t="s">
        <v>530</v>
      </c>
      <c r="C7233" t="s">
        <v>23950</v>
      </c>
      <c r="D7233" t="s">
        <v>23950</v>
      </c>
      <c r="F7233" t="s">
        <v>1</v>
      </c>
      <c r="G7233" t="s">
        <v>2</v>
      </c>
      <c r="H7233" t="s">
        <v>29910</v>
      </c>
      <c r="Y7233" t="s">
        <v>30641</v>
      </c>
    </row>
    <row r="7234" spans="1:25" x14ac:dyDescent="0.25">
      <c r="A7234" t="str">
        <f>"56820995113"</f>
        <v>56820995113</v>
      </c>
      <c r="B7234" t="s">
        <v>176</v>
      </c>
      <c r="C7234" t="s">
        <v>250</v>
      </c>
      <c r="D7234" t="s">
        <v>30642</v>
      </c>
      <c r="E7234">
        <v>424006</v>
      </c>
      <c r="F7234" t="s">
        <v>1</v>
      </c>
      <c r="G7234" t="s">
        <v>2</v>
      </c>
      <c r="H7234" t="s">
        <v>451</v>
      </c>
      <c r="I7234" t="s">
        <v>30643</v>
      </c>
      <c r="P7234" t="s">
        <v>2738</v>
      </c>
      <c r="Y7234" t="s">
        <v>30644</v>
      </c>
    </row>
    <row r="7235" spans="1:25" x14ac:dyDescent="0.25">
      <c r="A7235" t="str">
        <f>"56842853295"</f>
        <v>56842853295</v>
      </c>
      <c r="B7235" t="s">
        <v>462</v>
      </c>
      <c r="C7235" t="s">
        <v>1140</v>
      </c>
      <c r="D7235" t="s">
        <v>30645</v>
      </c>
      <c r="E7235">
        <v>424030</v>
      </c>
      <c r="F7235" t="s">
        <v>1</v>
      </c>
      <c r="G7235" t="s">
        <v>2</v>
      </c>
      <c r="H7235" t="s">
        <v>440</v>
      </c>
      <c r="J7235" t="s">
        <v>30646</v>
      </c>
      <c r="P7235" t="s">
        <v>30647</v>
      </c>
      <c r="Y7235" t="s">
        <v>4115</v>
      </c>
    </row>
    <row r="7236" spans="1:25" x14ac:dyDescent="0.25">
      <c r="A7236" t="str">
        <f>"56905434592"</f>
        <v>56905434592</v>
      </c>
      <c r="B7236" t="s">
        <v>574</v>
      </c>
      <c r="C7236" t="s">
        <v>646</v>
      </c>
      <c r="D7236" t="s">
        <v>30648</v>
      </c>
      <c r="E7236">
        <v>424008</v>
      </c>
      <c r="F7236" t="s">
        <v>1</v>
      </c>
      <c r="G7236" t="s">
        <v>2</v>
      </c>
      <c r="H7236" t="s">
        <v>1012</v>
      </c>
      <c r="Y7236" t="s">
        <v>30649</v>
      </c>
    </row>
    <row r="7237" spans="1:25" x14ac:dyDescent="0.25">
      <c r="A7237" t="str">
        <f>"56927688284"</f>
        <v>56927688284</v>
      </c>
      <c r="B7237" t="s">
        <v>574</v>
      </c>
      <c r="C7237" t="s">
        <v>646</v>
      </c>
      <c r="D7237" t="s">
        <v>13519</v>
      </c>
      <c r="E7237">
        <v>424003</v>
      </c>
      <c r="F7237" t="s">
        <v>1</v>
      </c>
      <c r="G7237" t="s">
        <v>2</v>
      </c>
      <c r="H7237" t="s">
        <v>30650</v>
      </c>
      <c r="P7237" t="s">
        <v>330</v>
      </c>
      <c r="Y7237" t="s">
        <v>30651</v>
      </c>
    </row>
    <row r="7238" spans="1:25" x14ac:dyDescent="0.25">
      <c r="A7238" t="str">
        <f>"56972784482"</f>
        <v>56972784482</v>
      </c>
      <c r="B7238" t="s">
        <v>25</v>
      </c>
      <c r="C7238" t="s">
        <v>30654</v>
      </c>
      <c r="D7238" t="s">
        <v>30652</v>
      </c>
      <c r="E7238">
        <v>424004</v>
      </c>
      <c r="F7238" t="s">
        <v>1</v>
      </c>
      <c r="G7238" t="s">
        <v>2</v>
      </c>
      <c r="H7238" t="s">
        <v>5197</v>
      </c>
      <c r="J7238" t="s">
        <v>30653</v>
      </c>
      <c r="P7238" t="s">
        <v>1232</v>
      </c>
      <c r="Y7238" t="s">
        <v>30655</v>
      </c>
    </row>
    <row r="7239" spans="1:25" x14ac:dyDescent="0.25">
      <c r="A7239" t="str">
        <f>"56978733767"</f>
        <v>56978733767</v>
      </c>
      <c r="B7239" t="s">
        <v>1352</v>
      </c>
      <c r="C7239" t="s">
        <v>2093</v>
      </c>
      <c r="D7239" t="s">
        <v>30656</v>
      </c>
      <c r="E7239">
        <v>424006</v>
      </c>
      <c r="F7239" t="s">
        <v>1</v>
      </c>
      <c r="G7239" t="s">
        <v>2</v>
      </c>
      <c r="H7239" t="s">
        <v>2745</v>
      </c>
      <c r="J7239" t="s">
        <v>30657</v>
      </c>
      <c r="P7239" t="s">
        <v>30658</v>
      </c>
      <c r="Y7239" t="s">
        <v>2751</v>
      </c>
    </row>
    <row r="7240" spans="1:25" x14ac:dyDescent="0.25">
      <c r="A7240" t="str">
        <f>"56995487773"</f>
        <v>56995487773</v>
      </c>
      <c r="B7240" t="s">
        <v>430</v>
      </c>
      <c r="C7240" t="s">
        <v>11849</v>
      </c>
      <c r="D7240" t="s">
        <v>30659</v>
      </c>
      <c r="E7240">
        <v>424036</v>
      </c>
      <c r="F7240" t="s">
        <v>1</v>
      </c>
      <c r="G7240" t="s">
        <v>2</v>
      </c>
      <c r="H7240" t="s">
        <v>5294</v>
      </c>
      <c r="P7240" t="s">
        <v>1760</v>
      </c>
      <c r="V7240" t="s">
        <v>30660</v>
      </c>
      <c r="Y7240" t="s">
        <v>30661</v>
      </c>
    </row>
    <row r="7241" spans="1:25" x14ac:dyDescent="0.25">
      <c r="A7241" t="str">
        <f>"57003546706"</f>
        <v>57003546706</v>
      </c>
      <c r="B7241" t="s">
        <v>1343</v>
      </c>
      <c r="C7241" t="s">
        <v>13544</v>
      </c>
      <c r="D7241" t="s">
        <v>24040</v>
      </c>
      <c r="E7241">
        <v>424007</v>
      </c>
      <c r="F7241" t="s">
        <v>1</v>
      </c>
      <c r="G7241" t="s">
        <v>2</v>
      </c>
      <c r="H7241" t="s">
        <v>5178</v>
      </c>
      <c r="P7241" t="s">
        <v>2731</v>
      </c>
      <c r="Y7241" t="s">
        <v>30662</v>
      </c>
    </row>
    <row r="7242" spans="1:25" x14ac:dyDescent="0.25">
      <c r="A7242" t="str">
        <f>"57028201976"</f>
        <v>57028201976</v>
      </c>
      <c r="B7242" t="s">
        <v>117</v>
      </c>
      <c r="C7242" t="s">
        <v>118</v>
      </c>
      <c r="D7242" t="s">
        <v>30663</v>
      </c>
      <c r="F7242" t="s">
        <v>1</v>
      </c>
      <c r="G7242" t="s">
        <v>2</v>
      </c>
      <c r="H7242" t="s">
        <v>29910</v>
      </c>
      <c r="Y7242" t="s">
        <v>30664</v>
      </c>
    </row>
    <row r="7243" spans="1:25" x14ac:dyDescent="0.25">
      <c r="A7243" t="str">
        <f>"57048491130"</f>
        <v>57048491130</v>
      </c>
      <c r="B7243" t="s">
        <v>462</v>
      </c>
      <c r="C7243" t="s">
        <v>1140</v>
      </c>
      <c r="D7243" t="s">
        <v>30665</v>
      </c>
      <c r="E7243">
        <v>424000</v>
      </c>
      <c r="F7243" t="s">
        <v>1</v>
      </c>
      <c r="G7243" t="s">
        <v>2</v>
      </c>
      <c r="H7243" t="s">
        <v>30666</v>
      </c>
      <c r="Y7243" t="s">
        <v>30667</v>
      </c>
    </row>
    <row r="7244" spans="1:25" x14ac:dyDescent="0.25">
      <c r="A7244" t="str">
        <f>"57062609548"</f>
        <v>57062609548</v>
      </c>
      <c r="B7244" t="s">
        <v>1152</v>
      </c>
      <c r="C7244" t="s">
        <v>1153</v>
      </c>
      <c r="D7244" t="s">
        <v>10280</v>
      </c>
      <c r="E7244">
        <v>424032</v>
      </c>
      <c r="F7244" t="s">
        <v>1</v>
      </c>
      <c r="G7244" t="s">
        <v>2</v>
      </c>
      <c r="H7244" t="s">
        <v>30668</v>
      </c>
      <c r="I7244" t="s">
        <v>22092</v>
      </c>
      <c r="M7244" t="s">
        <v>10284</v>
      </c>
      <c r="P7244" t="s">
        <v>60</v>
      </c>
      <c r="Q7244" t="s">
        <v>10286</v>
      </c>
      <c r="R7244" t="s">
        <v>10287</v>
      </c>
      <c r="S7244" t="s">
        <v>10288</v>
      </c>
      <c r="T7244" t="s">
        <v>10289</v>
      </c>
      <c r="U7244" t="s">
        <v>10290</v>
      </c>
      <c r="V7244" t="s">
        <v>10291</v>
      </c>
      <c r="Y7244" t="s">
        <v>30669</v>
      </c>
    </row>
    <row r="7245" spans="1:25" x14ac:dyDescent="0.25">
      <c r="A7245" t="str">
        <f>"57113989032"</f>
        <v>57113989032</v>
      </c>
      <c r="B7245" t="s">
        <v>25</v>
      </c>
      <c r="C7245" t="s">
        <v>24938</v>
      </c>
      <c r="D7245" t="s">
        <v>30670</v>
      </c>
      <c r="E7245">
        <v>424008</v>
      </c>
      <c r="F7245" t="s">
        <v>1</v>
      </c>
      <c r="G7245" t="s">
        <v>2</v>
      </c>
      <c r="H7245" t="s">
        <v>29445</v>
      </c>
      <c r="I7245" t="s">
        <v>30671</v>
      </c>
      <c r="M7245" t="s">
        <v>30672</v>
      </c>
      <c r="Y7245" t="s">
        <v>30673</v>
      </c>
    </row>
    <row r="7246" spans="1:25" x14ac:dyDescent="0.25">
      <c r="A7246" t="str">
        <f>"57120257502"</f>
        <v>57120257502</v>
      </c>
      <c r="B7246" t="s">
        <v>96</v>
      </c>
      <c r="C7246" t="s">
        <v>893</v>
      </c>
      <c r="D7246" t="s">
        <v>30674</v>
      </c>
      <c r="E7246">
        <v>424038</v>
      </c>
      <c r="F7246" t="s">
        <v>1</v>
      </c>
      <c r="G7246" t="s">
        <v>2</v>
      </c>
      <c r="H7246" t="s">
        <v>2855</v>
      </c>
      <c r="P7246" t="s">
        <v>1642</v>
      </c>
      <c r="Y7246" t="s">
        <v>8933</v>
      </c>
    </row>
    <row r="7247" spans="1:25" x14ac:dyDescent="0.25">
      <c r="A7247" t="str">
        <f>"57174218025"</f>
        <v>57174218025</v>
      </c>
      <c r="B7247" t="s">
        <v>176</v>
      </c>
      <c r="C7247" t="s">
        <v>2838</v>
      </c>
      <c r="D7247" t="s">
        <v>30675</v>
      </c>
      <c r="E7247">
        <v>424918</v>
      </c>
      <c r="F7247" t="s">
        <v>1</v>
      </c>
      <c r="G7247" t="s">
        <v>2</v>
      </c>
      <c r="H7247" t="s">
        <v>629</v>
      </c>
      <c r="I7247" t="s">
        <v>30676</v>
      </c>
      <c r="P7247" t="s">
        <v>144</v>
      </c>
      <c r="Y7247" t="s">
        <v>1744</v>
      </c>
    </row>
    <row r="7248" spans="1:25" x14ac:dyDescent="0.25">
      <c r="A7248" t="str">
        <f>"57181968186"</f>
        <v>57181968186</v>
      </c>
      <c r="B7248" t="s">
        <v>348</v>
      </c>
      <c r="C7248" t="s">
        <v>30678</v>
      </c>
      <c r="D7248" t="s">
        <v>30677</v>
      </c>
      <c r="F7248" t="s">
        <v>1</v>
      </c>
      <c r="G7248" t="s">
        <v>2</v>
      </c>
      <c r="H7248" t="s">
        <v>9124</v>
      </c>
      <c r="Q7248" t="s">
        <v>30679</v>
      </c>
      <c r="Y7248" t="s">
        <v>28437</v>
      </c>
    </row>
    <row r="7249" spans="1:25" x14ac:dyDescent="0.25">
      <c r="A7249" t="str">
        <f>"57200139884"</f>
        <v>57200139884</v>
      </c>
      <c r="B7249" t="s">
        <v>67</v>
      </c>
      <c r="C7249" t="s">
        <v>496</v>
      </c>
      <c r="D7249" t="s">
        <v>30680</v>
      </c>
      <c r="E7249">
        <v>424031</v>
      </c>
      <c r="F7249" t="s">
        <v>1</v>
      </c>
      <c r="G7249" t="s">
        <v>2</v>
      </c>
      <c r="H7249" t="s">
        <v>9156</v>
      </c>
      <c r="I7249" t="s">
        <v>30681</v>
      </c>
      <c r="P7249" t="s">
        <v>2438</v>
      </c>
      <c r="Y7249" t="s">
        <v>18288</v>
      </c>
    </row>
    <row r="7250" spans="1:25" x14ac:dyDescent="0.25">
      <c r="A7250" t="str">
        <f>"57203736971"</f>
        <v>57203736971</v>
      </c>
      <c r="B7250" t="s">
        <v>797</v>
      </c>
      <c r="C7250" t="s">
        <v>5123</v>
      </c>
      <c r="D7250" t="s">
        <v>30682</v>
      </c>
      <c r="E7250">
        <v>424031</v>
      </c>
      <c r="F7250" t="s">
        <v>1</v>
      </c>
      <c r="G7250" t="s">
        <v>2</v>
      </c>
      <c r="H7250" t="s">
        <v>18923</v>
      </c>
      <c r="I7250" t="s">
        <v>30683</v>
      </c>
      <c r="L7250" t="s">
        <v>30684</v>
      </c>
      <c r="M7250" t="s">
        <v>30685</v>
      </c>
      <c r="P7250" t="s">
        <v>941</v>
      </c>
      <c r="Y7250" t="s">
        <v>30686</v>
      </c>
    </row>
    <row r="7251" spans="1:25" x14ac:dyDescent="0.25">
      <c r="A7251" t="str">
        <f>"57212899270"</f>
        <v>57212899270</v>
      </c>
      <c r="B7251" t="s">
        <v>25</v>
      </c>
      <c r="C7251" t="s">
        <v>30691</v>
      </c>
      <c r="D7251" t="s">
        <v>30687</v>
      </c>
      <c r="E7251">
        <v>424020</v>
      </c>
      <c r="F7251" t="s">
        <v>1</v>
      </c>
      <c r="G7251" t="s">
        <v>2</v>
      </c>
      <c r="H7251" t="s">
        <v>23</v>
      </c>
      <c r="J7251" t="s">
        <v>30688</v>
      </c>
      <c r="L7251" t="s">
        <v>30689</v>
      </c>
      <c r="M7251" t="s">
        <v>30690</v>
      </c>
      <c r="P7251" t="s">
        <v>5084</v>
      </c>
      <c r="Y7251" t="s">
        <v>26334</v>
      </c>
    </row>
    <row r="7252" spans="1:25" x14ac:dyDescent="0.25">
      <c r="A7252" t="str">
        <f>"57220217503"</f>
        <v>57220217503</v>
      </c>
      <c r="B7252" t="s">
        <v>1152</v>
      </c>
      <c r="C7252" t="s">
        <v>30694</v>
      </c>
      <c r="D7252" t="s">
        <v>30692</v>
      </c>
      <c r="E7252">
        <v>424004</v>
      </c>
      <c r="F7252" t="s">
        <v>1</v>
      </c>
      <c r="G7252" t="s">
        <v>2</v>
      </c>
      <c r="H7252" t="s">
        <v>351</v>
      </c>
      <c r="J7252" t="s">
        <v>30693</v>
      </c>
      <c r="P7252" t="s">
        <v>27</v>
      </c>
      <c r="Y7252" t="s">
        <v>354</v>
      </c>
    </row>
    <row r="7253" spans="1:25" x14ac:dyDescent="0.25">
      <c r="A7253" t="str">
        <f>"57256145190"</f>
        <v>57256145190</v>
      </c>
      <c r="B7253" t="s">
        <v>67</v>
      </c>
      <c r="C7253" t="s">
        <v>27252</v>
      </c>
      <c r="D7253" t="s">
        <v>10280</v>
      </c>
      <c r="E7253">
        <v>424031</v>
      </c>
      <c r="F7253" t="s">
        <v>1</v>
      </c>
      <c r="G7253" t="s">
        <v>2</v>
      </c>
      <c r="H7253" t="s">
        <v>7118</v>
      </c>
      <c r="Y7253" t="s">
        <v>30695</v>
      </c>
    </row>
    <row r="7254" spans="1:25" x14ac:dyDescent="0.25">
      <c r="A7254" t="str">
        <f>"57256664284"</f>
        <v>57256664284</v>
      </c>
      <c r="B7254" t="s">
        <v>462</v>
      </c>
      <c r="C7254" t="s">
        <v>1140</v>
      </c>
      <c r="D7254" t="s">
        <v>30696</v>
      </c>
      <c r="E7254">
        <v>424004</v>
      </c>
      <c r="F7254" t="s">
        <v>1</v>
      </c>
      <c r="G7254" t="s">
        <v>2</v>
      </c>
      <c r="H7254" t="s">
        <v>5226</v>
      </c>
      <c r="Y7254" t="s">
        <v>6967</v>
      </c>
    </row>
    <row r="7255" spans="1:25" x14ac:dyDescent="0.25">
      <c r="A7255" t="str">
        <f>"57298808579"</f>
        <v>57298808579</v>
      </c>
      <c r="B7255" t="s">
        <v>188</v>
      </c>
      <c r="C7255" t="s">
        <v>24568</v>
      </c>
      <c r="D7255" t="s">
        <v>24568</v>
      </c>
      <c r="E7255">
        <v>424006</v>
      </c>
      <c r="F7255" t="s">
        <v>1</v>
      </c>
      <c r="G7255" t="s">
        <v>2</v>
      </c>
      <c r="H7255" t="s">
        <v>30697</v>
      </c>
      <c r="Y7255" t="s">
        <v>30698</v>
      </c>
    </row>
    <row r="7256" spans="1:25" x14ac:dyDescent="0.25">
      <c r="A7256" t="str">
        <f>"57318054025"</f>
        <v>57318054025</v>
      </c>
      <c r="B7256" t="s">
        <v>462</v>
      </c>
      <c r="C7256" t="s">
        <v>1140</v>
      </c>
      <c r="D7256" t="s">
        <v>30699</v>
      </c>
      <c r="E7256">
        <v>424008</v>
      </c>
      <c r="F7256" t="s">
        <v>1</v>
      </c>
      <c r="G7256" t="s">
        <v>2</v>
      </c>
      <c r="H7256" t="s">
        <v>13180</v>
      </c>
      <c r="P7256" t="s">
        <v>30700</v>
      </c>
      <c r="Y7256" t="s">
        <v>30701</v>
      </c>
    </row>
    <row r="7257" spans="1:25" x14ac:dyDescent="0.25">
      <c r="A7257" t="str">
        <f>"57365619856"</f>
        <v>57365619856</v>
      </c>
      <c r="B7257" t="s">
        <v>574</v>
      </c>
      <c r="C7257" t="s">
        <v>8884</v>
      </c>
      <c r="D7257" t="s">
        <v>24404</v>
      </c>
      <c r="E7257">
        <v>424037</v>
      </c>
      <c r="F7257" t="s">
        <v>1</v>
      </c>
      <c r="G7257" t="s">
        <v>2</v>
      </c>
      <c r="H7257" t="s">
        <v>30702</v>
      </c>
      <c r="P7257" t="s">
        <v>133</v>
      </c>
      <c r="Y7257" t="s">
        <v>30703</v>
      </c>
    </row>
    <row r="7258" spans="1:25" x14ac:dyDescent="0.25">
      <c r="A7258" t="str">
        <f>"57395364960"</f>
        <v>57395364960</v>
      </c>
      <c r="B7258" t="s">
        <v>1053</v>
      </c>
      <c r="C7258" t="s">
        <v>27043</v>
      </c>
      <c r="D7258" t="s">
        <v>30704</v>
      </c>
      <c r="F7258" t="s">
        <v>1</v>
      </c>
      <c r="G7258" t="s">
        <v>2</v>
      </c>
      <c r="H7258" t="s">
        <v>24169</v>
      </c>
      <c r="J7258" t="s">
        <v>30705</v>
      </c>
      <c r="P7258" t="s">
        <v>216</v>
      </c>
      <c r="Y7258" t="s">
        <v>24173</v>
      </c>
    </row>
    <row r="7259" spans="1:25" x14ac:dyDescent="0.25">
      <c r="A7259" t="str">
        <f>"57403238557"</f>
        <v>57403238557</v>
      </c>
      <c r="B7259" t="s">
        <v>624</v>
      </c>
      <c r="C7259" t="s">
        <v>24400</v>
      </c>
      <c r="D7259" t="s">
        <v>24400</v>
      </c>
      <c r="E7259">
        <v>424032</v>
      </c>
      <c r="F7259" t="s">
        <v>1</v>
      </c>
      <c r="G7259" t="s">
        <v>2</v>
      </c>
      <c r="H7259" t="s">
        <v>24307</v>
      </c>
      <c r="Y7259" t="s">
        <v>30706</v>
      </c>
    </row>
    <row r="7260" spans="1:25" x14ac:dyDescent="0.25">
      <c r="A7260" t="str">
        <f>"57443778054"</f>
        <v>57443778054</v>
      </c>
      <c r="B7260" t="s">
        <v>319</v>
      </c>
      <c r="C7260" t="s">
        <v>30712</v>
      </c>
      <c r="D7260" t="s">
        <v>30707</v>
      </c>
      <c r="E7260">
        <v>424007</v>
      </c>
      <c r="F7260" t="s">
        <v>1</v>
      </c>
      <c r="G7260" t="s">
        <v>2</v>
      </c>
      <c r="H7260" t="s">
        <v>499</v>
      </c>
      <c r="I7260" t="s">
        <v>30708</v>
      </c>
      <c r="J7260" t="s">
        <v>30709</v>
      </c>
      <c r="L7260" t="s">
        <v>30710</v>
      </c>
      <c r="M7260" t="s">
        <v>30711</v>
      </c>
      <c r="Q7260" t="s">
        <v>30713</v>
      </c>
      <c r="T7260" t="s">
        <v>30714</v>
      </c>
      <c r="U7260" t="s">
        <v>30715</v>
      </c>
      <c r="V7260" t="s">
        <v>30716</v>
      </c>
      <c r="Y7260" t="s">
        <v>1598</v>
      </c>
    </row>
    <row r="7261" spans="1:25" x14ac:dyDescent="0.25">
      <c r="A7261" t="str">
        <f>"57464867063"</f>
        <v>57464867063</v>
      </c>
      <c r="B7261" t="s">
        <v>687</v>
      </c>
      <c r="C7261" t="s">
        <v>30718</v>
      </c>
      <c r="D7261" t="s">
        <v>30717</v>
      </c>
      <c r="E7261">
        <v>424019</v>
      </c>
      <c r="F7261" t="s">
        <v>1</v>
      </c>
      <c r="G7261" t="s">
        <v>2</v>
      </c>
      <c r="H7261" t="s">
        <v>25053</v>
      </c>
      <c r="I7261" t="s">
        <v>21663</v>
      </c>
      <c r="J7261" t="s">
        <v>21664</v>
      </c>
      <c r="P7261" t="s">
        <v>330</v>
      </c>
      <c r="Y7261" t="s">
        <v>25055</v>
      </c>
    </row>
    <row r="7262" spans="1:25" x14ac:dyDescent="0.25">
      <c r="A7262" t="str">
        <f>"57465563359"</f>
        <v>57465563359</v>
      </c>
      <c r="B7262" t="s">
        <v>352</v>
      </c>
      <c r="C7262" t="s">
        <v>30262</v>
      </c>
      <c r="D7262" t="s">
        <v>30719</v>
      </c>
      <c r="E7262">
        <v>424004</v>
      </c>
      <c r="F7262" t="s">
        <v>1</v>
      </c>
      <c r="G7262" t="s">
        <v>2</v>
      </c>
      <c r="H7262" t="s">
        <v>30720</v>
      </c>
      <c r="V7262" t="s">
        <v>30721</v>
      </c>
      <c r="Y7262" t="s">
        <v>30722</v>
      </c>
    </row>
    <row r="7263" spans="1:25" x14ac:dyDescent="0.25">
      <c r="A7263" t="str">
        <f>"57535660011"</f>
        <v>57535660011</v>
      </c>
      <c r="B7263" t="s">
        <v>96</v>
      </c>
      <c r="C7263" t="s">
        <v>2285</v>
      </c>
      <c r="D7263" t="s">
        <v>30723</v>
      </c>
      <c r="E7263">
        <v>424000</v>
      </c>
      <c r="F7263" t="s">
        <v>1</v>
      </c>
      <c r="G7263" t="s">
        <v>2</v>
      </c>
      <c r="H7263" t="s">
        <v>10803</v>
      </c>
      <c r="Y7263" t="s">
        <v>10805</v>
      </c>
    </row>
    <row r="7264" spans="1:25" x14ac:dyDescent="0.25">
      <c r="A7264" t="str">
        <f>"57542723996"</f>
        <v>57542723996</v>
      </c>
      <c r="B7264" t="s">
        <v>1152</v>
      </c>
      <c r="C7264" t="s">
        <v>30728</v>
      </c>
      <c r="D7264" t="s">
        <v>30724</v>
      </c>
      <c r="E7264">
        <v>424002</v>
      </c>
      <c r="F7264" t="s">
        <v>1</v>
      </c>
      <c r="G7264" t="s">
        <v>2</v>
      </c>
      <c r="H7264" t="s">
        <v>14156</v>
      </c>
      <c r="I7264" t="s">
        <v>30725</v>
      </c>
      <c r="L7264" t="s">
        <v>30726</v>
      </c>
      <c r="M7264" t="s">
        <v>30727</v>
      </c>
      <c r="P7264" t="s">
        <v>8655</v>
      </c>
      <c r="Y7264" t="s">
        <v>30729</v>
      </c>
    </row>
    <row r="7265" spans="1:25" x14ac:dyDescent="0.25">
      <c r="A7265" t="str">
        <f>"57547190215"</f>
        <v>57547190215</v>
      </c>
      <c r="B7265" t="s">
        <v>703</v>
      </c>
      <c r="C7265" t="s">
        <v>2129</v>
      </c>
      <c r="D7265" t="s">
        <v>30730</v>
      </c>
      <c r="F7265" t="s">
        <v>1</v>
      </c>
      <c r="G7265" t="s">
        <v>2</v>
      </c>
      <c r="H7265" t="s">
        <v>20904</v>
      </c>
      <c r="L7265" t="s">
        <v>8726</v>
      </c>
      <c r="M7265" t="s">
        <v>30731</v>
      </c>
      <c r="Y7265" t="s">
        <v>30732</v>
      </c>
    </row>
    <row r="7266" spans="1:25" x14ac:dyDescent="0.25">
      <c r="A7266" t="str">
        <f>"57548998166"</f>
        <v>57548998166</v>
      </c>
      <c r="B7266" t="s">
        <v>703</v>
      </c>
      <c r="C7266" t="s">
        <v>2129</v>
      </c>
      <c r="D7266" t="s">
        <v>30733</v>
      </c>
      <c r="E7266">
        <v>424005</v>
      </c>
      <c r="F7266" t="s">
        <v>1</v>
      </c>
      <c r="G7266" t="s">
        <v>2</v>
      </c>
      <c r="H7266" t="s">
        <v>30734</v>
      </c>
      <c r="I7266" t="s">
        <v>30735</v>
      </c>
      <c r="P7266" t="s">
        <v>330</v>
      </c>
      <c r="Y7266" t="s">
        <v>30736</v>
      </c>
    </row>
    <row r="7267" spans="1:25" x14ac:dyDescent="0.25">
      <c r="A7267" t="str">
        <f>"57551719863"</f>
        <v>57551719863</v>
      </c>
      <c r="B7267" t="s">
        <v>117</v>
      </c>
      <c r="C7267" t="s">
        <v>873</v>
      </c>
      <c r="D7267" t="s">
        <v>873</v>
      </c>
      <c r="E7267">
        <v>424038</v>
      </c>
      <c r="F7267" t="s">
        <v>1</v>
      </c>
      <c r="G7267" t="s">
        <v>2</v>
      </c>
      <c r="H7267" t="s">
        <v>13986</v>
      </c>
      <c r="Y7267" t="s">
        <v>30737</v>
      </c>
    </row>
    <row r="7268" spans="1:25" x14ac:dyDescent="0.25">
      <c r="A7268" t="str">
        <f>"57552287286"</f>
        <v>57552287286</v>
      </c>
      <c r="B7268" t="s">
        <v>32</v>
      </c>
      <c r="C7268" t="s">
        <v>40</v>
      </c>
      <c r="D7268" t="s">
        <v>13982</v>
      </c>
      <c r="E7268">
        <v>424020</v>
      </c>
      <c r="F7268" t="s">
        <v>1</v>
      </c>
      <c r="G7268" t="s">
        <v>2</v>
      </c>
      <c r="H7268" t="s">
        <v>9442</v>
      </c>
      <c r="P7268" t="s">
        <v>30738</v>
      </c>
      <c r="Y7268" t="s">
        <v>30739</v>
      </c>
    </row>
    <row r="7269" spans="1:25" x14ac:dyDescent="0.25">
      <c r="A7269" t="str">
        <f>"57561144178"</f>
        <v>57561144178</v>
      </c>
      <c r="B7269" t="s">
        <v>32</v>
      </c>
      <c r="C7269" t="s">
        <v>40</v>
      </c>
      <c r="D7269" t="s">
        <v>21810</v>
      </c>
      <c r="E7269">
        <v>424006</v>
      </c>
      <c r="F7269" t="s">
        <v>1</v>
      </c>
      <c r="G7269" t="s">
        <v>2</v>
      </c>
      <c r="H7269" t="s">
        <v>3330</v>
      </c>
      <c r="Y7269" t="s">
        <v>5376</v>
      </c>
    </row>
    <row r="7270" spans="1:25" x14ac:dyDescent="0.25">
      <c r="A7270" t="str">
        <f>"57572394116"</f>
        <v>57572394116</v>
      </c>
      <c r="B7270" t="s">
        <v>1078</v>
      </c>
      <c r="C7270" t="s">
        <v>25481</v>
      </c>
      <c r="D7270" t="s">
        <v>30740</v>
      </c>
      <c r="E7270">
        <v>424038</v>
      </c>
      <c r="F7270" t="s">
        <v>1</v>
      </c>
      <c r="G7270" t="s">
        <v>2</v>
      </c>
      <c r="H7270" t="s">
        <v>1366</v>
      </c>
      <c r="Y7270" t="s">
        <v>30741</v>
      </c>
    </row>
    <row r="7271" spans="1:25" x14ac:dyDescent="0.25">
      <c r="A7271" t="str">
        <f>"57580834311"</f>
        <v>57580834311</v>
      </c>
      <c r="B7271" t="s">
        <v>430</v>
      </c>
      <c r="C7271" t="s">
        <v>612</v>
      </c>
      <c r="D7271" t="s">
        <v>30742</v>
      </c>
      <c r="E7271">
        <v>424004</v>
      </c>
      <c r="F7271" t="s">
        <v>1</v>
      </c>
      <c r="G7271" t="s">
        <v>2</v>
      </c>
      <c r="H7271" t="s">
        <v>20323</v>
      </c>
      <c r="J7271" t="s">
        <v>30743</v>
      </c>
      <c r="M7271" t="s">
        <v>30744</v>
      </c>
      <c r="P7271" t="s">
        <v>216</v>
      </c>
      <c r="Q7271" t="s">
        <v>30745</v>
      </c>
      <c r="Y7271" t="s">
        <v>30746</v>
      </c>
    </row>
    <row r="7272" spans="1:25" x14ac:dyDescent="0.25">
      <c r="A7272" t="str">
        <f>"57606734603"</f>
        <v>57606734603</v>
      </c>
      <c r="B7272" t="s">
        <v>290</v>
      </c>
      <c r="C7272" t="s">
        <v>290</v>
      </c>
      <c r="D7272" t="s">
        <v>30747</v>
      </c>
      <c r="E7272">
        <v>424037</v>
      </c>
      <c r="F7272" t="s">
        <v>1</v>
      </c>
      <c r="G7272" t="s">
        <v>2</v>
      </c>
      <c r="H7272" t="s">
        <v>2680</v>
      </c>
      <c r="Y7272" t="s">
        <v>27160</v>
      </c>
    </row>
    <row r="7273" spans="1:25" x14ac:dyDescent="0.25">
      <c r="A7273" t="str">
        <f>"57623651996"</f>
        <v>57623651996</v>
      </c>
      <c r="B7273" t="s">
        <v>574</v>
      </c>
      <c r="C7273" t="s">
        <v>646</v>
      </c>
      <c r="D7273" t="s">
        <v>4221</v>
      </c>
      <c r="E7273">
        <v>424038</v>
      </c>
      <c r="F7273" t="s">
        <v>1</v>
      </c>
      <c r="G7273" t="s">
        <v>2</v>
      </c>
      <c r="H7273" t="s">
        <v>6247</v>
      </c>
      <c r="Y7273" t="s">
        <v>30748</v>
      </c>
    </row>
    <row r="7274" spans="1:25" x14ac:dyDescent="0.25">
      <c r="A7274" t="str">
        <f>"57623847949"</f>
        <v>57623847949</v>
      </c>
      <c r="B7274" t="s">
        <v>32</v>
      </c>
      <c r="C7274" t="s">
        <v>40</v>
      </c>
      <c r="D7274" t="s">
        <v>40</v>
      </c>
      <c r="E7274">
        <v>424020</v>
      </c>
      <c r="F7274" t="s">
        <v>1</v>
      </c>
      <c r="G7274" t="s">
        <v>2</v>
      </c>
      <c r="H7274" t="s">
        <v>23</v>
      </c>
      <c r="Y7274" t="s">
        <v>25175</v>
      </c>
    </row>
    <row r="7275" spans="1:25" x14ac:dyDescent="0.25">
      <c r="A7275" t="str">
        <f>"57633727212"</f>
        <v>57633727212</v>
      </c>
      <c r="B7275" t="s">
        <v>96</v>
      </c>
      <c r="C7275" t="s">
        <v>11891</v>
      </c>
      <c r="D7275" t="s">
        <v>30749</v>
      </c>
      <c r="E7275">
        <v>424918</v>
      </c>
      <c r="F7275" t="s">
        <v>1</v>
      </c>
      <c r="G7275" t="s">
        <v>2</v>
      </c>
      <c r="H7275" t="s">
        <v>629</v>
      </c>
      <c r="P7275" t="s">
        <v>630</v>
      </c>
      <c r="Y7275" t="s">
        <v>1744</v>
      </c>
    </row>
    <row r="7276" spans="1:25" x14ac:dyDescent="0.25">
      <c r="A7276" t="str">
        <f>"57638784197"</f>
        <v>57638784197</v>
      </c>
      <c r="B7276" t="s">
        <v>574</v>
      </c>
      <c r="C7276" t="s">
        <v>30751</v>
      </c>
      <c r="D7276" t="s">
        <v>30750</v>
      </c>
      <c r="F7276" t="s">
        <v>1</v>
      </c>
      <c r="G7276" t="s">
        <v>2</v>
      </c>
      <c r="H7276" t="s">
        <v>16696</v>
      </c>
      <c r="P7276" t="s">
        <v>9803</v>
      </c>
      <c r="Y7276" t="s">
        <v>30752</v>
      </c>
    </row>
    <row r="7277" spans="1:25" x14ac:dyDescent="0.25">
      <c r="A7277" t="str">
        <f>"57651866507"</f>
        <v>57651866507</v>
      </c>
      <c r="B7277" t="s">
        <v>25</v>
      </c>
      <c r="C7277" t="s">
        <v>20320</v>
      </c>
      <c r="D7277" t="s">
        <v>30753</v>
      </c>
      <c r="E7277">
        <v>424002</v>
      </c>
      <c r="F7277" t="s">
        <v>1</v>
      </c>
      <c r="G7277" t="s">
        <v>2</v>
      </c>
      <c r="H7277" t="s">
        <v>7367</v>
      </c>
      <c r="Y7277" t="s">
        <v>30754</v>
      </c>
    </row>
    <row r="7278" spans="1:25" x14ac:dyDescent="0.25">
      <c r="A7278" t="str">
        <f>"57687671172"</f>
        <v>57687671172</v>
      </c>
      <c r="B7278" t="s">
        <v>18</v>
      </c>
      <c r="C7278" t="s">
        <v>17050</v>
      </c>
      <c r="D7278" t="s">
        <v>30755</v>
      </c>
      <c r="E7278">
        <v>424007</v>
      </c>
      <c r="F7278" t="s">
        <v>1</v>
      </c>
      <c r="G7278" t="s">
        <v>2</v>
      </c>
      <c r="H7278" t="s">
        <v>1389</v>
      </c>
      <c r="I7278" t="s">
        <v>30756</v>
      </c>
      <c r="J7278" t="s">
        <v>30757</v>
      </c>
      <c r="L7278" t="s">
        <v>30758</v>
      </c>
      <c r="M7278" t="s">
        <v>30759</v>
      </c>
      <c r="P7278" t="s">
        <v>30760</v>
      </c>
      <c r="Y7278" t="s">
        <v>1393</v>
      </c>
    </row>
    <row r="7279" spans="1:25" x14ac:dyDescent="0.25">
      <c r="A7279" t="str">
        <f>"57693694479"</f>
        <v>57693694479</v>
      </c>
      <c r="B7279" t="s">
        <v>738</v>
      </c>
      <c r="C7279" t="s">
        <v>30764</v>
      </c>
      <c r="D7279" t="s">
        <v>30761</v>
      </c>
      <c r="E7279">
        <v>424020</v>
      </c>
      <c r="F7279" t="s">
        <v>1</v>
      </c>
      <c r="G7279" t="s">
        <v>2</v>
      </c>
      <c r="H7279" t="s">
        <v>23</v>
      </c>
      <c r="I7279" t="s">
        <v>30762</v>
      </c>
      <c r="L7279" t="s">
        <v>30763</v>
      </c>
      <c r="P7279" t="s">
        <v>330</v>
      </c>
      <c r="Y7279" t="s">
        <v>6162</v>
      </c>
    </row>
    <row r="7280" spans="1:25" x14ac:dyDescent="0.25">
      <c r="A7280" t="str">
        <f>"57696599952"</f>
        <v>57696599952</v>
      </c>
      <c r="B7280" t="s">
        <v>10383</v>
      </c>
      <c r="C7280" t="s">
        <v>24146</v>
      </c>
      <c r="D7280" t="s">
        <v>30765</v>
      </c>
      <c r="F7280" t="s">
        <v>1</v>
      </c>
      <c r="G7280" t="s">
        <v>2</v>
      </c>
      <c r="H7280" t="s">
        <v>23409</v>
      </c>
      <c r="Y7280" t="s">
        <v>30766</v>
      </c>
    </row>
    <row r="7281" spans="1:25" x14ac:dyDescent="0.25">
      <c r="A7281" t="str">
        <f>"57712687401"</f>
        <v>57712687401</v>
      </c>
      <c r="B7281" t="s">
        <v>591</v>
      </c>
      <c r="C7281" t="s">
        <v>1904</v>
      </c>
      <c r="D7281" t="s">
        <v>30767</v>
      </c>
      <c r="E7281">
        <v>424005</v>
      </c>
      <c r="F7281" t="s">
        <v>1</v>
      </c>
      <c r="G7281" t="s">
        <v>2</v>
      </c>
      <c r="H7281" t="s">
        <v>6843</v>
      </c>
      <c r="I7281" t="s">
        <v>30768</v>
      </c>
      <c r="P7281" t="s">
        <v>30769</v>
      </c>
      <c r="Y7281" t="s">
        <v>30770</v>
      </c>
    </row>
    <row r="7282" spans="1:25" x14ac:dyDescent="0.25">
      <c r="A7282" t="str">
        <f>"57719849768"</f>
        <v>57719849768</v>
      </c>
      <c r="B7282" t="s">
        <v>32</v>
      </c>
      <c r="C7282" t="s">
        <v>182</v>
      </c>
      <c r="D7282" t="s">
        <v>30771</v>
      </c>
      <c r="E7282">
        <v>424002</v>
      </c>
      <c r="F7282" t="s">
        <v>1</v>
      </c>
      <c r="G7282" t="s">
        <v>2</v>
      </c>
      <c r="H7282" t="s">
        <v>3864</v>
      </c>
      <c r="J7282" t="s">
        <v>30772</v>
      </c>
      <c r="P7282" t="s">
        <v>2738</v>
      </c>
      <c r="Y7282" t="s">
        <v>3867</v>
      </c>
    </row>
    <row r="7283" spans="1:25" x14ac:dyDescent="0.25">
      <c r="A7283" t="str">
        <f>"57734196470"</f>
        <v>57734196470</v>
      </c>
      <c r="B7283" t="s">
        <v>640</v>
      </c>
      <c r="C7283" t="s">
        <v>663</v>
      </c>
      <c r="D7283" t="s">
        <v>21587</v>
      </c>
      <c r="E7283">
        <v>424000</v>
      </c>
      <c r="F7283" t="s">
        <v>1</v>
      </c>
      <c r="G7283" t="s">
        <v>2</v>
      </c>
      <c r="H7283" t="s">
        <v>128</v>
      </c>
      <c r="Y7283" t="s">
        <v>5640</v>
      </c>
    </row>
    <row r="7284" spans="1:25" x14ac:dyDescent="0.25">
      <c r="A7284" t="str">
        <f>"57735985595"</f>
        <v>57735985595</v>
      </c>
      <c r="B7284" t="s">
        <v>574</v>
      </c>
      <c r="C7284" t="s">
        <v>952</v>
      </c>
      <c r="D7284" t="s">
        <v>7620</v>
      </c>
      <c r="E7284">
        <v>424028</v>
      </c>
      <c r="F7284" t="s">
        <v>1</v>
      </c>
      <c r="G7284" t="s">
        <v>2</v>
      </c>
      <c r="H7284" t="s">
        <v>30307</v>
      </c>
      <c r="Y7284" t="s">
        <v>30308</v>
      </c>
    </row>
    <row r="7285" spans="1:25" x14ac:dyDescent="0.25">
      <c r="A7285" t="str">
        <f>"57744013724"</f>
        <v>57744013724</v>
      </c>
      <c r="B7285" t="s">
        <v>930</v>
      </c>
      <c r="C7285" t="s">
        <v>30776</v>
      </c>
      <c r="D7285" t="s">
        <v>30773</v>
      </c>
      <c r="F7285" t="s">
        <v>1</v>
      </c>
      <c r="G7285" t="s">
        <v>2</v>
      </c>
      <c r="H7285" t="s">
        <v>26565</v>
      </c>
      <c r="I7285" t="s">
        <v>30774</v>
      </c>
      <c r="J7285" t="s">
        <v>30775</v>
      </c>
      <c r="P7285" t="s">
        <v>6236</v>
      </c>
      <c r="Y7285" t="s">
        <v>3047</v>
      </c>
    </row>
    <row r="7286" spans="1:25" x14ac:dyDescent="0.25">
      <c r="A7286" t="str">
        <f>"57752104272"</f>
        <v>57752104272</v>
      </c>
      <c r="B7286" t="s">
        <v>96</v>
      </c>
      <c r="C7286" t="s">
        <v>893</v>
      </c>
      <c r="D7286" t="s">
        <v>30777</v>
      </c>
      <c r="F7286" t="s">
        <v>1</v>
      </c>
      <c r="G7286" t="s">
        <v>2</v>
      </c>
      <c r="H7286" t="s">
        <v>26459</v>
      </c>
      <c r="Y7286" t="s">
        <v>26463</v>
      </c>
    </row>
    <row r="7287" spans="1:25" x14ac:dyDescent="0.25">
      <c r="A7287" t="str">
        <f>"57752471945"</f>
        <v>57752471945</v>
      </c>
      <c r="B7287" t="s">
        <v>1544</v>
      </c>
      <c r="C7287" t="s">
        <v>15598</v>
      </c>
      <c r="D7287" t="s">
        <v>30028</v>
      </c>
      <c r="E7287">
        <v>424019</v>
      </c>
      <c r="F7287" t="s">
        <v>1</v>
      </c>
      <c r="G7287" t="s">
        <v>2</v>
      </c>
      <c r="H7287" t="s">
        <v>23956</v>
      </c>
      <c r="Y7287" t="s">
        <v>30778</v>
      </c>
    </row>
    <row r="7288" spans="1:25" x14ac:dyDescent="0.25">
      <c r="A7288" t="str">
        <f>"57814395107"</f>
        <v>57814395107</v>
      </c>
      <c r="B7288" t="s">
        <v>1544</v>
      </c>
      <c r="C7288" t="s">
        <v>25507</v>
      </c>
      <c r="D7288" t="s">
        <v>21307</v>
      </c>
      <c r="E7288">
        <v>424000</v>
      </c>
      <c r="F7288" t="s">
        <v>1</v>
      </c>
      <c r="G7288" t="s">
        <v>2</v>
      </c>
      <c r="H7288" t="s">
        <v>2671</v>
      </c>
      <c r="I7288" t="s">
        <v>30779</v>
      </c>
      <c r="Q7288" t="s">
        <v>30780</v>
      </c>
      <c r="Y7288" t="s">
        <v>2674</v>
      </c>
    </row>
    <row r="7289" spans="1:25" x14ac:dyDescent="0.25">
      <c r="A7289" t="str">
        <f>"57827886346"</f>
        <v>57827886346</v>
      </c>
      <c r="B7289" t="s">
        <v>574</v>
      </c>
      <c r="C7289" t="s">
        <v>952</v>
      </c>
      <c r="D7289" t="s">
        <v>7620</v>
      </c>
      <c r="E7289">
        <v>424040</v>
      </c>
      <c r="F7289" t="s">
        <v>1</v>
      </c>
      <c r="G7289" t="s">
        <v>2</v>
      </c>
      <c r="H7289" t="s">
        <v>25612</v>
      </c>
      <c r="Y7289" t="s">
        <v>30781</v>
      </c>
    </row>
    <row r="7290" spans="1:25" x14ac:dyDescent="0.25">
      <c r="A7290" t="str">
        <f>"57835856876"</f>
        <v>57835856876</v>
      </c>
      <c r="B7290" t="s">
        <v>1078</v>
      </c>
      <c r="C7290" t="s">
        <v>30785</v>
      </c>
      <c r="D7290" t="s">
        <v>30782</v>
      </c>
      <c r="E7290">
        <v>424016</v>
      </c>
      <c r="F7290" t="s">
        <v>1</v>
      </c>
      <c r="G7290" t="s">
        <v>2</v>
      </c>
      <c r="H7290" t="s">
        <v>30783</v>
      </c>
      <c r="I7290" t="s">
        <v>30784</v>
      </c>
      <c r="P7290" t="s">
        <v>27</v>
      </c>
      <c r="Y7290" t="s">
        <v>30786</v>
      </c>
    </row>
    <row r="7291" spans="1:25" x14ac:dyDescent="0.25">
      <c r="A7291" t="str">
        <f>"57905206793"</f>
        <v>57905206793</v>
      </c>
      <c r="B7291" t="s">
        <v>790</v>
      </c>
      <c r="C7291" t="s">
        <v>4583</v>
      </c>
      <c r="D7291" t="s">
        <v>30787</v>
      </c>
      <c r="E7291">
        <v>424000</v>
      </c>
      <c r="F7291" t="s">
        <v>1</v>
      </c>
      <c r="G7291" t="s">
        <v>2</v>
      </c>
      <c r="H7291" t="s">
        <v>1531</v>
      </c>
      <c r="I7291" t="s">
        <v>30788</v>
      </c>
      <c r="L7291" t="s">
        <v>30789</v>
      </c>
      <c r="M7291" t="s">
        <v>30790</v>
      </c>
      <c r="P7291" t="s">
        <v>1855</v>
      </c>
      <c r="Q7291" t="s">
        <v>30791</v>
      </c>
      <c r="V7291" t="s">
        <v>30792</v>
      </c>
      <c r="Y7291" t="s">
        <v>1707</v>
      </c>
    </row>
    <row r="7292" spans="1:25" x14ac:dyDescent="0.25">
      <c r="A7292" t="str">
        <f>"57969697162"</f>
        <v>57969697162</v>
      </c>
      <c r="B7292" t="s">
        <v>530</v>
      </c>
      <c r="C7292" t="s">
        <v>23950</v>
      </c>
      <c r="D7292" t="s">
        <v>23950</v>
      </c>
      <c r="F7292" t="s">
        <v>1</v>
      </c>
      <c r="G7292" t="s">
        <v>2</v>
      </c>
      <c r="H7292" t="s">
        <v>28650</v>
      </c>
      <c r="Y7292" t="s">
        <v>30793</v>
      </c>
    </row>
    <row r="7293" spans="1:25" x14ac:dyDescent="0.25">
      <c r="A7293" t="str">
        <f>"58034195345"</f>
        <v>58034195345</v>
      </c>
      <c r="B7293" t="s">
        <v>687</v>
      </c>
      <c r="C7293" t="s">
        <v>30797</v>
      </c>
      <c r="D7293" t="s">
        <v>30794</v>
      </c>
      <c r="F7293" t="s">
        <v>1</v>
      </c>
      <c r="G7293" t="s">
        <v>2</v>
      </c>
      <c r="H7293" t="s">
        <v>3711</v>
      </c>
      <c r="I7293" t="s">
        <v>30795</v>
      </c>
      <c r="L7293" t="s">
        <v>30796</v>
      </c>
      <c r="P7293" t="s">
        <v>280</v>
      </c>
      <c r="Y7293" t="s">
        <v>3715</v>
      </c>
    </row>
    <row r="7294" spans="1:25" x14ac:dyDescent="0.25">
      <c r="A7294" t="str">
        <f>"58040796857"</f>
        <v>58040796857</v>
      </c>
      <c r="B7294" t="s">
        <v>574</v>
      </c>
      <c r="C7294" t="s">
        <v>25422</v>
      </c>
      <c r="D7294" t="s">
        <v>30798</v>
      </c>
      <c r="E7294">
        <v>424038</v>
      </c>
      <c r="F7294" t="s">
        <v>1</v>
      </c>
      <c r="G7294" t="s">
        <v>2</v>
      </c>
      <c r="H7294" t="s">
        <v>9618</v>
      </c>
      <c r="J7294" t="s">
        <v>30799</v>
      </c>
      <c r="P7294" t="s">
        <v>216</v>
      </c>
      <c r="Y7294" t="s">
        <v>30800</v>
      </c>
    </row>
    <row r="7295" spans="1:25" x14ac:dyDescent="0.25">
      <c r="A7295" t="str">
        <f>"58043223795"</f>
        <v>58043223795</v>
      </c>
      <c r="B7295" t="s">
        <v>290</v>
      </c>
      <c r="C7295" t="s">
        <v>290</v>
      </c>
      <c r="D7295" t="s">
        <v>30801</v>
      </c>
      <c r="E7295">
        <v>424038</v>
      </c>
      <c r="F7295" t="s">
        <v>1</v>
      </c>
      <c r="G7295" t="s">
        <v>2</v>
      </c>
      <c r="H7295" t="s">
        <v>2145</v>
      </c>
      <c r="Y7295" t="s">
        <v>30802</v>
      </c>
    </row>
    <row r="7296" spans="1:25" x14ac:dyDescent="0.25">
      <c r="A7296" t="str">
        <f>"58095280464"</f>
        <v>58095280464</v>
      </c>
      <c r="B7296" t="s">
        <v>1053</v>
      </c>
      <c r="C7296" t="s">
        <v>1927</v>
      </c>
      <c r="D7296" t="s">
        <v>4384</v>
      </c>
      <c r="F7296" t="s">
        <v>1</v>
      </c>
      <c r="G7296" t="s">
        <v>2</v>
      </c>
      <c r="H7296" t="s">
        <v>7547</v>
      </c>
      <c r="Y7296" t="s">
        <v>30803</v>
      </c>
    </row>
    <row r="7297" spans="1:25" x14ac:dyDescent="0.25">
      <c r="A7297" t="str">
        <f>"58130020925"</f>
        <v>58130020925</v>
      </c>
      <c r="B7297" t="s">
        <v>18</v>
      </c>
      <c r="C7297" t="s">
        <v>143</v>
      </c>
      <c r="D7297" t="s">
        <v>30804</v>
      </c>
      <c r="E7297">
        <v>424002</v>
      </c>
      <c r="F7297" t="s">
        <v>1</v>
      </c>
      <c r="G7297" t="s">
        <v>2</v>
      </c>
      <c r="H7297" t="s">
        <v>5692</v>
      </c>
      <c r="Y7297" t="s">
        <v>30805</v>
      </c>
    </row>
    <row r="7298" spans="1:25" x14ac:dyDescent="0.25">
      <c r="A7298" t="str">
        <f>"58131421333"</f>
        <v>58131421333</v>
      </c>
      <c r="B7298" t="s">
        <v>574</v>
      </c>
      <c r="C7298" t="s">
        <v>952</v>
      </c>
      <c r="D7298" t="s">
        <v>3388</v>
      </c>
      <c r="E7298">
        <v>424038</v>
      </c>
      <c r="F7298" t="s">
        <v>1</v>
      </c>
      <c r="G7298" t="s">
        <v>2</v>
      </c>
      <c r="H7298" t="s">
        <v>2529</v>
      </c>
      <c r="P7298" t="s">
        <v>30806</v>
      </c>
      <c r="Y7298" t="s">
        <v>30807</v>
      </c>
    </row>
    <row r="7299" spans="1:25" x14ac:dyDescent="0.25">
      <c r="A7299" t="str">
        <f>"58150433342"</f>
        <v>58150433342</v>
      </c>
      <c r="B7299" t="s">
        <v>430</v>
      </c>
      <c r="C7299" t="s">
        <v>612</v>
      </c>
      <c r="D7299" t="s">
        <v>30808</v>
      </c>
      <c r="E7299">
        <v>424000</v>
      </c>
      <c r="F7299" t="s">
        <v>1</v>
      </c>
      <c r="G7299" t="s">
        <v>2</v>
      </c>
      <c r="H7299" t="s">
        <v>404</v>
      </c>
      <c r="J7299" t="s">
        <v>30809</v>
      </c>
      <c r="L7299" t="s">
        <v>30810</v>
      </c>
      <c r="M7299" t="s">
        <v>30811</v>
      </c>
      <c r="P7299" t="s">
        <v>21995</v>
      </c>
      <c r="Q7299" t="s">
        <v>30812</v>
      </c>
      <c r="V7299" t="s">
        <v>30813</v>
      </c>
      <c r="Y7299" t="s">
        <v>30814</v>
      </c>
    </row>
    <row r="7300" spans="1:25" x14ac:dyDescent="0.25">
      <c r="A7300" t="str">
        <f>"58180353867"</f>
        <v>58180353867</v>
      </c>
      <c r="B7300" t="s">
        <v>117</v>
      </c>
      <c r="C7300" t="s">
        <v>873</v>
      </c>
      <c r="D7300" t="s">
        <v>873</v>
      </c>
      <c r="F7300" t="s">
        <v>1</v>
      </c>
      <c r="G7300" t="s">
        <v>2</v>
      </c>
      <c r="H7300" t="s">
        <v>7547</v>
      </c>
      <c r="Y7300" t="s">
        <v>30815</v>
      </c>
    </row>
    <row r="7301" spans="1:25" x14ac:dyDescent="0.25">
      <c r="A7301" t="str">
        <f>"58185999397"</f>
        <v>58185999397</v>
      </c>
      <c r="B7301" t="s">
        <v>96</v>
      </c>
      <c r="C7301" t="s">
        <v>7071</v>
      </c>
      <c r="D7301" t="s">
        <v>30816</v>
      </c>
      <c r="E7301">
        <v>424006</v>
      </c>
      <c r="F7301" t="s">
        <v>1</v>
      </c>
      <c r="G7301" t="s">
        <v>2</v>
      </c>
      <c r="H7301" t="s">
        <v>30817</v>
      </c>
      <c r="P7301" t="s">
        <v>2731</v>
      </c>
      <c r="Y7301" t="s">
        <v>30818</v>
      </c>
    </row>
    <row r="7302" spans="1:25" x14ac:dyDescent="0.25">
      <c r="A7302" t="str">
        <f>"58187643739"</f>
        <v>58187643739</v>
      </c>
      <c r="B7302" t="s">
        <v>96</v>
      </c>
      <c r="C7302" t="s">
        <v>893</v>
      </c>
      <c r="D7302" t="s">
        <v>30819</v>
      </c>
      <c r="E7302">
        <v>424038</v>
      </c>
      <c r="F7302" t="s">
        <v>1</v>
      </c>
      <c r="G7302" t="s">
        <v>2</v>
      </c>
      <c r="H7302" t="s">
        <v>2614</v>
      </c>
      <c r="Y7302" t="s">
        <v>2617</v>
      </c>
    </row>
    <row r="7303" spans="1:25" x14ac:dyDescent="0.25">
      <c r="A7303" t="str">
        <f>"58233073805"</f>
        <v>58233073805</v>
      </c>
      <c r="B7303" t="s">
        <v>574</v>
      </c>
      <c r="C7303" t="s">
        <v>646</v>
      </c>
      <c r="D7303" t="s">
        <v>3057</v>
      </c>
      <c r="E7303">
        <v>424038</v>
      </c>
      <c r="F7303" t="s">
        <v>1</v>
      </c>
      <c r="G7303" t="s">
        <v>2</v>
      </c>
      <c r="H7303" t="s">
        <v>2103</v>
      </c>
      <c r="P7303" t="s">
        <v>216</v>
      </c>
      <c r="Y7303" t="s">
        <v>2323</v>
      </c>
    </row>
    <row r="7304" spans="1:25" x14ac:dyDescent="0.25">
      <c r="A7304" t="str">
        <f>"58238908126"</f>
        <v>58238908126</v>
      </c>
      <c r="B7304" t="s">
        <v>32</v>
      </c>
      <c r="C7304" t="s">
        <v>182</v>
      </c>
      <c r="D7304" t="s">
        <v>3831</v>
      </c>
      <c r="E7304">
        <v>424037</v>
      </c>
      <c r="F7304" t="s">
        <v>1</v>
      </c>
      <c r="G7304" t="s">
        <v>2</v>
      </c>
      <c r="H7304" t="s">
        <v>1116</v>
      </c>
      <c r="Y7304" t="s">
        <v>30820</v>
      </c>
    </row>
    <row r="7305" spans="1:25" x14ac:dyDescent="0.25">
      <c r="A7305" t="str">
        <f>"58262136885"</f>
        <v>58262136885</v>
      </c>
      <c r="B7305" t="s">
        <v>430</v>
      </c>
      <c r="C7305" t="s">
        <v>16178</v>
      </c>
      <c r="D7305" t="s">
        <v>10135</v>
      </c>
      <c r="E7305">
        <v>424037</v>
      </c>
      <c r="F7305" t="s">
        <v>1</v>
      </c>
      <c r="G7305" t="s">
        <v>2</v>
      </c>
      <c r="H7305" t="s">
        <v>4635</v>
      </c>
      <c r="P7305" t="s">
        <v>9820</v>
      </c>
      <c r="Y7305" t="s">
        <v>30821</v>
      </c>
    </row>
    <row r="7306" spans="1:25" x14ac:dyDescent="0.25">
      <c r="A7306" t="str">
        <f>"58276085903"</f>
        <v>58276085903</v>
      </c>
      <c r="B7306" t="s">
        <v>790</v>
      </c>
      <c r="C7306" t="s">
        <v>4583</v>
      </c>
      <c r="D7306" t="s">
        <v>30822</v>
      </c>
      <c r="E7306">
        <v>424031</v>
      </c>
      <c r="F7306" t="s">
        <v>1</v>
      </c>
      <c r="G7306" t="s">
        <v>2</v>
      </c>
      <c r="H7306" t="s">
        <v>30823</v>
      </c>
      <c r="J7306" t="s">
        <v>30824</v>
      </c>
      <c r="P7306" t="s">
        <v>10416</v>
      </c>
      <c r="Q7306" t="s">
        <v>30825</v>
      </c>
      <c r="V7306" t="s">
        <v>30826</v>
      </c>
      <c r="Y7306" t="s">
        <v>30827</v>
      </c>
    </row>
    <row r="7307" spans="1:25" x14ac:dyDescent="0.25">
      <c r="A7307" t="str">
        <f>"58284826508"</f>
        <v>58284826508</v>
      </c>
      <c r="B7307" t="s">
        <v>32</v>
      </c>
      <c r="C7307" t="s">
        <v>40</v>
      </c>
      <c r="D7307" t="s">
        <v>30828</v>
      </c>
      <c r="E7307">
        <v>424005</v>
      </c>
      <c r="F7307" t="s">
        <v>1</v>
      </c>
      <c r="G7307" t="s">
        <v>2</v>
      </c>
      <c r="H7307" t="s">
        <v>30829</v>
      </c>
      <c r="Y7307" t="s">
        <v>30830</v>
      </c>
    </row>
    <row r="7308" spans="1:25" x14ac:dyDescent="0.25">
      <c r="A7308" t="str">
        <f>"58289896255"</f>
        <v>58289896255</v>
      </c>
      <c r="B7308" t="s">
        <v>1611</v>
      </c>
      <c r="C7308" t="s">
        <v>29036</v>
      </c>
      <c r="D7308" t="s">
        <v>30831</v>
      </c>
      <c r="E7308">
        <v>424006</v>
      </c>
      <c r="F7308" t="s">
        <v>1</v>
      </c>
      <c r="G7308" t="s">
        <v>2</v>
      </c>
      <c r="H7308" t="s">
        <v>23605</v>
      </c>
      <c r="I7308" t="s">
        <v>30832</v>
      </c>
      <c r="M7308" t="s">
        <v>30833</v>
      </c>
      <c r="P7308" t="s">
        <v>4998</v>
      </c>
      <c r="Y7308" t="s">
        <v>30834</v>
      </c>
    </row>
    <row r="7309" spans="1:25" x14ac:dyDescent="0.25">
      <c r="A7309" t="str">
        <f>"58306375060"</f>
        <v>58306375060</v>
      </c>
      <c r="B7309" t="s">
        <v>348</v>
      </c>
      <c r="C7309" t="s">
        <v>30838</v>
      </c>
      <c r="D7309" t="s">
        <v>30835</v>
      </c>
      <c r="E7309">
        <v>424016</v>
      </c>
      <c r="F7309" t="s">
        <v>1</v>
      </c>
      <c r="G7309" t="s">
        <v>2</v>
      </c>
      <c r="H7309" t="s">
        <v>7728</v>
      </c>
      <c r="L7309" t="s">
        <v>30836</v>
      </c>
      <c r="M7309" t="s">
        <v>30837</v>
      </c>
      <c r="Y7309" t="s">
        <v>30839</v>
      </c>
    </row>
    <row r="7310" spans="1:25" x14ac:dyDescent="0.25">
      <c r="A7310" t="str">
        <f>"58325257762"</f>
        <v>58325257762</v>
      </c>
      <c r="B7310" t="s">
        <v>18</v>
      </c>
      <c r="C7310" t="s">
        <v>143</v>
      </c>
      <c r="D7310" t="s">
        <v>30840</v>
      </c>
      <c r="F7310" t="s">
        <v>1</v>
      </c>
      <c r="G7310" t="s">
        <v>2</v>
      </c>
      <c r="H7310" t="s">
        <v>30841</v>
      </c>
      <c r="J7310" t="s">
        <v>30842</v>
      </c>
      <c r="L7310" t="s">
        <v>30843</v>
      </c>
      <c r="M7310" t="s">
        <v>30844</v>
      </c>
      <c r="P7310" t="s">
        <v>20</v>
      </c>
      <c r="Y7310" t="s">
        <v>30845</v>
      </c>
    </row>
    <row r="7311" spans="1:25" x14ac:dyDescent="0.25">
      <c r="A7311" t="str">
        <f>"58338459252"</f>
        <v>58338459252</v>
      </c>
      <c r="B7311" t="s">
        <v>25</v>
      </c>
      <c r="C7311" t="s">
        <v>20320</v>
      </c>
      <c r="D7311" t="s">
        <v>30846</v>
      </c>
      <c r="E7311">
        <v>424000</v>
      </c>
      <c r="F7311" t="s">
        <v>1</v>
      </c>
      <c r="G7311" t="s">
        <v>2</v>
      </c>
      <c r="H7311" t="s">
        <v>1975</v>
      </c>
      <c r="J7311" t="s">
        <v>30847</v>
      </c>
      <c r="P7311" t="s">
        <v>330</v>
      </c>
      <c r="Y7311" t="s">
        <v>30848</v>
      </c>
    </row>
    <row r="7312" spans="1:25" x14ac:dyDescent="0.25">
      <c r="A7312" t="str">
        <f>"58346685950"</f>
        <v>58346685950</v>
      </c>
      <c r="B7312" t="s">
        <v>32</v>
      </c>
      <c r="C7312" t="s">
        <v>20137</v>
      </c>
      <c r="D7312" t="s">
        <v>2086</v>
      </c>
      <c r="E7312">
        <v>424033</v>
      </c>
      <c r="F7312" t="s">
        <v>1</v>
      </c>
      <c r="G7312" t="s">
        <v>2</v>
      </c>
      <c r="H7312" t="s">
        <v>18162</v>
      </c>
      <c r="J7312" t="s">
        <v>30849</v>
      </c>
      <c r="L7312" t="s">
        <v>30850</v>
      </c>
      <c r="P7312" t="s">
        <v>2738</v>
      </c>
      <c r="Q7312" t="s">
        <v>30851</v>
      </c>
      <c r="Y7312" t="s">
        <v>30852</v>
      </c>
    </row>
    <row r="7313" spans="1:25" x14ac:dyDescent="0.25">
      <c r="A7313" t="str">
        <f>"58380630834"</f>
        <v>58380630834</v>
      </c>
      <c r="B7313" t="s">
        <v>18</v>
      </c>
      <c r="C7313" t="s">
        <v>10928</v>
      </c>
      <c r="D7313" t="s">
        <v>30853</v>
      </c>
      <c r="F7313" t="s">
        <v>1</v>
      </c>
      <c r="G7313" t="s">
        <v>2</v>
      </c>
      <c r="H7313" t="s">
        <v>3165</v>
      </c>
      <c r="I7313" t="s">
        <v>30854</v>
      </c>
      <c r="P7313" t="s">
        <v>20</v>
      </c>
      <c r="Y7313" t="s">
        <v>17993</v>
      </c>
    </row>
    <row r="7314" spans="1:25" x14ac:dyDescent="0.25">
      <c r="A7314" t="str">
        <f>"58411644498"</f>
        <v>58411644498</v>
      </c>
      <c r="B7314" t="s">
        <v>1046</v>
      </c>
      <c r="C7314" t="s">
        <v>22946</v>
      </c>
      <c r="D7314" t="s">
        <v>22946</v>
      </c>
      <c r="E7314">
        <v>424006</v>
      </c>
      <c r="F7314" t="s">
        <v>1</v>
      </c>
      <c r="G7314" t="s">
        <v>2</v>
      </c>
      <c r="H7314" t="s">
        <v>6177</v>
      </c>
      <c r="Y7314" t="s">
        <v>30855</v>
      </c>
    </row>
    <row r="7315" spans="1:25" x14ac:dyDescent="0.25">
      <c r="A7315" t="str">
        <f>"58472666685"</f>
        <v>58472666685</v>
      </c>
      <c r="B7315" t="s">
        <v>32</v>
      </c>
      <c r="C7315" t="s">
        <v>182</v>
      </c>
      <c r="D7315" t="s">
        <v>12752</v>
      </c>
      <c r="E7315">
        <v>424006</v>
      </c>
      <c r="F7315" t="s">
        <v>1</v>
      </c>
      <c r="G7315" t="s">
        <v>2</v>
      </c>
      <c r="H7315" t="s">
        <v>3104</v>
      </c>
      <c r="Y7315" t="s">
        <v>30856</v>
      </c>
    </row>
    <row r="7316" spans="1:25" x14ac:dyDescent="0.25">
      <c r="A7316" t="str">
        <f>"58477591974"</f>
        <v>58477591974</v>
      </c>
      <c r="B7316" t="s">
        <v>624</v>
      </c>
      <c r="C7316" t="s">
        <v>30859</v>
      </c>
      <c r="D7316" t="s">
        <v>23837</v>
      </c>
      <c r="E7316">
        <v>424030</v>
      </c>
      <c r="F7316" t="s">
        <v>1</v>
      </c>
      <c r="G7316" t="s">
        <v>2</v>
      </c>
      <c r="H7316" t="s">
        <v>30857</v>
      </c>
      <c r="J7316" t="s">
        <v>30858</v>
      </c>
      <c r="P7316" t="s">
        <v>3393</v>
      </c>
      <c r="Y7316" t="s">
        <v>30860</v>
      </c>
    </row>
    <row r="7317" spans="1:25" x14ac:dyDescent="0.25">
      <c r="A7317" t="str">
        <f>"58481549185"</f>
        <v>58481549185</v>
      </c>
      <c r="B7317" t="s">
        <v>1152</v>
      </c>
      <c r="C7317" t="s">
        <v>1706</v>
      </c>
      <c r="D7317" t="s">
        <v>30861</v>
      </c>
      <c r="F7317" t="s">
        <v>1</v>
      </c>
      <c r="G7317" t="s">
        <v>2</v>
      </c>
      <c r="H7317" t="s">
        <v>30862</v>
      </c>
      <c r="Y7317" t="s">
        <v>30863</v>
      </c>
    </row>
    <row r="7318" spans="1:25" x14ac:dyDescent="0.25">
      <c r="A7318" t="str">
        <f>"58577428814"</f>
        <v>58577428814</v>
      </c>
      <c r="B7318" t="s">
        <v>1152</v>
      </c>
      <c r="C7318" t="s">
        <v>1153</v>
      </c>
      <c r="D7318" t="s">
        <v>24071</v>
      </c>
      <c r="E7318">
        <v>424019</v>
      </c>
      <c r="F7318" t="s">
        <v>1</v>
      </c>
      <c r="G7318" t="s">
        <v>2</v>
      </c>
      <c r="H7318" t="s">
        <v>24268</v>
      </c>
      <c r="Y7318" t="s">
        <v>30864</v>
      </c>
    </row>
    <row r="7319" spans="1:25" x14ac:dyDescent="0.25">
      <c r="A7319" t="str">
        <f>"58589097073"</f>
        <v>58589097073</v>
      </c>
      <c r="B7319" t="s">
        <v>7312</v>
      </c>
      <c r="C7319" t="s">
        <v>21136</v>
      </c>
      <c r="D7319" t="s">
        <v>30865</v>
      </c>
      <c r="E7319">
        <v>424007</v>
      </c>
      <c r="F7319" t="s">
        <v>1</v>
      </c>
      <c r="G7319" t="s">
        <v>2</v>
      </c>
      <c r="H7319" t="s">
        <v>5281</v>
      </c>
      <c r="Y7319" t="s">
        <v>16121</v>
      </c>
    </row>
    <row r="7320" spans="1:25" x14ac:dyDescent="0.25">
      <c r="A7320" t="str">
        <f>"58613000400"</f>
        <v>58613000400</v>
      </c>
      <c r="B7320" t="s">
        <v>1604</v>
      </c>
      <c r="C7320" t="s">
        <v>30870</v>
      </c>
      <c r="D7320" t="s">
        <v>30866</v>
      </c>
      <c r="E7320">
        <v>424007</v>
      </c>
      <c r="F7320" t="s">
        <v>1</v>
      </c>
      <c r="G7320" t="s">
        <v>2</v>
      </c>
      <c r="H7320" t="s">
        <v>5647</v>
      </c>
      <c r="I7320" t="s">
        <v>30867</v>
      </c>
      <c r="L7320" t="s">
        <v>30868</v>
      </c>
      <c r="M7320" t="s">
        <v>30869</v>
      </c>
      <c r="P7320" t="s">
        <v>2438</v>
      </c>
      <c r="Q7320" t="s">
        <v>30871</v>
      </c>
      <c r="T7320" t="s">
        <v>30872</v>
      </c>
      <c r="V7320" t="s">
        <v>30873</v>
      </c>
      <c r="Y7320" t="s">
        <v>12500</v>
      </c>
    </row>
    <row r="7321" spans="1:25" x14ac:dyDescent="0.25">
      <c r="A7321" t="str">
        <f>"58619841751"</f>
        <v>58619841751</v>
      </c>
      <c r="B7321" t="s">
        <v>3008</v>
      </c>
      <c r="C7321" t="s">
        <v>15744</v>
      </c>
      <c r="D7321" t="s">
        <v>30874</v>
      </c>
      <c r="E7321">
        <v>424028</v>
      </c>
      <c r="F7321" t="s">
        <v>1</v>
      </c>
      <c r="G7321" t="s">
        <v>2</v>
      </c>
      <c r="H7321" t="s">
        <v>30875</v>
      </c>
      <c r="J7321" t="s">
        <v>30876</v>
      </c>
      <c r="M7321" t="s">
        <v>30877</v>
      </c>
      <c r="P7321" t="s">
        <v>799</v>
      </c>
      <c r="Y7321" t="s">
        <v>22067</v>
      </c>
    </row>
    <row r="7322" spans="1:25" x14ac:dyDescent="0.25">
      <c r="A7322" t="str">
        <f>"58634991481"</f>
        <v>58634991481</v>
      </c>
      <c r="B7322" t="s">
        <v>243</v>
      </c>
      <c r="C7322" t="s">
        <v>2538</v>
      </c>
      <c r="D7322" t="s">
        <v>22117</v>
      </c>
      <c r="E7322">
        <v>424033</v>
      </c>
      <c r="F7322" t="s">
        <v>1</v>
      </c>
      <c r="G7322" t="s">
        <v>2</v>
      </c>
      <c r="H7322" t="s">
        <v>22290</v>
      </c>
      <c r="Y7322" t="s">
        <v>30878</v>
      </c>
    </row>
    <row r="7323" spans="1:25" x14ac:dyDescent="0.25">
      <c r="A7323" t="str">
        <f>"58639486681"</f>
        <v>58639486681</v>
      </c>
      <c r="B7323" t="s">
        <v>1475</v>
      </c>
      <c r="C7323" t="s">
        <v>4005</v>
      </c>
      <c r="D7323" t="s">
        <v>30879</v>
      </c>
      <c r="E7323">
        <v>424006</v>
      </c>
      <c r="F7323" t="s">
        <v>1</v>
      </c>
      <c r="G7323" t="s">
        <v>2</v>
      </c>
      <c r="H7323" t="s">
        <v>3736</v>
      </c>
      <c r="Y7323" t="s">
        <v>30880</v>
      </c>
    </row>
    <row r="7324" spans="1:25" x14ac:dyDescent="0.25">
      <c r="A7324" t="str">
        <f>"58660093745"</f>
        <v>58660093745</v>
      </c>
      <c r="B7324" t="s">
        <v>96</v>
      </c>
      <c r="C7324" t="s">
        <v>893</v>
      </c>
      <c r="D7324" t="s">
        <v>30881</v>
      </c>
      <c r="E7324">
        <v>424000</v>
      </c>
      <c r="F7324" t="s">
        <v>1</v>
      </c>
      <c r="G7324" t="s">
        <v>2</v>
      </c>
      <c r="H7324" t="s">
        <v>1473</v>
      </c>
      <c r="P7324" t="s">
        <v>941</v>
      </c>
      <c r="Y7324" t="s">
        <v>4067</v>
      </c>
    </row>
    <row r="7325" spans="1:25" x14ac:dyDescent="0.25">
      <c r="A7325" t="str">
        <f>"58703403481"</f>
        <v>58703403481</v>
      </c>
      <c r="B7325" t="s">
        <v>1262</v>
      </c>
      <c r="C7325" t="s">
        <v>1263</v>
      </c>
      <c r="D7325" t="s">
        <v>30882</v>
      </c>
      <c r="E7325">
        <v>424007</v>
      </c>
      <c r="F7325" t="s">
        <v>1</v>
      </c>
      <c r="G7325" t="s">
        <v>2</v>
      </c>
      <c r="H7325" t="s">
        <v>1566</v>
      </c>
      <c r="I7325" t="s">
        <v>30883</v>
      </c>
      <c r="J7325" t="s">
        <v>30884</v>
      </c>
      <c r="L7325" t="s">
        <v>30885</v>
      </c>
      <c r="M7325" t="s">
        <v>30886</v>
      </c>
      <c r="P7325" t="s">
        <v>152</v>
      </c>
      <c r="Y7325" t="s">
        <v>2882</v>
      </c>
    </row>
    <row r="7326" spans="1:25" x14ac:dyDescent="0.25">
      <c r="A7326" t="str">
        <f>"58738867606"</f>
        <v>58738867606</v>
      </c>
      <c r="B7326" t="s">
        <v>96</v>
      </c>
      <c r="C7326" t="s">
        <v>30889</v>
      </c>
      <c r="D7326" t="s">
        <v>30887</v>
      </c>
      <c r="E7326">
        <v>424000</v>
      </c>
      <c r="F7326" t="s">
        <v>1</v>
      </c>
      <c r="G7326" t="s">
        <v>2</v>
      </c>
      <c r="H7326" t="s">
        <v>24175</v>
      </c>
      <c r="J7326" t="s">
        <v>30888</v>
      </c>
      <c r="P7326" t="s">
        <v>471</v>
      </c>
      <c r="Y7326" t="s">
        <v>30890</v>
      </c>
    </row>
    <row r="7327" spans="1:25" x14ac:dyDescent="0.25">
      <c r="A7327" t="str">
        <f>"58778909267"</f>
        <v>58778909267</v>
      </c>
      <c r="B7327" t="s">
        <v>1046</v>
      </c>
      <c r="C7327" t="s">
        <v>30893</v>
      </c>
      <c r="D7327" t="s">
        <v>30891</v>
      </c>
      <c r="E7327">
        <v>424004</v>
      </c>
      <c r="F7327" t="s">
        <v>1</v>
      </c>
      <c r="G7327" t="s">
        <v>2</v>
      </c>
      <c r="H7327" t="s">
        <v>30892</v>
      </c>
      <c r="P7327" t="s">
        <v>330</v>
      </c>
      <c r="Y7327" t="s">
        <v>30894</v>
      </c>
    </row>
    <row r="7328" spans="1:25" x14ac:dyDescent="0.25">
      <c r="A7328" t="str">
        <f>"58798764185"</f>
        <v>58798764185</v>
      </c>
      <c r="B7328" t="s">
        <v>123</v>
      </c>
      <c r="C7328" t="s">
        <v>196</v>
      </c>
      <c r="D7328" t="s">
        <v>30895</v>
      </c>
      <c r="E7328">
        <v>424031</v>
      </c>
      <c r="F7328" t="s">
        <v>1</v>
      </c>
      <c r="G7328" t="s">
        <v>2</v>
      </c>
      <c r="H7328" t="s">
        <v>2353</v>
      </c>
      <c r="Y7328" t="s">
        <v>2356</v>
      </c>
    </row>
    <row r="7329" spans="1:25" x14ac:dyDescent="0.25">
      <c r="A7329" t="str">
        <f>"58815377095"</f>
        <v>58815377095</v>
      </c>
      <c r="B7329" t="s">
        <v>1053</v>
      </c>
      <c r="C7329" t="s">
        <v>23139</v>
      </c>
      <c r="D7329" t="s">
        <v>30896</v>
      </c>
      <c r="F7329" t="s">
        <v>1</v>
      </c>
      <c r="G7329" t="s">
        <v>2</v>
      </c>
      <c r="H7329" t="s">
        <v>28746</v>
      </c>
      <c r="J7329" t="s">
        <v>30897</v>
      </c>
      <c r="M7329" t="s">
        <v>30898</v>
      </c>
      <c r="P7329" t="s">
        <v>27</v>
      </c>
      <c r="Q7329" t="s">
        <v>30899</v>
      </c>
      <c r="V7329" t="s">
        <v>30900</v>
      </c>
      <c r="Y7329" t="s">
        <v>30901</v>
      </c>
    </row>
    <row r="7330" spans="1:25" x14ac:dyDescent="0.25">
      <c r="A7330" t="str">
        <f>"58816933273"</f>
        <v>58816933273</v>
      </c>
      <c r="B7330" t="s">
        <v>32</v>
      </c>
      <c r="C7330" t="s">
        <v>182</v>
      </c>
      <c r="D7330" t="s">
        <v>16476</v>
      </c>
      <c r="E7330">
        <v>424006</v>
      </c>
      <c r="F7330" t="s">
        <v>1</v>
      </c>
      <c r="G7330" t="s">
        <v>2</v>
      </c>
      <c r="H7330" t="s">
        <v>393</v>
      </c>
      <c r="I7330" t="s">
        <v>30902</v>
      </c>
      <c r="P7330" t="s">
        <v>8655</v>
      </c>
      <c r="Y7330" t="s">
        <v>23160</v>
      </c>
    </row>
    <row r="7331" spans="1:25" x14ac:dyDescent="0.25">
      <c r="A7331" t="str">
        <f>"58834254386"</f>
        <v>58834254386</v>
      </c>
      <c r="B7331" t="s">
        <v>32</v>
      </c>
      <c r="C7331" t="s">
        <v>5623</v>
      </c>
      <c r="D7331" t="s">
        <v>40</v>
      </c>
      <c r="E7331">
        <v>424032</v>
      </c>
      <c r="F7331" t="s">
        <v>1</v>
      </c>
      <c r="G7331" t="s">
        <v>2</v>
      </c>
      <c r="H7331" t="s">
        <v>325</v>
      </c>
      <c r="I7331" t="s">
        <v>30903</v>
      </c>
      <c r="P7331" t="s">
        <v>6456</v>
      </c>
      <c r="Q7331" t="s">
        <v>30904</v>
      </c>
      <c r="Y7331" t="s">
        <v>331</v>
      </c>
    </row>
    <row r="7332" spans="1:25" x14ac:dyDescent="0.25">
      <c r="A7332" t="str">
        <f>"58835290725"</f>
        <v>58835290725</v>
      </c>
      <c r="B7332" t="s">
        <v>1299</v>
      </c>
      <c r="C7332" t="s">
        <v>1504</v>
      </c>
      <c r="D7332" t="s">
        <v>30905</v>
      </c>
      <c r="E7332">
        <v>424007</v>
      </c>
      <c r="F7332" t="s">
        <v>1</v>
      </c>
      <c r="G7332" t="s">
        <v>2</v>
      </c>
      <c r="H7332" t="s">
        <v>10252</v>
      </c>
      <c r="I7332" t="s">
        <v>30906</v>
      </c>
      <c r="P7332" t="s">
        <v>27</v>
      </c>
      <c r="Y7332" t="s">
        <v>10258</v>
      </c>
    </row>
    <row r="7333" spans="1:25" x14ac:dyDescent="0.25">
      <c r="A7333" t="str">
        <f>"58839552598"</f>
        <v>58839552598</v>
      </c>
      <c r="B7333" t="s">
        <v>1262</v>
      </c>
      <c r="C7333" t="s">
        <v>30909</v>
      </c>
      <c r="D7333" t="s">
        <v>30907</v>
      </c>
      <c r="E7333">
        <v>424037</v>
      </c>
      <c r="F7333" t="s">
        <v>1</v>
      </c>
      <c r="G7333" t="s">
        <v>2</v>
      </c>
      <c r="H7333" t="s">
        <v>30908</v>
      </c>
      <c r="Y7333" t="s">
        <v>30910</v>
      </c>
    </row>
    <row r="7334" spans="1:25" x14ac:dyDescent="0.25">
      <c r="A7334" t="str">
        <f>"58844296842"</f>
        <v>58844296842</v>
      </c>
      <c r="B7334" t="s">
        <v>1611</v>
      </c>
      <c r="C7334" t="s">
        <v>14699</v>
      </c>
      <c r="D7334" t="s">
        <v>30911</v>
      </c>
      <c r="E7334">
        <v>424005</v>
      </c>
      <c r="F7334" t="s">
        <v>1</v>
      </c>
      <c r="G7334" t="s">
        <v>2</v>
      </c>
      <c r="H7334" t="s">
        <v>30912</v>
      </c>
      <c r="Y7334" t="s">
        <v>30913</v>
      </c>
    </row>
    <row r="7335" spans="1:25" x14ac:dyDescent="0.25">
      <c r="A7335" t="str">
        <f>"58883725430"</f>
        <v>58883725430</v>
      </c>
      <c r="B7335" t="s">
        <v>3544</v>
      </c>
      <c r="C7335" t="s">
        <v>11303</v>
      </c>
      <c r="D7335" t="s">
        <v>30914</v>
      </c>
      <c r="E7335">
        <v>424036</v>
      </c>
      <c r="F7335" t="s">
        <v>1</v>
      </c>
      <c r="G7335" t="s">
        <v>2</v>
      </c>
      <c r="H7335" t="s">
        <v>6403</v>
      </c>
      <c r="Y7335" t="s">
        <v>30915</v>
      </c>
    </row>
    <row r="7336" spans="1:25" x14ac:dyDescent="0.25">
      <c r="A7336" t="str">
        <f>"58895038314"</f>
        <v>58895038314</v>
      </c>
      <c r="B7336" t="s">
        <v>96</v>
      </c>
      <c r="C7336" t="s">
        <v>8808</v>
      </c>
      <c r="D7336" t="s">
        <v>30916</v>
      </c>
      <c r="E7336">
        <v>424019</v>
      </c>
      <c r="F7336" t="s">
        <v>1</v>
      </c>
      <c r="G7336" t="s">
        <v>2</v>
      </c>
      <c r="H7336" t="s">
        <v>7785</v>
      </c>
      <c r="I7336" t="s">
        <v>21820</v>
      </c>
      <c r="L7336" t="s">
        <v>21821</v>
      </c>
      <c r="M7336" t="s">
        <v>21822</v>
      </c>
      <c r="P7336" t="s">
        <v>98</v>
      </c>
      <c r="Q7336" t="s">
        <v>21823</v>
      </c>
      <c r="V7336" t="s">
        <v>21824</v>
      </c>
      <c r="Y7336" t="s">
        <v>30917</v>
      </c>
    </row>
    <row r="7337" spans="1:25" x14ac:dyDescent="0.25">
      <c r="A7337" t="str">
        <f>"58925235659"</f>
        <v>58925235659</v>
      </c>
      <c r="B7337" t="s">
        <v>1475</v>
      </c>
      <c r="C7337" t="s">
        <v>1476</v>
      </c>
      <c r="D7337" t="s">
        <v>30918</v>
      </c>
      <c r="E7337">
        <v>424019</v>
      </c>
      <c r="F7337" t="s">
        <v>1</v>
      </c>
      <c r="G7337" t="s">
        <v>2</v>
      </c>
      <c r="H7337" t="s">
        <v>15506</v>
      </c>
      <c r="J7337" t="s">
        <v>30919</v>
      </c>
      <c r="P7337" t="s">
        <v>1404</v>
      </c>
      <c r="Y7337" t="s">
        <v>30920</v>
      </c>
    </row>
    <row r="7338" spans="1:25" x14ac:dyDescent="0.25">
      <c r="A7338" t="str">
        <f>"58969889673"</f>
        <v>58969889673</v>
      </c>
      <c r="B7338" t="s">
        <v>32</v>
      </c>
      <c r="C7338" t="s">
        <v>5809</v>
      </c>
      <c r="D7338" t="s">
        <v>20647</v>
      </c>
      <c r="E7338">
        <v>424002</v>
      </c>
      <c r="F7338" t="s">
        <v>1</v>
      </c>
      <c r="G7338" t="s">
        <v>2</v>
      </c>
      <c r="H7338" t="s">
        <v>5692</v>
      </c>
      <c r="I7338" t="s">
        <v>30921</v>
      </c>
      <c r="P7338" t="s">
        <v>8945</v>
      </c>
      <c r="Y7338" t="s">
        <v>30922</v>
      </c>
    </row>
    <row r="7339" spans="1:25" x14ac:dyDescent="0.25">
      <c r="A7339" t="str">
        <f>"58991069341"</f>
        <v>58991069341</v>
      </c>
      <c r="B7339" t="s">
        <v>930</v>
      </c>
      <c r="C7339" t="s">
        <v>28006</v>
      </c>
      <c r="D7339" t="s">
        <v>30923</v>
      </c>
      <c r="F7339" t="s">
        <v>1</v>
      </c>
      <c r="G7339" t="s">
        <v>2</v>
      </c>
      <c r="H7339" t="s">
        <v>21080</v>
      </c>
      <c r="I7339" t="s">
        <v>30924</v>
      </c>
      <c r="P7339" t="s">
        <v>330</v>
      </c>
      <c r="Q7339" t="s">
        <v>30925</v>
      </c>
      <c r="V7339" t="s">
        <v>30926</v>
      </c>
      <c r="Y7339" t="s">
        <v>30927</v>
      </c>
    </row>
    <row r="7340" spans="1:25" x14ac:dyDescent="0.25">
      <c r="A7340" t="str">
        <f>"59060054629"</f>
        <v>59060054629</v>
      </c>
      <c r="B7340" t="s">
        <v>32</v>
      </c>
      <c r="C7340" t="s">
        <v>40</v>
      </c>
      <c r="D7340" t="s">
        <v>27890</v>
      </c>
      <c r="E7340">
        <v>424002</v>
      </c>
      <c r="F7340" t="s">
        <v>1</v>
      </c>
      <c r="G7340" t="s">
        <v>2</v>
      </c>
      <c r="H7340" t="s">
        <v>6768</v>
      </c>
      <c r="Y7340" t="s">
        <v>30928</v>
      </c>
    </row>
    <row r="7341" spans="1:25" x14ac:dyDescent="0.25">
      <c r="A7341" t="str">
        <f>"59081427083"</f>
        <v>59081427083</v>
      </c>
      <c r="B7341" t="s">
        <v>290</v>
      </c>
      <c r="C7341" t="s">
        <v>290</v>
      </c>
      <c r="D7341" t="s">
        <v>30929</v>
      </c>
      <c r="E7341">
        <v>424038</v>
      </c>
      <c r="F7341" t="s">
        <v>1</v>
      </c>
      <c r="G7341" t="s">
        <v>2</v>
      </c>
      <c r="H7341" t="s">
        <v>7597</v>
      </c>
      <c r="J7341" t="s">
        <v>30930</v>
      </c>
      <c r="L7341" t="s">
        <v>30931</v>
      </c>
      <c r="M7341" t="s">
        <v>30932</v>
      </c>
      <c r="P7341" t="s">
        <v>1642</v>
      </c>
      <c r="Y7341" t="s">
        <v>30933</v>
      </c>
    </row>
    <row r="7342" spans="1:25" x14ac:dyDescent="0.25">
      <c r="A7342" t="str">
        <f>"59099198478"</f>
        <v>59099198478</v>
      </c>
      <c r="B7342" t="s">
        <v>352</v>
      </c>
      <c r="C7342" t="s">
        <v>30936</v>
      </c>
      <c r="D7342" t="s">
        <v>30934</v>
      </c>
      <c r="E7342">
        <v>424008</v>
      </c>
      <c r="F7342" t="s">
        <v>1</v>
      </c>
      <c r="G7342" t="s">
        <v>2</v>
      </c>
      <c r="H7342" t="s">
        <v>1031</v>
      </c>
      <c r="I7342" t="s">
        <v>30935</v>
      </c>
      <c r="P7342" t="s">
        <v>3393</v>
      </c>
      <c r="Y7342" t="s">
        <v>30937</v>
      </c>
    </row>
    <row r="7343" spans="1:25" x14ac:dyDescent="0.25">
      <c r="A7343" t="str">
        <f>"59105050291"</f>
        <v>59105050291</v>
      </c>
      <c r="B7343" t="s">
        <v>930</v>
      </c>
      <c r="C7343" t="s">
        <v>30942</v>
      </c>
      <c r="D7343" t="s">
        <v>30938</v>
      </c>
      <c r="E7343">
        <v>424006</v>
      </c>
      <c r="F7343" t="s">
        <v>1</v>
      </c>
      <c r="G7343" t="s">
        <v>2</v>
      </c>
      <c r="H7343" t="s">
        <v>13284</v>
      </c>
      <c r="I7343" t="s">
        <v>30939</v>
      </c>
      <c r="L7343" t="s">
        <v>30940</v>
      </c>
      <c r="M7343" t="s">
        <v>30941</v>
      </c>
      <c r="P7343" t="s">
        <v>11503</v>
      </c>
      <c r="Y7343" t="s">
        <v>30943</v>
      </c>
    </row>
    <row r="7344" spans="1:25" x14ac:dyDescent="0.25">
      <c r="A7344" t="str">
        <f>"59146288734"</f>
        <v>59146288734</v>
      </c>
      <c r="B7344" t="s">
        <v>32</v>
      </c>
      <c r="C7344" t="s">
        <v>20137</v>
      </c>
      <c r="D7344" t="s">
        <v>30944</v>
      </c>
      <c r="E7344">
        <v>424007</v>
      </c>
      <c r="F7344" t="s">
        <v>1</v>
      </c>
      <c r="G7344" t="s">
        <v>2</v>
      </c>
      <c r="H7344" t="s">
        <v>5178</v>
      </c>
      <c r="P7344" t="s">
        <v>2731</v>
      </c>
      <c r="Y7344" t="s">
        <v>30945</v>
      </c>
    </row>
    <row r="7345" spans="1:25" x14ac:dyDescent="0.25">
      <c r="A7345" t="str">
        <f>"59157103280"</f>
        <v>59157103280</v>
      </c>
      <c r="B7345" t="s">
        <v>151</v>
      </c>
      <c r="C7345" t="s">
        <v>151</v>
      </c>
      <c r="D7345" t="s">
        <v>30946</v>
      </c>
      <c r="E7345">
        <v>424004</v>
      </c>
      <c r="F7345" t="s">
        <v>1</v>
      </c>
      <c r="G7345" t="s">
        <v>2</v>
      </c>
      <c r="H7345" t="s">
        <v>17461</v>
      </c>
      <c r="Y7345" t="s">
        <v>20082</v>
      </c>
    </row>
    <row r="7346" spans="1:25" x14ac:dyDescent="0.25">
      <c r="A7346" t="str">
        <f>"59160235062"</f>
        <v>59160235062</v>
      </c>
      <c r="B7346" t="s">
        <v>96</v>
      </c>
      <c r="C7346" t="s">
        <v>893</v>
      </c>
      <c r="D7346" t="s">
        <v>30947</v>
      </c>
      <c r="E7346">
        <v>424019</v>
      </c>
      <c r="F7346" t="s">
        <v>1</v>
      </c>
      <c r="G7346" t="s">
        <v>2</v>
      </c>
      <c r="H7346" t="s">
        <v>7785</v>
      </c>
      <c r="J7346" t="s">
        <v>30948</v>
      </c>
      <c r="L7346" t="s">
        <v>30949</v>
      </c>
      <c r="M7346" t="s">
        <v>30950</v>
      </c>
      <c r="P7346" t="s">
        <v>330</v>
      </c>
      <c r="Y7346" t="s">
        <v>30951</v>
      </c>
    </row>
    <row r="7347" spans="1:25" x14ac:dyDescent="0.25">
      <c r="A7347" t="str">
        <f>"59184670666"</f>
        <v>59184670666</v>
      </c>
      <c r="B7347" t="s">
        <v>151</v>
      </c>
      <c r="C7347" t="s">
        <v>3894</v>
      </c>
      <c r="D7347" t="s">
        <v>30952</v>
      </c>
      <c r="E7347">
        <v>424000</v>
      </c>
      <c r="F7347" t="s">
        <v>1</v>
      </c>
      <c r="G7347" t="s">
        <v>2</v>
      </c>
      <c r="H7347" t="s">
        <v>837</v>
      </c>
      <c r="I7347" t="s">
        <v>30953</v>
      </c>
      <c r="P7347" t="s">
        <v>9</v>
      </c>
      <c r="Y7347" t="s">
        <v>2662</v>
      </c>
    </row>
    <row r="7348" spans="1:25" x14ac:dyDescent="0.25">
      <c r="A7348" t="str">
        <f>"59201151431"</f>
        <v>59201151431</v>
      </c>
      <c r="B7348" t="s">
        <v>1391</v>
      </c>
      <c r="C7348" t="s">
        <v>1392</v>
      </c>
      <c r="D7348" t="s">
        <v>30954</v>
      </c>
      <c r="E7348">
        <v>424033</v>
      </c>
      <c r="F7348" t="s">
        <v>1</v>
      </c>
      <c r="G7348" t="s">
        <v>2</v>
      </c>
      <c r="H7348" t="s">
        <v>25986</v>
      </c>
      <c r="I7348" t="s">
        <v>25987</v>
      </c>
      <c r="P7348" t="s">
        <v>20</v>
      </c>
      <c r="Y7348" t="s">
        <v>25988</v>
      </c>
    </row>
    <row r="7349" spans="1:25" x14ac:dyDescent="0.25">
      <c r="A7349" t="str">
        <f>"59260432065"</f>
        <v>59260432065</v>
      </c>
      <c r="B7349" t="s">
        <v>188</v>
      </c>
      <c r="C7349" t="s">
        <v>24568</v>
      </c>
      <c r="D7349" t="s">
        <v>24568</v>
      </c>
      <c r="E7349">
        <v>424002</v>
      </c>
      <c r="F7349" t="s">
        <v>1</v>
      </c>
      <c r="G7349" t="s">
        <v>2</v>
      </c>
      <c r="H7349" t="s">
        <v>11581</v>
      </c>
      <c r="Y7349" t="s">
        <v>30955</v>
      </c>
    </row>
    <row r="7350" spans="1:25" x14ac:dyDescent="0.25">
      <c r="A7350" t="str">
        <f>"59302160731"</f>
        <v>59302160731</v>
      </c>
      <c r="B7350" t="s">
        <v>574</v>
      </c>
      <c r="C7350" t="s">
        <v>646</v>
      </c>
      <c r="D7350" t="s">
        <v>30956</v>
      </c>
      <c r="E7350">
        <v>424028</v>
      </c>
      <c r="F7350" t="s">
        <v>1</v>
      </c>
      <c r="G7350" t="s">
        <v>2</v>
      </c>
      <c r="H7350" t="s">
        <v>28022</v>
      </c>
      <c r="Y7350" t="s">
        <v>30957</v>
      </c>
    </row>
    <row r="7351" spans="1:25" x14ac:dyDescent="0.25">
      <c r="A7351" t="str">
        <f>"59306690063"</f>
        <v>59306690063</v>
      </c>
      <c r="B7351" t="s">
        <v>687</v>
      </c>
      <c r="C7351" t="s">
        <v>8544</v>
      </c>
      <c r="D7351" t="s">
        <v>30958</v>
      </c>
      <c r="E7351">
        <v>424020</v>
      </c>
      <c r="F7351" t="s">
        <v>1</v>
      </c>
      <c r="G7351" t="s">
        <v>2</v>
      </c>
      <c r="H7351" t="s">
        <v>23512</v>
      </c>
      <c r="I7351" t="s">
        <v>30959</v>
      </c>
      <c r="J7351" t="s">
        <v>8543</v>
      </c>
      <c r="L7351" t="s">
        <v>30960</v>
      </c>
      <c r="M7351" t="s">
        <v>30961</v>
      </c>
      <c r="P7351" t="s">
        <v>260</v>
      </c>
      <c r="Q7351" t="s">
        <v>30962</v>
      </c>
      <c r="T7351" t="s">
        <v>30963</v>
      </c>
      <c r="U7351" t="s">
        <v>30964</v>
      </c>
      <c r="V7351" t="s">
        <v>30965</v>
      </c>
      <c r="Y7351" t="s">
        <v>23515</v>
      </c>
    </row>
    <row r="7352" spans="1:25" x14ac:dyDescent="0.25">
      <c r="A7352" t="str">
        <f>"59309428128"</f>
        <v>59309428128</v>
      </c>
      <c r="B7352" t="s">
        <v>1053</v>
      </c>
      <c r="C7352" t="s">
        <v>30969</v>
      </c>
      <c r="D7352" t="s">
        <v>30966</v>
      </c>
      <c r="E7352">
        <v>424006</v>
      </c>
      <c r="F7352" t="s">
        <v>1</v>
      </c>
      <c r="G7352" t="s">
        <v>2</v>
      </c>
      <c r="H7352" t="s">
        <v>4821</v>
      </c>
      <c r="I7352" t="s">
        <v>30967</v>
      </c>
      <c r="L7352" t="s">
        <v>30968</v>
      </c>
      <c r="P7352" t="s">
        <v>1160</v>
      </c>
      <c r="Q7352" t="s">
        <v>30970</v>
      </c>
      <c r="Y7352" t="s">
        <v>4825</v>
      </c>
    </row>
    <row r="7353" spans="1:25" x14ac:dyDescent="0.25">
      <c r="A7353" t="str">
        <f>"59325297661"</f>
        <v>59325297661</v>
      </c>
      <c r="B7353" t="s">
        <v>25</v>
      </c>
      <c r="C7353" t="s">
        <v>24938</v>
      </c>
      <c r="D7353" t="s">
        <v>30971</v>
      </c>
      <c r="E7353">
        <v>424008</v>
      </c>
      <c r="F7353" t="s">
        <v>1</v>
      </c>
      <c r="G7353" t="s">
        <v>2</v>
      </c>
      <c r="H7353" t="s">
        <v>30342</v>
      </c>
      <c r="I7353" t="s">
        <v>30972</v>
      </c>
      <c r="L7353" t="s">
        <v>30973</v>
      </c>
      <c r="M7353" t="s">
        <v>30974</v>
      </c>
      <c r="Y7353" t="s">
        <v>30975</v>
      </c>
    </row>
    <row r="7354" spans="1:25" x14ac:dyDescent="0.25">
      <c r="A7354" t="str">
        <f>"59342904473"</f>
        <v>59342904473</v>
      </c>
      <c r="B7354" t="s">
        <v>2062</v>
      </c>
      <c r="C7354" t="s">
        <v>30981</v>
      </c>
      <c r="D7354" t="s">
        <v>30976</v>
      </c>
      <c r="F7354" t="s">
        <v>1</v>
      </c>
      <c r="G7354" t="s">
        <v>2</v>
      </c>
      <c r="H7354" t="s">
        <v>1600</v>
      </c>
      <c r="I7354" t="s">
        <v>30977</v>
      </c>
      <c r="J7354" t="s">
        <v>30978</v>
      </c>
      <c r="L7354" t="s">
        <v>30979</v>
      </c>
      <c r="M7354" t="s">
        <v>30980</v>
      </c>
      <c r="P7354" t="s">
        <v>30982</v>
      </c>
      <c r="Q7354" t="s">
        <v>30983</v>
      </c>
      <c r="V7354" t="s">
        <v>30984</v>
      </c>
      <c r="Y7354" t="s">
        <v>2417</v>
      </c>
    </row>
    <row r="7355" spans="1:25" x14ac:dyDescent="0.25">
      <c r="A7355" t="str">
        <f>"59428121562"</f>
        <v>59428121562</v>
      </c>
      <c r="B7355" t="s">
        <v>1053</v>
      </c>
      <c r="C7355" t="s">
        <v>23024</v>
      </c>
      <c r="D7355" t="s">
        <v>25316</v>
      </c>
      <c r="E7355">
        <v>424028</v>
      </c>
      <c r="F7355" t="s">
        <v>1</v>
      </c>
      <c r="G7355" t="s">
        <v>2</v>
      </c>
      <c r="H7355" t="s">
        <v>1958</v>
      </c>
      <c r="I7355" t="s">
        <v>30985</v>
      </c>
      <c r="L7355" t="s">
        <v>25318</v>
      </c>
      <c r="M7355" t="s">
        <v>30986</v>
      </c>
      <c r="P7355" t="s">
        <v>25321</v>
      </c>
      <c r="Y7355" t="s">
        <v>30987</v>
      </c>
    </row>
    <row r="7356" spans="1:25" x14ac:dyDescent="0.25">
      <c r="A7356" t="str">
        <f>"59443129252"</f>
        <v>59443129252</v>
      </c>
      <c r="B7356" t="s">
        <v>224</v>
      </c>
      <c r="C7356" t="s">
        <v>30990</v>
      </c>
      <c r="D7356" t="s">
        <v>30988</v>
      </c>
      <c r="F7356" t="s">
        <v>1</v>
      </c>
      <c r="G7356" t="s">
        <v>2</v>
      </c>
      <c r="H7356" t="s">
        <v>30989</v>
      </c>
      <c r="P7356" t="s">
        <v>280</v>
      </c>
      <c r="Y7356" t="s">
        <v>30991</v>
      </c>
    </row>
    <row r="7357" spans="1:25" x14ac:dyDescent="0.25">
      <c r="A7357" t="str">
        <f>"59485042248"</f>
        <v>59485042248</v>
      </c>
      <c r="B7357" t="s">
        <v>25</v>
      </c>
      <c r="C7357" t="s">
        <v>15801</v>
      </c>
      <c r="D7357" t="s">
        <v>30992</v>
      </c>
      <c r="E7357">
        <v>424000</v>
      </c>
      <c r="F7357" t="s">
        <v>1</v>
      </c>
      <c r="G7357" t="s">
        <v>2</v>
      </c>
      <c r="H7357" t="s">
        <v>30993</v>
      </c>
      <c r="I7357" t="s">
        <v>30994</v>
      </c>
      <c r="P7357" t="s">
        <v>20</v>
      </c>
      <c r="Y7357" t="s">
        <v>9940</v>
      </c>
    </row>
    <row r="7358" spans="1:25" x14ac:dyDescent="0.25">
      <c r="A7358" t="str">
        <f>"59501451624"</f>
        <v>59501451624</v>
      </c>
      <c r="B7358" t="s">
        <v>32</v>
      </c>
      <c r="C7358" t="s">
        <v>777</v>
      </c>
      <c r="D7358" t="s">
        <v>30995</v>
      </c>
      <c r="E7358">
        <v>424033</v>
      </c>
      <c r="F7358" t="s">
        <v>1</v>
      </c>
      <c r="G7358" t="s">
        <v>2</v>
      </c>
      <c r="H7358" t="s">
        <v>6953</v>
      </c>
      <c r="I7358" t="s">
        <v>30996</v>
      </c>
      <c r="J7358" t="s">
        <v>30997</v>
      </c>
      <c r="P7358" t="s">
        <v>2531</v>
      </c>
      <c r="Q7358" t="s">
        <v>30998</v>
      </c>
      <c r="V7358" t="s">
        <v>30999</v>
      </c>
      <c r="Y7358" t="s">
        <v>31000</v>
      </c>
    </row>
    <row r="7359" spans="1:25" x14ac:dyDescent="0.25">
      <c r="A7359" t="str">
        <f>"59505766368"</f>
        <v>59505766368</v>
      </c>
      <c r="B7359" t="s">
        <v>80</v>
      </c>
      <c r="C7359" t="s">
        <v>3295</v>
      </c>
      <c r="D7359" t="s">
        <v>23050</v>
      </c>
      <c r="E7359">
        <v>424004</v>
      </c>
      <c r="F7359" t="s">
        <v>1</v>
      </c>
      <c r="G7359" t="s">
        <v>2</v>
      </c>
      <c r="H7359" t="s">
        <v>31001</v>
      </c>
      <c r="J7359" t="s">
        <v>31002</v>
      </c>
      <c r="L7359" t="s">
        <v>31003</v>
      </c>
      <c r="Q7359" t="s">
        <v>31004</v>
      </c>
      <c r="Y7359" t="s">
        <v>31005</v>
      </c>
    </row>
    <row r="7360" spans="1:25" x14ac:dyDescent="0.25">
      <c r="A7360" t="str">
        <f>"59538225026"</f>
        <v>59538225026</v>
      </c>
      <c r="B7360" t="s">
        <v>88</v>
      </c>
      <c r="C7360" t="s">
        <v>19306</v>
      </c>
      <c r="D7360" t="s">
        <v>31006</v>
      </c>
      <c r="E7360">
        <v>424006</v>
      </c>
      <c r="F7360" t="s">
        <v>1</v>
      </c>
      <c r="G7360" t="s">
        <v>2</v>
      </c>
      <c r="H7360" t="s">
        <v>5761</v>
      </c>
      <c r="I7360" t="s">
        <v>31007</v>
      </c>
      <c r="P7360" t="s">
        <v>31008</v>
      </c>
      <c r="Y7360" t="s">
        <v>5764</v>
      </c>
    </row>
    <row r="7361" spans="1:25" x14ac:dyDescent="0.25">
      <c r="A7361" t="str">
        <f>"59547142927"</f>
        <v>59547142927</v>
      </c>
      <c r="B7361" t="s">
        <v>1152</v>
      </c>
      <c r="C7361" t="s">
        <v>1153</v>
      </c>
      <c r="D7361" t="s">
        <v>10280</v>
      </c>
      <c r="E7361">
        <v>424038</v>
      </c>
      <c r="F7361" t="s">
        <v>1</v>
      </c>
      <c r="G7361" t="s">
        <v>2</v>
      </c>
      <c r="H7361" t="s">
        <v>465</v>
      </c>
      <c r="I7361" t="s">
        <v>22092</v>
      </c>
      <c r="M7361" t="s">
        <v>10284</v>
      </c>
      <c r="P7361" t="s">
        <v>10385</v>
      </c>
      <c r="Q7361" t="s">
        <v>10286</v>
      </c>
      <c r="R7361" t="s">
        <v>10287</v>
      </c>
      <c r="S7361" t="s">
        <v>10288</v>
      </c>
      <c r="T7361" t="s">
        <v>10289</v>
      </c>
      <c r="U7361" t="s">
        <v>10290</v>
      </c>
      <c r="V7361" t="s">
        <v>10291</v>
      </c>
      <c r="Y7361" t="s">
        <v>31009</v>
      </c>
    </row>
    <row r="7362" spans="1:25" x14ac:dyDescent="0.25">
      <c r="A7362" t="str">
        <f>"59567002975"</f>
        <v>59567002975</v>
      </c>
      <c r="B7362" t="s">
        <v>574</v>
      </c>
      <c r="C7362" t="s">
        <v>29849</v>
      </c>
      <c r="D7362" t="s">
        <v>25536</v>
      </c>
      <c r="E7362">
        <v>424031</v>
      </c>
      <c r="F7362" t="s">
        <v>1</v>
      </c>
      <c r="G7362" t="s">
        <v>2</v>
      </c>
      <c r="H7362" t="s">
        <v>4606</v>
      </c>
      <c r="Y7362" t="s">
        <v>31010</v>
      </c>
    </row>
    <row r="7363" spans="1:25" x14ac:dyDescent="0.25">
      <c r="A7363" t="str">
        <f>"59571817099"</f>
        <v>59571817099</v>
      </c>
      <c r="B7363" t="s">
        <v>96</v>
      </c>
      <c r="C7363" t="s">
        <v>31012</v>
      </c>
      <c r="D7363" t="s">
        <v>31011</v>
      </c>
      <c r="E7363">
        <v>424019</v>
      </c>
      <c r="F7363" t="s">
        <v>1</v>
      </c>
      <c r="G7363" t="s">
        <v>2</v>
      </c>
      <c r="H7363" t="s">
        <v>7785</v>
      </c>
      <c r="P7363" t="s">
        <v>98</v>
      </c>
      <c r="Q7363" t="s">
        <v>31013</v>
      </c>
      <c r="Y7363" t="s">
        <v>25001</v>
      </c>
    </row>
    <row r="7364" spans="1:25" x14ac:dyDescent="0.25">
      <c r="A7364" t="str">
        <f>"59629761980"</f>
        <v>59629761980</v>
      </c>
      <c r="B7364" t="s">
        <v>1053</v>
      </c>
      <c r="C7364" t="s">
        <v>1927</v>
      </c>
      <c r="D7364" t="s">
        <v>31014</v>
      </c>
      <c r="E7364">
        <v>424003</v>
      </c>
      <c r="F7364" t="s">
        <v>1</v>
      </c>
      <c r="G7364" t="s">
        <v>2</v>
      </c>
      <c r="H7364" t="s">
        <v>645</v>
      </c>
      <c r="Y7364" t="s">
        <v>31015</v>
      </c>
    </row>
    <row r="7365" spans="1:25" x14ac:dyDescent="0.25">
      <c r="A7365" t="str">
        <f>"59639007705"</f>
        <v>59639007705</v>
      </c>
      <c r="B7365" t="s">
        <v>640</v>
      </c>
      <c r="C7365" t="s">
        <v>663</v>
      </c>
      <c r="D7365" t="s">
        <v>10162</v>
      </c>
      <c r="E7365">
        <v>424003</v>
      </c>
      <c r="F7365" t="s">
        <v>1</v>
      </c>
      <c r="G7365" t="s">
        <v>2</v>
      </c>
      <c r="H7365" t="s">
        <v>26218</v>
      </c>
      <c r="J7365" t="s">
        <v>25995</v>
      </c>
      <c r="Q7365" t="s">
        <v>25996</v>
      </c>
      <c r="Y7365" t="s">
        <v>31016</v>
      </c>
    </row>
    <row r="7366" spans="1:25" x14ac:dyDescent="0.25">
      <c r="A7366" t="str">
        <f>"59656487973"</f>
        <v>59656487973</v>
      </c>
      <c r="B7366" t="s">
        <v>1152</v>
      </c>
      <c r="C7366" t="s">
        <v>1153</v>
      </c>
      <c r="D7366" t="s">
        <v>10280</v>
      </c>
      <c r="E7366">
        <v>424033</v>
      </c>
      <c r="F7366" t="s">
        <v>1</v>
      </c>
      <c r="G7366" t="s">
        <v>2</v>
      </c>
      <c r="H7366" t="s">
        <v>31017</v>
      </c>
      <c r="I7366" t="s">
        <v>22092</v>
      </c>
      <c r="M7366" t="s">
        <v>10284</v>
      </c>
      <c r="Q7366" t="s">
        <v>10286</v>
      </c>
      <c r="R7366" t="s">
        <v>10287</v>
      </c>
      <c r="S7366" t="s">
        <v>10288</v>
      </c>
      <c r="T7366" t="s">
        <v>10289</v>
      </c>
      <c r="U7366" t="s">
        <v>10290</v>
      </c>
      <c r="V7366" t="s">
        <v>10291</v>
      </c>
      <c r="Y7366" t="s">
        <v>31018</v>
      </c>
    </row>
    <row r="7367" spans="1:25" x14ac:dyDescent="0.25">
      <c r="A7367" t="str">
        <f>"59657252586"</f>
        <v>59657252586</v>
      </c>
      <c r="B7367" t="s">
        <v>2846</v>
      </c>
      <c r="C7367" t="s">
        <v>31020</v>
      </c>
      <c r="D7367" t="s">
        <v>31019</v>
      </c>
      <c r="E7367">
        <v>424000</v>
      </c>
      <c r="F7367" t="s">
        <v>1</v>
      </c>
      <c r="G7367" t="s">
        <v>2</v>
      </c>
      <c r="H7367" t="s">
        <v>1473</v>
      </c>
      <c r="J7367" t="s">
        <v>15658</v>
      </c>
      <c r="P7367" t="s">
        <v>941</v>
      </c>
      <c r="Y7367" t="s">
        <v>31021</v>
      </c>
    </row>
    <row r="7368" spans="1:25" x14ac:dyDescent="0.25">
      <c r="A7368" t="str">
        <f>"59669630894"</f>
        <v>59669630894</v>
      </c>
      <c r="B7368" t="s">
        <v>3908</v>
      </c>
      <c r="C7368" t="s">
        <v>3918</v>
      </c>
      <c r="D7368" t="s">
        <v>31022</v>
      </c>
      <c r="F7368" t="s">
        <v>1</v>
      </c>
      <c r="G7368" t="s">
        <v>2</v>
      </c>
      <c r="H7368" t="s">
        <v>3984</v>
      </c>
      <c r="Y7368" t="s">
        <v>31023</v>
      </c>
    </row>
    <row r="7369" spans="1:25" x14ac:dyDescent="0.25">
      <c r="A7369" t="str">
        <f>"59671357814"</f>
        <v>59671357814</v>
      </c>
      <c r="B7369" t="s">
        <v>96</v>
      </c>
      <c r="C7369" t="s">
        <v>893</v>
      </c>
      <c r="D7369" t="s">
        <v>31024</v>
      </c>
      <c r="E7369">
        <v>424006</v>
      </c>
      <c r="F7369" t="s">
        <v>1</v>
      </c>
      <c r="G7369" t="s">
        <v>2</v>
      </c>
      <c r="H7369" t="s">
        <v>16063</v>
      </c>
      <c r="Y7369" t="s">
        <v>16066</v>
      </c>
    </row>
    <row r="7370" spans="1:25" x14ac:dyDescent="0.25">
      <c r="A7370" t="str">
        <f>"59687742037"</f>
        <v>59687742037</v>
      </c>
      <c r="B7370" t="s">
        <v>930</v>
      </c>
      <c r="C7370" t="s">
        <v>1096</v>
      </c>
      <c r="D7370" t="s">
        <v>1094</v>
      </c>
      <c r="E7370">
        <v>424006</v>
      </c>
      <c r="F7370" t="s">
        <v>1</v>
      </c>
      <c r="G7370" t="s">
        <v>2</v>
      </c>
      <c r="H7370" t="s">
        <v>1645</v>
      </c>
      <c r="I7370" t="s">
        <v>20035</v>
      </c>
      <c r="P7370" t="s">
        <v>2580</v>
      </c>
      <c r="Y7370" t="s">
        <v>4478</v>
      </c>
    </row>
    <row r="7371" spans="1:25" x14ac:dyDescent="0.25">
      <c r="A7371" t="str">
        <f>"59692176709"</f>
        <v>59692176709</v>
      </c>
      <c r="B7371" t="s">
        <v>319</v>
      </c>
      <c r="C7371" t="s">
        <v>320</v>
      </c>
      <c r="D7371" t="s">
        <v>31025</v>
      </c>
      <c r="E7371">
        <v>424006</v>
      </c>
      <c r="F7371" t="s">
        <v>1</v>
      </c>
      <c r="G7371" t="s">
        <v>2</v>
      </c>
      <c r="H7371" t="s">
        <v>9355</v>
      </c>
      <c r="P7371" t="s">
        <v>27709</v>
      </c>
      <c r="Y7371" t="s">
        <v>31026</v>
      </c>
    </row>
    <row r="7372" spans="1:25" x14ac:dyDescent="0.25">
      <c r="A7372" t="str">
        <f>"59705805413"</f>
        <v>59705805413</v>
      </c>
      <c r="B7372" t="s">
        <v>1352</v>
      </c>
      <c r="C7372" t="s">
        <v>1353</v>
      </c>
      <c r="D7372" t="s">
        <v>31027</v>
      </c>
      <c r="E7372">
        <v>424002</v>
      </c>
      <c r="F7372" t="s">
        <v>1</v>
      </c>
      <c r="G7372" t="s">
        <v>2</v>
      </c>
      <c r="H7372" t="s">
        <v>744</v>
      </c>
      <c r="P7372" t="s">
        <v>748</v>
      </c>
      <c r="Y7372" t="s">
        <v>749</v>
      </c>
    </row>
    <row r="7373" spans="1:25" x14ac:dyDescent="0.25">
      <c r="A7373" t="str">
        <f>"59773901237"</f>
        <v>59773901237</v>
      </c>
      <c r="B7373" t="s">
        <v>482</v>
      </c>
      <c r="C7373" t="s">
        <v>483</v>
      </c>
      <c r="D7373" t="s">
        <v>18307</v>
      </c>
      <c r="F7373" t="s">
        <v>1</v>
      </c>
      <c r="G7373" t="s">
        <v>2</v>
      </c>
      <c r="H7373" t="s">
        <v>2018</v>
      </c>
      <c r="I7373" t="s">
        <v>31028</v>
      </c>
      <c r="L7373" t="s">
        <v>18309</v>
      </c>
      <c r="M7373" t="s">
        <v>31029</v>
      </c>
      <c r="Y7373" t="s">
        <v>31030</v>
      </c>
    </row>
    <row r="7374" spans="1:25" x14ac:dyDescent="0.25">
      <c r="A7374" t="str">
        <f>"59788557939"</f>
        <v>59788557939</v>
      </c>
      <c r="B7374" t="s">
        <v>530</v>
      </c>
      <c r="C7374" t="s">
        <v>23950</v>
      </c>
      <c r="D7374" t="s">
        <v>23950</v>
      </c>
      <c r="F7374" t="s">
        <v>1</v>
      </c>
      <c r="G7374" t="s">
        <v>2</v>
      </c>
      <c r="H7374" t="s">
        <v>31031</v>
      </c>
      <c r="Y7374" t="s">
        <v>31032</v>
      </c>
    </row>
    <row r="7375" spans="1:25" x14ac:dyDescent="0.25">
      <c r="A7375" t="str">
        <f>"59841124010"</f>
        <v>59841124010</v>
      </c>
      <c r="B7375" t="s">
        <v>3700</v>
      </c>
      <c r="C7375" t="s">
        <v>4023</v>
      </c>
      <c r="D7375" t="s">
        <v>13082</v>
      </c>
      <c r="E7375">
        <v>424000</v>
      </c>
      <c r="F7375" t="s">
        <v>1</v>
      </c>
      <c r="G7375" t="s">
        <v>2</v>
      </c>
      <c r="H7375" t="s">
        <v>30076</v>
      </c>
      <c r="P7375" t="s">
        <v>133</v>
      </c>
      <c r="Y7375" t="s">
        <v>31033</v>
      </c>
    </row>
    <row r="7376" spans="1:25" x14ac:dyDescent="0.25">
      <c r="A7376" t="str">
        <f>"59876743377"</f>
        <v>59876743377</v>
      </c>
      <c r="B7376" t="s">
        <v>25</v>
      </c>
      <c r="C7376" t="s">
        <v>4208</v>
      </c>
      <c r="D7376" t="s">
        <v>31034</v>
      </c>
      <c r="F7376" t="s">
        <v>1</v>
      </c>
      <c r="G7376" t="s">
        <v>2</v>
      </c>
      <c r="H7376" t="s">
        <v>2018</v>
      </c>
      <c r="Y7376" t="s">
        <v>31035</v>
      </c>
    </row>
    <row r="7377" spans="1:25" x14ac:dyDescent="0.25">
      <c r="A7377" t="str">
        <f>"59931894292"</f>
        <v>59931894292</v>
      </c>
      <c r="B7377" t="s">
        <v>408</v>
      </c>
      <c r="C7377" t="s">
        <v>25792</v>
      </c>
      <c r="D7377" t="s">
        <v>25790</v>
      </c>
      <c r="E7377">
        <v>424000</v>
      </c>
      <c r="F7377" t="s">
        <v>1</v>
      </c>
      <c r="G7377" t="s">
        <v>2</v>
      </c>
      <c r="H7377" t="s">
        <v>1473</v>
      </c>
      <c r="P7377" t="s">
        <v>941</v>
      </c>
      <c r="Y7377" t="s">
        <v>31036</v>
      </c>
    </row>
    <row r="7378" spans="1:25" x14ac:dyDescent="0.25">
      <c r="A7378" t="str">
        <f>"59962779652"</f>
        <v>59962779652</v>
      </c>
      <c r="B7378" t="s">
        <v>25</v>
      </c>
      <c r="C7378" t="s">
        <v>4458</v>
      </c>
      <c r="D7378" t="s">
        <v>31037</v>
      </c>
      <c r="E7378">
        <v>424002</v>
      </c>
      <c r="F7378" t="s">
        <v>1</v>
      </c>
      <c r="G7378" t="s">
        <v>2</v>
      </c>
      <c r="H7378" t="s">
        <v>57</v>
      </c>
      <c r="Y7378" t="s">
        <v>3783</v>
      </c>
    </row>
    <row r="7379" spans="1:25" x14ac:dyDescent="0.25">
      <c r="A7379" t="str">
        <f>"59966345539"</f>
        <v>59966345539</v>
      </c>
      <c r="B7379" t="s">
        <v>117</v>
      </c>
      <c r="C7379" t="s">
        <v>873</v>
      </c>
      <c r="D7379" t="s">
        <v>873</v>
      </c>
      <c r="F7379" t="s">
        <v>1</v>
      </c>
      <c r="G7379" t="s">
        <v>2</v>
      </c>
      <c r="H7379" t="s">
        <v>7547</v>
      </c>
      <c r="Y7379" t="s">
        <v>31038</v>
      </c>
    </row>
    <row r="7380" spans="1:25" x14ac:dyDescent="0.25">
      <c r="A7380" t="str">
        <f>"59983564508"</f>
        <v>59983564508</v>
      </c>
      <c r="B7380" t="s">
        <v>669</v>
      </c>
      <c r="C7380" t="s">
        <v>1292</v>
      </c>
      <c r="D7380" t="s">
        <v>31039</v>
      </c>
      <c r="E7380">
        <v>424005</v>
      </c>
      <c r="F7380" t="s">
        <v>1</v>
      </c>
      <c r="G7380" t="s">
        <v>2</v>
      </c>
      <c r="H7380" t="s">
        <v>31040</v>
      </c>
      <c r="Y7380" t="s">
        <v>31041</v>
      </c>
    </row>
    <row r="7381" spans="1:25" x14ac:dyDescent="0.25">
      <c r="A7381" t="str">
        <f>"59990789073"</f>
        <v>59990789073</v>
      </c>
      <c r="B7381" t="s">
        <v>96</v>
      </c>
      <c r="C7381" t="s">
        <v>29163</v>
      </c>
      <c r="D7381" t="s">
        <v>20451</v>
      </c>
      <c r="E7381">
        <v>424019</v>
      </c>
      <c r="F7381" t="s">
        <v>1</v>
      </c>
      <c r="G7381" t="s">
        <v>2</v>
      </c>
      <c r="H7381" t="s">
        <v>7785</v>
      </c>
      <c r="I7381" t="s">
        <v>31042</v>
      </c>
      <c r="J7381" t="s">
        <v>31043</v>
      </c>
      <c r="L7381" t="s">
        <v>31044</v>
      </c>
      <c r="M7381" t="s">
        <v>31045</v>
      </c>
      <c r="P7381" t="s">
        <v>2738</v>
      </c>
      <c r="Q7381" t="s">
        <v>31046</v>
      </c>
      <c r="T7381" t="s">
        <v>31047</v>
      </c>
      <c r="V7381" t="s">
        <v>31048</v>
      </c>
      <c r="Y7381" t="s">
        <v>31049</v>
      </c>
    </row>
    <row r="7382" spans="1:25" x14ac:dyDescent="0.25">
      <c r="A7382" t="str">
        <f>"59998585693"</f>
        <v>59998585693</v>
      </c>
      <c r="B7382" t="s">
        <v>96</v>
      </c>
      <c r="C7382" t="s">
        <v>30889</v>
      </c>
      <c r="D7382" t="s">
        <v>31050</v>
      </c>
      <c r="E7382">
        <v>424000</v>
      </c>
      <c r="F7382" t="s">
        <v>1</v>
      </c>
      <c r="G7382" t="s">
        <v>2</v>
      </c>
      <c r="H7382" t="s">
        <v>24175</v>
      </c>
      <c r="I7382" t="s">
        <v>31051</v>
      </c>
      <c r="L7382" t="s">
        <v>16545</v>
      </c>
      <c r="M7382" t="s">
        <v>31052</v>
      </c>
      <c r="P7382" t="s">
        <v>471</v>
      </c>
      <c r="Y7382" t="s">
        <v>31053</v>
      </c>
    </row>
    <row r="7383" spans="1:25" x14ac:dyDescent="0.25">
      <c r="A7383" t="str">
        <f>"60005237498"</f>
        <v>60005237498</v>
      </c>
      <c r="B7383" t="s">
        <v>797</v>
      </c>
      <c r="C7383" t="s">
        <v>5123</v>
      </c>
      <c r="D7383" t="s">
        <v>4269</v>
      </c>
      <c r="E7383">
        <v>424006</v>
      </c>
      <c r="F7383" t="s">
        <v>1</v>
      </c>
      <c r="G7383" t="s">
        <v>2</v>
      </c>
      <c r="H7383" t="s">
        <v>31054</v>
      </c>
      <c r="P7383" t="s">
        <v>20819</v>
      </c>
      <c r="Y7383" t="s">
        <v>31055</v>
      </c>
    </row>
    <row r="7384" spans="1:25" x14ac:dyDescent="0.25">
      <c r="A7384" t="str">
        <f>"60047541792"</f>
        <v>60047541792</v>
      </c>
      <c r="B7384" t="s">
        <v>13560</v>
      </c>
      <c r="C7384" t="s">
        <v>31060</v>
      </c>
      <c r="D7384" t="s">
        <v>31056</v>
      </c>
      <c r="E7384">
        <v>424031</v>
      </c>
      <c r="F7384" t="s">
        <v>1</v>
      </c>
      <c r="G7384" t="s">
        <v>2</v>
      </c>
      <c r="H7384" t="s">
        <v>4622</v>
      </c>
      <c r="I7384" t="s">
        <v>31057</v>
      </c>
      <c r="L7384" t="s">
        <v>31058</v>
      </c>
      <c r="M7384" t="s">
        <v>31059</v>
      </c>
      <c r="P7384" t="s">
        <v>152</v>
      </c>
      <c r="Y7384" t="s">
        <v>28265</v>
      </c>
    </row>
    <row r="7385" spans="1:25" x14ac:dyDescent="0.25">
      <c r="A7385" t="str">
        <f>"60171154858"</f>
        <v>60171154858</v>
      </c>
      <c r="B7385" t="s">
        <v>96</v>
      </c>
      <c r="C7385" t="s">
        <v>20353</v>
      </c>
      <c r="D7385" t="s">
        <v>31061</v>
      </c>
      <c r="E7385">
        <v>424019</v>
      </c>
      <c r="F7385" t="s">
        <v>1</v>
      </c>
      <c r="G7385" t="s">
        <v>2</v>
      </c>
      <c r="H7385" t="s">
        <v>1467</v>
      </c>
      <c r="Y7385" t="s">
        <v>1630</v>
      </c>
    </row>
    <row r="7386" spans="1:25" x14ac:dyDescent="0.25">
      <c r="A7386" t="str">
        <f>"60193423613"</f>
        <v>60193423613</v>
      </c>
      <c r="B7386" t="s">
        <v>1053</v>
      </c>
      <c r="C7386" t="s">
        <v>31066</v>
      </c>
      <c r="D7386" t="s">
        <v>31062</v>
      </c>
      <c r="E7386">
        <v>424020</v>
      </c>
      <c r="F7386" t="s">
        <v>1</v>
      </c>
      <c r="G7386" t="s">
        <v>2</v>
      </c>
      <c r="H7386" t="s">
        <v>121</v>
      </c>
      <c r="I7386" t="s">
        <v>31063</v>
      </c>
      <c r="L7386" t="s">
        <v>31064</v>
      </c>
      <c r="M7386" t="s">
        <v>31065</v>
      </c>
      <c r="P7386" t="s">
        <v>27</v>
      </c>
      <c r="Q7386" t="s">
        <v>31067</v>
      </c>
      <c r="T7386" t="s">
        <v>31068</v>
      </c>
      <c r="U7386" t="s">
        <v>31069</v>
      </c>
      <c r="V7386" t="s">
        <v>31070</v>
      </c>
      <c r="Y7386" t="s">
        <v>31071</v>
      </c>
    </row>
    <row r="7387" spans="1:25" x14ac:dyDescent="0.25">
      <c r="A7387" t="str">
        <f>"60204887997"</f>
        <v>60204887997</v>
      </c>
      <c r="B7387" t="s">
        <v>96</v>
      </c>
      <c r="C7387" t="s">
        <v>659</v>
      </c>
      <c r="D7387" t="s">
        <v>29807</v>
      </c>
      <c r="E7387">
        <v>424000</v>
      </c>
      <c r="F7387" t="s">
        <v>1</v>
      </c>
      <c r="G7387" t="s">
        <v>2</v>
      </c>
      <c r="H7387" t="s">
        <v>24175</v>
      </c>
      <c r="Y7387" t="s">
        <v>31072</v>
      </c>
    </row>
    <row r="7388" spans="1:25" x14ac:dyDescent="0.25">
      <c r="A7388" t="str">
        <f>"60218191403"</f>
        <v>60218191403</v>
      </c>
      <c r="B7388" t="s">
        <v>5573</v>
      </c>
      <c r="C7388" t="s">
        <v>21453</v>
      </c>
      <c r="D7388" t="s">
        <v>31073</v>
      </c>
      <c r="E7388">
        <v>424003</v>
      </c>
      <c r="F7388" t="s">
        <v>1</v>
      </c>
      <c r="G7388" t="s">
        <v>2</v>
      </c>
      <c r="H7388" t="s">
        <v>2465</v>
      </c>
      <c r="I7388" t="s">
        <v>31074</v>
      </c>
      <c r="L7388" t="s">
        <v>31075</v>
      </c>
      <c r="P7388" t="s">
        <v>2923</v>
      </c>
      <c r="Q7388" t="s">
        <v>31076</v>
      </c>
      <c r="Y7388" t="s">
        <v>2469</v>
      </c>
    </row>
    <row r="7389" spans="1:25" x14ac:dyDescent="0.25">
      <c r="A7389" t="str">
        <f>"60255711185"</f>
        <v>60255711185</v>
      </c>
      <c r="B7389" t="s">
        <v>379</v>
      </c>
      <c r="C7389" t="s">
        <v>4852</v>
      </c>
      <c r="D7389" t="s">
        <v>31077</v>
      </c>
      <c r="E7389">
        <v>424000</v>
      </c>
      <c r="F7389" t="s">
        <v>1</v>
      </c>
      <c r="G7389" t="s">
        <v>2</v>
      </c>
      <c r="H7389" t="s">
        <v>1531</v>
      </c>
      <c r="J7389" t="s">
        <v>31078</v>
      </c>
      <c r="L7389" t="s">
        <v>31079</v>
      </c>
      <c r="P7389" t="s">
        <v>31080</v>
      </c>
      <c r="Y7389" t="s">
        <v>1707</v>
      </c>
    </row>
    <row r="7390" spans="1:25" x14ac:dyDescent="0.25">
      <c r="A7390" t="str">
        <f>"60321561061"</f>
        <v>60321561061</v>
      </c>
      <c r="B7390" t="s">
        <v>930</v>
      </c>
      <c r="C7390" t="s">
        <v>10263</v>
      </c>
      <c r="D7390" t="s">
        <v>31081</v>
      </c>
      <c r="E7390">
        <v>424038</v>
      </c>
      <c r="F7390" t="s">
        <v>1</v>
      </c>
      <c r="G7390" t="s">
        <v>2</v>
      </c>
      <c r="H7390" t="s">
        <v>2145</v>
      </c>
      <c r="Y7390" t="s">
        <v>31082</v>
      </c>
    </row>
    <row r="7391" spans="1:25" x14ac:dyDescent="0.25">
      <c r="A7391" t="str">
        <f>"60347600999"</f>
        <v>60347600999</v>
      </c>
      <c r="B7391" t="s">
        <v>2104</v>
      </c>
      <c r="C7391" t="s">
        <v>31085</v>
      </c>
      <c r="D7391" t="s">
        <v>31083</v>
      </c>
      <c r="E7391">
        <v>424002</v>
      </c>
      <c r="F7391" t="s">
        <v>1</v>
      </c>
      <c r="G7391" t="s">
        <v>2</v>
      </c>
      <c r="H7391" t="s">
        <v>662</v>
      </c>
      <c r="J7391" t="s">
        <v>31084</v>
      </c>
      <c r="P7391" t="s">
        <v>1306</v>
      </c>
      <c r="Q7391" t="s">
        <v>31086</v>
      </c>
      <c r="V7391" t="s">
        <v>31087</v>
      </c>
      <c r="Y7391" t="s">
        <v>31088</v>
      </c>
    </row>
    <row r="7392" spans="1:25" x14ac:dyDescent="0.25">
      <c r="A7392" t="str">
        <f>"60347979561"</f>
        <v>60347979561</v>
      </c>
      <c r="B7392" t="s">
        <v>290</v>
      </c>
      <c r="C7392" t="s">
        <v>11603</v>
      </c>
      <c r="D7392" t="s">
        <v>31089</v>
      </c>
      <c r="E7392">
        <v>424003</v>
      </c>
      <c r="F7392" t="s">
        <v>1</v>
      </c>
      <c r="G7392" t="s">
        <v>2</v>
      </c>
      <c r="H7392" t="s">
        <v>16749</v>
      </c>
      <c r="Y7392" t="s">
        <v>16752</v>
      </c>
    </row>
    <row r="7393" spans="1:25" x14ac:dyDescent="0.25">
      <c r="A7393" t="str">
        <f>"60360753978"</f>
        <v>60360753978</v>
      </c>
      <c r="B7393" t="s">
        <v>4084</v>
      </c>
      <c r="C7393" t="s">
        <v>28282</v>
      </c>
      <c r="D7393" t="s">
        <v>28461</v>
      </c>
      <c r="E7393">
        <v>424005</v>
      </c>
      <c r="F7393" t="s">
        <v>1</v>
      </c>
      <c r="G7393" t="s">
        <v>2</v>
      </c>
      <c r="H7393" t="s">
        <v>4965</v>
      </c>
      <c r="Y7393" t="s">
        <v>27373</v>
      </c>
    </row>
    <row r="7394" spans="1:25" x14ac:dyDescent="0.25">
      <c r="A7394" t="str">
        <f>"60365366447"</f>
        <v>60365366447</v>
      </c>
      <c r="B7394" t="s">
        <v>117</v>
      </c>
      <c r="C7394" t="s">
        <v>118</v>
      </c>
      <c r="D7394" t="s">
        <v>31090</v>
      </c>
      <c r="F7394" t="s">
        <v>1</v>
      </c>
      <c r="G7394" t="s">
        <v>2</v>
      </c>
      <c r="H7394" t="s">
        <v>7547</v>
      </c>
      <c r="Y7394" t="s">
        <v>31091</v>
      </c>
    </row>
    <row r="7395" spans="1:25" x14ac:dyDescent="0.25">
      <c r="A7395" t="str">
        <f>"60369527591"</f>
        <v>60369527591</v>
      </c>
      <c r="B7395" t="s">
        <v>574</v>
      </c>
      <c r="C7395" t="s">
        <v>646</v>
      </c>
      <c r="D7395" t="s">
        <v>28599</v>
      </c>
      <c r="E7395">
        <v>424003</v>
      </c>
      <c r="F7395" t="s">
        <v>1</v>
      </c>
      <c r="G7395" t="s">
        <v>2</v>
      </c>
      <c r="H7395" t="s">
        <v>38</v>
      </c>
      <c r="Y7395" t="s">
        <v>31092</v>
      </c>
    </row>
    <row r="7396" spans="1:25" x14ac:dyDescent="0.25">
      <c r="A7396" t="str">
        <f>"60440657317"</f>
        <v>60440657317</v>
      </c>
      <c r="B7396" t="s">
        <v>1046</v>
      </c>
      <c r="C7396" t="s">
        <v>22946</v>
      </c>
      <c r="D7396" t="s">
        <v>22946</v>
      </c>
      <c r="E7396">
        <v>424020</v>
      </c>
      <c r="F7396" t="s">
        <v>1</v>
      </c>
      <c r="G7396" t="s">
        <v>2</v>
      </c>
      <c r="H7396" t="s">
        <v>3675</v>
      </c>
      <c r="Y7396" t="s">
        <v>31093</v>
      </c>
    </row>
    <row r="7397" spans="1:25" x14ac:dyDescent="0.25">
      <c r="A7397" t="str">
        <f>"60449929012"</f>
        <v>60449929012</v>
      </c>
      <c r="B7397" t="s">
        <v>1343</v>
      </c>
      <c r="C7397" t="s">
        <v>1344</v>
      </c>
      <c r="D7397" t="s">
        <v>31094</v>
      </c>
      <c r="E7397">
        <v>424033</v>
      </c>
      <c r="F7397" t="s">
        <v>1</v>
      </c>
      <c r="G7397" t="s">
        <v>2</v>
      </c>
      <c r="H7397" t="s">
        <v>1782</v>
      </c>
      <c r="Q7397" t="s">
        <v>31095</v>
      </c>
      <c r="Y7397" t="s">
        <v>24609</v>
      </c>
    </row>
    <row r="7398" spans="1:25" x14ac:dyDescent="0.25">
      <c r="A7398" t="str">
        <f>"60470488544"</f>
        <v>60470488544</v>
      </c>
      <c r="B7398" t="s">
        <v>430</v>
      </c>
      <c r="C7398" t="s">
        <v>11849</v>
      </c>
      <c r="D7398" t="s">
        <v>31096</v>
      </c>
      <c r="E7398">
        <v>424002</v>
      </c>
      <c r="F7398" t="s">
        <v>1</v>
      </c>
      <c r="G7398" t="s">
        <v>2</v>
      </c>
      <c r="H7398" t="s">
        <v>7367</v>
      </c>
      <c r="I7398" t="s">
        <v>31097</v>
      </c>
      <c r="J7398" t="s">
        <v>31098</v>
      </c>
      <c r="P7398" t="s">
        <v>2457</v>
      </c>
      <c r="Q7398" t="s">
        <v>31099</v>
      </c>
      <c r="Y7398" t="s">
        <v>31100</v>
      </c>
    </row>
    <row r="7399" spans="1:25" x14ac:dyDescent="0.25">
      <c r="A7399" t="str">
        <f>"60483413056"</f>
        <v>60483413056</v>
      </c>
      <c r="B7399" t="s">
        <v>574</v>
      </c>
      <c r="C7399" t="s">
        <v>24405</v>
      </c>
      <c r="D7399" t="s">
        <v>31101</v>
      </c>
      <c r="E7399">
        <v>424016</v>
      </c>
      <c r="F7399" t="s">
        <v>1</v>
      </c>
      <c r="G7399" t="s">
        <v>2</v>
      </c>
      <c r="H7399" t="s">
        <v>18429</v>
      </c>
      <c r="J7399" t="s">
        <v>31102</v>
      </c>
      <c r="P7399" t="s">
        <v>216</v>
      </c>
      <c r="Y7399" t="s">
        <v>29257</v>
      </c>
    </row>
    <row r="7400" spans="1:25" x14ac:dyDescent="0.25">
      <c r="A7400" t="str">
        <f>"60530224291"</f>
        <v>60530224291</v>
      </c>
      <c r="B7400" t="s">
        <v>110</v>
      </c>
      <c r="C7400" t="s">
        <v>111</v>
      </c>
      <c r="D7400" t="s">
        <v>1115</v>
      </c>
      <c r="E7400">
        <v>424031</v>
      </c>
      <c r="F7400" t="s">
        <v>1</v>
      </c>
      <c r="G7400" t="s">
        <v>2</v>
      </c>
      <c r="H7400" t="s">
        <v>14695</v>
      </c>
      <c r="Y7400" t="s">
        <v>31103</v>
      </c>
    </row>
    <row r="7401" spans="1:25" x14ac:dyDescent="0.25">
      <c r="A7401" t="str">
        <f>"60544368069"</f>
        <v>60544368069</v>
      </c>
      <c r="B7401" t="s">
        <v>379</v>
      </c>
      <c r="C7401" t="s">
        <v>766</v>
      </c>
      <c r="D7401" t="s">
        <v>31104</v>
      </c>
      <c r="E7401">
        <v>424002</v>
      </c>
      <c r="F7401" t="s">
        <v>1</v>
      </c>
      <c r="G7401" t="s">
        <v>2</v>
      </c>
      <c r="H7401" t="s">
        <v>6656</v>
      </c>
      <c r="I7401" t="s">
        <v>31105</v>
      </c>
      <c r="L7401" t="s">
        <v>31106</v>
      </c>
      <c r="M7401" t="s">
        <v>31107</v>
      </c>
      <c r="P7401" t="s">
        <v>20</v>
      </c>
      <c r="Y7401" t="s">
        <v>31108</v>
      </c>
    </row>
    <row r="7402" spans="1:25" x14ac:dyDescent="0.25">
      <c r="A7402" t="str">
        <f>"60544437701"</f>
        <v>60544437701</v>
      </c>
      <c r="B7402" t="s">
        <v>117</v>
      </c>
      <c r="C7402" t="s">
        <v>873</v>
      </c>
      <c r="D7402" t="s">
        <v>873</v>
      </c>
      <c r="E7402">
        <v>424005</v>
      </c>
      <c r="F7402" t="s">
        <v>1</v>
      </c>
      <c r="G7402" t="s">
        <v>2</v>
      </c>
      <c r="H7402" t="s">
        <v>31109</v>
      </c>
      <c r="Y7402" t="s">
        <v>31110</v>
      </c>
    </row>
    <row r="7403" spans="1:25" x14ac:dyDescent="0.25">
      <c r="A7403" t="str">
        <f>"60553908329"</f>
        <v>60553908329</v>
      </c>
      <c r="B7403" t="s">
        <v>25</v>
      </c>
      <c r="C7403" t="s">
        <v>59</v>
      </c>
      <c r="D7403" t="s">
        <v>15189</v>
      </c>
      <c r="E7403">
        <v>424002</v>
      </c>
      <c r="F7403" t="s">
        <v>1</v>
      </c>
      <c r="G7403" t="s">
        <v>2</v>
      </c>
      <c r="H7403" t="s">
        <v>2338</v>
      </c>
      <c r="I7403" t="s">
        <v>15190</v>
      </c>
      <c r="P7403" t="s">
        <v>280</v>
      </c>
      <c r="Y7403" t="s">
        <v>2954</v>
      </c>
    </row>
    <row r="7404" spans="1:25" x14ac:dyDescent="0.25">
      <c r="A7404" t="str">
        <f>"60622002733"</f>
        <v>60622002733</v>
      </c>
      <c r="B7404" t="s">
        <v>530</v>
      </c>
      <c r="C7404" t="s">
        <v>23950</v>
      </c>
      <c r="D7404" t="s">
        <v>23950</v>
      </c>
      <c r="F7404" t="s">
        <v>1</v>
      </c>
      <c r="G7404" t="s">
        <v>2</v>
      </c>
      <c r="H7404" t="s">
        <v>27272</v>
      </c>
      <c r="Y7404" t="s">
        <v>31111</v>
      </c>
    </row>
    <row r="7405" spans="1:25" x14ac:dyDescent="0.25">
      <c r="A7405" t="str">
        <f>"60623855064"</f>
        <v>60623855064</v>
      </c>
      <c r="B7405" t="s">
        <v>1552</v>
      </c>
      <c r="C7405" t="s">
        <v>1962</v>
      </c>
      <c r="D7405" t="s">
        <v>31112</v>
      </c>
      <c r="E7405">
        <v>424036</v>
      </c>
      <c r="F7405" t="s">
        <v>1</v>
      </c>
      <c r="G7405" t="s">
        <v>2</v>
      </c>
      <c r="H7405" t="s">
        <v>31113</v>
      </c>
      <c r="P7405" t="s">
        <v>330</v>
      </c>
      <c r="Y7405" t="s">
        <v>31114</v>
      </c>
    </row>
    <row r="7406" spans="1:25" x14ac:dyDescent="0.25">
      <c r="A7406" t="str">
        <f>"60667523464"</f>
        <v>60667523464</v>
      </c>
      <c r="B7406" t="s">
        <v>1323</v>
      </c>
      <c r="C7406" t="s">
        <v>1324</v>
      </c>
      <c r="D7406" t="s">
        <v>31115</v>
      </c>
      <c r="E7406">
        <v>424031</v>
      </c>
      <c r="F7406" t="s">
        <v>1</v>
      </c>
      <c r="G7406" t="s">
        <v>2</v>
      </c>
      <c r="H7406" t="s">
        <v>25309</v>
      </c>
      <c r="Y7406" t="s">
        <v>31116</v>
      </c>
    </row>
    <row r="7407" spans="1:25" x14ac:dyDescent="0.25">
      <c r="A7407" t="str">
        <f>"60716902210"</f>
        <v>60716902210</v>
      </c>
      <c r="B7407" t="s">
        <v>930</v>
      </c>
      <c r="C7407" t="s">
        <v>1096</v>
      </c>
      <c r="D7407" t="s">
        <v>31117</v>
      </c>
      <c r="F7407" t="s">
        <v>1</v>
      </c>
      <c r="G7407" t="s">
        <v>2</v>
      </c>
      <c r="H7407" t="s">
        <v>1359</v>
      </c>
      <c r="Q7407" t="s">
        <v>31118</v>
      </c>
      <c r="Y7407" t="s">
        <v>1364</v>
      </c>
    </row>
    <row r="7408" spans="1:25" x14ac:dyDescent="0.25">
      <c r="A7408" t="str">
        <f>"60724216588"</f>
        <v>60724216588</v>
      </c>
      <c r="B7408" t="s">
        <v>841</v>
      </c>
      <c r="C7408" t="s">
        <v>31123</v>
      </c>
      <c r="D7408" t="s">
        <v>31119</v>
      </c>
      <c r="E7408">
        <v>424000</v>
      </c>
      <c r="F7408" t="s">
        <v>1</v>
      </c>
      <c r="G7408" t="s">
        <v>2</v>
      </c>
      <c r="H7408" t="s">
        <v>1531</v>
      </c>
      <c r="I7408" t="s">
        <v>31120</v>
      </c>
      <c r="L7408" t="s">
        <v>31121</v>
      </c>
      <c r="M7408" t="s">
        <v>31122</v>
      </c>
      <c r="P7408" t="s">
        <v>27</v>
      </c>
      <c r="Q7408" t="s">
        <v>31124</v>
      </c>
      <c r="V7408" t="s">
        <v>31125</v>
      </c>
      <c r="Y7408" t="s">
        <v>1707</v>
      </c>
    </row>
    <row r="7409" spans="1:25" x14ac:dyDescent="0.25">
      <c r="A7409" t="str">
        <f>"60736862581"</f>
        <v>60736862581</v>
      </c>
      <c r="B7409" t="s">
        <v>204</v>
      </c>
      <c r="C7409" t="s">
        <v>25704</v>
      </c>
      <c r="D7409" t="s">
        <v>31126</v>
      </c>
      <c r="E7409">
        <v>424000</v>
      </c>
      <c r="F7409" t="s">
        <v>1</v>
      </c>
      <c r="G7409" t="s">
        <v>2</v>
      </c>
      <c r="H7409" t="s">
        <v>3749</v>
      </c>
      <c r="Y7409" t="s">
        <v>31127</v>
      </c>
    </row>
    <row r="7410" spans="1:25" x14ac:dyDescent="0.25">
      <c r="A7410" t="str">
        <f>"60745571635"</f>
        <v>60745571635</v>
      </c>
      <c r="B7410" t="s">
        <v>1544</v>
      </c>
      <c r="C7410" t="s">
        <v>7974</v>
      </c>
      <c r="D7410" t="s">
        <v>31128</v>
      </c>
      <c r="F7410" t="s">
        <v>1</v>
      </c>
      <c r="G7410" t="s">
        <v>2</v>
      </c>
      <c r="H7410" t="s">
        <v>5906</v>
      </c>
      <c r="Y7410" t="s">
        <v>31129</v>
      </c>
    </row>
    <row r="7411" spans="1:25" x14ac:dyDescent="0.25">
      <c r="A7411" t="str">
        <f>"60762877812"</f>
        <v>60762877812</v>
      </c>
      <c r="B7411" t="s">
        <v>574</v>
      </c>
      <c r="C7411" t="s">
        <v>31132</v>
      </c>
      <c r="D7411" t="s">
        <v>24383</v>
      </c>
      <c r="F7411" t="s">
        <v>1</v>
      </c>
      <c r="G7411" t="s">
        <v>2</v>
      </c>
      <c r="H7411" t="s">
        <v>31130</v>
      </c>
      <c r="J7411" t="s">
        <v>31131</v>
      </c>
      <c r="P7411" t="s">
        <v>31133</v>
      </c>
      <c r="V7411" t="s">
        <v>31134</v>
      </c>
      <c r="Y7411" t="s">
        <v>31135</v>
      </c>
    </row>
    <row r="7412" spans="1:25" x14ac:dyDescent="0.25">
      <c r="A7412" t="str">
        <f>"60776817918"</f>
        <v>60776817918</v>
      </c>
      <c r="B7412" t="s">
        <v>430</v>
      </c>
      <c r="C7412" t="s">
        <v>940</v>
      </c>
      <c r="D7412" t="s">
        <v>2278</v>
      </c>
      <c r="E7412">
        <v>424037</v>
      </c>
      <c r="F7412" t="s">
        <v>1</v>
      </c>
      <c r="G7412" t="s">
        <v>2</v>
      </c>
      <c r="H7412" t="s">
        <v>18247</v>
      </c>
      <c r="I7412" t="s">
        <v>2279</v>
      </c>
      <c r="P7412" t="s">
        <v>941</v>
      </c>
      <c r="Y7412" t="s">
        <v>18249</v>
      </c>
    </row>
    <row r="7413" spans="1:25" x14ac:dyDescent="0.25">
      <c r="A7413" t="str">
        <f>"60850143441"</f>
        <v>60850143441</v>
      </c>
      <c r="B7413" t="s">
        <v>2601</v>
      </c>
      <c r="C7413" t="s">
        <v>31140</v>
      </c>
      <c r="D7413" t="s">
        <v>31136</v>
      </c>
      <c r="E7413">
        <v>424006</v>
      </c>
      <c r="F7413" t="s">
        <v>1</v>
      </c>
      <c r="G7413" t="s">
        <v>2</v>
      </c>
      <c r="H7413" t="s">
        <v>30817</v>
      </c>
      <c r="I7413" t="s">
        <v>31137</v>
      </c>
      <c r="L7413" t="s">
        <v>31138</v>
      </c>
      <c r="M7413" t="s">
        <v>31139</v>
      </c>
      <c r="P7413" t="s">
        <v>144</v>
      </c>
      <c r="Q7413" t="s">
        <v>31141</v>
      </c>
      <c r="R7413" t="s">
        <v>31142</v>
      </c>
      <c r="V7413" t="s">
        <v>31143</v>
      </c>
      <c r="Y7413" t="s">
        <v>31144</v>
      </c>
    </row>
    <row r="7414" spans="1:25" x14ac:dyDescent="0.25">
      <c r="A7414" t="str">
        <f>"60864201986"</f>
        <v>60864201986</v>
      </c>
      <c r="B7414" t="s">
        <v>1222</v>
      </c>
      <c r="C7414" t="s">
        <v>2114</v>
      </c>
      <c r="D7414" t="s">
        <v>17205</v>
      </c>
      <c r="E7414">
        <v>424006</v>
      </c>
      <c r="F7414" t="s">
        <v>1</v>
      </c>
      <c r="G7414" t="s">
        <v>2</v>
      </c>
      <c r="H7414" t="s">
        <v>3330</v>
      </c>
      <c r="Y7414" t="s">
        <v>5376</v>
      </c>
    </row>
    <row r="7415" spans="1:25" x14ac:dyDescent="0.25">
      <c r="A7415" t="str">
        <f>"60870343523"</f>
        <v>60870343523</v>
      </c>
      <c r="B7415" t="s">
        <v>930</v>
      </c>
      <c r="C7415" t="s">
        <v>31149</v>
      </c>
      <c r="D7415" t="s">
        <v>31145</v>
      </c>
      <c r="F7415" t="s">
        <v>1</v>
      </c>
      <c r="G7415" t="s">
        <v>2</v>
      </c>
      <c r="H7415" t="s">
        <v>8078</v>
      </c>
      <c r="J7415" t="s">
        <v>31146</v>
      </c>
      <c r="L7415" t="s">
        <v>31147</v>
      </c>
      <c r="M7415" t="s">
        <v>31148</v>
      </c>
      <c r="P7415" t="s">
        <v>2406</v>
      </c>
      <c r="Q7415" t="s">
        <v>31150</v>
      </c>
      <c r="S7415" t="s">
        <v>31151</v>
      </c>
      <c r="T7415" t="s">
        <v>31152</v>
      </c>
      <c r="Y7415" t="s">
        <v>31153</v>
      </c>
    </row>
    <row r="7416" spans="1:25" x14ac:dyDescent="0.25">
      <c r="A7416" t="str">
        <f>"60874956318"</f>
        <v>60874956318</v>
      </c>
      <c r="B7416" t="s">
        <v>3652</v>
      </c>
      <c r="C7416" t="s">
        <v>14101</v>
      </c>
      <c r="D7416" t="s">
        <v>29038</v>
      </c>
      <c r="E7416">
        <v>424002</v>
      </c>
      <c r="F7416" t="s">
        <v>1</v>
      </c>
      <c r="G7416" t="s">
        <v>2</v>
      </c>
      <c r="H7416" t="s">
        <v>7367</v>
      </c>
      <c r="Y7416" t="s">
        <v>16306</v>
      </c>
    </row>
    <row r="7417" spans="1:25" x14ac:dyDescent="0.25">
      <c r="A7417" t="str">
        <f>"60876611856"</f>
        <v>60876611856</v>
      </c>
      <c r="B7417" t="s">
        <v>530</v>
      </c>
      <c r="C7417" t="s">
        <v>23950</v>
      </c>
      <c r="D7417" t="s">
        <v>23950</v>
      </c>
      <c r="E7417">
        <v>424019</v>
      </c>
      <c r="F7417" t="s">
        <v>1</v>
      </c>
      <c r="G7417" t="s">
        <v>2</v>
      </c>
      <c r="H7417" t="s">
        <v>20692</v>
      </c>
      <c r="Y7417" t="s">
        <v>31154</v>
      </c>
    </row>
    <row r="7418" spans="1:25" x14ac:dyDescent="0.25">
      <c r="A7418" t="str">
        <f>"60919760636"</f>
        <v>60919760636</v>
      </c>
      <c r="B7418" t="s">
        <v>687</v>
      </c>
      <c r="C7418" t="s">
        <v>31159</v>
      </c>
      <c r="D7418" t="s">
        <v>31155</v>
      </c>
      <c r="E7418">
        <v>424007</v>
      </c>
      <c r="F7418" t="s">
        <v>1</v>
      </c>
      <c r="G7418" t="s">
        <v>2</v>
      </c>
      <c r="H7418" t="s">
        <v>10411</v>
      </c>
      <c r="I7418" t="s">
        <v>31156</v>
      </c>
      <c r="J7418" t="s">
        <v>31157</v>
      </c>
      <c r="K7418" t="s">
        <v>31156</v>
      </c>
      <c r="L7418" t="s">
        <v>31158</v>
      </c>
      <c r="P7418" t="s">
        <v>2084</v>
      </c>
      <c r="Y7418" t="s">
        <v>10413</v>
      </c>
    </row>
    <row r="7419" spans="1:25" x14ac:dyDescent="0.25">
      <c r="A7419" t="str">
        <f>"60962695281"</f>
        <v>60962695281</v>
      </c>
      <c r="B7419" t="s">
        <v>176</v>
      </c>
      <c r="C7419" t="s">
        <v>566</v>
      </c>
      <c r="D7419" t="s">
        <v>31160</v>
      </c>
      <c r="E7419">
        <v>424003</v>
      </c>
      <c r="F7419" t="s">
        <v>1</v>
      </c>
      <c r="G7419" t="s">
        <v>2</v>
      </c>
      <c r="H7419" t="s">
        <v>31161</v>
      </c>
      <c r="Y7419" t="s">
        <v>31162</v>
      </c>
    </row>
    <row r="7420" spans="1:25" x14ac:dyDescent="0.25">
      <c r="A7420" t="str">
        <f>"60974168898"</f>
        <v>60974168898</v>
      </c>
      <c r="B7420" t="s">
        <v>1061</v>
      </c>
      <c r="C7420" t="s">
        <v>31164</v>
      </c>
      <c r="D7420" t="s">
        <v>31163</v>
      </c>
      <c r="F7420" t="s">
        <v>1</v>
      </c>
      <c r="G7420" t="s">
        <v>2</v>
      </c>
      <c r="H7420" t="s">
        <v>21240</v>
      </c>
      <c r="Y7420" t="s">
        <v>31165</v>
      </c>
    </row>
    <row r="7421" spans="1:25" x14ac:dyDescent="0.25">
      <c r="A7421" t="str">
        <f>"60979716069"</f>
        <v>60979716069</v>
      </c>
      <c r="B7421" t="s">
        <v>797</v>
      </c>
      <c r="C7421" t="s">
        <v>31171</v>
      </c>
      <c r="D7421" t="s">
        <v>31166</v>
      </c>
      <c r="E7421">
        <v>424020</v>
      </c>
      <c r="F7421" t="s">
        <v>1</v>
      </c>
      <c r="G7421" t="s">
        <v>2</v>
      </c>
      <c r="H7421" t="s">
        <v>1837</v>
      </c>
      <c r="I7421" t="s">
        <v>31167</v>
      </c>
      <c r="J7421" t="s">
        <v>31168</v>
      </c>
      <c r="L7421" t="s">
        <v>31169</v>
      </c>
      <c r="M7421" t="s">
        <v>31170</v>
      </c>
      <c r="P7421" t="s">
        <v>4538</v>
      </c>
      <c r="Y7421" t="s">
        <v>1842</v>
      </c>
    </row>
    <row r="7422" spans="1:25" x14ac:dyDescent="0.25">
      <c r="A7422" t="str">
        <f>"60985053517"</f>
        <v>60985053517</v>
      </c>
      <c r="B7422" t="s">
        <v>574</v>
      </c>
      <c r="C7422" t="s">
        <v>646</v>
      </c>
      <c r="D7422" t="s">
        <v>15812</v>
      </c>
      <c r="E7422">
        <v>424037</v>
      </c>
      <c r="F7422" t="s">
        <v>1</v>
      </c>
      <c r="G7422" t="s">
        <v>2</v>
      </c>
      <c r="H7422" t="s">
        <v>1849</v>
      </c>
      <c r="Y7422" t="s">
        <v>12620</v>
      </c>
    </row>
    <row r="7423" spans="1:25" x14ac:dyDescent="0.25">
      <c r="A7423" t="str">
        <f>"61032532749"</f>
        <v>61032532749</v>
      </c>
      <c r="B7423" t="s">
        <v>574</v>
      </c>
      <c r="C7423" t="s">
        <v>24952</v>
      </c>
      <c r="D7423" t="s">
        <v>24952</v>
      </c>
      <c r="E7423">
        <v>424019</v>
      </c>
      <c r="F7423" t="s">
        <v>1</v>
      </c>
      <c r="G7423" t="s">
        <v>2</v>
      </c>
      <c r="H7423" t="s">
        <v>31172</v>
      </c>
      <c r="Y7423" t="s">
        <v>31173</v>
      </c>
    </row>
    <row r="7424" spans="1:25" x14ac:dyDescent="0.25">
      <c r="A7424" t="str">
        <f>"61067131570"</f>
        <v>61067131570</v>
      </c>
      <c r="B7424" t="s">
        <v>1053</v>
      </c>
      <c r="C7424" t="s">
        <v>1799</v>
      </c>
      <c r="D7424" t="s">
        <v>31174</v>
      </c>
      <c r="F7424" t="s">
        <v>1</v>
      </c>
      <c r="G7424" t="s">
        <v>2</v>
      </c>
      <c r="H7424" t="s">
        <v>28063</v>
      </c>
      <c r="Y7424" t="s">
        <v>28066</v>
      </c>
    </row>
    <row r="7425" spans="1:25" x14ac:dyDescent="0.25">
      <c r="A7425" t="str">
        <f>"61077834933"</f>
        <v>61077834933</v>
      </c>
      <c r="B7425" t="s">
        <v>18</v>
      </c>
      <c r="C7425" t="s">
        <v>31176</v>
      </c>
      <c r="D7425" t="s">
        <v>31175</v>
      </c>
      <c r="E7425">
        <v>424008</v>
      </c>
      <c r="F7425" t="s">
        <v>1</v>
      </c>
      <c r="G7425" t="s">
        <v>2</v>
      </c>
      <c r="H7425" t="s">
        <v>1031</v>
      </c>
      <c r="Y7425" t="s">
        <v>5039</v>
      </c>
    </row>
    <row r="7426" spans="1:25" x14ac:dyDescent="0.25">
      <c r="A7426" t="str">
        <f>"61106248170"</f>
        <v>61106248170</v>
      </c>
      <c r="B7426" t="s">
        <v>978</v>
      </c>
      <c r="C7426" t="s">
        <v>1659</v>
      </c>
      <c r="D7426" t="s">
        <v>31177</v>
      </c>
      <c r="E7426">
        <v>424005</v>
      </c>
      <c r="F7426" t="s">
        <v>1</v>
      </c>
      <c r="G7426" t="s">
        <v>2</v>
      </c>
      <c r="H7426" t="s">
        <v>8983</v>
      </c>
      <c r="Y7426" t="s">
        <v>31178</v>
      </c>
    </row>
    <row r="7427" spans="1:25" x14ac:dyDescent="0.25">
      <c r="A7427" t="str">
        <f>"61126080222"</f>
        <v>61126080222</v>
      </c>
      <c r="B7427" t="s">
        <v>96</v>
      </c>
      <c r="C7427" t="s">
        <v>659</v>
      </c>
      <c r="D7427" t="s">
        <v>31179</v>
      </c>
      <c r="E7427">
        <v>424000</v>
      </c>
      <c r="F7427" t="s">
        <v>1</v>
      </c>
      <c r="G7427" t="s">
        <v>2</v>
      </c>
      <c r="H7427" t="s">
        <v>86</v>
      </c>
      <c r="Y7427" t="s">
        <v>31180</v>
      </c>
    </row>
    <row r="7428" spans="1:25" x14ac:dyDescent="0.25">
      <c r="A7428" t="str">
        <f>"61133991337"</f>
        <v>61133991337</v>
      </c>
      <c r="B7428" t="s">
        <v>32</v>
      </c>
      <c r="C7428" t="s">
        <v>40</v>
      </c>
      <c r="D7428" t="s">
        <v>40</v>
      </c>
      <c r="E7428">
        <v>424033</v>
      </c>
      <c r="F7428" t="s">
        <v>1</v>
      </c>
      <c r="G7428" t="s">
        <v>2</v>
      </c>
      <c r="H7428" t="s">
        <v>20411</v>
      </c>
      <c r="Y7428" t="s">
        <v>31181</v>
      </c>
    </row>
    <row r="7429" spans="1:25" x14ac:dyDescent="0.25">
      <c r="A7429" t="str">
        <f>"61240247239"</f>
        <v>61240247239</v>
      </c>
      <c r="B7429" t="s">
        <v>117</v>
      </c>
      <c r="C7429" t="s">
        <v>118</v>
      </c>
      <c r="D7429" t="s">
        <v>31182</v>
      </c>
      <c r="F7429" t="s">
        <v>1</v>
      </c>
      <c r="G7429" t="s">
        <v>2</v>
      </c>
      <c r="H7429" t="s">
        <v>27272</v>
      </c>
      <c r="Y7429" t="s">
        <v>31183</v>
      </c>
    </row>
    <row r="7430" spans="1:25" x14ac:dyDescent="0.25">
      <c r="A7430" t="str">
        <f>"61258024190"</f>
        <v>61258024190</v>
      </c>
      <c r="B7430" t="s">
        <v>574</v>
      </c>
      <c r="C7430" t="s">
        <v>646</v>
      </c>
      <c r="D7430" t="s">
        <v>4221</v>
      </c>
      <c r="E7430">
        <v>424020</v>
      </c>
      <c r="F7430" t="s">
        <v>1</v>
      </c>
      <c r="G7430" t="s">
        <v>2</v>
      </c>
      <c r="H7430" t="s">
        <v>2917</v>
      </c>
      <c r="Y7430" t="s">
        <v>31184</v>
      </c>
    </row>
    <row r="7431" spans="1:25" x14ac:dyDescent="0.25">
      <c r="A7431" t="str">
        <f>"61276633880"</f>
        <v>61276633880</v>
      </c>
      <c r="B7431" t="s">
        <v>530</v>
      </c>
      <c r="C7431" t="s">
        <v>23950</v>
      </c>
      <c r="D7431" t="s">
        <v>23950</v>
      </c>
      <c r="E7431">
        <v>424006</v>
      </c>
      <c r="F7431" t="s">
        <v>1</v>
      </c>
      <c r="G7431" t="s">
        <v>2</v>
      </c>
      <c r="H7431" t="s">
        <v>31185</v>
      </c>
      <c r="Y7431" t="s">
        <v>31186</v>
      </c>
    </row>
    <row r="7432" spans="1:25" x14ac:dyDescent="0.25">
      <c r="A7432" t="str">
        <f>"61284154843"</f>
        <v>61284154843</v>
      </c>
      <c r="B7432" t="s">
        <v>25</v>
      </c>
      <c r="C7432" t="s">
        <v>59</v>
      </c>
      <c r="D7432" t="s">
        <v>31187</v>
      </c>
      <c r="E7432">
        <v>424033</v>
      </c>
      <c r="F7432" t="s">
        <v>1</v>
      </c>
      <c r="G7432" t="s">
        <v>2</v>
      </c>
      <c r="H7432" t="s">
        <v>4300</v>
      </c>
      <c r="Y7432" t="s">
        <v>10046</v>
      </c>
    </row>
    <row r="7433" spans="1:25" x14ac:dyDescent="0.25">
      <c r="A7433" t="str">
        <f>"61314275397"</f>
        <v>61314275397</v>
      </c>
      <c r="B7433" t="s">
        <v>1061</v>
      </c>
      <c r="C7433" t="s">
        <v>25591</v>
      </c>
      <c r="D7433" t="s">
        <v>25591</v>
      </c>
      <c r="F7433" t="s">
        <v>1</v>
      </c>
      <c r="G7433" t="s">
        <v>2</v>
      </c>
      <c r="H7433" t="s">
        <v>7547</v>
      </c>
      <c r="Y7433" t="s">
        <v>31188</v>
      </c>
    </row>
    <row r="7434" spans="1:25" x14ac:dyDescent="0.25">
      <c r="A7434" t="str">
        <f>"61322069658"</f>
        <v>61322069658</v>
      </c>
      <c r="B7434" t="s">
        <v>18</v>
      </c>
      <c r="C7434" t="s">
        <v>24200</v>
      </c>
      <c r="D7434" t="s">
        <v>31189</v>
      </c>
      <c r="F7434" t="s">
        <v>1</v>
      </c>
      <c r="G7434" t="s">
        <v>2</v>
      </c>
      <c r="H7434" t="s">
        <v>31190</v>
      </c>
      <c r="J7434" t="s">
        <v>31191</v>
      </c>
      <c r="L7434" t="s">
        <v>31192</v>
      </c>
      <c r="M7434" t="s">
        <v>31193</v>
      </c>
      <c r="P7434" t="s">
        <v>27</v>
      </c>
      <c r="Q7434" t="s">
        <v>31194</v>
      </c>
      <c r="U7434" t="s">
        <v>31195</v>
      </c>
      <c r="V7434" t="s">
        <v>31196</v>
      </c>
      <c r="Y7434" t="s">
        <v>31197</v>
      </c>
    </row>
    <row r="7435" spans="1:25" x14ac:dyDescent="0.25">
      <c r="A7435" t="str">
        <f>"61341258590"</f>
        <v>61341258590</v>
      </c>
      <c r="B7435" t="s">
        <v>5573</v>
      </c>
      <c r="C7435" t="s">
        <v>21453</v>
      </c>
      <c r="D7435" t="s">
        <v>4725</v>
      </c>
      <c r="E7435">
        <v>424019</v>
      </c>
      <c r="F7435" t="s">
        <v>1</v>
      </c>
      <c r="G7435" t="s">
        <v>2</v>
      </c>
      <c r="H7435" t="s">
        <v>1801</v>
      </c>
      <c r="I7435" t="s">
        <v>4727</v>
      </c>
      <c r="Q7435" t="s">
        <v>31198</v>
      </c>
      <c r="Y7435" t="s">
        <v>1804</v>
      </c>
    </row>
    <row r="7436" spans="1:25" x14ac:dyDescent="0.25">
      <c r="A7436" t="str">
        <f>"61427186078"</f>
        <v>61427186078</v>
      </c>
      <c r="B7436" t="s">
        <v>25</v>
      </c>
      <c r="C7436" t="s">
        <v>31200</v>
      </c>
      <c r="D7436" t="s">
        <v>31199</v>
      </c>
      <c r="F7436" t="s">
        <v>1</v>
      </c>
      <c r="G7436" t="s">
        <v>2</v>
      </c>
      <c r="H7436" t="s">
        <v>3984</v>
      </c>
      <c r="Y7436" t="s">
        <v>31201</v>
      </c>
    </row>
    <row r="7437" spans="1:25" x14ac:dyDescent="0.25">
      <c r="A7437" t="str">
        <f>"61436727183"</f>
        <v>61436727183</v>
      </c>
      <c r="B7437" t="s">
        <v>530</v>
      </c>
      <c r="C7437" t="s">
        <v>23950</v>
      </c>
      <c r="D7437" t="s">
        <v>23950</v>
      </c>
      <c r="F7437" t="s">
        <v>1</v>
      </c>
      <c r="G7437" t="s">
        <v>2</v>
      </c>
      <c r="H7437" t="s">
        <v>31202</v>
      </c>
      <c r="Y7437" t="s">
        <v>31203</v>
      </c>
    </row>
    <row r="7438" spans="1:25" x14ac:dyDescent="0.25">
      <c r="A7438" t="str">
        <f>"61455163257"</f>
        <v>61455163257</v>
      </c>
      <c r="B7438" t="s">
        <v>1046</v>
      </c>
      <c r="C7438" t="s">
        <v>22946</v>
      </c>
      <c r="D7438" t="s">
        <v>22946</v>
      </c>
      <c r="F7438" t="s">
        <v>1</v>
      </c>
      <c r="G7438" t="s">
        <v>2</v>
      </c>
      <c r="H7438" t="s">
        <v>27612</v>
      </c>
      <c r="Y7438" t="s">
        <v>31204</v>
      </c>
    </row>
    <row r="7439" spans="1:25" x14ac:dyDescent="0.25">
      <c r="A7439" t="str">
        <f>"61484771685"</f>
        <v>61484771685</v>
      </c>
      <c r="B7439" t="s">
        <v>88</v>
      </c>
      <c r="C7439" t="s">
        <v>4246</v>
      </c>
      <c r="D7439" t="s">
        <v>31205</v>
      </c>
      <c r="E7439">
        <v>424005</v>
      </c>
      <c r="F7439" t="s">
        <v>1</v>
      </c>
      <c r="G7439" t="s">
        <v>2</v>
      </c>
      <c r="H7439" t="s">
        <v>31206</v>
      </c>
      <c r="I7439" t="s">
        <v>31207</v>
      </c>
      <c r="L7439" t="s">
        <v>31208</v>
      </c>
      <c r="M7439" t="s">
        <v>31209</v>
      </c>
      <c r="Y7439" t="s">
        <v>31210</v>
      </c>
    </row>
    <row r="7440" spans="1:25" x14ac:dyDescent="0.25">
      <c r="A7440" t="str">
        <f>"61494817681"</f>
        <v>61494817681</v>
      </c>
      <c r="B7440" t="s">
        <v>67</v>
      </c>
      <c r="C7440" t="s">
        <v>269</v>
      </c>
      <c r="D7440" t="s">
        <v>31211</v>
      </c>
      <c r="E7440">
        <v>424000</v>
      </c>
      <c r="F7440" t="s">
        <v>1</v>
      </c>
      <c r="G7440" t="s">
        <v>2</v>
      </c>
      <c r="H7440" t="s">
        <v>11086</v>
      </c>
      <c r="I7440" t="s">
        <v>31212</v>
      </c>
      <c r="L7440" t="s">
        <v>11088</v>
      </c>
      <c r="M7440" t="s">
        <v>31213</v>
      </c>
      <c r="P7440" t="s">
        <v>330</v>
      </c>
      <c r="Q7440" t="s">
        <v>11091</v>
      </c>
      <c r="T7440" t="s">
        <v>31214</v>
      </c>
      <c r="V7440" t="s">
        <v>11093</v>
      </c>
      <c r="Y7440" t="s">
        <v>31215</v>
      </c>
    </row>
    <row r="7441" spans="1:25" x14ac:dyDescent="0.25">
      <c r="A7441" t="str">
        <f>"61504819839"</f>
        <v>61504819839</v>
      </c>
      <c r="B7441" t="s">
        <v>1352</v>
      </c>
      <c r="C7441" t="s">
        <v>1353</v>
      </c>
      <c r="D7441" t="s">
        <v>31216</v>
      </c>
      <c r="E7441">
        <v>424002</v>
      </c>
      <c r="F7441" t="s">
        <v>1</v>
      </c>
      <c r="G7441" t="s">
        <v>2</v>
      </c>
      <c r="H7441" t="s">
        <v>3864</v>
      </c>
      <c r="P7441" t="s">
        <v>144</v>
      </c>
      <c r="Y7441" t="s">
        <v>3867</v>
      </c>
    </row>
    <row r="7442" spans="1:25" x14ac:dyDescent="0.25">
      <c r="A7442" t="str">
        <f>"61507345382"</f>
        <v>61507345382</v>
      </c>
      <c r="B7442" t="s">
        <v>574</v>
      </c>
      <c r="C7442" t="s">
        <v>10016</v>
      </c>
      <c r="D7442" t="s">
        <v>31217</v>
      </c>
      <c r="E7442">
        <v>424000</v>
      </c>
      <c r="F7442" t="s">
        <v>1</v>
      </c>
      <c r="G7442" t="s">
        <v>2</v>
      </c>
      <c r="H7442" t="s">
        <v>3483</v>
      </c>
      <c r="Y7442" t="s">
        <v>31218</v>
      </c>
    </row>
    <row r="7443" spans="1:25" x14ac:dyDescent="0.25">
      <c r="A7443" t="str">
        <f>"61537552062"</f>
        <v>61537552062</v>
      </c>
      <c r="B7443" t="s">
        <v>10383</v>
      </c>
      <c r="C7443" t="s">
        <v>24146</v>
      </c>
      <c r="D7443" t="s">
        <v>24146</v>
      </c>
      <c r="E7443">
        <v>424004</v>
      </c>
      <c r="F7443" t="s">
        <v>1</v>
      </c>
      <c r="G7443" t="s">
        <v>2</v>
      </c>
      <c r="H7443" t="s">
        <v>505</v>
      </c>
      <c r="Y7443" t="s">
        <v>31219</v>
      </c>
    </row>
    <row r="7444" spans="1:25" x14ac:dyDescent="0.25">
      <c r="A7444" t="str">
        <f>"61567885432"</f>
        <v>61567885432</v>
      </c>
      <c r="B7444" t="s">
        <v>25</v>
      </c>
      <c r="C7444" t="s">
        <v>24938</v>
      </c>
      <c r="D7444" t="s">
        <v>31220</v>
      </c>
      <c r="F7444" t="s">
        <v>1</v>
      </c>
      <c r="G7444" t="s">
        <v>2</v>
      </c>
      <c r="H7444" t="s">
        <v>2401</v>
      </c>
      <c r="I7444" t="s">
        <v>28307</v>
      </c>
      <c r="L7444" t="s">
        <v>26146</v>
      </c>
      <c r="M7444" t="s">
        <v>31221</v>
      </c>
      <c r="Y7444" t="s">
        <v>31222</v>
      </c>
    </row>
    <row r="7445" spans="1:25" x14ac:dyDescent="0.25">
      <c r="A7445" t="str">
        <f>"61569367996"</f>
        <v>61569367996</v>
      </c>
      <c r="B7445" t="s">
        <v>1573</v>
      </c>
      <c r="C7445" t="s">
        <v>1574</v>
      </c>
      <c r="D7445" t="s">
        <v>1352</v>
      </c>
      <c r="E7445">
        <v>424039</v>
      </c>
      <c r="F7445" t="s">
        <v>1</v>
      </c>
      <c r="G7445" t="s">
        <v>2</v>
      </c>
      <c r="H7445" t="s">
        <v>2729</v>
      </c>
      <c r="Y7445" t="s">
        <v>31223</v>
      </c>
    </row>
    <row r="7446" spans="1:25" x14ac:dyDescent="0.25">
      <c r="A7446" t="str">
        <f>"61585403145"</f>
        <v>61585403145</v>
      </c>
      <c r="B7446" t="s">
        <v>1152</v>
      </c>
      <c r="C7446" t="s">
        <v>1153</v>
      </c>
      <c r="D7446" t="s">
        <v>24071</v>
      </c>
      <c r="E7446">
        <v>424000</v>
      </c>
      <c r="F7446" t="s">
        <v>1</v>
      </c>
      <c r="G7446" t="s">
        <v>2</v>
      </c>
      <c r="H7446" t="s">
        <v>16321</v>
      </c>
      <c r="Y7446" t="s">
        <v>31224</v>
      </c>
    </row>
    <row r="7447" spans="1:25" x14ac:dyDescent="0.25">
      <c r="A7447" t="str">
        <f>"61591472996"</f>
        <v>61591472996</v>
      </c>
      <c r="B7447" t="s">
        <v>188</v>
      </c>
      <c r="C7447" t="s">
        <v>23982</v>
      </c>
      <c r="D7447" t="s">
        <v>23982</v>
      </c>
      <c r="E7447">
        <v>424007</v>
      </c>
      <c r="F7447" t="s">
        <v>1</v>
      </c>
      <c r="G7447" t="s">
        <v>2</v>
      </c>
      <c r="H7447" t="s">
        <v>31225</v>
      </c>
      <c r="Y7447" t="s">
        <v>31226</v>
      </c>
    </row>
    <row r="7448" spans="1:25" x14ac:dyDescent="0.25">
      <c r="A7448" t="str">
        <f>"61621466780"</f>
        <v>61621466780</v>
      </c>
      <c r="B7448" t="s">
        <v>96</v>
      </c>
      <c r="C7448" t="s">
        <v>24441</v>
      </c>
      <c r="D7448" t="s">
        <v>31227</v>
      </c>
      <c r="E7448">
        <v>424000</v>
      </c>
      <c r="F7448" t="s">
        <v>1</v>
      </c>
      <c r="G7448" t="s">
        <v>2</v>
      </c>
      <c r="H7448" t="s">
        <v>1531</v>
      </c>
      <c r="Y7448" t="s">
        <v>31228</v>
      </c>
    </row>
    <row r="7449" spans="1:25" x14ac:dyDescent="0.25">
      <c r="A7449" t="str">
        <f>"61659900953"</f>
        <v>61659900953</v>
      </c>
      <c r="B7449" t="s">
        <v>1362</v>
      </c>
      <c r="C7449" t="s">
        <v>8728</v>
      </c>
      <c r="D7449" t="s">
        <v>31229</v>
      </c>
      <c r="F7449" t="s">
        <v>1</v>
      </c>
      <c r="G7449" t="s">
        <v>2</v>
      </c>
      <c r="H7449" t="s">
        <v>3984</v>
      </c>
      <c r="Y7449" t="s">
        <v>31230</v>
      </c>
    </row>
    <row r="7450" spans="1:25" x14ac:dyDescent="0.25">
      <c r="A7450" t="str">
        <f>"61678223792"</f>
        <v>61678223792</v>
      </c>
      <c r="B7450" t="s">
        <v>624</v>
      </c>
      <c r="C7450" t="s">
        <v>16205</v>
      </c>
      <c r="D7450" t="s">
        <v>13780</v>
      </c>
      <c r="E7450">
        <v>424002</v>
      </c>
      <c r="F7450" t="s">
        <v>1</v>
      </c>
      <c r="G7450" t="s">
        <v>2</v>
      </c>
      <c r="H7450" t="s">
        <v>6679</v>
      </c>
      <c r="J7450" t="s">
        <v>31231</v>
      </c>
      <c r="P7450" t="s">
        <v>280</v>
      </c>
      <c r="Y7450" t="s">
        <v>20635</v>
      </c>
    </row>
    <row r="7451" spans="1:25" x14ac:dyDescent="0.25">
      <c r="A7451" t="str">
        <f>"61721039234"</f>
        <v>61721039234</v>
      </c>
      <c r="B7451" t="s">
        <v>574</v>
      </c>
      <c r="C7451" t="s">
        <v>31233</v>
      </c>
      <c r="D7451" t="s">
        <v>31232</v>
      </c>
      <c r="F7451" t="s">
        <v>1</v>
      </c>
      <c r="G7451" t="s">
        <v>2</v>
      </c>
      <c r="H7451" t="s">
        <v>5350</v>
      </c>
      <c r="Y7451" t="s">
        <v>31234</v>
      </c>
    </row>
    <row r="7452" spans="1:25" x14ac:dyDescent="0.25">
      <c r="A7452" t="str">
        <f>"61734015952"</f>
        <v>61734015952</v>
      </c>
      <c r="B7452" t="s">
        <v>841</v>
      </c>
      <c r="C7452" t="s">
        <v>31239</v>
      </c>
      <c r="D7452" t="s">
        <v>31235</v>
      </c>
      <c r="E7452">
        <v>424026</v>
      </c>
      <c r="F7452" t="s">
        <v>1</v>
      </c>
      <c r="G7452" t="s">
        <v>2</v>
      </c>
      <c r="H7452" t="s">
        <v>31236</v>
      </c>
      <c r="J7452" t="s">
        <v>31237</v>
      </c>
      <c r="M7452" t="s">
        <v>31238</v>
      </c>
      <c r="P7452" t="s">
        <v>280</v>
      </c>
      <c r="Q7452" t="s">
        <v>31240</v>
      </c>
      <c r="Y7452" t="s">
        <v>31241</v>
      </c>
    </row>
    <row r="7453" spans="1:25" x14ac:dyDescent="0.25">
      <c r="A7453" t="str">
        <f>"61735307440"</f>
        <v>61735307440</v>
      </c>
      <c r="B7453" t="s">
        <v>4084</v>
      </c>
      <c r="C7453" t="s">
        <v>4085</v>
      </c>
      <c r="D7453" t="s">
        <v>31242</v>
      </c>
      <c r="E7453">
        <v>424003</v>
      </c>
      <c r="F7453" t="s">
        <v>1</v>
      </c>
      <c r="G7453" t="s">
        <v>2</v>
      </c>
      <c r="H7453" t="s">
        <v>31243</v>
      </c>
      <c r="Y7453" t="s">
        <v>31244</v>
      </c>
    </row>
    <row r="7454" spans="1:25" x14ac:dyDescent="0.25">
      <c r="A7454" t="str">
        <f>"61740424289"</f>
        <v>61740424289</v>
      </c>
      <c r="B7454" t="s">
        <v>530</v>
      </c>
      <c r="C7454" t="s">
        <v>23950</v>
      </c>
      <c r="D7454" t="s">
        <v>23950</v>
      </c>
      <c r="E7454">
        <v>424000</v>
      </c>
      <c r="F7454" t="s">
        <v>1</v>
      </c>
      <c r="G7454" t="s">
        <v>2</v>
      </c>
      <c r="H7454" t="s">
        <v>211</v>
      </c>
      <c r="Y7454" t="s">
        <v>31245</v>
      </c>
    </row>
    <row r="7455" spans="1:25" x14ac:dyDescent="0.25">
      <c r="A7455" t="str">
        <f>"61742048075"</f>
        <v>61742048075</v>
      </c>
      <c r="B7455" t="s">
        <v>25</v>
      </c>
      <c r="C7455" t="s">
        <v>59</v>
      </c>
      <c r="D7455" t="s">
        <v>31246</v>
      </c>
      <c r="E7455">
        <v>424000</v>
      </c>
      <c r="F7455" t="s">
        <v>1</v>
      </c>
      <c r="G7455" t="s">
        <v>2</v>
      </c>
      <c r="H7455" t="s">
        <v>837</v>
      </c>
      <c r="Y7455" t="s">
        <v>2964</v>
      </c>
    </row>
    <row r="7456" spans="1:25" x14ac:dyDescent="0.25">
      <c r="A7456" t="str">
        <f>"61760707974"</f>
        <v>61760707974</v>
      </c>
      <c r="B7456" t="s">
        <v>456</v>
      </c>
      <c r="C7456" t="s">
        <v>7679</v>
      </c>
      <c r="D7456" t="s">
        <v>31247</v>
      </c>
      <c r="E7456">
        <v>424020</v>
      </c>
      <c r="F7456" t="s">
        <v>1</v>
      </c>
      <c r="G7456" t="s">
        <v>2</v>
      </c>
      <c r="H7456" t="s">
        <v>1837</v>
      </c>
      <c r="J7456" t="s">
        <v>31248</v>
      </c>
      <c r="M7456" t="s">
        <v>31249</v>
      </c>
      <c r="P7456" t="s">
        <v>1160</v>
      </c>
      <c r="Y7456" t="s">
        <v>1842</v>
      </c>
    </row>
    <row r="7457" spans="1:25" x14ac:dyDescent="0.25">
      <c r="A7457" t="str">
        <f>"61777528301"</f>
        <v>61777528301</v>
      </c>
      <c r="B7457" t="s">
        <v>574</v>
      </c>
      <c r="C7457" t="s">
        <v>14269</v>
      </c>
      <c r="D7457" t="s">
        <v>14892</v>
      </c>
      <c r="E7457">
        <v>424037</v>
      </c>
      <c r="F7457" t="s">
        <v>1</v>
      </c>
      <c r="G7457" t="s">
        <v>2</v>
      </c>
      <c r="H7457" t="s">
        <v>20142</v>
      </c>
      <c r="Y7457" t="s">
        <v>31250</v>
      </c>
    </row>
    <row r="7458" spans="1:25" x14ac:dyDescent="0.25">
      <c r="A7458" t="str">
        <f>"61791162388"</f>
        <v>61791162388</v>
      </c>
      <c r="B7458" t="s">
        <v>151</v>
      </c>
      <c r="C7458" t="s">
        <v>151</v>
      </c>
      <c r="D7458" t="s">
        <v>31251</v>
      </c>
      <c r="E7458">
        <v>424020</v>
      </c>
      <c r="F7458" t="s">
        <v>1</v>
      </c>
      <c r="G7458" t="s">
        <v>2</v>
      </c>
      <c r="H7458" t="s">
        <v>9442</v>
      </c>
      <c r="J7458" t="s">
        <v>31252</v>
      </c>
      <c r="Y7458" t="s">
        <v>18735</v>
      </c>
    </row>
    <row r="7459" spans="1:25" x14ac:dyDescent="0.25">
      <c r="A7459" t="str">
        <f>"61803557003"</f>
        <v>61803557003</v>
      </c>
      <c r="B7459" t="s">
        <v>574</v>
      </c>
      <c r="C7459" t="s">
        <v>952</v>
      </c>
      <c r="D7459" t="s">
        <v>25486</v>
      </c>
      <c r="E7459">
        <v>424002</v>
      </c>
      <c r="F7459" t="s">
        <v>1</v>
      </c>
      <c r="G7459" t="s">
        <v>2</v>
      </c>
      <c r="H7459" t="s">
        <v>6012</v>
      </c>
      <c r="I7459" t="s">
        <v>25488</v>
      </c>
      <c r="P7459" t="s">
        <v>216</v>
      </c>
      <c r="Y7459" t="s">
        <v>31253</v>
      </c>
    </row>
    <row r="7460" spans="1:25" x14ac:dyDescent="0.25">
      <c r="A7460" t="str">
        <f>"61817003166"</f>
        <v>61817003166</v>
      </c>
      <c r="B7460" t="s">
        <v>530</v>
      </c>
      <c r="C7460" t="s">
        <v>23950</v>
      </c>
      <c r="D7460" t="s">
        <v>23950</v>
      </c>
      <c r="E7460">
        <v>424003</v>
      </c>
      <c r="F7460" t="s">
        <v>1</v>
      </c>
      <c r="G7460" t="s">
        <v>2</v>
      </c>
      <c r="H7460" t="s">
        <v>8472</v>
      </c>
      <c r="Y7460" t="s">
        <v>31254</v>
      </c>
    </row>
    <row r="7461" spans="1:25" x14ac:dyDescent="0.25">
      <c r="A7461" t="str">
        <f>"61830197882"</f>
        <v>61830197882</v>
      </c>
      <c r="B7461" t="s">
        <v>32</v>
      </c>
      <c r="C7461" t="s">
        <v>31259</v>
      </c>
      <c r="D7461" t="s">
        <v>31255</v>
      </c>
      <c r="E7461">
        <v>424004</v>
      </c>
      <c r="F7461" t="s">
        <v>1</v>
      </c>
      <c r="G7461" t="s">
        <v>2</v>
      </c>
      <c r="H7461" t="s">
        <v>5226</v>
      </c>
      <c r="J7461" t="s">
        <v>31256</v>
      </c>
      <c r="L7461" t="s">
        <v>31257</v>
      </c>
      <c r="M7461" t="s">
        <v>31258</v>
      </c>
      <c r="P7461" t="s">
        <v>8945</v>
      </c>
      <c r="Q7461" t="s">
        <v>31260</v>
      </c>
      <c r="V7461" t="s">
        <v>31261</v>
      </c>
      <c r="Y7461" t="s">
        <v>31262</v>
      </c>
    </row>
    <row r="7462" spans="1:25" x14ac:dyDescent="0.25">
      <c r="A7462" t="str">
        <f>"61832233346"</f>
        <v>61832233346</v>
      </c>
      <c r="B7462" t="s">
        <v>574</v>
      </c>
      <c r="C7462" t="s">
        <v>646</v>
      </c>
      <c r="D7462" t="s">
        <v>31263</v>
      </c>
      <c r="E7462">
        <v>424002</v>
      </c>
      <c r="F7462" t="s">
        <v>1</v>
      </c>
      <c r="G7462" t="s">
        <v>2</v>
      </c>
      <c r="H7462" t="s">
        <v>7367</v>
      </c>
      <c r="Y7462" t="s">
        <v>16306</v>
      </c>
    </row>
    <row r="7463" spans="1:25" x14ac:dyDescent="0.25">
      <c r="A7463" t="str">
        <f>"61838017369"</f>
        <v>61838017369</v>
      </c>
      <c r="B7463" t="s">
        <v>379</v>
      </c>
      <c r="C7463" t="s">
        <v>2661</v>
      </c>
      <c r="D7463" t="s">
        <v>31264</v>
      </c>
      <c r="E7463">
        <v>424016</v>
      </c>
      <c r="F7463" t="s">
        <v>1</v>
      </c>
      <c r="G7463" t="s">
        <v>2</v>
      </c>
      <c r="H7463" t="s">
        <v>11290</v>
      </c>
      <c r="I7463" t="s">
        <v>31265</v>
      </c>
      <c r="P7463" t="s">
        <v>280</v>
      </c>
      <c r="Y7463" t="s">
        <v>31266</v>
      </c>
    </row>
    <row r="7464" spans="1:25" x14ac:dyDescent="0.25">
      <c r="A7464" t="str">
        <f>"61876094966"</f>
        <v>61876094966</v>
      </c>
      <c r="B7464" t="s">
        <v>25</v>
      </c>
      <c r="C7464" t="s">
        <v>30456</v>
      </c>
      <c r="D7464" t="s">
        <v>31267</v>
      </c>
      <c r="E7464">
        <v>424001</v>
      </c>
      <c r="F7464" t="s">
        <v>1</v>
      </c>
      <c r="G7464" t="s">
        <v>2</v>
      </c>
      <c r="H7464" t="s">
        <v>3665</v>
      </c>
      <c r="I7464" t="s">
        <v>31268</v>
      </c>
      <c r="J7464" t="s">
        <v>31269</v>
      </c>
      <c r="L7464" t="s">
        <v>31270</v>
      </c>
      <c r="M7464" t="s">
        <v>31271</v>
      </c>
      <c r="P7464" t="s">
        <v>27</v>
      </c>
      <c r="Q7464" t="s">
        <v>31272</v>
      </c>
      <c r="V7464" t="s">
        <v>31273</v>
      </c>
      <c r="Y7464" t="s">
        <v>31274</v>
      </c>
    </row>
    <row r="7465" spans="1:25" x14ac:dyDescent="0.25">
      <c r="A7465" t="str">
        <f>"61896343417"</f>
        <v>61896343417</v>
      </c>
      <c r="B7465" t="s">
        <v>1544</v>
      </c>
      <c r="C7465" t="s">
        <v>15598</v>
      </c>
      <c r="D7465" t="s">
        <v>31275</v>
      </c>
      <c r="E7465">
        <v>424006</v>
      </c>
      <c r="F7465" t="s">
        <v>1</v>
      </c>
      <c r="G7465" t="s">
        <v>2</v>
      </c>
      <c r="H7465" t="s">
        <v>27057</v>
      </c>
      <c r="P7465" t="s">
        <v>330</v>
      </c>
      <c r="Y7465" t="s">
        <v>31276</v>
      </c>
    </row>
    <row r="7466" spans="1:25" x14ac:dyDescent="0.25">
      <c r="A7466" t="str">
        <f>"61936370732"</f>
        <v>61936370732</v>
      </c>
      <c r="B7466" t="s">
        <v>151</v>
      </c>
      <c r="C7466" t="s">
        <v>151</v>
      </c>
      <c r="D7466" t="s">
        <v>31277</v>
      </c>
      <c r="E7466">
        <v>424002</v>
      </c>
      <c r="F7466" t="s">
        <v>1</v>
      </c>
      <c r="G7466" t="s">
        <v>2</v>
      </c>
      <c r="H7466" t="s">
        <v>823</v>
      </c>
      <c r="P7466" t="s">
        <v>27</v>
      </c>
      <c r="Y7466" t="s">
        <v>31278</v>
      </c>
    </row>
    <row r="7467" spans="1:25" x14ac:dyDescent="0.25">
      <c r="A7467" t="str">
        <f>"61938291734"</f>
        <v>61938291734</v>
      </c>
      <c r="B7467" t="s">
        <v>151</v>
      </c>
      <c r="C7467" t="s">
        <v>151</v>
      </c>
      <c r="D7467" t="s">
        <v>21182</v>
      </c>
      <c r="E7467">
        <v>424031</v>
      </c>
      <c r="F7467" t="s">
        <v>1</v>
      </c>
      <c r="G7467" t="s">
        <v>2</v>
      </c>
      <c r="H7467" t="s">
        <v>10559</v>
      </c>
      <c r="I7467" t="s">
        <v>21183</v>
      </c>
      <c r="P7467" t="s">
        <v>27</v>
      </c>
      <c r="Y7467" t="s">
        <v>11702</v>
      </c>
    </row>
    <row r="7468" spans="1:25" x14ac:dyDescent="0.25">
      <c r="A7468" t="str">
        <f>"61957548841"</f>
        <v>61957548841</v>
      </c>
      <c r="B7468" t="s">
        <v>88</v>
      </c>
      <c r="C7468" t="s">
        <v>8056</v>
      </c>
      <c r="D7468" t="s">
        <v>23167</v>
      </c>
      <c r="E7468">
        <v>424031</v>
      </c>
      <c r="F7468" t="s">
        <v>1</v>
      </c>
      <c r="G7468" t="s">
        <v>2</v>
      </c>
      <c r="H7468" t="s">
        <v>4606</v>
      </c>
      <c r="Y7468" t="s">
        <v>31279</v>
      </c>
    </row>
    <row r="7469" spans="1:25" x14ac:dyDescent="0.25">
      <c r="A7469" t="str">
        <f>"61997800892"</f>
        <v>61997800892</v>
      </c>
      <c r="B7469" t="s">
        <v>243</v>
      </c>
      <c r="C7469" t="s">
        <v>31284</v>
      </c>
      <c r="D7469" t="s">
        <v>31280</v>
      </c>
      <c r="E7469">
        <v>424036</v>
      </c>
      <c r="F7469" t="s">
        <v>1</v>
      </c>
      <c r="G7469" t="s">
        <v>2</v>
      </c>
      <c r="H7469" t="s">
        <v>6072</v>
      </c>
      <c r="I7469" t="s">
        <v>31281</v>
      </c>
      <c r="L7469" t="s">
        <v>31282</v>
      </c>
      <c r="M7469" t="s">
        <v>31283</v>
      </c>
      <c r="Y7469" t="s">
        <v>31285</v>
      </c>
    </row>
    <row r="7470" spans="1:25" x14ac:dyDescent="0.25">
      <c r="A7470" t="str">
        <f>"62004928253"</f>
        <v>62004928253</v>
      </c>
      <c r="B7470" t="s">
        <v>290</v>
      </c>
      <c r="C7470" t="s">
        <v>290</v>
      </c>
      <c r="D7470" t="s">
        <v>24040</v>
      </c>
      <c r="E7470">
        <v>424031</v>
      </c>
      <c r="F7470" t="s">
        <v>1</v>
      </c>
      <c r="G7470" t="s">
        <v>2</v>
      </c>
      <c r="H7470" t="s">
        <v>16397</v>
      </c>
      <c r="I7470" t="s">
        <v>31286</v>
      </c>
      <c r="J7470" t="s">
        <v>31287</v>
      </c>
      <c r="P7470" t="s">
        <v>31288</v>
      </c>
      <c r="Y7470" t="s">
        <v>31289</v>
      </c>
    </row>
    <row r="7471" spans="1:25" x14ac:dyDescent="0.25">
      <c r="A7471" t="str">
        <f>"62011870594"</f>
        <v>62011870594</v>
      </c>
      <c r="B7471" t="s">
        <v>574</v>
      </c>
      <c r="C7471" t="s">
        <v>21805</v>
      </c>
      <c r="D7471" t="s">
        <v>24214</v>
      </c>
      <c r="E7471">
        <v>424005</v>
      </c>
      <c r="F7471" t="s">
        <v>1</v>
      </c>
      <c r="G7471" t="s">
        <v>2</v>
      </c>
      <c r="H7471" t="s">
        <v>1298</v>
      </c>
      <c r="J7471" t="s">
        <v>24215</v>
      </c>
      <c r="P7471" t="s">
        <v>399</v>
      </c>
      <c r="Y7471" t="s">
        <v>1301</v>
      </c>
    </row>
    <row r="7472" spans="1:25" x14ac:dyDescent="0.25">
      <c r="A7472" t="str">
        <f>"62028982455"</f>
        <v>62028982455</v>
      </c>
      <c r="B7472" t="s">
        <v>530</v>
      </c>
      <c r="C7472" t="s">
        <v>23950</v>
      </c>
      <c r="D7472" t="s">
        <v>23950</v>
      </c>
      <c r="F7472" t="s">
        <v>1</v>
      </c>
      <c r="G7472" t="s">
        <v>2</v>
      </c>
      <c r="H7472" t="s">
        <v>31290</v>
      </c>
      <c r="Y7472" t="s">
        <v>31291</v>
      </c>
    </row>
    <row r="7473" spans="1:25" x14ac:dyDescent="0.25">
      <c r="A7473" t="str">
        <f>"62036307908"</f>
        <v>62036307908</v>
      </c>
      <c r="B7473" t="s">
        <v>574</v>
      </c>
      <c r="C7473" t="s">
        <v>9802</v>
      </c>
      <c r="D7473" t="s">
        <v>21923</v>
      </c>
      <c r="E7473">
        <v>424000</v>
      </c>
      <c r="F7473" t="s">
        <v>1</v>
      </c>
      <c r="G7473" t="s">
        <v>2</v>
      </c>
      <c r="H7473" t="s">
        <v>265</v>
      </c>
      <c r="I7473" t="s">
        <v>21924</v>
      </c>
      <c r="M7473" t="s">
        <v>31292</v>
      </c>
      <c r="P7473" t="s">
        <v>9840</v>
      </c>
      <c r="Y7473" t="s">
        <v>11205</v>
      </c>
    </row>
    <row r="7474" spans="1:25" x14ac:dyDescent="0.25">
      <c r="A7474" t="str">
        <f>"62061221832"</f>
        <v>62061221832</v>
      </c>
      <c r="B7474" t="s">
        <v>96</v>
      </c>
      <c r="C7474" t="s">
        <v>3621</v>
      </c>
      <c r="D7474" t="s">
        <v>31293</v>
      </c>
      <c r="E7474">
        <v>424002</v>
      </c>
      <c r="F7474" t="s">
        <v>1</v>
      </c>
      <c r="G7474" t="s">
        <v>2</v>
      </c>
      <c r="H7474" t="s">
        <v>662</v>
      </c>
      <c r="J7474" t="s">
        <v>31294</v>
      </c>
      <c r="P7474" t="s">
        <v>941</v>
      </c>
      <c r="Y7474" t="s">
        <v>3342</v>
      </c>
    </row>
    <row r="7475" spans="1:25" x14ac:dyDescent="0.25">
      <c r="A7475" t="str">
        <f>"62158612501"</f>
        <v>62158612501</v>
      </c>
      <c r="B7475" t="s">
        <v>397</v>
      </c>
      <c r="C7475" t="s">
        <v>31299</v>
      </c>
      <c r="D7475" t="s">
        <v>31295</v>
      </c>
      <c r="F7475" t="s">
        <v>1</v>
      </c>
      <c r="G7475" t="s">
        <v>2</v>
      </c>
      <c r="H7475" t="s">
        <v>10011</v>
      </c>
      <c r="J7475" t="s">
        <v>31296</v>
      </c>
      <c r="L7475" t="s">
        <v>31297</v>
      </c>
      <c r="M7475" t="s">
        <v>31298</v>
      </c>
      <c r="P7475" t="s">
        <v>7647</v>
      </c>
      <c r="Y7475" t="s">
        <v>11898</v>
      </c>
    </row>
    <row r="7476" spans="1:25" x14ac:dyDescent="0.25">
      <c r="A7476" t="str">
        <f>"62177709407"</f>
        <v>62177709407</v>
      </c>
      <c r="B7476" t="s">
        <v>574</v>
      </c>
      <c r="C7476" t="s">
        <v>646</v>
      </c>
      <c r="D7476" t="s">
        <v>4221</v>
      </c>
      <c r="E7476">
        <v>424038</v>
      </c>
      <c r="F7476" t="s">
        <v>1</v>
      </c>
      <c r="G7476" t="s">
        <v>2</v>
      </c>
      <c r="H7476" t="s">
        <v>7518</v>
      </c>
      <c r="P7476" t="s">
        <v>13205</v>
      </c>
      <c r="Y7476" t="s">
        <v>31300</v>
      </c>
    </row>
    <row r="7477" spans="1:25" x14ac:dyDescent="0.25">
      <c r="A7477" t="str">
        <f>"62182519488"</f>
        <v>62182519488</v>
      </c>
      <c r="B7477" t="s">
        <v>1182</v>
      </c>
      <c r="C7477" t="s">
        <v>31303</v>
      </c>
      <c r="D7477" t="s">
        <v>31301</v>
      </c>
      <c r="E7477">
        <v>424003</v>
      </c>
      <c r="F7477" t="s">
        <v>1</v>
      </c>
      <c r="G7477" t="s">
        <v>2</v>
      </c>
      <c r="H7477" t="s">
        <v>15497</v>
      </c>
      <c r="J7477" t="s">
        <v>31302</v>
      </c>
      <c r="P7477" t="s">
        <v>312</v>
      </c>
      <c r="Y7477" t="s">
        <v>31304</v>
      </c>
    </row>
    <row r="7478" spans="1:25" x14ac:dyDescent="0.25">
      <c r="A7478" t="str">
        <f>"62190105522"</f>
        <v>62190105522</v>
      </c>
      <c r="B7478" t="s">
        <v>96</v>
      </c>
      <c r="C7478" t="s">
        <v>659</v>
      </c>
      <c r="D7478" t="s">
        <v>31305</v>
      </c>
      <c r="E7478">
        <v>424038</v>
      </c>
      <c r="F7478" t="s">
        <v>1</v>
      </c>
      <c r="G7478" t="s">
        <v>2</v>
      </c>
      <c r="H7478" t="s">
        <v>16808</v>
      </c>
      <c r="Y7478" t="s">
        <v>16810</v>
      </c>
    </row>
    <row r="7479" spans="1:25" x14ac:dyDescent="0.25">
      <c r="A7479" t="str">
        <f>"62232006666"</f>
        <v>62232006666</v>
      </c>
      <c r="B7479" t="s">
        <v>348</v>
      </c>
      <c r="C7479" t="s">
        <v>31310</v>
      </c>
      <c r="D7479" t="s">
        <v>31306</v>
      </c>
      <c r="F7479" t="s">
        <v>1</v>
      </c>
      <c r="G7479" t="s">
        <v>2</v>
      </c>
      <c r="H7479" t="s">
        <v>138</v>
      </c>
      <c r="J7479" t="s">
        <v>31307</v>
      </c>
      <c r="L7479" t="s">
        <v>31308</v>
      </c>
      <c r="M7479" t="s">
        <v>31309</v>
      </c>
      <c r="P7479" t="s">
        <v>144</v>
      </c>
      <c r="Y7479" t="s">
        <v>31311</v>
      </c>
    </row>
    <row r="7480" spans="1:25" x14ac:dyDescent="0.25">
      <c r="A7480" t="str">
        <f>"62237681004"</f>
        <v>62237681004</v>
      </c>
      <c r="B7480" t="s">
        <v>669</v>
      </c>
      <c r="C7480" t="s">
        <v>2689</v>
      </c>
      <c r="D7480" t="s">
        <v>31312</v>
      </c>
      <c r="E7480">
        <v>424008</v>
      </c>
      <c r="F7480" t="s">
        <v>1</v>
      </c>
      <c r="G7480" t="s">
        <v>2</v>
      </c>
      <c r="H7480" t="s">
        <v>11060</v>
      </c>
      <c r="I7480" t="s">
        <v>31313</v>
      </c>
      <c r="K7480" t="s">
        <v>31314</v>
      </c>
      <c r="P7480" t="s">
        <v>20</v>
      </c>
      <c r="Y7480" t="s">
        <v>11964</v>
      </c>
    </row>
    <row r="7481" spans="1:25" x14ac:dyDescent="0.25">
      <c r="A7481" t="str">
        <f>"62249046161"</f>
        <v>62249046161</v>
      </c>
      <c r="B7481" t="s">
        <v>290</v>
      </c>
      <c r="C7481" t="s">
        <v>290</v>
      </c>
      <c r="D7481" t="s">
        <v>31315</v>
      </c>
      <c r="E7481">
        <v>424032</v>
      </c>
      <c r="F7481" t="s">
        <v>1</v>
      </c>
      <c r="G7481" t="s">
        <v>2</v>
      </c>
      <c r="H7481" t="s">
        <v>24307</v>
      </c>
      <c r="Y7481" t="s">
        <v>31316</v>
      </c>
    </row>
    <row r="7482" spans="1:25" x14ac:dyDescent="0.25">
      <c r="A7482" t="str">
        <f>"62259030094"</f>
        <v>62259030094</v>
      </c>
      <c r="B7482" t="s">
        <v>669</v>
      </c>
      <c r="C7482" t="s">
        <v>1292</v>
      </c>
      <c r="D7482" t="s">
        <v>31317</v>
      </c>
      <c r="E7482">
        <v>424028</v>
      </c>
      <c r="F7482" t="s">
        <v>1</v>
      </c>
      <c r="G7482" t="s">
        <v>2</v>
      </c>
      <c r="H7482" t="s">
        <v>13799</v>
      </c>
      <c r="I7482" t="s">
        <v>31318</v>
      </c>
      <c r="P7482" t="s">
        <v>280</v>
      </c>
      <c r="Y7482" t="s">
        <v>13801</v>
      </c>
    </row>
    <row r="7483" spans="1:25" x14ac:dyDescent="0.25">
      <c r="A7483" t="str">
        <f>"62352358916"</f>
        <v>62352358916</v>
      </c>
      <c r="B7483" t="s">
        <v>2104</v>
      </c>
      <c r="C7483" t="s">
        <v>21175</v>
      </c>
      <c r="D7483" t="s">
        <v>31319</v>
      </c>
      <c r="E7483">
        <v>424006</v>
      </c>
      <c r="F7483" t="s">
        <v>1</v>
      </c>
      <c r="G7483" t="s">
        <v>2</v>
      </c>
      <c r="H7483" t="s">
        <v>31320</v>
      </c>
      <c r="J7483" t="s">
        <v>31321</v>
      </c>
      <c r="L7483" t="s">
        <v>31322</v>
      </c>
      <c r="M7483" t="s">
        <v>31323</v>
      </c>
      <c r="P7483" t="s">
        <v>7650</v>
      </c>
      <c r="Y7483" t="s">
        <v>31324</v>
      </c>
    </row>
    <row r="7484" spans="1:25" x14ac:dyDescent="0.25">
      <c r="A7484" t="str">
        <f>"62368685177"</f>
        <v>62368685177</v>
      </c>
      <c r="B7484" t="s">
        <v>319</v>
      </c>
      <c r="C7484" t="s">
        <v>320</v>
      </c>
      <c r="D7484" t="s">
        <v>28945</v>
      </c>
      <c r="E7484">
        <v>424000</v>
      </c>
      <c r="F7484" t="s">
        <v>1</v>
      </c>
      <c r="G7484" t="s">
        <v>2</v>
      </c>
      <c r="H7484" t="s">
        <v>1531</v>
      </c>
      <c r="I7484" t="s">
        <v>24130</v>
      </c>
      <c r="M7484" t="s">
        <v>24131</v>
      </c>
      <c r="Y7484" t="s">
        <v>1707</v>
      </c>
    </row>
    <row r="7485" spans="1:25" x14ac:dyDescent="0.25">
      <c r="A7485" t="str">
        <f>"62418857861"</f>
        <v>62418857861</v>
      </c>
      <c r="B7485" t="s">
        <v>18</v>
      </c>
      <c r="C7485" t="s">
        <v>4522</v>
      </c>
      <c r="D7485" t="s">
        <v>31325</v>
      </c>
      <c r="E7485">
        <v>424016</v>
      </c>
      <c r="F7485" t="s">
        <v>1</v>
      </c>
      <c r="G7485" t="s">
        <v>2</v>
      </c>
      <c r="H7485" t="s">
        <v>673</v>
      </c>
      <c r="Y7485" t="s">
        <v>1072</v>
      </c>
    </row>
    <row r="7486" spans="1:25" x14ac:dyDescent="0.25">
      <c r="A7486" t="str">
        <f>"62422294038"</f>
        <v>62422294038</v>
      </c>
      <c r="B7486" t="s">
        <v>530</v>
      </c>
      <c r="C7486" t="s">
        <v>23950</v>
      </c>
      <c r="D7486" t="s">
        <v>23950</v>
      </c>
      <c r="F7486" t="s">
        <v>1</v>
      </c>
      <c r="G7486" t="s">
        <v>2</v>
      </c>
      <c r="H7486" t="s">
        <v>27272</v>
      </c>
      <c r="Y7486" t="s">
        <v>31326</v>
      </c>
    </row>
    <row r="7487" spans="1:25" x14ac:dyDescent="0.25">
      <c r="A7487" t="str">
        <f>"62427676274"</f>
        <v>62427676274</v>
      </c>
      <c r="B7487" t="s">
        <v>2846</v>
      </c>
      <c r="C7487" t="s">
        <v>31329</v>
      </c>
      <c r="D7487" t="s">
        <v>31327</v>
      </c>
      <c r="E7487">
        <v>424002</v>
      </c>
      <c r="F7487" t="s">
        <v>1</v>
      </c>
      <c r="G7487" t="s">
        <v>2</v>
      </c>
      <c r="H7487" t="s">
        <v>6319</v>
      </c>
      <c r="I7487" t="s">
        <v>31328</v>
      </c>
      <c r="P7487" t="s">
        <v>1213</v>
      </c>
      <c r="Q7487" t="s">
        <v>31330</v>
      </c>
      <c r="Y7487" t="s">
        <v>31331</v>
      </c>
    </row>
    <row r="7488" spans="1:25" x14ac:dyDescent="0.25">
      <c r="A7488" t="str">
        <f>"62456094633"</f>
        <v>62456094633</v>
      </c>
      <c r="B7488" t="s">
        <v>716</v>
      </c>
      <c r="C7488" t="s">
        <v>717</v>
      </c>
      <c r="D7488" t="s">
        <v>31332</v>
      </c>
      <c r="E7488">
        <v>424032</v>
      </c>
      <c r="F7488" t="s">
        <v>1</v>
      </c>
      <c r="G7488" t="s">
        <v>2</v>
      </c>
      <c r="H7488" t="s">
        <v>2972</v>
      </c>
      <c r="Y7488" t="s">
        <v>2975</v>
      </c>
    </row>
    <row r="7489" spans="1:25" x14ac:dyDescent="0.25">
      <c r="A7489" t="str">
        <f>"62464970949"</f>
        <v>62464970949</v>
      </c>
      <c r="B7489" t="s">
        <v>18</v>
      </c>
      <c r="C7489" t="s">
        <v>31337</v>
      </c>
      <c r="D7489" t="s">
        <v>9196</v>
      </c>
      <c r="E7489">
        <v>424006</v>
      </c>
      <c r="F7489" t="s">
        <v>1</v>
      </c>
      <c r="G7489" t="s">
        <v>2</v>
      </c>
      <c r="H7489" t="s">
        <v>3711</v>
      </c>
      <c r="I7489" t="s">
        <v>31333</v>
      </c>
      <c r="J7489" t="s">
        <v>31334</v>
      </c>
      <c r="L7489" t="s">
        <v>31335</v>
      </c>
      <c r="M7489" t="s">
        <v>31336</v>
      </c>
      <c r="P7489" t="s">
        <v>280</v>
      </c>
      <c r="Q7489" t="s">
        <v>31338</v>
      </c>
      <c r="U7489" t="s">
        <v>31339</v>
      </c>
      <c r="V7489" t="s">
        <v>31340</v>
      </c>
      <c r="Y7489" t="s">
        <v>3715</v>
      </c>
    </row>
    <row r="7490" spans="1:25" x14ac:dyDescent="0.25">
      <c r="A7490" t="str">
        <f>"62487400686"</f>
        <v>62487400686</v>
      </c>
      <c r="B7490" t="s">
        <v>1222</v>
      </c>
      <c r="C7490" t="s">
        <v>22628</v>
      </c>
      <c r="D7490" t="s">
        <v>31341</v>
      </c>
      <c r="E7490">
        <v>424006</v>
      </c>
      <c r="F7490" t="s">
        <v>1</v>
      </c>
      <c r="G7490" t="s">
        <v>2</v>
      </c>
      <c r="H7490" t="s">
        <v>1436</v>
      </c>
      <c r="J7490" t="s">
        <v>31342</v>
      </c>
      <c r="M7490" t="s">
        <v>31343</v>
      </c>
      <c r="Y7490" t="s">
        <v>1443</v>
      </c>
    </row>
    <row r="7491" spans="1:25" x14ac:dyDescent="0.25">
      <c r="A7491" t="str">
        <f>"62506238198"</f>
        <v>62506238198</v>
      </c>
      <c r="B7491" t="s">
        <v>25</v>
      </c>
      <c r="C7491" t="s">
        <v>20320</v>
      </c>
      <c r="D7491" t="s">
        <v>31344</v>
      </c>
      <c r="E7491">
        <v>424003</v>
      </c>
      <c r="F7491" t="s">
        <v>1</v>
      </c>
      <c r="G7491" t="s">
        <v>2</v>
      </c>
      <c r="H7491" t="s">
        <v>31345</v>
      </c>
      <c r="Y7491" t="s">
        <v>31346</v>
      </c>
    </row>
    <row r="7492" spans="1:25" x14ac:dyDescent="0.25">
      <c r="A7492" t="str">
        <f>"62515251485"</f>
        <v>62515251485</v>
      </c>
      <c r="B7492" t="s">
        <v>243</v>
      </c>
      <c r="C7492" t="s">
        <v>31349</v>
      </c>
      <c r="D7492" t="s">
        <v>31347</v>
      </c>
      <c r="E7492">
        <v>424006</v>
      </c>
      <c r="F7492" t="s">
        <v>1</v>
      </c>
      <c r="G7492" t="s">
        <v>2</v>
      </c>
      <c r="H7492" t="s">
        <v>14949</v>
      </c>
      <c r="I7492" t="s">
        <v>8716</v>
      </c>
      <c r="L7492" t="s">
        <v>8717</v>
      </c>
      <c r="M7492" t="s">
        <v>31348</v>
      </c>
      <c r="P7492" t="s">
        <v>9</v>
      </c>
      <c r="Q7492" t="s">
        <v>8720</v>
      </c>
      <c r="Y7492" t="s">
        <v>31350</v>
      </c>
    </row>
    <row r="7493" spans="1:25" x14ac:dyDescent="0.25">
      <c r="A7493" t="str">
        <f>"62535032119"</f>
        <v>62535032119</v>
      </c>
      <c r="B7493" t="s">
        <v>160</v>
      </c>
      <c r="C7493" t="s">
        <v>1666</v>
      </c>
      <c r="D7493" t="s">
        <v>31351</v>
      </c>
      <c r="E7493">
        <v>424037</v>
      </c>
      <c r="F7493" t="s">
        <v>1</v>
      </c>
      <c r="G7493" t="s">
        <v>2</v>
      </c>
      <c r="H7493" t="s">
        <v>31352</v>
      </c>
      <c r="Y7493" t="s">
        <v>31353</v>
      </c>
    </row>
    <row r="7494" spans="1:25" x14ac:dyDescent="0.25">
      <c r="A7494" t="str">
        <f>"62544520918"</f>
        <v>62544520918</v>
      </c>
      <c r="B7494" t="s">
        <v>687</v>
      </c>
      <c r="C7494" t="s">
        <v>31355</v>
      </c>
      <c r="D7494" t="s">
        <v>31354</v>
      </c>
      <c r="E7494">
        <v>424002</v>
      </c>
      <c r="F7494" t="s">
        <v>1</v>
      </c>
      <c r="G7494" t="s">
        <v>2</v>
      </c>
      <c r="H7494" t="s">
        <v>15717</v>
      </c>
      <c r="I7494" t="s">
        <v>28094</v>
      </c>
      <c r="Y7494" t="s">
        <v>31356</v>
      </c>
    </row>
    <row r="7495" spans="1:25" x14ac:dyDescent="0.25">
      <c r="A7495" t="str">
        <f>"62556121316"</f>
        <v>62556121316</v>
      </c>
      <c r="B7495" t="s">
        <v>640</v>
      </c>
      <c r="C7495" t="s">
        <v>663</v>
      </c>
      <c r="D7495" t="s">
        <v>31357</v>
      </c>
      <c r="E7495">
        <v>424003</v>
      </c>
      <c r="F7495" t="s">
        <v>1</v>
      </c>
      <c r="G7495" t="s">
        <v>2</v>
      </c>
      <c r="H7495" t="s">
        <v>1725</v>
      </c>
      <c r="Y7495" t="s">
        <v>3296</v>
      </c>
    </row>
    <row r="7496" spans="1:25" x14ac:dyDescent="0.25">
      <c r="A7496" t="str">
        <f>"62596482441"</f>
        <v>62596482441</v>
      </c>
      <c r="B7496" t="s">
        <v>6478</v>
      </c>
      <c r="C7496" t="s">
        <v>27250</v>
      </c>
      <c r="D7496" t="s">
        <v>31358</v>
      </c>
      <c r="E7496">
        <v>424006</v>
      </c>
      <c r="F7496" t="s">
        <v>1</v>
      </c>
      <c r="G7496" t="s">
        <v>2</v>
      </c>
      <c r="H7496" t="s">
        <v>8482</v>
      </c>
      <c r="J7496" t="s">
        <v>31359</v>
      </c>
      <c r="M7496" t="s">
        <v>31360</v>
      </c>
      <c r="P7496" t="s">
        <v>31361</v>
      </c>
      <c r="Q7496" t="s">
        <v>31362</v>
      </c>
      <c r="Y7496" t="s">
        <v>31363</v>
      </c>
    </row>
    <row r="7497" spans="1:25" x14ac:dyDescent="0.25">
      <c r="A7497" t="str">
        <f>"62596501281"</f>
        <v>62596501281</v>
      </c>
      <c r="B7497" t="s">
        <v>352</v>
      </c>
      <c r="C7497" t="s">
        <v>31368</v>
      </c>
      <c r="D7497" t="s">
        <v>31364</v>
      </c>
      <c r="E7497">
        <v>424002</v>
      </c>
      <c r="F7497" t="s">
        <v>1</v>
      </c>
      <c r="G7497" t="s">
        <v>2</v>
      </c>
      <c r="H7497" t="s">
        <v>8736</v>
      </c>
      <c r="I7497" t="s">
        <v>31365</v>
      </c>
      <c r="L7497" t="s">
        <v>31366</v>
      </c>
      <c r="M7497" t="s">
        <v>31367</v>
      </c>
      <c r="P7497" t="s">
        <v>280</v>
      </c>
      <c r="Q7497" t="s">
        <v>31369</v>
      </c>
      <c r="Y7497" t="s">
        <v>31370</v>
      </c>
    </row>
    <row r="7498" spans="1:25" x14ac:dyDescent="0.25">
      <c r="A7498" t="str">
        <f>"62610074599"</f>
        <v>62610074599</v>
      </c>
      <c r="B7498" t="s">
        <v>530</v>
      </c>
      <c r="C7498" t="s">
        <v>23950</v>
      </c>
      <c r="D7498" t="s">
        <v>23950</v>
      </c>
      <c r="F7498" t="s">
        <v>1</v>
      </c>
      <c r="G7498" t="s">
        <v>2</v>
      </c>
      <c r="H7498" t="s">
        <v>31371</v>
      </c>
      <c r="Y7498" t="s">
        <v>31372</v>
      </c>
    </row>
    <row r="7499" spans="1:25" x14ac:dyDescent="0.25">
      <c r="A7499" t="str">
        <f>"62624058466"</f>
        <v>62624058466</v>
      </c>
      <c r="B7499" t="s">
        <v>18</v>
      </c>
      <c r="C7499" t="s">
        <v>12269</v>
      </c>
      <c r="D7499" t="s">
        <v>26032</v>
      </c>
      <c r="E7499">
        <v>424004</v>
      </c>
      <c r="F7499" t="s">
        <v>1</v>
      </c>
      <c r="G7499" t="s">
        <v>2</v>
      </c>
      <c r="H7499" t="s">
        <v>14351</v>
      </c>
      <c r="Y7499" t="s">
        <v>14356</v>
      </c>
    </row>
    <row r="7500" spans="1:25" x14ac:dyDescent="0.25">
      <c r="A7500" t="str">
        <f>"62704404487"</f>
        <v>62704404487</v>
      </c>
      <c r="B7500" t="s">
        <v>160</v>
      </c>
      <c r="C7500" t="s">
        <v>2479</v>
      </c>
      <c r="D7500" t="s">
        <v>510</v>
      </c>
      <c r="E7500">
        <v>424028</v>
      </c>
      <c r="F7500" t="s">
        <v>1</v>
      </c>
      <c r="G7500" t="s">
        <v>2</v>
      </c>
      <c r="H7500" t="s">
        <v>31373</v>
      </c>
      <c r="L7500" t="s">
        <v>513</v>
      </c>
      <c r="M7500" t="s">
        <v>514</v>
      </c>
      <c r="Y7500" t="s">
        <v>31374</v>
      </c>
    </row>
    <row r="7501" spans="1:25" x14ac:dyDescent="0.25">
      <c r="A7501" t="str">
        <f>"62706715879"</f>
        <v>62706715879</v>
      </c>
      <c r="B7501" t="s">
        <v>96</v>
      </c>
      <c r="C7501" t="s">
        <v>31378</v>
      </c>
      <c r="D7501" t="s">
        <v>31375</v>
      </c>
      <c r="E7501">
        <v>424028</v>
      </c>
      <c r="F7501" t="s">
        <v>1</v>
      </c>
      <c r="G7501" t="s">
        <v>2</v>
      </c>
      <c r="H7501" t="s">
        <v>31376</v>
      </c>
      <c r="J7501" t="s">
        <v>31377</v>
      </c>
      <c r="P7501" t="s">
        <v>2050</v>
      </c>
      <c r="Y7501" t="s">
        <v>31379</v>
      </c>
    </row>
    <row r="7502" spans="1:25" x14ac:dyDescent="0.25">
      <c r="A7502" t="str">
        <f>"62733319010"</f>
        <v>62733319010</v>
      </c>
      <c r="B7502" t="s">
        <v>1053</v>
      </c>
      <c r="C7502" t="s">
        <v>1927</v>
      </c>
      <c r="D7502" t="s">
        <v>31380</v>
      </c>
      <c r="E7502">
        <v>424006</v>
      </c>
      <c r="F7502" t="s">
        <v>1</v>
      </c>
      <c r="G7502" t="s">
        <v>2</v>
      </c>
      <c r="H7502" t="s">
        <v>21558</v>
      </c>
      <c r="J7502" t="s">
        <v>31381</v>
      </c>
      <c r="P7502" t="s">
        <v>2258</v>
      </c>
      <c r="Y7502" t="s">
        <v>26687</v>
      </c>
    </row>
    <row r="7503" spans="1:25" x14ac:dyDescent="0.25">
      <c r="A7503" t="str">
        <f>"62754459073"</f>
        <v>62754459073</v>
      </c>
      <c r="B7503" t="s">
        <v>738</v>
      </c>
      <c r="C7503" t="s">
        <v>3363</v>
      </c>
      <c r="D7503" t="s">
        <v>31382</v>
      </c>
      <c r="E7503">
        <v>424008</v>
      </c>
      <c r="F7503" t="s">
        <v>1</v>
      </c>
      <c r="G7503" t="s">
        <v>2</v>
      </c>
      <c r="H7503" t="s">
        <v>6584</v>
      </c>
      <c r="J7503" t="s">
        <v>31383</v>
      </c>
      <c r="L7503" t="s">
        <v>31384</v>
      </c>
      <c r="M7503" t="s">
        <v>31385</v>
      </c>
      <c r="P7503" t="s">
        <v>1441</v>
      </c>
      <c r="Y7503" t="s">
        <v>31386</v>
      </c>
    </row>
    <row r="7504" spans="1:25" x14ac:dyDescent="0.25">
      <c r="A7504" t="str">
        <f>"62756039961"</f>
        <v>62756039961</v>
      </c>
      <c r="B7504" t="s">
        <v>96</v>
      </c>
      <c r="C7504" t="s">
        <v>695</v>
      </c>
      <c r="D7504" t="s">
        <v>31387</v>
      </c>
      <c r="E7504">
        <v>424019</v>
      </c>
      <c r="F7504" t="s">
        <v>1</v>
      </c>
      <c r="G7504" t="s">
        <v>2</v>
      </c>
      <c r="H7504" t="s">
        <v>9271</v>
      </c>
      <c r="J7504" t="s">
        <v>31388</v>
      </c>
      <c r="P7504" t="s">
        <v>31389</v>
      </c>
      <c r="Y7504" t="s">
        <v>14680</v>
      </c>
    </row>
    <row r="7505" spans="1:25" x14ac:dyDescent="0.25">
      <c r="A7505" t="str">
        <f>"62775143006"</f>
        <v>62775143006</v>
      </c>
      <c r="B7505" t="s">
        <v>160</v>
      </c>
      <c r="C7505" t="s">
        <v>1666</v>
      </c>
      <c r="D7505" t="s">
        <v>31390</v>
      </c>
      <c r="E7505">
        <v>424000</v>
      </c>
      <c r="F7505" t="s">
        <v>1</v>
      </c>
      <c r="G7505" t="s">
        <v>2</v>
      </c>
      <c r="H7505" t="s">
        <v>31391</v>
      </c>
      <c r="Y7505" t="s">
        <v>31392</v>
      </c>
    </row>
    <row r="7506" spans="1:25" x14ac:dyDescent="0.25">
      <c r="A7506" t="str">
        <f>"62796972332"</f>
        <v>62796972332</v>
      </c>
      <c r="B7506" t="s">
        <v>1343</v>
      </c>
      <c r="C7506" t="s">
        <v>28301</v>
      </c>
      <c r="D7506" t="s">
        <v>20882</v>
      </c>
      <c r="E7506">
        <v>424004</v>
      </c>
      <c r="F7506" t="s">
        <v>1</v>
      </c>
      <c r="G7506" t="s">
        <v>2</v>
      </c>
      <c r="H7506" t="s">
        <v>3266</v>
      </c>
      <c r="Y7506" t="s">
        <v>16843</v>
      </c>
    </row>
    <row r="7507" spans="1:25" x14ac:dyDescent="0.25">
      <c r="A7507" t="str">
        <f>"62812601887"</f>
        <v>62812601887</v>
      </c>
      <c r="B7507" t="s">
        <v>1323</v>
      </c>
      <c r="C7507" t="s">
        <v>1324</v>
      </c>
      <c r="D7507" t="s">
        <v>31393</v>
      </c>
      <c r="E7507">
        <v>424031</v>
      </c>
      <c r="F7507" t="s">
        <v>1</v>
      </c>
      <c r="G7507" t="s">
        <v>2</v>
      </c>
      <c r="H7507" t="s">
        <v>887</v>
      </c>
      <c r="Y7507" t="s">
        <v>890</v>
      </c>
    </row>
    <row r="7508" spans="1:25" x14ac:dyDescent="0.25">
      <c r="A7508" t="str">
        <f>"62839279136"</f>
        <v>62839279136</v>
      </c>
      <c r="B7508" t="s">
        <v>96</v>
      </c>
      <c r="C7508" t="s">
        <v>893</v>
      </c>
      <c r="D7508" t="s">
        <v>30674</v>
      </c>
      <c r="E7508">
        <v>424038</v>
      </c>
      <c r="F7508" t="s">
        <v>1</v>
      </c>
      <c r="G7508" t="s">
        <v>2</v>
      </c>
      <c r="H7508" t="s">
        <v>7597</v>
      </c>
      <c r="J7508" t="s">
        <v>31394</v>
      </c>
      <c r="L7508" t="s">
        <v>31395</v>
      </c>
      <c r="M7508" t="s">
        <v>31396</v>
      </c>
      <c r="P7508" t="s">
        <v>1642</v>
      </c>
      <c r="Q7508" t="s">
        <v>31397</v>
      </c>
      <c r="T7508" t="s">
        <v>31398</v>
      </c>
      <c r="V7508" t="s">
        <v>31399</v>
      </c>
      <c r="Y7508" t="s">
        <v>16150</v>
      </c>
    </row>
    <row r="7509" spans="1:25" x14ac:dyDescent="0.25">
      <c r="A7509" t="str">
        <f>"62884506342"</f>
        <v>62884506342</v>
      </c>
      <c r="B7509" t="s">
        <v>1475</v>
      </c>
      <c r="C7509" t="s">
        <v>4005</v>
      </c>
      <c r="D7509" t="s">
        <v>7821</v>
      </c>
      <c r="E7509">
        <v>424038</v>
      </c>
      <c r="F7509" t="s">
        <v>1</v>
      </c>
      <c r="G7509" t="s">
        <v>2</v>
      </c>
      <c r="H7509" t="s">
        <v>12580</v>
      </c>
      <c r="P7509" t="s">
        <v>7826</v>
      </c>
      <c r="Y7509" t="s">
        <v>31400</v>
      </c>
    </row>
    <row r="7510" spans="1:25" x14ac:dyDescent="0.25">
      <c r="A7510" t="str">
        <f>"62896018360"</f>
        <v>62896018360</v>
      </c>
      <c r="B7510" t="s">
        <v>348</v>
      </c>
      <c r="C7510" t="s">
        <v>31404</v>
      </c>
      <c r="D7510" t="s">
        <v>31401</v>
      </c>
      <c r="F7510" t="s">
        <v>1</v>
      </c>
      <c r="G7510" t="s">
        <v>2</v>
      </c>
      <c r="H7510" t="s">
        <v>9610</v>
      </c>
      <c r="J7510" t="s">
        <v>31402</v>
      </c>
      <c r="L7510" t="s">
        <v>31403</v>
      </c>
      <c r="P7510" t="s">
        <v>1160</v>
      </c>
      <c r="Q7510" t="s">
        <v>31405</v>
      </c>
      <c r="Y7510" t="s">
        <v>9612</v>
      </c>
    </row>
    <row r="7511" spans="1:25" x14ac:dyDescent="0.25">
      <c r="A7511" t="str">
        <f>"62957726684"</f>
        <v>62957726684</v>
      </c>
      <c r="B7511" t="s">
        <v>888</v>
      </c>
      <c r="C7511" t="s">
        <v>7389</v>
      </c>
      <c r="D7511" t="s">
        <v>15388</v>
      </c>
      <c r="E7511">
        <v>424038</v>
      </c>
      <c r="F7511" t="s">
        <v>1</v>
      </c>
      <c r="G7511" t="s">
        <v>2</v>
      </c>
      <c r="H7511" t="s">
        <v>1366</v>
      </c>
      <c r="I7511" t="s">
        <v>17839</v>
      </c>
      <c r="J7511" t="s">
        <v>17840</v>
      </c>
      <c r="P7511" t="s">
        <v>15392</v>
      </c>
      <c r="Q7511" t="s">
        <v>15393</v>
      </c>
      <c r="Y7511" t="s">
        <v>7381</v>
      </c>
    </row>
    <row r="7512" spans="1:25" x14ac:dyDescent="0.25">
      <c r="A7512" t="str">
        <f>"63006739129"</f>
        <v>63006739129</v>
      </c>
      <c r="B7512" t="s">
        <v>290</v>
      </c>
      <c r="C7512" t="s">
        <v>31408</v>
      </c>
      <c r="D7512" t="s">
        <v>31406</v>
      </c>
      <c r="F7512" t="s">
        <v>1</v>
      </c>
      <c r="G7512" t="s">
        <v>2</v>
      </c>
      <c r="H7512" t="s">
        <v>1428</v>
      </c>
      <c r="I7512" t="s">
        <v>31407</v>
      </c>
      <c r="P7512" t="s">
        <v>31409</v>
      </c>
      <c r="Q7512" t="s">
        <v>31410</v>
      </c>
      <c r="V7512" t="s">
        <v>31411</v>
      </c>
      <c r="Y7512" t="s">
        <v>31412</v>
      </c>
    </row>
    <row r="7513" spans="1:25" x14ac:dyDescent="0.25">
      <c r="A7513" t="str">
        <f>"63033203633"</f>
        <v>63033203633</v>
      </c>
      <c r="B7513" t="s">
        <v>290</v>
      </c>
      <c r="C7513" t="s">
        <v>291</v>
      </c>
      <c r="D7513" t="s">
        <v>6102</v>
      </c>
      <c r="E7513">
        <v>424007</v>
      </c>
      <c r="F7513" t="s">
        <v>1</v>
      </c>
      <c r="G7513" t="s">
        <v>2</v>
      </c>
      <c r="H7513" t="s">
        <v>9471</v>
      </c>
      <c r="P7513" t="s">
        <v>330</v>
      </c>
      <c r="Y7513" t="s">
        <v>31413</v>
      </c>
    </row>
    <row r="7514" spans="1:25" x14ac:dyDescent="0.25">
      <c r="A7514" t="str">
        <f>"63052455839"</f>
        <v>63052455839</v>
      </c>
      <c r="B7514" t="s">
        <v>4084</v>
      </c>
      <c r="C7514" t="s">
        <v>28282</v>
      </c>
      <c r="D7514" t="s">
        <v>31414</v>
      </c>
      <c r="E7514">
        <v>424001</v>
      </c>
      <c r="F7514" t="s">
        <v>1</v>
      </c>
      <c r="G7514" t="s">
        <v>2</v>
      </c>
      <c r="H7514" t="s">
        <v>31415</v>
      </c>
      <c r="Y7514" t="s">
        <v>31416</v>
      </c>
    </row>
    <row r="7515" spans="1:25" x14ac:dyDescent="0.25">
      <c r="A7515" t="str">
        <f>"63052771431"</f>
        <v>63052771431</v>
      </c>
      <c r="B7515" t="s">
        <v>290</v>
      </c>
      <c r="C7515" t="s">
        <v>290</v>
      </c>
      <c r="D7515" t="s">
        <v>19274</v>
      </c>
      <c r="E7515">
        <v>424032</v>
      </c>
      <c r="F7515" t="s">
        <v>1</v>
      </c>
      <c r="G7515" t="s">
        <v>2</v>
      </c>
      <c r="H7515" t="s">
        <v>31417</v>
      </c>
      <c r="I7515" t="s">
        <v>31418</v>
      </c>
      <c r="L7515" t="s">
        <v>31419</v>
      </c>
      <c r="M7515" t="s">
        <v>31420</v>
      </c>
      <c r="P7515" t="s">
        <v>21363</v>
      </c>
      <c r="Q7515" t="s">
        <v>31421</v>
      </c>
      <c r="V7515" t="s">
        <v>31422</v>
      </c>
      <c r="Y7515" t="s">
        <v>31423</v>
      </c>
    </row>
    <row r="7516" spans="1:25" x14ac:dyDescent="0.25">
      <c r="A7516" t="str">
        <f>"63068280964"</f>
        <v>63068280964</v>
      </c>
      <c r="B7516" t="s">
        <v>1573</v>
      </c>
      <c r="C7516" t="s">
        <v>1574</v>
      </c>
      <c r="D7516" t="s">
        <v>28264</v>
      </c>
      <c r="E7516">
        <v>424038</v>
      </c>
      <c r="F7516" t="s">
        <v>1</v>
      </c>
      <c r="G7516" t="s">
        <v>2</v>
      </c>
      <c r="H7516" t="s">
        <v>465</v>
      </c>
      <c r="L7516" t="s">
        <v>24336</v>
      </c>
      <c r="Q7516" t="s">
        <v>24337</v>
      </c>
      <c r="Y7516" t="s">
        <v>476</v>
      </c>
    </row>
    <row r="7517" spans="1:25" x14ac:dyDescent="0.25">
      <c r="A7517" t="str">
        <f>"63107583473"</f>
        <v>63107583473</v>
      </c>
      <c r="B7517" t="s">
        <v>3200</v>
      </c>
      <c r="C7517" t="s">
        <v>18948</v>
      </c>
      <c r="D7517" t="s">
        <v>31424</v>
      </c>
      <c r="E7517">
        <v>424000</v>
      </c>
      <c r="F7517" t="s">
        <v>1</v>
      </c>
      <c r="G7517" t="s">
        <v>2</v>
      </c>
      <c r="H7517" t="s">
        <v>1473</v>
      </c>
      <c r="P7517" t="s">
        <v>941</v>
      </c>
      <c r="Y7517" t="s">
        <v>4067</v>
      </c>
    </row>
    <row r="7518" spans="1:25" x14ac:dyDescent="0.25">
      <c r="A7518" t="str">
        <f>"63173727829"</f>
        <v>63173727829</v>
      </c>
      <c r="B7518" t="s">
        <v>18</v>
      </c>
      <c r="C7518" t="s">
        <v>6222</v>
      </c>
      <c r="D7518" t="s">
        <v>31425</v>
      </c>
      <c r="E7518">
        <v>424005</v>
      </c>
      <c r="F7518" t="s">
        <v>1</v>
      </c>
      <c r="G7518" t="s">
        <v>2</v>
      </c>
      <c r="H7518" t="s">
        <v>3042</v>
      </c>
      <c r="Y7518" t="s">
        <v>16045</v>
      </c>
    </row>
    <row r="7519" spans="1:25" x14ac:dyDescent="0.25">
      <c r="A7519" t="str">
        <f>"63203718173"</f>
        <v>63203718173</v>
      </c>
      <c r="B7519" t="s">
        <v>379</v>
      </c>
      <c r="C7519" t="s">
        <v>766</v>
      </c>
      <c r="D7519" t="s">
        <v>21867</v>
      </c>
      <c r="E7519">
        <v>424038</v>
      </c>
      <c r="F7519" t="s">
        <v>1</v>
      </c>
      <c r="G7519" t="s">
        <v>2</v>
      </c>
      <c r="H7519" t="s">
        <v>6247</v>
      </c>
      <c r="L7519" t="s">
        <v>31426</v>
      </c>
      <c r="M7519" t="s">
        <v>21870</v>
      </c>
      <c r="Y7519" t="s">
        <v>11647</v>
      </c>
    </row>
    <row r="7520" spans="1:25" x14ac:dyDescent="0.25">
      <c r="A7520" t="str">
        <f>"63207913668"</f>
        <v>63207913668</v>
      </c>
      <c r="B7520" t="s">
        <v>2601</v>
      </c>
      <c r="C7520" t="s">
        <v>5375</v>
      </c>
      <c r="D7520" t="s">
        <v>26709</v>
      </c>
      <c r="F7520" t="s">
        <v>1</v>
      </c>
      <c r="G7520" t="s">
        <v>2</v>
      </c>
      <c r="H7520" t="s">
        <v>31427</v>
      </c>
      <c r="I7520" t="s">
        <v>26711</v>
      </c>
      <c r="P7520" t="s">
        <v>31428</v>
      </c>
      <c r="Y7520" t="s">
        <v>31429</v>
      </c>
    </row>
    <row r="7521" spans="1:25" x14ac:dyDescent="0.25">
      <c r="A7521" t="str">
        <f>"63237645977"</f>
        <v>63237645977</v>
      </c>
      <c r="B7521" t="s">
        <v>80</v>
      </c>
      <c r="C7521" t="s">
        <v>3295</v>
      </c>
      <c r="D7521" t="s">
        <v>31430</v>
      </c>
      <c r="E7521">
        <v>424002</v>
      </c>
      <c r="F7521" t="s">
        <v>1</v>
      </c>
      <c r="G7521" t="s">
        <v>2</v>
      </c>
      <c r="H7521" t="s">
        <v>2193</v>
      </c>
      <c r="J7521" t="s">
        <v>31431</v>
      </c>
      <c r="M7521" t="s">
        <v>31432</v>
      </c>
      <c r="Q7521" t="s">
        <v>31433</v>
      </c>
      <c r="Y7521" t="s">
        <v>2196</v>
      </c>
    </row>
    <row r="7522" spans="1:25" x14ac:dyDescent="0.25">
      <c r="A7522" t="str">
        <f>"63262125980"</f>
        <v>63262125980</v>
      </c>
      <c r="B7522" t="s">
        <v>32</v>
      </c>
      <c r="C7522" t="s">
        <v>40</v>
      </c>
      <c r="D7522" t="s">
        <v>31434</v>
      </c>
      <c r="E7522">
        <v>424007</v>
      </c>
      <c r="F7522" t="s">
        <v>1</v>
      </c>
      <c r="G7522" t="s">
        <v>2</v>
      </c>
      <c r="H7522" t="s">
        <v>17867</v>
      </c>
      <c r="P7522" t="s">
        <v>2050</v>
      </c>
      <c r="Y7522" t="s">
        <v>31435</v>
      </c>
    </row>
    <row r="7523" spans="1:25" x14ac:dyDescent="0.25">
      <c r="A7523" t="str">
        <f>"63268320157"</f>
        <v>63268320157</v>
      </c>
      <c r="B7523" t="s">
        <v>1343</v>
      </c>
      <c r="C7523" t="s">
        <v>13544</v>
      </c>
      <c r="D7523" t="s">
        <v>31094</v>
      </c>
      <c r="E7523">
        <v>424007</v>
      </c>
      <c r="F7523" t="s">
        <v>1</v>
      </c>
      <c r="G7523" t="s">
        <v>2</v>
      </c>
      <c r="H7523" t="s">
        <v>23983</v>
      </c>
      <c r="Y7523" t="s">
        <v>31436</v>
      </c>
    </row>
    <row r="7524" spans="1:25" x14ac:dyDescent="0.25">
      <c r="A7524" t="str">
        <f>"63302639346"</f>
        <v>63302639346</v>
      </c>
      <c r="B7524" t="s">
        <v>96</v>
      </c>
      <c r="C7524" t="s">
        <v>31438</v>
      </c>
      <c r="D7524" t="s">
        <v>31437</v>
      </c>
      <c r="E7524">
        <v>424006</v>
      </c>
      <c r="F7524" t="s">
        <v>1</v>
      </c>
      <c r="G7524" t="s">
        <v>2</v>
      </c>
      <c r="H7524" t="s">
        <v>15013</v>
      </c>
      <c r="Y7524" t="s">
        <v>29282</v>
      </c>
    </row>
    <row r="7525" spans="1:25" x14ac:dyDescent="0.25">
      <c r="A7525" t="str">
        <f>"63320973306"</f>
        <v>63320973306</v>
      </c>
      <c r="B7525" t="s">
        <v>1573</v>
      </c>
      <c r="C7525" t="s">
        <v>1817</v>
      </c>
      <c r="D7525" t="s">
        <v>1817</v>
      </c>
      <c r="F7525" t="s">
        <v>1</v>
      </c>
      <c r="G7525" t="s">
        <v>2</v>
      </c>
      <c r="H7525" t="s">
        <v>23969</v>
      </c>
      <c r="Y7525" t="s">
        <v>31439</v>
      </c>
    </row>
    <row r="7526" spans="1:25" x14ac:dyDescent="0.25">
      <c r="A7526" t="str">
        <f>"63329262692"</f>
        <v>63329262692</v>
      </c>
      <c r="B7526" t="s">
        <v>1758</v>
      </c>
      <c r="C7526" t="s">
        <v>1811</v>
      </c>
      <c r="D7526" t="s">
        <v>31440</v>
      </c>
      <c r="E7526">
        <v>424003</v>
      </c>
      <c r="F7526" t="s">
        <v>1</v>
      </c>
      <c r="G7526" t="s">
        <v>2</v>
      </c>
      <c r="H7526" t="s">
        <v>15497</v>
      </c>
      <c r="I7526" t="s">
        <v>31441</v>
      </c>
      <c r="P7526" t="s">
        <v>2738</v>
      </c>
      <c r="Y7526" t="s">
        <v>31442</v>
      </c>
    </row>
    <row r="7527" spans="1:25" x14ac:dyDescent="0.25">
      <c r="A7527" t="str">
        <f>"63353465846"</f>
        <v>63353465846</v>
      </c>
      <c r="B7527" t="s">
        <v>574</v>
      </c>
      <c r="C7527" t="s">
        <v>9802</v>
      </c>
      <c r="D7527" t="s">
        <v>21923</v>
      </c>
      <c r="E7527">
        <v>424006</v>
      </c>
      <c r="F7527" t="s">
        <v>1</v>
      </c>
      <c r="G7527" t="s">
        <v>2</v>
      </c>
      <c r="H7527" t="s">
        <v>2775</v>
      </c>
      <c r="I7527" t="s">
        <v>21924</v>
      </c>
      <c r="M7527" t="s">
        <v>21925</v>
      </c>
      <c r="P7527" t="s">
        <v>31443</v>
      </c>
      <c r="Y7527" t="s">
        <v>2779</v>
      </c>
    </row>
    <row r="7528" spans="1:25" x14ac:dyDescent="0.25">
      <c r="A7528" t="str">
        <f>"63362477390"</f>
        <v>63362477390</v>
      </c>
      <c r="B7528" t="s">
        <v>1315</v>
      </c>
      <c r="C7528" t="s">
        <v>31447</v>
      </c>
      <c r="D7528" t="s">
        <v>31444</v>
      </c>
      <c r="E7528">
        <v>424006</v>
      </c>
      <c r="F7528" t="s">
        <v>1</v>
      </c>
      <c r="G7528" t="s">
        <v>2</v>
      </c>
      <c r="H7528" t="s">
        <v>31445</v>
      </c>
      <c r="I7528" t="s">
        <v>31446</v>
      </c>
      <c r="P7528" t="s">
        <v>584</v>
      </c>
      <c r="Y7528" t="s">
        <v>31448</v>
      </c>
    </row>
    <row r="7529" spans="1:25" x14ac:dyDescent="0.25">
      <c r="A7529" t="str">
        <f>"63371951354"</f>
        <v>63371951354</v>
      </c>
      <c r="B7529" t="s">
        <v>243</v>
      </c>
      <c r="C7529" t="s">
        <v>2538</v>
      </c>
      <c r="D7529" t="s">
        <v>31449</v>
      </c>
      <c r="E7529">
        <v>424006</v>
      </c>
      <c r="F7529" t="s">
        <v>1</v>
      </c>
      <c r="G7529" t="s">
        <v>2</v>
      </c>
      <c r="H7529" t="s">
        <v>14949</v>
      </c>
      <c r="Y7529" t="s">
        <v>31450</v>
      </c>
    </row>
    <row r="7530" spans="1:25" x14ac:dyDescent="0.25">
      <c r="A7530" t="str">
        <f>"63401012204"</f>
        <v>63401012204</v>
      </c>
      <c r="B7530" t="s">
        <v>530</v>
      </c>
      <c r="C7530" t="s">
        <v>23950</v>
      </c>
      <c r="D7530" t="s">
        <v>23950</v>
      </c>
      <c r="E7530">
        <v>424032</v>
      </c>
      <c r="F7530" t="s">
        <v>1</v>
      </c>
      <c r="G7530" t="s">
        <v>2</v>
      </c>
      <c r="H7530" t="s">
        <v>31451</v>
      </c>
      <c r="Y7530" t="s">
        <v>31452</v>
      </c>
    </row>
    <row r="7531" spans="1:25" x14ac:dyDescent="0.25">
      <c r="A7531" t="str">
        <f>"63417267229"</f>
        <v>63417267229</v>
      </c>
      <c r="B7531" t="s">
        <v>18</v>
      </c>
      <c r="C7531" t="s">
        <v>31455</v>
      </c>
      <c r="D7531" t="s">
        <v>31453</v>
      </c>
      <c r="E7531">
        <v>424006</v>
      </c>
      <c r="F7531" t="s">
        <v>1</v>
      </c>
      <c r="G7531" t="s">
        <v>2</v>
      </c>
      <c r="H7531" t="s">
        <v>2825</v>
      </c>
      <c r="I7531" t="s">
        <v>31454</v>
      </c>
      <c r="P7531" t="s">
        <v>31456</v>
      </c>
      <c r="Y7531" t="s">
        <v>2832</v>
      </c>
    </row>
    <row r="7532" spans="1:25" x14ac:dyDescent="0.25">
      <c r="A7532" t="str">
        <f>"63425515327"</f>
        <v>63425515327</v>
      </c>
      <c r="B7532" t="s">
        <v>1152</v>
      </c>
      <c r="C7532" t="s">
        <v>1153</v>
      </c>
      <c r="D7532" t="s">
        <v>10280</v>
      </c>
      <c r="E7532">
        <v>424003</v>
      </c>
      <c r="F7532" t="s">
        <v>1</v>
      </c>
      <c r="G7532" t="s">
        <v>2</v>
      </c>
      <c r="H7532" t="s">
        <v>11258</v>
      </c>
      <c r="I7532" t="s">
        <v>22092</v>
      </c>
      <c r="M7532" t="s">
        <v>10284</v>
      </c>
      <c r="Q7532" t="s">
        <v>10286</v>
      </c>
      <c r="R7532" t="s">
        <v>10287</v>
      </c>
      <c r="S7532" t="s">
        <v>10288</v>
      </c>
      <c r="T7532" t="s">
        <v>10289</v>
      </c>
      <c r="U7532" t="s">
        <v>10290</v>
      </c>
      <c r="V7532" t="s">
        <v>10291</v>
      </c>
      <c r="Y7532" t="s">
        <v>31457</v>
      </c>
    </row>
    <row r="7533" spans="1:25" x14ac:dyDescent="0.25">
      <c r="A7533" t="str">
        <f>"63447995146"</f>
        <v>63447995146</v>
      </c>
      <c r="B7533" t="s">
        <v>930</v>
      </c>
      <c r="C7533" t="s">
        <v>31463</v>
      </c>
      <c r="D7533" t="s">
        <v>31458</v>
      </c>
      <c r="E7533">
        <v>424039</v>
      </c>
      <c r="F7533" t="s">
        <v>1</v>
      </c>
      <c r="G7533" t="s">
        <v>2</v>
      </c>
      <c r="H7533" t="s">
        <v>31459</v>
      </c>
      <c r="I7533" t="s">
        <v>31460</v>
      </c>
      <c r="J7533" t="s">
        <v>31461</v>
      </c>
      <c r="M7533" t="s">
        <v>31462</v>
      </c>
      <c r="P7533" t="s">
        <v>23664</v>
      </c>
      <c r="Y7533" t="s">
        <v>31464</v>
      </c>
    </row>
    <row r="7534" spans="1:25" x14ac:dyDescent="0.25">
      <c r="A7534" t="str">
        <f>"63493470268"</f>
        <v>63493470268</v>
      </c>
      <c r="B7534" t="s">
        <v>352</v>
      </c>
      <c r="C7534" t="s">
        <v>10193</v>
      </c>
      <c r="D7534" t="s">
        <v>31465</v>
      </c>
      <c r="E7534">
        <v>424002</v>
      </c>
      <c r="F7534" t="s">
        <v>1</v>
      </c>
      <c r="G7534" t="s">
        <v>2</v>
      </c>
      <c r="H7534" t="s">
        <v>5692</v>
      </c>
      <c r="I7534" t="s">
        <v>31466</v>
      </c>
      <c r="L7534" t="s">
        <v>31467</v>
      </c>
      <c r="M7534" t="s">
        <v>31468</v>
      </c>
      <c r="P7534" t="s">
        <v>2020</v>
      </c>
      <c r="Q7534" t="s">
        <v>31469</v>
      </c>
      <c r="Y7534" t="s">
        <v>11243</v>
      </c>
    </row>
    <row r="7535" spans="1:25" x14ac:dyDescent="0.25">
      <c r="A7535" t="str">
        <f>"63506605324"</f>
        <v>63506605324</v>
      </c>
      <c r="B7535" t="s">
        <v>1046</v>
      </c>
      <c r="C7535" t="s">
        <v>22946</v>
      </c>
      <c r="D7535" t="s">
        <v>31470</v>
      </c>
      <c r="E7535">
        <v>424002</v>
      </c>
      <c r="F7535" t="s">
        <v>1</v>
      </c>
      <c r="G7535" t="s">
        <v>2</v>
      </c>
      <c r="H7535" t="s">
        <v>31471</v>
      </c>
      <c r="Y7535" t="s">
        <v>31472</v>
      </c>
    </row>
    <row r="7536" spans="1:25" x14ac:dyDescent="0.25">
      <c r="A7536" t="str">
        <f>"63521623231"</f>
        <v>63521623231</v>
      </c>
      <c r="B7536" t="s">
        <v>1315</v>
      </c>
      <c r="C7536" t="s">
        <v>31477</v>
      </c>
      <c r="D7536" t="s">
        <v>31473</v>
      </c>
      <c r="E7536">
        <v>424026</v>
      </c>
      <c r="F7536" t="s">
        <v>1</v>
      </c>
      <c r="G7536" t="s">
        <v>2</v>
      </c>
      <c r="H7536" t="s">
        <v>4779</v>
      </c>
      <c r="I7536" t="s">
        <v>31474</v>
      </c>
      <c r="L7536" t="s">
        <v>31475</v>
      </c>
      <c r="M7536" t="s">
        <v>31476</v>
      </c>
      <c r="P7536" t="s">
        <v>390</v>
      </c>
      <c r="Q7536" t="s">
        <v>31478</v>
      </c>
      <c r="V7536" t="s">
        <v>31479</v>
      </c>
      <c r="Y7536" t="s">
        <v>4783</v>
      </c>
    </row>
    <row r="7537" spans="1:25" x14ac:dyDescent="0.25">
      <c r="A7537" t="str">
        <f>"63528835433"</f>
        <v>63528835433</v>
      </c>
      <c r="B7537" t="s">
        <v>530</v>
      </c>
      <c r="C7537" t="s">
        <v>23950</v>
      </c>
      <c r="D7537" t="s">
        <v>23950</v>
      </c>
      <c r="F7537" t="s">
        <v>1</v>
      </c>
      <c r="G7537" t="s">
        <v>2</v>
      </c>
      <c r="H7537" t="s">
        <v>5350</v>
      </c>
      <c r="Y7537" t="s">
        <v>31480</v>
      </c>
    </row>
    <row r="7538" spans="1:25" x14ac:dyDescent="0.25">
      <c r="A7538" t="str">
        <f>"63540040521"</f>
        <v>63540040521</v>
      </c>
      <c r="B7538" t="s">
        <v>32</v>
      </c>
      <c r="C7538" t="s">
        <v>5809</v>
      </c>
      <c r="D7538" t="s">
        <v>26354</v>
      </c>
      <c r="E7538">
        <v>424028</v>
      </c>
      <c r="F7538" t="s">
        <v>1</v>
      </c>
      <c r="G7538" t="s">
        <v>2</v>
      </c>
      <c r="H7538" t="s">
        <v>28340</v>
      </c>
      <c r="I7538" t="s">
        <v>31481</v>
      </c>
      <c r="L7538" t="s">
        <v>26356</v>
      </c>
      <c r="M7538" t="s">
        <v>26357</v>
      </c>
      <c r="P7538" t="s">
        <v>2738</v>
      </c>
      <c r="Q7538" t="s">
        <v>26358</v>
      </c>
      <c r="Y7538" t="s">
        <v>31482</v>
      </c>
    </row>
    <row r="7539" spans="1:25" x14ac:dyDescent="0.25">
      <c r="A7539" t="str">
        <f>"63553185065"</f>
        <v>63553185065</v>
      </c>
      <c r="B7539" t="s">
        <v>96</v>
      </c>
      <c r="C7539" t="s">
        <v>24441</v>
      </c>
      <c r="D7539" t="s">
        <v>31483</v>
      </c>
      <c r="E7539">
        <v>424020</v>
      </c>
      <c r="F7539" t="s">
        <v>1</v>
      </c>
      <c r="G7539" t="s">
        <v>2</v>
      </c>
      <c r="H7539" t="s">
        <v>23</v>
      </c>
      <c r="I7539" t="s">
        <v>31484</v>
      </c>
      <c r="Q7539" t="s">
        <v>31485</v>
      </c>
      <c r="Y7539" t="s">
        <v>31486</v>
      </c>
    </row>
    <row r="7540" spans="1:25" x14ac:dyDescent="0.25">
      <c r="A7540" t="str">
        <f>"63609731478"</f>
        <v>63609731478</v>
      </c>
      <c r="B7540" t="s">
        <v>160</v>
      </c>
      <c r="C7540" t="s">
        <v>2327</v>
      </c>
      <c r="D7540" t="s">
        <v>21469</v>
      </c>
      <c r="E7540">
        <v>424030</v>
      </c>
      <c r="F7540" t="s">
        <v>1</v>
      </c>
      <c r="G7540" t="s">
        <v>2</v>
      </c>
      <c r="H7540" t="s">
        <v>10204</v>
      </c>
      <c r="I7540" t="s">
        <v>31487</v>
      </c>
      <c r="J7540" t="s">
        <v>31488</v>
      </c>
      <c r="P7540" t="s">
        <v>20</v>
      </c>
      <c r="Y7540" t="s">
        <v>31489</v>
      </c>
    </row>
    <row r="7541" spans="1:25" x14ac:dyDescent="0.25">
      <c r="A7541" t="str">
        <f>"63616360668"</f>
        <v>63616360668</v>
      </c>
      <c r="B7541" t="s">
        <v>4084</v>
      </c>
      <c r="C7541" t="s">
        <v>7951</v>
      </c>
      <c r="D7541" t="s">
        <v>31490</v>
      </c>
      <c r="E7541">
        <v>424001</v>
      </c>
      <c r="F7541" t="s">
        <v>1</v>
      </c>
      <c r="G7541" t="s">
        <v>2</v>
      </c>
      <c r="H7541" t="s">
        <v>31491</v>
      </c>
      <c r="I7541" t="s">
        <v>31492</v>
      </c>
      <c r="L7541" t="s">
        <v>31493</v>
      </c>
      <c r="M7541" t="s">
        <v>31494</v>
      </c>
      <c r="P7541" t="s">
        <v>647</v>
      </c>
      <c r="Q7541" t="s">
        <v>31495</v>
      </c>
      <c r="Y7541" t="s">
        <v>31496</v>
      </c>
    </row>
    <row r="7542" spans="1:25" x14ac:dyDescent="0.25">
      <c r="A7542" t="str">
        <f>"63629848266"</f>
        <v>63629848266</v>
      </c>
      <c r="B7542" t="s">
        <v>290</v>
      </c>
      <c r="C7542" t="s">
        <v>290</v>
      </c>
      <c r="D7542" t="s">
        <v>31497</v>
      </c>
      <c r="E7542">
        <v>424008</v>
      </c>
      <c r="F7542" t="s">
        <v>1</v>
      </c>
      <c r="G7542" t="s">
        <v>2</v>
      </c>
      <c r="H7542" t="s">
        <v>3812</v>
      </c>
      <c r="Y7542" t="s">
        <v>31498</v>
      </c>
    </row>
    <row r="7543" spans="1:25" x14ac:dyDescent="0.25">
      <c r="A7543" t="str">
        <f>"63652851095"</f>
        <v>63652851095</v>
      </c>
      <c r="B7543" t="s">
        <v>1352</v>
      </c>
      <c r="C7543" t="s">
        <v>31502</v>
      </c>
      <c r="D7543" t="s">
        <v>31499</v>
      </c>
      <c r="E7543">
        <v>424004</v>
      </c>
      <c r="F7543" t="s">
        <v>1</v>
      </c>
      <c r="G7543" t="s">
        <v>2</v>
      </c>
      <c r="H7543" t="s">
        <v>186</v>
      </c>
      <c r="J7543" t="s">
        <v>31500</v>
      </c>
      <c r="L7543" t="s">
        <v>31501</v>
      </c>
      <c r="P7543" t="s">
        <v>152</v>
      </c>
      <c r="Y7543" t="s">
        <v>190</v>
      </c>
    </row>
    <row r="7544" spans="1:25" x14ac:dyDescent="0.25">
      <c r="A7544" t="str">
        <f>"63661469713"</f>
        <v>63661469713</v>
      </c>
      <c r="B7544" t="s">
        <v>204</v>
      </c>
      <c r="C7544" t="s">
        <v>23348</v>
      </c>
      <c r="D7544" t="s">
        <v>24759</v>
      </c>
      <c r="E7544">
        <v>424036</v>
      </c>
      <c r="F7544" t="s">
        <v>1</v>
      </c>
      <c r="G7544" t="s">
        <v>2</v>
      </c>
      <c r="H7544" t="s">
        <v>5294</v>
      </c>
      <c r="Y7544" t="s">
        <v>10139</v>
      </c>
    </row>
    <row r="7545" spans="1:25" x14ac:dyDescent="0.25">
      <c r="A7545" t="str">
        <f>"63683391294"</f>
        <v>63683391294</v>
      </c>
      <c r="B7545" t="s">
        <v>188</v>
      </c>
      <c r="C7545" t="s">
        <v>23982</v>
      </c>
      <c r="D7545" t="s">
        <v>23982</v>
      </c>
      <c r="E7545">
        <v>424038</v>
      </c>
      <c r="F7545" t="s">
        <v>1</v>
      </c>
      <c r="G7545" t="s">
        <v>2</v>
      </c>
      <c r="H7545" t="s">
        <v>6059</v>
      </c>
      <c r="Y7545" t="s">
        <v>31503</v>
      </c>
    </row>
    <row r="7546" spans="1:25" x14ac:dyDescent="0.25">
      <c r="A7546" t="str">
        <f>"63686403643"</f>
        <v>63686403643</v>
      </c>
      <c r="B7546" t="s">
        <v>1046</v>
      </c>
      <c r="C7546" t="s">
        <v>22946</v>
      </c>
      <c r="D7546" t="s">
        <v>22946</v>
      </c>
      <c r="E7546">
        <v>424006</v>
      </c>
      <c r="F7546" t="s">
        <v>1</v>
      </c>
      <c r="G7546" t="s">
        <v>2</v>
      </c>
      <c r="H7546" t="s">
        <v>10247</v>
      </c>
      <c r="Y7546" t="s">
        <v>31504</v>
      </c>
    </row>
    <row r="7547" spans="1:25" x14ac:dyDescent="0.25">
      <c r="A7547" t="str">
        <f>"63716154027"</f>
        <v>63716154027</v>
      </c>
      <c r="B7547" t="s">
        <v>18</v>
      </c>
      <c r="C7547" t="s">
        <v>31509</v>
      </c>
      <c r="D7547" t="s">
        <v>31505</v>
      </c>
      <c r="F7547" t="s">
        <v>1</v>
      </c>
      <c r="G7547" t="s">
        <v>2</v>
      </c>
      <c r="H7547" t="s">
        <v>23274</v>
      </c>
      <c r="I7547" t="s">
        <v>31506</v>
      </c>
      <c r="J7547" t="s">
        <v>31507</v>
      </c>
      <c r="L7547" t="s">
        <v>597</v>
      </c>
      <c r="M7547" t="s">
        <v>31508</v>
      </c>
      <c r="P7547" t="s">
        <v>3670</v>
      </c>
      <c r="Y7547" t="s">
        <v>23279</v>
      </c>
    </row>
    <row r="7548" spans="1:25" x14ac:dyDescent="0.25">
      <c r="A7548" t="str">
        <f>"63717362686"</f>
        <v>63717362686</v>
      </c>
      <c r="B7548" t="s">
        <v>1323</v>
      </c>
      <c r="C7548" t="s">
        <v>1324</v>
      </c>
      <c r="D7548" t="s">
        <v>31510</v>
      </c>
      <c r="E7548">
        <v>424006</v>
      </c>
      <c r="F7548" t="s">
        <v>1</v>
      </c>
      <c r="G7548" t="s">
        <v>2</v>
      </c>
      <c r="H7548" t="s">
        <v>2441</v>
      </c>
      <c r="I7548" t="s">
        <v>31511</v>
      </c>
      <c r="Y7548" t="s">
        <v>2447</v>
      </c>
    </row>
    <row r="7549" spans="1:25" x14ac:dyDescent="0.25">
      <c r="A7549" t="str">
        <f>"63744406000"</f>
        <v>63744406000</v>
      </c>
      <c r="B7549" t="s">
        <v>18</v>
      </c>
      <c r="C7549" t="s">
        <v>31516</v>
      </c>
      <c r="D7549" t="s">
        <v>31512</v>
      </c>
      <c r="E7549">
        <v>424016</v>
      </c>
      <c r="F7549" t="s">
        <v>1</v>
      </c>
      <c r="G7549" t="s">
        <v>2</v>
      </c>
      <c r="H7549" t="s">
        <v>2231</v>
      </c>
      <c r="I7549" t="s">
        <v>31513</v>
      </c>
      <c r="L7549" t="s">
        <v>31514</v>
      </c>
      <c r="M7549" t="s">
        <v>31515</v>
      </c>
      <c r="P7549" t="s">
        <v>20</v>
      </c>
      <c r="Y7549" t="s">
        <v>2233</v>
      </c>
    </row>
    <row r="7550" spans="1:25" x14ac:dyDescent="0.25">
      <c r="A7550" t="str">
        <f>"63783996981"</f>
        <v>63783996981</v>
      </c>
      <c r="B7550" t="s">
        <v>430</v>
      </c>
      <c r="C7550" t="s">
        <v>612</v>
      </c>
      <c r="D7550" t="s">
        <v>10135</v>
      </c>
      <c r="E7550">
        <v>424031</v>
      </c>
      <c r="F7550" t="s">
        <v>1</v>
      </c>
      <c r="G7550" t="s">
        <v>2</v>
      </c>
      <c r="H7550" t="s">
        <v>16588</v>
      </c>
      <c r="J7550" t="s">
        <v>31517</v>
      </c>
      <c r="P7550" t="s">
        <v>60</v>
      </c>
      <c r="Y7550" t="s">
        <v>31518</v>
      </c>
    </row>
    <row r="7551" spans="1:25" x14ac:dyDescent="0.25">
      <c r="A7551" t="str">
        <f>"63889522487"</f>
        <v>63889522487</v>
      </c>
      <c r="B7551" t="s">
        <v>456</v>
      </c>
      <c r="C7551" t="s">
        <v>2773</v>
      </c>
      <c r="D7551" t="s">
        <v>31519</v>
      </c>
      <c r="E7551">
        <v>424007</v>
      </c>
      <c r="F7551" t="s">
        <v>1</v>
      </c>
      <c r="G7551" t="s">
        <v>2</v>
      </c>
      <c r="H7551" t="s">
        <v>31520</v>
      </c>
      <c r="Y7551" t="s">
        <v>31521</v>
      </c>
    </row>
    <row r="7552" spans="1:25" x14ac:dyDescent="0.25">
      <c r="A7552" t="str">
        <f>"63899245681"</f>
        <v>63899245681</v>
      </c>
      <c r="B7552" t="s">
        <v>1573</v>
      </c>
      <c r="C7552" t="s">
        <v>31523</v>
      </c>
      <c r="D7552" t="s">
        <v>31522</v>
      </c>
      <c r="E7552">
        <v>424028</v>
      </c>
      <c r="F7552" t="s">
        <v>1</v>
      </c>
      <c r="G7552" t="s">
        <v>2</v>
      </c>
      <c r="H7552" t="s">
        <v>7204</v>
      </c>
      <c r="Y7552" t="s">
        <v>31524</v>
      </c>
    </row>
    <row r="7553" spans="1:25" x14ac:dyDescent="0.25">
      <c r="A7553" t="str">
        <f>"63899561622"</f>
        <v>63899561622</v>
      </c>
      <c r="B7553" t="s">
        <v>640</v>
      </c>
      <c r="C7553" t="s">
        <v>663</v>
      </c>
      <c r="D7553" t="s">
        <v>31525</v>
      </c>
      <c r="E7553">
        <v>424031</v>
      </c>
      <c r="F7553" t="s">
        <v>1</v>
      </c>
      <c r="G7553" t="s">
        <v>2</v>
      </c>
      <c r="H7553" t="s">
        <v>2353</v>
      </c>
      <c r="Y7553" t="s">
        <v>2356</v>
      </c>
    </row>
    <row r="7554" spans="1:25" x14ac:dyDescent="0.25">
      <c r="A7554" t="str">
        <f>"63908709633"</f>
        <v>63908709633</v>
      </c>
      <c r="B7554" t="s">
        <v>1152</v>
      </c>
      <c r="C7554" t="s">
        <v>8523</v>
      </c>
      <c r="D7554" t="s">
        <v>23021</v>
      </c>
      <c r="E7554">
        <v>424028</v>
      </c>
      <c r="F7554" t="s">
        <v>1</v>
      </c>
      <c r="G7554" t="s">
        <v>2</v>
      </c>
      <c r="H7554" t="s">
        <v>20095</v>
      </c>
      <c r="J7554" t="s">
        <v>31526</v>
      </c>
      <c r="P7554" t="s">
        <v>330</v>
      </c>
      <c r="Y7554" t="s">
        <v>20097</v>
      </c>
    </row>
    <row r="7555" spans="1:25" x14ac:dyDescent="0.25">
      <c r="A7555" t="str">
        <f>"63910451382"</f>
        <v>63910451382</v>
      </c>
      <c r="B7555" t="s">
        <v>397</v>
      </c>
      <c r="C7555" t="s">
        <v>31529</v>
      </c>
      <c r="D7555" t="s">
        <v>31527</v>
      </c>
      <c r="F7555" t="s">
        <v>1</v>
      </c>
      <c r="G7555" t="s">
        <v>2</v>
      </c>
      <c r="H7555" t="s">
        <v>31528</v>
      </c>
      <c r="J7555" t="s">
        <v>25404</v>
      </c>
      <c r="P7555" t="s">
        <v>31530</v>
      </c>
      <c r="Y7555" t="s">
        <v>31531</v>
      </c>
    </row>
    <row r="7556" spans="1:25" x14ac:dyDescent="0.25">
      <c r="A7556" t="str">
        <f>"63925436026"</f>
        <v>63925436026</v>
      </c>
      <c r="B7556" t="s">
        <v>379</v>
      </c>
      <c r="C7556" t="s">
        <v>766</v>
      </c>
      <c r="D7556" t="s">
        <v>31532</v>
      </c>
      <c r="F7556" t="s">
        <v>1</v>
      </c>
      <c r="G7556" t="s">
        <v>2</v>
      </c>
      <c r="H7556" t="s">
        <v>31533</v>
      </c>
      <c r="I7556" t="s">
        <v>31534</v>
      </c>
      <c r="P7556" t="s">
        <v>1420</v>
      </c>
      <c r="Y7556" t="s">
        <v>31535</v>
      </c>
    </row>
    <row r="7557" spans="1:25" x14ac:dyDescent="0.25">
      <c r="A7557" t="str">
        <f>"63927035930"</f>
        <v>63927035930</v>
      </c>
      <c r="B7557" t="s">
        <v>188</v>
      </c>
      <c r="C7557" t="s">
        <v>24568</v>
      </c>
      <c r="D7557" t="s">
        <v>24568</v>
      </c>
      <c r="E7557">
        <v>424040</v>
      </c>
      <c r="F7557" t="s">
        <v>1</v>
      </c>
      <c r="G7557" t="s">
        <v>2</v>
      </c>
      <c r="H7557" t="s">
        <v>21033</v>
      </c>
      <c r="Y7557" t="s">
        <v>31536</v>
      </c>
    </row>
    <row r="7558" spans="1:25" x14ac:dyDescent="0.25">
      <c r="A7558" t="str">
        <f>"63941583633"</f>
        <v>63941583633</v>
      </c>
      <c r="B7558" t="s">
        <v>5573</v>
      </c>
      <c r="C7558" t="s">
        <v>21453</v>
      </c>
      <c r="D7558" t="s">
        <v>31537</v>
      </c>
      <c r="F7558" t="s">
        <v>1</v>
      </c>
      <c r="G7558" t="s">
        <v>2</v>
      </c>
      <c r="H7558" t="s">
        <v>26459</v>
      </c>
      <c r="Y7558" t="s">
        <v>26463</v>
      </c>
    </row>
    <row r="7559" spans="1:25" x14ac:dyDescent="0.25">
      <c r="A7559" t="str">
        <f>"64002618119"</f>
        <v>64002618119</v>
      </c>
      <c r="B7559" t="s">
        <v>117</v>
      </c>
      <c r="C7559" t="s">
        <v>118</v>
      </c>
      <c r="D7559" t="s">
        <v>31538</v>
      </c>
      <c r="F7559" t="s">
        <v>1</v>
      </c>
      <c r="G7559" t="s">
        <v>2</v>
      </c>
      <c r="H7559" t="s">
        <v>7547</v>
      </c>
      <c r="Y7559" t="s">
        <v>31539</v>
      </c>
    </row>
    <row r="7560" spans="1:25" x14ac:dyDescent="0.25">
      <c r="A7560" t="str">
        <f>"64008018192"</f>
        <v>64008018192</v>
      </c>
      <c r="B7560" t="s">
        <v>888</v>
      </c>
      <c r="C7560" t="s">
        <v>31543</v>
      </c>
      <c r="D7560" t="s">
        <v>31540</v>
      </c>
      <c r="E7560">
        <v>424033</v>
      </c>
      <c r="F7560" t="s">
        <v>1</v>
      </c>
      <c r="G7560" t="s">
        <v>2</v>
      </c>
      <c r="H7560" t="s">
        <v>4225</v>
      </c>
      <c r="J7560" t="s">
        <v>31541</v>
      </c>
      <c r="M7560" t="s">
        <v>31542</v>
      </c>
      <c r="P7560" t="s">
        <v>1760</v>
      </c>
      <c r="V7560" t="s">
        <v>31544</v>
      </c>
      <c r="Y7560" t="s">
        <v>31545</v>
      </c>
    </row>
    <row r="7561" spans="1:25" x14ac:dyDescent="0.25">
      <c r="A7561" t="str">
        <f>"64058707662"</f>
        <v>64058707662</v>
      </c>
      <c r="B7561" t="s">
        <v>930</v>
      </c>
      <c r="C7561" t="s">
        <v>1096</v>
      </c>
      <c r="D7561" t="s">
        <v>1094</v>
      </c>
      <c r="E7561">
        <v>424016</v>
      </c>
      <c r="F7561" t="s">
        <v>1</v>
      </c>
      <c r="G7561" t="s">
        <v>2</v>
      </c>
      <c r="H7561" t="s">
        <v>31546</v>
      </c>
      <c r="I7561" t="s">
        <v>31547</v>
      </c>
      <c r="J7561" t="s">
        <v>31548</v>
      </c>
      <c r="P7561" t="s">
        <v>2738</v>
      </c>
      <c r="Y7561" t="s">
        <v>31549</v>
      </c>
    </row>
    <row r="7562" spans="1:25" x14ac:dyDescent="0.25">
      <c r="A7562" t="str">
        <f>"64083488985"</f>
        <v>64083488985</v>
      </c>
      <c r="B7562" t="s">
        <v>12698</v>
      </c>
      <c r="C7562" t="s">
        <v>31555</v>
      </c>
      <c r="D7562" t="s">
        <v>31550</v>
      </c>
      <c r="E7562">
        <v>424019</v>
      </c>
      <c r="F7562" t="s">
        <v>1</v>
      </c>
      <c r="G7562" t="s">
        <v>2</v>
      </c>
      <c r="H7562" t="s">
        <v>15506</v>
      </c>
      <c r="I7562" t="s">
        <v>31551</v>
      </c>
      <c r="J7562" t="s">
        <v>31552</v>
      </c>
      <c r="L7562" t="s">
        <v>31553</v>
      </c>
      <c r="M7562" t="s">
        <v>31554</v>
      </c>
      <c r="P7562" t="s">
        <v>16184</v>
      </c>
      <c r="V7562" t="s">
        <v>31556</v>
      </c>
      <c r="Y7562" t="s">
        <v>31557</v>
      </c>
    </row>
    <row r="7563" spans="1:25" x14ac:dyDescent="0.25">
      <c r="A7563" t="str">
        <f>"64112198226"</f>
        <v>64112198226</v>
      </c>
      <c r="B7563" t="s">
        <v>352</v>
      </c>
      <c r="C7563" t="s">
        <v>31560</v>
      </c>
      <c r="D7563" t="s">
        <v>31558</v>
      </c>
      <c r="E7563">
        <v>424031</v>
      </c>
      <c r="F7563" t="s">
        <v>1</v>
      </c>
      <c r="G7563" t="s">
        <v>2</v>
      </c>
      <c r="H7563" t="s">
        <v>239</v>
      </c>
      <c r="J7563" t="s">
        <v>31559</v>
      </c>
      <c r="Y7563" t="s">
        <v>246</v>
      </c>
    </row>
    <row r="7564" spans="1:25" x14ac:dyDescent="0.25">
      <c r="A7564" t="str">
        <f>"64146688202"</f>
        <v>64146688202</v>
      </c>
      <c r="B7564" t="s">
        <v>803</v>
      </c>
      <c r="C7564" t="s">
        <v>4941</v>
      </c>
      <c r="D7564" t="s">
        <v>31561</v>
      </c>
      <c r="E7564">
        <v>424002</v>
      </c>
      <c r="F7564" t="s">
        <v>1</v>
      </c>
      <c r="G7564" t="s">
        <v>2</v>
      </c>
      <c r="H7564" t="s">
        <v>6502</v>
      </c>
      <c r="J7564" t="s">
        <v>31562</v>
      </c>
      <c r="P7564" t="s">
        <v>27</v>
      </c>
      <c r="Y7564" t="s">
        <v>31563</v>
      </c>
    </row>
    <row r="7565" spans="1:25" x14ac:dyDescent="0.25">
      <c r="A7565" t="str">
        <f>"64177385697"</f>
        <v>64177385697</v>
      </c>
      <c r="B7565" t="s">
        <v>574</v>
      </c>
      <c r="C7565" t="s">
        <v>646</v>
      </c>
      <c r="D7565" t="s">
        <v>6102</v>
      </c>
      <c r="E7565">
        <v>424007</v>
      </c>
      <c r="F7565" t="s">
        <v>1</v>
      </c>
      <c r="G7565" t="s">
        <v>2</v>
      </c>
      <c r="H7565" t="s">
        <v>9471</v>
      </c>
      <c r="Y7565" t="s">
        <v>31564</v>
      </c>
    </row>
    <row r="7566" spans="1:25" x14ac:dyDescent="0.25">
      <c r="A7566" t="str">
        <f>"64179070003"</f>
        <v>64179070003</v>
      </c>
      <c r="B7566" t="s">
        <v>1262</v>
      </c>
      <c r="C7566" t="s">
        <v>31569</v>
      </c>
      <c r="D7566" t="s">
        <v>31565</v>
      </c>
      <c r="E7566">
        <v>424000</v>
      </c>
      <c r="F7566" t="s">
        <v>1</v>
      </c>
      <c r="G7566" t="s">
        <v>2</v>
      </c>
      <c r="H7566" t="s">
        <v>2193</v>
      </c>
      <c r="J7566" t="s">
        <v>31566</v>
      </c>
      <c r="L7566" t="s">
        <v>31567</v>
      </c>
      <c r="M7566" t="s">
        <v>31568</v>
      </c>
      <c r="P7566" t="s">
        <v>31570</v>
      </c>
      <c r="Q7566" t="s">
        <v>31571</v>
      </c>
      <c r="Y7566" t="s">
        <v>2196</v>
      </c>
    </row>
    <row r="7567" spans="1:25" x14ac:dyDescent="0.25">
      <c r="A7567" t="str">
        <f>"64195585282"</f>
        <v>64195585282</v>
      </c>
      <c r="B7567" t="s">
        <v>930</v>
      </c>
      <c r="C7567" t="s">
        <v>22796</v>
      </c>
      <c r="D7567" t="s">
        <v>31572</v>
      </c>
      <c r="E7567">
        <v>424037</v>
      </c>
      <c r="F7567" t="s">
        <v>1</v>
      </c>
      <c r="G7567" t="s">
        <v>2</v>
      </c>
      <c r="H7567" t="s">
        <v>31573</v>
      </c>
      <c r="I7567" t="s">
        <v>31574</v>
      </c>
      <c r="J7567" t="s">
        <v>31575</v>
      </c>
      <c r="P7567" t="s">
        <v>3814</v>
      </c>
      <c r="Y7567" t="s">
        <v>31576</v>
      </c>
    </row>
    <row r="7568" spans="1:25" x14ac:dyDescent="0.25">
      <c r="A7568" t="str">
        <f>"64209204536"</f>
        <v>64209204536</v>
      </c>
      <c r="B7568" t="s">
        <v>574</v>
      </c>
      <c r="C7568" t="s">
        <v>26901</v>
      </c>
      <c r="D7568" t="s">
        <v>8187</v>
      </c>
      <c r="E7568">
        <v>424020</v>
      </c>
      <c r="F7568" t="s">
        <v>1</v>
      </c>
      <c r="G7568" t="s">
        <v>2</v>
      </c>
      <c r="H7568" t="s">
        <v>3</v>
      </c>
      <c r="I7568" t="s">
        <v>8188</v>
      </c>
      <c r="L7568" t="s">
        <v>8189</v>
      </c>
      <c r="M7568" t="s">
        <v>31577</v>
      </c>
      <c r="P7568" t="s">
        <v>1505</v>
      </c>
      <c r="Q7568" t="s">
        <v>8192</v>
      </c>
      <c r="Y7568" t="s">
        <v>31578</v>
      </c>
    </row>
    <row r="7569" spans="1:25" x14ac:dyDescent="0.25">
      <c r="A7569" t="str">
        <f>"64213169420"</f>
        <v>64213169420</v>
      </c>
      <c r="B7569" t="s">
        <v>110</v>
      </c>
      <c r="C7569" t="s">
        <v>5755</v>
      </c>
      <c r="D7569" t="s">
        <v>31579</v>
      </c>
      <c r="E7569">
        <v>424031</v>
      </c>
      <c r="F7569" t="s">
        <v>1</v>
      </c>
      <c r="G7569" t="s">
        <v>2</v>
      </c>
      <c r="H7569" t="s">
        <v>1524</v>
      </c>
      <c r="I7569" t="s">
        <v>31580</v>
      </c>
      <c r="Y7569" t="s">
        <v>5358</v>
      </c>
    </row>
    <row r="7570" spans="1:25" x14ac:dyDescent="0.25">
      <c r="A7570" t="str">
        <f>"64213957563"</f>
        <v>64213957563</v>
      </c>
      <c r="B7570" t="s">
        <v>25</v>
      </c>
      <c r="C7570" t="s">
        <v>24938</v>
      </c>
      <c r="D7570" t="s">
        <v>31581</v>
      </c>
      <c r="E7570">
        <v>424039</v>
      </c>
      <c r="F7570" t="s">
        <v>1</v>
      </c>
      <c r="G7570" t="s">
        <v>2</v>
      </c>
      <c r="H7570" t="s">
        <v>31582</v>
      </c>
      <c r="I7570" t="s">
        <v>31583</v>
      </c>
      <c r="M7570" t="s">
        <v>31584</v>
      </c>
      <c r="Y7570" t="s">
        <v>31585</v>
      </c>
    </row>
    <row r="7571" spans="1:25" x14ac:dyDescent="0.25">
      <c r="A7571" t="str">
        <f>"64215865342"</f>
        <v>64215865342</v>
      </c>
      <c r="B7571" t="s">
        <v>703</v>
      </c>
      <c r="C7571" t="s">
        <v>31590</v>
      </c>
      <c r="D7571" t="s">
        <v>31586</v>
      </c>
      <c r="E7571">
        <v>424006</v>
      </c>
      <c r="F7571" t="s">
        <v>1</v>
      </c>
      <c r="G7571" t="s">
        <v>2</v>
      </c>
      <c r="H7571" t="s">
        <v>8622</v>
      </c>
      <c r="I7571" t="s">
        <v>31587</v>
      </c>
      <c r="L7571" t="s">
        <v>31588</v>
      </c>
      <c r="M7571" t="s">
        <v>31589</v>
      </c>
      <c r="P7571" t="s">
        <v>4848</v>
      </c>
      <c r="Q7571" t="s">
        <v>31591</v>
      </c>
      <c r="R7571" t="s">
        <v>31592</v>
      </c>
      <c r="T7571" t="s">
        <v>31593</v>
      </c>
      <c r="V7571" t="s">
        <v>31594</v>
      </c>
      <c r="Y7571" t="s">
        <v>31595</v>
      </c>
    </row>
    <row r="7572" spans="1:25" x14ac:dyDescent="0.25">
      <c r="A7572" t="str">
        <f>"64227911179"</f>
        <v>64227911179</v>
      </c>
      <c r="B7572" t="s">
        <v>1493</v>
      </c>
      <c r="C7572" t="s">
        <v>25603</v>
      </c>
      <c r="D7572" t="s">
        <v>16347</v>
      </c>
      <c r="E7572">
        <v>424006</v>
      </c>
      <c r="F7572" t="s">
        <v>1</v>
      </c>
      <c r="G7572" t="s">
        <v>2</v>
      </c>
      <c r="H7572" t="s">
        <v>7984</v>
      </c>
      <c r="J7572" t="s">
        <v>25600</v>
      </c>
      <c r="L7572" t="s">
        <v>25601</v>
      </c>
      <c r="M7572" t="s">
        <v>25602</v>
      </c>
      <c r="P7572" t="s">
        <v>2457</v>
      </c>
      <c r="V7572" t="s">
        <v>25604</v>
      </c>
      <c r="Y7572" t="s">
        <v>28318</v>
      </c>
    </row>
    <row r="7573" spans="1:25" x14ac:dyDescent="0.25">
      <c r="A7573" t="str">
        <f>"64279692600"</f>
        <v>64279692600</v>
      </c>
      <c r="B7573" t="s">
        <v>2601</v>
      </c>
      <c r="C7573" t="s">
        <v>23216</v>
      </c>
      <c r="D7573" t="s">
        <v>31596</v>
      </c>
      <c r="E7573">
        <v>424005</v>
      </c>
      <c r="F7573" t="s">
        <v>1</v>
      </c>
      <c r="G7573" t="s">
        <v>2</v>
      </c>
      <c r="H7573" t="s">
        <v>1298</v>
      </c>
      <c r="Y7573" t="s">
        <v>1301</v>
      </c>
    </row>
    <row r="7574" spans="1:25" x14ac:dyDescent="0.25">
      <c r="A7574" t="str">
        <f>"64284992256"</f>
        <v>64284992256</v>
      </c>
      <c r="B7574" t="s">
        <v>1152</v>
      </c>
      <c r="C7574" t="s">
        <v>8523</v>
      </c>
      <c r="D7574" t="s">
        <v>31597</v>
      </c>
      <c r="E7574">
        <v>424006</v>
      </c>
      <c r="F7574" t="s">
        <v>1</v>
      </c>
      <c r="G7574" t="s">
        <v>2</v>
      </c>
      <c r="H7574" t="s">
        <v>1890</v>
      </c>
      <c r="J7574" t="s">
        <v>31598</v>
      </c>
      <c r="P7574" t="s">
        <v>27</v>
      </c>
      <c r="Y7574" t="s">
        <v>1893</v>
      </c>
    </row>
    <row r="7575" spans="1:25" x14ac:dyDescent="0.25">
      <c r="A7575" t="str">
        <f>"64293623079"</f>
        <v>64293623079</v>
      </c>
      <c r="B7575" t="s">
        <v>2104</v>
      </c>
      <c r="C7575" t="s">
        <v>13387</v>
      </c>
      <c r="D7575" t="s">
        <v>31599</v>
      </c>
      <c r="E7575">
        <v>424007</v>
      </c>
      <c r="F7575" t="s">
        <v>1</v>
      </c>
      <c r="G7575" t="s">
        <v>2</v>
      </c>
      <c r="H7575" t="s">
        <v>4411</v>
      </c>
      <c r="Y7575" t="s">
        <v>31600</v>
      </c>
    </row>
    <row r="7576" spans="1:25" x14ac:dyDescent="0.25">
      <c r="A7576" t="str">
        <f>"64364136028"</f>
        <v>64364136028</v>
      </c>
      <c r="B7576" t="s">
        <v>1046</v>
      </c>
      <c r="C7576" t="s">
        <v>27404</v>
      </c>
      <c r="D7576" t="s">
        <v>31601</v>
      </c>
      <c r="F7576" t="s">
        <v>1</v>
      </c>
      <c r="G7576" t="s">
        <v>2</v>
      </c>
      <c r="H7576" t="s">
        <v>27403</v>
      </c>
      <c r="Y7576" t="s">
        <v>31602</v>
      </c>
    </row>
    <row r="7577" spans="1:25" x14ac:dyDescent="0.25">
      <c r="A7577" t="str">
        <f>"64401079109"</f>
        <v>64401079109</v>
      </c>
      <c r="B7577" t="s">
        <v>32</v>
      </c>
      <c r="C7577" t="s">
        <v>2996</v>
      </c>
      <c r="D7577" t="s">
        <v>31603</v>
      </c>
      <c r="E7577">
        <v>424918</v>
      </c>
      <c r="F7577" t="s">
        <v>1</v>
      </c>
      <c r="G7577" t="s">
        <v>2</v>
      </c>
      <c r="H7577" t="s">
        <v>629</v>
      </c>
      <c r="J7577" t="s">
        <v>31604</v>
      </c>
      <c r="L7577" t="s">
        <v>31605</v>
      </c>
      <c r="M7577" t="s">
        <v>31606</v>
      </c>
      <c r="P7577" t="s">
        <v>31607</v>
      </c>
      <c r="V7577" t="s">
        <v>31608</v>
      </c>
      <c r="Y7577" t="s">
        <v>1744</v>
      </c>
    </row>
    <row r="7578" spans="1:25" x14ac:dyDescent="0.25">
      <c r="A7578" t="str">
        <f>"64445358305"</f>
        <v>64445358305</v>
      </c>
      <c r="B7578" t="s">
        <v>1544</v>
      </c>
      <c r="C7578" t="s">
        <v>13112</v>
      </c>
      <c r="D7578" t="s">
        <v>31609</v>
      </c>
      <c r="E7578">
        <v>424031</v>
      </c>
      <c r="F7578" t="s">
        <v>1</v>
      </c>
      <c r="G7578" t="s">
        <v>2</v>
      </c>
      <c r="H7578" t="s">
        <v>31610</v>
      </c>
      <c r="I7578" t="s">
        <v>31611</v>
      </c>
      <c r="J7578" t="s">
        <v>31612</v>
      </c>
      <c r="P7578" t="s">
        <v>1306</v>
      </c>
      <c r="Q7578" t="s">
        <v>31613</v>
      </c>
      <c r="T7578" t="s">
        <v>31614</v>
      </c>
      <c r="V7578" t="s">
        <v>31615</v>
      </c>
      <c r="Y7578" t="s">
        <v>31616</v>
      </c>
    </row>
    <row r="7579" spans="1:25" x14ac:dyDescent="0.25">
      <c r="A7579" t="str">
        <f>"64452751471"</f>
        <v>64452751471</v>
      </c>
      <c r="B7579" t="s">
        <v>117</v>
      </c>
      <c r="C7579" t="s">
        <v>118</v>
      </c>
      <c r="D7579" t="s">
        <v>31617</v>
      </c>
      <c r="F7579" t="s">
        <v>1</v>
      </c>
      <c r="G7579" t="s">
        <v>2</v>
      </c>
      <c r="H7579" t="s">
        <v>29910</v>
      </c>
      <c r="Y7579" t="s">
        <v>31618</v>
      </c>
    </row>
    <row r="7580" spans="1:25" x14ac:dyDescent="0.25">
      <c r="A7580" t="str">
        <f>"64476214601"</f>
        <v>64476214601</v>
      </c>
      <c r="B7580" t="s">
        <v>1352</v>
      </c>
      <c r="C7580" t="s">
        <v>1353</v>
      </c>
      <c r="D7580" t="s">
        <v>31619</v>
      </c>
      <c r="E7580">
        <v>424000</v>
      </c>
      <c r="F7580" t="s">
        <v>1</v>
      </c>
      <c r="G7580" t="s">
        <v>2</v>
      </c>
      <c r="H7580" t="s">
        <v>3421</v>
      </c>
      <c r="I7580" t="s">
        <v>31620</v>
      </c>
      <c r="P7580" t="s">
        <v>31621</v>
      </c>
      <c r="Q7580" t="s">
        <v>31622</v>
      </c>
      <c r="Y7580" t="s">
        <v>31623</v>
      </c>
    </row>
    <row r="7581" spans="1:25" x14ac:dyDescent="0.25">
      <c r="A7581" t="str">
        <f>"64520520243"</f>
        <v>64520520243</v>
      </c>
      <c r="B7581" t="s">
        <v>1222</v>
      </c>
      <c r="C7581" t="s">
        <v>31627</v>
      </c>
      <c r="D7581" t="s">
        <v>31624</v>
      </c>
      <c r="E7581">
        <v>424004</v>
      </c>
      <c r="F7581" t="s">
        <v>1</v>
      </c>
      <c r="G7581" t="s">
        <v>2</v>
      </c>
      <c r="H7581" t="s">
        <v>8326</v>
      </c>
      <c r="J7581" t="s">
        <v>31625</v>
      </c>
      <c r="L7581" t="s">
        <v>31626</v>
      </c>
      <c r="P7581" t="s">
        <v>27</v>
      </c>
      <c r="Q7581" t="s">
        <v>31628</v>
      </c>
      <c r="U7581" t="s">
        <v>31629</v>
      </c>
      <c r="Y7581" t="s">
        <v>8331</v>
      </c>
    </row>
    <row r="7582" spans="1:25" x14ac:dyDescent="0.25">
      <c r="A7582" t="str">
        <f>"64529492082"</f>
        <v>64529492082</v>
      </c>
      <c r="B7582" t="s">
        <v>1152</v>
      </c>
      <c r="C7582" t="s">
        <v>1153</v>
      </c>
      <c r="D7582" t="s">
        <v>10280</v>
      </c>
      <c r="E7582">
        <v>424036</v>
      </c>
      <c r="F7582" t="s">
        <v>1</v>
      </c>
      <c r="G7582" t="s">
        <v>2</v>
      </c>
      <c r="H7582" t="s">
        <v>31630</v>
      </c>
      <c r="I7582" t="s">
        <v>22092</v>
      </c>
      <c r="M7582" t="s">
        <v>10284</v>
      </c>
      <c r="Q7582" t="s">
        <v>10286</v>
      </c>
      <c r="R7582" t="s">
        <v>10287</v>
      </c>
      <c r="S7582" t="s">
        <v>10288</v>
      </c>
      <c r="T7582" t="s">
        <v>10289</v>
      </c>
      <c r="U7582" t="s">
        <v>10290</v>
      </c>
      <c r="V7582" t="s">
        <v>10291</v>
      </c>
      <c r="Y7582" t="s">
        <v>31631</v>
      </c>
    </row>
    <row r="7583" spans="1:25" x14ac:dyDescent="0.25">
      <c r="A7583" t="str">
        <f>"64550913261"</f>
        <v>64550913261</v>
      </c>
      <c r="B7583" t="s">
        <v>574</v>
      </c>
      <c r="C7583" t="s">
        <v>31634</v>
      </c>
      <c r="D7583" t="s">
        <v>31632</v>
      </c>
      <c r="E7583">
        <v>424037</v>
      </c>
      <c r="F7583" t="s">
        <v>1</v>
      </c>
      <c r="G7583" t="s">
        <v>2</v>
      </c>
      <c r="H7583" t="s">
        <v>31633</v>
      </c>
      <c r="P7583" t="s">
        <v>2050</v>
      </c>
      <c r="Y7583" t="s">
        <v>31635</v>
      </c>
    </row>
    <row r="7584" spans="1:25" x14ac:dyDescent="0.25">
      <c r="A7584" t="str">
        <f>"64557896186"</f>
        <v>64557896186</v>
      </c>
      <c r="B7584" t="s">
        <v>3008</v>
      </c>
      <c r="C7584" t="s">
        <v>31639</v>
      </c>
      <c r="D7584" t="s">
        <v>31636</v>
      </c>
      <c r="E7584">
        <v>424006</v>
      </c>
      <c r="F7584" t="s">
        <v>1</v>
      </c>
      <c r="G7584" t="s">
        <v>2</v>
      </c>
      <c r="H7584" t="s">
        <v>12208</v>
      </c>
      <c r="I7584" t="s">
        <v>31637</v>
      </c>
      <c r="L7584" t="s">
        <v>597</v>
      </c>
      <c r="M7584" t="s">
        <v>31638</v>
      </c>
      <c r="P7584" t="s">
        <v>280</v>
      </c>
      <c r="Y7584" t="s">
        <v>31640</v>
      </c>
    </row>
    <row r="7585" spans="1:25" x14ac:dyDescent="0.25">
      <c r="A7585" t="str">
        <f>"64592968915"</f>
        <v>64592968915</v>
      </c>
      <c r="B7585" t="s">
        <v>1573</v>
      </c>
      <c r="C7585" t="s">
        <v>31646</v>
      </c>
      <c r="D7585" t="s">
        <v>31641</v>
      </c>
      <c r="E7585">
        <v>424002</v>
      </c>
      <c r="F7585" t="s">
        <v>1</v>
      </c>
      <c r="G7585" t="s">
        <v>2</v>
      </c>
      <c r="H7585" t="s">
        <v>31642</v>
      </c>
      <c r="J7585" t="s">
        <v>31643</v>
      </c>
      <c r="L7585" t="s">
        <v>31644</v>
      </c>
      <c r="M7585" t="s">
        <v>31645</v>
      </c>
      <c r="P7585" t="s">
        <v>31647</v>
      </c>
      <c r="Q7585" t="s">
        <v>31648</v>
      </c>
      <c r="T7585" t="s">
        <v>31649</v>
      </c>
      <c r="Y7585" t="s">
        <v>31650</v>
      </c>
    </row>
    <row r="7586" spans="1:25" x14ac:dyDescent="0.25">
      <c r="A7586" t="str">
        <f>"64681966838"</f>
        <v>64681966838</v>
      </c>
      <c r="B7586" t="s">
        <v>687</v>
      </c>
      <c r="C7586" t="s">
        <v>31654</v>
      </c>
      <c r="D7586" t="s">
        <v>31651</v>
      </c>
      <c r="E7586">
        <v>424007</v>
      </c>
      <c r="F7586" t="s">
        <v>1</v>
      </c>
      <c r="G7586" t="s">
        <v>2</v>
      </c>
      <c r="H7586" t="s">
        <v>5647</v>
      </c>
      <c r="I7586" t="s">
        <v>21663</v>
      </c>
      <c r="J7586" t="s">
        <v>21664</v>
      </c>
      <c r="L7586" t="s">
        <v>31652</v>
      </c>
      <c r="M7586" t="s">
        <v>31653</v>
      </c>
      <c r="P7586" t="s">
        <v>330</v>
      </c>
      <c r="Y7586" t="s">
        <v>12500</v>
      </c>
    </row>
    <row r="7587" spans="1:25" x14ac:dyDescent="0.25">
      <c r="A7587" t="str">
        <f>"64708061030"</f>
        <v>64708061030</v>
      </c>
      <c r="B7587" t="s">
        <v>1475</v>
      </c>
      <c r="C7587" t="s">
        <v>1476</v>
      </c>
      <c r="D7587" t="s">
        <v>13014</v>
      </c>
      <c r="E7587">
        <v>424007</v>
      </c>
      <c r="F7587" t="s">
        <v>1</v>
      </c>
      <c r="G7587" t="s">
        <v>2</v>
      </c>
      <c r="H7587" t="s">
        <v>356</v>
      </c>
      <c r="P7587" t="s">
        <v>1404</v>
      </c>
      <c r="Y7587" t="s">
        <v>31655</v>
      </c>
    </row>
    <row r="7588" spans="1:25" x14ac:dyDescent="0.25">
      <c r="A7588" t="str">
        <f>"64722816286"</f>
        <v>64722816286</v>
      </c>
      <c r="B7588" t="s">
        <v>1046</v>
      </c>
      <c r="C7588" t="s">
        <v>22946</v>
      </c>
      <c r="D7588" t="s">
        <v>22946</v>
      </c>
      <c r="E7588">
        <v>424006</v>
      </c>
      <c r="F7588" t="s">
        <v>1</v>
      </c>
      <c r="G7588" t="s">
        <v>2</v>
      </c>
      <c r="H7588" t="s">
        <v>1124</v>
      </c>
      <c r="Y7588" t="s">
        <v>31656</v>
      </c>
    </row>
    <row r="7589" spans="1:25" x14ac:dyDescent="0.25">
      <c r="A7589" t="str">
        <f>"64728146459"</f>
        <v>64728146459</v>
      </c>
      <c r="B7589" t="s">
        <v>2104</v>
      </c>
      <c r="C7589" t="s">
        <v>13387</v>
      </c>
      <c r="D7589" t="s">
        <v>31657</v>
      </c>
      <c r="E7589">
        <v>424037</v>
      </c>
      <c r="F7589" t="s">
        <v>1</v>
      </c>
      <c r="G7589" t="s">
        <v>2</v>
      </c>
      <c r="H7589" t="s">
        <v>14956</v>
      </c>
      <c r="P7589" t="s">
        <v>31658</v>
      </c>
      <c r="Y7589" t="s">
        <v>31659</v>
      </c>
    </row>
    <row r="7590" spans="1:25" x14ac:dyDescent="0.25">
      <c r="A7590" t="str">
        <f>"64737149938"</f>
        <v>64737149938</v>
      </c>
      <c r="B7590" t="s">
        <v>1573</v>
      </c>
      <c r="C7590" t="s">
        <v>31661</v>
      </c>
      <c r="D7590" t="s">
        <v>1815</v>
      </c>
      <c r="E7590">
        <v>424008</v>
      </c>
      <c r="F7590" t="s">
        <v>1</v>
      </c>
      <c r="G7590" t="s">
        <v>2</v>
      </c>
      <c r="H7590" t="s">
        <v>10720</v>
      </c>
      <c r="J7590" t="s">
        <v>31660</v>
      </c>
      <c r="P7590" t="s">
        <v>15510</v>
      </c>
      <c r="Y7590" t="s">
        <v>31662</v>
      </c>
    </row>
    <row r="7591" spans="1:25" x14ac:dyDescent="0.25">
      <c r="A7591" t="str">
        <f>"64776520877"</f>
        <v>64776520877</v>
      </c>
      <c r="B7591" t="s">
        <v>519</v>
      </c>
      <c r="C7591" t="s">
        <v>31665</v>
      </c>
      <c r="D7591" t="s">
        <v>31663</v>
      </c>
      <c r="E7591">
        <v>424031</v>
      </c>
      <c r="F7591" t="s">
        <v>1</v>
      </c>
      <c r="G7591" t="s">
        <v>2</v>
      </c>
      <c r="H7591" t="s">
        <v>16588</v>
      </c>
      <c r="J7591" t="s">
        <v>31664</v>
      </c>
      <c r="P7591" t="s">
        <v>216</v>
      </c>
      <c r="Y7591" t="s">
        <v>31666</v>
      </c>
    </row>
    <row r="7592" spans="1:25" x14ac:dyDescent="0.25">
      <c r="A7592" t="str">
        <f>"64780587195"</f>
        <v>64780587195</v>
      </c>
      <c r="B7592" t="s">
        <v>2601</v>
      </c>
      <c r="C7592" t="s">
        <v>5375</v>
      </c>
      <c r="D7592" t="s">
        <v>26709</v>
      </c>
      <c r="E7592">
        <v>424007</v>
      </c>
      <c r="F7592" t="s">
        <v>1</v>
      </c>
      <c r="G7592" t="s">
        <v>2</v>
      </c>
      <c r="H7592" t="s">
        <v>5178</v>
      </c>
      <c r="I7592" t="s">
        <v>26711</v>
      </c>
      <c r="P7592" t="s">
        <v>2731</v>
      </c>
      <c r="Y7592" t="s">
        <v>26052</v>
      </c>
    </row>
    <row r="7593" spans="1:25" x14ac:dyDescent="0.25">
      <c r="A7593" t="str">
        <f>"64799624063"</f>
        <v>64799624063</v>
      </c>
      <c r="B7593" t="s">
        <v>3958</v>
      </c>
      <c r="C7593" t="s">
        <v>13978</v>
      </c>
      <c r="D7593" t="s">
        <v>31667</v>
      </c>
      <c r="F7593" t="s">
        <v>1</v>
      </c>
      <c r="G7593" t="s">
        <v>2</v>
      </c>
      <c r="H7593" t="s">
        <v>7547</v>
      </c>
      <c r="L7593" t="s">
        <v>31668</v>
      </c>
      <c r="Y7593" t="s">
        <v>31669</v>
      </c>
    </row>
    <row r="7594" spans="1:25" x14ac:dyDescent="0.25">
      <c r="A7594" t="str">
        <f>"64881344604"</f>
        <v>64881344604</v>
      </c>
      <c r="B7594" t="s">
        <v>574</v>
      </c>
      <c r="C7594" t="s">
        <v>646</v>
      </c>
      <c r="D7594" t="s">
        <v>31670</v>
      </c>
      <c r="E7594">
        <v>424004</v>
      </c>
      <c r="F7594" t="s">
        <v>1</v>
      </c>
      <c r="G7594" t="s">
        <v>2</v>
      </c>
      <c r="H7594" t="s">
        <v>17461</v>
      </c>
      <c r="I7594" t="s">
        <v>31671</v>
      </c>
      <c r="P7594" t="s">
        <v>4006</v>
      </c>
      <c r="Y7594" t="s">
        <v>20082</v>
      </c>
    </row>
    <row r="7595" spans="1:25" x14ac:dyDescent="0.25">
      <c r="A7595" t="str">
        <f>"64918614150"</f>
        <v>64918614150</v>
      </c>
      <c r="B7595" t="s">
        <v>25</v>
      </c>
      <c r="C7595" t="s">
        <v>31673</v>
      </c>
      <c r="D7595" t="s">
        <v>31672</v>
      </c>
      <c r="E7595">
        <v>424006</v>
      </c>
      <c r="F7595" t="s">
        <v>1</v>
      </c>
      <c r="G7595" t="s">
        <v>2</v>
      </c>
      <c r="H7595" t="s">
        <v>478</v>
      </c>
      <c r="Y7595" t="s">
        <v>926</v>
      </c>
    </row>
    <row r="7596" spans="1:25" x14ac:dyDescent="0.25">
      <c r="A7596" t="str">
        <f>"64943895986"</f>
        <v>64943895986</v>
      </c>
      <c r="B7596" t="s">
        <v>348</v>
      </c>
      <c r="C7596" t="s">
        <v>4366</v>
      </c>
      <c r="D7596" t="s">
        <v>31674</v>
      </c>
      <c r="E7596">
        <v>424918</v>
      </c>
      <c r="F7596" t="s">
        <v>1</v>
      </c>
      <c r="G7596" t="s">
        <v>2</v>
      </c>
      <c r="H7596" t="s">
        <v>629</v>
      </c>
      <c r="J7596" t="s">
        <v>31675</v>
      </c>
      <c r="P7596" t="s">
        <v>630</v>
      </c>
      <c r="Y7596" t="s">
        <v>1744</v>
      </c>
    </row>
    <row r="7597" spans="1:25" x14ac:dyDescent="0.25">
      <c r="A7597" t="str">
        <f>"65039271880"</f>
        <v>65039271880</v>
      </c>
      <c r="B7597" t="s">
        <v>7</v>
      </c>
      <c r="C7597" t="s">
        <v>31679</v>
      </c>
      <c r="D7597" t="s">
        <v>28679</v>
      </c>
      <c r="E7597">
        <v>424006</v>
      </c>
      <c r="F7597" t="s">
        <v>1</v>
      </c>
      <c r="G7597" t="s">
        <v>2</v>
      </c>
      <c r="H7597" t="s">
        <v>2185</v>
      </c>
      <c r="I7597" t="s">
        <v>31676</v>
      </c>
      <c r="L7597" t="s">
        <v>31677</v>
      </c>
      <c r="M7597" t="s">
        <v>31678</v>
      </c>
      <c r="P7597" t="s">
        <v>27</v>
      </c>
      <c r="Q7597" t="s">
        <v>31680</v>
      </c>
      <c r="T7597" t="s">
        <v>31681</v>
      </c>
      <c r="Y7597" t="s">
        <v>31682</v>
      </c>
    </row>
    <row r="7598" spans="1:25" x14ac:dyDescent="0.25">
      <c r="A7598" t="str">
        <f>"65039624778"</f>
        <v>65039624778</v>
      </c>
      <c r="B7598" t="s">
        <v>1078</v>
      </c>
      <c r="C7598" t="s">
        <v>31687</v>
      </c>
      <c r="D7598" t="s">
        <v>31683</v>
      </c>
      <c r="F7598" t="s">
        <v>1</v>
      </c>
      <c r="G7598" t="s">
        <v>2</v>
      </c>
      <c r="H7598" t="s">
        <v>19499</v>
      </c>
      <c r="J7598" t="s">
        <v>31684</v>
      </c>
      <c r="L7598" t="s">
        <v>31685</v>
      </c>
      <c r="M7598" t="s">
        <v>31686</v>
      </c>
      <c r="P7598" t="s">
        <v>144</v>
      </c>
      <c r="Y7598" t="s">
        <v>24185</v>
      </c>
    </row>
    <row r="7599" spans="1:25" x14ac:dyDescent="0.25">
      <c r="A7599" t="str">
        <f>"65042121069"</f>
        <v>65042121069</v>
      </c>
      <c r="B7599" t="s">
        <v>96</v>
      </c>
      <c r="C7599" t="s">
        <v>24042</v>
      </c>
      <c r="D7599" t="s">
        <v>24127</v>
      </c>
      <c r="F7599" t="s">
        <v>1</v>
      </c>
      <c r="G7599" t="s">
        <v>2</v>
      </c>
      <c r="H7599" t="s">
        <v>25889</v>
      </c>
      <c r="Y7599" t="s">
        <v>31688</v>
      </c>
    </row>
    <row r="7600" spans="1:25" x14ac:dyDescent="0.25">
      <c r="A7600" t="str">
        <f>"65072936167"</f>
        <v>65072936167</v>
      </c>
      <c r="B7600" t="s">
        <v>1544</v>
      </c>
      <c r="C7600" t="s">
        <v>3596</v>
      </c>
      <c r="D7600" t="s">
        <v>24319</v>
      </c>
      <c r="E7600">
        <v>424006</v>
      </c>
      <c r="F7600" t="s">
        <v>1</v>
      </c>
      <c r="G7600" t="s">
        <v>2</v>
      </c>
      <c r="H7600" t="s">
        <v>31689</v>
      </c>
      <c r="Y7600" t="s">
        <v>2191</v>
      </c>
    </row>
    <row r="7601" spans="1:25" x14ac:dyDescent="0.25">
      <c r="A7601" t="str">
        <f>"65139219369"</f>
        <v>65139219369</v>
      </c>
      <c r="B7601" t="s">
        <v>530</v>
      </c>
      <c r="C7601" t="s">
        <v>23950</v>
      </c>
      <c r="D7601" t="s">
        <v>23950</v>
      </c>
      <c r="F7601" t="s">
        <v>1</v>
      </c>
      <c r="G7601" t="s">
        <v>2</v>
      </c>
      <c r="H7601" t="s">
        <v>31690</v>
      </c>
      <c r="Y7601" t="s">
        <v>31691</v>
      </c>
    </row>
    <row r="7602" spans="1:25" x14ac:dyDescent="0.25">
      <c r="A7602" t="str">
        <f>"65150682091"</f>
        <v>65150682091</v>
      </c>
      <c r="B7602" t="s">
        <v>123</v>
      </c>
      <c r="C7602" t="s">
        <v>10232</v>
      </c>
      <c r="D7602" t="s">
        <v>31692</v>
      </c>
      <c r="E7602">
        <v>424020</v>
      </c>
      <c r="F7602" t="s">
        <v>1</v>
      </c>
      <c r="G7602" t="s">
        <v>2</v>
      </c>
      <c r="H7602" t="s">
        <v>1837</v>
      </c>
      <c r="I7602" t="s">
        <v>31693</v>
      </c>
      <c r="J7602" t="s">
        <v>31694</v>
      </c>
      <c r="P7602" t="s">
        <v>31695</v>
      </c>
      <c r="Y7602" t="s">
        <v>1842</v>
      </c>
    </row>
    <row r="7603" spans="1:25" x14ac:dyDescent="0.25">
      <c r="A7603" t="str">
        <f>"65187010574"</f>
        <v>65187010574</v>
      </c>
      <c r="B7603" t="s">
        <v>1352</v>
      </c>
      <c r="C7603" t="s">
        <v>2093</v>
      </c>
      <c r="D7603" t="s">
        <v>22566</v>
      </c>
      <c r="E7603">
        <v>424031</v>
      </c>
      <c r="F7603" t="s">
        <v>1</v>
      </c>
      <c r="G7603" t="s">
        <v>2</v>
      </c>
      <c r="H7603" t="s">
        <v>239</v>
      </c>
      <c r="J7603" t="s">
        <v>31696</v>
      </c>
      <c r="P7603" t="s">
        <v>31697</v>
      </c>
      <c r="Y7603" t="s">
        <v>246</v>
      </c>
    </row>
    <row r="7604" spans="1:25" x14ac:dyDescent="0.25">
      <c r="A7604" t="str">
        <f>"65206683059"</f>
        <v>65206683059</v>
      </c>
      <c r="B7604" t="s">
        <v>1493</v>
      </c>
      <c r="C7604" t="s">
        <v>3486</v>
      </c>
      <c r="D7604" t="s">
        <v>31698</v>
      </c>
      <c r="E7604">
        <v>424033</v>
      </c>
      <c r="F7604" t="s">
        <v>1</v>
      </c>
      <c r="G7604" t="s">
        <v>2</v>
      </c>
      <c r="H7604" t="s">
        <v>4225</v>
      </c>
      <c r="I7604" t="s">
        <v>31699</v>
      </c>
      <c r="P7604" t="s">
        <v>2923</v>
      </c>
      <c r="Y7604" t="s">
        <v>31700</v>
      </c>
    </row>
    <row r="7605" spans="1:25" x14ac:dyDescent="0.25">
      <c r="A7605" t="str">
        <f>"65219713437"</f>
        <v>65219713437</v>
      </c>
      <c r="B7605" t="s">
        <v>930</v>
      </c>
      <c r="C7605" t="s">
        <v>927</v>
      </c>
      <c r="D7605" t="s">
        <v>31701</v>
      </c>
      <c r="F7605" t="s">
        <v>1</v>
      </c>
      <c r="G7605" t="s">
        <v>2</v>
      </c>
      <c r="H7605" t="s">
        <v>25889</v>
      </c>
      <c r="Y7605" t="s">
        <v>31702</v>
      </c>
    </row>
    <row r="7606" spans="1:25" x14ac:dyDescent="0.25">
      <c r="A7606" t="str">
        <f>"65282299669"</f>
        <v>65282299669</v>
      </c>
      <c r="B7606" t="s">
        <v>25</v>
      </c>
      <c r="C7606" t="s">
        <v>59</v>
      </c>
      <c r="D7606" t="s">
        <v>31703</v>
      </c>
      <c r="F7606" t="s">
        <v>1</v>
      </c>
      <c r="G7606" t="s">
        <v>2</v>
      </c>
      <c r="H7606" t="s">
        <v>27499</v>
      </c>
      <c r="Y7606" t="s">
        <v>31704</v>
      </c>
    </row>
    <row r="7607" spans="1:25" x14ac:dyDescent="0.25">
      <c r="A7607" t="str">
        <f>"65297668345"</f>
        <v>65297668345</v>
      </c>
      <c r="B7607" t="s">
        <v>10383</v>
      </c>
      <c r="C7607" t="s">
        <v>24146</v>
      </c>
      <c r="D7607" t="s">
        <v>24146</v>
      </c>
      <c r="F7607" t="s">
        <v>1</v>
      </c>
      <c r="G7607" t="s">
        <v>2</v>
      </c>
      <c r="H7607" t="s">
        <v>28650</v>
      </c>
      <c r="Y7607" t="s">
        <v>31705</v>
      </c>
    </row>
    <row r="7608" spans="1:25" x14ac:dyDescent="0.25">
      <c r="A7608" t="str">
        <f>"65359631600"</f>
        <v>65359631600</v>
      </c>
      <c r="B7608" t="s">
        <v>530</v>
      </c>
      <c r="C7608" t="s">
        <v>23950</v>
      </c>
      <c r="D7608" t="s">
        <v>23950</v>
      </c>
      <c r="F7608" t="s">
        <v>1</v>
      </c>
      <c r="G7608" t="s">
        <v>2</v>
      </c>
      <c r="H7608" t="s">
        <v>31706</v>
      </c>
      <c r="Y7608" t="s">
        <v>31707</v>
      </c>
    </row>
    <row r="7609" spans="1:25" x14ac:dyDescent="0.25">
      <c r="A7609" t="str">
        <f>"65378519680"</f>
        <v>65378519680</v>
      </c>
      <c r="B7609" t="s">
        <v>574</v>
      </c>
      <c r="C7609" t="s">
        <v>646</v>
      </c>
      <c r="D7609" t="s">
        <v>31708</v>
      </c>
      <c r="E7609">
        <v>424020</v>
      </c>
      <c r="F7609" t="s">
        <v>1</v>
      </c>
      <c r="G7609" t="s">
        <v>2</v>
      </c>
      <c r="H7609" t="s">
        <v>23</v>
      </c>
      <c r="J7609" t="s">
        <v>31709</v>
      </c>
      <c r="P7609" t="s">
        <v>17482</v>
      </c>
      <c r="Y7609" t="s">
        <v>6162</v>
      </c>
    </row>
    <row r="7610" spans="1:25" x14ac:dyDescent="0.25">
      <c r="A7610" t="str">
        <f>"65386821611"</f>
        <v>65386821611</v>
      </c>
      <c r="B7610" t="s">
        <v>574</v>
      </c>
      <c r="C7610" t="s">
        <v>646</v>
      </c>
      <c r="D7610" t="s">
        <v>30750</v>
      </c>
      <c r="E7610">
        <v>424016</v>
      </c>
      <c r="F7610" t="s">
        <v>1</v>
      </c>
      <c r="G7610" t="s">
        <v>2</v>
      </c>
      <c r="H7610" t="s">
        <v>18429</v>
      </c>
      <c r="P7610" t="s">
        <v>216</v>
      </c>
      <c r="Y7610" t="s">
        <v>29257</v>
      </c>
    </row>
    <row r="7611" spans="1:25" x14ac:dyDescent="0.25">
      <c r="A7611" t="str">
        <f>"65511962419"</f>
        <v>65511962419</v>
      </c>
      <c r="B7611" t="s">
        <v>530</v>
      </c>
      <c r="C7611" t="s">
        <v>23950</v>
      </c>
      <c r="D7611" t="s">
        <v>23950</v>
      </c>
      <c r="F7611" t="s">
        <v>1</v>
      </c>
      <c r="G7611" t="s">
        <v>2</v>
      </c>
      <c r="H7611" t="s">
        <v>31710</v>
      </c>
      <c r="Y7611" t="s">
        <v>31711</v>
      </c>
    </row>
    <row r="7612" spans="1:25" x14ac:dyDescent="0.25">
      <c r="A7612" t="str">
        <f>"65512218994"</f>
        <v>65512218994</v>
      </c>
      <c r="B7612" t="s">
        <v>96</v>
      </c>
      <c r="C7612" t="s">
        <v>26416</v>
      </c>
      <c r="D7612" t="s">
        <v>31712</v>
      </c>
      <c r="E7612">
        <v>424038</v>
      </c>
      <c r="F7612" t="s">
        <v>1</v>
      </c>
      <c r="G7612" t="s">
        <v>2</v>
      </c>
      <c r="H7612" t="s">
        <v>2614</v>
      </c>
      <c r="Y7612" t="s">
        <v>2617</v>
      </c>
    </row>
    <row r="7613" spans="1:25" x14ac:dyDescent="0.25">
      <c r="A7613" t="str">
        <f>"65525286480"</f>
        <v>65525286480</v>
      </c>
      <c r="B7613" t="s">
        <v>96</v>
      </c>
      <c r="C7613" t="s">
        <v>893</v>
      </c>
      <c r="D7613" t="s">
        <v>31713</v>
      </c>
      <c r="E7613">
        <v>424000</v>
      </c>
      <c r="F7613" t="s">
        <v>1</v>
      </c>
      <c r="G7613" t="s">
        <v>2</v>
      </c>
      <c r="H7613" t="s">
        <v>92</v>
      </c>
      <c r="P7613" t="s">
        <v>98</v>
      </c>
      <c r="Y7613" t="s">
        <v>31714</v>
      </c>
    </row>
    <row r="7614" spans="1:25" x14ac:dyDescent="0.25">
      <c r="A7614" t="str">
        <f>"65528496395"</f>
        <v>65528496395</v>
      </c>
      <c r="B7614" t="s">
        <v>530</v>
      </c>
      <c r="C7614" t="s">
        <v>23950</v>
      </c>
      <c r="D7614" t="s">
        <v>23950</v>
      </c>
      <c r="F7614" t="s">
        <v>1</v>
      </c>
      <c r="G7614" t="s">
        <v>2</v>
      </c>
      <c r="H7614" t="s">
        <v>31715</v>
      </c>
      <c r="Y7614" t="s">
        <v>31716</v>
      </c>
    </row>
    <row r="7615" spans="1:25" x14ac:dyDescent="0.25">
      <c r="A7615" t="str">
        <f>"65573022967"</f>
        <v>65573022967</v>
      </c>
      <c r="B7615" t="s">
        <v>930</v>
      </c>
      <c r="C7615" t="s">
        <v>31718</v>
      </c>
      <c r="D7615" t="s">
        <v>31527</v>
      </c>
      <c r="F7615" t="s">
        <v>1</v>
      </c>
      <c r="G7615" t="s">
        <v>2</v>
      </c>
      <c r="H7615" t="s">
        <v>8106</v>
      </c>
      <c r="J7615" t="s">
        <v>25404</v>
      </c>
      <c r="L7615" t="s">
        <v>31717</v>
      </c>
      <c r="P7615" t="s">
        <v>5084</v>
      </c>
      <c r="Q7615" t="s">
        <v>31719</v>
      </c>
      <c r="V7615" t="s">
        <v>31720</v>
      </c>
      <c r="Y7615" t="s">
        <v>31721</v>
      </c>
    </row>
    <row r="7616" spans="1:25" x14ac:dyDescent="0.25">
      <c r="A7616" t="str">
        <f>"65613123476"</f>
        <v>65613123476</v>
      </c>
      <c r="B7616" t="s">
        <v>25</v>
      </c>
      <c r="C7616" t="s">
        <v>59</v>
      </c>
      <c r="D7616" t="s">
        <v>31722</v>
      </c>
      <c r="E7616">
        <v>424000</v>
      </c>
      <c r="F7616" t="s">
        <v>1</v>
      </c>
      <c r="G7616" t="s">
        <v>2</v>
      </c>
      <c r="H7616" t="s">
        <v>837</v>
      </c>
      <c r="I7616" t="s">
        <v>31723</v>
      </c>
      <c r="M7616" t="s">
        <v>31724</v>
      </c>
      <c r="P7616" t="s">
        <v>133</v>
      </c>
      <c r="Q7616" t="s">
        <v>31725</v>
      </c>
      <c r="R7616" t="s">
        <v>31726</v>
      </c>
      <c r="T7616" t="s">
        <v>31727</v>
      </c>
      <c r="V7616" t="s">
        <v>31728</v>
      </c>
      <c r="Y7616" t="s">
        <v>31729</v>
      </c>
    </row>
    <row r="7617" spans="1:25" x14ac:dyDescent="0.25">
      <c r="A7617" t="str">
        <f>"65621621496"</f>
        <v>65621621496</v>
      </c>
      <c r="B7617" t="s">
        <v>25</v>
      </c>
      <c r="C7617" t="s">
        <v>59</v>
      </c>
      <c r="D7617" t="s">
        <v>11743</v>
      </c>
      <c r="E7617">
        <v>424000</v>
      </c>
      <c r="F7617" t="s">
        <v>1</v>
      </c>
      <c r="G7617" t="s">
        <v>2</v>
      </c>
      <c r="H7617" t="s">
        <v>4648</v>
      </c>
      <c r="I7617" t="s">
        <v>31730</v>
      </c>
      <c r="J7617" t="s">
        <v>31731</v>
      </c>
      <c r="P7617" t="s">
        <v>152</v>
      </c>
      <c r="Y7617" t="s">
        <v>4649</v>
      </c>
    </row>
    <row r="7618" spans="1:25" x14ac:dyDescent="0.25">
      <c r="A7618" t="str">
        <f>"65622454877"</f>
        <v>65622454877</v>
      </c>
      <c r="B7618" t="s">
        <v>1544</v>
      </c>
      <c r="C7618" t="s">
        <v>2667</v>
      </c>
      <c r="D7618" t="s">
        <v>31732</v>
      </c>
      <c r="E7618">
        <v>424002</v>
      </c>
      <c r="F7618" t="s">
        <v>1</v>
      </c>
      <c r="G7618" t="s">
        <v>2</v>
      </c>
      <c r="H7618" t="s">
        <v>2299</v>
      </c>
      <c r="P7618" t="s">
        <v>26289</v>
      </c>
      <c r="Y7618" t="s">
        <v>31733</v>
      </c>
    </row>
    <row r="7619" spans="1:25" x14ac:dyDescent="0.25">
      <c r="A7619" t="str">
        <f>"65634962942"</f>
        <v>65634962942</v>
      </c>
      <c r="B7619" t="s">
        <v>430</v>
      </c>
      <c r="C7619" t="s">
        <v>13590</v>
      </c>
      <c r="D7619" t="s">
        <v>31734</v>
      </c>
      <c r="E7619">
        <v>424006</v>
      </c>
      <c r="F7619" t="s">
        <v>1</v>
      </c>
      <c r="G7619" t="s">
        <v>2</v>
      </c>
      <c r="H7619" t="s">
        <v>24780</v>
      </c>
      <c r="I7619" t="s">
        <v>31735</v>
      </c>
      <c r="P7619" t="s">
        <v>152</v>
      </c>
      <c r="Y7619" t="s">
        <v>31736</v>
      </c>
    </row>
    <row r="7620" spans="1:25" x14ac:dyDescent="0.25">
      <c r="A7620" t="str">
        <f>"65645886365"</f>
        <v>65645886365</v>
      </c>
      <c r="B7620" t="s">
        <v>456</v>
      </c>
      <c r="C7620" t="s">
        <v>31739</v>
      </c>
      <c r="D7620" t="s">
        <v>31737</v>
      </c>
      <c r="E7620">
        <v>424006</v>
      </c>
      <c r="F7620" t="s">
        <v>1</v>
      </c>
      <c r="G7620" t="s">
        <v>2</v>
      </c>
      <c r="H7620" t="s">
        <v>5146</v>
      </c>
      <c r="J7620" t="s">
        <v>31738</v>
      </c>
      <c r="L7620" t="s">
        <v>26255</v>
      </c>
      <c r="M7620" t="s">
        <v>26256</v>
      </c>
      <c r="P7620" t="s">
        <v>152</v>
      </c>
      <c r="Q7620" t="s">
        <v>31740</v>
      </c>
      <c r="V7620" t="s">
        <v>31741</v>
      </c>
      <c r="Y7620" t="s">
        <v>31742</v>
      </c>
    </row>
    <row r="7621" spans="1:25" x14ac:dyDescent="0.25">
      <c r="A7621" t="str">
        <f>"65672095593"</f>
        <v>65672095593</v>
      </c>
      <c r="B7621" t="s">
        <v>388</v>
      </c>
      <c r="C7621" t="s">
        <v>9267</v>
      </c>
      <c r="D7621" t="s">
        <v>9263</v>
      </c>
      <c r="E7621">
        <v>424006</v>
      </c>
      <c r="F7621" t="s">
        <v>1</v>
      </c>
      <c r="G7621" t="s">
        <v>2</v>
      </c>
      <c r="H7621" t="s">
        <v>8482</v>
      </c>
      <c r="J7621" t="s">
        <v>9264</v>
      </c>
      <c r="L7621" t="s">
        <v>9265</v>
      </c>
      <c r="M7621" t="s">
        <v>31743</v>
      </c>
      <c r="P7621" t="s">
        <v>280</v>
      </c>
      <c r="T7621" t="s">
        <v>31744</v>
      </c>
      <c r="Y7621" t="s">
        <v>8488</v>
      </c>
    </row>
    <row r="7622" spans="1:25" x14ac:dyDescent="0.25">
      <c r="A7622" t="str">
        <f>"65673268634"</f>
        <v>65673268634</v>
      </c>
      <c r="B7622" t="s">
        <v>654</v>
      </c>
      <c r="C7622" t="s">
        <v>14448</v>
      </c>
      <c r="D7622" t="s">
        <v>7437</v>
      </c>
      <c r="E7622">
        <v>424028</v>
      </c>
      <c r="F7622" t="s">
        <v>1</v>
      </c>
      <c r="G7622" t="s">
        <v>2</v>
      </c>
      <c r="H7622" t="s">
        <v>1969</v>
      </c>
      <c r="Y7622" t="s">
        <v>29585</v>
      </c>
    </row>
    <row r="7623" spans="1:25" x14ac:dyDescent="0.25">
      <c r="A7623" t="str">
        <f>"65674223482"</f>
        <v>65674223482</v>
      </c>
      <c r="B7623" t="s">
        <v>96</v>
      </c>
      <c r="C7623" t="s">
        <v>14551</v>
      </c>
      <c r="D7623" t="s">
        <v>11020</v>
      </c>
      <c r="E7623">
        <v>424038</v>
      </c>
      <c r="F7623" t="s">
        <v>1</v>
      </c>
      <c r="G7623" t="s">
        <v>2</v>
      </c>
      <c r="H7623" t="s">
        <v>7597</v>
      </c>
      <c r="P7623" t="s">
        <v>1642</v>
      </c>
      <c r="Y7623" t="s">
        <v>31745</v>
      </c>
    </row>
    <row r="7624" spans="1:25" x14ac:dyDescent="0.25">
      <c r="A7624" t="str">
        <f>"65689792648"</f>
        <v>65689792648</v>
      </c>
      <c r="B7624" t="s">
        <v>1046</v>
      </c>
      <c r="C7624" t="s">
        <v>31750</v>
      </c>
      <c r="D7624" t="s">
        <v>31746</v>
      </c>
      <c r="E7624">
        <v>424020</v>
      </c>
      <c r="F7624" t="s">
        <v>1</v>
      </c>
      <c r="G7624" t="s">
        <v>2</v>
      </c>
      <c r="H7624" t="s">
        <v>13605</v>
      </c>
      <c r="J7624" t="s">
        <v>31747</v>
      </c>
      <c r="L7624" t="s">
        <v>31748</v>
      </c>
      <c r="M7624" t="s">
        <v>31749</v>
      </c>
      <c r="P7624" t="s">
        <v>330</v>
      </c>
      <c r="Y7624" t="s">
        <v>27034</v>
      </c>
    </row>
    <row r="7625" spans="1:25" x14ac:dyDescent="0.25">
      <c r="A7625" t="str">
        <f>"65733004340"</f>
        <v>65733004340</v>
      </c>
      <c r="B7625" t="s">
        <v>430</v>
      </c>
      <c r="C7625" t="s">
        <v>940</v>
      </c>
      <c r="D7625" t="s">
        <v>5665</v>
      </c>
      <c r="E7625">
        <v>424036</v>
      </c>
      <c r="F7625" t="s">
        <v>1</v>
      </c>
      <c r="G7625" t="s">
        <v>2</v>
      </c>
      <c r="H7625" t="s">
        <v>7305</v>
      </c>
      <c r="I7625" t="s">
        <v>31751</v>
      </c>
      <c r="J7625" t="s">
        <v>31752</v>
      </c>
      <c r="L7625" t="s">
        <v>31753</v>
      </c>
      <c r="Q7625" t="s">
        <v>5670</v>
      </c>
      <c r="Y7625" t="s">
        <v>7306</v>
      </c>
    </row>
    <row r="7626" spans="1:25" x14ac:dyDescent="0.25">
      <c r="A7626" t="str">
        <f>"65748643907"</f>
        <v>65748643907</v>
      </c>
      <c r="B7626" t="s">
        <v>32</v>
      </c>
      <c r="C7626" t="s">
        <v>182</v>
      </c>
      <c r="D7626" t="s">
        <v>31754</v>
      </c>
      <c r="E7626">
        <v>424003</v>
      </c>
      <c r="F7626" t="s">
        <v>1</v>
      </c>
      <c r="G7626" t="s">
        <v>2</v>
      </c>
      <c r="H7626" t="s">
        <v>15497</v>
      </c>
      <c r="J7626" t="s">
        <v>31755</v>
      </c>
      <c r="P7626" t="s">
        <v>8945</v>
      </c>
      <c r="T7626" t="s">
        <v>31756</v>
      </c>
      <c r="V7626" t="s">
        <v>31757</v>
      </c>
      <c r="Y7626" t="s">
        <v>31304</v>
      </c>
    </row>
    <row r="7627" spans="1:25" x14ac:dyDescent="0.25">
      <c r="A7627" t="str">
        <f>"65750128283"</f>
        <v>65750128283</v>
      </c>
      <c r="B7627" t="s">
        <v>930</v>
      </c>
      <c r="C7627" t="s">
        <v>16474</v>
      </c>
      <c r="D7627" t="s">
        <v>31758</v>
      </c>
      <c r="E7627">
        <v>424037</v>
      </c>
      <c r="F7627" t="s">
        <v>1</v>
      </c>
      <c r="G7627" t="s">
        <v>2</v>
      </c>
      <c r="H7627" t="s">
        <v>29153</v>
      </c>
      <c r="I7627" t="s">
        <v>31759</v>
      </c>
      <c r="J7627" t="s">
        <v>31760</v>
      </c>
      <c r="P7627" t="s">
        <v>2738</v>
      </c>
      <c r="Q7627" t="s">
        <v>31761</v>
      </c>
      <c r="Y7627" t="s">
        <v>31762</v>
      </c>
    </row>
    <row r="7628" spans="1:25" x14ac:dyDescent="0.25">
      <c r="A7628" t="str">
        <f>"65793063215"</f>
        <v>65793063215</v>
      </c>
      <c r="B7628" t="s">
        <v>176</v>
      </c>
      <c r="C7628" t="s">
        <v>566</v>
      </c>
      <c r="D7628" t="s">
        <v>2192</v>
      </c>
      <c r="E7628">
        <v>424001</v>
      </c>
      <c r="F7628" t="s">
        <v>1</v>
      </c>
      <c r="G7628" t="s">
        <v>2</v>
      </c>
      <c r="H7628" t="s">
        <v>919</v>
      </c>
      <c r="Y7628" t="s">
        <v>31763</v>
      </c>
    </row>
    <row r="7629" spans="1:25" x14ac:dyDescent="0.25">
      <c r="A7629" t="str">
        <f>"65832727351"</f>
        <v>65832727351</v>
      </c>
      <c r="B7629" t="s">
        <v>482</v>
      </c>
      <c r="C7629" t="s">
        <v>6009</v>
      </c>
      <c r="D7629" t="s">
        <v>31764</v>
      </c>
      <c r="E7629">
        <v>424006</v>
      </c>
      <c r="F7629" t="s">
        <v>1</v>
      </c>
      <c r="G7629" t="s">
        <v>2</v>
      </c>
      <c r="H7629" t="s">
        <v>478</v>
      </c>
      <c r="I7629" t="s">
        <v>31765</v>
      </c>
      <c r="P7629" t="s">
        <v>27</v>
      </c>
      <c r="Y7629" t="s">
        <v>31766</v>
      </c>
    </row>
    <row r="7630" spans="1:25" x14ac:dyDescent="0.25">
      <c r="A7630" t="str">
        <f>"65861333475"</f>
        <v>65861333475</v>
      </c>
      <c r="B7630" t="s">
        <v>88</v>
      </c>
      <c r="C7630" t="s">
        <v>6066</v>
      </c>
      <c r="D7630" t="s">
        <v>31767</v>
      </c>
      <c r="E7630">
        <v>424918</v>
      </c>
      <c r="F7630" t="s">
        <v>1</v>
      </c>
      <c r="G7630" t="s">
        <v>2</v>
      </c>
      <c r="H7630" t="s">
        <v>629</v>
      </c>
      <c r="P7630" t="s">
        <v>630</v>
      </c>
      <c r="Y7630" t="s">
        <v>1744</v>
      </c>
    </row>
    <row r="7631" spans="1:25" x14ac:dyDescent="0.25">
      <c r="A7631" t="str">
        <f>"65881418546"</f>
        <v>65881418546</v>
      </c>
      <c r="B7631" t="s">
        <v>176</v>
      </c>
      <c r="C7631" t="s">
        <v>566</v>
      </c>
      <c r="D7631" t="s">
        <v>8542</v>
      </c>
      <c r="E7631">
        <v>424020</v>
      </c>
      <c r="F7631" t="s">
        <v>1</v>
      </c>
      <c r="G7631" t="s">
        <v>2</v>
      </c>
      <c r="H7631" t="s">
        <v>3675</v>
      </c>
      <c r="Y7631" t="s">
        <v>31768</v>
      </c>
    </row>
    <row r="7632" spans="1:25" x14ac:dyDescent="0.25">
      <c r="A7632" t="str">
        <f>"65891092247"</f>
        <v>65891092247</v>
      </c>
      <c r="B7632" t="s">
        <v>80</v>
      </c>
      <c r="C7632" t="s">
        <v>11414</v>
      </c>
      <c r="D7632" t="s">
        <v>31769</v>
      </c>
      <c r="E7632">
        <v>424008</v>
      </c>
      <c r="F7632" t="s">
        <v>1</v>
      </c>
      <c r="G7632" t="s">
        <v>2</v>
      </c>
      <c r="H7632" t="s">
        <v>10098</v>
      </c>
      <c r="J7632" t="s">
        <v>31770</v>
      </c>
      <c r="Q7632" t="s">
        <v>31771</v>
      </c>
      <c r="Y7632" t="s">
        <v>31772</v>
      </c>
    </row>
    <row r="7633" spans="1:25" x14ac:dyDescent="0.25">
      <c r="A7633" t="str">
        <f>"65894714439"</f>
        <v>65894714439</v>
      </c>
      <c r="B7633" t="s">
        <v>290</v>
      </c>
      <c r="C7633" t="s">
        <v>290</v>
      </c>
      <c r="D7633" t="s">
        <v>896</v>
      </c>
      <c r="E7633">
        <v>424031</v>
      </c>
      <c r="F7633" t="s">
        <v>1</v>
      </c>
      <c r="G7633" t="s">
        <v>2</v>
      </c>
      <c r="H7633" t="s">
        <v>897</v>
      </c>
      <c r="I7633" t="s">
        <v>31773</v>
      </c>
      <c r="M7633" t="s">
        <v>902</v>
      </c>
      <c r="P7633" t="s">
        <v>23594</v>
      </c>
      <c r="Y7633" t="s">
        <v>31774</v>
      </c>
    </row>
    <row r="7634" spans="1:25" x14ac:dyDescent="0.25">
      <c r="A7634" t="str">
        <f>"65901428545"</f>
        <v>65901428545</v>
      </c>
      <c r="B7634" t="s">
        <v>3544</v>
      </c>
      <c r="C7634" t="s">
        <v>11303</v>
      </c>
      <c r="D7634" t="s">
        <v>31775</v>
      </c>
      <c r="E7634">
        <v>424033</v>
      </c>
      <c r="F7634" t="s">
        <v>1</v>
      </c>
      <c r="G7634" t="s">
        <v>2</v>
      </c>
      <c r="H7634" t="s">
        <v>29006</v>
      </c>
      <c r="I7634" t="s">
        <v>31776</v>
      </c>
      <c r="P7634" t="s">
        <v>20</v>
      </c>
      <c r="Y7634" t="s">
        <v>31777</v>
      </c>
    </row>
    <row r="7635" spans="1:25" x14ac:dyDescent="0.25">
      <c r="A7635" t="str">
        <f>"65920912414"</f>
        <v>65920912414</v>
      </c>
      <c r="B7635" t="s">
        <v>1611</v>
      </c>
      <c r="C7635" t="s">
        <v>3218</v>
      </c>
      <c r="D7635" t="s">
        <v>31778</v>
      </c>
      <c r="E7635">
        <v>424037</v>
      </c>
      <c r="F7635" t="s">
        <v>1</v>
      </c>
      <c r="G7635" t="s">
        <v>2</v>
      </c>
      <c r="H7635" t="s">
        <v>10692</v>
      </c>
      <c r="I7635" t="s">
        <v>31779</v>
      </c>
      <c r="L7635" t="s">
        <v>3217</v>
      </c>
      <c r="P7635" t="s">
        <v>31780</v>
      </c>
      <c r="Y7635" t="s">
        <v>10694</v>
      </c>
    </row>
    <row r="7636" spans="1:25" x14ac:dyDescent="0.25">
      <c r="A7636" t="str">
        <f>"65945758768"</f>
        <v>65945758768</v>
      </c>
      <c r="B7636" t="s">
        <v>482</v>
      </c>
      <c r="C7636" t="s">
        <v>31785</v>
      </c>
      <c r="D7636" t="s">
        <v>31781</v>
      </c>
      <c r="E7636">
        <v>424002</v>
      </c>
      <c r="F7636" t="s">
        <v>1</v>
      </c>
      <c r="G7636" t="s">
        <v>2</v>
      </c>
      <c r="H7636" t="s">
        <v>3421</v>
      </c>
      <c r="I7636" t="s">
        <v>31782</v>
      </c>
      <c r="L7636" t="s">
        <v>31783</v>
      </c>
      <c r="M7636" t="s">
        <v>31784</v>
      </c>
      <c r="P7636" t="s">
        <v>330</v>
      </c>
      <c r="Q7636" t="s">
        <v>31786</v>
      </c>
      <c r="R7636" t="s">
        <v>31787</v>
      </c>
      <c r="V7636" t="s">
        <v>31788</v>
      </c>
      <c r="Y7636" t="s">
        <v>31789</v>
      </c>
    </row>
    <row r="7637" spans="1:25" x14ac:dyDescent="0.25">
      <c r="A7637" t="str">
        <f>"65956449223"</f>
        <v>65956449223</v>
      </c>
      <c r="B7637" t="s">
        <v>123</v>
      </c>
      <c r="C7637" t="s">
        <v>196</v>
      </c>
      <c r="D7637" t="s">
        <v>26890</v>
      </c>
      <c r="E7637">
        <v>424031</v>
      </c>
      <c r="F7637" t="s">
        <v>1</v>
      </c>
      <c r="G7637" t="s">
        <v>2</v>
      </c>
      <c r="H7637" t="s">
        <v>239</v>
      </c>
      <c r="J7637" t="s">
        <v>31790</v>
      </c>
      <c r="P7637" t="s">
        <v>152</v>
      </c>
      <c r="Y7637" t="s">
        <v>246</v>
      </c>
    </row>
    <row r="7638" spans="1:25" x14ac:dyDescent="0.25">
      <c r="A7638" t="str">
        <f>"66041918738"</f>
        <v>66041918738</v>
      </c>
      <c r="B7638" t="s">
        <v>18</v>
      </c>
      <c r="C7638" t="s">
        <v>2171</v>
      </c>
      <c r="D7638" t="s">
        <v>31791</v>
      </c>
      <c r="E7638">
        <v>424004</v>
      </c>
      <c r="F7638" t="s">
        <v>1</v>
      </c>
      <c r="G7638" t="s">
        <v>2</v>
      </c>
      <c r="H7638" t="s">
        <v>4844</v>
      </c>
      <c r="I7638" t="s">
        <v>21055</v>
      </c>
      <c r="J7638" t="s">
        <v>31792</v>
      </c>
      <c r="P7638" t="s">
        <v>31793</v>
      </c>
      <c r="Y7638" t="s">
        <v>21056</v>
      </c>
    </row>
    <row r="7639" spans="1:25" x14ac:dyDescent="0.25">
      <c r="A7639" t="str">
        <f>"66042922883"</f>
        <v>66042922883</v>
      </c>
      <c r="B7639" t="s">
        <v>18</v>
      </c>
      <c r="C7639" t="s">
        <v>2295</v>
      </c>
      <c r="D7639" t="s">
        <v>31794</v>
      </c>
      <c r="E7639">
        <v>424028</v>
      </c>
      <c r="F7639" t="s">
        <v>1</v>
      </c>
      <c r="G7639" t="s">
        <v>2</v>
      </c>
      <c r="H7639" t="s">
        <v>3359</v>
      </c>
      <c r="I7639" t="s">
        <v>31795</v>
      </c>
      <c r="L7639" t="s">
        <v>31796</v>
      </c>
      <c r="M7639" t="s">
        <v>31797</v>
      </c>
      <c r="P7639" t="s">
        <v>5689</v>
      </c>
      <c r="Y7639" t="s">
        <v>31798</v>
      </c>
    </row>
    <row r="7640" spans="1:25" x14ac:dyDescent="0.25">
      <c r="A7640" t="str">
        <f>"66061172729"</f>
        <v>66061172729</v>
      </c>
      <c r="B7640" t="s">
        <v>290</v>
      </c>
      <c r="C7640" t="s">
        <v>290</v>
      </c>
      <c r="D7640" t="s">
        <v>25136</v>
      </c>
      <c r="E7640">
        <v>424004</v>
      </c>
      <c r="F7640" t="s">
        <v>1</v>
      </c>
      <c r="G7640" t="s">
        <v>2</v>
      </c>
      <c r="H7640" t="s">
        <v>12781</v>
      </c>
      <c r="I7640" t="s">
        <v>31799</v>
      </c>
      <c r="P7640" t="s">
        <v>330</v>
      </c>
      <c r="Y7640" t="s">
        <v>31800</v>
      </c>
    </row>
    <row r="7641" spans="1:25" x14ac:dyDescent="0.25">
      <c r="A7641" t="str">
        <f>"66071975800"</f>
        <v>66071975800</v>
      </c>
      <c r="B7641" t="s">
        <v>151</v>
      </c>
      <c r="C7641" t="s">
        <v>151</v>
      </c>
      <c r="D7641" t="s">
        <v>31801</v>
      </c>
      <c r="E7641">
        <v>424000</v>
      </c>
      <c r="F7641" t="s">
        <v>1</v>
      </c>
      <c r="G7641" t="s">
        <v>2</v>
      </c>
      <c r="H7641" t="s">
        <v>4648</v>
      </c>
      <c r="J7641" t="s">
        <v>31802</v>
      </c>
      <c r="Y7641" t="s">
        <v>4649</v>
      </c>
    </row>
    <row r="7642" spans="1:25" x14ac:dyDescent="0.25">
      <c r="A7642" t="str">
        <f>"66097803550"</f>
        <v>66097803550</v>
      </c>
      <c r="B7642" t="s">
        <v>319</v>
      </c>
      <c r="C7642" t="s">
        <v>320</v>
      </c>
      <c r="D7642" t="s">
        <v>31803</v>
      </c>
      <c r="F7642" t="s">
        <v>1</v>
      </c>
      <c r="G7642" t="s">
        <v>2</v>
      </c>
      <c r="H7642" t="s">
        <v>21408</v>
      </c>
      <c r="P7642" t="s">
        <v>1027</v>
      </c>
      <c r="Y7642" t="s">
        <v>31804</v>
      </c>
    </row>
    <row r="7643" spans="1:25" x14ac:dyDescent="0.25">
      <c r="A7643" t="str">
        <f>"66098149209"</f>
        <v>66098149209</v>
      </c>
      <c r="B7643" t="s">
        <v>1573</v>
      </c>
      <c r="C7643" t="s">
        <v>1817</v>
      </c>
      <c r="D7643" t="s">
        <v>25092</v>
      </c>
      <c r="E7643">
        <v>424028</v>
      </c>
      <c r="F7643" t="s">
        <v>1</v>
      </c>
      <c r="G7643" t="s">
        <v>2</v>
      </c>
      <c r="H7643" t="s">
        <v>27719</v>
      </c>
      <c r="Y7643" t="s">
        <v>31805</v>
      </c>
    </row>
    <row r="7644" spans="1:25" x14ac:dyDescent="0.25">
      <c r="A7644" t="str">
        <f>"66121536037"</f>
        <v>66121536037</v>
      </c>
      <c r="B7644" t="s">
        <v>930</v>
      </c>
      <c r="C7644" t="s">
        <v>11882</v>
      </c>
      <c r="D7644" t="s">
        <v>31806</v>
      </c>
      <c r="E7644">
        <v>424006</v>
      </c>
      <c r="F7644" t="s">
        <v>1</v>
      </c>
      <c r="G7644" t="s">
        <v>2</v>
      </c>
      <c r="H7644" t="s">
        <v>11376</v>
      </c>
      <c r="J7644" t="s">
        <v>31807</v>
      </c>
      <c r="P7644" t="s">
        <v>381</v>
      </c>
      <c r="V7644" t="s">
        <v>31808</v>
      </c>
      <c r="Y7644" t="s">
        <v>31809</v>
      </c>
    </row>
    <row r="7645" spans="1:25" x14ac:dyDescent="0.25">
      <c r="A7645" t="str">
        <f>"66137250415"</f>
        <v>66137250415</v>
      </c>
      <c r="B7645" t="s">
        <v>290</v>
      </c>
      <c r="C7645" t="s">
        <v>31812</v>
      </c>
      <c r="D7645" t="s">
        <v>31810</v>
      </c>
      <c r="E7645">
        <v>424002</v>
      </c>
      <c r="F7645" t="s">
        <v>1</v>
      </c>
      <c r="G7645" t="s">
        <v>2</v>
      </c>
      <c r="H7645" t="s">
        <v>3807</v>
      </c>
      <c r="I7645" t="s">
        <v>31811</v>
      </c>
      <c r="P7645" t="s">
        <v>31813</v>
      </c>
      <c r="V7645" t="s">
        <v>31814</v>
      </c>
      <c r="Y7645" t="s">
        <v>31815</v>
      </c>
    </row>
    <row r="7646" spans="1:25" x14ac:dyDescent="0.25">
      <c r="A7646" t="str">
        <f>"66143803300"</f>
        <v>66143803300</v>
      </c>
      <c r="B7646" t="s">
        <v>530</v>
      </c>
      <c r="C7646" t="s">
        <v>23950</v>
      </c>
      <c r="D7646" t="s">
        <v>23950</v>
      </c>
      <c r="F7646" t="s">
        <v>1</v>
      </c>
      <c r="G7646" t="s">
        <v>2</v>
      </c>
      <c r="H7646" t="s">
        <v>29203</v>
      </c>
      <c r="Y7646" t="s">
        <v>31816</v>
      </c>
    </row>
    <row r="7647" spans="1:25" x14ac:dyDescent="0.25">
      <c r="A7647" t="str">
        <f>"66157656429"</f>
        <v>66157656429</v>
      </c>
      <c r="B7647" t="s">
        <v>67</v>
      </c>
      <c r="C7647" t="s">
        <v>269</v>
      </c>
      <c r="D7647" t="s">
        <v>31817</v>
      </c>
      <c r="E7647">
        <v>424036</v>
      </c>
      <c r="F7647" t="s">
        <v>1</v>
      </c>
      <c r="G7647" t="s">
        <v>2</v>
      </c>
      <c r="H7647" t="s">
        <v>31818</v>
      </c>
      <c r="I7647" t="s">
        <v>31819</v>
      </c>
      <c r="L7647" t="s">
        <v>31820</v>
      </c>
      <c r="M7647" t="s">
        <v>31821</v>
      </c>
      <c r="P7647" t="s">
        <v>27</v>
      </c>
      <c r="Q7647" t="s">
        <v>31822</v>
      </c>
      <c r="R7647" t="s">
        <v>31823</v>
      </c>
      <c r="T7647" t="s">
        <v>31824</v>
      </c>
      <c r="V7647" t="s">
        <v>31825</v>
      </c>
      <c r="Y7647" t="s">
        <v>31826</v>
      </c>
    </row>
    <row r="7648" spans="1:25" x14ac:dyDescent="0.25">
      <c r="A7648" t="str">
        <f>"66200626030"</f>
        <v>66200626030</v>
      </c>
      <c r="B7648" t="s">
        <v>1475</v>
      </c>
      <c r="C7648" t="s">
        <v>1476</v>
      </c>
      <c r="D7648" t="s">
        <v>31827</v>
      </c>
      <c r="E7648">
        <v>424005</v>
      </c>
      <c r="F7648" t="s">
        <v>1</v>
      </c>
      <c r="G7648" t="s">
        <v>2</v>
      </c>
      <c r="H7648" t="s">
        <v>1148</v>
      </c>
      <c r="Y7648" t="s">
        <v>31828</v>
      </c>
    </row>
    <row r="7649" spans="1:25" x14ac:dyDescent="0.25">
      <c r="A7649" t="str">
        <f>"66298348177"</f>
        <v>66298348177</v>
      </c>
      <c r="B7649" t="s">
        <v>4084</v>
      </c>
      <c r="C7649" t="s">
        <v>28282</v>
      </c>
      <c r="D7649" t="s">
        <v>28461</v>
      </c>
      <c r="E7649">
        <v>424000</v>
      </c>
      <c r="F7649" t="s">
        <v>1</v>
      </c>
      <c r="G7649" t="s">
        <v>2</v>
      </c>
      <c r="H7649" t="s">
        <v>2671</v>
      </c>
      <c r="Y7649" t="s">
        <v>2674</v>
      </c>
    </row>
    <row r="7650" spans="1:25" x14ac:dyDescent="0.25">
      <c r="A7650" t="str">
        <f>"66335800198"</f>
        <v>66335800198</v>
      </c>
      <c r="B7650" t="s">
        <v>530</v>
      </c>
      <c r="C7650" t="s">
        <v>23950</v>
      </c>
      <c r="D7650" t="s">
        <v>23950</v>
      </c>
      <c r="F7650" t="s">
        <v>1</v>
      </c>
      <c r="G7650" t="s">
        <v>2</v>
      </c>
      <c r="H7650" t="s">
        <v>31829</v>
      </c>
      <c r="Y7650" t="s">
        <v>31830</v>
      </c>
    </row>
    <row r="7651" spans="1:25" x14ac:dyDescent="0.25">
      <c r="A7651" t="str">
        <f>"66361298967"</f>
        <v>66361298967</v>
      </c>
      <c r="B7651" t="s">
        <v>18</v>
      </c>
      <c r="C7651" t="s">
        <v>31834</v>
      </c>
      <c r="D7651" t="s">
        <v>31831</v>
      </c>
      <c r="E7651">
        <v>424006</v>
      </c>
      <c r="F7651" t="s">
        <v>1</v>
      </c>
      <c r="G7651" t="s">
        <v>2</v>
      </c>
      <c r="H7651" t="s">
        <v>1923</v>
      </c>
      <c r="I7651" t="s">
        <v>31832</v>
      </c>
      <c r="J7651" t="s">
        <v>15577</v>
      </c>
      <c r="M7651" t="s">
        <v>31833</v>
      </c>
      <c r="P7651" t="s">
        <v>11069</v>
      </c>
      <c r="Q7651" t="s">
        <v>31835</v>
      </c>
      <c r="Y7651" t="s">
        <v>31836</v>
      </c>
    </row>
    <row r="7652" spans="1:25" x14ac:dyDescent="0.25">
      <c r="A7652" t="str">
        <f>"66362934845"</f>
        <v>66362934845</v>
      </c>
      <c r="B7652" t="s">
        <v>25</v>
      </c>
      <c r="C7652" t="s">
        <v>13425</v>
      </c>
      <c r="D7652" t="s">
        <v>31837</v>
      </c>
      <c r="E7652">
        <v>424000</v>
      </c>
      <c r="F7652" t="s">
        <v>1</v>
      </c>
      <c r="G7652" t="s">
        <v>2</v>
      </c>
      <c r="H7652" t="s">
        <v>5942</v>
      </c>
      <c r="Y7652" t="s">
        <v>31838</v>
      </c>
    </row>
    <row r="7653" spans="1:25" x14ac:dyDescent="0.25">
      <c r="A7653" t="str">
        <f>"66371978412"</f>
        <v>66371978412</v>
      </c>
      <c r="B7653" t="s">
        <v>1046</v>
      </c>
      <c r="C7653" t="s">
        <v>22946</v>
      </c>
      <c r="D7653" t="s">
        <v>31839</v>
      </c>
      <c r="E7653">
        <v>424038</v>
      </c>
      <c r="F7653" t="s">
        <v>1</v>
      </c>
      <c r="G7653" t="s">
        <v>2</v>
      </c>
      <c r="H7653" t="s">
        <v>7597</v>
      </c>
      <c r="P7653" t="s">
        <v>1642</v>
      </c>
      <c r="Y7653" t="s">
        <v>31840</v>
      </c>
    </row>
    <row r="7654" spans="1:25" x14ac:dyDescent="0.25">
      <c r="A7654" t="str">
        <f>"66413438650"</f>
        <v>66413438650</v>
      </c>
      <c r="B7654" t="s">
        <v>1152</v>
      </c>
      <c r="C7654" t="s">
        <v>31845</v>
      </c>
      <c r="D7654" t="s">
        <v>31841</v>
      </c>
      <c r="E7654">
        <v>424038</v>
      </c>
      <c r="F7654" t="s">
        <v>1</v>
      </c>
      <c r="G7654" t="s">
        <v>2</v>
      </c>
      <c r="H7654" t="s">
        <v>7597</v>
      </c>
      <c r="I7654" t="s">
        <v>31842</v>
      </c>
      <c r="L7654" t="s">
        <v>31843</v>
      </c>
      <c r="M7654" t="s">
        <v>31844</v>
      </c>
      <c r="P7654" t="s">
        <v>1642</v>
      </c>
      <c r="Q7654" t="s">
        <v>31846</v>
      </c>
      <c r="R7654" t="s">
        <v>31847</v>
      </c>
      <c r="S7654" t="s">
        <v>31848</v>
      </c>
      <c r="T7654" t="s">
        <v>31849</v>
      </c>
      <c r="U7654" t="s">
        <v>31850</v>
      </c>
      <c r="V7654" t="s">
        <v>31851</v>
      </c>
      <c r="Y7654" t="s">
        <v>16150</v>
      </c>
    </row>
    <row r="7655" spans="1:25" x14ac:dyDescent="0.25">
      <c r="A7655" t="str">
        <f>"66422275189"</f>
        <v>66422275189</v>
      </c>
      <c r="B7655" t="s">
        <v>10383</v>
      </c>
      <c r="C7655" t="s">
        <v>31853</v>
      </c>
      <c r="D7655" t="s">
        <v>31852</v>
      </c>
      <c r="F7655" t="s">
        <v>1</v>
      </c>
      <c r="G7655" t="s">
        <v>2</v>
      </c>
      <c r="H7655" t="s">
        <v>2770</v>
      </c>
      <c r="Y7655" t="s">
        <v>119</v>
      </c>
    </row>
    <row r="7656" spans="1:25" x14ac:dyDescent="0.25">
      <c r="A7656" t="str">
        <f>"66460726912"</f>
        <v>66460726912</v>
      </c>
      <c r="B7656" t="s">
        <v>930</v>
      </c>
      <c r="C7656" t="s">
        <v>10263</v>
      </c>
      <c r="D7656" t="s">
        <v>31854</v>
      </c>
      <c r="E7656">
        <v>424006</v>
      </c>
      <c r="F7656" t="s">
        <v>1</v>
      </c>
      <c r="G7656" t="s">
        <v>2</v>
      </c>
      <c r="H7656" t="s">
        <v>31855</v>
      </c>
      <c r="I7656" t="s">
        <v>20888</v>
      </c>
      <c r="J7656" t="s">
        <v>20889</v>
      </c>
      <c r="P7656" t="s">
        <v>330</v>
      </c>
      <c r="Y7656" t="s">
        <v>31856</v>
      </c>
    </row>
    <row r="7657" spans="1:25" x14ac:dyDescent="0.25">
      <c r="A7657" t="str">
        <f>"66500096909"</f>
        <v>66500096909</v>
      </c>
      <c r="B7657" t="s">
        <v>790</v>
      </c>
      <c r="C7657" t="s">
        <v>31858</v>
      </c>
      <c r="D7657" t="s">
        <v>31857</v>
      </c>
      <c r="E7657">
        <v>424033</v>
      </c>
      <c r="F7657" t="s">
        <v>1</v>
      </c>
      <c r="G7657" t="s">
        <v>2</v>
      </c>
      <c r="H7657" t="s">
        <v>10720</v>
      </c>
      <c r="Y7657" t="s">
        <v>31859</v>
      </c>
    </row>
    <row r="7658" spans="1:25" x14ac:dyDescent="0.25">
      <c r="A7658" t="str">
        <f>"66511338058"</f>
        <v>66511338058</v>
      </c>
      <c r="B7658" t="s">
        <v>1152</v>
      </c>
      <c r="C7658" t="s">
        <v>31864</v>
      </c>
      <c r="D7658" t="s">
        <v>31860</v>
      </c>
      <c r="E7658">
        <v>424019</v>
      </c>
      <c r="F7658" t="s">
        <v>1</v>
      </c>
      <c r="G7658" t="s">
        <v>2</v>
      </c>
      <c r="H7658" t="s">
        <v>31861</v>
      </c>
      <c r="J7658" t="s">
        <v>31862</v>
      </c>
      <c r="L7658" t="s">
        <v>597</v>
      </c>
      <c r="M7658" t="s">
        <v>31863</v>
      </c>
      <c r="P7658" t="s">
        <v>330</v>
      </c>
      <c r="Y7658" t="s">
        <v>31865</v>
      </c>
    </row>
    <row r="7659" spans="1:25" x14ac:dyDescent="0.25">
      <c r="A7659" t="str">
        <f>"66545016008"</f>
        <v>66545016008</v>
      </c>
      <c r="B7659" t="s">
        <v>1475</v>
      </c>
      <c r="C7659" t="s">
        <v>1476</v>
      </c>
      <c r="D7659" t="s">
        <v>31866</v>
      </c>
      <c r="E7659">
        <v>424038</v>
      </c>
      <c r="F7659" t="s">
        <v>1</v>
      </c>
      <c r="G7659" t="s">
        <v>2</v>
      </c>
      <c r="H7659" t="s">
        <v>28558</v>
      </c>
      <c r="Y7659" t="s">
        <v>31867</v>
      </c>
    </row>
    <row r="7660" spans="1:25" x14ac:dyDescent="0.25">
      <c r="A7660" t="str">
        <f>"66545087913"</f>
        <v>66545087913</v>
      </c>
      <c r="B7660" t="s">
        <v>1315</v>
      </c>
      <c r="C7660" t="s">
        <v>31870</v>
      </c>
      <c r="D7660" t="s">
        <v>31868</v>
      </c>
      <c r="E7660">
        <v>424007</v>
      </c>
      <c r="F7660" t="s">
        <v>1</v>
      </c>
      <c r="G7660" t="s">
        <v>2</v>
      </c>
      <c r="H7660" t="s">
        <v>1654</v>
      </c>
      <c r="J7660" t="s">
        <v>31869</v>
      </c>
      <c r="Y7660" t="s">
        <v>1661</v>
      </c>
    </row>
    <row r="7661" spans="1:25" x14ac:dyDescent="0.25">
      <c r="A7661" t="str">
        <f>"66594598441"</f>
        <v>66594598441</v>
      </c>
      <c r="B7661" t="s">
        <v>930</v>
      </c>
      <c r="C7661" t="s">
        <v>1940</v>
      </c>
      <c r="D7661" t="s">
        <v>31871</v>
      </c>
      <c r="E7661">
        <v>424020</v>
      </c>
      <c r="F7661" t="s">
        <v>1</v>
      </c>
      <c r="G7661" t="s">
        <v>2</v>
      </c>
      <c r="H7661" t="s">
        <v>31872</v>
      </c>
      <c r="Y7661" t="s">
        <v>31873</v>
      </c>
    </row>
    <row r="7662" spans="1:25" x14ac:dyDescent="0.25">
      <c r="A7662" t="str">
        <f>"66599360374"</f>
        <v>66599360374</v>
      </c>
      <c r="B7662" t="s">
        <v>96</v>
      </c>
      <c r="C7662" t="s">
        <v>7775</v>
      </c>
      <c r="D7662" t="s">
        <v>31874</v>
      </c>
      <c r="E7662">
        <v>424007</v>
      </c>
      <c r="F7662" t="s">
        <v>1</v>
      </c>
      <c r="G7662" t="s">
        <v>2</v>
      </c>
      <c r="H7662" t="s">
        <v>5178</v>
      </c>
      <c r="J7662" t="s">
        <v>31875</v>
      </c>
      <c r="P7662" t="s">
        <v>748</v>
      </c>
      <c r="Y7662" t="s">
        <v>31876</v>
      </c>
    </row>
    <row r="7663" spans="1:25" x14ac:dyDescent="0.25">
      <c r="A7663" t="str">
        <f>"66637142617"</f>
        <v>66637142617</v>
      </c>
      <c r="B7663" t="s">
        <v>1573</v>
      </c>
      <c r="C7663" t="s">
        <v>1817</v>
      </c>
      <c r="D7663" t="s">
        <v>1815</v>
      </c>
      <c r="E7663">
        <v>424019</v>
      </c>
      <c r="F7663" t="s">
        <v>1</v>
      </c>
      <c r="G7663" t="s">
        <v>2</v>
      </c>
      <c r="H7663" t="s">
        <v>17272</v>
      </c>
      <c r="Y7663" t="s">
        <v>31877</v>
      </c>
    </row>
    <row r="7664" spans="1:25" x14ac:dyDescent="0.25">
      <c r="A7664" t="str">
        <f>"66659017029"</f>
        <v>66659017029</v>
      </c>
      <c r="B7664" t="s">
        <v>96</v>
      </c>
      <c r="C7664" t="s">
        <v>659</v>
      </c>
      <c r="D7664" t="s">
        <v>31878</v>
      </c>
      <c r="E7664">
        <v>424004</v>
      </c>
      <c r="F7664" t="s">
        <v>1</v>
      </c>
      <c r="G7664" t="s">
        <v>2</v>
      </c>
      <c r="H7664" t="s">
        <v>186</v>
      </c>
      <c r="Y7664" t="s">
        <v>31879</v>
      </c>
    </row>
    <row r="7665" spans="1:25" x14ac:dyDescent="0.25">
      <c r="A7665" t="str">
        <f>"66709973890"</f>
        <v>66709973890</v>
      </c>
      <c r="B7665" t="s">
        <v>7</v>
      </c>
      <c r="C7665" t="s">
        <v>14013</v>
      </c>
      <c r="D7665" t="s">
        <v>31880</v>
      </c>
      <c r="E7665">
        <v>424006</v>
      </c>
      <c r="F7665" t="s">
        <v>1</v>
      </c>
      <c r="G7665" t="s">
        <v>2</v>
      </c>
      <c r="H7665" t="s">
        <v>1890</v>
      </c>
      <c r="I7665" t="s">
        <v>31881</v>
      </c>
      <c r="P7665" t="s">
        <v>152</v>
      </c>
      <c r="Y7665" t="s">
        <v>1893</v>
      </c>
    </row>
    <row r="7666" spans="1:25" x14ac:dyDescent="0.25">
      <c r="A7666" t="str">
        <f>"66712790473"</f>
        <v>66712790473</v>
      </c>
      <c r="B7666" t="s">
        <v>48</v>
      </c>
      <c r="C7666" t="s">
        <v>16070</v>
      </c>
      <c r="D7666" t="s">
        <v>31882</v>
      </c>
      <c r="E7666">
        <v>424007</v>
      </c>
      <c r="F7666" t="s">
        <v>1</v>
      </c>
      <c r="G7666" t="s">
        <v>2</v>
      </c>
      <c r="H7666" t="s">
        <v>10411</v>
      </c>
      <c r="Y7666" t="s">
        <v>31883</v>
      </c>
    </row>
    <row r="7667" spans="1:25" x14ac:dyDescent="0.25">
      <c r="A7667" t="str">
        <f>"66760728874"</f>
        <v>66760728874</v>
      </c>
      <c r="B7667" t="s">
        <v>803</v>
      </c>
      <c r="C7667" t="s">
        <v>29318</v>
      </c>
      <c r="D7667" t="s">
        <v>31884</v>
      </c>
      <c r="E7667">
        <v>424007</v>
      </c>
      <c r="F7667" t="s">
        <v>1</v>
      </c>
      <c r="G7667" t="s">
        <v>2</v>
      </c>
      <c r="H7667" t="s">
        <v>5178</v>
      </c>
      <c r="P7667" t="s">
        <v>2731</v>
      </c>
      <c r="Y7667" t="s">
        <v>31885</v>
      </c>
    </row>
    <row r="7668" spans="1:25" x14ac:dyDescent="0.25">
      <c r="A7668" t="str">
        <f>"66764280676"</f>
        <v>66764280676</v>
      </c>
      <c r="B7668" t="s">
        <v>530</v>
      </c>
      <c r="C7668" t="s">
        <v>23950</v>
      </c>
      <c r="D7668" t="s">
        <v>23950</v>
      </c>
      <c r="F7668" t="s">
        <v>1</v>
      </c>
      <c r="G7668" t="s">
        <v>2</v>
      </c>
      <c r="H7668" t="s">
        <v>31886</v>
      </c>
      <c r="Y7668" t="s">
        <v>31887</v>
      </c>
    </row>
    <row r="7669" spans="1:25" x14ac:dyDescent="0.25">
      <c r="A7669" t="str">
        <f>"66822398839"</f>
        <v>66822398839</v>
      </c>
      <c r="B7669" t="s">
        <v>1152</v>
      </c>
      <c r="C7669" t="s">
        <v>1153</v>
      </c>
      <c r="D7669" t="s">
        <v>24071</v>
      </c>
      <c r="E7669">
        <v>424028</v>
      </c>
      <c r="F7669" t="s">
        <v>1</v>
      </c>
      <c r="G7669" t="s">
        <v>2</v>
      </c>
      <c r="H7669" t="s">
        <v>24503</v>
      </c>
      <c r="Y7669" t="s">
        <v>31888</v>
      </c>
    </row>
    <row r="7670" spans="1:25" x14ac:dyDescent="0.25">
      <c r="A7670" t="str">
        <f>"66873124228"</f>
        <v>66873124228</v>
      </c>
      <c r="B7670" t="s">
        <v>2601</v>
      </c>
      <c r="C7670" t="s">
        <v>5375</v>
      </c>
      <c r="D7670" t="s">
        <v>5375</v>
      </c>
      <c r="E7670">
        <v>424038</v>
      </c>
      <c r="F7670" t="s">
        <v>1</v>
      </c>
      <c r="G7670" t="s">
        <v>2</v>
      </c>
      <c r="H7670" t="s">
        <v>465</v>
      </c>
      <c r="Y7670" t="s">
        <v>31889</v>
      </c>
    </row>
    <row r="7671" spans="1:25" x14ac:dyDescent="0.25">
      <c r="A7671" t="str">
        <f>"66883837640"</f>
        <v>66883837640</v>
      </c>
      <c r="B7671" t="s">
        <v>930</v>
      </c>
      <c r="C7671" t="s">
        <v>31891</v>
      </c>
      <c r="D7671" t="s">
        <v>25252</v>
      </c>
      <c r="E7671">
        <v>424038</v>
      </c>
      <c r="F7671" t="s">
        <v>1</v>
      </c>
      <c r="G7671" t="s">
        <v>2</v>
      </c>
      <c r="H7671" t="s">
        <v>2145</v>
      </c>
      <c r="J7671" t="s">
        <v>31890</v>
      </c>
      <c r="L7671" t="s">
        <v>25254</v>
      </c>
      <c r="P7671" t="s">
        <v>330</v>
      </c>
      <c r="Q7671" t="s">
        <v>25255</v>
      </c>
      <c r="Y7671" t="s">
        <v>10626</v>
      </c>
    </row>
    <row r="7672" spans="1:25" x14ac:dyDescent="0.25">
      <c r="A7672" t="str">
        <f>"66884689382"</f>
        <v>66884689382</v>
      </c>
      <c r="B7672" t="s">
        <v>110</v>
      </c>
      <c r="C7672" t="s">
        <v>31895</v>
      </c>
      <c r="D7672" t="s">
        <v>31892</v>
      </c>
      <c r="F7672" t="s">
        <v>1</v>
      </c>
      <c r="G7672" t="s">
        <v>2</v>
      </c>
      <c r="H7672" t="s">
        <v>25588</v>
      </c>
      <c r="I7672" t="s">
        <v>31893</v>
      </c>
      <c r="J7672" t="s">
        <v>31894</v>
      </c>
      <c r="P7672" t="s">
        <v>2050</v>
      </c>
      <c r="Y7672" t="s">
        <v>31896</v>
      </c>
    </row>
    <row r="7673" spans="1:25" x14ac:dyDescent="0.25">
      <c r="A7673" t="str">
        <f>"66903541365"</f>
        <v>66903541365</v>
      </c>
      <c r="B7673" t="s">
        <v>18</v>
      </c>
      <c r="C7673" t="s">
        <v>31901</v>
      </c>
      <c r="D7673" t="s">
        <v>31897</v>
      </c>
      <c r="E7673">
        <v>424005</v>
      </c>
      <c r="F7673" t="s">
        <v>1</v>
      </c>
      <c r="G7673" t="s">
        <v>2</v>
      </c>
      <c r="H7673" t="s">
        <v>1310</v>
      </c>
      <c r="I7673" t="s">
        <v>31898</v>
      </c>
      <c r="L7673" t="s">
        <v>31899</v>
      </c>
      <c r="M7673" t="s">
        <v>31900</v>
      </c>
      <c r="P7673" t="s">
        <v>2951</v>
      </c>
      <c r="Y7673" t="s">
        <v>3926</v>
      </c>
    </row>
    <row r="7674" spans="1:25" x14ac:dyDescent="0.25">
      <c r="A7674" t="str">
        <f>"66946271023"</f>
        <v>66946271023</v>
      </c>
      <c r="B7674" t="s">
        <v>574</v>
      </c>
      <c r="C7674" t="s">
        <v>646</v>
      </c>
      <c r="D7674" t="s">
        <v>29764</v>
      </c>
      <c r="E7674">
        <v>424038</v>
      </c>
      <c r="F7674" t="s">
        <v>1</v>
      </c>
      <c r="G7674" t="s">
        <v>2</v>
      </c>
      <c r="H7674" t="s">
        <v>15751</v>
      </c>
      <c r="P7674" t="s">
        <v>10285</v>
      </c>
      <c r="Y7674" t="s">
        <v>31902</v>
      </c>
    </row>
    <row r="7675" spans="1:25" x14ac:dyDescent="0.25">
      <c r="A7675" t="str">
        <f>"66967052715"</f>
        <v>66967052715</v>
      </c>
      <c r="B7675" t="s">
        <v>123</v>
      </c>
      <c r="C7675" t="s">
        <v>31905</v>
      </c>
      <c r="D7675" t="s">
        <v>31903</v>
      </c>
      <c r="E7675">
        <v>424032</v>
      </c>
      <c r="F7675" t="s">
        <v>1</v>
      </c>
      <c r="G7675" t="s">
        <v>2</v>
      </c>
      <c r="H7675" t="s">
        <v>11716</v>
      </c>
      <c r="J7675" t="s">
        <v>31904</v>
      </c>
      <c r="P7675" t="s">
        <v>18361</v>
      </c>
      <c r="Y7675" t="s">
        <v>31906</v>
      </c>
    </row>
    <row r="7676" spans="1:25" x14ac:dyDescent="0.25">
      <c r="A7676" t="str">
        <f>"66971701126"</f>
        <v>66971701126</v>
      </c>
      <c r="B7676" t="s">
        <v>32</v>
      </c>
      <c r="C7676" t="s">
        <v>21358</v>
      </c>
      <c r="D7676" t="s">
        <v>31907</v>
      </c>
      <c r="E7676">
        <v>424004</v>
      </c>
      <c r="F7676" t="s">
        <v>1</v>
      </c>
      <c r="G7676" t="s">
        <v>2</v>
      </c>
      <c r="H7676" t="s">
        <v>229</v>
      </c>
      <c r="P7676" t="s">
        <v>216</v>
      </c>
      <c r="Y7676" t="s">
        <v>237</v>
      </c>
    </row>
    <row r="7677" spans="1:25" x14ac:dyDescent="0.25">
      <c r="A7677" t="str">
        <f>"67003940887"</f>
        <v>67003940887</v>
      </c>
      <c r="B7677" t="s">
        <v>32</v>
      </c>
      <c r="C7677" t="s">
        <v>20137</v>
      </c>
      <c r="D7677" t="s">
        <v>22377</v>
      </c>
      <c r="E7677">
        <v>424002</v>
      </c>
      <c r="F7677" t="s">
        <v>1</v>
      </c>
      <c r="G7677" t="s">
        <v>2</v>
      </c>
      <c r="H7677" t="s">
        <v>662</v>
      </c>
      <c r="I7677" t="s">
        <v>31908</v>
      </c>
      <c r="P7677" t="s">
        <v>31909</v>
      </c>
      <c r="Y7677" t="s">
        <v>31910</v>
      </c>
    </row>
    <row r="7678" spans="1:25" x14ac:dyDescent="0.25">
      <c r="A7678" t="str">
        <f>"67019712675"</f>
        <v>67019712675</v>
      </c>
      <c r="B7678" t="s">
        <v>1729</v>
      </c>
      <c r="C7678" t="s">
        <v>2992</v>
      </c>
      <c r="D7678" t="s">
        <v>29843</v>
      </c>
      <c r="E7678">
        <v>424006</v>
      </c>
      <c r="F7678" t="s">
        <v>1</v>
      </c>
      <c r="G7678" t="s">
        <v>2</v>
      </c>
      <c r="H7678" t="s">
        <v>2805</v>
      </c>
      <c r="Y7678" t="s">
        <v>31911</v>
      </c>
    </row>
    <row r="7679" spans="1:25" x14ac:dyDescent="0.25">
      <c r="A7679" t="str">
        <f>"67040682654"</f>
        <v>67040682654</v>
      </c>
      <c r="B7679" t="s">
        <v>176</v>
      </c>
      <c r="C7679" t="s">
        <v>566</v>
      </c>
      <c r="D7679" t="s">
        <v>31912</v>
      </c>
      <c r="E7679">
        <v>424003</v>
      </c>
      <c r="F7679" t="s">
        <v>1</v>
      </c>
      <c r="G7679" t="s">
        <v>2</v>
      </c>
      <c r="H7679" t="s">
        <v>14034</v>
      </c>
      <c r="I7679" t="s">
        <v>31913</v>
      </c>
      <c r="J7679" t="s">
        <v>31914</v>
      </c>
      <c r="L7679" t="s">
        <v>31915</v>
      </c>
      <c r="M7679" t="s">
        <v>31916</v>
      </c>
      <c r="P7679" t="s">
        <v>330</v>
      </c>
      <c r="Q7679" t="s">
        <v>31917</v>
      </c>
      <c r="V7679" t="s">
        <v>31918</v>
      </c>
      <c r="Y7679" t="s">
        <v>31919</v>
      </c>
    </row>
    <row r="7680" spans="1:25" x14ac:dyDescent="0.25">
      <c r="A7680" t="str">
        <f>"67045540677"</f>
        <v>67045540677</v>
      </c>
      <c r="B7680" t="s">
        <v>379</v>
      </c>
      <c r="C7680" t="s">
        <v>766</v>
      </c>
      <c r="D7680" t="s">
        <v>31920</v>
      </c>
      <c r="E7680">
        <v>424003</v>
      </c>
      <c r="F7680" t="s">
        <v>1</v>
      </c>
      <c r="G7680" t="s">
        <v>2</v>
      </c>
      <c r="H7680" t="s">
        <v>15497</v>
      </c>
      <c r="Y7680" t="s">
        <v>31921</v>
      </c>
    </row>
    <row r="7681" spans="1:25" x14ac:dyDescent="0.25">
      <c r="A7681" t="str">
        <f>"67048140406"</f>
        <v>67048140406</v>
      </c>
      <c r="B7681" t="s">
        <v>574</v>
      </c>
      <c r="C7681" t="s">
        <v>23462</v>
      </c>
      <c r="D7681" t="s">
        <v>24693</v>
      </c>
      <c r="E7681">
        <v>424033</v>
      </c>
      <c r="F7681" t="s">
        <v>1</v>
      </c>
      <c r="G7681" t="s">
        <v>2</v>
      </c>
      <c r="H7681" t="s">
        <v>10720</v>
      </c>
      <c r="Y7681" t="s">
        <v>31922</v>
      </c>
    </row>
    <row r="7682" spans="1:25" x14ac:dyDescent="0.25">
      <c r="A7682" t="str">
        <f>"67064631416"</f>
        <v>67064631416</v>
      </c>
      <c r="B7682" t="s">
        <v>530</v>
      </c>
      <c r="C7682" t="s">
        <v>23950</v>
      </c>
      <c r="D7682" t="s">
        <v>23950</v>
      </c>
      <c r="E7682">
        <v>424039</v>
      </c>
      <c r="F7682" t="s">
        <v>1</v>
      </c>
      <c r="G7682" t="s">
        <v>2</v>
      </c>
      <c r="H7682" t="s">
        <v>13455</v>
      </c>
      <c r="Y7682" t="s">
        <v>31923</v>
      </c>
    </row>
    <row r="7683" spans="1:25" x14ac:dyDescent="0.25">
      <c r="A7683" t="str">
        <f>"67078662089"</f>
        <v>67078662089</v>
      </c>
      <c r="B7683" t="s">
        <v>96</v>
      </c>
      <c r="C7683" t="s">
        <v>26416</v>
      </c>
      <c r="D7683" t="s">
        <v>31924</v>
      </c>
      <c r="E7683">
        <v>424000</v>
      </c>
      <c r="F7683" t="s">
        <v>1</v>
      </c>
      <c r="G7683" t="s">
        <v>2</v>
      </c>
      <c r="H7683" t="s">
        <v>2671</v>
      </c>
      <c r="Y7683" t="s">
        <v>2674</v>
      </c>
    </row>
    <row r="7684" spans="1:25" x14ac:dyDescent="0.25">
      <c r="A7684" t="str">
        <f>"67080932815"</f>
        <v>67080932815</v>
      </c>
      <c r="B7684" t="s">
        <v>574</v>
      </c>
      <c r="C7684" t="s">
        <v>10644</v>
      </c>
      <c r="D7684" t="s">
        <v>7620</v>
      </c>
      <c r="E7684">
        <v>424003</v>
      </c>
      <c r="F7684" t="s">
        <v>1</v>
      </c>
      <c r="G7684" t="s">
        <v>2</v>
      </c>
      <c r="H7684" t="s">
        <v>31925</v>
      </c>
      <c r="P7684" t="s">
        <v>9840</v>
      </c>
      <c r="Y7684" t="s">
        <v>31926</v>
      </c>
    </row>
    <row r="7685" spans="1:25" x14ac:dyDescent="0.25">
      <c r="A7685" t="str">
        <f>"67108889076"</f>
        <v>67108889076</v>
      </c>
      <c r="B7685" t="s">
        <v>123</v>
      </c>
      <c r="C7685" t="s">
        <v>196</v>
      </c>
      <c r="D7685" t="s">
        <v>4123</v>
      </c>
      <c r="E7685">
        <v>424008</v>
      </c>
      <c r="F7685" t="s">
        <v>1</v>
      </c>
      <c r="G7685" t="s">
        <v>2</v>
      </c>
      <c r="H7685" t="s">
        <v>13912</v>
      </c>
      <c r="Y7685" t="s">
        <v>31927</v>
      </c>
    </row>
    <row r="7686" spans="1:25" x14ac:dyDescent="0.25">
      <c r="A7686" t="str">
        <f>"67181074531"</f>
        <v>67181074531</v>
      </c>
      <c r="B7686" t="s">
        <v>738</v>
      </c>
      <c r="C7686" t="s">
        <v>739</v>
      </c>
      <c r="D7686" t="s">
        <v>31928</v>
      </c>
      <c r="F7686" t="s">
        <v>1</v>
      </c>
      <c r="G7686" t="s">
        <v>2</v>
      </c>
      <c r="H7686" t="s">
        <v>13225</v>
      </c>
      <c r="I7686" t="s">
        <v>31929</v>
      </c>
      <c r="P7686" t="s">
        <v>31930</v>
      </c>
      <c r="Y7686" t="s">
        <v>23678</v>
      </c>
    </row>
    <row r="7687" spans="1:25" x14ac:dyDescent="0.25">
      <c r="A7687" t="str">
        <f>"67216832400"</f>
        <v>67216832400</v>
      </c>
      <c r="B7687" t="s">
        <v>1493</v>
      </c>
      <c r="C7687" t="s">
        <v>31932</v>
      </c>
      <c r="D7687" t="s">
        <v>18511</v>
      </c>
      <c r="E7687">
        <v>424004</v>
      </c>
      <c r="F7687" t="s">
        <v>1</v>
      </c>
      <c r="G7687" t="s">
        <v>2</v>
      </c>
      <c r="H7687" t="s">
        <v>351</v>
      </c>
      <c r="I7687" t="s">
        <v>31931</v>
      </c>
      <c r="P7687" t="s">
        <v>2050</v>
      </c>
      <c r="Y7687" t="s">
        <v>354</v>
      </c>
    </row>
    <row r="7688" spans="1:25" x14ac:dyDescent="0.25">
      <c r="A7688" t="str">
        <f>"67247004918"</f>
        <v>67247004918</v>
      </c>
      <c r="B7688" t="s">
        <v>188</v>
      </c>
      <c r="C7688" t="s">
        <v>23982</v>
      </c>
      <c r="D7688" t="s">
        <v>23982</v>
      </c>
      <c r="E7688">
        <v>424033</v>
      </c>
      <c r="F7688" t="s">
        <v>1</v>
      </c>
      <c r="G7688" t="s">
        <v>2</v>
      </c>
      <c r="H7688" t="s">
        <v>31933</v>
      </c>
      <c r="Y7688" t="s">
        <v>31934</v>
      </c>
    </row>
    <row r="7689" spans="1:25" x14ac:dyDescent="0.25">
      <c r="A7689" t="str">
        <f>"67250675739"</f>
        <v>67250675739</v>
      </c>
      <c r="B7689" t="s">
        <v>117</v>
      </c>
      <c r="C7689" t="s">
        <v>6850</v>
      </c>
      <c r="D7689" t="s">
        <v>31935</v>
      </c>
      <c r="F7689" t="s">
        <v>1</v>
      </c>
      <c r="G7689" t="s">
        <v>2</v>
      </c>
      <c r="H7689" t="s">
        <v>31936</v>
      </c>
      <c r="Y7689" t="s">
        <v>31937</v>
      </c>
    </row>
    <row r="7690" spans="1:25" x14ac:dyDescent="0.25">
      <c r="A7690" t="str">
        <f>"67262365790"</f>
        <v>67262365790</v>
      </c>
      <c r="B7690" t="s">
        <v>738</v>
      </c>
      <c r="C7690" t="s">
        <v>739</v>
      </c>
      <c r="D7690" t="s">
        <v>9668</v>
      </c>
      <c r="E7690">
        <v>424020</v>
      </c>
      <c r="F7690" t="s">
        <v>1</v>
      </c>
      <c r="G7690" t="s">
        <v>2</v>
      </c>
      <c r="H7690" t="s">
        <v>9669</v>
      </c>
      <c r="P7690" t="s">
        <v>2050</v>
      </c>
      <c r="Y7690" t="s">
        <v>31938</v>
      </c>
    </row>
    <row r="7691" spans="1:25" x14ac:dyDescent="0.25">
      <c r="A7691" t="str">
        <f>"67264398342"</f>
        <v>67264398342</v>
      </c>
      <c r="B7691" t="s">
        <v>32</v>
      </c>
      <c r="C7691" t="s">
        <v>31939</v>
      </c>
      <c r="D7691" t="s">
        <v>24227</v>
      </c>
      <c r="E7691">
        <v>424002</v>
      </c>
      <c r="F7691" t="s">
        <v>1</v>
      </c>
      <c r="G7691" t="s">
        <v>2</v>
      </c>
      <c r="H7691" t="s">
        <v>16252</v>
      </c>
      <c r="Y7691" t="s">
        <v>31940</v>
      </c>
    </row>
    <row r="7692" spans="1:25" x14ac:dyDescent="0.25">
      <c r="A7692" t="str">
        <f>"67369255424"</f>
        <v>67369255424</v>
      </c>
      <c r="B7692" t="s">
        <v>123</v>
      </c>
      <c r="C7692" t="s">
        <v>10249</v>
      </c>
      <c r="D7692" t="s">
        <v>31941</v>
      </c>
      <c r="E7692">
        <v>424007</v>
      </c>
      <c r="F7692" t="s">
        <v>1</v>
      </c>
      <c r="G7692" t="s">
        <v>2</v>
      </c>
      <c r="H7692" t="s">
        <v>31942</v>
      </c>
      <c r="P7692" t="s">
        <v>17369</v>
      </c>
      <c r="Y7692" t="s">
        <v>31943</v>
      </c>
    </row>
    <row r="7693" spans="1:25" x14ac:dyDescent="0.25">
      <c r="A7693" t="str">
        <f>"67384255914"</f>
        <v>67384255914</v>
      </c>
      <c r="B7693" t="s">
        <v>25</v>
      </c>
      <c r="C7693" t="s">
        <v>20320</v>
      </c>
      <c r="D7693" t="s">
        <v>31944</v>
      </c>
      <c r="F7693" t="s">
        <v>1</v>
      </c>
      <c r="G7693" t="s">
        <v>2</v>
      </c>
      <c r="H7693" t="s">
        <v>26431</v>
      </c>
      <c r="Y7693" t="s">
        <v>31945</v>
      </c>
    </row>
    <row r="7694" spans="1:25" x14ac:dyDescent="0.25">
      <c r="A7694" t="str">
        <f>"67393428979"</f>
        <v>67393428979</v>
      </c>
      <c r="B7694" t="s">
        <v>96</v>
      </c>
      <c r="C7694" t="s">
        <v>507</v>
      </c>
      <c r="D7694" t="s">
        <v>31946</v>
      </c>
      <c r="E7694">
        <v>424033</v>
      </c>
      <c r="F7694" t="s">
        <v>1</v>
      </c>
      <c r="G7694" t="s">
        <v>2</v>
      </c>
      <c r="H7694" t="s">
        <v>2597</v>
      </c>
      <c r="Y7694" t="s">
        <v>2718</v>
      </c>
    </row>
    <row r="7695" spans="1:25" x14ac:dyDescent="0.25">
      <c r="A7695" t="str">
        <f>"67436848058"</f>
        <v>67436848058</v>
      </c>
      <c r="B7695" t="s">
        <v>408</v>
      </c>
      <c r="C7695" t="s">
        <v>409</v>
      </c>
      <c r="D7695" t="s">
        <v>31947</v>
      </c>
      <c r="E7695">
        <v>424006</v>
      </c>
      <c r="F7695" t="s">
        <v>1</v>
      </c>
      <c r="G7695" t="s">
        <v>2</v>
      </c>
      <c r="H7695" t="s">
        <v>6902</v>
      </c>
      <c r="Y7695" t="s">
        <v>31948</v>
      </c>
    </row>
    <row r="7696" spans="1:25" x14ac:dyDescent="0.25">
      <c r="A7696" t="str">
        <f>"67452603173"</f>
        <v>67452603173</v>
      </c>
      <c r="B7696" t="s">
        <v>430</v>
      </c>
      <c r="C7696" t="s">
        <v>27239</v>
      </c>
      <c r="D7696" t="s">
        <v>31949</v>
      </c>
      <c r="F7696" t="s">
        <v>1</v>
      </c>
      <c r="G7696" t="s">
        <v>2</v>
      </c>
      <c r="H7696" t="s">
        <v>26431</v>
      </c>
      <c r="J7696" t="s">
        <v>31950</v>
      </c>
      <c r="P7696" t="s">
        <v>98</v>
      </c>
      <c r="Q7696" t="s">
        <v>31951</v>
      </c>
      <c r="V7696" t="s">
        <v>31952</v>
      </c>
      <c r="Y7696" t="s">
        <v>26439</v>
      </c>
    </row>
    <row r="7697" spans="1:25" x14ac:dyDescent="0.25">
      <c r="A7697" t="str">
        <f>"67476666474"</f>
        <v>67476666474</v>
      </c>
      <c r="B7697" t="s">
        <v>1617</v>
      </c>
      <c r="C7697" t="s">
        <v>21001</v>
      </c>
      <c r="D7697" t="s">
        <v>24203</v>
      </c>
      <c r="E7697">
        <v>424008</v>
      </c>
      <c r="F7697" t="s">
        <v>1</v>
      </c>
      <c r="G7697" t="s">
        <v>2</v>
      </c>
      <c r="H7697" t="s">
        <v>31953</v>
      </c>
      <c r="Y7697" t="s">
        <v>31954</v>
      </c>
    </row>
    <row r="7698" spans="1:25" x14ac:dyDescent="0.25">
      <c r="A7698" t="str">
        <f>"67522537040"</f>
        <v>67522537040</v>
      </c>
      <c r="B7698" t="s">
        <v>790</v>
      </c>
      <c r="C7698" t="s">
        <v>25438</v>
      </c>
      <c r="D7698" t="s">
        <v>31955</v>
      </c>
      <c r="E7698">
        <v>424006</v>
      </c>
      <c r="F7698" t="s">
        <v>1</v>
      </c>
      <c r="G7698" t="s">
        <v>2</v>
      </c>
      <c r="H7698" t="s">
        <v>2825</v>
      </c>
      <c r="J7698" t="s">
        <v>31956</v>
      </c>
      <c r="P7698" t="s">
        <v>27</v>
      </c>
      <c r="Q7698" t="s">
        <v>31957</v>
      </c>
      <c r="Y7698" t="s">
        <v>2832</v>
      </c>
    </row>
    <row r="7699" spans="1:25" x14ac:dyDescent="0.25">
      <c r="A7699" t="str">
        <f>"67646233172"</f>
        <v>67646233172</v>
      </c>
      <c r="B7699" t="s">
        <v>96</v>
      </c>
      <c r="C7699" t="s">
        <v>31438</v>
      </c>
      <c r="D7699" t="s">
        <v>31958</v>
      </c>
      <c r="E7699">
        <v>424003</v>
      </c>
      <c r="F7699" t="s">
        <v>1</v>
      </c>
      <c r="G7699" t="s">
        <v>2</v>
      </c>
      <c r="H7699" t="s">
        <v>21660</v>
      </c>
      <c r="Q7699" t="s">
        <v>31959</v>
      </c>
      <c r="Y7699" t="s">
        <v>24917</v>
      </c>
    </row>
    <row r="7700" spans="1:25" x14ac:dyDescent="0.25">
      <c r="A7700" t="str">
        <f>"67647209126"</f>
        <v>67647209126</v>
      </c>
      <c r="B7700" t="s">
        <v>1046</v>
      </c>
      <c r="C7700" t="s">
        <v>27404</v>
      </c>
      <c r="D7700" t="s">
        <v>31960</v>
      </c>
      <c r="F7700" t="s">
        <v>1</v>
      </c>
      <c r="G7700" t="s">
        <v>2</v>
      </c>
      <c r="H7700" t="s">
        <v>27403</v>
      </c>
      <c r="Y7700" t="s">
        <v>31961</v>
      </c>
    </row>
    <row r="7701" spans="1:25" x14ac:dyDescent="0.25">
      <c r="A7701" t="str">
        <f>"67656307547"</f>
        <v>67656307547</v>
      </c>
      <c r="B7701" t="s">
        <v>888</v>
      </c>
      <c r="C7701" t="s">
        <v>1947</v>
      </c>
      <c r="D7701" t="s">
        <v>31962</v>
      </c>
      <c r="E7701">
        <v>424006</v>
      </c>
      <c r="F7701" t="s">
        <v>1</v>
      </c>
      <c r="G7701" t="s">
        <v>2</v>
      </c>
      <c r="H7701" t="s">
        <v>2745</v>
      </c>
      <c r="J7701" t="s">
        <v>31963</v>
      </c>
      <c r="L7701" t="s">
        <v>31964</v>
      </c>
      <c r="M7701" t="s">
        <v>31965</v>
      </c>
      <c r="P7701" t="s">
        <v>27</v>
      </c>
      <c r="Q7701" t="s">
        <v>31966</v>
      </c>
      <c r="R7701" t="s">
        <v>31967</v>
      </c>
      <c r="S7701" t="s">
        <v>31968</v>
      </c>
      <c r="T7701" t="s">
        <v>31969</v>
      </c>
      <c r="Y7701" t="s">
        <v>31970</v>
      </c>
    </row>
    <row r="7702" spans="1:25" x14ac:dyDescent="0.25">
      <c r="A7702" t="str">
        <f>"67666656195"</f>
        <v>67666656195</v>
      </c>
      <c r="B7702" t="s">
        <v>797</v>
      </c>
      <c r="C7702" t="s">
        <v>5123</v>
      </c>
      <c r="D7702" t="s">
        <v>31971</v>
      </c>
      <c r="E7702">
        <v>424033</v>
      </c>
      <c r="F7702" t="s">
        <v>1</v>
      </c>
      <c r="G7702" t="s">
        <v>2</v>
      </c>
      <c r="H7702" t="s">
        <v>2597</v>
      </c>
      <c r="J7702" t="s">
        <v>26382</v>
      </c>
      <c r="P7702" t="s">
        <v>98</v>
      </c>
      <c r="Y7702" t="s">
        <v>2718</v>
      </c>
    </row>
    <row r="7703" spans="1:25" x14ac:dyDescent="0.25">
      <c r="A7703" t="str">
        <f>"67676885559"</f>
        <v>67676885559</v>
      </c>
      <c r="B7703" t="s">
        <v>2062</v>
      </c>
      <c r="C7703" t="s">
        <v>3293</v>
      </c>
      <c r="D7703" t="s">
        <v>31972</v>
      </c>
      <c r="E7703">
        <v>424004</v>
      </c>
      <c r="F7703" t="s">
        <v>1</v>
      </c>
      <c r="G7703" t="s">
        <v>2</v>
      </c>
      <c r="H7703" t="s">
        <v>5197</v>
      </c>
      <c r="L7703" t="s">
        <v>31973</v>
      </c>
      <c r="M7703" t="s">
        <v>31974</v>
      </c>
      <c r="P7703" t="s">
        <v>152</v>
      </c>
      <c r="Q7703" t="s">
        <v>17829</v>
      </c>
      <c r="T7703" t="s">
        <v>31975</v>
      </c>
      <c r="Y7703" t="s">
        <v>5200</v>
      </c>
    </row>
    <row r="7704" spans="1:25" x14ac:dyDescent="0.25">
      <c r="A7704" t="str">
        <f>"67688812956"</f>
        <v>67688812956</v>
      </c>
      <c r="B7704" t="s">
        <v>841</v>
      </c>
      <c r="C7704" t="s">
        <v>11986</v>
      </c>
      <c r="D7704" t="s">
        <v>31976</v>
      </c>
      <c r="E7704">
        <v>424918</v>
      </c>
      <c r="F7704" t="s">
        <v>1</v>
      </c>
      <c r="G7704" t="s">
        <v>2</v>
      </c>
      <c r="H7704" t="s">
        <v>629</v>
      </c>
      <c r="I7704" t="s">
        <v>11984</v>
      </c>
      <c r="J7704" t="s">
        <v>11985</v>
      </c>
      <c r="L7704" t="s">
        <v>31977</v>
      </c>
      <c r="M7704" t="s">
        <v>31978</v>
      </c>
      <c r="P7704" t="s">
        <v>630</v>
      </c>
      <c r="Q7704" t="s">
        <v>31979</v>
      </c>
      <c r="V7704" t="s">
        <v>31980</v>
      </c>
      <c r="Y7704" t="s">
        <v>31981</v>
      </c>
    </row>
    <row r="7705" spans="1:25" x14ac:dyDescent="0.25">
      <c r="A7705" t="str">
        <f>"67749916195"</f>
        <v>67749916195</v>
      </c>
      <c r="B7705" t="s">
        <v>32</v>
      </c>
      <c r="C7705" t="s">
        <v>777</v>
      </c>
      <c r="D7705" t="s">
        <v>21574</v>
      </c>
      <c r="E7705">
        <v>424007</v>
      </c>
      <c r="F7705" t="s">
        <v>1</v>
      </c>
      <c r="G7705" t="s">
        <v>2</v>
      </c>
      <c r="H7705" t="s">
        <v>15418</v>
      </c>
      <c r="I7705" t="s">
        <v>31982</v>
      </c>
      <c r="P7705" t="s">
        <v>2050</v>
      </c>
      <c r="Y7705" t="s">
        <v>31983</v>
      </c>
    </row>
    <row r="7706" spans="1:25" x14ac:dyDescent="0.25">
      <c r="A7706" t="str">
        <f>"67772378494"</f>
        <v>67772378494</v>
      </c>
      <c r="B7706" t="s">
        <v>290</v>
      </c>
      <c r="C7706" t="s">
        <v>31985</v>
      </c>
      <c r="D7706" t="s">
        <v>31984</v>
      </c>
      <c r="E7706">
        <v>424028</v>
      </c>
      <c r="F7706" t="s">
        <v>1</v>
      </c>
      <c r="G7706" t="s">
        <v>2</v>
      </c>
      <c r="H7706" t="s">
        <v>3359</v>
      </c>
      <c r="P7706" t="s">
        <v>330</v>
      </c>
      <c r="Y7706" t="s">
        <v>31986</v>
      </c>
    </row>
    <row r="7707" spans="1:25" x14ac:dyDescent="0.25">
      <c r="A7707" t="str">
        <f>"67775658996"</f>
        <v>67775658996</v>
      </c>
      <c r="B7707" t="s">
        <v>188</v>
      </c>
      <c r="C7707" t="s">
        <v>24568</v>
      </c>
      <c r="D7707" t="s">
        <v>24568</v>
      </c>
      <c r="E7707">
        <v>424005</v>
      </c>
      <c r="F7707" t="s">
        <v>1</v>
      </c>
      <c r="G7707" t="s">
        <v>2</v>
      </c>
      <c r="H7707" t="s">
        <v>6843</v>
      </c>
      <c r="Y7707" t="s">
        <v>31987</v>
      </c>
    </row>
    <row r="7708" spans="1:25" x14ac:dyDescent="0.25">
      <c r="A7708" t="str">
        <f>"67812438475"</f>
        <v>67812438475</v>
      </c>
      <c r="B7708" t="s">
        <v>25</v>
      </c>
      <c r="C7708" t="s">
        <v>24938</v>
      </c>
      <c r="D7708" t="s">
        <v>31988</v>
      </c>
      <c r="E7708">
        <v>424039</v>
      </c>
      <c r="F7708" t="s">
        <v>1</v>
      </c>
      <c r="G7708" t="s">
        <v>2</v>
      </c>
      <c r="H7708" t="s">
        <v>26900</v>
      </c>
      <c r="I7708" t="s">
        <v>31989</v>
      </c>
      <c r="L7708" t="s">
        <v>31990</v>
      </c>
      <c r="M7708" t="s">
        <v>31991</v>
      </c>
      <c r="P7708" t="s">
        <v>31992</v>
      </c>
      <c r="Y7708" t="s">
        <v>31993</v>
      </c>
    </row>
    <row r="7709" spans="1:25" x14ac:dyDescent="0.25">
      <c r="A7709" t="str">
        <f>"67872048234"</f>
        <v>67872048234</v>
      </c>
      <c r="B7709" t="s">
        <v>1544</v>
      </c>
      <c r="C7709" t="s">
        <v>15598</v>
      </c>
      <c r="D7709" t="s">
        <v>31994</v>
      </c>
      <c r="E7709">
        <v>424019</v>
      </c>
      <c r="F7709" t="s">
        <v>1</v>
      </c>
      <c r="G7709" t="s">
        <v>2</v>
      </c>
      <c r="H7709" t="s">
        <v>19488</v>
      </c>
      <c r="Y7709" t="s">
        <v>31995</v>
      </c>
    </row>
    <row r="7710" spans="1:25" x14ac:dyDescent="0.25">
      <c r="A7710" t="str">
        <f>"67912407509"</f>
        <v>67912407509</v>
      </c>
      <c r="B7710" t="s">
        <v>1573</v>
      </c>
      <c r="C7710" t="s">
        <v>16660</v>
      </c>
      <c r="D7710" t="s">
        <v>31996</v>
      </c>
      <c r="E7710">
        <v>424031</v>
      </c>
      <c r="F7710" t="s">
        <v>1</v>
      </c>
      <c r="G7710" t="s">
        <v>2</v>
      </c>
      <c r="H7710" t="s">
        <v>413</v>
      </c>
      <c r="I7710" t="s">
        <v>31997</v>
      </c>
      <c r="P7710" t="s">
        <v>1855</v>
      </c>
      <c r="Y7710" t="s">
        <v>31998</v>
      </c>
    </row>
    <row r="7711" spans="1:25" x14ac:dyDescent="0.25">
      <c r="A7711" t="str">
        <f>"67923587690"</f>
        <v>67923587690</v>
      </c>
      <c r="B7711" t="s">
        <v>574</v>
      </c>
      <c r="C7711" t="s">
        <v>31999</v>
      </c>
      <c r="D7711" t="s">
        <v>569</v>
      </c>
      <c r="E7711">
        <v>424033</v>
      </c>
      <c r="F7711" t="s">
        <v>1</v>
      </c>
      <c r="G7711" t="s">
        <v>2</v>
      </c>
      <c r="H7711" t="s">
        <v>6875</v>
      </c>
      <c r="Y7711" t="s">
        <v>32000</v>
      </c>
    </row>
    <row r="7712" spans="1:25" x14ac:dyDescent="0.25">
      <c r="A7712" t="str">
        <f>"67929264694"</f>
        <v>67929264694</v>
      </c>
      <c r="B7712" t="s">
        <v>123</v>
      </c>
      <c r="C7712" t="s">
        <v>10769</v>
      </c>
      <c r="D7712" t="s">
        <v>1128</v>
      </c>
      <c r="E7712">
        <v>424033</v>
      </c>
      <c r="F7712" t="s">
        <v>1</v>
      </c>
      <c r="G7712" t="s">
        <v>2</v>
      </c>
      <c r="H7712" t="s">
        <v>4357</v>
      </c>
      <c r="Y7712" t="s">
        <v>9977</v>
      </c>
    </row>
    <row r="7713" spans="1:25" x14ac:dyDescent="0.25">
      <c r="A7713" t="str">
        <f>"67953236230"</f>
        <v>67953236230</v>
      </c>
      <c r="B7713" t="s">
        <v>117</v>
      </c>
      <c r="C7713" t="s">
        <v>118</v>
      </c>
      <c r="D7713" t="s">
        <v>32001</v>
      </c>
      <c r="E7713">
        <v>424007</v>
      </c>
      <c r="F7713" t="s">
        <v>1</v>
      </c>
      <c r="G7713" t="s">
        <v>2</v>
      </c>
      <c r="H7713" t="s">
        <v>8148</v>
      </c>
      <c r="I7713" t="s">
        <v>32002</v>
      </c>
      <c r="P7713" t="s">
        <v>330</v>
      </c>
      <c r="Y7713" t="s">
        <v>32003</v>
      </c>
    </row>
    <row r="7714" spans="1:25" x14ac:dyDescent="0.25">
      <c r="A7714" t="str">
        <f>"67961627047"</f>
        <v>67961627047</v>
      </c>
      <c r="B7714" t="s">
        <v>530</v>
      </c>
      <c r="C7714" t="s">
        <v>23950</v>
      </c>
      <c r="D7714" t="s">
        <v>23950</v>
      </c>
      <c r="F7714" t="s">
        <v>1</v>
      </c>
      <c r="G7714" t="s">
        <v>2</v>
      </c>
      <c r="H7714" t="s">
        <v>32004</v>
      </c>
      <c r="Y7714" t="s">
        <v>32005</v>
      </c>
    </row>
    <row r="7715" spans="1:25" x14ac:dyDescent="0.25">
      <c r="A7715" t="str">
        <f>"67971681442"</f>
        <v>67971681442</v>
      </c>
      <c r="B7715" t="s">
        <v>32</v>
      </c>
      <c r="C7715" t="s">
        <v>182</v>
      </c>
      <c r="D7715" t="s">
        <v>32006</v>
      </c>
      <c r="F7715" t="s">
        <v>1</v>
      </c>
      <c r="G7715" t="s">
        <v>2</v>
      </c>
      <c r="H7715" t="s">
        <v>26431</v>
      </c>
      <c r="I7715" t="s">
        <v>32007</v>
      </c>
      <c r="J7715" t="s">
        <v>32008</v>
      </c>
      <c r="L7715" t="s">
        <v>32009</v>
      </c>
      <c r="M7715" t="s">
        <v>32010</v>
      </c>
      <c r="P7715" t="s">
        <v>2561</v>
      </c>
      <c r="V7715" t="s">
        <v>32011</v>
      </c>
      <c r="Y7715" t="s">
        <v>32012</v>
      </c>
    </row>
    <row r="7716" spans="1:25" x14ac:dyDescent="0.25">
      <c r="A7716" t="str">
        <f>"68001884642"</f>
        <v>68001884642</v>
      </c>
      <c r="B7716" t="s">
        <v>160</v>
      </c>
      <c r="C7716" t="s">
        <v>32017</v>
      </c>
      <c r="D7716" t="s">
        <v>32013</v>
      </c>
      <c r="E7716">
        <v>424016</v>
      </c>
      <c r="F7716" t="s">
        <v>1</v>
      </c>
      <c r="G7716" t="s">
        <v>2</v>
      </c>
      <c r="H7716" t="s">
        <v>15991</v>
      </c>
      <c r="I7716" t="s">
        <v>32014</v>
      </c>
      <c r="L7716" t="s">
        <v>32015</v>
      </c>
      <c r="M7716" t="s">
        <v>32016</v>
      </c>
      <c r="P7716" t="s">
        <v>20</v>
      </c>
      <c r="T7716" t="s">
        <v>32018</v>
      </c>
      <c r="Y7716" t="s">
        <v>32019</v>
      </c>
    </row>
    <row r="7717" spans="1:25" x14ac:dyDescent="0.25">
      <c r="A7717" t="str">
        <f>"68014318880"</f>
        <v>68014318880</v>
      </c>
      <c r="B7717" t="s">
        <v>417</v>
      </c>
      <c r="C7717" t="s">
        <v>418</v>
      </c>
      <c r="D7717" t="s">
        <v>5070</v>
      </c>
      <c r="E7717">
        <v>424006</v>
      </c>
      <c r="F7717" t="s">
        <v>1</v>
      </c>
      <c r="G7717" t="s">
        <v>2</v>
      </c>
      <c r="H7717" t="s">
        <v>32020</v>
      </c>
      <c r="I7717" t="s">
        <v>32021</v>
      </c>
      <c r="M7717" t="s">
        <v>5073</v>
      </c>
      <c r="P7717" t="s">
        <v>2406</v>
      </c>
      <c r="Y7717" t="s">
        <v>32022</v>
      </c>
    </row>
    <row r="7718" spans="1:25" x14ac:dyDescent="0.25">
      <c r="A7718" t="str">
        <f>"68046930585"</f>
        <v>68046930585</v>
      </c>
      <c r="B7718" t="s">
        <v>469</v>
      </c>
      <c r="C7718" t="s">
        <v>24886</v>
      </c>
      <c r="D7718" t="s">
        <v>32023</v>
      </c>
      <c r="E7718">
        <v>424019</v>
      </c>
      <c r="F7718" t="s">
        <v>1</v>
      </c>
      <c r="G7718" t="s">
        <v>2</v>
      </c>
      <c r="H7718" t="s">
        <v>16472</v>
      </c>
      <c r="P7718" t="s">
        <v>32024</v>
      </c>
      <c r="Y7718" t="s">
        <v>32025</v>
      </c>
    </row>
    <row r="7719" spans="1:25" x14ac:dyDescent="0.25">
      <c r="A7719" t="str">
        <f>"68162313799"</f>
        <v>68162313799</v>
      </c>
      <c r="B7719" t="s">
        <v>2104</v>
      </c>
      <c r="C7719" t="s">
        <v>2105</v>
      </c>
      <c r="D7719" t="s">
        <v>32026</v>
      </c>
      <c r="E7719">
        <v>424019</v>
      </c>
      <c r="F7719" t="s">
        <v>1</v>
      </c>
      <c r="G7719" t="s">
        <v>2</v>
      </c>
      <c r="H7719" t="s">
        <v>22091</v>
      </c>
      <c r="Y7719" t="s">
        <v>32027</v>
      </c>
    </row>
    <row r="7720" spans="1:25" x14ac:dyDescent="0.25">
      <c r="A7720" t="str">
        <f>"68191086692"</f>
        <v>68191086692</v>
      </c>
      <c r="B7720" t="s">
        <v>25</v>
      </c>
      <c r="C7720" t="s">
        <v>32030</v>
      </c>
      <c r="D7720" t="s">
        <v>32028</v>
      </c>
      <c r="E7720">
        <v>424008</v>
      </c>
      <c r="F7720" t="s">
        <v>1</v>
      </c>
      <c r="G7720" t="s">
        <v>2</v>
      </c>
      <c r="H7720" t="s">
        <v>1012</v>
      </c>
      <c r="I7720" t="s">
        <v>32029</v>
      </c>
      <c r="Y7720" t="s">
        <v>1016</v>
      </c>
    </row>
    <row r="7721" spans="1:25" x14ac:dyDescent="0.25">
      <c r="A7721" t="str">
        <f>"68202534380"</f>
        <v>68202534380</v>
      </c>
      <c r="B7721" t="s">
        <v>591</v>
      </c>
      <c r="C7721" t="s">
        <v>1904</v>
      </c>
      <c r="D7721" t="s">
        <v>32031</v>
      </c>
      <c r="E7721">
        <v>424032</v>
      </c>
      <c r="F7721" t="s">
        <v>1</v>
      </c>
      <c r="G7721" t="s">
        <v>2</v>
      </c>
      <c r="H7721" t="s">
        <v>5699</v>
      </c>
      <c r="I7721" t="s">
        <v>32032</v>
      </c>
      <c r="P7721" t="s">
        <v>9</v>
      </c>
      <c r="Y7721" t="s">
        <v>5709</v>
      </c>
    </row>
    <row r="7722" spans="1:25" x14ac:dyDescent="0.25">
      <c r="A7722" t="str">
        <f>"68211985362"</f>
        <v>68211985362</v>
      </c>
      <c r="B7722" t="s">
        <v>469</v>
      </c>
      <c r="C7722" t="s">
        <v>32037</v>
      </c>
      <c r="D7722" t="s">
        <v>32033</v>
      </c>
      <c r="E7722">
        <v>424020</v>
      </c>
      <c r="F7722" t="s">
        <v>1</v>
      </c>
      <c r="G7722" t="s">
        <v>2</v>
      </c>
      <c r="H7722" t="s">
        <v>19901</v>
      </c>
      <c r="I7722" t="s">
        <v>32034</v>
      </c>
      <c r="J7722" t="s">
        <v>32035</v>
      </c>
      <c r="M7722" t="s">
        <v>32036</v>
      </c>
      <c r="V7722" t="s">
        <v>32038</v>
      </c>
      <c r="Y7722" t="s">
        <v>32039</v>
      </c>
    </row>
    <row r="7723" spans="1:25" x14ac:dyDescent="0.25">
      <c r="A7723" t="str">
        <f>"68238937972"</f>
        <v>68238937972</v>
      </c>
      <c r="B7723" t="s">
        <v>1544</v>
      </c>
      <c r="C7723" t="s">
        <v>30062</v>
      </c>
      <c r="D7723" t="s">
        <v>32040</v>
      </c>
      <c r="E7723">
        <v>424007</v>
      </c>
      <c r="F7723" t="s">
        <v>1</v>
      </c>
      <c r="G7723" t="s">
        <v>2</v>
      </c>
      <c r="H7723" t="s">
        <v>32041</v>
      </c>
      <c r="I7723" t="s">
        <v>32042</v>
      </c>
      <c r="P7723" t="s">
        <v>14213</v>
      </c>
      <c r="Y7723" t="s">
        <v>32043</v>
      </c>
    </row>
    <row r="7724" spans="1:25" x14ac:dyDescent="0.25">
      <c r="A7724" t="str">
        <f>"68241880274"</f>
        <v>68241880274</v>
      </c>
      <c r="B7724" t="s">
        <v>110</v>
      </c>
      <c r="C7724" t="s">
        <v>784</v>
      </c>
      <c r="D7724" t="s">
        <v>10532</v>
      </c>
      <c r="E7724">
        <v>424038</v>
      </c>
      <c r="F7724" t="s">
        <v>1</v>
      </c>
      <c r="G7724" t="s">
        <v>2</v>
      </c>
      <c r="H7724" t="s">
        <v>7597</v>
      </c>
      <c r="J7724" t="s">
        <v>32044</v>
      </c>
      <c r="P7724" t="s">
        <v>1642</v>
      </c>
      <c r="Q7724" t="s">
        <v>32045</v>
      </c>
      <c r="Y7724" t="s">
        <v>16150</v>
      </c>
    </row>
    <row r="7725" spans="1:25" x14ac:dyDescent="0.25">
      <c r="A7725" t="str">
        <f>"68269719998"</f>
        <v>68269719998</v>
      </c>
      <c r="B7725" t="s">
        <v>96</v>
      </c>
      <c r="C7725" t="s">
        <v>659</v>
      </c>
      <c r="D7725" t="s">
        <v>32046</v>
      </c>
      <c r="E7725">
        <v>424033</v>
      </c>
      <c r="F7725" t="s">
        <v>1</v>
      </c>
      <c r="G7725" t="s">
        <v>2</v>
      </c>
      <c r="H7725" t="s">
        <v>2597</v>
      </c>
      <c r="Y7725" t="s">
        <v>32047</v>
      </c>
    </row>
    <row r="7726" spans="1:25" x14ac:dyDescent="0.25">
      <c r="A7726" t="str">
        <f>"68290771946"</f>
        <v>68290771946</v>
      </c>
      <c r="B7726" t="s">
        <v>1046</v>
      </c>
      <c r="C7726" t="s">
        <v>13439</v>
      </c>
      <c r="D7726" t="s">
        <v>32048</v>
      </c>
      <c r="E7726">
        <v>424002</v>
      </c>
      <c r="F7726" t="s">
        <v>1</v>
      </c>
      <c r="G7726" t="s">
        <v>2</v>
      </c>
      <c r="H7726" t="s">
        <v>6319</v>
      </c>
      <c r="Q7726" t="s">
        <v>32049</v>
      </c>
      <c r="Y7726" t="s">
        <v>32050</v>
      </c>
    </row>
    <row r="7727" spans="1:25" x14ac:dyDescent="0.25">
      <c r="A7727" t="str">
        <f>"68291052193"</f>
        <v>68291052193</v>
      </c>
      <c r="B7727" t="s">
        <v>1222</v>
      </c>
      <c r="C7727" t="s">
        <v>22060</v>
      </c>
      <c r="D7727" t="s">
        <v>32051</v>
      </c>
      <c r="E7727">
        <v>424004</v>
      </c>
      <c r="F7727" t="s">
        <v>1</v>
      </c>
      <c r="G7727" t="s">
        <v>2</v>
      </c>
      <c r="H7727" t="s">
        <v>351</v>
      </c>
      <c r="J7727" t="s">
        <v>32052</v>
      </c>
      <c r="L7727" t="s">
        <v>16920</v>
      </c>
      <c r="M7727" t="s">
        <v>32053</v>
      </c>
      <c r="P7727" t="s">
        <v>9</v>
      </c>
      <c r="Q7727" t="s">
        <v>32054</v>
      </c>
      <c r="Y7727" t="s">
        <v>354</v>
      </c>
    </row>
    <row r="7728" spans="1:25" x14ac:dyDescent="0.25">
      <c r="A7728" t="str">
        <f>"68309862013"</f>
        <v>68309862013</v>
      </c>
      <c r="B7728" t="s">
        <v>379</v>
      </c>
      <c r="C7728" t="s">
        <v>4852</v>
      </c>
      <c r="D7728" t="s">
        <v>25056</v>
      </c>
      <c r="E7728">
        <v>424030</v>
      </c>
      <c r="F7728" t="s">
        <v>1</v>
      </c>
      <c r="G7728" t="s">
        <v>2</v>
      </c>
      <c r="H7728" t="s">
        <v>10204</v>
      </c>
      <c r="I7728" t="s">
        <v>25057</v>
      </c>
      <c r="J7728" t="s">
        <v>25058</v>
      </c>
      <c r="P7728" t="s">
        <v>799</v>
      </c>
      <c r="Y7728" t="s">
        <v>17288</v>
      </c>
    </row>
    <row r="7729" spans="1:25" x14ac:dyDescent="0.25">
      <c r="A7729" t="str">
        <f>"68351209377"</f>
        <v>68351209377</v>
      </c>
      <c r="B7729" t="s">
        <v>553</v>
      </c>
      <c r="C7729" t="s">
        <v>10597</v>
      </c>
      <c r="D7729" t="s">
        <v>32055</v>
      </c>
      <c r="E7729">
        <v>424006</v>
      </c>
      <c r="F7729" t="s">
        <v>1</v>
      </c>
      <c r="G7729" t="s">
        <v>2</v>
      </c>
      <c r="H7729" t="s">
        <v>2012</v>
      </c>
      <c r="J7729" t="s">
        <v>32056</v>
      </c>
      <c r="M7729" t="s">
        <v>13776</v>
      </c>
      <c r="P7729" t="s">
        <v>6467</v>
      </c>
      <c r="Y7729" t="s">
        <v>2016</v>
      </c>
    </row>
    <row r="7730" spans="1:25" x14ac:dyDescent="0.25">
      <c r="A7730" t="str">
        <f>"68370983318"</f>
        <v>68370983318</v>
      </c>
      <c r="B7730" t="s">
        <v>188</v>
      </c>
      <c r="C7730" t="s">
        <v>23982</v>
      </c>
      <c r="D7730" t="s">
        <v>23982</v>
      </c>
      <c r="F7730" t="s">
        <v>1</v>
      </c>
      <c r="G7730" t="s">
        <v>2</v>
      </c>
      <c r="H7730" t="s">
        <v>26558</v>
      </c>
      <c r="Y7730" t="s">
        <v>32057</v>
      </c>
    </row>
    <row r="7731" spans="1:25" x14ac:dyDescent="0.25">
      <c r="A7731" t="str">
        <f>"68381423382"</f>
        <v>68381423382</v>
      </c>
      <c r="B7731" t="s">
        <v>553</v>
      </c>
      <c r="C7731" t="s">
        <v>10404</v>
      </c>
      <c r="D7731" t="s">
        <v>10402</v>
      </c>
      <c r="E7731">
        <v>424002</v>
      </c>
      <c r="F7731" t="s">
        <v>1</v>
      </c>
      <c r="G7731" t="s">
        <v>2</v>
      </c>
      <c r="H7731" t="s">
        <v>11341</v>
      </c>
      <c r="I7731" t="s">
        <v>10403</v>
      </c>
      <c r="P7731" t="s">
        <v>112</v>
      </c>
      <c r="Y7731" t="s">
        <v>11344</v>
      </c>
    </row>
    <row r="7732" spans="1:25" x14ac:dyDescent="0.25">
      <c r="A7732" t="str">
        <f>"68488241900"</f>
        <v>68488241900</v>
      </c>
      <c r="B7732" t="s">
        <v>888</v>
      </c>
      <c r="C7732" t="s">
        <v>4712</v>
      </c>
      <c r="D7732" t="s">
        <v>32058</v>
      </c>
      <c r="E7732">
        <v>424002</v>
      </c>
      <c r="F7732" t="s">
        <v>1</v>
      </c>
      <c r="G7732" t="s">
        <v>2</v>
      </c>
      <c r="H7732" t="s">
        <v>11597</v>
      </c>
      <c r="J7732" t="s">
        <v>32059</v>
      </c>
      <c r="L7732" t="s">
        <v>32060</v>
      </c>
      <c r="M7732" t="s">
        <v>32061</v>
      </c>
      <c r="P7732" t="s">
        <v>2951</v>
      </c>
      <c r="Y7732" t="s">
        <v>11600</v>
      </c>
    </row>
    <row r="7733" spans="1:25" x14ac:dyDescent="0.25">
      <c r="A7733" t="str">
        <f>"68493742930"</f>
        <v>68493742930</v>
      </c>
      <c r="B7733" t="s">
        <v>530</v>
      </c>
      <c r="C7733" t="s">
        <v>23950</v>
      </c>
      <c r="D7733" t="s">
        <v>23950</v>
      </c>
      <c r="E7733">
        <v>424037</v>
      </c>
      <c r="F7733" t="s">
        <v>1</v>
      </c>
      <c r="G7733" t="s">
        <v>2</v>
      </c>
      <c r="H7733" t="s">
        <v>12646</v>
      </c>
      <c r="Y7733" t="s">
        <v>32062</v>
      </c>
    </row>
    <row r="7734" spans="1:25" x14ac:dyDescent="0.25">
      <c r="A7734" t="str">
        <f>"68496174287"</f>
        <v>68496174287</v>
      </c>
      <c r="B7734" t="s">
        <v>1323</v>
      </c>
      <c r="C7734" t="s">
        <v>1324</v>
      </c>
      <c r="D7734" t="s">
        <v>32063</v>
      </c>
      <c r="E7734">
        <v>424006</v>
      </c>
      <c r="F7734" t="s">
        <v>1</v>
      </c>
      <c r="G7734" t="s">
        <v>2</v>
      </c>
      <c r="H7734" t="s">
        <v>21558</v>
      </c>
      <c r="I7734" t="s">
        <v>32064</v>
      </c>
      <c r="P7734" t="s">
        <v>869</v>
      </c>
      <c r="Y7734" t="s">
        <v>26687</v>
      </c>
    </row>
    <row r="7735" spans="1:25" x14ac:dyDescent="0.25">
      <c r="A7735" t="str">
        <f>"68524155256"</f>
        <v>68524155256</v>
      </c>
      <c r="B7735" t="s">
        <v>1046</v>
      </c>
      <c r="C7735" t="s">
        <v>4959</v>
      </c>
      <c r="D7735" t="s">
        <v>32065</v>
      </c>
      <c r="E7735">
        <v>424026</v>
      </c>
      <c r="F7735" t="s">
        <v>1</v>
      </c>
      <c r="G7735" t="s">
        <v>2</v>
      </c>
      <c r="H7735" t="s">
        <v>31236</v>
      </c>
      <c r="Y7735" t="s">
        <v>32066</v>
      </c>
    </row>
    <row r="7736" spans="1:25" x14ac:dyDescent="0.25">
      <c r="A7736" t="str">
        <f>"68536600826"</f>
        <v>68536600826</v>
      </c>
      <c r="B7736" t="s">
        <v>574</v>
      </c>
      <c r="C7736" t="s">
        <v>29849</v>
      </c>
      <c r="D7736" t="s">
        <v>32067</v>
      </c>
      <c r="E7736">
        <v>424028</v>
      </c>
      <c r="F7736" t="s">
        <v>1</v>
      </c>
      <c r="G7736" t="s">
        <v>2</v>
      </c>
      <c r="H7736" t="s">
        <v>1969</v>
      </c>
      <c r="J7736" t="s">
        <v>32068</v>
      </c>
      <c r="P7736" t="s">
        <v>216</v>
      </c>
      <c r="Y7736" t="s">
        <v>29585</v>
      </c>
    </row>
    <row r="7737" spans="1:25" x14ac:dyDescent="0.25">
      <c r="A7737" t="str">
        <f>"68558717961"</f>
        <v>68558717961</v>
      </c>
      <c r="B7737" t="s">
        <v>32</v>
      </c>
      <c r="C7737" t="s">
        <v>777</v>
      </c>
      <c r="D7737" t="s">
        <v>32069</v>
      </c>
      <c r="E7737">
        <v>424033</v>
      </c>
      <c r="F7737" t="s">
        <v>1</v>
      </c>
      <c r="G7737" t="s">
        <v>2</v>
      </c>
      <c r="H7737" t="s">
        <v>22482</v>
      </c>
      <c r="I7737" t="s">
        <v>32070</v>
      </c>
      <c r="J7737" t="s">
        <v>32071</v>
      </c>
      <c r="P7737" t="s">
        <v>941</v>
      </c>
      <c r="Y7737" t="s">
        <v>32072</v>
      </c>
    </row>
    <row r="7738" spans="1:25" x14ac:dyDescent="0.25">
      <c r="A7738" t="str">
        <f>"68730782267"</f>
        <v>68730782267</v>
      </c>
      <c r="B7738" t="s">
        <v>32077</v>
      </c>
      <c r="C7738" t="s">
        <v>32078</v>
      </c>
      <c r="D7738" t="s">
        <v>32073</v>
      </c>
      <c r="E7738">
        <v>424000</v>
      </c>
      <c r="F7738" t="s">
        <v>1</v>
      </c>
      <c r="G7738" t="s">
        <v>2</v>
      </c>
      <c r="H7738" t="s">
        <v>523</v>
      </c>
      <c r="I7738" t="s">
        <v>32074</v>
      </c>
      <c r="L7738" t="s">
        <v>32075</v>
      </c>
      <c r="M7738" t="s">
        <v>32076</v>
      </c>
      <c r="P7738" t="s">
        <v>16914</v>
      </c>
      <c r="Y7738" t="s">
        <v>526</v>
      </c>
    </row>
    <row r="7739" spans="1:25" x14ac:dyDescent="0.25">
      <c r="A7739" t="str">
        <f>"68761010015"</f>
        <v>68761010015</v>
      </c>
      <c r="B7739" t="s">
        <v>1573</v>
      </c>
      <c r="C7739" t="s">
        <v>32083</v>
      </c>
      <c r="D7739" t="s">
        <v>32079</v>
      </c>
      <c r="E7739">
        <v>424002</v>
      </c>
      <c r="F7739" t="s">
        <v>1</v>
      </c>
      <c r="G7739" t="s">
        <v>2</v>
      </c>
      <c r="H7739" t="s">
        <v>1208</v>
      </c>
      <c r="I7739" t="s">
        <v>32080</v>
      </c>
      <c r="L7739" t="s">
        <v>32081</v>
      </c>
      <c r="M7739" t="s">
        <v>32082</v>
      </c>
      <c r="P7739" t="s">
        <v>144</v>
      </c>
      <c r="Q7739" t="s">
        <v>32084</v>
      </c>
      <c r="V7739" t="s">
        <v>32085</v>
      </c>
      <c r="Y7739" t="s">
        <v>32086</v>
      </c>
    </row>
    <row r="7740" spans="1:25" x14ac:dyDescent="0.25">
      <c r="A7740" t="str">
        <f>"68773750576"</f>
        <v>68773750576</v>
      </c>
      <c r="B7740" t="s">
        <v>574</v>
      </c>
      <c r="C7740" t="s">
        <v>24608</v>
      </c>
      <c r="D7740" t="s">
        <v>24604</v>
      </c>
      <c r="E7740">
        <v>424038</v>
      </c>
      <c r="F7740" t="s">
        <v>1</v>
      </c>
      <c r="G7740" t="s">
        <v>2</v>
      </c>
      <c r="H7740" t="s">
        <v>2614</v>
      </c>
      <c r="I7740" t="s">
        <v>32087</v>
      </c>
      <c r="L7740" t="s">
        <v>24606</v>
      </c>
      <c r="M7740" t="s">
        <v>24607</v>
      </c>
      <c r="Y7740" t="s">
        <v>32088</v>
      </c>
    </row>
    <row r="7741" spans="1:25" x14ac:dyDescent="0.25">
      <c r="A7741" t="str">
        <f>"68803913883"</f>
        <v>68803913883</v>
      </c>
      <c r="B7741" t="s">
        <v>96</v>
      </c>
      <c r="C7741" t="s">
        <v>2285</v>
      </c>
      <c r="D7741" t="s">
        <v>32089</v>
      </c>
      <c r="E7741">
        <v>424002</v>
      </c>
      <c r="F7741" t="s">
        <v>1</v>
      </c>
      <c r="G7741" t="s">
        <v>2</v>
      </c>
      <c r="H7741" t="s">
        <v>3864</v>
      </c>
      <c r="J7741" t="s">
        <v>32090</v>
      </c>
      <c r="L7741" t="s">
        <v>32091</v>
      </c>
      <c r="M7741" t="s">
        <v>32092</v>
      </c>
      <c r="P7741" t="s">
        <v>144</v>
      </c>
      <c r="Q7741" t="s">
        <v>32093</v>
      </c>
      <c r="Y7741" t="s">
        <v>3867</v>
      </c>
    </row>
    <row r="7742" spans="1:25" x14ac:dyDescent="0.25">
      <c r="A7742" t="str">
        <f>"68829953864"</f>
        <v>68829953864</v>
      </c>
      <c r="B7742" t="s">
        <v>1343</v>
      </c>
      <c r="C7742" t="s">
        <v>13544</v>
      </c>
      <c r="D7742" t="s">
        <v>13544</v>
      </c>
      <c r="E7742">
        <v>424030</v>
      </c>
      <c r="F7742" t="s">
        <v>1</v>
      </c>
      <c r="G7742" t="s">
        <v>2</v>
      </c>
      <c r="H7742" t="s">
        <v>10204</v>
      </c>
      <c r="Y7742" t="s">
        <v>17288</v>
      </c>
    </row>
    <row r="7743" spans="1:25" x14ac:dyDescent="0.25">
      <c r="A7743" t="str">
        <f>"68838240930"</f>
        <v>68838240930</v>
      </c>
      <c r="B7743" t="s">
        <v>1611</v>
      </c>
      <c r="C7743" t="s">
        <v>23954</v>
      </c>
      <c r="D7743" t="s">
        <v>23954</v>
      </c>
      <c r="E7743">
        <v>424030</v>
      </c>
      <c r="F7743" t="s">
        <v>1</v>
      </c>
      <c r="G7743" t="s">
        <v>2</v>
      </c>
      <c r="H7743" t="s">
        <v>32094</v>
      </c>
      <c r="I7743" t="s">
        <v>32095</v>
      </c>
      <c r="Y7743" t="s">
        <v>32096</v>
      </c>
    </row>
    <row r="7744" spans="1:25" x14ac:dyDescent="0.25">
      <c r="A7744" t="str">
        <f>"68877650739"</f>
        <v>68877650739</v>
      </c>
      <c r="B7744" t="s">
        <v>32</v>
      </c>
      <c r="C7744" t="s">
        <v>182</v>
      </c>
      <c r="D7744" t="s">
        <v>32097</v>
      </c>
      <c r="E7744">
        <v>424007</v>
      </c>
      <c r="F7744" t="s">
        <v>1</v>
      </c>
      <c r="G7744" t="s">
        <v>2</v>
      </c>
      <c r="H7744" t="s">
        <v>15418</v>
      </c>
      <c r="Y7744" t="s">
        <v>32098</v>
      </c>
    </row>
    <row r="7745" spans="1:25" x14ac:dyDescent="0.25">
      <c r="A7745" t="str">
        <f>"68924210858"</f>
        <v>68924210858</v>
      </c>
      <c r="B7745" t="s">
        <v>1152</v>
      </c>
      <c r="C7745" t="s">
        <v>1153</v>
      </c>
      <c r="D7745" t="s">
        <v>10280</v>
      </c>
      <c r="E7745">
        <v>424039</v>
      </c>
      <c r="F7745" t="s">
        <v>1</v>
      </c>
      <c r="G7745" t="s">
        <v>2</v>
      </c>
      <c r="H7745" t="s">
        <v>10036</v>
      </c>
      <c r="I7745" t="s">
        <v>22092</v>
      </c>
      <c r="M7745" t="s">
        <v>10284</v>
      </c>
      <c r="P7745" t="s">
        <v>32099</v>
      </c>
      <c r="Q7745" t="s">
        <v>10286</v>
      </c>
      <c r="R7745" t="s">
        <v>10287</v>
      </c>
      <c r="S7745" t="s">
        <v>10288</v>
      </c>
      <c r="T7745" t="s">
        <v>10289</v>
      </c>
      <c r="U7745" t="s">
        <v>10290</v>
      </c>
      <c r="V7745" t="s">
        <v>10291</v>
      </c>
      <c r="Y7745" t="s">
        <v>32100</v>
      </c>
    </row>
    <row r="7746" spans="1:25" x14ac:dyDescent="0.25">
      <c r="A7746" t="str">
        <f>"68936087814"</f>
        <v>68936087814</v>
      </c>
      <c r="B7746" t="s">
        <v>430</v>
      </c>
      <c r="C7746" t="s">
        <v>15509</v>
      </c>
      <c r="D7746" t="s">
        <v>32101</v>
      </c>
      <c r="E7746">
        <v>424038</v>
      </c>
      <c r="F7746" t="s">
        <v>1</v>
      </c>
      <c r="G7746" t="s">
        <v>2</v>
      </c>
      <c r="H7746" t="s">
        <v>8196</v>
      </c>
      <c r="I7746" t="s">
        <v>32102</v>
      </c>
      <c r="J7746" t="s">
        <v>32103</v>
      </c>
      <c r="M7746" t="s">
        <v>32104</v>
      </c>
      <c r="P7746" t="s">
        <v>1027</v>
      </c>
      <c r="Q7746" t="s">
        <v>15511</v>
      </c>
      <c r="R7746" t="s">
        <v>15512</v>
      </c>
      <c r="T7746" t="s">
        <v>32105</v>
      </c>
      <c r="V7746" t="s">
        <v>32106</v>
      </c>
      <c r="Y7746" t="s">
        <v>32107</v>
      </c>
    </row>
    <row r="7747" spans="1:25" x14ac:dyDescent="0.25">
      <c r="A7747" t="str">
        <f>"68962054639"</f>
        <v>68962054639</v>
      </c>
      <c r="B7747" t="s">
        <v>10383</v>
      </c>
      <c r="C7747" t="s">
        <v>24146</v>
      </c>
      <c r="D7747" t="s">
        <v>24146</v>
      </c>
      <c r="F7747" t="s">
        <v>1</v>
      </c>
      <c r="G7747" t="s">
        <v>2</v>
      </c>
      <c r="H7747" t="s">
        <v>27567</v>
      </c>
      <c r="Y7747" t="s">
        <v>32108</v>
      </c>
    </row>
    <row r="7748" spans="1:25" x14ac:dyDescent="0.25">
      <c r="A7748" t="str">
        <f>"69007871200"</f>
        <v>69007871200</v>
      </c>
      <c r="B7748" t="s">
        <v>160</v>
      </c>
      <c r="C7748" t="s">
        <v>2479</v>
      </c>
      <c r="D7748" t="s">
        <v>32109</v>
      </c>
      <c r="E7748">
        <v>424038</v>
      </c>
      <c r="F7748" t="s">
        <v>1</v>
      </c>
      <c r="G7748" t="s">
        <v>2</v>
      </c>
      <c r="H7748" t="s">
        <v>5183</v>
      </c>
      <c r="Y7748" t="s">
        <v>32110</v>
      </c>
    </row>
    <row r="7749" spans="1:25" x14ac:dyDescent="0.25">
      <c r="A7749" t="str">
        <f>"69020330669"</f>
        <v>69020330669</v>
      </c>
      <c r="B7749" t="s">
        <v>1046</v>
      </c>
      <c r="C7749" t="s">
        <v>22946</v>
      </c>
      <c r="D7749" t="s">
        <v>32111</v>
      </c>
      <c r="E7749">
        <v>424002</v>
      </c>
      <c r="F7749" t="s">
        <v>1</v>
      </c>
      <c r="G7749" t="s">
        <v>2</v>
      </c>
      <c r="H7749" t="s">
        <v>1886</v>
      </c>
      <c r="I7749" t="s">
        <v>32112</v>
      </c>
      <c r="J7749" t="s">
        <v>32113</v>
      </c>
      <c r="P7749" t="s">
        <v>8133</v>
      </c>
      <c r="Q7749" t="s">
        <v>32114</v>
      </c>
      <c r="Y7749" t="s">
        <v>32115</v>
      </c>
    </row>
    <row r="7750" spans="1:25" x14ac:dyDescent="0.25">
      <c r="A7750" t="str">
        <f>"69023450138"</f>
        <v>69023450138</v>
      </c>
      <c r="B7750" t="s">
        <v>574</v>
      </c>
      <c r="C7750" t="s">
        <v>14016</v>
      </c>
      <c r="D7750" t="s">
        <v>28927</v>
      </c>
      <c r="E7750">
        <v>424005</v>
      </c>
      <c r="F7750" t="s">
        <v>1</v>
      </c>
      <c r="G7750" t="s">
        <v>2</v>
      </c>
      <c r="H7750" t="s">
        <v>1148</v>
      </c>
      <c r="Y7750" t="s">
        <v>32116</v>
      </c>
    </row>
    <row r="7751" spans="1:25" x14ac:dyDescent="0.25">
      <c r="A7751" t="str">
        <f>"69026060647"</f>
        <v>69026060647</v>
      </c>
      <c r="B7751" t="s">
        <v>2846</v>
      </c>
      <c r="C7751" t="s">
        <v>32118</v>
      </c>
      <c r="D7751" t="s">
        <v>32117</v>
      </c>
      <c r="E7751">
        <v>424019</v>
      </c>
      <c r="F7751" t="s">
        <v>1</v>
      </c>
      <c r="G7751" t="s">
        <v>2</v>
      </c>
      <c r="H7751" t="s">
        <v>7785</v>
      </c>
      <c r="P7751" t="s">
        <v>98</v>
      </c>
      <c r="Y7751" t="s">
        <v>32119</v>
      </c>
    </row>
    <row r="7752" spans="1:25" x14ac:dyDescent="0.25">
      <c r="A7752" t="str">
        <f>"69028961753"</f>
        <v>69028961753</v>
      </c>
      <c r="B7752" t="s">
        <v>624</v>
      </c>
      <c r="C7752" t="s">
        <v>1637</v>
      </c>
      <c r="D7752" t="s">
        <v>32120</v>
      </c>
      <c r="E7752">
        <v>424002</v>
      </c>
      <c r="F7752" t="s">
        <v>1</v>
      </c>
      <c r="G7752" t="s">
        <v>2</v>
      </c>
      <c r="H7752" t="s">
        <v>5998</v>
      </c>
      <c r="J7752" t="s">
        <v>32121</v>
      </c>
      <c r="P7752" t="s">
        <v>27</v>
      </c>
      <c r="Y7752" t="s">
        <v>6000</v>
      </c>
    </row>
    <row r="7753" spans="1:25" x14ac:dyDescent="0.25">
      <c r="A7753" t="str">
        <f>"69099368664"</f>
        <v>69099368664</v>
      </c>
      <c r="B7753" t="s">
        <v>32</v>
      </c>
      <c r="C7753" t="s">
        <v>5623</v>
      </c>
      <c r="D7753" t="s">
        <v>32122</v>
      </c>
      <c r="E7753">
        <v>424007</v>
      </c>
      <c r="F7753" t="s">
        <v>1</v>
      </c>
      <c r="G7753" t="s">
        <v>2</v>
      </c>
      <c r="H7753" t="s">
        <v>1023</v>
      </c>
      <c r="Y7753" t="s">
        <v>32123</v>
      </c>
    </row>
    <row r="7754" spans="1:25" x14ac:dyDescent="0.25">
      <c r="A7754" t="str">
        <f>"69114912365"</f>
        <v>69114912365</v>
      </c>
      <c r="B7754" t="s">
        <v>18</v>
      </c>
      <c r="C7754" t="s">
        <v>26544</v>
      </c>
      <c r="D7754" t="s">
        <v>32124</v>
      </c>
      <c r="F7754" t="s">
        <v>1</v>
      </c>
      <c r="G7754" t="s">
        <v>2</v>
      </c>
      <c r="H7754" t="s">
        <v>32125</v>
      </c>
      <c r="I7754" t="s">
        <v>32126</v>
      </c>
      <c r="J7754" t="s">
        <v>32127</v>
      </c>
      <c r="L7754" t="s">
        <v>32128</v>
      </c>
      <c r="M7754" t="s">
        <v>32129</v>
      </c>
      <c r="P7754" t="s">
        <v>330</v>
      </c>
      <c r="Q7754" t="s">
        <v>32130</v>
      </c>
      <c r="Y7754" t="s">
        <v>32131</v>
      </c>
    </row>
    <row r="7755" spans="1:25" x14ac:dyDescent="0.25">
      <c r="A7755" t="str">
        <f>"69115765772"</f>
        <v>69115765772</v>
      </c>
      <c r="B7755" t="s">
        <v>176</v>
      </c>
      <c r="C7755" t="s">
        <v>250</v>
      </c>
      <c r="D7755" t="s">
        <v>32132</v>
      </c>
      <c r="E7755">
        <v>424033</v>
      </c>
      <c r="F7755" t="s">
        <v>1</v>
      </c>
      <c r="G7755" t="s">
        <v>2</v>
      </c>
      <c r="H7755" t="s">
        <v>4225</v>
      </c>
      <c r="J7755" t="s">
        <v>32133</v>
      </c>
      <c r="P7755" t="s">
        <v>2923</v>
      </c>
      <c r="Y7755" t="s">
        <v>32134</v>
      </c>
    </row>
    <row r="7756" spans="1:25" x14ac:dyDescent="0.25">
      <c r="A7756" t="str">
        <f>"69126003724"</f>
        <v>69126003724</v>
      </c>
      <c r="B7756" t="s">
        <v>397</v>
      </c>
      <c r="C7756" t="s">
        <v>15205</v>
      </c>
      <c r="D7756" t="s">
        <v>32135</v>
      </c>
      <c r="F7756" t="s">
        <v>1</v>
      </c>
      <c r="G7756" t="s">
        <v>2</v>
      </c>
      <c r="H7756" t="s">
        <v>12069</v>
      </c>
      <c r="Y7756" t="s">
        <v>32136</v>
      </c>
    </row>
    <row r="7757" spans="1:25" x14ac:dyDescent="0.25">
      <c r="A7757" t="str">
        <f>"69135118793"</f>
        <v>69135118793</v>
      </c>
      <c r="B7757" t="s">
        <v>96</v>
      </c>
      <c r="C7757" t="s">
        <v>24042</v>
      </c>
      <c r="D7757" t="s">
        <v>24127</v>
      </c>
      <c r="E7757">
        <v>424006</v>
      </c>
      <c r="F7757" t="s">
        <v>1</v>
      </c>
      <c r="G7757" t="s">
        <v>2</v>
      </c>
      <c r="H7757" t="s">
        <v>32137</v>
      </c>
      <c r="Y7757" t="s">
        <v>32138</v>
      </c>
    </row>
    <row r="7758" spans="1:25" x14ac:dyDescent="0.25">
      <c r="A7758" t="str">
        <f>"69138995439"</f>
        <v>69138995439</v>
      </c>
      <c r="B7758" t="s">
        <v>1152</v>
      </c>
      <c r="C7758" t="s">
        <v>1153</v>
      </c>
      <c r="D7758" t="s">
        <v>9285</v>
      </c>
      <c r="E7758">
        <v>424033</v>
      </c>
      <c r="F7758" t="s">
        <v>1</v>
      </c>
      <c r="G7758" t="s">
        <v>2</v>
      </c>
      <c r="H7758" t="s">
        <v>6126</v>
      </c>
      <c r="I7758" t="s">
        <v>17588</v>
      </c>
      <c r="L7758" t="s">
        <v>9287</v>
      </c>
      <c r="M7758" t="s">
        <v>17589</v>
      </c>
      <c r="Y7758" t="s">
        <v>32139</v>
      </c>
    </row>
    <row r="7759" spans="1:25" x14ac:dyDescent="0.25">
      <c r="A7759" t="str">
        <f>"69153446187"</f>
        <v>69153446187</v>
      </c>
      <c r="B7759" t="s">
        <v>151</v>
      </c>
      <c r="C7759" t="s">
        <v>1034</v>
      </c>
      <c r="D7759" t="s">
        <v>32140</v>
      </c>
      <c r="E7759">
        <v>424002</v>
      </c>
      <c r="F7759" t="s">
        <v>1</v>
      </c>
      <c r="G7759" t="s">
        <v>2</v>
      </c>
      <c r="H7759" t="s">
        <v>662</v>
      </c>
      <c r="Y7759" t="s">
        <v>3342</v>
      </c>
    </row>
    <row r="7760" spans="1:25" x14ac:dyDescent="0.25">
      <c r="A7760" t="str">
        <f>"69173398965"</f>
        <v>69173398965</v>
      </c>
      <c r="B7760" t="s">
        <v>352</v>
      </c>
      <c r="C7760" t="s">
        <v>32145</v>
      </c>
      <c r="D7760" t="s">
        <v>13905</v>
      </c>
      <c r="E7760">
        <v>424028</v>
      </c>
      <c r="F7760" t="s">
        <v>1</v>
      </c>
      <c r="G7760" t="s">
        <v>2</v>
      </c>
      <c r="H7760" t="s">
        <v>32141</v>
      </c>
      <c r="I7760" t="s">
        <v>32142</v>
      </c>
      <c r="J7760" t="s">
        <v>32143</v>
      </c>
      <c r="L7760" t="s">
        <v>32144</v>
      </c>
      <c r="P7760" t="s">
        <v>2457</v>
      </c>
      <c r="Y7760" t="s">
        <v>32146</v>
      </c>
    </row>
    <row r="7761" spans="1:25" x14ac:dyDescent="0.25">
      <c r="A7761" t="str">
        <f>"69205780823"</f>
        <v>69205780823</v>
      </c>
      <c r="B7761" t="s">
        <v>530</v>
      </c>
      <c r="C7761" t="s">
        <v>23950</v>
      </c>
      <c r="D7761" t="s">
        <v>23950</v>
      </c>
      <c r="F7761" t="s">
        <v>1</v>
      </c>
      <c r="G7761" t="s">
        <v>2</v>
      </c>
      <c r="H7761" t="s">
        <v>31202</v>
      </c>
      <c r="Y7761" t="s">
        <v>32147</v>
      </c>
    </row>
    <row r="7762" spans="1:25" x14ac:dyDescent="0.25">
      <c r="A7762" t="str">
        <f>"69328027406"</f>
        <v>69328027406</v>
      </c>
      <c r="B7762" t="s">
        <v>32</v>
      </c>
      <c r="C7762" t="s">
        <v>5623</v>
      </c>
      <c r="D7762" t="s">
        <v>20134</v>
      </c>
      <c r="E7762">
        <v>424007</v>
      </c>
      <c r="F7762" t="s">
        <v>1</v>
      </c>
      <c r="G7762" t="s">
        <v>2</v>
      </c>
      <c r="H7762" t="s">
        <v>2454</v>
      </c>
      <c r="I7762" t="s">
        <v>32148</v>
      </c>
      <c r="P7762" t="s">
        <v>32149</v>
      </c>
      <c r="Y7762" t="s">
        <v>32150</v>
      </c>
    </row>
    <row r="7763" spans="1:25" x14ac:dyDescent="0.25">
      <c r="A7763" t="str">
        <f>"69330566629"</f>
        <v>69330566629</v>
      </c>
      <c r="B7763" t="s">
        <v>123</v>
      </c>
      <c r="C7763" t="s">
        <v>10249</v>
      </c>
      <c r="D7763" t="s">
        <v>32151</v>
      </c>
      <c r="E7763">
        <v>424002</v>
      </c>
      <c r="F7763" t="s">
        <v>1</v>
      </c>
      <c r="G7763" t="s">
        <v>2</v>
      </c>
      <c r="H7763" t="s">
        <v>21554</v>
      </c>
      <c r="J7763" t="s">
        <v>32152</v>
      </c>
      <c r="P7763" t="s">
        <v>4998</v>
      </c>
      <c r="Q7763" t="s">
        <v>32153</v>
      </c>
      <c r="Y7763" t="s">
        <v>32154</v>
      </c>
    </row>
    <row r="7764" spans="1:25" x14ac:dyDescent="0.25">
      <c r="A7764" t="str">
        <f>"69361200724"</f>
        <v>69361200724</v>
      </c>
      <c r="B7764" t="s">
        <v>80</v>
      </c>
      <c r="C7764" t="s">
        <v>32157</v>
      </c>
      <c r="D7764" t="s">
        <v>32155</v>
      </c>
      <c r="E7764">
        <v>424007</v>
      </c>
      <c r="F7764" t="s">
        <v>1</v>
      </c>
      <c r="G7764" t="s">
        <v>2</v>
      </c>
      <c r="H7764" t="s">
        <v>1319</v>
      </c>
      <c r="J7764" t="s">
        <v>32156</v>
      </c>
      <c r="P7764" t="s">
        <v>13898</v>
      </c>
      <c r="Y7764" t="s">
        <v>18331</v>
      </c>
    </row>
    <row r="7765" spans="1:25" x14ac:dyDescent="0.25">
      <c r="A7765" t="str">
        <f>"69380652027"</f>
        <v>69380652027</v>
      </c>
      <c r="B7765" t="s">
        <v>574</v>
      </c>
      <c r="C7765" t="s">
        <v>646</v>
      </c>
      <c r="D7765" t="s">
        <v>646</v>
      </c>
      <c r="E7765">
        <v>424036</v>
      </c>
      <c r="F7765" t="s">
        <v>1</v>
      </c>
      <c r="G7765" t="s">
        <v>2</v>
      </c>
      <c r="H7765" t="s">
        <v>12444</v>
      </c>
      <c r="J7765" t="s">
        <v>32158</v>
      </c>
      <c r="P7765" t="s">
        <v>216</v>
      </c>
      <c r="Y7765" t="s">
        <v>32159</v>
      </c>
    </row>
    <row r="7766" spans="1:25" x14ac:dyDescent="0.25">
      <c r="A7766" t="str">
        <f>"69383618932"</f>
        <v>69383618932</v>
      </c>
      <c r="B7766" t="s">
        <v>352</v>
      </c>
      <c r="C7766" t="s">
        <v>353</v>
      </c>
      <c r="D7766" t="s">
        <v>353</v>
      </c>
      <c r="E7766">
        <v>424005</v>
      </c>
      <c r="F7766" t="s">
        <v>1</v>
      </c>
      <c r="G7766" t="s">
        <v>2</v>
      </c>
      <c r="H7766" t="s">
        <v>32160</v>
      </c>
      <c r="J7766" t="s">
        <v>32161</v>
      </c>
      <c r="P7766" t="s">
        <v>330</v>
      </c>
      <c r="Y7766" t="s">
        <v>32162</v>
      </c>
    </row>
    <row r="7767" spans="1:25" x14ac:dyDescent="0.25">
      <c r="A7767" t="str">
        <f>"69427701027"</f>
        <v>69427701027</v>
      </c>
      <c r="B7767" t="s">
        <v>790</v>
      </c>
      <c r="C7767" t="s">
        <v>32164</v>
      </c>
      <c r="D7767" t="s">
        <v>32163</v>
      </c>
      <c r="E7767">
        <v>424037</v>
      </c>
      <c r="F7767" t="s">
        <v>1</v>
      </c>
      <c r="G7767" t="s">
        <v>2</v>
      </c>
      <c r="H7767" t="s">
        <v>4635</v>
      </c>
      <c r="P7767" t="s">
        <v>27</v>
      </c>
      <c r="Y7767" t="s">
        <v>32165</v>
      </c>
    </row>
    <row r="7768" spans="1:25" x14ac:dyDescent="0.25">
      <c r="A7768" t="str">
        <f>"69436147317"</f>
        <v>69436147317</v>
      </c>
      <c r="B7768" t="s">
        <v>117</v>
      </c>
      <c r="C7768" t="s">
        <v>6850</v>
      </c>
      <c r="D7768" t="s">
        <v>32166</v>
      </c>
      <c r="E7768">
        <v>424006</v>
      </c>
      <c r="F7768" t="s">
        <v>1</v>
      </c>
      <c r="G7768" t="s">
        <v>2</v>
      </c>
      <c r="H7768" t="s">
        <v>30697</v>
      </c>
      <c r="J7768" t="s">
        <v>32167</v>
      </c>
      <c r="L7768" t="s">
        <v>32168</v>
      </c>
      <c r="M7768" t="s">
        <v>32169</v>
      </c>
      <c r="P7768" t="s">
        <v>330</v>
      </c>
      <c r="Q7768" t="s">
        <v>32170</v>
      </c>
      <c r="S7768" t="s">
        <v>32171</v>
      </c>
      <c r="T7768" t="s">
        <v>32172</v>
      </c>
      <c r="U7768" t="s">
        <v>32173</v>
      </c>
      <c r="V7768" t="s">
        <v>32174</v>
      </c>
      <c r="Y7768" t="s">
        <v>32175</v>
      </c>
    </row>
    <row r="7769" spans="1:25" x14ac:dyDescent="0.25">
      <c r="A7769" t="str">
        <f>"69485172373"</f>
        <v>69485172373</v>
      </c>
      <c r="B7769" t="s">
        <v>67</v>
      </c>
      <c r="C7769" t="s">
        <v>269</v>
      </c>
      <c r="D7769" t="s">
        <v>491</v>
      </c>
      <c r="E7769">
        <v>424000</v>
      </c>
      <c r="F7769" t="s">
        <v>1</v>
      </c>
      <c r="G7769" t="s">
        <v>2</v>
      </c>
      <c r="H7769" t="s">
        <v>9103</v>
      </c>
      <c r="Y7769" t="s">
        <v>32176</v>
      </c>
    </row>
    <row r="7770" spans="1:25" x14ac:dyDescent="0.25">
      <c r="A7770" t="str">
        <f>"69518653125"</f>
        <v>69518653125</v>
      </c>
      <c r="B7770" t="s">
        <v>530</v>
      </c>
      <c r="C7770" t="s">
        <v>23950</v>
      </c>
      <c r="D7770" t="s">
        <v>23950</v>
      </c>
      <c r="E7770">
        <v>424000</v>
      </c>
      <c r="F7770" t="s">
        <v>1</v>
      </c>
      <c r="G7770" t="s">
        <v>2</v>
      </c>
      <c r="H7770" t="s">
        <v>6782</v>
      </c>
      <c r="Y7770" t="s">
        <v>32177</v>
      </c>
    </row>
    <row r="7771" spans="1:25" x14ac:dyDescent="0.25">
      <c r="A7771" t="str">
        <f>"69527404811"</f>
        <v>69527404811</v>
      </c>
      <c r="B7771" t="s">
        <v>96</v>
      </c>
      <c r="C7771" t="s">
        <v>22202</v>
      </c>
      <c r="D7771" t="s">
        <v>32178</v>
      </c>
      <c r="E7771">
        <v>424000</v>
      </c>
      <c r="F7771" t="s">
        <v>1</v>
      </c>
      <c r="G7771" t="s">
        <v>2</v>
      </c>
      <c r="H7771" t="s">
        <v>92</v>
      </c>
      <c r="Y7771" t="s">
        <v>28397</v>
      </c>
    </row>
    <row r="7772" spans="1:25" x14ac:dyDescent="0.25">
      <c r="A7772" t="str">
        <f>"69540144781"</f>
        <v>69540144781</v>
      </c>
      <c r="B7772" t="s">
        <v>1262</v>
      </c>
      <c r="C7772" t="s">
        <v>32182</v>
      </c>
      <c r="D7772" t="s">
        <v>32179</v>
      </c>
      <c r="F7772" t="s">
        <v>1</v>
      </c>
      <c r="G7772" t="s">
        <v>2</v>
      </c>
      <c r="H7772" t="s">
        <v>22441</v>
      </c>
      <c r="J7772" t="s">
        <v>32180</v>
      </c>
      <c r="M7772" t="s">
        <v>32181</v>
      </c>
      <c r="P7772" t="s">
        <v>312</v>
      </c>
      <c r="Y7772" t="s">
        <v>32183</v>
      </c>
    </row>
    <row r="7773" spans="1:25" x14ac:dyDescent="0.25">
      <c r="A7773" t="str">
        <f>"69554861731"</f>
        <v>69554861731</v>
      </c>
      <c r="B7773" t="s">
        <v>3094</v>
      </c>
      <c r="C7773" t="s">
        <v>3095</v>
      </c>
      <c r="D7773" t="s">
        <v>32184</v>
      </c>
      <c r="E7773">
        <v>424000</v>
      </c>
      <c r="F7773" t="s">
        <v>1</v>
      </c>
      <c r="G7773" t="s">
        <v>2</v>
      </c>
      <c r="H7773" t="s">
        <v>523</v>
      </c>
      <c r="Y7773" t="s">
        <v>526</v>
      </c>
    </row>
    <row r="7774" spans="1:25" x14ac:dyDescent="0.25">
      <c r="A7774" t="str">
        <f>"69607900585"</f>
        <v>69607900585</v>
      </c>
      <c r="B7774" t="s">
        <v>2790</v>
      </c>
      <c r="C7774" t="s">
        <v>3528</v>
      </c>
      <c r="D7774" t="s">
        <v>32185</v>
      </c>
      <c r="E7774">
        <v>424032</v>
      </c>
      <c r="F7774" t="s">
        <v>1</v>
      </c>
      <c r="G7774" t="s">
        <v>2</v>
      </c>
      <c r="H7774" t="s">
        <v>7724</v>
      </c>
      <c r="I7774" t="s">
        <v>32186</v>
      </c>
      <c r="L7774" t="s">
        <v>6034</v>
      </c>
      <c r="M7774" t="s">
        <v>6035</v>
      </c>
      <c r="P7774" t="s">
        <v>20</v>
      </c>
      <c r="Y7774" t="s">
        <v>32187</v>
      </c>
    </row>
    <row r="7775" spans="1:25" x14ac:dyDescent="0.25">
      <c r="A7775" t="str">
        <f>"69625946785"</f>
        <v>69625946785</v>
      </c>
      <c r="B7775" t="s">
        <v>797</v>
      </c>
      <c r="C7775" t="s">
        <v>5123</v>
      </c>
      <c r="D7775" t="s">
        <v>2081</v>
      </c>
      <c r="E7775">
        <v>424006</v>
      </c>
      <c r="F7775" t="s">
        <v>1</v>
      </c>
      <c r="G7775" t="s">
        <v>2</v>
      </c>
      <c r="H7775" t="s">
        <v>20460</v>
      </c>
      <c r="Y7775" t="s">
        <v>32188</v>
      </c>
    </row>
    <row r="7776" spans="1:25" x14ac:dyDescent="0.25">
      <c r="A7776" t="str">
        <f>"69644378131"</f>
        <v>69644378131</v>
      </c>
      <c r="B7776" t="s">
        <v>96</v>
      </c>
      <c r="C7776" t="s">
        <v>32191</v>
      </c>
      <c r="D7776" t="s">
        <v>32189</v>
      </c>
      <c r="E7776">
        <v>424030</v>
      </c>
      <c r="F7776" t="s">
        <v>1</v>
      </c>
      <c r="G7776" t="s">
        <v>2</v>
      </c>
      <c r="H7776" t="s">
        <v>15318</v>
      </c>
      <c r="J7776" t="s">
        <v>32190</v>
      </c>
      <c r="P7776" t="s">
        <v>32192</v>
      </c>
      <c r="Y7776" t="s">
        <v>32193</v>
      </c>
    </row>
    <row r="7777" spans="1:25" x14ac:dyDescent="0.25">
      <c r="A7777" t="str">
        <f>"69660063424"</f>
        <v>69660063424</v>
      </c>
      <c r="B7777" t="s">
        <v>117</v>
      </c>
      <c r="C7777" t="s">
        <v>873</v>
      </c>
      <c r="D7777" t="s">
        <v>873</v>
      </c>
      <c r="E7777">
        <v>424003</v>
      </c>
      <c r="F7777" t="s">
        <v>1</v>
      </c>
      <c r="G7777" t="s">
        <v>2</v>
      </c>
      <c r="H7777" t="s">
        <v>30504</v>
      </c>
      <c r="Y7777" t="s">
        <v>32194</v>
      </c>
    </row>
    <row r="7778" spans="1:25" x14ac:dyDescent="0.25">
      <c r="A7778" t="str">
        <f>"69704352723"</f>
        <v>69704352723</v>
      </c>
      <c r="B7778" t="s">
        <v>290</v>
      </c>
      <c r="C7778" t="s">
        <v>290</v>
      </c>
      <c r="D7778" t="s">
        <v>15669</v>
      </c>
      <c r="E7778">
        <v>424007</v>
      </c>
      <c r="F7778" t="s">
        <v>1</v>
      </c>
      <c r="G7778" t="s">
        <v>2</v>
      </c>
      <c r="H7778" t="s">
        <v>30559</v>
      </c>
      <c r="I7778" t="s">
        <v>29644</v>
      </c>
      <c r="P7778" t="s">
        <v>8994</v>
      </c>
      <c r="Y7778" t="s">
        <v>32195</v>
      </c>
    </row>
    <row r="7779" spans="1:25" x14ac:dyDescent="0.25">
      <c r="A7779" t="str">
        <f>"69739060616"</f>
        <v>69739060616</v>
      </c>
      <c r="B7779" t="s">
        <v>96</v>
      </c>
      <c r="C7779" t="s">
        <v>32196</v>
      </c>
      <c r="D7779" t="s">
        <v>30723</v>
      </c>
      <c r="E7779">
        <v>424028</v>
      </c>
      <c r="F7779" t="s">
        <v>1</v>
      </c>
      <c r="G7779" t="s">
        <v>2</v>
      </c>
      <c r="H7779" t="s">
        <v>3628</v>
      </c>
      <c r="Y7779" t="s">
        <v>32197</v>
      </c>
    </row>
    <row r="7780" spans="1:25" x14ac:dyDescent="0.25">
      <c r="A7780" t="str">
        <f>"69777244171"</f>
        <v>69777244171</v>
      </c>
      <c r="B7780" t="s">
        <v>1152</v>
      </c>
      <c r="C7780" t="s">
        <v>1385</v>
      </c>
      <c r="D7780" t="s">
        <v>27705</v>
      </c>
      <c r="E7780">
        <v>424028</v>
      </c>
      <c r="F7780" t="s">
        <v>1</v>
      </c>
      <c r="G7780" t="s">
        <v>2</v>
      </c>
      <c r="H7780" t="s">
        <v>3628</v>
      </c>
      <c r="Y7780" t="s">
        <v>6934</v>
      </c>
    </row>
    <row r="7781" spans="1:25" x14ac:dyDescent="0.25">
      <c r="A7781" t="str">
        <f>"69846365164"</f>
        <v>69846365164</v>
      </c>
      <c r="B7781" t="s">
        <v>574</v>
      </c>
      <c r="C7781" t="s">
        <v>32198</v>
      </c>
      <c r="D7781" t="s">
        <v>11854</v>
      </c>
      <c r="E7781">
        <v>424031</v>
      </c>
      <c r="F7781" t="s">
        <v>1</v>
      </c>
      <c r="G7781" t="s">
        <v>2</v>
      </c>
      <c r="H7781" t="s">
        <v>7118</v>
      </c>
      <c r="P7781" t="s">
        <v>330</v>
      </c>
      <c r="Y7781" t="s">
        <v>32199</v>
      </c>
    </row>
    <row r="7782" spans="1:25" x14ac:dyDescent="0.25">
      <c r="A7782" t="str">
        <f>"69878307183"</f>
        <v>69878307183</v>
      </c>
      <c r="B7782" t="s">
        <v>456</v>
      </c>
      <c r="C7782" t="s">
        <v>32203</v>
      </c>
      <c r="D7782" t="s">
        <v>32200</v>
      </c>
      <c r="E7782">
        <v>424038</v>
      </c>
      <c r="F7782" t="s">
        <v>1</v>
      </c>
      <c r="G7782" t="s">
        <v>2</v>
      </c>
      <c r="H7782" t="s">
        <v>7881</v>
      </c>
      <c r="I7782" t="s">
        <v>32201</v>
      </c>
      <c r="M7782" t="s">
        <v>32202</v>
      </c>
      <c r="P7782" t="s">
        <v>330</v>
      </c>
      <c r="Q7782" t="s">
        <v>28693</v>
      </c>
      <c r="U7782" t="s">
        <v>32204</v>
      </c>
      <c r="V7782" t="s">
        <v>32205</v>
      </c>
      <c r="Y7782" t="s">
        <v>32206</v>
      </c>
    </row>
    <row r="7783" spans="1:25" x14ac:dyDescent="0.25">
      <c r="A7783" t="str">
        <f>"69904429799"</f>
        <v>69904429799</v>
      </c>
      <c r="B7783" t="s">
        <v>67</v>
      </c>
      <c r="C7783" t="s">
        <v>269</v>
      </c>
      <c r="D7783" t="s">
        <v>2</v>
      </c>
      <c r="E7783">
        <v>424028</v>
      </c>
      <c r="F7783" t="s">
        <v>1</v>
      </c>
      <c r="G7783" t="s">
        <v>2</v>
      </c>
      <c r="H7783" t="s">
        <v>7204</v>
      </c>
      <c r="Y7783" t="s">
        <v>32207</v>
      </c>
    </row>
    <row r="7784" spans="1:25" x14ac:dyDescent="0.25">
      <c r="A7784" t="str">
        <f>"69949491667"</f>
        <v>69949491667</v>
      </c>
      <c r="B7784" t="s">
        <v>25</v>
      </c>
      <c r="C7784" t="s">
        <v>13425</v>
      </c>
      <c r="D7784" t="s">
        <v>32208</v>
      </c>
      <c r="E7784">
        <v>424020</v>
      </c>
      <c r="F7784" t="s">
        <v>1</v>
      </c>
      <c r="G7784" t="s">
        <v>2</v>
      </c>
      <c r="H7784" t="s">
        <v>1837</v>
      </c>
      <c r="Y7784" t="s">
        <v>32209</v>
      </c>
    </row>
    <row r="7785" spans="1:25" x14ac:dyDescent="0.25">
      <c r="A7785" t="str">
        <f>"69979457656"</f>
        <v>69979457656</v>
      </c>
      <c r="B7785" t="s">
        <v>348</v>
      </c>
      <c r="C7785" t="s">
        <v>10738</v>
      </c>
      <c r="D7785" t="s">
        <v>32210</v>
      </c>
      <c r="E7785">
        <v>424007</v>
      </c>
      <c r="F7785" t="s">
        <v>1</v>
      </c>
      <c r="G7785" t="s">
        <v>2</v>
      </c>
      <c r="H7785" t="s">
        <v>1085</v>
      </c>
      <c r="I7785" t="s">
        <v>32211</v>
      </c>
      <c r="L7785" t="s">
        <v>32212</v>
      </c>
      <c r="M7785" t="s">
        <v>32213</v>
      </c>
      <c r="P7785" t="s">
        <v>340</v>
      </c>
      <c r="Y7785" t="s">
        <v>1412</v>
      </c>
    </row>
    <row r="7786" spans="1:25" x14ac:dyDescent="0.25">
      <c r="A7786" t="str">
        <f>"69984410169"</f>
        <v>69984410169</v>
      </c>
      <c r="B7786" t="s">
        <v>1617</v>
      </c>
      <c r="C7786" t="s">
        <v>21001</v>
      </c>
      <c r="D7786" t="s">
        <v>20999</v>
      </c>
      <c r="F7786" t="s">
        <v>1</v>
      </c>
      <c r="G7786" t="s">
        <v>2</v>
      </c>
      <c r="H7786" t="s">
        <v>32214</v>
      </c>
      <c r="P7786" t="s">
        <v>32215</v>
      </c>
      <c r="Y7786" t="s">
        <v>32216</v>
      </c>
    </row>
    <row r="7787" spans="1:25" x14ac:dyDescent="0.25">
      <c r="A7787" t="str">
        <f>"69984529688"</f>
        <v>69984529688</v>
      </c>
      <c r="B7787" t="s">
        <v>18</v>
      </c>
      <c r="C7787" t="s">
        <v>32218</v>
      </c>
      <c r="D7787" t="s">
        <v>11181</v>
      </c>
      <c r="F7787" t="s">
        <v>1</v>
      </c>
      <c r="G7787" t="s">
        <v>2</v>
      </c>
      <c r="H7787" t="s">
        <v>32217</v>
      </c>
      <c r="Y7787" t="s">
        <v>32219</v>
      </c>
    </row>
    <row r="7788" spans="1:25" x14ac:dyDescent="0.25">
      <c r="A7788" t="str">
        <f>"70031468744"</f>
        <v>70031468744</v>
      </c>
      <c r="B7788" t="s">
        <v>32</v>
      </c>
      <c r="C7788" t="s">
        <v>182</v>
      </c>
      <c r="D7788" t="s">
        <v>32220</v>
      </c>
      <c r="E7788">
        <v>424019</v>
      </c>
      <c r="F7788" t="s">
        <v>1</v>
      </c>
      <c r="G7788" t="s">
        <v>2</v>
      </c>
      <c r="H7788" t="s">
        <v>31861</v>
      </c>
      <c r="P7788" t="s">
        <v>1039</v>
      </c>
      <c r="Y7788" t="s">
        <v>32221</v>
      </c>
    </row>
    <row r="7789" spans="1:25" x14ac:dyDescent="0.25">
      <c r="A7789" t="str">
        <f>"70043579065"</f>
        <v>70043579065</v>
      </c>
      <c r="B7789" t="s">
        <v>1152</v>
      </c>
      <c r="C7789" t="s">
        <v>13059</v>
      </c>
      <c r="D7789" t="s">
        <v>32222</v>
      </c>
      <c r="E7789">
        <v>424031</v>
      </c>
      <c r="F7789" t="s">
        <v>1</v>
      </c>
      <c r="G7789" t="s">
        <v>2</v>
      </c>
      <c r="H7789" t="s">
        <v>32223</v>
      </c>
      <c r="Y7789" t="s">
        <v>32224</v>
      </c>
    </row>
    <row r="7790" spans="1:25" x14ac:dyDescent="0.25">
      <c r="A7790" t="str">
        <f>"70082501522"</f>
        <v>70082501522</v>
      </c>
      <c r="B7790" t="s">
        <v>408</v>
      </c>
      <c r="C7790" t="s">
        <v>25792</v>
      </c>
      <c r="D7790" t="s">
        <v>25790</v>
      </c>
      <c r="E7790">
        <v>424026</v>
      </c>
      <c r="F7790" t="s">
        <v>1</v>
      </c>
      <c r="G7790" t="s">
        <v>2</v>
      </c>
      <c r="H7790" t="s">
        <v>13667</v>
      </c>
      <c r="Y7790" t="s">
        <v>32225</v>
      </c>
    </row>
    <row r="7791" spans="1:25" x14ac:dyDescent="0.25">
      <c r="A7791" t="str">
        <f>"70105411071"</f>
        <v>70105411071</v>
      </c>
      <c r="B7791" t="s">
        <v>930</v>
      </c>
      <c r="C7791" t="s">
        <v>927</v>
      </c>
      <c r="D7791" t="s">
        <v>32226</v>
      </c>
      <c r="F7791" t="s">
        <v>1</v>
      </c>
      <c r="G7791" t="s">
        <v>2</v>
      </c>
      <c r="H7791" t="s">
        <v>7547</v>
      </c>
      <c r="Y7791" t="s">
        <v>32227</v>
      </c>
    </row>
    <row r="7792" spans="1:25" x14ac:dyDescent="0.25">
      <c r="A7792" t="str">
        <f>"70106066471"</f>
        <v>70106066471</v>
      </c>
      <c r="B7792" t="s">
        <v>624</v>
      </c>
      <c r="C7792" t="s">
        <v>1637</v>
      </c>
      <c r="D7792" t="s">
        <v>32228</v>
      </c>
      <c r="F7792" t="s">
        <v>1</v>
      </c>
      <c r="G7792" t="s">
        <v>2</v>
      </c>
      <c r="H7792" t="s">
        <v>26218</v>
      </c>
      <c r="J7792" t="s">
        <v>32229</v>
      </c>
      <c r="P7792" t="s">
        <v>27</v>
      </c>
      <c r="Y7792" t="s">
        <v>31016</v>
      </c>
    </row>
    <row r="7793" spans="1:25" x14ac:dyDescent="0.25">
      <c r="A7793" t="str">
        <f>"70171824446"</f>
        <v>70171824446</v>
      </c>
      <c r="B7793" t="s">
        <v>18</v>
      </c>
      <c r="C7793" t="s">
        <v>32233</v>
      </c>
      <c r="D7793" t="s">
        <v>32230</v>
      </c>
      <c r="E7793">
        <v>424004</v>
      </c>
      <c r="F7793" t="s">
        <v>1</v>
      </c>
      <c r="G7793" t="s">
        <v>2</v>
      </c>
      <c r="H7793" t="s">
        <v>5226</v>
      </c>
      <c r="L7793" t="s">
        <v>32231</v>
      </c>
      <c r="M7793" t="s">
        <v>32232</v>
      </c>
      <c r="Y7793" t="s">
        <v>6967</v>
      </c>
    </row>
    <row r="7794" spans="1:25" x14ac:dyDescent="0.25">
      <c r="A7794" t="str">
        <f>"70212563206"</f>
        <v>70212563206</v>
      </c>
      <c r="B7794" t="s">
        <v>2104</v>
      </c>
      <c r="C7794" t="s">
        <v>2105</v>
      </c>
      <c r="D7794" t="s">
        <v>32026</v>
      </c>
      <c r="E7794">
        <v>424007</v>
      </c>
      <c r="F7794" t="s">
        <v>1</v>
      </c>
      <c r="G7794" t="s">
        <v>2</v>
      </c>
      <c r="H7794" t="s">
        <v>15418</v>
      </c>
      <c r="Y7794" t="s">
        <v>32234</v>
      </c>
    </row>
    <row r="7795" spans="1:25" x14ac:dyDescent="0.25">
      <c r="A7795" t="str">
        <f>"70266963802"</f>
        <v>70266963802</v>
      </c>
      <c r="B7795" t="s">
        <v>530</v>
      </c>
      <c r="C7795" t="s">
        <v>23950</v>
      </c>
      <c r="D7795" t="s">
        <v>23950</v>
      </c>
      <c r="F7795" t="s">
        <v>1</v>
      </c>
      <c r="G7795" t="s">
        <v>2</v>
      </c>
      <c r="H7795" t="s">
        <v>31202</v>
      </c>
      <c r="Y7795" t="s">
        <v>32235</v>
      </c>
    </row>
    <row r="7796" spans="1:25" x14ac:dyDescent="0.25">
      <c r="A7796" t="str">
        <f>"70447408609"</f>
        <v>70447408609</v>
      </c>
      <c r="B7796" t="s">
        <v>32</v>
      </c>
      <c r="C7796" t="s">
        <v>32238</v>
      </c>
      <c r="D7796" t="s">
        <v>32236</v>
      </c>
      <c r="E7796">
        <v>424039</v>
      </c>
      <c r="F7796" t="s">
        <v>1</v>
      </c>
      <c r="G7796" t="s">
        <v>2</v>
      </c>
      <c r="H7796" t="s">
        <v>5827</v>
      </c>
      <c r="J7796" t="s">
        <v>32237</v>
      </c>
      <c r="P7796" t="s">
        <v>941</v>
      </c>
      <c r="Y7796" t="s">
        <v>23921</v>
      </c>
    </row>
    <row r="7797" spans="1:25" x14ac:dyDescent="0.25">
      <c r="A7797" t="str">
        <f>"70449230196"</f>
        <v>70449230196</v>
      </c>
      <c r="B7797" t="s">
        <v>930</v>
      </c>
      <c r="C7797" t="s">
        <v>32242</v>
      </c>
      <c r="D7797" t="s">
        <v>32239</v>
      </c>
      <c r="E7797">
        <v>424007</v>
      </c>
      <c r="F7797" t="s">
        <v>1</v>
      </c>
      <c r="G7797" t="s">
        <v>2</v>
      </c>
      <c r="H7797" t="s">
        <v>10252</v>
      </c>
      <c r="I7797" t="s">
        <v>32240</v>
      </c>
      <c r="M7797" t="s">
        <v>32241</v>
      </c>
      <c r="P7797" t="s">
        <v>27</v>
      </c>
      <c r="Y7797" t="s">
        <v>10258</v>
      </c>
    </row>
    <row r="7798" spans="1:25" x14ac:dyDescent="0.25">
      <c r="A7798" t="str">
        <f>"70461785278"</f>
        <v>70461785278</v>
      </c>
      <c r="B7798" t="s">
        <v>574</v>
      </c>
      <c r="C7798" t="s">
        <v>952</v>
      </c>
      <c r="D7798" t="s">
        <v>32243</v>
      </c>
      <c r="E7798">
        <v>424031</v>
      </c>
      <c r="F7798" t="s">
        <v>1</v>
      </c>
      <c r="G7798" t="s">
        <v>2</v>
      </c>
      <c r="H7798" t="s">
        <v>7118</v>
      </c>
      <c r="Y7798" t="s">
        <v>32244</v>
      </c>
    </row>
    <row r="7799" spans="1:25" x14ac:dyDescent="0.25">
      <c r="A7799" t="str">
        <f>"70470325156"</f>
        <v>70470325156</v>
      </c>
      <c r="B7799" t="s">
        <v>417</v>
      </c>
      <c r="C7799" t="s">
        <v>418</v>
      </c>
      <c r="D7799" t="s">
        <v>5316</v>
      </c>
      <c r="E7799">
        <v>424003</v>
      </c>
      <c r="F7799" t="s">
        <v>1</v>
      </c>
      <c r="G7799" t="s">
        <v>2</v>
      </c>
      <c r="H7799" t="s">
        <v>38</v>
      </c>
      <c r="I7799" t="s">
        <v>32245</v>
      </c>
      <c r="J7799" t="s">
        <v>32246</v>
      </c>
      <c r="M7799" t="s">
        <v>5321</v>
      </c>
      <c r="P7799" t="s">
        <v>2438</v>
      </c>
      <c r="Y7799" t="s">
        <v>32247</v>
      </c>
    </row>
    <row r="7800" spans="1:25" x14ac:dyDescent="0.25">
      <c r="A7800" t="str">
        <f>"70517905506"</f>
        <v>70517905506</v>
      </c>
      <c r="B7800" t="s">
        <v>1573</v>
      </c>
      <c r="C7800" t="s">
        <v>1817</v>
      </c>
      <c r="D7800" t="s">
        <v>5403</v>
      </c>
      <c r="E7800">
        <v>424007</v>
      </c>
      <c r="F7800" t="s">
        <v>1</v>
      </c>
      <c r="G7800" t="s">
        <v>2</v>
      </c>
      <c r="H7800" t="s">
        <v>23983</v>
      </c>
      <c r="Y7800" t="s">
        <v>32248</v>
      </c>
    </row>
    <row r="7801" spans="1:25" x14ac:dyDescent="0.25">
      <c r="A7801" t="str">
        <f>"70608238054"</f>
        <v>70608238054</v>
      </c>
      <c r="B7801" t="s">
        <v>530</v>
      </c>
      <c r="C7801" t="s">
        <v>23950</v>
      </c>
      <c r="D7801" t="s">
        <v>23950</v>
      </c>
      <c r="F7801" t="s">
        <v>1</v>
      </c>
      <c r="G7801" t="s">
        <v>2</v>
      </c>
      <c r="H7801" t="s">
        <v>7547</v>
      </c>
      <c r="Y7801" t="s">
        <v>32249</v>
      </c>
    </row>
    <row r="7802" spans="1:25" x14ac:dyDescent="0.25">
      <c r="A7802" t="str">
        <f>"70634290802"</f>
        <v>70634290802</v>
      </c>
      <c r="B7802" t="s">
        <v>1152</v>
      </c>
      <c r="C7802" t="s">
        <v>32250</v>
      </c>
      <c r="D7802" t="s">
        <v>27044</v>
      </c>
      <c r="E7802">
        <v>424005</v>
      </c>
      <c r="F7802" t="s">
        <v>1</v>
      </c>
      <c r="G7802" t="s">
        <v>2</v>
      </c>
      <c r="H7802" t="s">
        <v>1298</v>
      </c>
      <c r="Y7802" t="s">
        <v>1301</v>
      </c>
    </row>
    <row r="7803" spans="1:25" x14ac:dyDescent="0.25">
      <c r="A7803" t="str">
        <f>"70687073821"</f>
        <v>70687073821</v>
      </c>
      <c r="B7803" t="s">
        <v>574</v>
      </c>
      <c r="C7803" t="s">
        <v>22533</v>
      </c>
      <c r="D7803" t="s">
        <v>3057</v>
      </c>
      <c r="E7803">
        <v>424028</v>
      </c>
      <c r="F7803" t="s">
        <v>1</v>
      </c>
      <c r="G7803" t="s">
        <v>2</v>
      </c>
      <c r="H7803" t="s">
        <v>30569</v>
      </c>
      <c r="P7803" t="s">
        <v>26241</v>
      </c>
      <c r="Y7803" t="s">
        <v>32251</v>
      </c>
    </row>
    <row r="7804" spans="1:25" x14ac:dyDescent="0.25">
      <c r="A7804" t="str">
        <f>"70687243102"</f>
        <v>70687243102</v>
      </c>
      <c r="B7804" t="s">
        <v>574</v>
      </c>
      <c r="C7804" t="s">
        <v>11976</v>
      </c>
      <c r="D7804" t="s">
        <v>21762</v>
      </c>
      <c r="E7804">
        <v>424006</v>
      </c>
      <c r="F7804" t="s">
        <v>1</v>
      </c>
      <c r="G7804" t="s">
        <v>2</v>
      </c>
      <c r="H7804" t="s">
        <v>8622</v>
      </c>
      <c r="I7804" t="s">
        <v>32252</v>
      </c>
      <c r="L7804" t="s">
        <v>32253</v>
      </c>
      <c r="M7804" t="s">
        <v>32254</v>
      </c>
      <c r="P7804" t="s">
        <v>60</v>
      </c>
      <c r="Q7804" t="s">
        <v>32255</v>
      </c>
      <c r="R7804" t="s">
        <v>32256</v>
      </c>
      <c r="T7804" t="s">
        <v>32257</v>
      </c>
      <c r="U7804" t="s">
        <v>32258</v>
      </c>
      <c r="V7804" t="s">
        <v>32259</v>
      </c>
      <c r="Y7804" t="s">
        <v>32260</v>
      </c>
    </row>
    <row r="7805" spans="1:25" x14ac:dyDescent="0.25">
      <c r="A7805" t="str">
        <f>"70688401536"</f>
        <v>70688401536</v>
      </c>
      <c r="B7805" t="s">
        <v>319</v>
      </c>
      <c r="C7805" t="s">
        <v>320</v>
      </c>
      <c r="D7805" t="s">
        <v>32261</v>
      </c>
      <c r="E7805">
        <v>424036</v>
      </c>
      <c r="F7805" t="s">
        <v>1</v>
      </c>
      <c r="G7805" t="s">
        <v>2</v>
      </c>
      <c r="H7805" t="s">
        <v>5317</v>
      </c>
      <c r="I7805" t="s">
        <v>32262</v>
      </c>
      <c r="L7805" t="s">
        <v>2559</v>
      </c>
      <c r="M7805" t="s">
        <v>17901</v>
      </c>
      <c r="P7805" t="s">
        <v>9105</v>
      </c>
      <c r="Y7805" t="s">
        <v>32263</v>
      </c>
    </row>
    <row r="7806" spans="1:25" x14ac:dyDescent="0.25">
      <c r="A7806" t="str">
        <f>"70786382815"</f>
        <v>70786382815</v>
      </c>
      <c r="B7806" t="s">
        <v>930</v>
      </c>
      <c r="C7806" t="s">
        <v>6070</v>
      </c>
      <c r="D7806" t="s">
        <v>32264</v>
      </c>
      <c r="E7806">
        <v>424031</v>
      </c>
      <c r="F7806" t="s">
        <v>1</v>
      </c>
      <c r="G7806" t="s">
        <v>2</v>
      </c>
      <c r="H7806" t="s">
        <v>13630</v>
      </c>
      <c r="I7806" t="s">
        <v>11701</v>
      </c>
      <c r="Y7806" t="s">
        <v>22090</v>
      </c>
    </row>
    <row r="7807" spans="1:25" x14ac:dyDescent="0.25">
      <c r="A7807" t="str">
        <f>"70796029880"</f>
        <v>70796029880</v>
      </c>
      <c r="B7807" t="s">
        <v>151</v>
      </c>
      <c r="C7807" t="s">
        <v>151</v>
      </c>
      <c r="D7807" t="s">
        <v>32265</v>
      </c>
      <c r="E7807">
        <v>424001</v>
      </c>
      <c r="F7807" t="s">
        <v>1</v>
      </c>
      <c r="G7807" t="s">
        <v>2</v>
      </c>
      <c r="H7807" t="s">
        <v>919</v>
      </c>
      <c r="J7807" t="s">
        <v>32266</v>
      </c>
      <c r="P7807" t="s">
        <v>32267</v>
      </c>
      <c r="Y7807" t="s">
        <v>1750</v>
      </c>
    </row>
    <row r="7808" spans="1:25" x14ac:dyDescent="0.25">
      <c r="A7808" t="str">
        <f>"70864320958"</f>
        <v>70864320958</v>
      </c>
      <c r="B7808" t="s">
        <v>233</v>
      </c>
      <c r="C7808" t="s">
        <v>32270</v>
      </c>
      <c r="D7808" t="s">
        <v>32268</v>
      </c>
      <c r="E7808">
        <v>424032</v>
      </c>
      <c r="F7808" t="s">
        <v>1</v>
      </c>
      <c r="G7808" t="s">
        <v>2</v>
      </c>
      <c r="H7808" t="s">
        <v>4808</v>
      </c>
      <c r="I7808" t="s">
        <v>32269</v>
      </c>
      <c r="P7808" t="s">
        <v>32271</v>
      </c>
      <c r="Y7808" t="s">
        <v>4812</v>
      </c>
    </row>
    <row r="7809" spans="1:25" x14ac:dyDescent="0.25">
      <c r="A7809" t="str">
        <f>"70864806839"</f>
        <v>70864806839</v>
      </c>
      <c r="B7809" t="s">
        <v>1352</v>
      </c>
      <c r="C7809" t="s">
        <v>1353</v>
      </c>
      <c r="D7809" t="s">
        <v>32272</v>
      </c>
      <c r="E7809">
        <v>424019</v>
      </c>
      <c r="F7809" t="s">
        <v>1</v>
      </c>
      <c r="G7809" t="s">
        <v>2</v>
      </c>
      <c r="H7809" t="s">
        <v>7785</v>
      </c>
      <c r="P7809" t="s">
        <v>98</v>
      </c>
      <c r="Y7809" t="s">
        <v>32273</v>
      </c>
    </row>
    <row r="7810" spans="1:25" x14ac:dyDescent="0.25">
      <c r="A7810" t="str">
        <f>"70873773544"</f>
        <v>70873773544</v>
      </c>
      <c r="B7810" t="s">
        <v>1552</v>
      </c>
      <c r="C7810" t="s">
        <v>1552</v>
      </c>
      <c r="D7810" t="s">
        <v>32274</v>
      </c>
      <c r="F7810" t="s">
        <v>1</v>
      </c>
      <c r="G7810" t="s">
        <v>2</v>
      </c>
      <c r="H7810" t="s">
        <v>32275</v>
      </c>
      <c r="J7810" t="s">
        <v>21780</v>
      </c>
      <c r="P7810" t="s">
        <v>32276</v>
      </c>
      <c r="Y7810" t="s">
        <v>32277</v>
      </c>
    </row>
    <row r="7811" spans="1:25" x14ac:dyDescent="0.25">
      <c r="A7811" t="str">
        <f>"70882755558"</f>
        <v>70882755558</v>
      </c>
      <c r="B7811" t="s">
        <v>1611</v>
      </c>
      <c r="C7811" t="s">
        <v>3218</v>
      </c>
      <c r="D7811" t="s">
        <v>32278</v>
      </c>
      <c r="E7811">
        <v>424005</v>
      </c>
      <c r="F7811" t="s">
        <v>1</v>
      </c>
      <c r="G7811" t="s">
        <v>2</v>
      </c>
      <c r="H7811" t="s">
        <v>32279</v>
      </c>
      <c r="Y7811" t="s">
        <v>32280</v>
      </c>
    </row>
    <row r="7812" spans="1:25" x14ac:dyDescent="0.25">
      <c r="A7812" t="str">
        <f>"70887444427"</f>
        <v>70887444427</v>
      </c>
      <c r="B7812" t="s">
        <v>32</v>
      </c>
      <c r="C7812" t="s">
        <v>40</v>
      </c>
      <c r="D7812" t="s">
        <v>40</v>
      </c>
      <c r="E7812">
        <v>424031</v>
      </c>
      <c r="F7812" t="s">
        <v>1</v>
      </c>
      <c r="G7812" t="s">
        <v>2</v>
      </c>
      <c r="H7812" t="s">
        <v>4606</v>
      </c>
      <c r="Y7812" t="s">
        <v>32281</v>
      </c>
    </row>
    <row r="7813" spans="1:25" x14ac:dyDescent="0.25">
      <c r="A7813" t="str">
        <f>"70901499006"</f>
        <v>70901499006</v>
      </c>
      <c r="B7813" t="s">
        <v>978</v>
      </c>
      <c r="C7813" t="s">
        <v>32284</v>
      </c>
      <c r="D7813" t="s">
        <v>32282</v>
      </c>
      <c r="E7813">
        <v>424000</v>
      </c>
      <c r="F7813" t="s">
        <v>1</v>
      </c>
      <c r="G7813" t="s">
        <v>2</v>
      </c>
      <c r="H7813" t="s">
        <v>16280</v>
      </c>
      <c r="I7813" t="s">
        <v>32283</v>
      </c>
      <c r="L7813" t="s">
        <v>581</v>
      </c>
      <c r="M7813" t="s">
        <v>16282</v>
      </c>
      <c r="P7813" t="s">
        <v>330</v>
      </c>
      <c r="Q7813" t="s">
        <v>32285</v>
      </c>
      <c r="Y7813" t="s">
        <v>32286</v>
      </c>
    </row>
    <row r="7814" spans="1:25" x14ac:dyDescent="0.25">
      <c r="A7814" t="str">
        <f>"70914460617"</f>
        <v>70914460617</v>
      </c>
      <c r="B7814" t="s">
        <v>3008</v>
      </c>
      <c r="C7814" t="s">
        <v>21617</v>
      </c>
      <c r="D7814" t="s">
        <v>32287</v>
      </c>
      <c r="E7814">
        <v>424019</v>
      </c>
      <c r="F7814" t="s">
        <v>1</v>
      </c>
      <c r="G7814" t="s">
        <v>2</v>
      </c>
      <c r="H7814" t="s">
        <v>9271</v>
      </c>
      <c r="I7814" t="s">
        <v>32288</v>
      </c>
      <c r="L7814" t="s">
        <v>11508</v>
      </c>
      <c r="M7814" t="s">
        <v>11509</v>
      </c>
      <c r="P7814" t="s">
        <v>1464</v>
      </c>
      <c r="Y7814" t="s">
        <v>32289</v>
      </c>
    </row>
    <row r="7815" spans="1:25" x14ac:dyDescent="0.25">
      <c r="A7815" t="str">
        <f>"70930194164"</f>
        <v>70930194164</v>
      </c>
      <c r="B7815" t="s">
        <v>462</v>
      </c>
      <c r="C7815" t="s">
        <v>1140</v>
      </c>
      <c r="D7815" t="s">
        <v>32290</v>
      </c>
      <c r="E7815">
        <v>424000</v>
      </c>
      <c r="F7815" t="s">
        <v>1</v>
      </c>
      <c r="G7815" t="s">
        <v>2</v>
      </c>
      <c r="H7815" t="s">
        <v>2202</v>
      </c>
      <c r="Y7815" t="s">
        <v>2204</v>
      </c>
    </row>
    <row r="7816" spans="1:25" x14ac:dyDescent="0.25">
      <c r="A7816" t="str">
        <f>"70945660938"</f>
        <v>70945660938</v>
      </c>
      <c r="B7816" t="s">
        <v>18</v>
      </c>
      <c r="C7816" t="s">
        <v>32293</v>
      </c>
      <c r="D7816" t="s">
        <v>32291</v>
      </c>
      <c r="F7816" t="s">
        <v>1</v>
      </c>
      <c r="G7816" t="s">
        <v>2</v>
      </c>
      <c r="H7816" t="s">
        <v>7547</v>
      </c>
      <c r="I7816" t="s">
        <v>18561</v>
      </c>
      <c r="L7816" t="s">
        <v>18562</v>
      </c>
      <c r="M7816" t="s">
        <v>32292</v>
      </c>
      <c r="P7816" t="s">
        <v>584</v>
      </c>
      <c r="V7816" t="s">
        <v>18566</v>
      </c>
      <c r="Y7816" t="s">
        <v>32294</v>
      </c>
    </row>
    <row r="7817" spans="1:25" x14ac:dyDescent="0.25">
      <c r="A7817" t="str">
        <f>"70971535934"</f>
        <v>70971535934</v>
      </c>
      <c r="B7817" t="s">
        <v>1611</v>
      </c>
      <c r="C7817" t="s">
        <v>3218</v>
      </c>
      <c r="D7817" t="s">
        <v>32295</v>
      </c>
      <c r="F7817" t="s">
        <v>1</v>
      </c>
      <c r="G7817" t="s">
        <v>2</v>
      </c>
      <c r="H7817" t="s">
        <v>3696</v>
      </c>
      <c r="I7817" t="s">
        <v>32296</v>
      </c>
      <c r="M7817" t="s">
        <v>32297</v>
      </c>
      <c r="P7817" t="s">
        <v>330</v>
      </c>
      <c r="Y7817" t="s">
        <v>3701</v>
      </c>
    </row>
    <row r="7818" spans="1:25" x14ac:dyDescent="0.25">
      <c r="A7818" t="str">
        <f>"71021807300"</f>
        <v>71021807300</v>
      </c>
      <c r="B7818" t="s">
        <v>553</v>
      </c>
      <c r="C7818" t="s">
        <v>32300</v>
      </c>
      <c r="D7818" t="s">
        <v>32298</v>
      </c>
      <c r="E7818">
        <v>424004</v>
      </c>
      <c r="F7818" t="s">
        <v>1</v>
      </c>
      <c r="G7818" t="s">
        <v>2</v>
      </c>
      <c r="H7818" t="s">
        <v>7224</v>
      </c>
      <c r="I7818" t="s">
        <v>32299</v>
      </c>
      <c r="P7818" t="s">
        <v>27</v>
      </c>
      <c r="Q7818" t="s">
        <v>32301</v>
      </c>
      <c r="R7818" t="s">
        <v>32302</v>
      </c>
      <c r="V7818" t="s">
        <v>32303</v>
      </c>
      <c r="Y7818" t="s">
        <v>11992</v>
      </c>
    </row>
    <row r="7819" spans="1:25" x14ac:dyDescent="0.25">
      <c r="A7819" t="str">
        <f>"71035263205"</f>
        <v>71035263205</v>
      </c>
      <c r="B7819" t="s">
        <v>930</v>
      </c>
      <c r="C7819" t="s">
        <v>7140</v>
      </c>
      <c r="D7819" t="s">
        <v>32304</v>
      </c>
      <c r="F7819" t="s">
        <v>1</v>
      </c>
      <c r="G7819" t="s">
        <v>2</v>
      </c>
      <c r="H7819" t="s">
        <v>4315</v>
      </c>
      <c r="I7819" t="s">
        <v>32305</v>
      </c>
      <c r="J7819" t="s">
        <v>32306</v>
      </c>
      <c r="L7819" t="s">
        <v>32307</v>
      </c>
      <c r="M7819" t="s">
        <v>32308</v>
      </c>
      <c r="P7819" t="s">
        <v>11503</v>
      </c>
      <c r="Q7819" t="s">
        <v>32309</v>
      </c>
      <c r="V7819" t="s">
        <v>32310</v>
      </c>
      <c r="Y7819" t="s">
        <v>32311</v>
      </c>
    </row>
    <row r="7820" spans="1:25" x14ac:dyDescent="0.25">
      <c r="A7820" t="str">
        <f>"71039657913"</f>
        <v>71039657913</v>
      </c>
      <c r="B7820" t="s">
        <v>1152</v>
      </c>
      <c r="C7820" t="s">
        <v>1153</v>
      </c>
      <c r="D7820" t="s">
        <v>24071</v>
      </c>
      <c r="E7820">
        <v>424039</v>
      </c>
      <c r="F7820" t="s">
        <v>1</v>
      </c>
      <c r="G7820" t="s">
        <v>2</v>
      </c>
      <c r="H7820" t="s">
        <v>32312</v>
      </c>
      <c r="P7820" t="s">
        <v>32313</v>
      </c>
      <c r="Y7820" t="s">
        <v>32314</v>
      </c>
    </row>
    <row r="7821" spans="1:25" x14ac:dyDescent="0.25">
      <c r="A7821" t="str">
        <f>"71044263065"</f>
        <v>71044263065</v>
      </c>
      <c r="B7821" t="s">
        <v>1152</v>
      </c>
      <c r="C7821" t="s">
        <v>1153</v>
      </c>
      <c r="D7821" t="s">
        <v>5698</v>
      </c>
      <c r="E7821">
        <v>424000</v>
      </c>
      <c r="F7821" t="s">
        <v>1</v>
      </c>
      <c r="G7821" t="s">
        <v>2</v>
      </c>
      <c r="H7821" t="s">
        <v>4492</v>
      </c>
      <c r="I7821" t="s">
        <v>5700</v>
      </c>
      <c r="L7821" t="s">
        <v>5701</v>
      </c>
      <c r="M7821" t="s">
        <v>32315</v>
      </c>
      <c r="P7821" t="s">
        <v>1270</v>
      </c>
      <c r="Q7821" t="s">
        <v>5704</v>
      </c>
      <c r="R7821" t="s">
        <v>5705</v>
      </c>
      <c r="U7821" t="s">
        <v>5707</v>
      </c>
      <c r="V7821" t="s">
        <v>5708</v>
      </c>
      <c r="Y7821" t="s">
        <v>4497</v>
      </c>
    </row>
    <row r="7822" spans="1:25" x14ac:dyDescent="0.25">
      <c r="A7822" t="str">
        <f>"71045652001"</f>
        <v>71045652001</v>
      </c>
      <c r="B7822" t="s">
        <v>574</v>
      </c>
      <c r="C7822" t="s">
        <v>14652</v>
      </c>
      <c r="D7822" t="s">
        <v>24972</v>
      </c>
      <c r="E7822">
        <v>424006</v>
      </c>
      <c r="F7822" t="s">
        <v>1</v>
      </c>
      <c r="G7822" t="s">
        <v>2</v>
      </c>
      <c r="H7822" t="s">
        <v>10019</v>
      </c>
      <c r="Y7822" t="s">
        <v>32316</v>
      </c>
    </row>
    <row r="7823" spans="1:25" x14ac:dyDescent="0.25">
      <c r="A7823" t="str">
        <f>"71067429350"</f>
        <v>71067429350</v>
      </c>
      <c r="B7823" t="s">
        <v>530</v>
      </c>
      <c r="C7823" t="s">
        <v>23950</v>
      </c>
      <c r="D7823" t="s">
        <v>23950</v>
      </c>
      <c r="F7823" t="s">
        <v>1</v>
      </c>
      <c r="G7823" t="s">
        <v>2</v>
      </c>
      <c r="H7823" t="s">
        <v>7547</v>
      </c>
      <c r="Y7823" t="s">
        <v>32317</v>
      </c>
    </row>
    <row r="7824" spans="1:25" x14ac:dyDescent="0.25">
      <c r="A7824" t="str">
        <f>"71089217781"</f>
        <v>71089217781</v>
      </c>
      <c r="B7824" t="s">
        <v>456</v>
      </c>
      <c r="C7824" t="s">
        <v>17904</v>
      </c>
      <c r="D7824" t="s">
        <v>32318</v>
      </c>
      <c r="E7824">
        <v>424007</v>
      </c>
      <c r="F7824" t="s">
        <v>1</v>
      </c>
      <c r="G7824" t="s">
        <v>2</v>
      </c>
      <c r="H7824" t="s">
        <v>4869</v>
      </c>
      <c r="J7824" t="s">
        <v>32319</v>
      </c>
      <c r="M7824" t="s">
        <v>32320</v>
      </c>
      <c r="P7824" t="s">
        <v>32321</v>
      </c>
      <c r="Q7824" t="s">
        <v>32322</v>
      </c>
      <c r="T7824" t="s">
        <v>32323</v>
      </c>
      <c r="Y7824" t="s">
        <v>4872</v>
      </c>
    </row>
    <row r="7825" spans="1:25" x14ac:dyDescent="0.25">
      <c r="A7825" t="str">
        <f>"71133408355"</f>
        <v>71133408355</v>
      </c>
      <c r="B7825" t="s">
        <v>1573</v>
      </c>
      <c r="C7825" t="s">
        <v>1753</v>
      </c>
      <c r="D7825" t="s">
        <v>31996</v>
      </c>
      <c r="E7825">
        <v>424033</v>
      </c>
      <c r="F7825" t="s">
        <v>1</v>
      </c>
      <c r="G7825" t="s">
        <v>2</v>
      </c>
      <c r="H7825" t="s">
        <v>4225</v>
      </c>
      <c r="I7825" t="s">
        <v>31997</v>
      </c>
      <c r="P7825" t="s">
        <v>1855</v>
      </c>
      <c r="Y7825" t="s">
        <v>32324</v>
      </c>
    </row>
    <row r="7826" spans="1:25" x14ac:dyDescent="0.25">
      <c r="A7826" t="str">
        <f>"71141723246"</f>
        <v>71141723246</v>
      </c>
      <c r="B7826" t="s">
        <v>3544</v>
      </c>
      <c r="C7826" t="s">
        <v>3545</v>
      </c>
      <c r="D7826" t="s">
        <v>32325</v>
      </c>
      <c r="E7826">
        <v>424002</v>
      </c>
      <c r="F7826" t="s">
        <v>1</v>
      </c>
      <c r="G7826" t="s">
        <v>2</v>
      </c>
      <c r="H7826" t="s">
        <v>6397</v>
      </c>
      <c r="J7826" t="s">
        <v>32326</v>
      </c>
      <c r="L7826" t="s">
        <v>32327</v>
      </c>
      <c r="M7826" t="s">
        <v>32328</v>
      </c>
      <c r="P7826" t="s">
        <v>4280</v>
      </c>
      <c r="Q7826" t="s">
        <v>32329</v>
      </c>
      <c r="T7826" t="s">
        <v>32330</v>
      </c>
      <c r="V7826" t="s">
        <v>32331</v>
      </c>
      <c r="Y7826" t="s">
        <v>6401</v>
      </c>
    </row>
    <row r="7827" spans="1:25" x14ac:dyDescent="0.25">
      <c r="A7827" t="str">
        <f>"71149756167"</f>
        <v>71149756167</v>
      </c>
      <c r="B7827" t="s">
        <v>397</v>
      </c>
      <c r="C7827" t="s">
        <v>26803</v>
      </c>
      <c r="D7827" t="s">
        <v>32332</v>
      </c>
      <c r="E7827">
        <v>424007</v>
      </c>
      <c r="F7827" t="s">
        <v>1</v>
      </c>
      <c r="G7827" t="s">
        <v>2</v>
      </c>
      <c r="H7827" t="s">
        <v>31225</v>
      </c>
      <c r="I7827" t="s">
        <v>32333</v>
      </c>
      <c r="L7827" t="s">
        <v>32334</v>
      </c>
      <c r="M7827" t="s">
        <v>32335</v>
      </c>
      <c r="P7827" t="s">
        <v>27</v>
      </c>
      <c r="Y7827" t="s">
        <v>32336</v>
      </c>
    </row>
    <row r="7828" spans="1:25" x14ac:dyDescent="0.25">
      <c r="A7828" t="str">
        <f>"71180530375"</f>
        <v>71180530375</v>
      </c>
      <c r="B7828" t="s">
        <v>1611</v>
      </c>
      <c r="C7828" t="s">
        <v>2214</v>
      </c>
      <c r="D7828" t="s">
        <v>32337</v>
      </c>
      <c r="F7828" t="s">
        <v>1</v>
      </c>
      <c r="G7828" t="s">
        <v>2</v>
      </c>
      <c r="H7828" t="s">
        <v>5721</v>
      </c>
      <c r="I7828" t="s">
        <v>32338</v>
      </c>
      <c r="M7828" t="s">
        <v>32339</v>
      </c>
      <c r="P7828" t="s">
        <v>31443</v>
      </c>
      <c r="Y7828" t="s">
        <v>5724</v>
      </c>
    </row>
    <row r="7829" spans="1:25" x14ac:dyDescent="0.25">
      <c r="A7829" t="str">
        <f>"71188053950"</f>
        <v>71188053950</v>
      </c>
      <c r="B7829" t="s">
        <v>738</v>
      </c>
      <c r="C7829" t="s">
        <v>32344</v>
      </c>
      <c r="D7829" t="s">
        <v>32340</v>
      </c>
      <c r="F7829" t="s">
        <v>1</v>
      </c>
      <c r="G7829" t="s">
        <v>2</v>
      </c>
      <c r="H7829" t="s">
        <v>714</v>
      </c>
      <c r="I7829" t="s">
        <v>32341</v>
      </c>
      <c r="L7829" t="s">
        <v>32342</v>
      </c>
      <c r="M7829" t="s">
        <v>32343</v>
      </c>
      <c r="P7829" t="s">
        <v>330</v>
      </c>
      <c r="Y7829" t="s">
        <v>32345</v>
      </c>
    </row>
    <row r="7830" spans="1:25" x14ac:dyDescent="0.25">
      <c r="A7830" t="str">
        <f>"71196197769"</f>
        <v>71196197769</v>
      </c>
      <c r="B7830" t="s">
        <v>18</v>
      </c>
      <c r="C7830" t="s">
        <v>5677</v>
      </c>
      <c r="D7830" t="s">
        <v>32346</v>
      </c>
      <c r="F7830" t="s">
        <v>1</v>
      </c>
      <c r="G7830" t="s">
        <v>2</v>
      </c>
      <c r="H7830" t="s">
        <v>9610</v>
      </c>
      <c r="J7830" t="s">
        <v>32347</v>
      </c>
      <c r="L7830" t="s">
        <v>8198</v>
      </c>
      <c r="M7830" t="s">
        <v>32348</v>
      </c>
      <c r="P7830" t="s">
        <v>3123</v>
      </c>
      <c r="Y7830" t="s">
        <v>9612</v>
      </c>
    </row>
    <row r="7831" spans="1:25" x14ac:dyDescent="0.25">
      <c r="A7831" t="str">
        <f>"71199905230"</f>
        <v>71199905230</v>
      </c>
      <c r="B7831" t="s">
        <v>96</v>
      </c>
      <c r="C7831" t="s">
        <v>32350</v>
      </c>
      <c r="D7831" t="s">
        <v>32349</v>
      </c>
      <c r="E7831">
        <v>424038</v>
      </c>
      <c r="F7831" t="s">
        <v>1</v>
      </c>
      <c r="G7831" t="s">
        <v>2</v>
      </c>
      <c r="H7831" t="s">
        <v>13095</v>
      </c>
      <c r="Y7831" t="s">
        <v>14140</v>
      </c>
    </row>
    <row r="7832" spans="1:25" x14ac:dyDescent="0.25">
      <c r="A7832" t="str">
        <f>"71201637292"</f>
        <v>71201637292</v>
      </c>
      <c r="B7832" t="s">
        <v>151</v>
      </c>
      <c r="C7832" t="s">
        <v>151</v>
      </c>
      <c r="D7832" t="s">
        <v>151</v>
      </c>
      <c r="E7832">
        <v>424020</v>
      </c>
      <c r="F7832" t="s">
        <v>1</v>
      </c>
      <c r="G7832" t="s">
        <v>2</v>
      </c>
      <c r="H7832" t="s">
        <v>802</v>
      </c>
      <c r="P7832" t="s">
        <v>1035</v>
      </c>
      <c r="Y7832" t="s">
        <v>32351</v>
      </c>
    </row>
    <row r="7833" spans="1:25" x14ac:dyDescent="0.25">
      <c r="A7833" t="str">
        <f>"71203614660"</f>
        <v>71203614660</v>
      </c>
      <c r="B7833" t="s">
        <v>348</v>
      </c>
      <c r="C7833" t="s">
        <v>12108</v>
      </c>
      <c r="D7833" t="s">
        <v>32352</v>
      </c>
      <c r="F7833" t="s">
        <v>1</v>
      </c>
      <c r="G7833" t="s">
        <v>2</v>
      </c>
      <c r="H7833" t="s">
        <v>138</v>
      </c>
      <c r="J7833" t="s">
        <v>32353</v>
      </c>
      <c r="M7833" t="s">
        <v>32354</v>
      </c>
      <c r="P7833" t="s">
        <v>144</v>
      </c>
      <c r="Q7833" t="s">
        <v>32355</v>
      </c>
      <c r="V7833" t="s">
        <v>32356</v>
      </c>
      <c r="Y7833" t="s">
        <v>32357</v>
      </c>
    </row>
    <row r="7834" spans="1:25" x14ac:dyDescent="0.25">
      <c r="A7834" t="str">
        <f>"71216094309"</f>
        <v>71216094309</v>
      </c>
      <c r="B7834" t="s">
        <v>188</v>
      </c>
      <c r="C7834" t="s">
        <v>24568</v>
      </c>
      <c r="D7834" t="s">
        <v>24568</v>
      </c>
      <c r="E7834">
        <v>424006</v>
      </c>
      <c r="F7834" t="s">
        <v>1</v>
      </c>
      <c r="G7834" t="s">
        <v>2</v>
      </c>
      <c r="H7834" t="s">
        <v>1245</v>
      </c>
      <c r="Y7834" t="s">
        <v>32358</v>
      </c>
    </row>
    <row r="7835" spans="1:25" x14ac:dyDescent="0.25">
      <c r="A7835" t="str">
        <f>"71219494183"</f>
        <v>71219494183</v>
      </c>
      <c r="B7835" t="s">
        <v>3094</v>
      </c>
      <c r="C7835" t="s">
        <v>7527</v>
      </c>
      <c r="D7835" t="s">
        <v>32359</v>
      </c>
      <c r="E7835">
        <v>424033</v>
      </c>
      <c r="F7835" t="s">
        <v>1</v>
      </c>
      <c r="G7835" t="s">
        <v>2</v>
      </c>
      <c r="H7835" t="s">
        <v>32360</v>
      </c>
      <c r="I7835" t="s">
        <v>32361</v>
      </c>
      <c r="L7835" t="s">
        <v>32362</v>
      </c>
      <c r="M7835" t="s">
        <v>3002</v>
      </c>
      <c r="P7835" t="s">
        <v>1071</v>
      </c>
      <c r="Q7835" t="s">
        <v>32363</v>
      </c>
      <c r="Y7835" t="s">
        <v>32364</v>
      </c>
    </row>
    <row r="7836" spans="1:25" x14ac:dyDescent="0.25">
      <c r="A7836" t="str">
        <f>"71229575334"</f>
        <v>71229575334</v>
      </c>
      <c r="B7836" t="s">
        <v>290</v>
      </c>
      <c r="C7836" t="s">
        <v>290</v>
      </c>
      <c r="D7836" t="s">
        <v>15669</v>
      </c>
      <c r="E7836">
        <v>424028</v>
      </c>
      <c r="F7836" t="s">
        <v>1</v>
      </c>
      <c r="G7836" t="s">
        <v>2</v>
      </c>
      <c r="H7836" t="s">
        <v>1969</v>
      </c>
      <c r="I7836" t="s">
        <v>29644</v>
      </c>
      <c r="P7836" t="s">
        <v>216</v>
      </c>
      <c r="Y7836" t="s">
        <v>29585</v>
      </c>
    </row>
    <row r="7837" spans="1:25" x14ac:dyDescent="0.25">
      <c r="A7837" t="str">
        <f>"71239903421"</f>
        <v>71239903421</v>
      </c>
      <c r="B7837" t="s">
        <v>1475</v>
      </c>
      <c r="C7837" t="s">
        <v>21539</v>
      </c>
      <c r="D7837" t="s">
        <v>32365</v>
      </c>
      <c r="E7837">
        <v>424016</v>
      </c>
      <c r="F7837" t="s">
        <v>1</v>
      </c>
      <c r="G7837" t="s">
        <v>2</v>
      </c>
      <c r="H7837" t="s">
        <v>5561</v>
      </c>
      <c r="Y7837" t="s">
        <v>32366</v>
      </c>
    </row>
    <row r="7838" spans="1:25" x14ac:dyDescent="0.25">
      <c r="A7838" t="str">
        <f>"71255364166"</f>
        <v>71255364166</v>
      </c>
      <c r="B7838" t="s">
        <v>348</v>
      </c>
      <c r="C7838" t="s">
        <v>6455</v>
      </c>
      <c r="D7838" t="s">
        <v>32367</v>
      </c>
      <c r="E7838">
        <v>424038</v>
      </c>
      <c r="F7838" t="s">
        <v>1</v>
      </c>
      <c r="G7838" t="s">
        <v>2</v>
      </c>
      <c r="H7838" t="s">
        <v>16183</v>
      </c>
      <c r="J7838" t="s">
        <v>32368</v>
      </c>
      <c r="L7838" t="s">
        <v>1952</v>
      </c>
      <c r="M7838" t="s">
        <v>5244</v>
      </c>
      <c r="P7838" t="s">
        <v>941</v>
      </c>
      <c r="Y7838" t="s">
        <v>32369</v>
      </c>
    </row>
    <row r="7839" spans="1:25" x14ac:dyDescent="0.25">
      <c r="A7839" t="str">
        <f>"71294222876"</f>
        <v>71294222876</v>
      </c>
      <c r="B7839" t="s">
        <v>456</v>
      </c>
      <c r="C7839" t="s">
        <v>2040</v>
      </c>
      <c r="D7839" t="s">
        <v>32370</v>
      </c>
      <c r="E7839">
        <v>424031</v>
      </c>
      <c r="F7839" t="s">
        <v>1</v>
      </c>
      <c r="G7839" t="s">
        <v>2</v>
      </c>
      <c r="H7839" t="s">
        <v>12294</v>
      </c>
      <c r="Y7839" t="s">
        <v>12297</v>
      </c>
    </row>
    <row r="7840" spans="1:25" x14ac:dyDescent="0.25">
      <c r="A7840" t="str">
        <f>"71343986558"</f>
        <v>71343986558</v>
      </c>
      <c r="B7840" t="s">
        <v>176</v>
      </c>
      <c r="C7840" t="s">
        <v>279</v>
      </c>
      <c r="D7840" t="s">
        <v>32371</v>
      </c>
      <c r="E7840">
        <v>424037</v>
      </c>
      <c r="F7840" t="s">
        <v>1</v>
      </c>
      <c r="G7840" t="s">
        <v>2</v>
      </c>
      <c r="H7840" t="s">
        <v>28900</v>
      </c>
      <c r="Y7840" t="s">
        <v>32372</v>
      </c>
    </row>
    <row r="7841" spans="1:25" x14ac:dyDescent="0.25">
      <c r="A7841" t="str">
        <f>"71403399329"</f>
        <v>71403399329</v>
      </c>
      <c r="B7841" t="s">
        <v>25</v>
      </c>
      <c r="C7841" t="s">
        <v>24410</v>
      </c>
      <c r="D7841" t="s">
        <v>32373</v>
      </c>
      <c r="E7841">
        <v>424019</v>
      </c>
      <c r="F7841" t="s">
        <v>1</v>
      </c>
      <c r="G7841" t="s">
        <v>2</v>
      </c>
      <c r="H7841" t="s">
        <v>20692</v>
      </c>
      <c r="I7841" t="s">
        <v>32374</v>
      </c>
      <c r="Y7841" t="s">
        <v>20697</v>
      </c>
    </row>
    <row r="7842" spans="1:25" x14ac:dyDescent="0.25">
      <c r="A7842" t="str">
        <f>"71443343019"</f>
        <v>71443343019</v>
      </c>
      <c r="B7842" t="s">
        <v>25</v>
      </c>
      <c r="C7842" t="s">
        <v>24938</v>
      </c>
      <c r="D7842" t="s">
        <v>32375</v>
      </c>
      <c r="E7842">
        <v>424033</v>
      </c>
      <c r="F7842" t="s">
        <v>1</v>
      </c>
      <c r="G7842" t="s">
        <v>2</v>
      </c>
      <c r="H7842" t="s">
        <v>16703</v>
      </c>
      <c r="I7842" t="s">
        <v>32376</v>
      </c>
      <c r="L7842" t="s">
        <v>8198</v>
      </c>
      <c r="M7842" t="s">
        <v>32377</v>
      </c>
      <c r="Y7842" t="s">
        <v>32378</v>
      </c>
    </row>
    <row r="7843" spans="1:25" x14ac:dyDescent="0.25">
      <c r="A7843" t="str">
        <f>"71470830957"</f>
        <v>71470830957</v>
      </c>
      <c r="B7843" t="s">
        <v>1611</v>
      </c>
      <c r="C7843" t="s">
        <v>3218</v>
      </c>
      <c r="D7843" t="s">
        <v>32379</v>
      </c>
      <c r="E7843">
        <v>424037</v>
      </c>
      <c r="F7843" t="s">
        <v>1</v>
      </c>
      <c r="G7843" t="s">
        <v>2</v>
      </c>
      <c r="H7843" t="s">
        <v>15407</v>
      </c>
      <c r="Y7843" t="s">
        <v>4724</v>
      </c>
    </row>
    <row r="7844" spans="1:25" x14ac:dyDescent="0.25">
      <c r="A7844" t="str">
        <f>"71524631049"</f>
        <v>71524631049</v>
      </c>
      <c r="B7844" t="s">
        <v>348</v>
      </c>
      <c r="C7844" t="s">
        <v>4366</v>
      </c>
      <c r="D7844" t="s">
        <v>27848</v>
      </c>
      <c r="E7844">
        <v>424006</v>
      </c>
      <c r="F7844" t="s">
        <v>1</v>
      </c>
      <c r="G7844" t="s">
        <v>2</v>
      </c>
      <c r="H7844" t="s">
        <v>2012</v>
      </c>
      <c r="J7844" t="s">
        <v>32380</v>
      </c>
      <c r="P7844" t="s">
        <v>144</v>
      </c>
      <c r="Y7844" t="s">
        <v>2016</v>
      </c>
    </row>
    <row r="7845" spans="1:25" x14ac:dyDescent="0.25">
      <c r="A7845" t="str">
        <f>"71542513046"</f>
        <v>71542513046</v>
      </c>
      <c r="B7845" t="s">
        <v>574</v>
      </c>
      <c r="C7845" t="s">
        <v>10644</v>
      </c>
      <c r="D7845" t="s">
        <v>5349</v>
      </c>
      <c r="E7845">
        <v>424002</v>
      </c>
      <c r="F7845" t="s">
        <v>1</v>
      </c>
      <c r="G7845" t="s">
        <v>2</v>
      </c>
      <c r="H7845" t="s">
        <v>12089</v>
      </c>
      <c r="I7845" t="s">
        <v>32381</v>
      </c>
      <c r="P7845" t="s">
        <v>9840</v>
      </c>
      <c r="Y7845" t="s">
        <v>32382</v>
      </c>
    </row>
    <row r="7846" spans="1:25" x14ac:dyDescent="0.25">
      <c r="A7846" t="str">
        <f>"71547883112"</f>
        <v>71547883112</v>
      </c>
      <c r="B7846" t="s">
        <v>25</v>
      </c>
      <c r="C7846" t="s">
        <v>24938</v>
      </c>
      <c r="D7846" t="s">
        <v>32383</v>
      </c>
      <c r="E7846">
        <v>424038</v>
      </c>
      <c r="F7846" t="s">
        <v>1</v>
      </c>
      <c r="G7846" t="s">
        <v>2</v>
      </c>
      <c r="H7846" t="s">
        <v>32384</v>
      </c>
      <c r="I7846" t="s">
        <v>32385</v>
      </c>
      <c r="L7846" t="s">
        <v>15100</v>
      </c>
      <c r="M7846" t="s">
        <v>32386</v>
      </c>
      <c r="Y7846" t="s">
        <v>32387</v>
      </c>
    </row>
    <row r="7847" spans="1:25" x14ac:dyDescent="0.25">
      <c r="A7847" t="str">
        <f>"71554784759"</f>
        <v>71554784759</v>
      </c>
      <c r="B7847" t="s">
        <v>18</v>
      </c>
      <c r="C7847" t="s">
        <v>959</v>
      </c>
      <c r="D7847" t="s">
        <v>32388</v>
      </c>
      <c r="E7847">
        <v>424038</v>
      </c>
      <c r="F7847" t="s">
        <v>1</v>
      </c>
      <c r="G7847" t="s">
        <v>2</v>
      </c>
      <c r="H7847" t="s">
        <v>546</v>
      </c>
      <c r="Y7847" t="s">
        <v>32389</v>
      </c>
    </row>
    <row r="7848" spans="1:25" x14ac:dyDescent="0.25">
      <c r="A7848" t="str">
        <f>"71605023375"</f>
        <v>71605023375</v>
      </c>
      <c r="B7848" t="s">
        <v>738</v>
      </c>
      <c r="C7848" t="s">
        <v>739</v>
      </c>
      <c r="D7848" t="s">
        <v>32390</v>
      </c>
      <c r="F7848" t="s">
        <v>1</v>
      </c>
      <c r="G7848" t="s">
        <v>2</v>
      </c>
      <c r="H7848" t="s">
        <v>2541</v>
      </c>
      <c r="J7848" t="s">
        <v>32391</v>
      </c>
      <c r="M7848" t="s">
        <v>32392</v>
      </c>
      <c r="P7848" t="s">
        <v>32393</v>
      </c>
      <c r="Y7848" t="s">
        <v>32394</v>
      </c>
    </row>
    <row r="7849" spans="1:25" x14ac:dyDescent="0.25">
      <c r="A7849" t="str">
        <f>"71622448565"</f>
        <v>71622448565</v>
      </c>
      <c r="B7849" t="s">
        <v>574</v>
      </c>
      <c r="C7849" t="s">
        <v>646</v>
      </c>
      <c r="D7849" t="s">
        <v>32395</v>
      </c>
      <c r="E7849">
        <v>424005</v>
      </c>
      <c r="F7849" t="s">
        <v>1</v>
      </c>
      <c r="G7849" t="s">
        <v>2</v>
      </c>
      <c r="H7849" t="s">
        <v>13</v>
      </c>
      <c r="J7849" t="s">
        <v>32396</v>
      </c>
      <c r="P7849" t="s">
        <v>280</v>
      </c>
      <c r="Y7849" t="s">
        <v>32397</v>
      </c>
    </row>
    <row r="7850" spans="1:25" x14ac:dyDescent="0.25">
      <c r="A7850" t="str">
        <f>"71641194553"</f>
        <v>71641194553</v>
      </c>
      <c r="B7850" t="s">
        <v>530</v>
      </c>
      <c r="C7850" t="s">
        <v>23950</v>
      </c>
      <c r="D7850" t="s">
        <v>23950</v>
      </c>
      <c r="E7850">
        <v>424028</v>
      </c>
      <c r="F7850" t="s">
        <v>1</v>
      </c>
      <c r="G7850" t="s">
        <v>2</v>
      </c>
      <c r="H7850" t="s">
        <v>32398</v>
      </c>
      <c r="Y7850" t="s">
        <v>32399</v>
      </c>
    </row>
    <row r="7851" spans="1:25" x14ac:dyDescent="0.25">
      <c r="A7851" t="str">
        <f>"71726288084"</f>
        <v>71726288084</v>
      </c>
      <c r="B7851" t="s">
        <v>96</v>
      </c>
      <c r="C7851" t="s">
        <v>893</v>
      </c>
      <c r="D7851" t="s">
        <v>18885</v>
      </c>
      <c r="F7851" t="s">
        <v>1</v>
      </c>
      <c r="G7851" t="s">
        <v>2</v>
      </c>
      <c r="H7851" t="s">
        <v>26459</v>
      </c>
      <c r="Y7851" t="s">
        <v>26463</v>
      </c>
    </row>
    <row r="7852" spans="1:25" x14ac:dyDescent="0.25">
      <c r="A7852" t="str">
        <f>"71756861104"</f>
        <v>71756861104</v>
      </c>
      <c r="B7852" t="s">
        <v>1544</v>
      </c>
      <c r="C7852" t="s">
        <v>3596</v>
      </c>
      <c r="D7852" t="s">
        <v>28272</v>
      </c>
      <c r="F7852" t="s">
        <v>1</v>
      </c>
      <c r="G7852" t="s">
        <v>2</v>
      </c>
      <c r="H7852" t="s">
        <v>5721</v>
      </c>
      <c r="P7852" t="s">
        <v>280</v>
      </c>
      <c r="Y7852" t="s">
        <v>32400</v>
      </c>
    </row>
    <row r="7853" spans="1:25" x14ac:dyDescent="0.25">
      <c r="A7853" t="str">
        <f>"71769727787"</f>
        <v>71769727787</v>
      </c>
      <c r="B7853" t="s">
        <v>930</v>
      </c>
      <c r="C7853" t="s">
        <v>24879</v>
      </c>
      <c r="D7853" t="s">
        <v>32401</v>
      </c>
      <c r="F7853" t="s">
        <v>1</v>
      </c>
      <c r="G7853" t="s">
        <v>2</v>
      </c>
      <c r="H7853" t="s">
        <v>6026</v>
      </c>
      <c r="Y7853" t="s">
        <v>32402</v>
      </c>
    </row>
    <row r="7854" spans="1:25" x14ac:dyDescent="0.25">
      <c r="A7854" t="str">
        <f>"71796860875"</f>
        <v>71796860875</v>
      </c>
      <c r="B7854" t="s">
        <v>574</v>
      </c>
      <c r="C7854" t="s">
        <v>646</v>
      </c>
      <c r="D7854" t="s">
        <v>32403</v>
      </c>
      <c r="E7854">
        <v>424039</v>
      </c>
      <c r="F7854" t="s">
        <v>1</v>
      </c>
      <c r="G7854" t="s">
        <v>2</v>
      </c>
      <c r="H7854" t="s">
        <v>23651</v>
      </c>
      <c r="Y7854" t="s">
        <v>32404</v>
      </c>
    </row>
    <row r="7855" spans="1:25" x14ac:dyDescent="0.25">
      <c r="A7855" t="str">
        <f>"71816543248"</f>
        <v>71816543248</v>
      </c>
      <c r="B7855" t="s">
        <v>482</v>
      </c>
      <c r="C7855" t="s">
        <v>483</v>
      </c>
      <c r="D7855" t="s">
        <v>32405</v>
      </c>
      <c r="E7855">
        <v>424002</v>
      </c>
      <c r="F7855" t="s">
        <v>1</v>
      </c>
      <c r="G7855" t="s">
        <v>2</v>
      </c>
      <c r="H7855" t="s">
        <v>1190</v>
      </c>
      <c r="J7855" t="s">
        <v>32406</v>
      </c>
      <c r="P7855" t="s">
        <v>2280</v>
      </c>
      <c r="Y7855" t="s">
        <v>1284</v>
      </c>
    </row>
    <row r="7856" spans="1:25" x14ac:dyDescent="0.25">
      <c r="A7856" t="str">
        <f>"71892964279"</f>
        <v>71892964279</v>
      </c>
      <c r="B7856" t="s">
        <v>574</v>
      </c>
      <c r="C7856" t="s">
        <v>952</v>
      </c>
      <c r="D7856" t="s">
        <v>32407</v>
      </c>
      <c r="E7856">
        <v>424028</v>
      </c>
      <c r="F7856" t="s">
        <v>1</v>
      </c>
      <c r="G7856" t="s">
        <v>2</v>
      </c>
      <c r="H7856" t="s">
        <v>1969</v>
      </c>
      <c r="Y7856" t="s">
        <v>32408</v>
      </c>
    </row>
    <row r="7857" spans="1:25" x14ac:dyDescent="0.25">
      <c r="A7857" t="str">
        <f>"71893554375"</f>
        <v>71893554375</v>
      </c>
      <c r="B7857" t="s">
        <v>456</v>
      </c>
      <c r="C7857" t="s">
        <v>32412</v>
      </c>
      <c r="D7857" t="s">
        <v>32409</v>
      </c>
      <c r="E7857">
        <v>424007</v>
      </c>
      <c r="F7857" t="s">
        <v>1</v>
      </c>
      <c r="G7857" t="s">
        <v>2</v>
      </c>
      <c r="H7857" t="s">
        <v>4869</v>
      </c>
      <c r="J7857" t="s">
        <v>32410</v>
      </c>
      <c r="M7857" t="s">
        <v>32411</v>
      </c>
      <c r="P7857" t="s">
        <v>260</v>
      </c>
      <c r="Q7857" t="s">
        <v>32413</v>
      </c>
      <c r="Y7857" t="s">
        <v>5759</v>
      </c>
    </row>
    <row r="7858" spans="1:25" x14ac:dyDescent="0.25">
      <c r="A7858" t="str">
        <f>"71898986376"</f>
        <v>71898986376</v>
      </c>
      <c r="B7858" t="s">
        <v>18</v>
      </c>
      <c r="C7858" t="s">
        <v>32418</v>
      </c>
      <c r="D7858" t="s">
        <v>32414</v>
      </c>
      <c r="E7858">
        <v>424006</v>
      </c>
      <c r="F7858" t="s">
        <v>1</v>
      </c>
      <c r="G7858" t="s">
        <v>2</v>
      </c>
      <c r="H7858" t="s">
        <v>6365</v>
      </c>
      <c r="J7858" t="s">
        <v>32415</v>
      </c>
      <c r="L7858" t="s">
        <v>32416</v>
      </c>
      <c r="M7858" t="s">
        <v>32417</v>
      </c>
      <c r="P7858" t="s">
        <v>280</v>
      </c>
      <c r="Q7858" t="s">
        <v>32419</v>
      </c>
      <c r="T7858" t="s">
        <v>32420</v>
      </c>
      <c r="V7858" t="s">
        <v>32421</v>
      </c>
      <c r="Y7858" t="s">
        <v>32422</v>
      </c>
    </row>
    <row r="7859" spans="1:25" x14ac:dyDescent="0.25">
      <c r="A7859" t="str">
        <f>"71919499513"</f>
        <v>71919499513</v>
      </c>
      <c r="B7859" t="s">
        <v>204</v>
      </c>
      <c r="C7859" t="s">
        <v>29461</v>
      </c>
      <c r="D7859" t="s">
        <v>32423</v>
      </c>
      <c r="E7859">
        <v>424918</v>
      </c>
      <c r="F7859" t="s">
        <v>1</v>
      </c>
      <c r="G7859" t="s">
        <v>2</v>
      </c>
      <c r="H7859" t="s">
        <v>629</v>
      </c>
      <c r="P7859" t="s">
        <v>630</v>
      </c>
      <c r="Y7859" t="s">
        <v>1744</v>
      </c>
    </row>
    <row r="7860" spans="1:25" x14ac:dyDescent="0.25">
      <c r="A7860" t="str">
        <f>"71926991561"</f>
        <v>71926991561</v>
      </c>
      <c r="B7860" t="s">
        <v>3200</v>
      </c>
      <c r="C7860" t="s">
        <v>18948</v>
      </c>
      <c r="D7860" t="s">
        <v>32424</v>
      </c>
      <c r="E7860">
        <v>424038</v>
      </c>
      <c r="F7860" t="s">
        <v>1</v>
      </c>
      <c r="G7860" t="s">
        <v>2</v>
      </c>
      <c r="H7860" t="s">
        <v>2614</v>
      </c>
      <c r="Y7860" t="s">
        <v>2617</v>
      </c>
    </row>
    <row r="7861" spans="1:25" x14ac:dyDescent="0.25">
      <c r="A7861" t="str">
        <f>"71940908677"</f>
        <v>71940908677</v>
      </c>
      <c r="B7861" t="s">
        <v>530</v>
      </c>
      <c r="C7861" t="s">
        <v>23950</v>
      </c>
      <c r="D7861" t="s">
        <v>23950</v>
      </c>
      <c r="F7861" t="s">
        <v>1</v>
      </c>
      <c r="G7861" t="s">
        <v>2</v>
      </c>
      <c r="H7861" t="s">
        <v>32425</v>
      </c>
      <c r="Y7861" t="s">
        <v>32426</v>
      </c>
    </row>
    <row r="7862" spans="1:25" x14ac:dyDescent="0.25">
      <c r="A7862" t="str">
        <f>"71980730671"</f>
        <v>71980730671</v>
      </c>
      <c r="B7862" t="s">
        <v>462</v>
      </c>
      <c r="C7862" t="s">
        <v>1140</v>
      </c>
      <c r="D7862" t="s">
        <v>32427</v>
      </c>
      <c r="E7862">
        <v>424038</v>
      </c>
      <c r="F7862" t="s">
        <v>1</v>
      </c>
      <c r="G7862" t="s">
        <v>2</v>
      </c>
      <c r="H7862" t="s">
        <v>1366</v>
      </c>
      <c r="Y7862" t="s">
        <v>32428</v>
      </c>
    </row>
    <row r="7863" spans="1:25" x14ac:dyDescent="0.25">
      <c r="A7863" t="str">
        <f>"71981495864"</f>
        <v>71981495864</v>
      </c>
      <c r="B7863" t="s">
        <v>687</v>
      </c>
      <c r="C7863" t="s">
        <v>32433</v>
      </c>
      <c r="D7863" t="s">
        <v>32429</v>
      </c>
      <c r="E7863">
        <v>424028</v>
      </c>
      <c r="F7863" t="s">
        <v>1</v>
      </c>
      <c r="G7863" t="s">
        <v>2</v>
      </c>
      <c r="H7863" t="s">
        <v>3628</v>
      </c>
      <c r="J7863" t="s">
        <v>32430</v>
      </c>
      <c r="L7863" t="s">
        <v>32431</v>
      </c>
      <c r="M7863" t="s">
        <v>32432</v>
      </c>
      <c r="P7863" t="s">
        <v>6764</v>
      </c>
      <c r="Q7863" t="s">
        <v>32434</v>
      </c>
      <c r="V7863" t="s">
        <v>32435</v>
      </c>
      <c r="Y7863" t="s">
        <v>32436</v>
      </c>
    </row>
    <row r="7864" spans="1:25" x14ac:dyDescent="0.25">
      <c r="A7864" t="str">
        <f>"72010288437"</f>
        <v>72010288437</v>
      </c>
      <c r="B7864" t="s">
        <v>96</v>
      </c>
      <c r="C7864" t="s">
        <v>893</v>
      </c>
      <c r="D7864" t="s">
        <v>32437</v>
      </c>
      <c r="E7864">
        <v>424000</v>
      </c>
      <c r="F7864" t="s">
        <v>1</v>
      </c>
      <c r="G7864" t="s">
        <v>2</v>
      </c>
      <c r="H7864" t="s">
        <v>10803</v>
      </c>
      <c r="Y7864" t="s">
        <v>10805</v>
      </c>
    </row>
    <row r="7865" spans="1:25" x14ac:dyDescent="0.25">
      <c r="A7865" t="str">
        <f>"72084169573"</f>
        <v>72084169573</v>
      </c>
      <c r="B7865" t="s">
        <v>379</v>
      </c>
      <c r="C7865" t="s">
        <v>766</v>
      </c>
      <c r="D7865" t="s">
        <v>32438</v>
      </c>
      <c r="E7865">
        <v>424000</v>
      </c>
      <c r="F7865" t="s">
        <v>1</v>
      </c>
      <c r="G7865" t="s">
        <v>2</v>
      </c>
      <c r="H7865" t="s">
        <v>2671</v>
      </c>
      <c r="I7865" t="s">
        <v>32439</v>
      </c>
      <c r="L7865" t="s">
        <v>32440</v>
      </c>
      <c r="M7865" t="s">
        <v>32441</v>
      </c>
      <c r="P7865" t="s">
        <v>144</v>
      </c>
      <c r="Y7865" t="s">
        <v>2674</v>
      </c>
    </row>
    <row r="7866" spans="1:25" x14ac:dyDescent="0.25">
      <c r="A7866" t="str">
        <f>"72110216274"</f>
        <v>72110216274</v>
      </c>
      <c r="B7866" t="s">
        <v>4084</v>
      </c>
      <c r="C7866" t="s">
        <v>32442</v>
      </c>
      <c r="D7866" t="s">
        <v>28461</v>
      </c>
      <c r="E7866">
        <v>424020</v>
      </c>
      <c r="F7866" t="s">
        <v>1</v>
      </c>
      <c r="G7866" t="s">
        <v>2</v>
      </c>
      <c r="H7866" t="s">
        <v>18899</v>
      </c>
      <c r="Y7866" t="s">
        <v>32443</v>
      </c>
    </row>
    <row r="7867" spans="1:25" x14ac:dyDescent="0.25">
      <c r="A7867" t="str">
        <f>"72114395226"</f>
        <v>72114395226</v>
      </c>
      <c r="B7867" t="s">
        <v>290</v>
      </c>
      <c r="C7867" t="s">
        <v>290</v>
      </c>
      <c r="D7867" t="s">
        <v>32444</v>
      </c>
      <c r="E7867">
        <v>424033</v>
      </c>
      <c r="F7867" t="s">
        <v>1</v>
      </c>
      <c r="G7867" t="s">
        <v>2</v>
      </c>
      <c r="H7867" t="s">
        <v>22290</v>
      </c>
      <c r="I7867" t="s">
        <v>32445</v>
      </c>
      <c r="P7867" t="s">
        <v>12308</v>
      </c>
      <c r="Y7867" t="s">
        <v>32446</v>
      </c>
    </row>
    <row r="7868" spans="1:25" x14ac:dyDescent="0.25">
      <c r="A7868" t="str">
        <f>"72153280517"</f>
        <v>72153280517</v>
      </c>
      <c r="B7868" t="s">
        <v>574</v>
      </c>
      <c r="C7868" t="s">
        <v>646</v>
      </c>
      <c r="D7868" t="s">
        <v>8759</v>
      </c>
      <c r="F7868" t="s">
        <v>1</v>
      </c>
      <c r="G7868" t="s">
        <v>2</v>
      </c>
      <c r="H7868" t="s">
        <v>10643</v>
      </c>
      <c r="Y7868" t="s">
        <v>32447</v>
      </c>
    </row>
    <row r="7869" spans="1:25" x14ac:dyDescent="0.25">
      <c r="A7869" t="str">
        <f>"72188046089"</f>
        <v>72188046089</v>
      </c>
      <c r="B7869" t="s">
        <v>290</v>
      </c>
      <c r="C7869" t="s">
        <v>11114</v>
      </c>
      <c r="D7869" t="s">
        <v>32448</v>
      </c>
      <c r="F7869" t="s">
        <v>1</v>
      </c>
      <c r="G7869" t="s">
        <v>2</v>
      </c>
      <c r="H7869" t="s">
        <v>32449</v>
      </c>
      <c r="Y7869" t="s">
        <v>32450</v>
      </c>
    </row>
    <row r="7870" spans="1:25" x14ac:dyDescent="0.25">
      <c r="A7870" t="str">
        <f>"72243085160"</f>
        <v>72243085160</v>
      </c>
      <c r="B7870" t="s">
        <v>1046</v>
      </c>
      <c r="C7870" t="s">
        <v>32452</v>
      </c>
      <c r="D7870" t="s">
        <v>32451</v>
      </c>
      <c r="E7870">
        <v>424038</v>
      </c>
      <c r="F7870" t="s">
        <v>1</v>
      </c>
      <c r="G7870" t="s">
        <v>2</v>
      </c>
      <c r="H7870" t="s">
        <v>7597</v>
      </c>
      <c r="Y7870" t="s">
        <v>16150</v>
      </c>
    </row>
    <row r="7871" spans="1:25" x14ac:dyDescent="0.25">
      <c r="A7871" t="str">
        <f>"72260609976"</f>
        <v>72260609976</v>
      </c>
      <c r="B7871" t="s">
        <v>1544</v>
      </c>
      <c r="C7871" t="s">
        <v>7974</v>
      </c>
      <c r="D7871" t="s">
        <v>24306</v>
      </c>
      <c r="E7871">
        <v>424037</v>
      </c>
      <c r="F7871" t="s">
        <v>1</v>
      </c>
      <c r="G7871" t="s">
        <v>2</v>
      </c>
      <c r="H7871" t="s">
        <v>30</v>
      </c>
      <c r="Y7871" t="s">
        <v>32453</v>
      </c>
    </row>
    <row r="7872" spans="1:25" x14ac:dyDescent="0.25">
      <c r="A7872" t="str">
        <f>"72268244181"</f>
        <v>72268244181</v>
      </c>
      <c r="B7872" t="s">
        <v>96</v>
      </c>
      <c r="C7872" t="s">
        <v>695</v>
      </c>
      <c r="D7872" t="s">
        <v>32454</v>
      </c>
      <c r="E7872">
        <v>424007</v>
      </c>
      <c r="F7872" t="s">
        <v>1</v>
      </c>
      <c r="G7872" t="s">
        <v>2</v>
      </c>
      <c r="H7872" t="s">
        <v>7196</v>
      </c>
      <c r="Y7872" t="s">
        <v>32455</v>
      </c>
    </row>
    <row r="7873" spans="1:25" x14ac:dyDescent="0.25">
      <c r="A7873" t="str">
        <f>"72315380300"</f>
        <v>72315380300</v>
      </c>
      <c r="B7873" t="s">
        <v>1262</v>
      </c>
      <c r="C7873" t="s">
        <v>1263</v>
      </c>
      <c r="D7873" t="s">
        <v>32456</v>
      </c>
      <c r="E7873">
        <v>424038</v>
      </c>
      <c r="F7873" t="s">
        <v>1</v>
      </c>
      <c r="G7873" t="s">
        <v>2</v>
      </c>
      <c r="H7873" t="s">
        <v>13118</v>
      </c>
      <c r="Y7873" t="s">
        <v>32457</v>
      </c>
    </row>
    <row r="7874" spans="1:25" x14ac:dyDescent="0.25">
      <c r="A7874" t="str">
        <f>"72335426135"</f>
        <v>72335426135</v>
      </c>
      <c r="B7874" t="s">
        <v>18</v>
      </c>
      <c r="C7874" t="s">
        <v>1419</v>
      </c>
      <c r="D7874" t="s">
        <v>32458</v>
      </c>
      <c r="F7874" t="s">
        <v>1</v>
      </c>
      <c r="G7874" t="s">
        <v>2</v>
      </c>
      <c r="H7874" t="s">
        <v>3696</v>
      </c>
      <c r="Y7874" t="s">
        <v>3701</v>
      </c>
    </row>
    <row r="7875" spans="1:25" x14ac:dyDescent="0.25">
      <c r="A7875" t="str">
        <f>"72360962742"</f>
        <v>72360962742</v>
      </c>
      <c r="B7875" t="s">
        <v>538</v>
      </c>
      <c r="C7875" t="s">
        <v>3633</v>
      </c>
      <c r="D7875" t="s">
        <v>32459</v>
      </c>
      <c r="E7875">
        <v>424005</v>
      </c>
      <c r="F7875" t="s">
        <v>1</v>
      </c>
      <c r="G7875" t="s">
        <v>2</v>
      </c>
      <c r="H7875" t="s">
        <v>32460</v>
      </c>
      <c r="I7875" t="s">
        <v>32461</v>
      </c>
      <c r="L7875" t="s">
        <v>3631</v>
      </c>
      <c r="P7875" t="s">
        <v>6236</v>
      </c>
      <c r="Y7875" t="s">
        <v>32462</v>
      </c>
    </row>
    <row r="7876" spans="1:25" x14ac:dyDescent="0.25">
      <c r="A7876" t="str">
        <f>"72367454768"</f>
        <v>72367454768</v>
      </c>
      <c r="B7876" t="s">
        <v>574</v>
      </c>
      <c r="C7876" t="s">
        <v>952</v>
      </c>
      <c r="D7876" t="s">
        <v>32463</v>
      </c>
      <c r="E7876">
        <v>424000</v>
      </c>
      <c r="F7876" t="s">
        <v>1</v>
      </c>
      <c r="G7876" t="s">
        <v>2</v>
      </c>
      <c r="H7876" t="s">
        <v>9927</v>
      </c>
      <c r="Y7876" t="s">
        <v>32464</v>
      </c>
    </row>
    <row r="7877" spans="1:25" x14ac:dyDescent="0.25">
      <c r="A7877" t="str">
        <f>"72388225080"</f>
        <v>72388225080</v>
      </c>
      <c r="B7877" t="s">
        <v>456</v>
      </c>
      <c r="C7877" t="s">
        <v>32469</v>
      </c>
      <c r="D7877" t="s">
        <v>32465</v>
      </c>
      <c r="E7877">
        <v>424006</v>
      </c>
      <c r="F7877" t="s">
        <v>1</v>
      </c>
      <c r="G7877" t="s">
        <v>2</v>
      </c>
      <c r="H7877" t="s">
        <v>2185</v>
      </c>
      <c r="I7877" t="s">
        <v>32466</v>
      </c>
      <c r="L7877" t="s">
        <v>32467</v>
      </c>
      <c r="M7877" t="s">
        <v>32468</v>
      </c>
      <c r="P7877" t="s">
        <v>330</v>
      </c>
      <c r="Y7877" t="s">
        <v>2191</v>
      </c>
    </row>
    <row r="7878" spans="1:25" x14ac:dyDescent="0.25">
      <c r="A7878" t="str">
        <f>"72430071226"</f>
        <v>72430071226</v>
      </c>
      <c r="B7878" t="s">
        <v>1391</v>
      </c>
      <c r="C7878" t="s">
        <v>1392</v>
      </c>
      <c r="D7878" t="s">
        <v>32470</v>
      </c>
      <c r="E7878">
        <v>424000</v>
      </c>
      <c r="F7878" t="s">
        <v>1</v>
      </c>
      <c r="G7878" t="s">
        <v>2</v>
      </c>
      <c r="H7878" t="s">
        <v>5523</v>
      </c>
      <c r="Y7878" t="s">
        <v>32471</v>
      </c>
    </row>
    <row r="7879" spans="1:25" x14ac:dyDescent="0.25">
      <c r="A7879" t="str">
        <f>"72453298553"</f>
        <v>72453298553</v>
      </c>
      <c r="B7879" t="s">
        <v>67</v>
      </c>
      <c r="C7879" t="s">
        <v>27252</v>
      </c>
      <c r="D7879" t="s">
        <v>32472</v>
      </c>
      <c r="E7879">
        <v>424031</v>
      </c>
      <c r="F7879" t="s">
        <v>1</v>
      </c>
      <c r="G7879" t="s">
        <v>2</v>
      </c>
      <c r="H7879" t="s">
        <v>19611</v>
      </c>
      <c r="Y7879" t="s">
        <v>32473</v>
      </c>
    </row>
    <row r="7880" spans="1:25" x14ac:dyDescent="0.25">
      <c r="A7880" t="str">
        <f>"72472840763"</f>
        <v>72472840763</v>
      </c>
      <c r="B7880" t="s">
        <v>151</v>
      </c>
      <c r="C7880" t="s">
        <v>32477</v>
      </c>
      <c r="D7880" t="s">
        <v>32474</v>
      </c>
      <c r="E7880">
        <v>424000</v>
      </c>
      <c r="F7880" t="s">
        <v>1</v>
      </c>
      <c r="G7880" t="s">
        <v>2</v>
      </c>
      <c r="H7880" t="s">
        <v>20767</v>
      </c>
      <c r="I7880" t="s">
        <v>32475</v>
      </c>
      <c r="M7880" t="s">
        <v>32476</v>
      </c>
      <c r="Y7880" t="s">
        <v>32478</v>
      </c>
    </row>
    <row r="7881" spans="1:25" x14ac:dyDescent="0.25">
      <c r="A7881" t="str">
        <f>"72494176694"</f>
        <v>72494176694</v>
      </c>
      <c r="B7881" t="s">
        <v>25</v>
      </c>
      <c r="C7881" t="s">
        <v>32482</v>
      </c>
      <c r="D7881" t="s">
        <v>32479</v>
      </c>
      <c r="E7881">
        <v>424000</v>
      </c>
      <c r="F7881" t="s">
        <v>1</v>
      </c>
      <c r="G7881" t="s">
        <v>2</v>
      </c>
      <c r="H7881" t="s">
        <v>5615</v>
      </c>
      <c r="L7881" t="s">
        <v>32480</v>
      </c>
      <c r="M7881" t="s">
        <v>32481</v>
      </c>
      <c r="Y7881" t="s">
        <v>32483</v>
      </c>
    </row>
    <row r="7882" spans="1:25" x14ac:dyDescent="0.25">
      <c r="A7882" t="str">
        <f>"72520707342"</f>
        <v>72520707342</v>
      </c>
      <c r="B7882" t="s">
        <v>117</v>
      </c>
      <c r="C7882" t="s">
        <v>28605</v>
      </c>
      <c r="D7882" t="s">
        <v>32484</v>
      </c>
      <c r="E7882">
        <v>424036</v>
      </c>
      <c r="F7882" t="s">
        <v>1</v>
      </c>
      <c r="G7882" t="s">
        <v>2</v>
      </c>
      <c r="H7882" t="s">
        <v>32485</v>
      </c>
      <c r="P7882" t="s">
        <v>330</v>
      </c>
      <c r="Y7882" t="s">
        <v>32486</v>
      </c>
    </row>
    <row r="7883" spans="1:25" x14ac:dyDescent="0.25">
      <c r="A7883" t="str">
        <f>"72523037732"</f>
        <v>72523037732</v>
      </c>
      <c r="B7883" t="s">
        <v>1475</v>
      </c>
      <c r="C7883" t="s">
        <v>1476</v>
      </c>
      <c r="D7883" t="s">
        <v>16023</v>
      </c>
      <c r="F7883" t="s">
        <v>1</v>
      </c>
      <c r="G7883" t="s">
        <v>2</v>
      </c>
      <c r="H7883" t="s">
        <v>25588</v>
      </c>
      <c r="I7883" t="s">
        <v>32487</v>
      </c>
      <c r="M7883" t="s">
        <v>32488</v>
      </c>
      <c r="P7883" t="s">
        <v>216</v>
      </c>
      <c r="Q7883" t="s">
        <v>32489</v>
      </c>
      <c r="Y7883" t="s">
        <v>32490</v>
      </c>
    </row>
    <row r="7884" spans="1:25" x14ac:dyDescent="0.25">
      <c r="A7884" t="str">
        <f>"72547760185"</f>
        <v>72547760185</v>
      </c>
      <c r="B7884" t="s">
        <v>574</v>
      </c>
      <c r="C7884" t="s">
        <v>9802</v>
      </c>
      <c r="D7884" t="s">
        <v>21625</v>
      </c>
      <c r="E7884">
        <v>424020</v>
      </c>
      <c r="F7884" t="s">
        <v>1</v>
      </c>
      <c r="G7884" t="s">
        <v>2</v>
      </c>
      <c r="H7884" t="s">
        <v>24402</v>
      </c>
      <c r="P7884" t="s">
        <v>14515</v>
      </c>
      <c r="Y7884" t="s">
        <v>32491</v>
      </c>
    </row>
    <row r="7885" spans="1:25" x14ac:dyDescent="0.25">
      <c r="A7885" t="str">
        <f>"72551392745"</f>
        <v>72551392745</v>
      </c>
      <c r="B7885" t="s">
        <v>7312</v>
      </c>
      <c r="C7885" t="s">
        <v>9849</v>
      </c>
      <c r="D7885" t="s">
        <v>23589</v>
      </c>
      <c r="E7885">
        <v>424007</v>
      </c>
      <c r="F7885" t="s">
        <v>1</v>
      </c>
      <c r="G7885" t="s">
        <v>2</v>
      </c>
      <c r="H7885" t="s">
        <v>5178</v>
      </c>
      <c r="P7885" t="s">
        <v>2731</v>
      </c>
      <c r="Y7885" t="s">
        <v>32492</v>
      </c>
    </row>
    <row r="7886" spans="1:25" x14ac:dyDescent="0.25">
      <c r="A7886" t="str">
        <f>"72552332019"</f>
        <v>72552332019</v>
      </c>
      <c r="B7886" t="s">
        <v>188</v>
      </c>
      <c r="C7886" t="s">
        <v>8311</v>
      </c>
      <c r="D7886" t="s">
        <v>32493</v>
      </c>
      <c r="E7886">
        <v>424020</v>
      </c>
      <c r="F7886" t="s">
        <v>1</v>
      </c>
      <c r="G7886" t="s">
        <v>2</v>
      </c>
      <c r="H7886" t="s">
        <v>23512</v>
      </c>
      <c r="J7886" t="s">
        <v>32494</v>
      </c>
      <c r="L7886" t="s">
        <v>26433</v>
      </c>
      <c r="M7886" t="s">
        <v>32495</v>
      </c>
      <c r="P7886" t="s">
        <v>144</v>
      </c>
      <c r="Y7886" t="s">
        <v>32496</v>
      </c>
    </row>
    <row r="7887" spans="1:25" x14ac:dyDescent="0.25">
      <c r="A7887" t="str">
        <f>"72555507319"</f>
        <v>72555507319</v>
      </c>
      <c r="B7887" t="s">
        <v>930</v>
      </c>
      <c r="C7887" t="s">
        <v>10263</v>
      </c>
      <c r="D7887" t="s">
        <v>31854</v>
      </c>
      <c r="E7887">
        <v>424005</v>
      </c>
      <c r="F7887" t="s">
        <v>1</v>
      </c>
      <c r="G7887" t="s">
        <v>2</v>
      </c>
      <c r="H7887" t="s">
        <v>1310</v>
      </c>
      <c r="I7887" t="s">
        <v>32497</v>
      </c>
      <c r="P7887" t="s">
        <v>330</v>
      </c>
      <c r="Q7887" t="s">
        <v>32498</v>
      </c>
      <c r="Y7887" t="s">
        <v>3926</v>
      </c>
    </row>
    <row r="7888" spans="1:25" x14ac:dyDescent="0.25">
      <c r="A7888" t="str">
        <f>"72556761822"</f>
        <v>72556761822</v>
      </c>
      <c r="B7888" t="s">
        <v>160</v>
      </c>
      <c r="C7888" t="s">
        <v>21371</v>
      </c>
      <c r="D7888" t="s">
        <v>21371</v>
      </c>
      <c r="E7888">
        <v>424002</v>
      </c>
      <c r="F7888" t="s">
        <v>1</v>
      </c>
      <c r="G7888" t="s">
        <v>2</v>
      </c>
      <c r="H7888" t="s">
        <v>32499</v>
      </c>
      <c r="I7888" t="s">
        <v>32500</v>
      </c>
      <c r="P7888" t="s">
        <v>15339</v>
      </c>
      <c r="Y7888" t="s">
        <v>13245</v>
      </c>
    </row>
    <row r="7889" spans="1:25" x14ac:dyDescent="0.25">
      <c r="A7889" t="str">
        <f>"72558130536"</f>
        <v>72558130536</v>
      </c>
      <c r="B7889" t="s">
        <v>117</v>
      </c>
      <c r="C7889" t="s">
        <v>118</v>
      </c>
      <c r="D7889" t="s">
        <v>32501</v>
      </c>
      <c r="F7889" t="s">
        <v>1</v>
      </c>
      <c r="G7889" t="s">
        <v>2</v>
      </c>
      <c r="H7889" t="s">
        <v>32502</v>
      </c>
      <c r="Y7889" t="s">
        <v>32503</v>
      </c>
    </row>
    <row r="7890" spans="1:25" x14ac:dyDescent="0.25">
      <c r="A7890" t="str">
        <f>"72562455243"</f>
        <v>72562455243</v>
      </c>
      <c r="B7890" t="s">
        <v>703</v>
      </c>
      <c r="C7890" t="s">
        <v>2129</v>
      </c>
      <c r="D7890" t="s">
        <v>32504</v>
      </c>
      <c r="E7890">
        <v>424019</v>
      </c>
      <c r="F7890" t="s">
        <v>1</v>
      </c>
      <c r="G7890" t="s">
        <v>2</v>
      </c>
      <c r="H7890" t="s">
        <v>1801</v>
      </c>
      <c r="I7890" t="s">
        <v>32505</v>
      </c>
      <c r="J7890" t="s">
        <v>32506</v>
      </c>
      <c r="L7890" t="s">
        <v>32507</v>
      </c>
      <c r="M7890" t="s">
        <v>32508</v>
      </c>
      <c r="P7890" t="s">
        <v>799</v>
      </c>
      <c r="Y7890" t="s">
        <v>1804</v>
      </c>
    </row>
    <row r="7891" spans="1:25" x14ac:dyDescent="0.25">
      <c r="A7891" t="str">
        <f>"72579923311"</f>
        <v>72579923311</v>
      </c>
      <c r="B7891" t="s">
        <v>1152</v>
      </c>
      <c r="C7891" t="s">
        <v>30390</v>
      </c>
      <c r="D7891" t="s">
        <v>32509</v>
      </c>
      <c r="E7891">
        <v>424002</v>
      </c>
      <c r="F7891" t="s">
        <v>1</v>
      </c>
      <c r="G7891" t="s">
        <v>2</v>
      </c>
      <c r="H7891" t="s">
        <v>24050</v>
      </c>
      <c r="I7891" t="s">
        <v>32510</v>
      </c>
      <c r="J7891" t="s">
        <v>32511</v>
      </c>
      <c r="P7891" t="s">
        <v>3814</v>
      </c>
      <c r="Y7891" t="s">
        <v>32512</v>
      </c>
    </row>
    <row r="7892" spans="1:25" x14ac:dyDescent="0.25">
      <c r="A7892" t="str">
        <f>"72646011927"</f>
        <v>72646011927</v>
      </c>
      <c r="B7892" t="s">
        <v>1617</v>
      </c>
      <c r="C7892" t="s">
        <v>21001</v>
      </c>
      <c r="D7892" t="s">
        <v>17501</v>
      </c>
      <c r="F7892" t="s">
        <v>1</v>
      </c>
      <c r="G7892" t="s">
        <v>2</v>
      </c>
      <c r="H7892" t="s">
        <v>30571</v>
      </c>
      <c r="Y7892" t="s">
        <v>32513</v>
      </c>
    </row>
    <row r="7893" spans="1:25" x14ac:dyDescent="0.25">
      <c r="A7893" t="str">
        <f>"72671456465"</f>
        <v>72671456465</v>
      </c>
      <c r="B7893" t="s">
        <v>243</v>
      </c>
      <c r="C7893" t="s">
        <v>2538</v>
      </c>
      <c r="D7893" t="s">
        <v>32514</v>
      </c>
      <c r="E7893">
        <v>424004</v>
      </c>
      <c r="F7893" t="s">
        <v>1</v>
      </c>
      <c r="G7893" t="s">
        <v>2</v>
      </c>
      <c r="H7893" t="s">
        <v>3489</v>
      </c>
      <c r="I7893" t="s">
        <v>32515</v>
      </c>
      <c r="P7893" t="s">
        <v>2923</v>
      </c>
      <c r="Y7893" t="s">
        <v>8402</v>
      </c>
    </row>
    <row r="7894" spans="1:25" x14ac:dyDescent="0.25">
      <c r="A7894" t="str">
        <f>"72689328891"</f>
        <v>72689328891</v>
      </c>
      <c r="B7894" t="s">
        <v>18</v>
      </c>
      <c r="C7894" t="s">
        <v>32518</v>
      </c>
      <c r="D7894" t="s">
        <v>32516</v>
      </c>
      <c r="E7894">
        <v>424006</v>
      </c>
      <c r="F7894" t="s">
        <v>1</v>
      </c>
      <c r="G7894" t="s">
        <v>2</v>
      </c>
      <c r="H7894" t="s">
        <v>2012</v>
      </c>
      <c r="J7894" t="s">
        <v>32517</v>
      </c>
      <c r="P7894" t="s">
        <v>28436</v>
      </c>
      <c r="Y7894" t="s">
        <v>2016</v>
      </c>
    </row>
    <row r="7895" spans="1:25" x14ac:dyDescent="0.25">
      <c r="A7895" t="str">
        <f>"72699933479"</f>
        <v>72699933479</v>
      </c>
      <c r="B7895" t="s">
        <v>530</v>
      </c>
      <c r="C7895" t="s">
        <v>5046</v>
      </c>
      <c r="D7895" t="s">
        <v>28096</v>
      </c>
      <c r="F7895" t="s">
        <v>1</v>
      </c>
      <c r="G7895" t="s">
        <v>2</v>
      </c>
      <c r="H7895" t="s">
        <v>21832</v>
      </c>
      <c r="J7895" t="s">
        <v>32519</v>
      </c>
      <c r="P7895" t="s">
        <v>11587</v>
      </c>
      <c r="Y7895" t="s">
        <v>32520</v>
      </c>
    </row>
    <row r="7896" spans="1:25" x14ac:dyDescent="0.25">
      <c r="A7896" t="str">
        <f>"72705160335"</f>
        <v>72705160335</v>
      </c>
      <c r="B7896" t="s">
        <v>3544</v>
      </c>
      <c r="C7896" t="s">
        <v>11303</v>
      </c>
      <c r="D7896" t="s">
        <v>32521</v>
      </c>
      <c r="E7896">
        <v>424002</v>
      </c>
      <c r="F7896" t="s">
        <v>1</v>
      </c>
      <c r="G7896" t="s">
        <v>2</v>
      </c>
      <c r="H7896" t="s">
        <v>14156</v>
      </c>
      <c r="J7896" t="s">
        <v>32522</v>
      </c>
      <c r="L7896" t="s">
        <v>32523</v>
      </c>
      <c r="P7896" t="s">
        <v>152</v>
      </c>
      <c r="Y7896" t="s">
        <v>14160</v>
      </c>
    </row>
    <row r="7897" spans="1:25" x14ac:dyDescent="0.25">
      <c r="A7897" t="str">
        <f>"72714626365"</f>
        <v>72714626365</v>
      </c>
      <c r="B7897" t="s">
        <v>2104</v>
      </c>
      <c r="C7897" t="s">
        <v>11739</v>
      </c>
      <c r="D7897" t="s">
        <v>32524</v>
      </c>
      <c r="E7897">
        <v>424000</v>
      </c>
      <c r="F7897" t="s">
        <v>1</v>
      </c>
      <c r="G7897" t="s">
        <v>2</v>
      </c>
      <c r="H7897" t="s">
        <v>1473</v>
      </c>
      <c r="J7897" t="s">
        <v>32525</v>
      </c>
      <c r="P7897" t="s">
        <v>941</v>
      </c>
      <c r="Q7897" t="s">
        <v>32526</v>
      </c>
      <c r="V7897" t="s">
        <v>32527</v>
      </c>
      <c r="Y7897" t="s">
        <v>32528</v>
      </c>
    </row>
    <row r="7898" spans="1:25" x14ac:dyDescent="0.25">
      <c r="A7898" t="str">
        <f>"72720382888"</f>
        <v>72720382888</v>
      </c>
      <c r="B7898" t="s">
        <v>574</v>
      </c>
      <c r="C7898" t="s">
        <v>26901</v>
      </c>
      <c r="D7898" t="s">
        <v>21345</v>
      </c>
      <c r="E7898">
        <v>424038</v>
      </c>
      <c r="F7898" t="s">
        <v>1</v>
      </c>
      <c r="G7898" t="s">
        <v>2</v>
      </c>
      <c r="H7898" t="s">
        <v>30317</v>
      </c>
      <c r="I7898" t="s">
        <v>32529</v>
      </c>
      <c r="P7898" t="s">
        <v>216</v>
      </c>
      <c r="Y7898" t="s">
        <v>32530</v>
      </c>
    </row>
    <row r="7899" spans="1:25" x14ac:dyDescent="0.25">
      <c r="A7899" t="str">
        <f>"72746603279"</f>
        <v>72746603279</v>
      </c>
      <c r="B7899" t="s">
        <v>1152</v>
      </c>
      <c r="C7899" t="s">
        <v>1153</v>
      </c>
      <c r="D7899" t="s">
        <v>10280</v>
      </c>
      <c r="E7899">
        <v>424002</v>
      </c>
      <c r="F7899" t="s">
        <v>1</v>
      </c>
      <c r="G7899" t="s">
        <v>2</v>
      </c>
      <c r="H7899" t="s">
        <v>23936</v>
      </c>
      <c r="I7899" t="s">
        <v>22092</v>
      </c>
      <c r="M7899" t="s">
        <v>10284</v>
      </c>
      <c r="Q7899" t="s">
        <v>10286</v>
      </c>
      <c r="R7899" t="s">
        <v>10287</v>
      </c>
      <c r="S7899" t="s">
        <v>10288</v>
      </c>
      <c r="T7899" t="s">
        <v>10289</v>
      </c>
      <c r="U7899" t="s">
        <v>10290</v>
      </c>
      <c r="V7899" t="s">
        <v>10291</v>
      </c>
      <c r="Y7899" t="s">
        <v>32531</v>
      </c>
    </row>
    <row r="7900" spans="1:25" x14ac:dyDescent="0.25">
      <c r="A7900" t="str">
        <f>"72786148894"</f>
        <v>72786148894</v>
      </c>
      <c r="B7900" t="s">
        <v>151</v>
      </c>
      <c r="C7900" t="s">
        <v>151</v>
      </c>
      <c r="D7900" t="s">
        <v>32532</v>
      </c>
      <c r="E7900">
        <v>424004</v>
      </c>
      <c r="F7900" t="s">
        <v>1</v>
      </c>
      <c r="G7900" t="s">
        <v>2</v>
      </c>
      <c r="H7900" t="s">
        <v>1169</v>
      </c>
      <c r="J7900" t="s">
        <v>32533</v>
      </c>
      <c r="L7900" t="s">
        <v>32534</v>
      </c>
      <c r="M7900" t="s">
        <v>32535</v>
      </c>
      <c r="P7900" t="s">
        <v>27</v>
      </c>
      <c r="Q7900" t="s">
        <v>32536</v>
      </c>
      <c r="Y7900" t="s">
        <v>32537</v>
      </c>
    </row>
    <row r="7901" spans="1:25" x14ac:dyDescent="0.25">
      <c r="A7901" t="str">
        <f>"72786410992"</f>
        <v>72786410992</v>
      </c>
      <c r="B7901" t="s">
        <v>430</v>
      </c>
      <c r="C7901" t="s">
        <v>32540</v>
      </c>
      <c r="D7901" t="s">
        <v>32538</v>
      </c>
      <c r="E7901">
        <v>424038</v>
      </c>
      <c r="F7901" t="s">
        <v>1</v>
      </c>
      <c r="G7901" t="s">
        <v>2</v>
      </c>
      <c r="H7901" t="s">
        <v>6247</v>
      </c>
      <c r="J7901" t="s">
        <v>32539</v>
      </c>
      <c r="P7901" t="s">
        <v>60</v>
      </c>
      <c r="Q7901" t="s">
        <v>32541</v>
      </c>
      <c r="Y7901" t="s">
        <v>11647</v>
      </c>
    </row>
    <row r="7902" spans="1:25" x14ac:dyDescent="0.25">
      <c r="A7902" t="str">
        <f>"72795004875"</f>
        <v>72795004875</v>
      </c>
      <c r="B7902" t="s">
        <v>32</v>
      </c>
      <c r="C7902" t="s">
        <v>20792</v>
      </c>
      <c r="D7902" t="s">
        <v>32542</v>
      </c>
      <c r="E7902">
        <v>424031</v>
      </c>
      <c r="F7902" t="s">
        <v>1</v>
      </c>
      <c r="G7902" t="s">
        <v>2</v>
      </c>
      <c r="H7902" t="s">
        <v>239</v>
      </c>
      <c r="J7902" t="s">
        <v>32543</v>
      </c>
      <c r="P7902" t="s">
        <v>330</v>
      </c>
      <c r="Q7902" t="s">
        <v>32544</v>
      </c>
      <c r="Y7902" t="s">
        <v>246</v>
      </c>
    </row>
    <row r="7903" spans="1:25" x14ac:dyDescent="0.25">
      <c r="A7903" t="str">
        <f>"72855033805"</f>
        <v>72855033805</v>
      </c>
      <c r="B7903" t="s">
        <v>790</v>
      </c>
      <c r="C7903" t="s">
        <v>32547</v>
      </c>
      <c r="D7903" t="s">
        <v>32545</v>
      </c>
      <c r="E7903">
        <v>424002</v>
      </c>
      <c r="F7903" t="s">
        <v>1</v>
      </c>
      <c r="G7903" t="s">
        <v>2</v>
      </c>
      <c r="H7903" t="s">
        <v>3864</v>
      </c>
      <c r="J7903" t="s">
        <v>32546</v>
      </c>
      <c r="P7903" t="s">
        <v>1760</v>
      </c>
      <c r="Y7903" t="s">
        <v>3867</v>
      </c>
    </row>
    <row r="7904" spans="1:25" x14ac:dyDescent="0.25">
      <c r="A7904" t="str">
        <f>"72901750121"</f>
        <v>72901750121</v>
      </c>
      <c r="B7904" t="s">
        <v>80</v>
      </c>
      <c r="C7904" t="s">
        <v>32549</v>
      </c>
      <c r="D7904" t="s">
        <v>32548</v>
      </c>
      <c r="F7904" t="s">
        <v>1</v>
      </c>
      <c r="G7904" t="s">
        <v>2</v>
      </c>
      <c r="H7904" t="s">
        <v>31690</v>
      </c>
      <c r="Y7904" t="s">
        <v>32550</v>
      </c>
    </row>
    <row r="7905" spans="1:25" x14ac:dyDescent="0.25">
      <c r="A7905" t="str">
        <f>"72912662136"</f>
        <v>72912662136</v>
      </c>
      <c r="B7905" t="s">
        <v>110</v>
      </c>
      <c r="C7905" t="s">
        <v>32554</v>
      </c>
      <c r="D7905" t="s">
        <v>32551</v>
      </c>
      <c r="E7905">
        <v>424006</v>
      </c>
      <c r="F7905" t="s">
        <v>1</v>
      </c>
      <c r="G7905" t="s">
        <v>2</v>
      </c>
      <c r="H7905" t="s">
        <v>2007</v>
      </c>
      <c r="I7905" t="s">
        <v>32552</v>
      </c>
      <c r="K7905" t="s">
        <v>32553</v>
      </c>
      <c r="P7905" t="s">
        <v>20</v>
      </c>
      <c r="Y7905" t="s">
        <v>32555</v>
      </c>
    </row>
    <row r="7906" spans="1:25" x14ac:dyDescent="0.25">
      <c r="A7906" t="str">
        <f>"72998468582"</f>
        <v>72998468582</v>
      </c>
      <c r="B7906" t="s">
        <v>574</v>
      </c>
      <c r="C7906" t="s">
        <v>952</v>
      </c>
      <c r="D7906" t="s">
        <v>7620</v>
      </c>
      <c r="E7906">
        <v>424004</v>
      </c>
      <c r="F7906" t="s">
        <v>1</v>
      </c>
      <c r="G7906" t="s">
        <v>2</v>
      </c>
      <c r="H7906" t="s">
        <v>3266</v>
      </c>
      <c r="Y7906" t="s">
        <v>16843</v>
      </c>
    </row>
    <row r="7907" spans="1:25" x14ac:dyDescent="0.25">
      <c r="A7907" t="str">
        <f>"72999865493"</f>
        <v>72999865493</v>
      </c>
      <c r="B7907" t="s">
        <v>7312</v>
      </c>
      <c r="C7907" t="s">
        <v>19097</v>
      </c>
      <c r="D7907" t="s">
        <v>24252</v>
      </c>
      <c r="E7907">
        <v>424002</v>
      </c>
      <c r="F7907" t="s">
        <v>1</v>
      </c>
      <c r="G7907" t="s">
        <v>2</v>
      </c>
      <c r="H7907" t="s">
        <v>12917</v>
      </c>
      <c r="Y7907" t="s">
        <v>12919</v>
      </c>
    </row>
    <row r="7908" spans="1:25" x14ac:dyDescent="0.25">
      <c r="A7908" t="str">
        <f>"73038634578"</f>
        <v>73038634578</v>
      </c>
      <c r="B7908" t="s">
        <v>67</v>
      </c>
      <c r="C7908" t="s">
        <v>832</v>
      </c>
      <c r="D7908" t="s">
        <v>32556</v>
      </c>
      <c r="E7908">
        <v>424036</v>
      </c>
      <c r="F7908" t="s">
        <v>1</v>
      </c>
      <c r="G7908" t="s">
        <v>2</v>
      </c>
      <c r="H7908" t="s">
        <v>31818</v>
      </c>
      <c r="I7908" t="s">
        <v>32557</v>
      </c>
      <c r="L7908" t="s">
        <v>32558</v>
      </c>
      <c r="M7908" t="s">
        <v>32559</v>
      </c>
      <c r="P7908" t="s">
        <v>27</v>
      </c>
      <c r="Q7908" t="s">
        <v>31822</v>
      </c>
      <c r="R7908" t="s">
        <v>31823</v>
      </c>
      <c r="T7908" t="s">
        <v>31824</v>
      </c>
      <c r="V7908" t="s">
        <v>31825</v>
      </c>
      <c r="Y7908" t="s">
        <v>32560</v>
      </c>
    </row>
    <row r="7909" spans="1:25" x14ac:dyDescent="0.25">
      <c r="A7909" t="str">
        <f>"73069687019"</f>
        <v>73069687019</v>
      </c>
      <c r="B7909" t="s">
        <v>1573</v>
      </c>
      <c r="C7909" t="s">
        <v>32565</v>
      </c>
      <c r="D7909" t="s">
        <v>32561</v>
      </c>
      <c r="E7909">
        <v>424006</v>
      </c>
      <c r="F7909" t="s">
        <v>1</v>
      </c>
      <c r="G7909" t="s">
        <v>2</v>
      </c>
      <c r="H7909" t="s">
        <v>3436</v>
      </c>
      <c r="I7909" t="s">
        <v>32562</v>
      </c>
      <c r="L7909" t="s">
        <v>32563</v>
      </c>
      <c r="M7909" t="s">
        <v>32564</v>
      </c>
      <c r="P7909" t="s">
        <v>410</v>
      </c>
      <c r="Q7909" t="s">
        <v>32566</v>
      </c>
      <c r="R7909" t="s">
        <v>32567</v>
      </c>
      <c r="T7909" t="s">
        <v>32568</v>
      </c>
      <c r="U7909" t="s">
        <v>32569</v>
      </c>
      <c r="V7909" t="s">
        <v>32570</v>
      </c>
      <c r="Y7909" t="s">
        <v>32571</v>
      </c>
    </row>
    <row r="7910" spans="1:25" x14ac:dyDescent="0.25">
      <c r="A7910" t="str">
        <f>"73078454454"</f>
        <v>73078454454</v>
      </c>
      <c r="B7910" t="s">
        <v>469</v>
      </c>
      <c r="C7910" t="s">
        <v>16193</v>
      </c>
      <c r="D7910" t="s">
        <v>32572</v>
      </c>
      <c r="E7910">
        <v>424002</v>
      </c>
      <c r="F7910" t="s">
        <v>1</v>
      </c>
      <c r="G7910" t="s">
        <v>2</v>
      </c>
      <c r="H7910" t="s">
        <v>296</v>
      </c>
      <c r="I7910" t="s">
        <v>32573</v>
      </c>
      <c r="L7910" t="s">
        <v>32574</v>
      </c>
      <c r="M7910" t="s">
        <v>32575</v>
      </c>
      <c r="P7910" t="s">
        <v>32576</v>
      </c>
      <c r="Q7910" t="s">
        <v>32577</v>
      </c>
      <c r="Y7910" t="s">
        <v>32578</v>
      </c>
    </row>
    <row r="7911" spans="1:25" x14ac:dyDescent="0.25">
      <c r="A7911" t="str">
        <f>"73106735677"</f>
        <v>73106735677</v>
      </c>
      <c r="B7911" t="s">
        <v>1323</v>
      </c>
      <c r="C7911" t="s">
        <v>1324</v>
      </c>
      <c r="D7911" t="s">
        <v>32579</v>
      </c>
      <c r="F7911" t="s">
        <v>1</v>
      </c>
      <c r="G7911" t="s">
        <v>2</v>
      </c>
      <c r="H7911" t="s">
        <v>14610</v>
      </c>
      <c r="Y7911" t="s">
        <v>32580</v>
      </c>
    </row>
    <row r="7912" spans="1:25" x14ac:dyDescent="0.25">
      <c r="A7912" t="str">
        <f>"73116847961"</f>
        <v>73116847961</v>
      </c>
      <c r="B7912" t="s">
        <v>18</v>
      </c>
      <c r="C7912" t="s">
        <v>32583</v>
      </c>
      <c r="D7912" t="s">
        <v>32581</v>
      </c>
      <c r="E7912">
        <v>424007</v>
      </c>
      <c r="F7912" t="s">
        <v>1</v>
      </c>
      <c r="G7912" t="s">
        <v>2</v>
      </c>
      <c r="H7912" t="s">
        <v>9500</v>
      </c>
      <c r="M7912" t="s">
        <v>32582</v>
      </c>
      <c r="P7912" t="s">
        <v>390</v>
      </c>
      <c r="Y7912" t="s">
        <v>9503</v>
      </c>
    </row>
    <row r="7913" spans="1:25" x14ac:dyDescent="0.25">
      <c r="A7913" t="str">
        <f>"73174722524"</f>
        <v>73174722524</v>
      </c>
      <c r="B7913" t="s">
        <v>284</v>
      </c>
      <c r="C7913" t="s">
        <v>2462</v>
      </c>
      <c r="D7913" t="s">
        <v>32584</v>
      </c>
      <c r="E7913">
        <v>424006</v>
      </c>
      <c r="F7913" t="s">
        <v>1</v>
      </c>
      <c r="G7913" t="s">
        <v>2</v>
      </c>
      <c r="H7913" t="s">
        <v>4821</v>
      </c>
      <c r="J7913" t="s">
        <v>32585</v>
      </c>
      <c r="P7913" t="s">
        <v>280</v>
      </c>
      <c r="Y7913" t="s">
        <v>4825</v>
      </c>
    </row>
    <row r="7914" spans="1:25" x14ac:dyDescent="0.25">
      <c r="A7914" t="str">
        <f>"73183464199"</f>
        <v>73183464199</v>
      </c>
      <c r="B7914" t="s">
        <v>117</v>
      </c>
      <c r="C7914" t="s">
        <v>873</v>
      </c>
      <c r="D7914" t="s">
        <v>873</v>
      </c>
      <c r="F7914" t="s">
        <v>1</v>
      </c>
      <c r="G7914" t="s">
        <v>2</v>
      </c>
      <c r="H7914" t="s">
        <v>27019</v>
      </c>
      <c r="Y7914" t="s">
        <v>32586</v>
      </c>
    </row>
    <row r="7915" spans="1:25" x14ac:dyDescent="0.25">
      <c r="A7915" t="str">
        <f>"73194759151"</f>
        <v>73194759151</v>
      </c>
      <c r="B7915" t="s">
        <v>117</v>
      </c>
      <c r="C7915" t="s">
        <v>118</v>
      </c>
      <c r="D7915" t="s">
        <v>32587</v>
      </c>
      <c r="E7915">
        <v>424007</v>
      </c>
      <c r="F7915" t="s">
        <v>1</v>
      </c>
      <c r="G7915" t="s">
        <v>2</v>
      </c>
      <c r="H7915" t="s">
        <v>434</v>
      </c>
      <c r="Y7915" t="s">
        <v>32588</v>
      </c>
    </row>
    <row r="7916" spans="1:25" x14ac:dyDescent="0.25">
      <c r="A7916" t="str">
        <f>"73222365260"</f>
        <v>73222365260</v>
      </c>
      <c r="B7916" t="s">
        <v>930</v>
      </c>
      <c r="C7916" t="s">
        <v>32592</v>
      </c>
      <c r="D7916" t="s">
        <v>32589</v>
      </c>
      <c r="F7916" t="s">
        <v>1</v>
      </c>
      <c r="G7916" t="s">
        <v>2</v>
      </c>
      <c r="H7916" t="s">
        <v>1359</v>
      </c>
      <c r="I7916" t="s">
        <v>32590</v>
      </c>
      <c r="J7916" t="s">
        <v>32591</v>
      </c>
      <c r="P7916" t="s">
        <v>696</v>
      </c>
      <c r="Q7916" t="s">
        <v>32593</v>
      </c>
      <c r="Y7916" t="s">
        <v>32594</v>
      </c>
    </row>
    <row r="7917" spans="1:25" x14ac:dyDescent="0.25">
      <c r="A7917" t="str">
        <f>"73246871098"</f>
        <v>73246871098</v>
      </c>
      <c r="B7917" t="s">
        <v>6478</v>
      </c>
      <c r="C7917" t="s">
        <v>6479</v>
      </c>
      <c r="D7917" t="s">
        <v>32595</v>
      </c>
      <c r="E7917">
        <v>424030</v>
      </c>
      <c r="F7917" t="s">
        <v>1</v>
      </c>
      <c r="G7917" t="s">
        <v>2</v>
      </c>
      <c r="H7917" t="s">
        <v>440</v>
      </c>
      <c r="I7917" t="s">
        <v>32596</v>
      </c>
      <c r="P7917" t="s">
        <v>32597</v>
      </c>
      <c r="Q7917" t="s">
        <v>32598</v>
      </c>
      <c r="Y7917" t="s">
        <v>4115</v>
      </c>
    </row>
    <row r="7918" spans="1:25" x14ac:dyDescent="0.25">
      <c r="A7918" t="str">
        <f>"73271251988"</f>
        <v>73271251988</v>
      </c>
      <c r="B7918" t="s">
        <v>574</v>
      </c>
      <c r="C7918" t="s">
        <v>26561</v>
      </c>
      <c r="D7918" t="s">
        <v>32599</v>
      </c>
      <c r="E7918">
        <v>424039</v>
      </c>
      <c r="F7918" t="s">
        <v>1</v>
      </c>
      <c r="G7918" t="s">
        <v>2</v>
      </c>
      <c r="H7918" t="s">
        <v>26900</v>
      </c>
      <c r="Y7918" t="s">
        <v>32600</v>
      </c>
    </row>
    <row r="7919" spans="1:25" x14ac:dyDescent="0.25">
      <c r="A7919" t="str">
        <f>"73300222165"</f>
        <v>73300222165</v>
      </c>
      <c r="B7919" t="s">
        <v>176</v>
      </c>
      <c r="C7919" t="s">
        <v>32602</v>
      </c>
      <c r="D7919" t="s">
        <v>32601</v>
      </c>
      <c r="E7919">
        <v>424020</v>
      </c>
      <c r="F7919" t="s">
        <v>1</v>
      </c>
      <c r="G7919" t="s">
        <v>2</v>
      </c>
      <c r="H7919" t="s">
        <v>23512</v>
      </c>
      <c r="J7919" t="s">
        <v>26128</v>
      </c>
      <c r="V7919" t="s">
        <v>32603</v>
      </c>
      <c r="Y7919" t="s">
        <v>23515</v>
      </c>
    </row>
    <row r="7920" spans="1:25" x14ac:dyDescent="0.25">
      <c r="A7920" t="str">
        <f>"73312952906"</f>
        <v>73312952906</v>
      </c>
      <c r="B7920" t="s">
        <v>574</v>
      </c>
      <c r="C7920" t="s">
        <v>14269</v>
      </c>
      <c r="D7920" t="s">
        <v>32604</v>
      </c>
      <c r="E7920">
        <v>424000</v>
      </c>
      <c r="F7920" t="s">
        <v>1</v>
      </c>
      <c r="G7920" t="s">
        <v>2</v>
      </c>
      <c r="H7920" t="s">
        <v>265</v>
      </c>
      <c r="Y7920" t="s">
        <v>32605</v>
      </c>
    </row>
    <row r="7921" spans="1:25" x14ac:dyDescent="0.25">
      <c r="A7921" t="str">
        <f>"73313154948"</f>
        <v>73313154948</v>
      </c>
      <c r="B7921" t="s">
        <v>430</v>
      </c>
      <c r="C7921" t="s">
        <v>431</v>
      </c>
      <c r="D7921" t="s">
        <v>5177</v>
      </c>
      <c r="E7921">
        <v>424000</v>
      </c>
      <c r="F7921" t="s">
        <v>1</v>
      </c>
      <c r="G7921" t="s">
        <v>2</v>
      </c>
      <c r="H7921" t="s">
        <v>1473</v>
      </c>
      <c r="P7921" t="s">
        <v>941</v>
      </c>
      <c r="Y7921" t="s">
        <v>4067</v>
      </c>
    </row>
    <row r="7922" spans="1:25" x14ac:dyDescent="0.25">
      <c r="A7922" t="str">
        <f>"73319597030"</f>
        <v>73319597030</v>
      </c>
      <c r="B7922" t="s">
        <v>117</v>
      </c>
      <c r="C7922" t="s">
        <v>118</v>
      </c>
      <c r="D7922" t="s">
        <v>32606</v>
      </c>
      <c r="F7922" t="s">
        <v>1</v>
      </c>
      <c r="G7922" t="s">
        <v>2</v>
      </c>
      <c r="H7922" t="s">
        <v>24047</v>
      </c>
      <c r="Y7922" t="s">
        <v>32607</v>
      </c>
    </row>
    <row r="7923" spans="1:25" x14ac:dyDescent="0.25">
      <c r="A7923" t="str">
        <f>"73329908751"</f>
        <v>73329908751</v>
      </c>
      <c r="B7923" t="s">
        <v>123</v>
      </c>
      <c r="C7923" t="s">
        <v>196</v>
      </c>
      <c r="D7923" t="s">
        <v>10549</v>
      </c>
      <c r="E7923">
        <v>424006</v>
      </c>
      <c r="F7923" t="s">
        <v>1</v>
      </c>
      <c r="G7923" t="s">
        <v>2</v>
      </c>
      <c r="H7923" t="s">
        <v>4346</v>
      </c>
      <c r="J7923" t="s">
        <v>10550</v>
      </c>
      <c r="P7923" t="s">
        <v>1760</v>
      </c>
      <c r="Y7923" t="s">
        <v>26396</v>
      </c>
    </row>
    <row r="7924" spans="1:25" x14ac:dyDescent="0.25">
      <c r="A7924" t="str">
        <f>"73335886207"</f>
        <v>73335886207</v>
      </c>
      <c r="B7924" t="s">
        <v>1544</v>
      </c>
      <c r="C7924" t="s">
        <v>15598</v>
      </c>
      <c r="D7924" t="s">
        <v>32608</v>
      </c>
      <c r="E7924">
        <v>424016</v>
      </c>
      <c r="F7924" t="s">
        <v>1</v>
      </c>
      <c r="G7924" t="s">
        <v>2</v>
      </c>
      <c r="H7924" t="s">
        <v>32609</v>
      </c>
      <c r="Y7924" t="s">
        <v>32610</v>
      </c>
    </row>
    <row r="7925" spans="1:25" x14ac:dyDescent="0.25">
      <c r="A7925" t="str">
        <f>"73372157847"</f>
        <v>73372157847</v>
      </c>
      <c r="B7925" t="s">
        <v>160</v>
      </c>
      <c r="C7925" t="s">
        <v>1666</v>
      </c>
      <c r="D7925" t="s">
        <v>32611</v>
      </c>
      <c r="E7925">
        <v>424006</v>
      </c>
      <c r="F7925" t="s">
        <v>1</v>
      </c>
      <c r="G7925" t="s">
        <v>2</v>
      </c>
      <c r="H7925" t="s">
        <v>14867</v>
      </c>
      <c r="Y7925" t="s">
        <v>23894</v>
      </c>
    </row>
    <row r="7926" spans="1:25" x14ac:dyDescent="0.25">
      <c r="A7926" t="str">
        <f>"73416277159"</f>
        <v>73416277159</v>
      </c>
      <c r="B7926" t="s">
        <v>417</v>
      </c>
      <c r="C7926" t="s">
        <v>418</v>
      </c>
      <c r="D7926" t="s">
        <v>32612</v>
      </c>
      <c r="E7926">
        <v>424032</v>
      </c>
      <c r="F7926" t="s">
        <v>1</v>
      </c>
      <c r="G7926" t="s">
        <v>2</v>
      </c>
      <c r="H7926" t="s">
        <v>32613</v>
      </c>
      <c r="I7926" t="s">
        <v>32614</v>
      </c>
      <c r="M7926" t="s">
        <v>32615</v>
      </c>
      <c r="P7926" t="s">
        <v>5871</v>
      </c>
      <c r="V7926" t="s">
        <v>32616</v>
      </c>
      <c r="Y7926" t="s">
        <v>32617</v>
      </c>
    </row>
    <row r="7927" spans="1:25" x14ac:dyDescent="0.25">
      <c r="A7927" t="str">
        <f>"73434851514"</f>
        <v>73434851514</v>
      </c>
      <c r="B7927" t="s">
        <v>67</v>
      </c>
      <c r="C7927" t="s">
        <v>269</v>
      </c>
      <c r="D7927" t="s">
        <v>32618</v>
      </c>
      <c r="E7927">
        <v>424002</v>
      </c>
      <c r="F7927" t="s">
        <v>1</v>
      </c>
      <c r="G7927" t="s">
        <v>2</v>
      </c>
      <c r="H7927" t="s">
        <v>5967</v>
      </c>
      <c r="L7927" t="s">
        <v>28986</v>
      </c>
      <c r="M7927" t="s">
        <v>32619</v>
      </c>
      <c r="Q7927" t="s">
        <v>28988</v>
      </c>
      <c r="Y7927" t="s">
        <v>32620</v>
      </c>
    </row>
    <row r="7928" spans="1:25" x14ac:dyDescent="0.25">
      <c r="A7928" t="str">
        <f>"73474709019"</f>
        <v>73474709019</v>
      </c>
      <c r="B7928" t="s">
        <v>530</v>
      </c>
      <c r="C7928" t="s">
        <v>23950</v>
      </c>
      <c r="D7928" t="s">
        <v>23950</v>
      </c>
      <c r="E7928">
        <v>424006</v>
      </c>
      <c r="F7928" t="s">
        <v>1</v>
      </c>
      <c r="G7928" t="s">
        <v>2</v>
      </c>
      <c r="H7928" t="s">
        <v>24225</v>
      </c>
      <c r="Y7928" t="s">
        <v>32621</v>
      </c>
    </row>
    <row r="7929" spans="1:25" x14ac:dyDescent="0.25">
      <c r="A7929" t="str">
        <f>"73518372648"</f>
        <v>73518372648</v>
      </c>
      <c r="B7929" t="s">
        <v>930</v>
      </c>
      <c r="C7929" t="s">
        <v>32625</v>
      </c>
      <c r="D7929" t="s">
        <v>32622</v>
      </c>
      <c r="E7929">
        <v>424006</v>
      </c>
      <c r="F7929" t="s">
        <v>1</v>
      </c>
      <c r="G7929" t="s">
        <v>2</v>
      </c>
      <c r="H7929" t="s">
        <v>9007</v>
      </c>
      <c r="I7929" t="s">
        <v>32623</v>
      </c>
      <c r="J7929" t="s">
        <v>32624</v>
      </c>
      <c r="P7929" t="s">
        <v>32626</v>
      </c>
      <c r="Q7929" t="s">
        <v>32627</v>
      </c>
      <c r="Y7929" t="s">
        <v>32628</v>
      </c>
    </row>
    <row r="7930" spans="1:25" x14ac:dyDescent="0.25">
      <c r="A7930" t="str">
        <f>"73520447566"</f>
        <v>73520447566</v>
      </c>
      <c r="B7930" t="s">
        <v>462</v>
      </c>
      <c r="C7930" t="s">
        <v>1140</v>
      </c>
      <c r="D7930" t="s">
        <v>32629</v>
      </c>
      <c r="E7930">
        <v>424007</v>
      </c>
      <c r="F7930" t="s">
        <v>1</v>
      </c>
      <c r="G7930" t="s">
        <v>2</v>
      </c>
      <c r="H7930" t="s">
        <v>14379</v>
      </c>
      <c r="J7930" t="s">
        <v>32630</v>
      </c>
      <c r="L7930" t="s">
        <v>32631</v>
      </c>
      <c r="P7930" t="s">
        <v>6236</v>
      </c>
      <c r="Q7930" t="s">
        <v>32632</v>
      </c>
      <c r="Y7930" t="s">
        <v>14383</v>
      </c>
    </row>
    <row r="7931" spans="1:25" x14ac:dyDescent="0.25">
      <c r="A7931" t="str">
        <f>"73570195368"</f>
        <v>73570195368</v>
      </c>
      <c r="B7931" t="s">
        <v>430</v>
      </c>
      <c r="C7931" t="s">
        <v>32635</v>
      </c>
      <c r="D7931" t="s">
        <v>32633</v>
      </c>
      <c r="E7931">
        <v>424006</v>
      </c>
      <c r="F7931" t="s">
        <v>1</v>
      </c>
      <c r="G7931" t="s">
        <v>2</v>
      </c>
      <c r="H7931" t="s">
        <v>1483</v>
      </c>
      <c r="J7931" t="s">
        <v>32634</v>
      </c>
      <c r="P7931" t="s">
        <v>941</v>
      </c>
      <c r="Q7931" t="s">
        <v>32636</v>
      </c>
      <c r="V7931" t="s">
        <v>32637</v>
      </c>
      <c r="Y7931" t="s">
        <v>12881</v>
      </c>
    </row>
    <row r="7932" spans="1:25" x14ac:dyDescent="0.25">
      <c r="A7932" t="str">
        <f>"73577996705"</f>
        <v>73577996705</v>
      </c>
      <c r="B7932" t="s">
        <v>1053</v>
      </c>
      <c r="C7932" t="s">
        <v>1927</v>
      </c>
      <c r="D7932" t="s">
        <v>32638</v>
      </c>
      <c r="E7932">
        <v>424005</v>
      </c>
      <c r="F7932" t="s">
        <v>1</v>
      </c>
      <c r="G7932" t="s">
        <v>2</v>
      </c>
      <c r="H7932" t="s">
        <v>29374</v>
      </c>
      <c r="I7932" t="s">
        <v>32639</v>
      </c>
      <c r="P7932" t="s">
        <v>20</v>
      </c>
      <c r="Y7932" t="s">
        <v>32640</v>
      </c>
    </row>
    <row r="7933" spans="1:25" x14ac:dyDescent="0.25">
      <c r="A7933" t="str">
        <f>"73605626324"</f>
        <v>73605626324</v>
      </c>
      <c r="B7933" t="s">
        <v>96</v>
      </c>
      <c r="C7933" t="s">
        <v>16554</v>
      </c>
      <c r="D7933" t="s">
        <v>32641</v>
      </c>
      <c r="E7933">
        <v>424000</v>
      </c>
      <c r="F7933" t="s">
        <v>1</v>
      </c>
      <c r="G7933" t="s">
        <v>2</v>
      </c>
      <c r="H7933" t="s">
        <v>2671</v>
      </c>
      <c r="Y7933" t="s">
        <v>32642</v>
      </c>
    </row>
    <row r="7934" spans="1:25" x14ac:dyDescent="0.25">
      <c r="A7934" t="str">
        <f>"73620409377"</f>
        <v>73620409377</v>
      </c>
      <c r="B7934" t="s">
        <v>1544</v>
      </c>
      <c r="C7934" t="s">
        <v>7974</v>
      </c>
      <c r="D7934" t="s">
        <v>28272</v>
      </c>
      <c r="F7934" t="s">
        <v>1</v>
      </c>
      <c r="G7934" t="s">
        <v>2</v>
      </c>
      <c r="H7934" t="s">
        <v>4957</v>
      </c>
      <c r="Y7934" t="s">
        <v>32643</v>
      </c>
    </row>
    <row r="7935" spans="1:25" x14ac:dyDescent="0.25">
      <c r="A7935" t="str">
        <f>"73637828261"</f>
        <v>73637828261</v>
      </c>
      <c r="B7935" t="s">
        <v>96</v>
      </c>
      <c r="C7935" t="s">
        <v>14551</v>
      </c>
      <c r="D7935" t="s">
        <v>657</v>
      </c>
      <c r="F7935" t="s">
        <v>1</v>
      </c>
      <c r="G7935" t="s">
        <v>2</v>
      </c>
      <c r="H7935" t="s">
        <v>19499</v>
      </c>
      <c r="P7935" t="s">
        <v>144</v>
      </c>
      <c r="Y7935" t="s">
        <v>32644</v>
      </c>
    </row>
    <row r="7936" spans="1:25" x14ac:dyDescent="0.25">
      <c r="A7936" t="str">
        <f>"73676232325"</f>
        <v>73676232325</v>
      </c>
      <c r="B7936" t="s">
        <v>18</v>
      </c>
      <c r="C7936" t="s">
        <v>143</v>
      </c>
      <c r="D7936" t="s">
        <v>32645</v>
      </c>
      <c r="F7936" t="s">
        <v>1</v>
      </c>
      <c r="G7936" t="s">
        <v>2</v>
      </c>
      <c r="H7936" t="s">
        <v>3500</v>
      </c>
      <c r="J7936" t="s">
        <v>32646</v>
      </c>
      <c r="L7936" t="s">
        <v>32647</v>
      </c>
      <c r="M7936" t="s">
        <v>32648</v>
      </c>
      <c r="Y7936" t="s">
        <v>32649</v>
      </c>
    </row>
    <row r="7937" spans="1:25" x14ac:dyDescent="0.25">
      <c r="A7937" t="str">
        <f>"73687936262"</f>
        <v>73687936262</v>
      </c>
      <c r="B7937" t="s">
        <v>32</v>
      </c>
      <c r="C7937" t="s">
        <v>182</v>
      </c>
      <c r="D7937" t="s">
        <v>32650</v>
      </c>
      <c r="E7937">
        <v>424038</v>
      </c>
      <c r="F7937" t="s">
        <v>1</v>
      </c>
      <c r="G7937" t="s">
        <v>2</v>
      </c>
      <c r="H7937" t="s">
        <v>16024</v>
      </c>
      <c r="P7937" t="s">
        <v>2731</v>
      </c>
      <c r="Y7937" t="s">
        <v>32651</v>
      </c>
    </row>
    <row r="7938" spans="1:25" x14ac:dyDescent="0.25">
      <c r="A7938" t="str">
        <f>"73760070046"</f>
        <v>73760070046</v>
      </c>
      <c r="B7938" t="s">
        <v>88</v>
      </c>
      <c r="C7938" t="s">
        <v>32654</v>
      </c>
      <c r="D7938" t="s">
        <v>32652</v>
      </c>
      <c r="E7938">
        <v>424004</v>
      </c>
      <c r="F7938" t="s">
        <v>1</v>
      </c>
      <c r="G7938" t="s">
        <v>2</v>
      </c>
      <c r="H7938" t="s">
        <v>3489</v>
      </c>
      <c r="I7938" t="s">
        <v>32653</v>
      </c>
      <c r="P7938" t="s">
        <v>1855</v>
      </c>
      <c r="V7938" t="s">
        <v>32655</v>
      </c>
      <c r="Y7938" t="s">
        <v>32656</v>
      </c>
    </row>
    <row r="7939" spans="1:25" x14ac:dyDescent="0.25">
      <c r="A7939" t="str">
        <f>"73761026796"</f>
        <v>73761026796</v>
      </c>
      <c r="B7939" t="s">
        <v>574</v>
      </c>
      <c r="C7939" t="s">
        <v>22533</v>
      </c>
      <c r="D7939" t="s">
        <v>32657</v>
      </c>
      <c r="E7939">
        <v>424037</v>
      </c>
      <c r="F7939" t="s">
        <v>1</v>
      </c>
      <c r="G7939" t="s">
        <v>2</v>
      </c>
      <c r="H7939" t="s">
        <v>21270</v>
      </c>
      <c r="P7939" t="s">
        <v>216</v>
      </c>
      <c r="Y7939" t="s">
        <v>32658</v>
      </c>
    </row>
    <row r="7940" spans="1:25" x14ac:dyDescent="0.25">
      <c r="A7940" t="str">
        <f>"73787836439"</f>
        <v>73787836439</v>
      </c>
      <c r="B7940" t="s">
        <v>1152</v>
      </c>
      <c r="C7940" t="s">
        <v>32661</v>
      </c>
      <c r="D7940" t="s">
        <v>32659</v>
      </c>
      <c r="E7940">
        <v>424038</v>
      </c>
      <c r="F7940" t="s">
        <v>1</v>
      </c>
      <c r="G7940" t="s">
        <v>2</v>
      </c>
      <c r="H7940" t="s">
        <v>9930</v>
      </c>
      <c r="I7940" t="s">
        <v>32660</v>
      </c>
      <c r="P7940" t="s">
        <v>13994</v>
      </c>
      <c r="Q7940" t="s">
        <v>32662</v>
      </c>
      <c r="Y7940" t="s">
        <v>32663</v>
      </c>
    </row>
    <row r="7941" spans="1:25" x14ac:dyDescent="0.25">
      <c r="A7941" t="str">
        <f>"73830973138"</f>
        <v>73830973138</v>
      </c>
      <c r="B7941" t="s">
        <v>188</v>
      </c>
      <c r="C7941" t="s">
        <v>24568</v>
      </c>
      <c r="D7941" t="s">
        <v>24568</v>
      </c>
      <c r="E7941">
        <v>424006</v>
      </c>
      <c r="F7941" t="s">
        <v>1</v>
      </c>
      <c r="G7941" t="s">
        <v>2</v>
      </c>
      <c r="H7941" t="s">
        <v>14875</v>
      </c>
      <c r="Y7941" t="s">
        <v>32664</v>
      </c>
    </row>
    <row r="7942" spans="1:25" x14ac:dyDescent="0.25">
      <c r="A7942" t="str">
        <f>"73873406883"</f>
        <v>73873406883</v>
      </c>
      <c r="B7942" t="s">
        <v>32</v>
      </c>
      <c r="C7942" t="s">
        <v>5809</v>
      </c>
      <c r="D7942" t="s">
        <v>40</v>
      </c>
      <c r="E7942">
        <v>424006</v>
      </c>
      <c r="F7942" t="s">
        <v>1</v>
      </c>
      <c r="G7942" t="s">
        <v>2</v>
      </c>
      <c r="H7942" t="s">
        <v>492</v>
      </c>
      <c r="P7942" t="s">
        <v>5770</v>
      </c>
      <c r="Y7942" t="s">
        <v>29002</v>
      </c>
    </row>
    <row r="7943" spans="1:25" x14ac:dyDescent="0.25">
      <c r="A7943" t="str">
        <f>"73940064347"</f>
        <v>73940064347</v>
      </c>
      <c r="B7943" t="s">
        <v>160</v>
      </c>
      <c r="C7943" t="s">
        <v>1666</v>
      </c>
      <c r="D7943" t="s">
        <v>32665</v>
      </c>
      <c r="E7943">
        <v>424006</v>
      </c>
      <c r="F7943" t="s">
        <v>1</v>
      </c>
      <c r="G7943" t="s">
        <v>2</v>
      </c>
      <c r="H7943" t="s">
        <v>32666</v>
      </c>
      <c r="P7943" t="s">
        <v>1027</v>
      </c>
      <c r="Y7943" t="s">
        <v>32667</v>
      </c>
    </row>
    <row r="7944" spans="1:25" x14ac:dyDescent="0.25">
      <c r="A7944" t="str">
        <f>"73952121879"</f>
        <v>73952121879</v>
      </c>
      <c r="B7944" t="s">
        <v>703</v>
      </c>
      <c r="C7944" t="s">
        <v>26126</v>
      </c>
      <c r="D7944" t="s">
        <v>32668</v>
      </c>
      <c r="E7944">
        <v>424020</v>
      </c>
      <c r="F7944" t="s">
        <v>1</v>
      </c>
      <c r="G7944" t="s">
        <v>2</v>
      </c>
      <c r="H7944" t="s">
        <v>18899</v>
      </c>
      <c r="J7944" t="s">
        <v>32669</v>
      </c>
      <c r="L7944" t="s">
        <v>32670</v>
      </c>
      <c r="M7944" t="s">
        <v>32671</v>
      </c>
      <c r="P7944" t="s">
        <v>330</v>
      </c>
      <c r="Y7944" t="s">
        <v>32672</v>
      </c>
    </row>
    <row r="7945" spans="1:25" x14ac:dyDescent="0.25">
      <c r="A7945" t="str">
        <f>"74053764769"</f>
        <v>74053764769</v>
      </c>
      <c r="B7945" t="s">
        <v>1046</v>
      </c>
      <c r="C7945" t="s">
        <v>22946</v>
      </c>
      <c r="D7945" t="s">
        <v>22946</v>
      </c>
      <c r="F7945" t="s">
        <v>1</v>
      </c>
      <c r="G7945" t="s">
        <v>2</v>
      </c>
      <c r="H7945" t="s">
        <v>32673</v>
      </c>
      <c r="Y7945" t="s">
        <v>32674</v>
      </c>
    </row>
    <row r="7946" spans="1:25" x14ac:dyDescent="0.25">
      <c r="A7946" t="str">
        <f>"74062732996"</f>
        <v>74062732996</v>
      </c>
      <c r="B7946" t="s">
        <v>188</v>
      </c>
      <c r="C7946" t="s">
        <v>32678</v>
      </c>
      <c r="D7946" t="s">
        <v>32675</v>
      </c>
      <c r="E7946">
        <v>424037</v>
      </c>
      <c r="F7946" t="s">
        <v>1</v>
      </c>
      <c r="G7946" t="s">
        <v>2</v>
      </c>
      <c r="H7946" t="s">
        <v>3115</v>
      </c>
      <c r="I7946" t="s">
        <v>32676</v>
      </c>
      <c r="M7946" t="s">
        <v>32677</v>
      </c>
      <c r="P7946" t="s">
        <v>144</v>
      </c>
      <c r="Y7946" t="s">
        <v>3117</v>
      </c>
    </row>
    <row r="7947" spans="1:25" x14ac:dyDescent="0.25">
      <c r="A7947" t="str">
        <f>"74065046877"</f>
        <v>74065046877</v>
      </c>
      <c r="B7947" t="s">
        <v>3700</v>
      </c>
      <c r="C7947" t="s">
        <v>3700</v>
      </c>
      <c r="D7947" t="s">
        <v>32679</v>
      </c>
      <c r="E7947">
        <v>424002</v>
      </c>
      <c r="F7947" t="s">
        <v>1</v>
      </c>
      <c r="G7947" t="s">
        <v>2</v>
      </c>
      <c r="H7947" t="s">
        <v>5692</v>
      </c>
      <c r="P7947" t="s">
        <v>3379</v>
      </c>
      <c r="Y7947" t="s">
        <v>11243</v>
      </c>
    </row>
    <row r="7948" spans="1:25" x14ac:dyDescent="0.25">
      <c r="A7948" t="str">
        <f>"74100210820"</f>
        <v>74100210820</v>
      </c>
      <c r="B7948" t="s">
        <v>430</v>
      </c>
      <c r="C7948" t="s">
        <v>16178</v>
      </c>
      <c r="D7948" t="s">
        <v>10135</v>
      </c>
      <c r="E7948">
        <v>424030</v>
      </c>
      <c r="F7948" t="s">
        <v>1</v>
      </c>
      <c r="G7948" t="s">
        <v>2</v>
      </c>
      <c r="H7948" t="s">
        <v>32680</v>
      </c>
      <c r="Y7948" t="s">
        <v>32681</v>
      </c>
    </row>
    <row r="7949" spans="1:25" x14ac:dyDescent="0.25">
      <c r="A7949" t="str">
        <f>"74195571201"</f>
        <v>74195571201</v>
      </c>
      <c r="B7949" t="s">
        <v>530</v>
      </c>
      <c r="C7949" t="s">
        <v>23950</v>
      </c>
      <c r="D7949" t="s">
        <v>23950</v>
      </c>
      <c r="E7949">
        <v>424037</v>
      </c>
      <c r="F7949" t="s">
        <v>1</v>
      </c>
      <c r="G7949" t="s">
        <v>2</v>
      </c>
      <c r="H7949" t="s">
        <v>32682</v>
      </c>
      <c r="Y7949" t="s">
        <v>32683</v>
      </c>
    </row>
    <row r="7950" spans="1:25" x14ac:dyDescent="0.25">
      <c r="A7950" t="str">
        <f>"74248502227"</f>
        <v>74248502227</v>
      </c>
      <c r="B7950" t="s">
        <v>2846</v>
      </c>
      <c r="C7950" t="s">
        <v>11032</v>
      </c>
      <c r="D7950" t="s">
        <v>32684</v>
      </c>
      <c r="E7950">
        <v>424019</v>
      </c>
      <c r="F7950" t="s">
        <v>1</v>
      </c>
      <c r="G7950" t="s">
        <v>2</v>
      </c>
      <c r="H7950" t="s">
        <v>7785</v>
      </c>
      <c r="P7950" t="s">
        <v>98</v>
      </c>
      <c r="Q7950" t="s">
        <v>32685</v>
      </c>
      <c r="V7950" t="s">
        <v>32686</v>
      </c>
      <c r="Y7950" t="s">
        <v>32687</v>
      </c>
    </row>
    <row r="7951" spans="1:25" x14ac:dyDescent="0.25">
      <c r="A7951" t="str">
        <f>"74254495094"</f>
        <v>74254495094</v>
      </c>
      <c r="B7951" t="s">
        <v>2846</v>
      </c>
      <c r="C7951" t="s">
        <v>17312</v>
      </c>
      <c r="D7951" t="s">
        <v>32688</v>
      </c>
      <c r="F7951" t="s">
        <v>1</v>
      </c>
      <c r="G7951" t="s">
        <v>2</v>
      </c>
      <c r="H7951" t="s">
        <v>13225</v>
      </c>
      <c r="I7951" t="s">
        <v>32689</v>
      </c>
      <c r="P7951" t="s">
        <v>32690</v>
      </c>
      <c r="Y7951" t="s">
        <v>32691</v>
      </c>
    </row>
    <row r="7952" spans="1:25" x14ac:dyDescent="0.25">
      <c r="A7952" t="str">
        <f>"74275432065"</f>
        <v>74275432065</v>
      </c>
      <c r="B7952" t="s">
        <v>841</v>
      </c>
      <c r="C7952" t="s">
        <v>32694</v>
      </c>
      <c r="D7952" t="s">
        <v>32692</v>
      </c>
      <c r="E7952">
        <v>424002</v>
      </c>
      <c r="F7952" t="s">
        <v>1</v>
      </c>
      <c r="G7952" t="s">
        <v>2</v>
      </c>
      <c r="H7952" t="s">
        <v>744</v>
      </c>
      <c r="I7952" t="s">
        <v>32693</v>
      </c>
      <c r="P7952" t="s">
        <v>1080</v>
      </c>
      <c r="V7952" t="s">
        <v>32695</v>
      </c>
      <c r="Y7952" t="s">
        <v>32696</v>
      </c>
    </row>
    <row r="7953" spans="1:25" x14ac:dyDescent="0.25">
      <c r="A7953" t="str">
        <f>"74278299372"</f>
        <v>74278299372</v>
      </c>
      <c r="B7953" t="s">
        <v>96</v>
      </c>
      <c r="C7953" t="s">
        <v>507</v>
      </c>
      <c r="D7953" t="s">
        <v>32697</v>
      </c>
      <c r="E7953">
        <v>424006</v>
      </c>
      <c r="F7953" t="s">
        <v>1</v>
      </c>
      <c r="G7953" t="s">
        <v>2</v>
      </c>
      <c r="H7953" t="s">
        <v>6133</v>
      </c>
      <c r="L7953" t="s">
        <v>32698</v>
      </c>
      <c r="Y7953" t="s">
        <v>32699</v>
      </c>
    </row>
    <row r="7954" spans="1:25" x14ac:dyDescent="0.25">
      <c r="A7954" t="str">
        <f>"74342988685"</f>
        <v>74342988685</v>
      </c>
      <c r="B7954" t="s">
        <v>1604</v>
      </c>
      <c r="C7954" t="s">
        <v>32704</v>
      </c>
      <c r="D7954" t="s">
        <v>32700</v>
      </c>
      <c r="E7954">
        <v>424003</v>
      </c>
      <c r="F7954" t="s">
        <v>1</v>
      </c>
      <c r="G7954" t="s">
        <v>2</v>
      </c>
      <c r="H7954" t="s">
        <v>20364</v>
      </c>
      <c r="J7954" t="s">
        <v>32701</v>
      </c>
      <c r="L7954" t="s">
        <v>32702</v>
      </c>
      <c r="M7954" t="s">
        <v>32703</v>
      </c>
      <c r="P7954" t="s">
        <v>216</v>
      </c>
      <c r="Q7954" t="s">
        <v>32705</v>
      </c>
      <c r="V7954" t="s">
        <v>32706</v>
      </c>
      <c r="Y7954" t="s">
        <v>20367</v>
      </c>
    </row>
    <row r="7955" spans="1:25" x14ac:dyDescent="0.25">
      <c r="A7955" t="str">
        <f>"74528145324"</f>
        <v>74528145324</v>
      </c>
      <c r="B7955" t="s">
        <v>80</v>
      </c>
      <c r="C7955" t="s">
        <v>11414</v>
      </c>
      <c r="D7955" t="s">
        <v>7772</v>
      </c>
      <c r="E7955">
        <v>424006</v>
      </c>
      <c r="F7955" t="s">
        <v>1</v>
      </c>
      <c r="G7955" t="s">
        <v>2</v>
      </c>
      <c r="H7955" t="s">
        <v>6474</v>
      </c>
      <c r="J7955" t="s">
        <v>32707</v>
      </c>
      <c r="P7955" t="s">
        <v>32708</v>
      </c>
      <c r="Q7955" t="s">
        <v>32709</v>
      </c>
      <c r="Y7955" t="s">
        <v>6480</v>
      </c>
    </row>
    <row r="7956" spans="1:25" x14ac:dyDescent="0.25">
      <c r="A7956" t="str">
        <f>"74530119207"</f>
        <v>74530119207</v>
      </c>
      <c r="B7956" t="s">
        <v>574</v>
      </c>
      <c r="C7956" t="s">
        <v>32712</v>
      </c>
      <c r="D7956" t="s">
        <v>32710</v>
      </c>
      <c r="E7956">
        <v>424002</v>
      </c>
      <c r="F7956" t="s">
        <v>1</v>
      </c>
      <c r="G7956" t="s">
        <v>2</v>
      </c>
      <c r="H7956" t="s">
        <v>9138</v>
      </c>
      <c r="J7956" t="s">
        <v>31102</v>
      </c>
      <c r="L7956" t="s">
        <v>32711</v>
      </c>
      <c r="P7956" t="s">
        <v>216</v>
      </c>
      <c r="Q7956" t="s">
        <v>26537</v>
      </c>
      <c r="Y7956" t="s">
        <v>32713</v>
      </c>
    </row>
    <row r="7957" spans="1:25" x14ac:dyDescent="0.25">
      <c r="A7957" t="str">
        <f>"74559631121"</f>
        <v>74559631121</v>
      </c>
      <c r="B7957" t="s">
        <v>574</v>
      </c>
      <c r="C7957" t="s">
        <v>952</v>
      </c>
      <c r="D7957" t="s">
        <v>28212</v>
      </c>
      <c r="E7957">
        <v>424003</v>
      </c>
      <c r="F7957" t="s">
        <v>1</v>
      </c>
      <c r="G7957" t="s">
        <v>2</v>
      </c>
      <c r="H7957" t="s">
        <v>32714</v>
      </c>
      <c r="Y7957" t="s">
        <v>3999</v>
      </c>
    </row>
    <row r="7958" spans="1:25" x14ac:dyDescent="0.25">
      <c r="A7958" t="str">
        <f>"74579168395"</f>
        <v>74579168395</v>
      </c>
      <c r="B7958" t="s">
        <v>25</v>
      </c>
      <c r="C7958" t="s">
        <v>59</v>
      </c>
      <c r="D7958" t="s">
        <v>2075</v>
      </c>
      <c r="E7958">
        <v>424003</v>
      </c>
      <c r="F7958" t="s">
        <v>1</v>
      </c>
      <c r="G7958" t="s">
        <v>2</v>
      </c>
      <c r="H7958" t="s">
        <v>5311</v>
      </c>
      <c r="Y7958" t="s">
        <v>32715</v>
      </c>
    </row>
    <row r="7959" spans="1:25" x14ac:dyDescent="0.25">
      <c r="A7959" t="str">
        <f>"74605428053"</f>
        <v>74605428053</v>
      </c>
      <c r="B7959" t="s">
        <v>96</v>
      </c>
      <c r="C7959" t="s">
        <v>27015</v>
      </c>
      <c r="D7959" t="s">
        <v>30499</v>
      </c>
      <c r="E7959">
        <v>424000</v>
      </c>
      <c r="F7959" t="s">
        <v>1</v>
      </c>
      <c r="G7959" t="s">
        <v>2</v>
      </c>
      <c r="H7959" t="s">
        <v>86</v>
      </c>
      <c r="J7959" t="s">
        <v>30500</v>
      </c>
      <c r="P7959" t="s">
        <v>15510</v>
      </c>
      <c r="Y7959" t="s">
        <v>90</v>
      </c>
    </row>
    <row r="7960" spans="1:25" x14ac:dyDescent="0.25">
      <c r="A7960" t="str">
        <f>"74620348596"</f>
        <v>74620348596</v>
      </c>
      <c r="B7960" t="s">
        <v>530</v>
      </c>
      <c r="C7960" t="s">
        <v>23950</v>
      </c>
      <c r="D7960" t="s">
        <v>23950</v>
      </c>
      <c r="E7960">
        <v>424038</v>
      </c>
      <c r="F7960" t="s">
        <v>1</v>
      </c>
      <c r="G7960" t="s">
        <v>2</v>
      </c>
      <c r="H7960" t="s">
        <v>386</v>
      </c>
      <c r="Y7960" t="s">
        <v>32716</v>
      </c>
    </row>
    <row r="7961" spans="1:25" x14ac:dyDescent="0.25">
      <c r="A7961" t="str">
        <f>"74635285310"</f>
        <v>74635285310</v>
      </c>
      <c r="B7961" t="s">
        <v>888</v>
      </c>
      <c r="C7961" t="s">
        <v>888</v>
      </c>
      <c r="D7961" t="s">
        <v>32717</v>
      </c>
      <c r="E7961">
        <v>424006</v>
      </c>
      <c r="F7961" t="s">
        <v>1</v>
      </c>
      <c r="G7961" t="s">
        <v>2</v>
      </c>
      <c r="H7961" t="s">
        <v>478</v>
      </c>
      <c r="J7961" t="s">
        <v>32718</v>
      </c>
      <c r="L7961" t="s">
        <v>32719</v>
      </c>
      <c r="P7961" t="s">
        <v>340</v>
      </c>
      <c r="Q7961" t="s">
        <v>32720</v>
      </c>
      <c r="Y7961" t="s">
        <v>926</v>
      </c>
    </row>
    <row r="7962" spans="1:25" x14ac:dyDescent="0.25">
      <c r="A7962" t="str">
        <f>"74638226116"</f>
        <v>74638226116</v>
      </c>
      <c r="B7962" t="s">
        <v>352</v>
      </c>
      <c r="C7962" t="s">
        <v>32724</v>
      </c>
      <c r="D7962" t="s">
        <v>32721</v>
      </c>
      <c r="F7962" t="s">
        <v>1</v>
      </c>
      <c r="G7962" t="s">
        <v>2</v>
      </c>
      <c r="H7962" t="s">
        <v>1508</v>
      </c>
      <c r="I7962" t="s">
        <v>32722</v>
      </c>
      <c r="J7962" t="s">
        <v>32723</v>
      </c>
      <c r="P7962" t="s">
        <v>27</v>
      </c>
      <c r="Y7962" t="s">
        <v>10196</v>
      </c>
    </row>
    <row r="7963" spans="1:25" x14ac:dyDescent="0.25">
      <c r="A7963" t="str">
        <f>"74685208819"</f>
        <v>74685208819</v>
      </c>
      <c r="B7963" t="s">
        <v>462</v>
      </c>
      <c r="C7963" t="s">
        <v>463</v>
      </c>
      <c r="D7963" t="s">
        <v>32725</v>
      </c>
      <c r="E7963">
        <v>424000</v>
      </c>
      <c r="F7963" t="s">
        <v>1</v>
      </c>
      <c r="G7963" t="s">
        <v>2</v>
      </c>
      <c r="H7963" t="s">
        <v>7452</v>
      </c>
      <c r="Q7963" t="s">
        <v>32726</v>
      </c>
      <c r="Y7963" t="s">
        <v>32727</v>
      </c>
    </row>
    <row r="7964" spans="1:25" x14ac:dyDescent="0.25">
      <c r="A7964" t="str">
        <f>"74700931619"</f>
        <v>74700931619</v>
      </c>
      <c r="B7964" t="s">
        <v>32</v>
      </c>
      <c r="C7964" t="s">
        <v>40</v>
      </c>
      <c r="D7964" t="s">
        <v>10554</v>
      </c>
      <c r="F7964" t="s">
        <v>1</v>
      </c>
      <c r="G7964" t="s">
        <v>2</v>
      </c>
      <c r="H7964" t="s">
        <v>2018</v>
      </c>
      <c r="Y7964" t="s">
        <v>32728</v>
      </c>
    </row>
    <row r="7965" spans="1:25" x14ac:dyDescent="0.25">
      <c r="A7965" t="str">
        <f>"74727585291"</f>
        <v>74727585291</v>
      </c>
      <c r="B7965" t="s">
        <v>1222</v>
      </c>
      <c r="C7965" t="s">
        <v>32730</v>
      </c>
      <c r="D7965" t="s">
        <v>32729</v>
      </c>
      <c r="E7965">
        <v>424039</v>
      </c>
      <c r="F7965" t="s">
        <v>1</v>
      </c>
      <c r="G7965" t="s">
        <v>2</v>
      </c>
      <c r="H7965" t="s">
        <v>20272</v>
      </c>
      <c r="Y7965" t="s">
        <v>32731</v>
      </c>
    </row>
    <row r="7966" spans="1:25" x14ac:dyDescent="0.25">
      <c r="A7966" t="str">
        <f>"74800145607"</f>
        <v>74800145607</v>
      </c>
      <c r="B7966" t="s">
        <v>18</v>
      </c>
      <c r="C7966" t="s">
        <v>4522</v>
      </c>
      <c r="D7966" t="s">
        <v>2916</v>
      </c>
      <c r="E7966">
        <v>424039</v>
      </c>
      <c r="F7966" t="s">
        <v>1</v>
      </c>
      <c r="G7966" t="s">
        <v>2</v>
      </c>
      <c r="H7966" t="s">
        <v>8694</v>
      </c>
      <c r="Y7966" t="s">
        <v>32732</v>
      </c>
    </row>
    <row r="7967" spans="1:25" x14ac:dyDescent="0.25">
      <c r="A7967" t="str">
        <f>"74808766338"</f>
        <v>74808766338</v>
      </c>
      <c r="B7967" t="s">
        <v>574</v>
      </c>
      <c r="C7967" t="s">
        <v>646</v>
      </c>
      <c r="D7967" t="s">
        <v>32733</v>
      </c>
      <c r="E7967">
        <v>424006</v>
      </c>
      <c r="F7967" t="s">
        <v>1</v>
      </c>
      <c r="G7967" t="s">
        <v>2</v>
      </c>
      <c r="H7967" t="s">
        <v>32734</v>
      </c>
      <c r="J7967" t="s">
        <v>32735</v>
      </c>
      <c r="M7967" t="s">
        <v>32736</v>
      </c>
      <c r="P7967" t="s">
        <v>1027</v>
      </c>
      <c r="Q7967" t="s">
        <v>32737</v>
      </c>
      <c r="V7967" t="s">
        <v>32738</v>
      </c>
      <c r="Y7967" t="s">
        <v>32739</v>
      </c>
    </row>
    <row r="7968" spans="1:25" x14ac:dyDescent="0.25">
      <c r="A7968" t="str">
        <f>"74864346343"</f>
        <v>74864346343</v>
      </c>
      <c r="B7968" t="s">
        <v>18</v>
      </c>
      <c r="C7968" t="s">
        <v>4522</v>
      </c>
      <c r="D7968" t="s">
        <v>32740</v>
      </c>
      <c r="E7968">
        <v>424000</v>
      </c>
      <c r="F7968" t="s">
        <v>1</v>
      </c>
      <c r="G7968" t="s">
        <v>2</v>
      </c>
      <c r="H7968" t="s">
        <v>4255</v>
      </c>
      <c r="Y7968" t="s">
        <v>4256</v>
      </c>
    </row>
    <row r="7969" spans="1:25" x14ac:dyDescent="0.25">
      <c r="A7969" t="str">
        <f>"74905563041"</f>
        <v>74905563041</v>
      </c>
      <c r="B7969" t="s">
        <v>930</v>
      </c>
      <c r="C7969" t="s">
        <v>11882</v>
      </c>
      <c r="D7969" t="s">
        <v>1094</v>
      </c>
      <c r="E7969">
        <v>424039</v>
      </c>
      <c r="F7969" t="s">
        <v>1</v>
      </c>
      <c r="G7969" t="s">
        <v>2</v>
      </c>
      <c r="H7969" t="s">
        <v>32741</v>
      </c>
      <c r="P7969" t="s">
        <v>1107</v>
      </c>
      <c r="Y7969" t="s">
        <v>32742</v>
      </c>
    </row>
    <row r="7970" spans="1:25" x14ac:dyDescent="0.25">
      <c r="A7970" t="str">
        <f>"74935150783"</f>
        <v>74935150783</v>
      </c>
      <c r="B7970" t="s">
        <v>574</v>
      </c>
      <c r="C7970" t="s">
        <v>952</v>
      </c>
      <c r="D7970" t="s">
        <v>26311</v>
      </c>
      <c r="E7970">
        <v>424005</v>
      </c>
      <c r="F7970" t="s">
        <v>1</v>
      </c>
      <c r="G7970" t="s">
        <v>2</v>
      </c>
      <c r="H7970" t="s">
        <v>1148</v>
      </c>
      <c r="Y7970" t="s">
        <v>32116</v>
      </c>
    </row>
    <row r="7971" spans="1:25" x14ac:dyDescent="0.25">
      <c r="A7971" t="str">
        <f>"74972477743"</f>
        <v>74972477743</v>
      </c>
      <c r="B7971" t="s">
        <v>574</v>
      </c>
      <c r="C7971" t="s">
        <v>14652</v>
      </c>
      <c r="D7971" t="s">
        <v>32743</v>
      </c>
      <c r="E7971">
        <v>424002</v>
      </c>
      <c r="F7971" t="s">
        <v>1</v>
      </c>
      <c r="G7971" t="s">
        <v>2</v>
      </c>
      <c r="H7971" t="s">
        <v>3864</v>
      </c>
      <c r="I7971" t="s">
        <v>32744</v>
      </c>
      <c r="J7971" t="s">
        <v>32745</v>
      </c>
      <c r="L7971" t="s">
        <v>32746</v>
      </c>
      <c r="M7971" t="s">
        <v>32747</v>
      </c>
      <c r="P7971" t="s">
        <v>2738</v>
      </c>
      <c r="T7971" t="s">
        <v>32748</v>
      </c>
      <c r="Y7971" t="s">
        <v>1744</v>
      </c>
    </row>
    <row r="7972" spans="1:25" x14ac:dyDescent="0.25">
      <c r="A7972" t="str">
        <f>"74974034952"</f>
        <v>74974034952</v>
      </c>
      <c r="B7972" t="s">
        <v>188</v>
      </c>
      <c r="C7972" t="s">
        <v>23982</v>
      </c>
      <c r="D7972" t="s">
        <v>23982</v>
      </c>
      <c r="E7972">
        <v>424006</v>
      </c>
      <c r="F7972" t="s">
        <v>1</v>
      </c>
      <c r="G7972" t="s">
        <v>2</v>
      </c>
      <c r="H7972" t="s">
        <v>21558</v>
      </c>
      <c r="Y7972" t="s">
        <v>32749</v>
      </c>
    </row>
    <row r="7973" spans="1:25" x14ac:dyDescent="0.25">
      <c r="A7973" t="str">
        <f>"74977609220"</f>
        <v>74977609220</v>
      </c>
      <c r="B7973" t="s">
        <v>703</v>
      </c>
      <c r="C7973" t="s">
        <v>8018</v>
      </c>
      <c r="D7973" t="s">
        <v>26932</v>
      </c>
      <c r="F7973" t="s">
        <v>1</v>
      </c>
      <c r="G7973" t="s">
        <v>2</v>
      </c>
      <c r="H7973" t="s">
        <v>3984</v>
      </c>
      <c r="Y7973" t="s">
        <v>32750</v>
      </c>
    </row>
    <row r="7974" spans="1:25" x14ac:dyDescent="0.25">
      <c r="A7974" t="str">
        <f>"74987945021"</f>
        <v>74987945021</v>
      </c>
      <c r="B7974" t="s">
        <v>25</v>
      </c>
      <c r="C7974" t="s">
        <v>20320</v>
      </c>
      <c r="D7974" t="s">
        <v>32751</v>
      </c>
      <c r="E7974">
        <v>424031</v>
      </c>
      <c r="F7974" t="s">
        <v>1</v>
      </c>
      <c r="G7974" t="s">
        <v>2</v>
      </c>
      <c r="H7974" t="s">
        <v>17906</v>
      </c>
      <c r="Y7974" t="s">
        <v>32752</v>
      </c>
    </row>
    <row r="7975" spans="1:25" x14ac:dyDescent="0.25">
      <c r="A7975" t="str">
        <f>"74996196158"</f>
        <v>74996196158</v>
      </c>
      <c r="B7975" t="s">
        <v>7312</v>
      </c>
      <c r="C7975" t="s">
        <v>19097</v>
      </c>
      <c r="D7975" t="s">
        <v>32753</v>
      </c>
      <c r="E7975">
        <v>424020</v>
      </c>
      <c r="F7975" t="s">
        <v>1</v>
      </c>
      <c r="G7975" t="s">
        <v>2</v>
      </c>
      <c r="H7975" t="s">
        <v>802</v>
      </c>
      <c r="Y7975" t="s">
        <v>805</v>
      </c>
    </row>
    <row r="7976" spans="1:25" x14ac:dyDescent="0.25">
      <c r="A7976" t="str">
        <f>"75042222301"</f>
        <v>75042222301</v>
      </c>
      <c r="B7976" t="s">
        <v>574</v>
      </c>
      <c r="C7976" t="s">
        <v>26901</v>
      </c>
      <c r="D7976" t="s">
        <v>11854</v>
      </c>
      <c r="E7976">
        <v>424007</v>
      </c>
      <c r="F7976" t="s">
        <v>1</v>
      </c>
      <c r="G7976" t="s">
        <v>2</v>
      </c>
      <c r="H7976" t="s">
        <v>4411</v>
      </c>
      <c r="Y7976" t="s">
        <v>32754</v>
      </c>
    </row>
    <row r="7977" spans="1:25" x14ac:dyDescent="0.25">
      <c r="A7977" t="str">
        <f>"75062514302"</f>
        <v>75062514302</v>
      </c>
      <c r="B7977" t="s">
        <v>1611</v>
      </c>
      <c r="C7977" t="s">
        <v>3218</v>
      </c>
      <c r="D7977" t="s">
        <v>32755</v>
      </c>
      <c r="E7977">
        <v>424031</v>
      </c>
      <c r="F7977" t="s">
        <v>1</v>
      </c>
      <c r="G7977" t="s">
        <v>2</v>
      </c>
      <c r="H7977" t="s">
        <v>20058</v>
      </c>
      <c r="I7977" t="s">
        <v>32756</v>
      </c>
      <c r="L7977" t="s">
        <v>3217</v>
      </c>
      <c r="P7977" t="s">
        <v>330</v>
      </c>
      <c r="Y7977" t="s">
        <v>32757</v>
      </c>
    </row>
    <row r="7978" spans="1:25" x14ac:dyDescent="0.25">
      <c r="A7978" t="str">
        <f>"75079946189"</f>
        <v>75079946189</v>
      </c>
      <c r="B7978" t="s">
        <v>1152</v>
      </c>
      <c r="C7978" t="s">
        <v>32759</v>
      </c>
      <c r="D7978" t="s">
        <v>32758</v>
      </c>
      <c r="E7978">
        <v>424020</v>
      </c>
      <c r="F7978" t="s">
        <v>1</v>
      </c>
      <c r="G7978" t="s">
        <v>2</v>
      </c>
      <c r="H7978" t="s">
        <v>1837</v>
      </c>
      <c r="Y7978" t="s">
        <v>1842</v>
      </c>
    </row>
    <row r="7979" spans="1:25" x14ac:dyDescent="0.25">
      <c r="A7979" t="str">
        <f>"75087923396"</f>
        <v>75087923396</v>
      </c>
      <c r="B7979" t="s">
        <v>18</v>
      </c>
      <c r="C7979" t="s">
        <v>5160</v>
      </c>
      <c r="D7979" t="s">
        <v>32760</v>
      </c>
      <c r="E7979">
        <v>424006</v>
      </c>
      <c r="F7979" t="s">
        <v>1</v>
      </c>
      <c r="G7979" t="s">
        <v>2</v>
      </c>
      <c r="H7979" t="s">
        <v>30613</v>
      </c>
      <c r="I7979" t="s">
        <v>32761</v>
      </c>
      <c r="J7979" t="s">
        <v>32762</v>
      </c>
      <c r="L7979" t="s">
        <v>32763</v>
      </c>
      <c r="M7979" t="s">
        <v>32764</v>
      </c>
      <c r="P7979" t="s">
        <v>2979</v>
      </c>
      <c r="Y7979" t="s">
        <v>32765</v>
      </c>
    </row>
    <row r="7980" spans="1:25" x14ac:dyDescent="0.25">
      <c r="A7980" t="str">
        <f>"75139666774"</f>
        <v>75139666774</v>
      </c>
      <c r="B7980" t="s">
        <v>151</v>
      </c>
      <c r="C7980" t="s">
        <v>151</v>
      </c>
      <c r="D7980" t="s">
        <v>32766</v>
      </c>
      <c r="E7980">
        <v>424028</v>
      </c>
      <c r="F7980" t="s">
        <v>1</v>
      </c>
      <c r="G7980" t="s">
        <v>2</v>
      </c>
      <c r="H7980" t="s">
        <v>10191</v>
      </c>
      <c r="J7980" t="s">
        <v>32767</v>
      </c>
      <c r="P7980" t="s">
        <v>6400</v>
      </c>
      <c r="Y7980" t="s">
        <v>10194</v>
      </c>
    </row>
    <row r="7981" spans="1:25" x14ac:dyDescent="0.25">
      <c r="A7981" t="str">
        <f>"75146260115"</f>
        <v>75146260115</v>
      </c>
      <c r="B7981" t="s">
        <v>151</v>
      </c>
      <c r="C7981" t="s">
        <v>151</v>
      </c>
      <c r="D7981" t="s">
        <v>32768</v>
      </c>
      <c r="F7981" t="s">
        <v>1</v>
      </c>
      <c r="G7981" t="s">
        <v>2</v>
      </c>
      <c r="H7981" t="s">
        <v>2586</v>
      </c>
      <c r="I7981" t="s">
        <v>32769</v>
      </c>
      <c r="J7981" t="s">
        <v>32770</v>
      </c>
      <c r="L7981" t="s">
        <v>32771</v>
      </c>
      <c r="M7981" t="s">
        <v>32772</v>
      </c>
      <c r="P7981" t="s">
        <v>27</v>
      </c>
      <c r="Y7981" t="s">
        <v>32773</v>
      </c>
    </row>
    <row r="7982" spans="1:25" x14ac:dyDescent="0.25">
      <c r="A7982" t="str">
        <f>"75171725767"</f>
        <v>75171725767</v>
      </c>
      <c r="B7982" t="s">
        <v>738</v>
      </c>
      <c r="C7982" t="s">
        <v>739</v>
      </c>
      <c r="D7982" t="s">
        <v>20503</v>
      </c>
      <c r="E7982">
        <v>424019</v>
      </c>
      <c r="F7982" t="s">
        <v>1</v>
      </c>
      <c r="G7982" t="s">
        <v>2</v>
      </c>
      <c r="H7982" t="s">
        <v>14385</v>
      </c>
      <c r="Y7982" t="s">
        <v>32774</v>
      </c>
    </row>
    <row r="7983" spans="1:25" x14ac:dyDescent="0.25">
      <c r="A7983" t="str">
        <f>"75205328459"</f>
        <v>75205328459</v>
      </c>
      <c r="B7983" t="s">
        <v>430</v>
      </c>
      <c r="C7983" t="s">
        <v>10138</v>
      </c>
      <c r="D7983" t="s">
        <v>32775</v>
      </c>
      <c r="E7983">
        <v>424032</v>
      </c>
      <c r="F7983" t="s">
        <v>1</v>
      </c>
      <c r="G7983" t="s">
        <v>2</v>
      </c>
      <c r="H7983" t="s">
        <v>7583</v>
      </c>
      <c r="I7983" t="s">
        <v>32776</v>
      </c>
      <c r="L7983" t="s">
        <v>32777</v>
      </c>
      <c r="M7983" t="s">
        <v>32778</v>
      </c>
      <c r="P7983" t="s">
        <v>330</v>
      </c>
      <c r="Y7983" t="s">
        <v>32779</v>
      </c>
    </row>
    <row r="7984" spans="1:25" x14ac:dyDescent="0.25">
      <c r="A7984" t="str">
        <f>"75211945321"</f>
        <v>75211945321</v>
      </c>
      <c r="B7984" t="s">
        <v>5840</v>
      </c>
      <c r="C7984" t="s">
        <v>23837</v>
      </c>
      <c r="D7984" t="s">
        <v>32780</v>
      </c>
      <c r="E7984">
        <v>424006</v>
      </c>
      <c r="F7984" t="s">
        <v>1</v>
      </c>
      <c r="G7984" t="s">
        <v>2</v>
      </c>
      <c r="H7984" t="s">
        <v>8622</v>
      </c>
      <c r="I7984" t="s">
        <v>32781</v>
      </c>
      <c r="L7984" t="s">
        <v>32782</v>
      </c>
      <c r="M7984" t="s">
        <v>32783</v>
      </c>
      <c r="P7984" t="s">
        <v>27</v>
      </c>
      <c r="Y7984" t="s">
        <v>8866</v>
      </c>
    </row>
    <row r="7985" spans="1:25" x14ac:dyDescent="0.25">
      <c r="A7985" t="str">
        <f>"75214255175"</f>
        <v>75214255175</v>
      </c>
      <c r="B7985" t="s">
        <v>930</v>
      </c>
      <c r="C7985" t="s">
        <v>1096</v>
      </c>
      <c r="D7985" t="s">
        <v>32784</v>
      </c>
      <c r="E7985">
        <v>424028</v>
      </c>
      <c r="F7985" t="s">
        <v>1</v>
      </c>
      <c r="G7985" t="s">
        <v>2</v>
      </c>
      <c r="H7985" t="s">
        <v>3628</v>
      </c>
      <c r="I7985" t="s">
        <v>32785</v>
      </c>
      <c r="J7985" t="s">
        <v>32786</v>
      </c>
      <c r="P7985" t="s">
        <v>3379</v>
      </c>
      <c r="Y7985" t="s">
        <v>6934</v>
      </c>
    </row>
    <row r="7986" spans="1:25" x14ac:dyDescent="0.25">
      <c r="A7986" t="str">
        <f>"75244158920"</f>
        <v>75244158920</v>
      </c>
      <c r="B7986" t="s">
        <v>1315</v>
      </c>
      <c r="C7986" t="s">
        <v>4274</v>
      </c>
      <c r="D7986" t="s">
        <v>9528</v>
      </c>
      <c r="F7986" t="s">
        <v>1</v>
      </c>
      <c r="G7986" t="s">
        <v>2</v>
      </c>
      <c r="H7986" t="s">
        <v>32787</v>
      </c>
      <c r="M7986" t="s">
        <v>32788</v>
      </c>
      <c r="Y7986" t="s">
        <v>32789</v>
      </c>
    </row>
    <row r="7987" spans="1:25" x14ac:dyDescent="0.25">
      <c r="A7987" t="str">
        <f>"75305761832"</f>
        <v>75305761832</v>
      </c>
      <c r="B7987" t="s">
        <v>1352</v>
      </c>
      <c r="C7987" t="s">
        <v>11624</v>
      </c>
      <c r="D7987" t="s">
        <v>32790</v>
      </c>
      <c r="E7987">
        <v>424000</v>
      </c>
      <c r="F7987" t="s">
        <v>1</v>
      </c>
      <c r="G7987" t="s">
        <v>2</v>
      </c>
      <c r="H7987" t="s">
        <v>92</v>
      </c>
      <c r="Y7987" t="s">
        <v>28397</v>
      </c>
    </row>
    <row r="7988" spans="1:25" x14ac:dyDescent="0.25">
      <c r="A7988" t="str">
        <f>"75310531546"</f>
        <v>75310531546</v>
      </c>
      <c r="B7988" t="s">
        <v>96</v>
      </c>
      <c r="C7988" t="s">
        <v>7071</v>
      </c>
      <c r="D7988" t="s">
        <v>16476</v>
      </c>
      <c r="E7988">
        <v>424039</v>
      </c>
      <c r="F7988" t="s">
        <v>1</v>
      </c>
      <c r="G7988" t="s">
        <v>2</v>
      </c>
      <c r="H7988" t="s">
        <v>5827</v>
      </c>
      <c r="Y7988" t="s">
        <v>23921</v>
      </c>
    </row>
    <row r="7989" spans="1:25" x14ac:dyDescent="0.25">
      <c r="A7989" t="str">
        <f>"75311268657"</f>
        <v>75311268657</v>
      </c>
      <c r="B7989" t="s">
        <v>96</v>
      </c>
      <c r="C7989" t="s">
        <v>32792</v>
      </c>
      <c r="D7989" t="s">
        <v>32791</v>
      </c>
      <c r="E7989">
        <v>424008</v>
      </c>
      <c r="F7989" t="s">
        <v>1</v>
      </c>
      <c r="G7989" t="s">
        <v>2</v>
      </c>
      <c r="H7989" t="s">
        <v>23978</v>
      </c>
      <c r="Y7989" t="s">
        <v>32793</v>
      </c>
    </row>
    <row r="7990" spans="1:25" x14ac:dyDescent="0.25">
      <c r="A7990" t="str">
        <f>"75329477486"</f>
        <v>75329477486</v>
      </c>
      <c r="B7990" t="s">
        <v>746</v>
      </c>
      <c r="C7990" t="s">
        <v>22905</v>
      </c>
      <c r="D7990" t="s">
        <v>32794</v>
      </c>
      <c r="E7990">
        <v>424036</v>
      </c>
      <c r="F7990" t="s">
        <v>1</v>
      </c>
      <c r="G7990" t="s">
        <v>2</v>
      </c>
      <c r="H7990" t="s">
        <v>8222</v>
      </c>
      <c r="L7990" t="s">
        <v>32795</v>
      </c>
      <c r="Q7990" t="s">
        <v>32796</v>
      </c>
      <c r="Y7990" t="s">
        <v>12963</v>
      </c>
    </row>
    <row r="7991" spans="1:25" x14ac:dyDescent="0.25">
      <c r="A7991" t="str">
        <f>"75381778979"</f>
        <v>75381778979</v>
      </c>
      <c r="B7991" t="s">
        <v>738</v>
      </c>
      <c r="C7991" t="s">
        <v>739</v>
      </c>
      <c r="D7991" t="s">
        <v>32797</v>
      </c>
      <c r="E7991">
        <v>424028</v>
      </c>
      <c r="F7991" t="s">
        <v>1</v>
      </c>
      <c r="G7991" t="s">
        <v>2</v>
      </c>
      <c r="H7991" t="s">
        <v>3628</v>
      </c>
      <c r="P7991" t="s">
        <v>6764</v>
      </c>
      <c r="Y7991" t="s">
        <v>32798</v>
      </c>
    </row>
    <row r="7992" spans="1:25" x14ac:dyDescent="0.25">
      <c r="A7992" t="str">
        <f>"75390131281"</f>
        <v>75390131281</v>
      </c>
      <c r="B7992" t="s">
        <v>888</v>
      </c>
      <c r="C7992" t="s">
        <v>32801</v>
      </c>
      <c r="D7992" t="s">
        <v>32799</v>
      </c>
      <c r="E7992">
        <v>424033</v>
      </c>
      <c r="F7992" t="s">
        <v>1</v>
      </c>
      <c r="G7992" t="s">
        <v>2</v>
      </c>
      <c r="H7992" t="s">
        <v>4225</v>
      </c>
      <c r="M7992" t="s">
        <v>32800</v>
      </c>
      <c r="Y7992" t="s">
        <v>24650</v>
      </c>
    </row>
    <row r="7993" spans="1:25" x14ac:dyDescent="0.25">
      <c r="A7993" t="str">
        <f>"75397057480"</f>
        <v>75397057480</v>
      </c>
      <c r="B7993" t="s">
        <v>738</v>
      </c>
      <c r="C7993" t="s">
        <v>32804</v>
      </c>
      <c r="D7993" t="s">
        <v>32802</v>
      </c>
      <c r="E7993">
        <v>424005</v>
      </c>
      <c r="F7993" t="s">
        <v>1</v>
      </c>
      <c r="G7993" t="s">
        <v>2</v>
      </c>
      <c r="H7993" t="s">
        <v>20684</v>
      </c>
      <c r="J7993" t="s">
        <v>32803</v>
      </c>
      <c r="P7993" t="s">
        <v>4006</v>
      </c>
      <c r="Q7993" t="s">
        <v>32805</v>
      </c>
      <c r="V7993" t="s">
        <v>32806</v>
      </c>
      <c r="Y7993" t="s">
        <v>32807</v>
      </c>
    </row>
    <row r="7994" spans="1:25" x14ac:dyDescent="0.25">
      <c r="A7994" t="str">
        <f>"75401993615"</f>
        <v>75401993615</v>
      </c>
      <c r="B7994" t="s">
        <v>379</v>
      </c>
      <c r="C7994" t="s">
        <v>766</v>
      </c>
      <c r="D7994" t="s">
        <v>32808</v>
      </c>
      <c r="E7994">
        <v>424000</v>
      </c>
      <c r="F7994" t="s">
        <v>1</v>
      </c>
      <c r="G7994" t="s">
        <v>2</v>
      </c>
      <c r="H7994" t="s">
        <v>2671</v>
      </c>
      <c r="I7994" t="s">
        <v>13339</v>
      </c>
      <c r="J7994" t="s">
        <v>13340</v>
      </c>
      <c r="P7994" t="s">
        <v>941</v>
      </c>
      <c r="Y7994" t="s">
        <v>2674</v>
      </c>
    </row>
    <row r="7995" spans="1:25" x14ac:dyDescent="0.25">
      <c r="A7995" t="str">
        <f>"75470073226"</f>
        <v>75470073226</v>
      </c>
      <c r="B7995" t="s">
        <v>25</v>
      </c>
      <c r="C7995" t="s">
        <v>59</v>
      </c>
      <c r="D7995" t="s">
        <v>32809</v>
      </c>
      <c r="F7995" t="s">
        <v>1</v>
      </c>
      <c r="G7995" t="s">
        <v>2</v>
      </c>
      <c r="H7995" t="s">
        <v>26431</v>
      </c>
      <c r="M7995" t="s">
        <v>32810</v>
      </c>
      <c r="Y7995" t="s">
        <v>26439</v>
      </c>
    </row>
    <row r="7996" spans="1:25" x14ac:dyDescent="0.25">
      <c r="A7996" t="str">
        <f>"75476778682"</f>
        <v>75476778682</v>
      </c>
      <c r="B7996" t="s">
        <v>930</v>
      </c>
      <c r="C7996" t="s">
        <v>32813</v>
      </c>
      <c r="D7996" t="s">
        <v>32811</v>
      </c>
      <c r="E7996">
        <v>424031</v>
      </c>
      <c r="F7996" t="s">
        <v>1</v>
      </c>
      <c r="G7996" t="s">
        <v>2</v>
      </c>
      <c r="H7996" t="s">
        <v>32812</v>
      </c>
      <c r="Y7996" t="s">
        <v>4086</v>
      </c>
    </row>
    <row r="7997" spans="1:25" x14ac:dyDescent="0.25">
      <c r="A7997" t="str">
        <f>"75487810988"</f>
        <v>75487810988</v>
      </c>
      <c r="B7997" t="s">
        <v>1046</v>
      </c>
      <c r="C7997" t="s">
        <v>2695</v>
      </c>
      <c r="D7997" t="s">
        <v>32814</v>
      </c>
      <c r="E7997">
        <v>424006</v>
      </c>
      <c r="F7997" t="s">
        <v>1</v>
      </c>
      <c r="G7997" t="s">
        <v>2</v>
      </c>
      <c r="H7997" t="s">
        <v>32815</v>
      </c>
      <c r="Y7997" t="s">
        <v>32816</v>
      </c>
    </row>
    <row r="7998" spans="1:25" x14ac:dyDescent="0.25">
      <c r="A7998" t="str">
        <f>"75497766630"</f>
        <v>75497766630</v>
      </c>
      <c r="B7998" t="s">
        <v>32</v>
      </c>
      <c r="C7998" t="s">
        <v>20811</v>
      </c>
      <c r="D7998" t="s">
        <v>32817</v>
      </c>
      <c r="E7998">
        <v>424003</v>
      </c>
      <c r="F7998" t="s">
        <v>1</v>
      </c>
      <c r="G7998" t="s">
        <v>2</v>
      </c>
      <c r="H7998" t="s">
        <v>14928</v>
      </c>
      <c r="I7998" t="s">
        <v>32818</v>
      </c>
      <c r="P7998" t="s">
        <v>340</v>
      </c>
      <c r="Y7998" t="s">
        <v>32819</v>
      </c>
    </row>
    <row r="7999" spans="1:25" x14ac:dyDescent="0.25">
      <c r="A7999" t="str">
        <f>"75511880107"</f>
        <v>75511880107</v>
      </c>
      <c r="B7999" t="s">
        <v>88</v>
      </c>
      <c r="C7999" t="s">
        <v>32824</v>
      </c>
      <c r="D7999" t="s">
        <v>32820</v>
      </c>
      <c r="E7999">
        <v>424006</v>
      </c>
      <c r="F7999" t="s">
        <v>1</v>
      </c>
      <c r="G7999" t="s">
        <v>2</v>
      </c>
      <c r="H7999" t="s">
        <v>5906</v>
      </c>
      <c r="J7999" t="s">
        <v>32821</v>
      </c>
      <c r="L7999" t="s">
        <v>32822</v>
      </c>
      <c r="M7999" t="s">
        <v>32823</v>
      </c>
      <c r="P7999" t="s">
        <v>32825</v>
      </c>
      <c r="Y7999" t="s">
        <v>32826</v>
      </c>
    </row>
    <row r="8000" spans="1:25" x14ac:dyDescent="0.25">
      <c r="A8000" t="str">
        <f>"75541907777"</f>
        <v>75541907777</v>
      </c>
      <c r="B8000" t="s">
        <v>224</v>
      </c>
      <c r="C8000" t="s">
        <v>4931</v>
      </c>
      <c r="D8000" t="s">
        <v>32827</v>
      </c>
      <c r="F8000" t="s">
        <v>1</v>
      </c>
      <c r="G8000" t="s">
        <v>2</v>
      </c>
      <c r="H8000" t="s">
        <v>3984</v>
      </c>
      <c r="I8000" t="s">
        <v>32828</v>
      </c>
      <c r="P8000" t="s">
        <v>280</v>
      </c>
      <c r="Y8000" t="s">
        <v>4409</v>
      </c>
    </row>
    <row r="8001" spans="1:25" x14ac:dyDescent="0.25">
      <c r="A8001" t="str">
        <f>"75610414949"</f>
        <v>75610414949</v>
      </c>
      <c r="B8001" t="s">
        <v>18</v>
      </c>
      <c r="C8001" t="s">
        <v>32833</v>
      </c>
      <c r="D8001" t="s">
        <v>32829</v>
      </c>
      <c r="F8001" t="s">
        <v>1</v>
      </c>
      <c r="G8001" t="s">
        <v>2</v>
      </c>
      <c r="H8001" t="s">
        <v>3430</v>
      </c>
      <c r="J8001" t="s">
        <v>32830</v>
      </c>
      <c r="L8001" t="s">
        <v>32831</v>
      </c>
      <c r="M8001" t="s">
        <v>32832</v>
      </c>
      <c r="P8001" t="s">
        <v>32834</v>
      </c>
      <c r="V8001" t="s">
        <v>32835</v>
      </c>
      <c r="Y8001" t="s">
        <v>3434</v>
      </c>
    </row>
    <row r="8002" spans="1:25" x14ac:dyDescent="0.25">
      <c r="A8002" t="str">
        <f>"75624088715"</f>
        <v>75624088715</v>
      </c>
      <c r="B8002" t="s">
        <v>1053</v>
      </c>
      <c r="C8002" t="s">
        <v>1927</v>
      </c>
      <c r="D8002" t="s">
        <v>32836</v>
      </c>
      <c r="E8002">
        <v>424033</v>
      </c>
      <c r="F8002" t="s">
        <v>1</v>
      </c>
      <c r="G8002" t="s">
        <v>2</v>
      </c>
      <c r="H8002" t="s">
        <v>1383</v>
      </c>
      <c r="J8002" t="s">
        <v>32837</v>
      </c>
      <c r="P8002" t="s">
        <v>330</v>
      </c>
      <c r="Y8002" t="s">
        <v>1387</v>
      </c>
    </row>
    <row r="8003" spans="1:25" x14ac:dyDescent="0.25">
      <c r="A8003" t="str">
        <f>"75646004330"</f>
        <v>75646004330</v>
      </c>
      <c r="B8003" t="s">
        <v>290</v>
      </c>
      <c r="C8003" t="s">
        <v>290</v>
      </c>
      <c r="D8003" t="s">
        <v>290</v>
      </c>
      <c r="F8003" t="s">
        <v>1</v>
      </c>
      <c r="G8003" t="s">
        <v>2</v>
      </c>
      <c r="H8003" t="s">
        <v>32838</v>
      </c>
      <c r="Y8003" t="s">
        <v>32839</v>
      </c>
    </row>
    <row r="8004" spans="1:25" x14ac:dyDescent="0.25">
      <c r="A8004" t="str">
        <f>"75650395881"</f>
        <v>75650395881</v>
      </c>
      <c r="B8004" t="s">
        <v>6478</v>
      </c>
      <c r="C8004" t="s">
        <v>27250</v>
      </c>
      <c r="D8004" t="s">
        <v>31358</v>
      </c>
      <c r="E8004">
        <v>424000</v>
      </c>
      <c r="F8004" t="s">
        <v>1</v>
      </c>
      <c r="G8004" t="s">
        <v>2</v>
      </c>
      <c r="H8004" t="s">
        <v>4492</v>
      </c>
      <c r="J8004" t="s">
        <v>31359</v>
      </c>
      <c r="M8004" t="s">
        <v>31360</v>
      </c>
      <c r="P8004" t="s">
        <v>32840</v>
      </c>
      <c r="Q8004" t="s">
        <v>31362</v>
      </c>
      <c r="Y8004" t="s">
        <v>32841</v>
      </c>
    </row>
    <row r="8005" spans="1:25" x14ac:dyDescent="0.25">
      <c r="A8005" t="str">
        <f>"75659971898"</f>
        <v>75659971898</v>
      </c>
      <c r="B8005" t="s">
        <v>1053</v>
      </c>
      <c r="C8005" t="s">
        <v>1927</v>
      </c>
      <c r="D8005" t="s">
        <v>32842</v>
      </c>
      <c r="E8005">
        <v>424000</v>
      </c>
      <c r="F8005" t="s">
        <v>1</v>
      </c>
      <c r="G8005" t="s">
        <v>2</v>
      </c>
      <c r="H8005" t="s">
        <v>1531</v>
      </c>
      <c r="J8005" t="s">
        <v>32843</v>
      </c>
      <c r="P8005" t="s">
        <v>280</v>
      </c>
      <c r="Y8005" t="s">
        <v>1707</v>
      </c>
    </row>
    <row r="8006" spans="1:25" x14ac:dyDescent="0.25">
      <c r="A8006" t="str">
        <f>"75677419810"</f>
        <v>75677419810</v>
      </c>
      <c r="B8006" t="s">
        <v>319</v>
      </c>
      <c r="C8006" t="s">
        <v>32847</v>
      </c>
      <c r="D8006" t="s">
        <v>32844</v>
      </c>
      <c r="E8006">
        <v>424006</v>
      </c>
      <c r="F8006" t="s">
        <v>1</v>
      </c>
      <c r="G8006" t="s">
        <v>2</v>
      </c>
      <c r="H8006" t="s">
        <v>751</v>
      </c>
      <c r="L8006" t="s">
        <v>32845</v>
      </c>
      <c r="M8006" t="s">
        <v>32846</v>
      </c>
      <c r="Y8006" t="s">
        <v>755</v>
      </c>
    </row>
    <row r="8007" spans="1:25" x14ac:dyDescent="0.25">
      <c r="A8007" t="str">
        <f>"75748613856"</f>
        <v>75748613856</v>
      </c>
      <c r="B8007" t="s">
        <v>25</v>
      </c>
      <c r="C8007" t="s">
        <v>9873</v>
      </c>
      <c r="D8007" t="s">
        <v>32848</v>
      </c>
      <c r="E8007">
        <v>424007</v>
      </c>
      <c r="F8007" t="s">
        <v>1</v>
      </c>
      <c r="G8007" t="s">
        <v>2</v>
      </c>
      <c r="H8007" t="s">
        <v>4869</v>
      </c>
      <c r="J8007" t="s">
        <v>32849</v>
      </c>
      <c r="L8007" t="s">
        <v>17793</v>
      </c>
      <c r="M8007" t="s">
        <v>32850</v>
      </c>
      <c r="P8007" t="s">
        <v>280</v>
      </c>
      <c r="Y8007" t="s">
        <v>5759</v>
      </c>
    </row>
    <row r="8008" spans="1:25" x14ac:dyDescent="0.25">
      <c r="A8008" t="str">
        <f>"75769003949"</f>
        <v>75769003949</v>
      </c>
      <c r="B8008" t="s">
        <v>25</v>
      </c>
      <c r="C8008" t="s">
        <v>20320</v>
      </c>
      <c r="D8008" t="s">
        <v>32851</v>
      </c>
      <c r="E8008">
        <v>424005</v>
      </c>
      <c r="F8008" t="s">
        <v>1</v>
      </c>
      <c r="G8008" t="s">
        <v>2</v>
      </c>
      <c r="H8008" t="s">
        <v>32852</v>
      </c>
      <c r="Y8008" t="s">
        <v>32853</v>
      </c>
    </row>
    <row r="8009" spans="1:25" x14ac:dyDescent="0.25">
      <c r="A8009" t="str">
        <f>"75773844894"</f>
        <v>75773844894</v>
      </c>
      <c r="B8009" t="s">
        <v>7312</v>
      </c>
      <c r="C8009" t="s">
        <v>19097</v>
      </c>
      <c r="D8009" t="s">
        <v>19130</v>
      </c>
      <c r="E8009">
        <v>424038</v>
      </c>
      <c r="F8009" t="s">
        <v>1</v>
      </c>
      <c r="G8009" t="s">
        <v>2</v>
      </c>
      <c r="H8009" t="s">
        <v>21507</v>
      </c>
      <c r="Y8009" t="s">
        <v>32854</v>
      </c>
    </row>
    <row r="8010" spans="1:25" x14ac:dyDescent="0.25">
      <c r="A8010" t="str">
        <f>"75780526462"</f>
        <v>75780526462</v>
      </c>
      <c r="B8010" t="s">
        <v>117</v>
      </c>
      <c r="C8010" t="s">
        <v>873</v>
      </c>
      <c r="D8010" t="s">
        <v>873</v>
      </c>
      <c r="E8010">
        <v>424032</v>
      </c>
      <c r="F8010" t="s">
        <v>1</v>
      </c>
      <c r="G8010" t="s">
        <v>2</v>
      </c>
      <c r="H8010" t="s">
        <v>32855</v>
      </c>
      <c r="Y8010" t="s">
        <v>32856</v>
      </c>
    </row>
    <row r="8011" spans="1:25" x14ac:dyDescent="0.25">
      <c r="A8011" t="str">
        <f>"75799107029"</f>
        <v>75799107029</v>
      </c>
      <c r="B8011" t="s">
        <v>117</v>
      </c>
      <c r="C8011" t="s">
        <v>873</v>
      </c>
      <c r="D8011" t="s">
        <v>873</v>
      </c>
      <c r="F8011" t="s">
        <v>1</v>
      </c>
      <c r="G8011" t="s">
        <v>2</v>
      </c>
      <c r="H8011" t="s">
        <v>32857</v>
      </c>
      <c r="Y8011" t="s">
        <v>32858</v>
      </c>
    </row>
    <row r="8012" spans="1:25" x14ac:dyDescent="0.25">
      <c r="A8012" t="str">
        <f>"75808821223"</f>
        <v>75808821223</v>
      </c>
      <c r="B8012" t="s">
        <v>530</v>
      </c>
      <c r="C8012" t="s">
        <v>23950</v>
      </c>
      <c r="D8012" t="s">
        <v>23950</v>
      </c>
      <c r="F8012" t="s">
        <v>1</v>
      </c>
      <c r="G8012" t="s">
        <v>2</v>
      </c>
      <c r="H8012" t="s">
        <v>29203</v>
      </c>
      <c r="Y8012" t="s">
        <v>32859</v>
      </c>
    </row>
    <row r="8013" spans="1:25" x14ac:dyDescent="0.25">
      <c r="A8013" t="str">
        <f>"75814969512"</f>
        <v>75814969512</v>
      </c>
      <c r="B8013" t="s">
        <v>18</v>
      </c>
      <c r="C8013" t="s">
        <v>16412</v>
      </c>
      <c r="D8013" t="s">
        <v>32860</v>
      </c>
      <c r="E8013">
        <v>424019</v>
      </c>
      <c r="F8013" t="s">
        <v>1</v>
      </c>
      <c r="G8013" t="s">
        <v>2</v>
      </c>
      <c r="H8013" t="s">
        <v>1467</v>
      </c>
      <c r="J8013" t="s">
        <v>32861</v>
      </c>
      <c r="P8013" t="s">
        <v>27709</v>
      </c>
      <c r="Y8013" t="s">
        <v>1630</v>
      </c>
    </row>
    <row r="8014" spans="1:25" x14ac:dyDescent="0.25">
      <c r="A8014" t="str">
        <f>"75829338188"</f>
        <v>75829338188</v>
      </c>
      <c r="B8014" t="s">
        <v>930</v>
      </c>
      <c r="C8014" t="s">
        <v>1096</v>
      </c>
      <c r="D8014" t="s">
        <v>32862</v>
      </c>
      <c r="E8014">
        <v>424020</v>
      </c>
      <c r="F8014" t="s">
        <v>1</v>
      </c>
      <c r="G8014" t="s">
        <v>2</v>
      </c>
      <c r="H8014" t="s">
        <v>9669</v>
      </c>
      <c r="Y8014" t="s">
        <v>32863</v>
      </c>
    </row>
    <row r="8015" spans="1:25" x14ac:dyDescent="0.25">
      <c r="A8015" t="str">
        <f>"75836097781"</f>
        <v>75836097781</v>
      </c>
      <c r="B8015" t="s">
        <v>32</v>
      </c>
      <c r="C8015" t="s">
        <v>33</v>
      </c>
      <c r="D8015" t="s">
        <v>32864</v>
      </c>
      <c r="E8015">
        <v>424007</v>
      </c>
      <c r="F8015" t="s">
        <v>1</v>
      </c>
      <c r="G8015" t="s">
        <v>2</v>
      </c>
      <c r="H8015" t="s">
        <v>499</v>
      </c>
      <c r="I8015" t="s">
        <v>32865</v>
      </c>
      <c r="P8015" t="s">
        <v>32866</v>
      </c>
      <c r="Q8015" t="s">
        <v>32867</v>
      </c>
      <c r="Y8015" t="s">
        <v>32868</v>
      </c>
    </row>
    <row r="8016" spans="1:25" x14ac:dyDescent="0.25">
      <c r="A8016" t="str">
        <f>"75851029182"</f>
        <v>75851029182</v>
      </c>
      <c r="B8016" t="s">
        <v>1343</v>
      </c>
      <c r="C8016" t="s">
        <v>13544</v>
      </c>
      <c r="D8016" t="s">
        <v>32869</v>
      </c>
      <c r="E8016">
        <v>424038</v>
      </c>
      <c r="F8016" t="s">
        <v>1</v>
      </c>
      <c r="G8016" t="s">
        <v>2</v>
      </c>
      <c r="H8016" t="s">
        <v>4399</v>
      </c>
      <c r="J8016" t="s">
        <v>32870</v>
      </c>
      <c r="L8016" t="s">
        <v>32871</v>
      </c>
      <c r="P8016" t="s">
        <v>2050</v>
      </c>
      <c r="Y8016" t="s">
        <v>32872</v>
      </c>
    </row>
    <row r="8017" spans="1:25" x14ac:dyDescent="0.25">
      <c r="A8017" t="str">
        <f>"75858989664"</f>
        <v>75858989664</v>
      </c>
      <c r="B8017" t="s">
        <v>530</v>
      </c>
      <c r="C8017" t="s">
        <v>23950</v>
      </c>
      <c r="D8017" t="s">
        <v>23950</v>
      </c>
      <c r="F8017" t="s">
        <v>1</v>
      </c>
      <c r="G8017" t="s">
        <v>2</v>
      </c>
      <c r="H8017" t="s">
        <v>25667</v>
      </c>
      <c r="Y8017" t="s">
        <v>32873</v>
      </c>
    </row>
    <row r="8018" spans="1:25" x14ac:dyDescent="0.25">
      <c r="A8018" t="str">
        <f>"75891634927"</f>
        <v>75891634927</v>
      </c>
      <c r="B8018" t="s">
        <v>640</v>
      </c>
      <c r="C8018" t="s">
        <v>29164</v>
      </c>
      <c r="D8018" t="s">
        <v>32874</v>
      </c>
      <c r="F8018" t="s">
        <v>1</v>
      </c>
      <c r="G8018" t="s">
        <v>2</v>
      </c>
      <c r="H8018" t="s">
        <v>21240</v>
      </c>
      <c r="J8018" t="s">
        <v>32875</v>
      </c>
      <c r="Q8018" t="s">
        <v>32876</v>
      </c>
      <c r="Y8018" t="s">
        <v>32877</v>
      </c>
    </row>
    <row r="8019" spans="1:25" x14ac:dyDescent="0.25">
      <c r="A8019" t="str">
        <f>"75938868116"</f>
        <v>75938868116</v>
      </c>
      <c r="B8019" t="s">
        <v>32</v>
      </c>
      <c r="C8019" t="s">
        <v>13642</v>
      </c>
      <c r="D8019" t="s">
        <v>32878</v>
      </c>
      <c r="F8019" t="s">
        <v>1</v>
      </c>
      <c r="G8019" t="s">
        <v>2</v>
      </c>
      <c r="H8019" t="s">
        <v>2018</v>
      </c>
      <c r="J8019" t="s">
        <v>32879</v>
      </c>
      <c r="L8019" t="s">
        <v>32880</v>
      </c>
      <c r="M8019" t="s">
        <v>32881</v>
      </c>
      <c r="P8019" t="s">
        <v>2738</v>
      </c>
      <c r="Q8019" t="s">
        <v>32882</v>
      </c>
      <c r="V8019" t="s">
        <v>32883</v>
      </c>
      <c r="Y8019" t="s">
        <v>2131</v>
      </c>
    </row>
    <row r="8020" spans="1:25" x14ac:dyDescent="0.25">
      <c r="A8020" t="str">
        <f>"75948765444"</f>
        <v>75948765444</v>
      </c>
      <c r="B8020" t="s">
        <v>456</v>
      </c>
      <c r="C8020" t="s">
        <v>32888</v>
      </c>
      <c r="D8020" t="s">
        <v>32884</v>
      </c>
      <c r="E8020">
        <v>424038</v>
      </c>
      <c r="F8020" t="s">
        <v>1</v>
      </c>
      <c r="G8020" t="s">
        <v>2</v>
      </c>
      <c r="H8020" t="s">
        <v>465</v>
      </c>
      <c r="I8020" t="s">
        <v>32885</v>
      </c>
      <c r="L8020" t="s">
        <v>32886</v>
      </c>
      <c r="M8020" t="s">
        <v>32887</v>
      </c>
      <c r="P8020" t="s">
        <v>32889</v>
      </c>
      <c r="Q8020" t="s">
        <v>32890</v>
      </c>
      <c r="S8020" t="s">
        <v>32891</v>
      </c>
      <c r="T8020" t="s">
        <v>32892</v>
      </c>
      <c r="U8020" t="s">
        <v>32893</v>
      </c>
      <c r="V8020" t="s">
        <v>32894</v>
      </c>
      <c r="Y8020" t="s">
        <v>476</v>
      </c>
    </row>
    <row r="8021" spans="1:25" x14ac:dyDescent="0.25">
      <c r="A8021" t="str">
        <f>"75967966347"</f>
        <v>75967966347</v>
      </c>
      <c r="B8021" t="s">
        <v>530</v>
      </c>
      <c r="C8021" t="s">
        <v>23950</v>
      </c>
      <c r="D8021" t="s">
        <v>23950</v>
      </c>
      <c r="E8021">
        <v>424019</v>
      </c>
      <c r="F8021" t="s">
        <v>1</v>
      </c>
      <c r="G8021" t="s">
        <v>2</v>
      </c>
      <c r="H8021" t="s">
        <v>32895</v>
      </c>
      <c r="Y8021" t="s">
        <v>32896</v>
      </c>
    </row>
    <row r="8022" spans="1:25" x14ac:dyDescent="0.25">
      <c r="A8022" t="str">
        <f>"76013569688"</f>
        <v>76013569688</v>
      </c>
      <c r="B8022" t="s">
        <v>888</v>
      </c>
      <c r="C8022" t="s">
        <v>4712</v>
      </c>
      <c r="D8022" t="s">
        <v>25706</v>
      </c>
      <c r="E8022">
        <v>424038</v>
      </c>
      <c r="F8022" t="s">
        <v>1</v>
      </c>
      <c r="G8022" t="s">
        <v>2</v>
      </c>
      <c r="H8022" t="s">
        <v>2145</v>
      </c>
      <c r="J8022" t="s">
        <v>25708</v>
      </c>
      <c r="P8022" t="s">
        <v>32897</v>
      </c>
      <c r="Q8022" t="s">
        <v>32898</v>
      </c>
      <c r="Y8022" t="s">
        <v>32899</v>
      </c>
    </row>
    <row r="8023" spans="1:25" x14ac:dyDescent="0.25">
      <c r="A8023" t="str">
        <f>"76035575542"</f>
        <v>76035575542</v>
      </c>
      <c r="B8023" t="s">
        <v>110</v>
      </c>
      <c r="C8023" t="s">
        <v>32904</v>
      </c>
      <c r="D8023" t="s">
        <v>32900</v>
      </c>
      <c r="E8023">
        <v>424006</v>
      </c>
      <c r="F8023" t="s">
        <v>1</v>
      </c>
      <c r="G8023" t="s">
        <v>2</v>
      </c>
      <c r="H8023" t="s">
        <v>2185</v>
      </c>
      <c r="J8023" t="s">
        <v>32901</v>
      </c>
      <c r="L8023" t="s">
        <v>32902</v>
      </c>
      <c r="M8023" t="s">
        <v>32903</v>
      </c>
      <c r="P8023" t="s">
        <v>152</v>
      </c>
      <c r="Y8023" t="s">
        <v>2191</v>
      </c>
    </row>
    <row r="8024" spans="1:25" x14ac:dyDescent="0.25">
      <c r="A8024" t="str">
        <f>"76060904803"</f>
        <v>76060904803</v>
      </c>
      <c r="B8024" t="s">
        <v>379</v>
      </c>
      <c r="C8024" t="s">
        <v>766</v>
      </c>
      <c r="D8024" t="s">
        <v>32905</v>
      </c>
      <c r="E8024">
        <v>424038</v>
      </c>
      <c r="F8024" t="s">
        <v>1</v>
      </c>
      <c r="G8024" t="s">
        <v>2</v>
      </c>
      <c r="H8024" t="s">
        <v>2103</v>
      </c>
      <c r="P8024" t="s">
        <v>1027</v>
      </c>
      <c r="Y8024" t="s">
        <v>32906</v>
      </c>
    </row>
    <row r="8025" spans="1:25" x14ac:dyDescent="0.25">
      <c r="A8025" t="str">
        <f>"76071376784"</f>
        <v>76071376784</v>
      </c>
      <c r="B8025" t="s">
        <v>1729</v>
      </c>
      <c r="C8025" t="s">
        <v>1730</v>
      </c>
      <c r="D8025" t="s">
        <v>32907</v>
      </c>
      <c r="E8025">
        <v>424032</v>
      </c>
      <c r="F8025" t="s">
        <v>1</v>
      </c>
      <c r="G8025" t="s">
        <v>2</v>
      </c>
      <c r="H8025" t="s">
        <v>13526</v>
      </c>
      <c r="P8025" t="s">
        <v>2839</v>
      </c>
      <c r="Y8025" t="s">
        <v>32908</v>
      </c>
    </row>
    <row r="8026" spans="1:25" x14ac:dyDescent="0.25">
      <c r="A8026" t="str">
        <f>"76078506002"</f>
        <v>76078506002</v>
      </c>
      <c r="B8026" t="s">
        <v>2601</v>
      </c>
      <c r="C8026" t="s">
        <v>26383</v>
      </c>
      <c r="D8026" t="s">
        <v>32909</v>
      </c>
      <c r="E8026">
        <v>424000</v>
      </c>
      <c r="F8026" t="s">
        <v>1</v>
      </c>
      <c r="G8026" t="s">
        <v>2</v>
      </c>
      <c r="H8026" t="s">
        <v>92</v>
      </c>
      <c r="J8026" t="s">
        <v>32910</v>
      </c>
      <c r="P8026" t="s">
        <v>98</v>
      </c>
      <c r="Y8026" t="s">
        <v>32911</v>
      </c>
    </row>
    <row r="8027" spans="1:25" x14ac:dyDescent="0.25">
      <c r="A8027" t="str">
        <f>"76107087825"</f>
        <v>76107087825</v>
      </c>
      <c r="B8027" t="s">
        <v>1475</v>
      </c>
      <c r="C8027" t="s">
        <v>21791</v>
      </c>
      <c r="D8027" t="s">
        <v>32912</v>
      </c>
      <c r="E8027">
        <v>424038</v>
      </c>
      <c r="F8027" t="s">
        <v>1</v>
      </c>
      <c r="G8027" t="s">
        <v>2</v>
      </c>
      <c r="H8027" t="s">
        <v>2614</v>
      </c>
      <c r="P8027" t="s">
        <v>2050</v>
      </c>
      <c r="Y8027" t="s">
        <v>32913</v>
      </c>
    </row>
    <row r="8028" spans="1:25" x14ac:dyDescent="0.25">
      <c r="A8028" t="str">
        <f>"76193538538"</f>
        <v>76193538538</v>
      </c>
      <c r="B8028" t="s">
        <v>348</v>
      </c>
      <c r="C8028" t="s">
        <v>21764</v>
      </c>
      <c r="D8028" t="s">
        <v>32914</v>
      </c>
      <c r="F8028" t="s">
        <v>1</v>
      </c>
      <c r="G8028" t="s">
        <v>2</v>
      </c>
      <c r="H8028" t="s">
        <v>138</v>
      </c>
      <c r="J8028" t="s">
        <v>32915</v>
      </c>
      <c r="P8028" t="s">
        <v>144</v>
      </c>
      <c r="Y8028" t="s">
        <v>146</v>
      </c>
    </row>
    <row r="8029" spans="1:25" x14ac:dyDescent="0.25">
      <c r="A8029" t="str">
        <f>"76220642259"</f>
        <v>76220642259</v>
      </c>
      <c r="B8029" t="s">
        <v>574</v>
      </c>
      <c r="C8029" t="s">
        <v>952</v>
      </c>
      <c r="D8029" t="s">
        <v>12994</v>
      </c>
      <c r="F8029" t="s">
        <v>1</v>
      </c>
      <c r="G8029" t="s">
        <v>2</v>
      </c>
      <c r="H8029" t="s">
        <v>24011</v>
      </c>
      <c r="Y8029" t="s">
        <v>32916</v>
      </c>
    </row>
    <row r="8030" spans="1:25" x14ac:dyDescent="0.25">
      <c r="A8030" t="str">
        <f>"76227794605"</f>
        <v>76227794605</v>
      </c>
      <c r="B8030" t="s">
        <v>397</v>
      </c>
      <c r="C8030" t="s">
        <v>26803</v>
      </c>
      <c r="D8030" t="s">
        <v>26799</v>
      </c>
      <c r="E8030">
        <v>424003</v>
      </c>
      <c r="F8030" t="s">
        <v>1</v>
      </c>
      <c r="G8030" t="s">
        <v>2</v>
      </c>
      <c r="H8030" t="s">
        <v>32917</v>
      </c>
      <c r="I8030" t="s">
        <v>26800</v>
      </c>
      <c r="J8030" t="s">
        <v>32918</v>
      </c>
      <c r="M8030" t="s">
        <v>26802</v>
      </c>
      <c r="P8030" t="s">
        <v>340</v>
      </c>
      <c r="Q8030" t="s">
        <v>26804</v>
      </c>
      <c r="V8030" t="s">
        <v>26805</v>
      </c>
      <c r="Y8030" t="s">
        <v>32919</v>
      </c>
    </row>
    <row r="8031" spans="1:25" x14ac:dyDescent="0.25">
      <c r="A8031" t="str">
        <f>"76229465201"</f>
        <v>76229465201</v>
      </c>
      <c r="B8031" t="s">
        <v>519</v>
      </c>
      <c r="C8031" t="s">
        <v>32925</v>
      </c>
      <c r="D8031" t="s">
        <v>32920</v>
      </c>
      <c r="E8031">
        <v>424006</v>
      </c>
      <c r="F8031" t="s">
        <v>1</v>
      </c>
      <c r="G8031" t="s">
        <v>2</v>
      </c>
      <c r="H8031" t="s">
        <v>13383</v>
      </c>
      <c r="I8031" t="s">
        <v>32921</v>
      </c>
      <c r="J8031" t="s">
        <v>32922</v>
      </c>
      <c r="L8031" t="s">
        <v>32923</v>
      </c>
      <c r="M8031" t="s">
        <v>32924</v>
      </c>
      <c r="P8031" t="s">
        <v>28436</v>
      </c>
      <c r="Q8031" t="s">
        <v>32926</v>
      </c>
      <c r="T8031" t="s">
        <v>32927</v>
      </c>
      <c r="V8031" t="s">
        <v>32928</v>
      </c>
      <c r="Y8031" t="s">
        <v>32929</v>
      </c>
    </row>
    <row r="8032" spans="1:25" x14ac:dyDescent="0.25">
      <c r="A8032" t="str">
        <f>"76274519330"</f>
        <v>76274519330</v>
      </c>
      <c r="B8032" t="s">
        <v>738</v>
      </c>
      <c r="C8032" t="s">
        <v>739</v>
      </c>
      <c r="D8032" t="s">
        <v>32930</v>
      </c>
      <c r="E8032">
        <v>424008</v>
      </c>
      <c r="F8032" t="s">
        <v>1</v>
      </c>
      <c r="G8032" t="s">
        <v>2</v>
      </c>
      <c r="H8032" t="s">
        <v>6584</v>
      </c>
      <c r="P8032" t="s">
        <v>1441</v>
      </c>
      <c r="Y8032" t="s">
        <v>32931</v>
      </c>
    </row>
    <row r="8033" spans="1:25" x14ac:dyDescent="0.25">
      <c r="A8033" t="str">
        <f>"76279976265"</f>
        <v>76279976265</v>
      </c>
      <c r="B8033" t="s">
        <v>530</v>
      </c>
      <c r="C8033" t="s">
        <v>23950</v>
      </c>
      <c r="D8033" t="s">
        <v>23950</v>
      </c>
      <c r="F8033" t="s">
        <v>1</v>
      </c>
      <c r="G8033" t="s">
        <v>2</v>
      </c>
      <c r="H8033" t="s">
        <v>32932</v>
      </c>
      <c r="Y8033" t="s">
        <v>32933</v>
      </c>
    </row>
    <row r="8034" spans="1:25" x14ac:dyDescent="0.25">
      <c r="A8034" t="str">
        <f>"76298833090"</f>
        <v>76298833090</v>
      </c>
      <c r="B8034" t="s">
        <v>1617</v>
      </c>
      <c r="C8034" t="s">
        <v>21001</v>
      </c>
      <c r="D8034" t="s">
        <v>20999</v>
      </c>
      <c r="E8034">
        <v>424039</v>
      </c>
      <c r="F8034" t="s">
        <v>1</v>
      </c>
      <c r="G8034" t="s">
        <v>2</v>
      </c>
      <c r="H8034" t="s">
        <v>32312</v>
      </c>
      <c r="P8034" t="s">
        <v>21118</v>
      </c>
      <c r="Y8034" t="s">
        <v>32934</v>
      </c>
    </row>
    <row r="8035" spans="1:25" x14ac:dyDescent="0.25">
      <c r="A8035" t="str">
        <f>"76316175685"</f>
        <v>76316175685</v>
      </c>
      <c r="B8035" t="s">
        <v>96</v>
      </c>
      <c r="C8035" t="s">
        <v>14551</v>
      </c>
      <c r="D8035" t="s">
        <v>11020</v>
      </c>
      <c r="E8035">
        <v>424000</v>
      </c>
      <c r="F8035" t="s">
        <v>1</v>
      </c>
      <c r="G8035" t="s">
        <v>2</v>
      </c>
      <c r="H8035" t="s">
        <v>1531</v>
      </c>
      <c r="P8035" t="s">
        <v>10024</v>
      </c>
      <c r="Y8035" t="s">
        <v>32935</v>
      </c>
    </row>
    <row r="8036" spans="1:25" x14ac:dyDescent="0.25">
      <c r="A8036" t="str">
        <f>"76322275256"</f>
        <v>76322275256</v>
      </c>
      <c r="B8036" t="s">
        <v>123</v>
      </c>
      <c r="C8036" t="s">
        <v>18438</v>
      </c>
      <c r="D8036" t="s">
        <v>32936</v>
      </c>
      <c r="E8036">
        <v>424033</v>
      </c>
      <c r="F8036" t="s">
        <v>1</v>
      </c>
      <c r="G8036" t="s">
        <v>2</v>
      </c>
      <c r="H8036" t="s">
        <v>4244</v>
      </c>
      <c r="Y8036" t="s">
        <v>32937</v>
      </c>
    </row>
    <row r="8037" spans="1:25" x14ac:dyDescent="0.25">
      <c r="A8037" t="str">
        <f>"76336294860"</f>
        <v>76336294860</v>
      </c>
      <c r="B8037" t="s">
        <v>2104</v>
      </c>
      <c r="C8037" t="s">
        <v>2105</v>
      </c>
      <c r="D8037" t="s">
        <v>32938</v>
      </c>
      <c r="E8037">
        <v>424033</v>
      </c>
      <c r="F8037" t="s">
        <v>1</v>
      </c>
      <c r="G8037" t="s">
        <v>2</v>
      </c>
      <c r="H8037" t="s">
        <v>4536</v>
      </c>
      <c r="P8037" t="s">
        <v>32939</v>
      </c>
      <c r="Y8037" t="s">
        <v>32940</v>
      </c>
    </row>
    <row r="8038" spans="1:25" x14ac:dyDescent="0.25">
      <c r="A8038" t="str">
        <f>"76343237658"</f>
        <v>76343237658</v>
      </c>
      <c r="B8038" t="s">
        <v>18</v>
      </c>
      <c r="C8038" t="s">
        <v>32942</v>
      </c>
      <c r="D8038" t="s">
        <v>32941</v>
      </c>
      <c r="E8038">
        <v>424016</v>
      </c>
      <c r="F8038" t="s">
        <v>1</v>
      </c>
      <c r="G8038" t="s">
        <v>2</v>
      </c>
      <c r="H8038" t="s">
        <v>3396</v>
      </c>
      <c r="I8038" t="s">
        <v>6507</v>
      </c>
      <c r="P8038" t="s">
        <v>32943</v>
      </c>
      <c r="Y8038" t="s">
        <v>6510</v>
      </c>
    </row>
    <row r="8039" spans="1:25" x14ac:dyDescent="0.25">
      <c r="A8039" t="str">
        <f>"76380863046"</f>
        <v>76380863046</v>
      </c>
      <c r="B8039" t="s">
        <v>176</v>
      </c>
      <c r="C8039" t="s">
        <v>279</v>
      </c>
      <c r="D8039" t="s">
        <v>32944</v>
      </c>
      <c r="E8039">
        <v>424037</v>
      </c>
      <c r="F8039" t="s">
        <v>1</v>
      </c>
      <c r="G8039" t="s">
        <v>2</v>
      </c>
      <c r="H8039" t="s">
        <v>32945</v>
      </c>
      <c r="Y8039" t="s">
        <v>32946</v>
      </c>
    </row>
    <row r="8040" spans="1:25" x14ac:dyDescent="0.25">
      <c r="A8040" t="str">
        <f>"76454259765"</f>
        <v>76454259765</v>
      </c>
      <c r="B8040" t="s">
        <v>591</v>
      </c>
      <c r="C8040" t="s">
        <v>3660</v>
      </c>
      <c r="D8040" t="s">
        <v>32947</v>
      </c>
      <c r="E8040">
        <v>424006</v>
      </c>
      <c r="F8040" t="s">
        <v>1</v>
      </c>
      <c r="G8040" t="s">
        <v>2</v>
      </c>
      <c r="H8040" t="s">
        <v>7984</v>
      </c>
      <c r="J8040" t="s">
        <v>32948</v>
      </c>
      <c r="L8040" t="s">
        <v>32949</v>
      </c>
      <c r="M8040" t="s">
        <v>32950</v>
      </c>
      <c r="P8040" t="s">
        <v>27</v>
      </c>
      <c r="Y8040" t="s">
        <v>32951</v>
      </c>
    </row>
    <row r="8041" spans="1:25" x14ac:dyDescent="0.25">
      <c r="A8041" t="str">
        <f>"76487063845"</f>
        <v>76487063845</v>
      </c>
      <c r="B8041" t="s">
        <v>388</v>
      </c>
      <c r="C8041" t="s">
        <v>7194</v>
      </c>
      <c r="D8041" t="s">
        <v>18876</v>
      </c>
      <c r="E8041">
        <v>424000</v>
      </c>
      <c r="F8041" t="s">
        <v>1</v>
      </c>
      <c r="G8041" t="s">
        <v>2</v>
      </c>
      <c r="H8041" t="s">
        <v>1531</v>
      </c>
      <c r="J8041" t="s">
        <v>32952</v>
      </c>
      <c r="L8041" t="s">
        <v>18868</v>
      </c>
      <c r="M8041" t="s">
        <v>18869</v>
      </c>
      <c r="P8041" t="s">
        <v>27</v>
      </c>
      <c r="Q8041" t="s">
        <v>32953</v>
      </c>
      <c r="R8041" t="s">
        <v>32954</v>
      </c>
      <c r="T8041" t="s">
        <v>32955</v>
      </c>
      <c r="U8041" t="s">
        <v>32956</v>
      </c>
      <c r="V8041" t="s">
        <v>32957</v>
      </c>
      <c r="Y8041" t="s">
        <v>1707</v>
      </c>
    </row>
    <row r="8042" spans="1:25" x14ac:dyDescent="0.25">
      <c r="A8042" t="str">
        <f>"76549455417"</f>
        <v>76549455417</v>
      </c>
      <c r="B8042" t="s">
        <v>574</v>
      </c>
      <c r="C8042" t="s">
        <v>646</v>
      </c>
      <c r="D8042" t="s">
        <v>32958</v>
      </c>
      <c r="E8042">
        <v>424038</v>
      </c>
      <c r="F8042" t="s">
        <v>1</v>
      </c>
      <c r="G8042" t="s">
        <v>2</v>
      </c>
      <c r="H8042" t="s">
        <v>2103</v>
      </c>
      <c r="Y8042" t="s">
        <v>32959</v>
      </c>
    </row>
    <row r="8043" spans="1:25" x14ac:dyDescent="0.25">
      <c r="A8043" t="str">
        <f>"76554781688"</f>
        <v>76554781688</v>
      </c>
      <c r="B8043" t="s">
        <v>151</v>
      </c>
      <c r="C8043" t="s">
        <v>151</v>
      </c>
      <c r="D8043" t="s">
        <v>32960</v>
      </c>
      <c r="E8043">
        <v>424000</v>
      </c>
      <c r="F8043" t="s">
        <v>1</v>
      </c>
      <c r="G8043" t="s">
        <v>2</v>
      </c>
      <c r="H8043" t="s">
        <v>5942</v>
      </c>
      <c r="Y8043" t="s">
        <v>5944</v>
      </c>
    </row>
    <row r="8044" spans="1:25" x14ac:dyDescent="0.25">
      <c r="A8044" t="str">
        <f>"76593221672"</f>
        <v>76593221672</v>
      </c>
      <c r="B8044" t="s">
        <v>25</v>
      </c>
      <c r="C8044" t="s">
        <v>20320</v>
      </c>
      <c r="D8044" t="s">
        <v>32961</v>
      </c>
      <c r="E8044">
        <v>424003</v>
      </c>
      <c r="F8044" t="s">
        <v>1</v>
      </c>
      <c r="G8044" t="s">
        <v>2</v>
      </c>
      <c r="H8044" t="s">
        <v>13303</v>
      </c>
      <c r="Y8044" t="s">
        <v>32962</v>
      </c>
    </row>
    <row r="8045" spans="1:25" x14ac:dyDescent="0.25">
      <c r="A8045" t="str">
        <f>"76625584842"</f>
        <v>76625584842</v>
      </c>
      <c r="B8045" t="s">
        <v>300</v>
      </c>
      <c r="C8045" t="s">
        <v>301</v>
      </c>
      <c r="D8045" t="s">
        <v>28059</v>
      </c>
      <c r="E8045">
        <v>424006</v>
      </c>
      <c r="F8045" t="s">
        <v>1</v>
      </c>
      <c r="G8045" t="s">
        <v>2</v>
      </c>
      <c r="H8045" t="s">
        <v>17999</v>
      </c>
      <c r="Y8045" t="s">
        <v>32963</v>
      </c>
    </row>
    <row r="8046" spans="1:25" x14ac:dyDescent="0.25">
      <c r="A8046" t="str">
        <f>"76711288635"</f>
        <v>76711288635</v>
      </c>
      <c r="B8046" t="s">
        <v>574</v>
      </c>
      <c r="C8046" t="s">
        <v>24087</v>
      </c>
      <c r="D8046" t="s">
        <v>32964</v>
      </c>
      <c r="E8046">
        <v>424007</v>
      </c>
      <c r="F8046" t="s">
        <v>1</v>
      </c>
      <c r="G8046" t="s">
        <v>2</v>
      </c>
      <c r="H8046" t="s">
        <v>23667</v>
      </c>
      <c r="J8046" t="s">
        <v>31102</v>
      </c>
      <c r="P8046" t="s">
        <v>1027</v>
      </c>
      <c r="Y8046" t="s">
        <v>26960</v>
      </c>
    </row>
    <row r="8047" spans="1:25" x14ac:dyDescent="0.25">
      <c r="A8047" t="str">
        <f>"76712210083"</f>
        <v>76712210083</v>
      </c>
      <c r="B8047" t="s">
        <v>2818</v>
      </c>
      <c r="C8047" t="s">
        <v>32965</v>
      </c>
      <c r="D8047" t="s">
        <v>32965</v>
      </c>
      <c r="F8047" t="s">
        <v>1</v>
      </c>
      <c r="G8047" t="s">
        <v>2</v>
      </c>
      <c r="H8047" t="s">
        <v>7547</v>
      </c>
      <c r="Y8047" t="s">
        <v>32966</v>
      </c>
    </row>
    <row r="8048" spans="1:25" x14ac:dyDescent="0.25">
      <c r="A8048" t="str">
        <f>"76713741512"</f>
        <v>76713741512</v>
      </c>
      <c r="B8048" t="s">
        <v>379</v>
      </c>
      <c r="C8048" t="s">
        <v>380</v>
      </c>
      <c r="D8048" t="s">
        <v>8393</v>
      </c>
      <c r="E8048">
        <v>424033</v>
      </c>
      <c r="F8048" t="s">
        <v>1</v>
      </c>
      <c r="G8048" t="s">
        <v>2</v>
      </c>
      <c r="H8048" t="s">
        <v>2597</v>
      </c>
      <c r="I8048" t="s">
        <v>8859</v>
      </c>
      <c r="L8048" t="s">
        <v>8395</v>
      </c>
      <c r="M8048" t="s">
        <v>8396</v>
      </c>
      <c r="Q8048" t="s">
        <v>8412</v>
      </c>
      <c r="R8048" t="s">
        <v>8399</v>
      </c>
      <c r="S8048" t="s">
        <v>8400</v>
      </c>
      <c r="T8048" t="s">
        <v>8401</v>
      </c>
      <c r="Y8048" t="s">
        <v>32967</v>
      </c>
    </row>
    <row r="8049" spans="1:25" x14ac:dyDescent="0.25">
      <c r="A8049" t="str">
        <f>"76774095498"</f>
        <v>76774095498</v>
      </c>
      <c r="B8049" t="s">
        <v>2601</v>
      </c>
      <c r="C8049" t="s">
        <v>24678</v>
      </c>
      <c r="D8049" t="s">
        <v>32968</v>
      </c>
      <c r="E8049">
        <v>424020</v>
      </c>
      <c r="F8049" t="s">
        <v>1</v>
      </c>
      <c r="G8049" t="s">
        <v>2</v>
      </c>
      <c r="H8049" t="s">
        <v>802</v>
      </c>
      <c r="I8049" t="s">
        <v>32969</v>
      </c>
      <c r="P8049" t="s">
        <v>4126</v>
      </c>
      <c r="Y8049" t="s">
        <v>32970</v>
      </c>
    </row>
    <row r="8050" spans="1:25" x14ac:dyDescent="0.25">
      <c r="A8050" t="str">
        <f>"76840571165"</f>
        <v>76840571165</v>
      </c>
      <c r="B8050" t="s">
        <v>1046</v>
      </c>
      <c r="C8050" t="s">
        <v>22946</v>
      </c>
      <c r="D8050" t="s">
        <v>22946</v>
      </c>
      <c r="E8050">
        <v>424016</v>
      </c>
      <c r="F8050" t="s">
        <v>1</v>
      </c>
      <c r="G8050" t="s">
        <v>2</v>
      </c>
      <c r="H8050" t="s">
        <v>32971</v>
      </c>
      <c r="Y8050" t="s">
        <v>32972</v>
      </c>
    </row>
    <row r="8051" spans="1:25" x14ac:dyDescent="0.25">
      <c r="A8051" t="str">
        <f>"76848134435"</f>
        <v>76848134435</v>
      </c>
      <c r="B8051" t="s">
        <v>1611</v>
      </c>
      <c r="C8051" t="s">
        <v>3218</v>
      </c>
      <c r="D8051" t="s">
        <v>32973</v>
      </c>
      <c r="E8051">
        <v>424002</v>
      </c>
      <c r="F8051" t="s">
        <v>1</v>
      </c>
      <c r="G8051" t="s">
        <v>2</v>
      </c>
      <c r="H8051" t="s">
        <v>32974</v>
      </c>
      <c r="Y8051" t="s">
        <v>32975</v>
      </c>
    </row>
    <row r="8052" spans="1:25" x14ac:dyDescent="0.25">
      <c r="A8052" t="str">
        <f>"76859360902"</f>
        <v>76859360902</v>
      </c>
      <c r="B8052" t="s">
        <v>2818</v>
      </c>
      <c r="C8052" t="s">
        <v>32965</v>
      </c>
      <c r="D8052" t="s">
        <v>32976</v>
      </c>
      <c r="F8052" t="s">
        <v>1</v>
      </c>
      <c r="G8052" t="s">
        <v>2</v>
      </c>
      <c r="H8052" t="s">
        <v>7547</v>
      </c>
      <c r="Y8052" t="s">
        <v>32977</v>
      </c>
    </row>
    <row r="8053" spans="1:25" x14ac:dyDescent="0.25">
      <c r="A8053" t="str">
        <f>"76912416758"</f>
        <v>76912416758</v>
      </c>
      <c r="B8053" t="s">
        <v>930</v>
      </c>
      <c r="C8053" t="s">
        <v>927</v>
      </c>
      <c r="D8053" t="s">
        <v>927</v>
      </c>
      <c r="E8053">
        <v>424004</v>
      </c>
      <c r="F8053" t="s">
        <v>1</v>
      </c>
      <c r="G8053" t="s">
        <v>2</v>
      </c>
      <c r="H8053" t="s">
        <v>14351</v>
      </c>
      <c r="Y8053" t="s">
        <v>32978</v>
      </c>
    </row>
    <row r="8054" spans="1:25" x14ac:dyDescent="0.25">
      <c r="A8054" t="str">
        <f>"76943544662"</f>
        <v>76943544662</v>
      </c>
      <c r="B8054" t="s">
        <v>379</v>
      </c>
      <c r="C8054" t="s">
        <v>4852</v>
      </c>
      <c r="D8054" t="s">
        <v>32979</v>
      </c>
      <c r="E8054">
        <v>424028</v>
      </c>
      <c r="F8054" t="s">
        <v>1</v>
      </c>
      <c r="G8054" t="s">
        <v>2</v>
      </c>
      <c r="H8054" t="s">
        <v>1969</v>
      </c>
      <c r="I8054" t="s">
        <v>32980</v>
      </c>
      <c r="Y8054" t="s">
        <v>29585</v>
      </c>
    </row>
    <row r="8055" spans="1:25" x14ac:dyDescent="0.25">
      <c r="A8055" t="str">
        <f>"76955107250"</f>
        <v>76955107250</v>
      </c>
      <c r="B8055" t="s">
        <v>574</v>
      </c>
      <c r="C8055" t="s">
        <v>646</v>
      </c>
      <c r="D8055" t="s">
        <v>30750</v>
      </c>
      <c r="E8055">
        <v>424032</v>
      </c>
      <c r="F8055" t="s">
        <v>1</v>
      </c>
      <c r="G8055" t="s">
        <v>2</v>
      </c>
      <c r="H8055" t="s">
        <v>2250</v>
      </c>
      <c r="P8055" t="s">
        <v>216</v>
      </c>
      <c r="Y8055" t="s">
        <v>2251</v>
      </c>
    </row>
    <row r="8056" spans="1:25" x14ac:dyDescent="0.25">
      <c r="A8056" t="str">
        <f>"76958228128"</f>
        <v>76958228128</v>
      </c>
      <c r="B8056" t="s">
        <v>1152</v>
      </c>
      <c r="C8056" t="s">
        <v>1153</v>
      </c>
      <c r="D8056" t="s">
        <v>10280</v>
      </c>
      <c r="F8056" t="s">
        <v>1</v>
      </c>
      <c r="G8056" t="s">
        <v>2</v>
      </c>
      <c r="H8056" t="s">
        <v>5906</v>
      </c>
      <c r="I8056" t="s">
        <v>22092</v>
      </c>
      <c r="M8056" t="s">
        <v>10284</v>
      </c>
      <c r="Q8056" t="s">
        <v>10286</v>
      </c>
      <c r="R8056" t="s">
        <v>10287</v>
      </c>
      <c r="S8056" t="s">
        <v>10288</v>
      </c>
      <c r="T8056" t="s">
        <v>10289</v>
      </c>
      <c r="U8056" t="s">
        <v>10290</v>
      </c>
      <c r="V8056" t="s">
        <v>10291</v>
      </c>
      <c r="Y8056" t="s">
        <v>5907</v>
      </c>
    </row>
    <row r="8057" spans="1:25" x14ac:dyDescent="0.25">
      <c r="A8057" t="str">
        <f>"77016162147"</f>
        <v>77016162147</v>
      </c>
      <c r="B8057" t="s">
        <v>1053</v>
      </c>
      <c r="C8057" t="s">
        <v>32982</v>
      </c>
      <c r="D8057" t="s">
        <v>30234</v>
      </c>
      <c r="E8057">
        <v>424000</v>
      </c>
      <c r="F8057" t="s">
        <v>1</v>
      </c>
      <c r="G8057" t="s">
        <v>2</v>
      </c>
      <c r="H8057" t="s">
        <v>8365</v>
      </c>
      <c r="J8057" t="s">
        <v>32981</v>
      </c>
      <c r="L8057" t="s">
        <v>30237</v>
      </c>
      <c r="M8057" t="s">
        <v>30238</v>
      </c>
      <c r="P8057" t="s">
        <v>27</v>
      </c>
      <c r="Y8057" t="s">
        <v>8369</v>
      </c>
    </row>
    <row r="8058" spans="1:25" x14ac:dyDescent="0.25">
      <c r="A8058" t="str">
        <f>"77156513650"</f>
        <v>77156513650</v>
      </c>
      <c r="B8058" t="s">
        <v>1053</v>
      </c>
      <c r="C8058" t="s">
        <v>32985</v>
      </c>
      <c r="D8058" t="s">
        <v>32983</v>
      </c>
      <c r="E8058">
        <v>424040</v>
      </c>
      <c r="F8058" t="s">
        <v>1</v>
      </c>
      <c r="G8058" t="s">
        <v>2</v>
      </c>
      <c r="H8058" t="s">
        <v>7989</v>
      </c>
      <c r="I8058" t="s">
        <v>32984</v>
      </c>
      <c r="P8058" t="s">
        <v>2951</v>
      </c>
      <c r="Y8058" t="s">
        <v>11906</v>
      </c>
    </row>
    <row r="8059" spans="1:25" x14ac:dyDescent="0.25">
      <c r="A8059" t="str">
        <f>"77173196355"</f>
        <v>77173196355</v>
      </c>
      <c r="B8059" t="s">
        <v>117</v>
      </c>
      <c r="C8059" t="s">
        <v>873</v>
      </c>
      <c r="D8059" t="s">
        <v>873</v>
      </c>
      <c r="E8059">
        <v>424039</v>
      </c>
      <c r="F8059" t="s">
        <v>1</v>
      </c>
      <c r="G8059" t="s">
        <v>2</v>
      </c>
      <c r="H8059" t="s">
        <v>30459</v>
      </c>
      <c r="Y8059" t="s">
        <v>32986</v>
      </c>
    </row>
    <row r="8060" spans="1:25" x14ac:dyDescent="0.25">
      <c r="A8060" t="str">
        <f>"77173416279"</f>
        <v>77173416279</v>
      </c>
      <c r="B8060" t="s">
        <v>117</v>
      </c>
      <c r="C8060" t="s">
        <v>118</v>
      </c>
      <c r="D8060" t="s">
        <v>32987</v>
      </c>
      <c r="F8060" t="s">
        <v>1</v>
      </c>
      <c r="G8060" t="s">
        <v>2</v>
      </c>
      <c r="H8060" t="s">
        <v>21265</v>
      </c>
      <c r="Y8060" t="s">
        <v>32988</v>
      </c>
    </row>
    <row r="8061" spans="1:25" x14ac:dyDescent="0.25">
      <c r="A8061" t="str">
        <f>"77222175937"</f>
        <v>77222175937</v>
      </c>
      <c r="B8061" t="s">
        <v>1544</v>
      </c>
      <c r="C8061" t="s">
        <v>2667</v>
      </c>
      <c r="D8061" t="s">
        <v>31732</v>
      </c>
      <c r="E8061">
        <v>424006</v>
      </c>
      <c r="F8061" t="s">
        <v>1</v>
      </c>
      <c r="G8061" t="s">
        <v>2</v>
      </c>
      <c r="H8061" t="s">
        <v>393</v>
      </c>
      <c r="P8061" t="s">
        <v>26289</v>
      </c>
      <c r="Y8061" t="s">
        <v>32989</v>
      </c>
    </row>
    <row r="8062" spans="1:25" x14ac:dyDescent="0.25">
      <c r="A8062" t="str">
        <f>"77255017571"</f>
        <v>77255017571</v>
      </c>
      <c r="B8062" t="s">
        <v>379</v>
      </c>
      <c r="C8062" t="s">
        <v>766</v>
      </c>
      <c r="D8062" t="s">
        <v>32990</v>
      </c>
      <c r="E8062">
        <v>424000</v>
      </c>
      <c r="F8062" t="s">
        <v>1</v>
      </c>
      <c r="G8062" t="s">
        <v>2</v>
      </c>
      <c r="H8062" t="s">
        <v>10305</v>
      </c>
      <c r="P8062" t="s">
        <v>1027</v>
      </c>
      <c r="Y8062" t="s">
        <v>32991</v>
      </c>
    </row>
    <row r="8063" spans="1:25" x14ac:dyDescent="0.25">
      <c r="A8063" t="str">
        <f>"77268571833"</f>
        <v>77268571833</v>
      </c>
      <c r="B8063" t="s">
        <v>371</v>
      </c>
      <c r="C8063" t="s">
        <v>372</v>
      </c>
      <c r="D8063" t="s">
        <v>32992</v>
      </c>
      <c r="E8063">
        <v>424019</v>
      </c>
      <c r="F8063" t="s">
        <v>1</v>
      </c>
      <c r="G8063" t="s">
        <v>2</v>
      </c>
      <c r="H8063" t="s">
        <v>32993</v>
      </c>
      <c r="Y8063" t="s">
        <v>32994</v>
      </c>
    </row>
    <row r="8064" spans="1:25" x14ac:dyDescent="0.25">
      <c r="A8064" t="str">
        <f>"77279528174"</f>
        <v>77279528174</v>
      </c>
      <c r="B8064" t="s">
        <v>25</v>
      </c>
      <c r="C8064" t="s">
        <v>59</v>
      </c>
      <c r="D8064" t="s">
        <v>59</v>
      </c>
      <c r="E8064">
        <v>424002</v>
      </c>
      <c r="F8064" t="s">
        <v>1</v>
      </c>
      <c r="G8064" t="s">
        <v>2</v>
      </c>
      <c r="H8064" t="s">
        <v>5806</v>
      </c>
      <c r="Y8064" t="s">
        <v>32995</v>
      </c>
    </row>
    <row r="8065" spans="1:25" x14ac:dyDescent="0.25">
      <c r="A8065" t="str">
        <f>"77283812624"</f>
        <v>77283812624</v>
      </c>
      <c r="B8065" t="s">
        <v>1152</v>
      </c>
      <c r="C8065" t="s">
        <v>1153</v>
      </c>
      <c r="D8065" t="s">
        <v>10280</v>
      </c>
      <c r="F8065" t="s">
        <v>1</v>
      </c>
      <c r="G8065" t="s">
        <v>2</v>
      </c>
      <c r="H8065" t="s">
        <v>23254</v>
      </c>
      <c r="I8065" t="s">
        <v>22092</v>
      </c>
      <c r="M8065" t="s">
        <v>10284</v>
      </c>
      <c r="Q8065" t="s">
        <v>10286</v>
      </c>
      <c r="R8065" t="s">
        <v>10287</v>
      </c>
      <c r="S8065" t="s">
        <v>10288</v>
      </c>
      <c r="T8065" t="s">
        <v>10289</v>
      </c>
      <c r="U8065" t="s">
        <v>10290</v>
      </c>
      <c r="V8065" t="s">
        <v>10291</v>
      </c>
      <c r="Y8065" t="s">
        <v>32996</v>
      </c>
    </row>
    <row r="8066" spans="1:25" x14ac:dyDescent="0.25">
      <c r="A8066" t="str">
        <f>"77320236802"</f>
        <v>77320236802</v>
      </c>
      <c r="B8066" t="s">
        <v>888</v>
      </c>
      <c r="C8066" t="s">
        <v>33000</v>
      </c>
      <c r="D8066" t="s">
        <v>32997</v>
      </c>
      <c r="E8066">
        <v>424033</v>
      </c>
      <c r="F8066" t="s">
        <v>1</v>
      </c>
      <c r="G8066" t="s">
        <v>2</v>
      </c>
      <c r="H8066" t="s">
        <v>4225</v>
      </c>
      <c r="J8066" t="s">
        <v>32998</v>
      </c>
      <c r="M8066" t="s">
        <v>32999</v>
      </c>
      <c r="P8066" t="s">
        <v>2050</v>
      </c>
      <c r="Q8066" t="s">
        <v>33001</v>
      </c>
      <c r="V8066" t="s">
        <v>33002</v>
      </c>
      <c r="Y8066" t="s">
        <v>24650</v>
      </c>
    </row>
    <row r="8067" spans="1:25" x14ac:dyDescent="0.25">
      <c r="A8067" t="str">
        <f>"77333219511"</f>
        <v>77333219511</v>
      </c>
      <c r="B8067" t="s">
        <v>1343</v>
      </c>
      <c r="C8067" t="s">
        <v>13544</v>
      </c>
      <c r="D8067" t="s">
        <v>33003</v>
      </c>
      <c r="E8067">
        <v>424033</v>
      </c>
      <c r="F8067" t="s">
        <v>1</v>
      </c>
      <c r="G8067" t="s">
        <v>2</v>
      </c>
      <c r="H8067" t="s">
        <v>76</v>
      </c>
      <c r="Y8067" t="s">
        <v>17629</v>
      </c>
    </row>
    <row r="8068" spans="1:25" x14ac:dyDescent="0.25">
      <c r="A8068" t="str">
        <f>"77347036990"</f>
        <v>77347036990</v>
      </c>
      <c r="B8068" t="s">
        <v>930</v>
      </c>
      <c r="C8068" t="s">
        <v>33009</v>
      </c>
      <c r="D8068" t="s">
        <v>33004</v>
      </c>
      <c r="E8068">
        <v>424006</v>
      </c>
      <c r="F8068" t="s">
        <v>1</v>
      </c>
      <c r="G8068" t="s">
        <v>2</v>
      </c>
      <c r="H8068" t="s">
        <v>751</v>
      </c>
      <c r="I8068" t="s">
        <v>33005</v>
      </c>
      <c r="J8068" t="s">
        <v>33006</v>
      </c>
      <c r="L8068" t="s">
        <v>33007</v>
      </c>
      <c r="M8068" t="s">
        <v>33008</v>
      </c>
      <c r="P8068" t="s">
        <v>33010</v>
      </c>
      <c r="Q8068" t="s">
        <v>33011</v>
      </c>
      <c r="V8068" t="s">
        <v>33012</v>
      </c>
      <c r="Y8068" t="s">
        <v>33013</v>
      </c>
    </row>
    <row r="8069" spans="1:25" x14ac:dyDescent="0.25">
      <c r="A8069" t="str">
        <f>"77375794948"</f>
        <v>77375794948</v>
      </c>
      <c r="B8069" t="s">
        <v>151</v>
      </c>
      <c r="C8069" t="s">
        <v>151</v>
      </c>
      <c r="D8069" t="s">
        <v>33014</v>
      </c>
      <c r="E8069">
        <v>424007</v>
      </c>
      <c r="F8069" t="s">
        <v>1</v>
      </c>
      <c r="G8069" t="s">
        <v>2</v>
      </c>
      <c r="H8069" t="s">
        <v>499</v>
      </c>
      <c r="I8069" t="s">
        <v>33015</v>
      </c>
      <c r="K8069" t="s">
        <v>33016</v>
      </c>
      <c r="P8069" t="s">
        <v>27</v>
      </c>
      <c r="Y8069" t="s">
        <v>1598</v>
      </c>
    </row>
    <row r="8070" spans="1:25" x14ac:dyDescent="0.25">
      <c r="A8070" t="str">
        <f>"77376329986"</f>
        <v>77376329986</v>
      </c>
      <c r="B8070" t="s">
        <v>88</v>
      </c>
      <c r="C8070" t="s">
        <v>23027</v>
      </c>
      <c r="D8070" t="s">
        <v>33017</v>
      </c>
      <c r="E8070">
        <v>424004</v>
      </c>
      <c r="F8070" t="s">
        <v>1</v>
      </c>
      <c r="G8070" t="s">
        <v>2</v>
      </c>
      <c r="H8070" t="s">
        <v>28869</v>
      </c>
      <c r="Y8070" t="s">
        <v>33018</v>
      </c>
    </row>
    <row r="8071" spans="1:25" x14ac:dyDescent="0.25">
      <c r="A8071" t="str">
        <f>"77426907327"</f>
        <v>77426907327</v>
      </c>
      <c r="B8071" t="s">
        <v>3700</v>
      </c>
      <c r="C8071" t="s">
        <v>4023</v>
      </c>
      <c r="D8071" t="s">
        <v>33019</v>
      </c>
      <c r="F8071" t="s">
        <v>1</v>
      </c>
      <c r="G8071" t="s">
        <v>2</v>
      </c>
      <c r="H8071" t="s">
        <v>5906</v>
      </c>
      <c r="J8071" t="s">
        <v>33020</v>
      </c>
      <c r="P8071" t="s">
        <v>33021</v>
      </c>
      <c r="Y8071" t="s">
        <v>5907</v>
      </c>
    </row>
    <row r="8072" spans="1:25" x14ac:dyDescent="0.25">
      <c r="A8072" t="str">
        <f>"77432115223"</f>
        <v>77432115223</v>
      </c>
      <c r="B8072" t="s">
        <v>88</v>
      </c>
      <c r="C8072" t="s">
        <v>6066</v>
      </c>
      <c r="D8072" t="s">
        <v>22948</v>
      </c>
      <c r="E8072">
        <v>424000</v>
      </c>
      <c r="F8072" t="s">
        <v>1</v>
      </c>
      <c r="G8072" t="s">
        <v>2</v>
      </c>
      <c r="H8072" t="s">
        <v>1531</v>
      </c>
      <c r="P8072" t="s">
        <v>941</v>
      </c>
      <c r="Y8072" t="s">
        <v>1707</v>
      </c>
    </row>
    <row r="8073" spans="1:25" x14ac:dyDescent="0.25">
      <c r="A8073" t="str">
        <f>"77432371558"</f>
        <v>77432371558</v>
      </c>
      <c r="B8073" t="s">
        <v>2104</v>
      </c>
      <c r="C8073" t="s">
        <v>28710</v>
      </c>
      <c r="D8073" t="s">
        <v>33022</v>
      </c>
      <c r="E8073">
        <v>424037</v>
      </c>
      <c r="F8073" t="s">
        <v>1</v>
      </c>
      <c r="G8073" t="s">
        <v>2</v>
      </c>
      <c r="H8073" t="s">
        <v>18150</v>
      </c>
      <c r="Y8073" t="s">
        <v>33023</v>
      </c>
    </row>
    <row r="8074" spans="1:25" x14ac:dyDescent="0.25">
      <c r="A8074" t="str">
        <f>"77437263058"</f>
        <v>77437263058</v>
      </c>
      <c r="B8074" t="s">
        <v>224</v>
      </c>
      <c r="C8074" t="s">
        <v>33029</v>
      </c>
      <c r="D8074" t="s">
        <v>33024</v>
      </c>
      <c r="E8074">
        <v>424006</v>
      </c>
      <c r="F8074" t="s">
        <v>1</v>
      </c>
      <c r="G8074" t="s">
        <v>2</v>
      </c>
      <c r="H8074" t="s">
        <v>33025</v>
      </c>
      <c r="J8074" t="s">
        <v>33026</v>
      </c>
      <c r="L8074" t="s">
        <v>33027</v>
      </c>
      <c r="M8074" t="s">
        <v>33028</v>
      </c>
      <c r="P8074" t="s">
        <v>280</v>
      </c>
      <c r="Q8074" t="s">
        <v>33030</v>
      </c>
      <c r="Y8074" t="s">
        <v>33031</v>
      </c>
    </row>
    <row r="8075" spans="1:25" x14ac:dyDescent="0.25">
      <c r="A8075" t="str">
        <f>"77463838696"</f>
        <v>77463838696</v>
      </c>
      <c r="B8075" t="s">
        <v>1343</v>
      </c>
      <c r="C8075" t="s">
        <v>10464</v>
      </c>
      <c r="D8075" t="s">
        <v>33032</v>
      </c>
      <c r="E8075">
        <v>424006</v>
      </c>
      <c r="F8075" t="s">
        <v>1</v>
      </c>
      <c r="G8075" t="s">
        <v>2</v>
      </c>
      <c r="H8075" t="s">
        <v>393</v>
      </c>
      <c r="Y8075" t="s">
        <v>33033</v>
      </c>
    </row>
    <row r="8076" spans="1:25" x14ac:dyDescent="0.25">
      <c r="A8076" t="str">
        <f>"77476793787"</f>
        <v>77476793787</v>
      </c>
      <c r="B8076" t="s">
        <v>96</v>
      </c>
      <c r="C8076" t="s">
        <v>33037</v>
      </c>
      <c r="D8076" t="s">
        <v>31437</v>
      </c>
      <c r="E8076">
        <v>424005</v>
      </c>
      <c r="F8076" t="s">
        <v>1</v>
      </c>
      <c r="G8076" t="s">
        <v>2</v>
      </c>
      <c r="H8076" t="s">
        <v>1148</v>
      </c>
      <c r="I8076" t="s">
        <v>33034</v>
      </c>
      <c r="J8076" t="s">
        <v>33035</v>
      </c>
      <c r="L8076" t="s">
        <v>33036</v>
      </c>
      <c r="P8076" t="s">
        <v>1760</v>
      </c>
      <c r="Q8076" t="s">
        <v>33038</v>
      </c>
      <c r="Y8076" t="s">
        <v>32116</v>
      </c>
    </row>
    <row r="8077" spans="1:25" x14ac:dyDescent="0.25">
      <c r="A8077" t="str">
        <f>"77479750270"</f>
        <v>77479750270</v>
      </c>
      <c r="B8077" t="s">
        <v>1152</v>
      </c>
      <c r="C8077" t="s">
        <v>1385</v>
      </c>
      <c r="D8077" t="s">
        <v>1385</v>
      </c>
      <c r="E8077">
        <v>424007</v>
      </c>
      <c r="F8077" t="s">
        <v>1</v>
      </c>
      <c r="G8077" t="s">
        <v>2</v>
      </c>
      <c r="H8077" t="s">
        <v>15418</v>
      </c>
      <c r="P8077" t="s">
        <v>696</v>
      </c>
      <c r="Y8077" t="s">
        <v>33039</v>
      </c>
    </row>
    <row r="8078" spans="1:25" x14ac:dyDescent="0.25">
      <c r="A8078" t="str">
        <f>"77502487202"</f>
        <v>77502487202</v>
      </c>
      <c r="B8078" t="s">
        <v>430</v>
      </c>
      <c r="C8078" t="s">
        <v>16178</v>
      </c>
      <c r="D8078" t="s">
        <v>22989</v>
      </c>
      <c r="E8078">
        <v>424038</v>
      </c>
      <c r="F8078" t="s">
        <v>1</v>
      </c>
      <c r="G8078" t="s">
        <v>2</v>
      </c>
      <c r="H8078" t="s">
        <v>465</v>
      </c>
      <c r="P8078" t="s">
        <v>2457</v>
      </c>
      <c r="Y8078" t="s">
        <v>33040</v>
      </c>
    </row>
    <row r="8079" spans="1:25" x14ac:dyDescent="0.25">
      <c r="A8079" t="str">
        <f>"77510641546"</f>
        <v>77510641546</v>
      </c>
      <c r="B8079" t="s">
        <v>6609</v>
      </c>
      <c r="C8079" t="s">
        <v>33045</v>
      </c>
      <c r="D8079" t="s">
        <v>33041</v>
      </c>
      <c r="F8079" t="s">
        <v>1</v>
      </c>
      <c r="G8079" t="s">
        <v>2</v>
      </c>
      <c r="H8079" t="s">
        <v>1003</v>
      </c>
      <c r="I8079" t="s">
        <v>33042</v>
      </c>
      <c r="J8079" t="s">
        <v>33043</v>
      </c>
      <c r="L8079" t="s">
        <v>33044</v>
      </c>
      <c r="P8079" t="s">
        <v>27</v>
      </c>
      <c r="Y8079" t="s">
        <v>33046</v>
      </c>
    </row>
    <row r="8080" spans="1:25" x14ac:dyDescent="0.25">
      <c r="A8080" t="str">
        <f>"77597653008"</f>
        <v>77597653008</v>
      </c>
      <c r="B8080" t="s">
        <v>290</v>
      </c>
      <c r="C8080" t="s">
        <v>2737</v>
      </c>
      <c r="D8080" t="s">
        <v>29938</v>
      </c>
      <c r="E8080">
        <v>424028</v>
      </c>
      <c r="F8080" t="s">
        <v>1</v>
      </c>
      <c r="G8080" t="s">
        <v>2</v>
      </c>
      <c r="H8080" t="s">
        <v>23258</v>
      </c>
      <c r="I8080" t="s">
        <v>23259</v>
      </c>
      <c r="P8080" t="s">
        <v>312</v>
      </c>
      <c r="Y8080" t="s">
        <v>33047</v>
      </c>
    </row>
    <row r="8081" spans="1:25" x14ac:dyDescent="0.25">
      <c r="A8081" t="str">
        <f>"77609554231"</f>
        <v>77609554231</v>
      </c>
      <c r="B8081" t="s">
        <v>80</v>
      </c>
      <c r="C8081" t="s">
        <v>33049</v>
      </c>
      <c r="D8081" t="s">
        <v>33048</v>
      </c>
      <c r="F8081" t="s">
        <v>1</v>
      </c>
      <c r="G8081" t="s">
        <v>2</v>
      </c>
      <c r="H8081" t="s">
        <v>7547</v>
      </c>
      <c r="Y8081" t="s">
        <v>33050</v>
      </c>
    </row>
    <row r="8082" spans="1:25" x14ac:dyDescent="0.25">
      <c r="A8082" t="str">
        <f>"77661854454"</f>
        <v>77661854454</v>
      </c>
      <c r="B8082" t="s">
        <v>3008</v>
      </c>
      <c r="C8082" t="s">
        <v>3008</v>
      </c>
      <c r="D8082" t="s">
        <v>33051</v>
      </c>
      <c r="E8082">
        <v>424008</v>
      </c>
      <c r="F8082" t="s">
        <v>1</v>
      </c>
      <c r="G8082" t="s">
        <v>2</v>
      </c>
      <c r="H8082" t="s">
        <v>6584</v>
      </c>
      <c r="Y8082" t="s">
        <v>33052</v>
      </c>
    </row>
    <row r="8083" spans="1:25" x14ac:dyDescent="0.25">
      <c r="A8083" t="str">
        <f>"77664533420"</f>
        <v>77664533420</v>
      </c>
      <c r="B8083" t="s">
        <v>1315</v>
      </c>
      <c r="C8083" t="s">
        <v>33054</v>
      </c>
      <c r="D8083" t="s">
        <v>33053</v>
      </c>
      <c r="E8083">
        <v>424028</v>
      </c>
      <c r="F8083" t="s">
        <v>1</v>
      </c>
      <c r="G8083" t="s">
        <v>2</v>
      </c>
      <c r="H8083" t="s">
        <v>1260</v>
      </c>
      <c r="J8083" t="s">
        <v>24220</v>
      </c>
      <c r="L8083" t="s">
        <v>24221</v>
      </c>
      <c r="M8083" t="s">
        <v>24222</v>
      </c>
      <c r="P8083" t="s">
        <v>280</v>
      </c>
      <c r="Y8083" t="s">
        <v>1264</v>
      </c>
    </row>
    <row r="8084" spans="1:25" x14ac:dyDescent="0.25">
      <c r="A8084" t="str">
        <f>"77674065718"</f>
        <v>77674065718</v>
      </c>
      <c r="B8084" t="s">
        <v>18</v>
      </c>
      <c r="C8084" t="s">
        <v>4522</v>
      </c>
      <c r="D8084" t="s">
        <v>33055</v>
      </c>
      <c r="F8084" t="s">
        <v>1</v>
      </c>
      <c r="G8084" t="s">
        <v>2</v>
      </c>
      <c r="H8084" t="s">
        <v>12709</v>
      </c>
      <c r="L8084" t="s">
        <v>6148</v>
      </c>
      <c r="M8084" t="s">
        <v>6149</v>
      </c>
      <c r="Y8084" t="s">
        <v>33056</v>
      </c>
    </row>
    <row r="8085" spans="1:25" x14ac:dyDescent="0.25">
      <c r="A8085" t="str">
        <f>"77697990261"</f>
        <v>77697990261</v>
      </c>
      <c r="B8085" t="s">
        <v>797</v>
      </c>
      <c r="C8085" t="s">
        <v>33057</v>
      </c>
      <c r="D8085" t="s">
        <v>13179</v>
      </c>
      <c r="E8085">
        <v>424003</v>
      </c>
      <c r="F8085" t="s">
        <v>1</v>
      </c>
      <c r="G8085" t="s">
        <v>2</v>
      </c>
      <c r="H8085" t="s">
        <v>5325</v>
      </c>
      <c r="Y8085" t="s">
        <v>33058</v>
      </c>
    </row>
    <row r="8086" spans="1:25" x14ac:dyDescent="0.25">
      <c r="A8086" t="str">
        <f>"77703875439"</f>
        <v>77703875439</v>
      </c>
      <c r="B8086" t="s">
        <v>32</v>
      </c>
      <c r="C8086" t="s">
        <v>182</v>
      </c>
      <c r="D8086" t="s">
        <v>33059</v>
      </c>
      <c r="F8086" t="s">
        <v>1</v>
      </c>
      <c r="G8086" t="s">
        <v>2</v>
      </c>
      <c r="H8086" t="s">
        <v>33060</v>
      </c>
      <c r="I8086" t="s">
        <v>33061</v>
      </c>
      <c r="P8086" t="s">
        <v>33062</v>
      </c>
      <c r="Y8086" t="s">
        <v>33063</v>
      </c>
    </row>
    <row r="8087" spans="1:25" x14ac:dyDescent="0.25">
      <c r="A8087" t="str">
        <f>"77739444216"</f>
        <v>77739444216</v>
      </c>
      <c r="B8087" t="s">
        <v>430</v>
      </c>
      <c r="C8087" t="s">
        <v>16178</v>
      </c>
      <c r="D8087" t="s">
        <v>10135</v>
      </c>
      <c r="E8087">
        <v>424002</v>
      </c>
      <c r="F8087" t="s">
        <v>1</v>
      </c>
      <c r="G8087" t="s">
        <v>2</v>
      </c>
      <c r="H8087" t="s">
        <v>6344</v>
      </c>
      <c r="T8087" t="s">
        <v>33064</v>
      </c>
      <c r="Y8087" t="s">
        <v>33065</v>
      </c>
    </row>
    <row r="8088" spans="1:25" x14ac:dyDescent="0.25">
      <c r="A8088" t="str">
        <f>"77754136389"</f>
        <v>77754136389</v>
      </c>
      <c r="B8088" t="s">
        <v>7312</v>
      </c>
      <c r="C8088" t="s">
        <v>26428</v>
      </c>
      <c r="D8088" t="s">
        <v>8791</v>
      </c>
      <c r="E8088">
        <v>424028</v>
      </c>
      <c r="F8088" t="s">
        <v>1</v>
      </c>
      <c r="G8088" t="s">
        <v>2</v>
      </c>
      <c r="H8088" t="s">
        <v>17393</v>
      </c>
      <c r="J8088" t="s">
        <v>25911</v>
      </c>
      <c r="Y8088" t="s">
        <v>33066</v>
      </c>
    </row>
    <row r="8089" spans="1:25" x14ac:dyDescent="0.25">
      <c r="A8089" t="str">
        <f>"77830049990"</f>
        <v>77830049990</v>
      </c>
      <c r="B8089" t="s">
        <v>110</v>
      </c>
      <c r="C8089" t="s">
        <v>5755</v>
      </c>
      <c r="D8089" t="s">
        <v>33067</v>
      </c>
      <c r="E8089">
        <v>424003</v>
      </c>
      <c r="F8089" t="s">
        <v>1</v>
      </c>
      <c r="G8089" t="s">
        <v>2</v>
      </c>
      <c r="H8089" t="s">
        <v>12674</v>
      </c>
      <c r="I8089" t="s">
        <v>33068</v>
      </c>
      <c r="J8089" t="s">
        <v>33069</v>
      </c>
      <c r="P8089" t="s">
        <v>33070</v>
      </c>
      <c r="Y8089" t="s">
        <v>18532</v>
      </c>
    </row>
    <row r="8090" spans="1:25" x14ac:dyDescent="0.25">
      <c r="A8090" t="str">
        <f>"77835610965"</f>
        <v>77835610965</v>
      </c>
      <c r="B8090" t="s">
        <v>716</v>
      </c>
      <c r="C8090" t="s">
        <v>717</v>
      </c>
      <c r="D8090" t="s">
        <v>33071</v>
      </c>
      <c r="E8090">
        <v>424019</v>
      </c>
      <c r="F8090" t="s">
        <v>1</v>
      </c>
      <c r="G8090" t="s">
        <v>2</v>
      </c>
      <c r="H8090" t="s">
        <v>20084</v>
      </c>
      <c r="J8090" t="s">
        <v>33072</v>
      </c>
      <c r="P8090" t="s">
        <v>6950</v>
      </c>
      <c r="Y8090" t="s">
        <v>1827</v>
      </c>
    </row>
    <row r="8091" spans="1:25" x14ac:dyDescent="0.25">
      <c r="A8091" t="str">
        <f>"77855139269"</f>
        <v>77855139269</v>
      </c>
      <c r="B8091" t="s">
        <v>1182</v>
      </c>
      <c r="C8091" t="s">
        <v>33074</v>
      </c>
      <c r="D8091" t="s">
        <v>33073</v>
      </c>
      <c r="E8091">
        <v>424039</v>
      </c>
      <c r="F8091" t="s">
        <v>1</v>
      </c>
      <c r="G8091" t="s">
        <v>2</v>
      </c>
      <c r="H8091" t="s">
        <v>2729</v>
      </c>
      <c r="Y8091" t="s">
        <v>33075</v>
      </c>
    </row>
    <row r="8092" spans="1:25" x14ac:dyDescent="0.25">
      <c r="A8092" t="str">
        <f>"77907950524"</f>
        <v>77907950524</v>
      </c>
      <c r="B8092" t="s">
        <v>188</v>
      </c>
      <c r="C8092" t="s">
        <v>24568</v>
      </c>
      <c r="D8092" t="s">
        <v>24568</v>
      </c>
      <c r="E8092">
        <v>424006</v>
      </c>
      <c r="F8092" t="s">
        <v>1</v>
      </c>
      <c r="G8092" t="s">
        <v>2</v>
      </c>
      <c r="H8092" t="s">
        <v>2525</v>
      </c>
      <c r="Y8092" t="s">
        <v>33076</v>
      </c>
    </row>
    <row r="8093" spans="1:25" x14ac:dyDescent="0.25">
      <c r="A8093" t="str">
        <f>"77910070924"</f>
        <v>77910070924</v>
      </c>
      <c r="B8093" t="s">
        <v>8011</v>
      </c>
      <c r="C8093" t="s">
        <v>33082</v>
      </c>
      <c r="D8093" t="s">
        <v>33077</v>
      </c>
      <c r="F8093" t="s">
        <v>1</v>
      </c>
      <c r="G8093" t="s">
        <v>2</v>
      </c>
      <c r="H8093" t="s">
        <v>33078</v>
      </c>
      <c r="I8093" t="s">
        <v>33079</v>
      </c>
      <c r="L8093" t="s">
        <v>33080</v>
      </c>
      <c r="M8093" t="s">
        <v>33081</v>
      </c>
      <c r="P8093" t="s">
        <v>20</v>
      </c>
      <c r="Y8093" t="s">
        <v>33083</v>
      </c>
    </row>
    <row r="8094" spans="1:25" x14ac:dyDescent="0.25">
      <c r="A8094" t="str">
        <f>"77921683979"</f>
        <v>77921683979</v>
      </c>
      <c r="B8094" t="s">
        <v>96</v>
      </c>
      <c r="C8094" t="s">
        <v>507</v>
      </c>
      <c r="D8094" t="s">
        <v>27980</v>
      </c>
      <c r="E8094">
        <v>424019</v>
      </c>
      <c r="F8094" t="s">
        <v>1</v>
      </c>
      <c r="G8094" t="s">
        <v>2</v>
      </c>
      <c r="H8094" t="s">
        <v>7785</v>
      </c>
      <c r="P8094" t="s">
        <v>98</v>
      </c>
      <c r="Y8094" t="s">
        <v>33084</v>
      </c>
    </row>
    <row r="8095" spans="1:25" x14ac:dyDescent="0.25">
      <c r="A8095" t="str">
        <f>"77925687581"</f>
        <v>77925687581</v>
      </c>
      <c r="B8095" t="s">
        <v>18</v>
      </c>
      <c r="C8095" t="s">
        <v>143</v>
      </c>
      <c r="D8095" t="s">
        <v>33085</v>
      </c>
      <c r="E8095">
        <v>424016</v>
      </c>
      <c r="F8095" t="s">
        <v>1</v>
      </c>
      <c r="G8095" t="s">
        <v>2</v>
      </c>
      <c r="H8095" t="s">
        <v>5561</v>
      </c>
      <c r="Y8095" t="s">
        <v>33086</v>
      </c>
    </row>
    <row r="8096" spans="1:25" x14ac:dyDescent="0.25">
      <c r="A8096" t="str">
        <f>"77938499488"</f>
        <v>77938499488</v>
      </c>
      <c r="B8096" t="s">
        <v>18</v>
      </c>
      <c r="C8096" t="s">
        <v>33089</v>
      </c>
      <c r="D8096" t="s">
        <v>33087</v>
      </c>
      <c r="F8096" t="s">
        <v>1</v>
      </c>
      <c r="G8096" t="s">
        <v>2</v>
      </c>
      <c r="H8096" t="s">
        <v>3430</v>
      </c>
      <c r="I8096" t="s">
        <v>16939</v>
      </c>
      <c r="L8096" t="s">
        <v>33088</v>
      </c>
      <c r="P8096" t="s">
        <v>133</v>
      </c>
      <c r="Y8096" t="s">
        <v>3434</v>
      </c>
    </row>
    <row r="8097" spans="1:25" x14ac:dyDescent="0.25">
      <c r="A8097" t="str">
        <f>"77955801258"</f>
        <v>77955801258</v>
      </c>
      <c r="B8097" t="s">
        <v>290</v>
      </c>
      <c r="C8097" t="s">
        <v>290</v>
      </c>
      <c r="D8097" t="s">
        <v>33090</v>
      </c>
      <c r="E8097">
        <v>424000</v>
      </c>
      <c r="F8097" t="s">
        <v>1</v>
      </c>
      <c r="G8097" t="s">
        <v>2</v>
      </c>
      <c r="H8097" t="s">
        <v>33091</v>
      </c>
      <c r="P8097" t="s">
        <v>2513</v>
      </c>
      <c r="Q8097" t="s">
        <v>33092</v>
      </c>
      <c r="Y8097" t="s">
        <v>33093</v>
      </c>
    </row>
    <row r="8098" spans="1:25" x14ac:dyDescent="0.25">
      <c r="A8098" t="str">
        <f>"77974919043"</f>
        <v>77974919043</v>
      </c>
      <c r="B8098" t="s">
        <v>574</v>
      </c>
      <c r="C8098" t="s">
        <v>646</v>
      </c>
      <c r="D8098" t="s">
        <v>30750</v>
      </c>
      <c r="E8098">
        <v>424000</v>
      </c>
      <c r="F8098" t="s">
        <v>1</v>
      </c>
      <c r="G8098" t="s">
        <v>2</v>
      </c>
      <c r="H8098" t="s">
        <v>265</v>
      </c>
      <c r="P8098" t="s">
        <v>799</v>
      </c>
      <c r="Y8098" t="s">
        <v>11205</v>
      </c>
    </row>
    <row r="8099" spans="1:25" x14ac:dyDescent="0.25">
      <c r="A8099" t="str">
        <f>"78015396783"</f>
        <v>78015396783</v>
      </c>
      <c r="B8099" t="s">
        <v>456</v>
      </c>
      <c r="C8099" t="s">
        <v>2773</v>
      </c>
      <c r="D8099" t="s">
        <v>33094</v>
      </c>
      <c r="E8099">
        <v>424005</v>
      </c>
      <c r="F8099" t="s">
        <v>1</v>
      </c>
      <c r="G8099" t="s">
        <v>2</v>
      </c>
      <c r="H8099" t="s">
        <v>29872</v>
      </c>
      <c r="J8099" t="s">
        <v>33095</v>
      </c>
      <c r="M8099" t="s">
        <v>33096</v>
      </c>
      <c r="P8099" t="s">
        <v>390</v>
      </c>
      <c r="Y8099" t="s">
        <v>29875</v>
      </c>
    </row>
    <row r="8100" spans="1:25" x14ac:dyDescent="0.25">
      <c r="A8100" t="str">
        <f>"78049252131"</f>
        <v>78049252131</v>
      </c>
      <c r="B8100" t="s">
        <v>25</v>
      </c>
      <c r="C8100" t="s">
        <v>20320</v>
      </c>
      <c r="D8100" t="s">
        <v>33097</v>
      </c>
      <c r="E8100">
        <v>424037</v>
      </c>
      <c r="F8100" t="s">
        <v>1</v>
      </c>
      <c r="G8100" t="s">
        <v>2</v>
      </c>
      <c r="H8100" t="s">
        <v>3115</v>
      </c>
      <c r="Y8100" t="s">
        <v>33098</v>
      </c>
    </row>
    <row r="8101" spans="1:25" x14ac:dyDescent="0.25">
      <c r="A8101" t="str">
        <f>"78078102641"</f>
        <v>78078102641</v>
      </c>
      <c r="B8101" t="s">
        <v>1152</v>
      </c>
      <c r="C8101" t="s">
        <v>1152</v>
      </c>
      <c r="D8101" t="s">
        <v>33099</v>
      </c>
      <c r="E8101">
        <v>424037</v>
      </c>
      <c r="F8101" t="s">
        <v>1</v>
      </c>
      <c r="G8101" t="s">
        <v>2</v>
      </c>
      <c r="H8101" t="s">
        <v>13232</v>
      </c>
      <c r="J8101" t="s">
        <v>33100</v>
      </c>
      <c r="P8101" t="s">
        <v>27</v>
      </c>
      <c r="Y8101" t="s">
        <v>13235</v>
      </c>
    </row>
    <row r="8102" spans="1:25" x14ac:dyDescent="0.25">
      <c r="A8102" t="str">
        <f>"78103418009"</f>
        <v>78103418009</v>
      </c>
      <c r="B8102" t="s">
        <v>574</v>
      </c>
      <c r="C8102" t="s">
        <v>646</v>
      </c>
      <c r="D8102" t="s">
        <v>3177</v>
      </c>
      <c r="E8102">
        <v>424019</v>
      </c>
      <c r="F8102" t="s">
        <v>1</v>
      </c>
      <c r="G8102" t="s">
        <v>2</v>
      </c>
      <c r="H8102" t="s">
        <v>12105</v>
      </c>
      <c r="Y8102" t="s">
        <v>14260</v>
      </c>
    </row>
    <row r="8103" spans="1:25" x14ac:dyDescent="0.25">
      <c r="A8103" t="str">
        <f>"78108389169"</f>
        <v>78108389169</v>
      </c>
      <c r="B8103" t="s">
        <v>80</v>
      </c>
      <c r="C8103" t="s">
        <v>2071</v>
      </c>
      <c r="D8103" t="s">
        <v>33101</v>
      </c>
      <c r="E8103">
        <v>424006</v>
      </c>
      <c r="F8103" t="s">
        <v>1</v>
      </c>
      <c r="G8103" t="s">
        <v>2</v>
      </c>
      <c r="H8103" t="s">
        <v>33102</v>
      </c>
      <c r="I8103" t="s">
        <v>31511</v>
      </c>
      <c r="L8103" t="s">
        <v>33103</v>
      </c>
      <c r="M8103" t="s">
        <v>33104</v>
      </c>
      <c r="P8103" t="s">
        <v>280</v>
      </c>
      <c r="Q8103" t="s">
        <v>33105</v>
      </c>
      <c r="R8103" t="s">
        <v>33106</v>
      </c>
      <c r="T8103" t="s">
        <v>33107</v>
      </c>
      <c r="U8103" t="s">
        <v>33108</v>
      </c>
      <c r="V8103" t="s">
        <v>33109</v>
      </c>
      <c r="Y8103" t="s">
        <v>33110</v>
      </c>
    </row>
    <row r="8104" spans="1:25" x14ac:dyDescent="0.25">
      <c r="A8104" t="str">
        <f>"78117590999"</f>
        <v>78117590999</v>
      </c>
      <c r="B8104" t="s">
        <v>7312</v>
      </c>
      <c r="C8104" t="s">
        <v>19097</v>
      </c>
      <c r="D8104" t="s">
        <v>33111</v>
      </c>
      <c r="E8104">
        <v>424006</v>
      </c>
      <c r="F8104" t="s">
        <v>1</v>
      </c>
      <c r="G8104" t="s">
        <v>2</v>
      </c>
      <c r="H8104" t="s">
        <v>3521</v>
      </c>
      <c r="L8104" t="s">
        <v>33112</v>
      </c>
      <c r="M8104" t="s">
        <v>33113</v>
      </c>
      <c r="P8104" t="s">
        <v>330</v>
      </c>
      <c r="Y8104" t="s">
        <v>3523</v>
      </c>
    </row>
    <row r="8105" spans="1:25" x14ac:dyDescent="0.25">
      <c r="A8105" t="str">
        <f>"78168913811"</f>
        <v>78168913811</v>
      </c>
      <c r="B8105" t="s">
        <v>1323</v>
      </c>
      <c r="C8105" t="s">
        <v>1324</v>
      </c>
      <c r="D8105" t="s">
        <v>33114</v>
      </c>
      <c r="E8105">
        <v>424006</v>
      </c>
      <c r="F8105" t="s">
        <v>1</v>
      </c>
      <c r="G8105" t="s">
        <v>2</v>
      </c>
      <c r="H8105" t="s">
        <v>21558</v>
      </c>
      <c r="Y8105" t="s">
        <v>33115</v>
      </c>
    </row>
    <row r="8106" spans="1:25" x14ac:dyDescent="0.25">
      <c r="A8106" t="str">
        <f>"78180920306"</f>
        <v>78180920306</v>
      </c>
      <c r="B8106" t="s">
        <v>1078</v>
      </c>
      <c r="C8106" t="s">
        <v>1944</v>
      </c>
      <c r="D8106" t="s">
        <v>27913</v>
      </c>
      <c r="E8106">
        <v>424028</v>
      </c>
      <c r="F8106" t="s">
        <v>1</v>
      </c>
      <c r="G8106" t="s">
        <v>2</v>
      </c>
      <c r="H8106" t="s">
        <v>5034</v>
      </c>
      <c r="P8106" t="s">
        <v>941</v>
      </c>
      <c r="Y8106" t="s">
        <v>5036</v>
      </c>
    </row>
    <row r="8107" spans="1:25" x14ac:dyDescent="0.25">
      <c r="A8107" t="str">
        <f>"78191283017"</f>
        <v>78191283017</v>
      </c>
      <c r="B8107" t="s">
        <v>18</v>
      </c>
      <c r="C8107" t="s">
        <v>33120</v>
      </c>
      <c r="D8107" t="s">
        <v>33116</v>
      </c>
      <c r="E8107">
        <v>424007</v>
      </c>
      <c r="F8107" t="s">
        <v>1</v>
      </c>
      <c r="G8107" t="s">
        <v>2</v>
      </c>
      <c r="H8107" t="s">
        <v>10252</v>
      </c>
      <c r="I8107" t="s">
        <v>33117</v>
      </c>
      <c r="L8107" t="s">
        <v>33118</v>
      </c>
      <c r="M8107" t="s">
        <v>33119</v>
      </c>
      <c r="P8107" t="s">
        <v>27</v>
      </c>
      <c r="Y8107" t="s">
        <v>10258</v>
      </c>
    </row>
    <row r="8108" spans="1:25" x14ac:dyDescent="0.25">
      <c r="A8108" t="str">
        <f>"78203269483"</f>
        <v>78203269483</v>
      </c>
      <c r="B8108" t="s">
        <v>188</v>
      </c>
      <c r="C8108" t="s">
        <v>24568</v>
      </c>
      <c r="D8108" t="s">
        <v>24568</v>
      </c>
      <c r="F8108" t="s">
        <v>1</v>
      </c>
      <c r="G8108" t="s">
        <v>2</v>
      </c>
      <c r="H8108" t="s">
        <v>33121</v>
      </c>
      <c r="Y8108" t="s">
        <v>33122</v>
      </c>
    </row>
    <row r="8109" spans="1:25" x14ac:dyDescent="0.25">
      <c r="A8109" t="str">
        <f>"78204411261"</f>
        <v>78204411261</v>
      </c>
      <c r="B8109" t="s">
        <v>738</v>
      </c>
      <c r="C8109" t="s">
        <v>10857</v>
      </c>
      <c r="D8109" t="s">
        <v>33123</v>
      </c>
      <c r="E8109">
        <v>424000</v>
      </c>
      <c r="F8109" t="s">
        <v>1</v>
      </c>
      <c r="G8109" t="s">
        <v>2</v>
      </c>
      <c r="H8109" t="s">
        <v>265</v>
      </c>
      <c r="I8109" t="s">
        <v>33124</v>
      </c>
      <c r="M8109" t="s">
        <v>33125</v>
      </c>
      <c r="P8109" t="s">
        <v>7436</v>
      </c>
      <c r="Y8109" t="s">
        <v>11205</v>
      </c>
    </row>
    <row r="8110" spans="1:25" x14ac:dyDescent="0.25">
      <c r="A8110" t="str">
        <f>"78209090494"</f>
        <v>78209090494</v>
      </c>
      <c r="B8110" t="s">
        <v>25</v>
      </c>
      <c r="C8110" t="s">
        <v>4458</v>
      </c>
      <c r="D8110" t="s">
        <v>5530</v>
      </c>
      <c r="E8110">
        <v>424007</v>
      </c>
      <c r="F8110" t="s">
        <v>1</v>
      </c>
      <c r="G8110" t="s">
        <v>2</v>
      </c>
      <c r="H8110" t="s">
        <v>20698</v>
      </c>
      <c r="I8110" t="s">
        <v>33126</v>
      </c>
      <c r="P8110" t="s">
        <v>33127</v>
      </c>
      <c r="Y8110" t="s">
        <v>33128</v>
      </c>
    </row>
    <row r="8111" spans="1:25" x14ac:dyDescent="0.25">
      <c r="A8111" t="str">
        <f>"78222598930"</f>
        <v>78222598930</v>
      </c>
      <c r="B8111" t="s">
        <v>1152</v>
      </c>
      <c r="C8111" t="s">
        <v>8449</v>
      </c>
      <c r="D8111" t="s">
        <v>33129</v>
      </c>
      <c r="E8111">
        <v>424004</v>
      </c>
      <c r="F8111" t="s">
        <v>1</v>
      </c>
      <c r="G8111" t="s">
        <v>2</v>
      </c>
      <c r="H8111" t="s">
        <v>2133</v>
      </c>
      <c r="Y8111" t="s">
        <v>2137</v>
      </c>
    </row>
    <row r="8112" spans="1:25" x14ac:dyDescent="0.25">
      <c r="A8112" t="str">
        <f>"78287409383"</f>
        <v>78287409383</v>
      </c>
      <c r="B8112" t="s">
        <v>388</v>
      </c>
      <c r="C8112" t="s">
        <v>9224</v>
      </c>
      <c r="D8112" t="s">
        <v>6867</v>
      </c>
      <c r="E8112">
        <v>424000</v>
      </c>
      <c r="F8112" t="s">
        <v>1</v>
      </c>
      <c r="G8112" t="s">
        <v>2</v>
      </c>
      <c r="H8112" t="s">
        <v>4427</v>
      </c>
      <c r="Y8112" t="s">
        <v>33130</v>
      </c>
    </row>
    <row r="8113" spans="1:25" x14ac:dyDescent="0.25">
      <c r="A8113" t="str">
        <f>"78306720721"</f>
        <v>78306720721</v>
      </c>
      <c r="B8113" t="s">
        <v>13538</v>
      </c>
      <c r="C8113" t="s">
        <v>13539</v>
      </c>
      <c r="D8113" t="s">
        <v>33131</v>
      </c>
      <c r="E8113">
        <v>424004</v>
      </c>
      <c r="F8113" t="s">
        <v>1</v>
      </c>
      <c r="G8113" t="s">
        <v>2</v>
      </c>
      <c r="H8113" t="s">
        <v>17461</v>
      </c>
      <c r="I8113" t="s">
        <v>33132</v>
      </c>
      <c r="L8113" t="s">
        <v>33133</v>
      </c>
      <c r="M8113" t="s">
        <v>33134</v>
      </c>
      <c r="Y8113" t="s">
        <v>20082</v>
      </c>
    </row>
    <row r="8114" spans="1:25" x14ac:dyDescent="0.25">
      <c r="A8114" t="str">
        <f>"78327908532"</f>
        <v>78327908532</v>
      </c>
      <c r="B8114" t="s">
        <v>930</v>
      </c>
      <c r="C8114" t="s">
        <v>1096</v>
      </c>
      <c r="D8114" t="s">
        <v>33135</v>
      </c>
      <c r="F8114" t="s">
        <v>1</v>
      </c>
      <c r="G8114" t="s">
        <v>2</v>
      </c>
      <c r="H8114" t="s">
        <v>33136</v>
      </c>
      <c r="I8114" t="s">
        <v>33137</v>
      </c>
      <c r="J8114" t="s">
        <v>33138</v>
      </c>
      <c r="L8114" t="s">
        <v>33139</v>
      </c>
      <c r="M8114" t="s">
        <v>33140</v>
      </c>
      <c r="P8114" t="s">
        <v>216</v>
      </c>
      <c r="Q8114" t="s">
        <v>33141</v>
      </c>
      <c r="V8114" t="s">
        <v>33142</v>
      </c>
      <c r="Y8114" t="s">
        <v>33143</v>
      </c>
    </row>
    <row r="8115" spans="1:25" x14ac:dyDescent="0.25">
      <c r="A8115" t="str">
        <f>"78329009790"</f>
        <v>78329009790</v>
      </c>
      <c r="B8115" t="s">
        <v>574</v>
      </c>
      <c r="C8115" t="s">
        <v>24087</v>
      </c>
      <c r="D8115" t="s">
        <v>33144</v>
      </c>
      <c r="E8115">
        <v>424033</v>
      </c>
      <c r="F8115" t="s">
        <v>1</v>
      </c>
      <c r="G8115" t="s">
        <v>2</v>
      </c>
      <c r="H8115" t="s">
        <v>1341</v>
      </c>
      <c r="Y8115" t="s">
        <v>33145</v>
      </c>
    </row>
    <row r="8116" spans="1:25" x14ac:dyDescent="0.25">
      <c r="A8116" t="str">
        <f>"78365804371"</f>
        <v>78365804371</v>
      </c>
      <c r="B8116" t="s">
        <v>290</v>
      </c>
      <c r="C8116" t="s">
        <v>11603</v>
      </c>
      <c r="D8116" t="s">
        <v>33146</v>
      </c>
      <c r="E8116">
        <v>424006</v>
      </c>
      <c r="F8116" t="s">
        <v>1</v>
      </c>
      <c r="G8116" t="s">
        <v>2</v>
      </c>
      <c r="H8116" t="s">
        <v>33147</v>
      </c>
      <c r="Y8116" t="s">
        <v>33148</v>
      </c>
    </row>
    <row r="8117" spans="1:25" x14ac:dyDescent="0.25">
      <c r="A8117" t="str">
        <f>"78374580711"</f>
        <v>78374580711</v>
      </c>
      <c r="B8117" t="s">
        <v>574</v>
      </c>
      <c r="C8117" t="s">
        <v>24405</v>
      </c>
      <c r="D8117" t="s">
        <v>32710</v>
      </c>
      <c r="E8117">
        <v>424039</v>
      </c>
      <c r="F8117" t="s">
        <v>1</v>
      </c>
      <c r="G8117" t="s">
        <v>2</v>
      </c>
      <c r="H8117" t="s">
        <v>26900</v>
      </c>
      <c r="Y8117" t="s">
        <v>33149</v>
      </c>
    </row>
    <row r="8118" spans="1:25" x14ac:dyDescent="0.25">
      <c r="A8118" t="str">
        <f>"78392493196"</f>
        <v>78392493196</v>
      </c>
      <c r="B8118" t="s">
        <v>1152</v>
      </c>
      <c r="C8118" t="s">
        <v>33153</v>
      </c>
      <c r="D8118" t="s">
        <v>33150</v>
      </c>
      <c r="E8118">
        <v>424005</v>
      </c>
      <c r="F8118" t="s">
        <v>1</v>
      </c>
      <c r="G8118" t="s">
        <v>2</v>
      </c>
      <c r="H8118" t="s">
        <v>20684</v>
      </c>
      <c r="J8118" t="s">
        <v>33151</v>
      </c>
      <c r="M8118" t="s">
        <v>33152</v>
      </c>
      <c r="Y8118" t="s">
        <v>33154</v>
      </c>
    </row>
    <row r="8119" spans="1:25" x14ac:dyDescent="0.25">
      <c r="A8119" t="str">
        <f>"78409859088"</f>
        <v>78409859088</v>
      </c>
      <c r="B8119" t="s">
        <v>738</v>
      </c>
      <c r="C8119" t="s">
        <v>6158</v>
      </c>
      <c r="D8119" t="s">
        <v>33155</v>
      </c>
      <c r="E8119">
        <v>424000</v>
      </c>
      <c r="F8119" t="s">
        <v>1</v>
      </c>
      <c r="G8119" t="s">
        <v>2</v>
      </c>
      <c r="H8119" t="s">
        <v>8365</v>
      </c>
      <c r="I8119" t="s">
        <v>33156</v>
      </c>
      <c r="J8119" t="s">
        <v>33157</v>
      </c>
      <c r="L8119" t="s">
        <v>33158</v>
      </c>
      <c r="M8119" t="s">
        <v>33159</v>
      </c>
      <c r="P8119" t="s">
        <v>458</v>
      </c>
      <c r="Q8119" t="s">
        <v>33160</v>
      </c>
      <c r="Y8119" t="s">
        <v>33161</v>
      </c>
    </row>
    <row r="8120" spans="1:25" x14ac:dyDescent="0.25">
      <c r="A8120" t="str">
        <f>"78540776928"</f>
        <v>78540776928</v>
      </c>
      <c r="B8120" t="s">
        <v>1573</v>
      </c>
      <c r="C8120" t="s">
        <v>1817</v>
      </c>
      <c r="D8120" t="s">
        <v>33162</v>
      </c>
      <c r="E8120">
        <v>424016</v>
      </c>
      <c r="F8120" t="s">
        <v>1</v>
      </c>
      <c r="G8120" t="s">
        <v>2</v>
      </c>
      <c r="H8120" t="s">
        <v>5652</v>
      </c>
      <c r="Y8120" t="s">
        <v>33163</v>
      </c>
    </row>
    <row r="8121" spans="1:25" x14ac:dyDescent="0.25">
      <c r="A8121" t="str">
        <f>"78551240598"</f>
        <v>78551240598</v>
      </c>
      <c r="B8121" t="s">
        <v>379</v>
      </c>
      <c r="C8121" t="s">
        <v>766</v>
      </c>
      <c r="D8121" t="s">
        <v>19399</v>
      </c>
      <c r="E8121">
        <v>424004</v>
      </c>
      <c r="F8121" t="s">
        <v>1</v>
      </c>
      <c r="G8121" t="s">
        <v>2</v>
      </c>
      <c r="H8121" t="s">
        <v>3266</v>
      </c>
      <c r="Y8121" t="s">
        <v>33164</v>
      </c>
    </row>
    <row r="8122" spans="1:25" x14ac:dyDescent="0.25">
      <c r="A8122" t="str">
        <f>"78621461339"</f>
        <v>78621461339</v>
      </c>
      <c r="B8122" t="s">
        <v>1611</v>
      </c>
      <c r="C8122" t="s">
        <v>3218</v>
      </c>
      <c r="D8122" t="s">
        <v>33165</v>
      </c>
      <c r="E8122">
        <v>424031</v>
      </c>
      <c r="F8122" t="s">
        <v>1</v>
      </c>
      <c r="G8122" t="s">
        <v>2</v>
      </c>
      <c r="H8122" t="s">
        <v>28588</v>
      </c>
      <c r="I8122" t="s">
        <v>33166</v>
      </c>
      <c r="L8122" t="s">
        <v>3217</v>
      </c>
      <c r="P8122" t="s">
        <v>33167</v>
      </c>
      <c r="Y8122" t="s">
        <v>33168</v>
      </c>
    </row>
    <row r="8123" spans="1:25" x14ac:dyDescent="0.25">
      <c r="A8123" t="str">
        <f>"78623963598"</f>
        <v>78623963598</v>
      </c>
      <c r="B8123" t="s">
        <v>738</v>
      </c>
      <c r="C8123" t="s">
        <v>1463</v>
      </c>
      <c r="D8123" t="s">
        <v>33169</v>
      </c>
      <c r="E8123">
        <v>424038</v>
      </c>
      <c r="F8123" t="s">
        <v>1</v>
      </c>
      <c r="G8123" t="s">
        <v>2</v>
      </c>
      <c r="H8123" t="s">
        <v>21388</v>
      </c>
      <c r="J8123" t="s">
        <v>33170</v>
      </c>
      <c r="L8123" t="s">
        <v>33171</v>
      </c>
      <c r="M8123" t="s">
        <v>33172</v>
      </c>
      <c r="P8123" t="s">
        <v>2923</v>
      </c>
      <c r="Y8123" t="s">
        <v>24293</v>
      </c>
    </row>
    <row r="8124" spans="1:25" x14ac:dyDescent="0.25">
      <c r="A8124" t="str">
        <f>"78648681812"</f>
        <v>78648681812</v>
      </c>
      <c r="B8124" t="s">
        <v>790</v>
      </c>
      <c r="C8124" t="s">
        <v>4442</v>
      </c>
      <c r="D8124" t="s">
        <v>33173</v>
      </c>
      <c r="E8124">
        <v>424000</v>
      </c>
      <c r="F8124" t="s">
        <v>1</v>
      </c>
      <c r="G8124" t="s">
        <v>2</v>
      </c>
      <c r="H8124" t="s">
        <v>164</v>
      </c>
      <c r="J8124" t="s">
        <v>33174</v>
      </c>
      <c r="L8124" t="s">
        <v>33175</v>
      </c>
      <c r="M8124" t="s">
        <v>33176</v>
      </c>
      <c r="P8124" t="s">
        <v>28828</v>
      </c>
      <c r="V8124" t="s">
        <v>33177</v>
      </c>
      <c r="Y8124" t="s">
        <v>33178</v>
      </c>
    </row>
    <row r="8125" spans="1:25" x14ac:dyDescent="0.25">
      <c r="A8125" t="str">
        <f>"78663330981"</f>
        <v>78663330981</v>
      </c>
      <c r="B8125" t="s">
        <v>300</v>
      </c>
      <c r="C8125" t="s">
        <v>8910</v>
      </c>
      <c r="D8125" t="s">
        <v>8910</v>
      </c>
      <c r="E8125">
        <v>424006</v>
      </c>
      <c r="F8125" t="s">
        <v>1</v>
      </c>
      <c r="G8125" t="s">
        <v>2</v>
      </c>
      <c r="H8125" t="s">
        <v>17999</v>
      </c>
      <c r="P8125" t="s">
        <v>280</v>
      </c>
      <c r="Y8125" t="s">
        <v>33179</v>
      </c>
    </row>
    <row r="8126" spans="1:25" x14ac:dyDescent="0.25">
      <c r="A8126" t="str">
        <f>"78675898096"</f>
        <v>78675898096</v>
      </c>
      <c r="B8126" t="s">
        <v>574</v>
      </c>
      <c r="C8126" t="s">
        <v>23520</v>
      </c>
      <c r="D8126" t="s">
        <v>33180</v>
      </c>
      <c r="E8126">
        <v>424032</v>
      </c>
      <c r="F8126" t="s">
        <v>1</v>
      </c>
      <c r="G8126" t="s">
        <v>2</v>
      </c>
      <c r="H8126" t="s">
        <v>25553</v>
      </c>
      <c r="Y8126" t="s">
        <v>33181</v>
      </c>
    </row>
    <row r="8127" spans="1:25" x14ac:dyDescent="0.25">
      <c r="A8127" t="str">
        <f>"78678222551"</f>
        <v>78678222551</v>
      </c>
      <c r="B8127" t="s">
        <v>96</v>
      </c>
      <c r="C8127" t="s">
        <v>893</v>
      </c>
      <c r="D8127" t="s">
        <v>23756</v>
      </c>
      <c r="E8127">
        <v>424019</v>
      </c>
      <c r="F8127" t="s">
        <v>1</v>
      </c>
      <c r="G8127" t="s">
        <v>2</v>
      </c>
      <c r="H8127" t="s">
        <v>1467</v>
      </c>
      <c r="Y8127" t="s">
        <v>33182</v>
      </c>
    </row>
    <row r="8128" spans="1:25" x14ac:dyDescent="0.25">
      <c r="A8128" t="str">
        <f>"78738614260"</f>
        <v>78738614260</v>
      </c>
      <c r="B8128" t="s">
        <v>574</v>
      </c>
      <c r="C8128" t="s">
        <v>14652</v>
      </c>
      <c r="D8128" t="s">
        <v>33183</v>
      </c>
      <c r="E8128">
        <v>424007</v>
      </c>
      <c r="F8128" t="s">
        <v>1</v>
      </c>
      <c r="G8128" t="s">
        <v>2</v>
      </c>
      <c r="H8128" t="s">
        <v>10091</v>
      </c>
      <c r="Y8128" t="s">
        <v>33184</v>
      </c>
    </row>
    <row r="8129" spans="1:25" x14ac:dyDescent="0.25">
      <c r="A8129" t="str">
        <f>"78750382662"</f>
        <v>78750382662</v>
      </c>
      <c r="B8129" t="s">
        <v>1573</v>
      </c>
      <c r="C8129" t="s">
        <v>33185</v>
      </c>
      <c r="D8129" t="s">
        <v>21037</v>
      </c>
      <c r="E8129">
        <v>424000</v>
      </c>
      <c r="F8129" t="s">
        <v>1</v>
      </c>
      <c r="G8129" t="s">
        <v>2</v>
      </c>
      <c r="H8129" t="s">
        <v>2671</v>
      </c>
      <c r="Y8129" t="s">
        <v>33186</v>
      </c>
    </row>
    <row r="8130" spans="1:25" x14ac:dyDescent="0.25">
      <c r="A8130" t="str">
        <f>"78767163099"</f>
        <v>78767163099</v>
      </c>
      <c r="B8130" t="s">
        <v>716</v>
      </c>
      <c r="C8130" t="s">
        <v>717</v>
      </c>
      <c r="D8130" t="s">
        <v>28552</v>
      </c>
      <c r="F8130" t="s">
        <v>1</v>
      </c>
      <c r="G8130" t="s">
        <v>2</v>
      </c>
      <c r="H8130" t="s">
        <v>28540</v>
      </c>
      <c r="Y8130" t="s">
        <v>28546</v>
      </c>
    </row>
    <row r="8131" spans="1:25" x14ac:dyDescent="0.25">
      <c r="A8131" t="str">
        <f>"78780178720"</f>
        <v>78780178720</v>
      </c>
      <c r="B8131" t="s">
        <v>930</v>
      </c>
      <c r="C8131" t="s">
        <v>33189</v>
      </c>
      <c r="D8131" t="s">
        <v>33187</v>
      </c>
      <c r="F8131" t="s">
        <v>1</v>
      </c>
      <c r="G8131" t="s">
        <v>2</v>
      </c>
      <c r="H8131" t="s">
        <v>6365</v>
      </c>
      <c r="J8131" t="s">
        <v>33188</v>
      </c>
      <c r="P8131" t="s">
        <v>2438</v>
      </c>
      <c r="Q8131" t="s">
        <v>33190</v>
      </c>
      <c r="Y8131" t="s">
        <v>33191</v>
      </c>
    </row>
    <row r="8132" spans="1:25" x14ac:dyDescent="0.25">
      <c r="A8132" t="str">
        <f>"78788013479"</f>
        <v>78788013479</v>
      </c>
      <c r="B8132" t="s">
        <v>5573</v>
      </c>
      <c r="C8132" t="s">
        <v>21453</v>
      </c>
      <c r="D8132" t="s">
        <v>33192</v>
      </c>
      <c r="E8132">
        <v>424000</v>
      </c>
      <c r="F8132" t="s">
        <v>1</v>
      </c>
      <c r="G8132" t="s">
        <v>2</v>
      </c>
      <c r="H8132" t="s">
        <v>1531</v>
      </c>
      <c r="J8132" t="s">
        <v>33193</v>
      </c>
      <c r="P8132" t="s">
        <v>941</v>
      </c>
      <c r="Q8132" t="s">
        <v>33194</v>
      </c>
      <c r="V8132" t="s">
        <v>33195</v>
      </c>
      <c r="Y8132" t="s">
        <v>33196</v>
      </c>
    </row>
    <row r="8133" spans="1:25" x14ac:dyDescent="0.25">
      <c r="A8133" t="str">
        <f>"78806086879"</f>
        <v>78806086879</v>
      </c>
      <c r="B8133" t="s">
        <v>930</v>
      </c>
      <c r="C8133" t="s">
        <v>1096</v>
      </c>
      <c r="D8133" t="s">
        <v>1094</v>
      </c>
      <c r="F8133" t="s">
        <v>1</v>
      </c>
      <c r="G8133" t="s">
        <v>2</v>
      </c>
      <c r="H8133" t="s">
        <v>33197</v>
      </c>
      <c r="Y8133" t="s">
        <v>33198</v>
      </c>
    </row>
    <row r="8134" spans="1:25" x14ac:dyDescent="0.25">
      <c r="A8134" t="str">
        <f>"78810467206"</f>
        <v>78810467206</v>
      </c>
      <c r="B8134" t="s">
        <v>3700</v>
      </c>
      <c r="C8134" t="s">
        <v>4023</v>
      </c>
      <c r="D8134" t="s">
        <v>33199</v>
      </c>
      <c r="F8134" t="s">
        <v>1</v>
      </c>
      <c r="G8134" t="s">
        <v>2</v>
      </c>
      <c r="H8134" t="s">
        <v>33200</v>
      </c>
      <c r="Y8134" t="s">
        <v>33201</v>
      </c>
    </row>
    <row r="8135" spans="1:25" x14ac:dyDescent="0.25">
      <c r="A8135" t="str">
        <f>"78816389495"</f>
        <v>78816389495</v>
      </c>
      <c r="B8135" t="s">
        <v>151</v>
      </c>
      <c r="C8135" t="s">
        <v>151</v>
      </c>
      <c r="D8135" t="s">
        <v>33202</v>
      </c>
      <c r="E8135">
        <v>424031</v>
      </c>
      <c r="F8135" t="s">
        <v>1</v>
      </c>
      <c r="G8135" t="s">
        <v>2</v>
      </c>
      <c r="H8135" t="s">
        <v>19514</v>
      </c>
      <c r="I8135" t="s">
        <v>33203</v>
      </c>
      <c r="M8135" t="s">
        <v>33204</v>
      </c>
      <c r="P8135" t="s">
        <v>330</v>
      </c>
      <c r="Q8135" t="s">
        <v>33205</v>
      </c>
      <c r="Y8135" t="s">
        <v>33206</v>
      </c>
    </row>
    <row r="8136" spans="1:25" x14ac:dyDescent="0.25">
      <c r="A8136" t="str">
        <f>"78822873823"</f>
        <v>78822873823</v>
      </c>
      <c r="B8136" t="s">
        <v>538</v>
      </c>
      <c r="C8136" t="s">
        <v>33208</v>
      </c>
      <c r="D8136" t="s">
        <v>33207</v>
      </c>
      <c r="E8136">
        <v>424037</v>
      </c>
      <c r="F8136" t="s">
        <v>1</v>
      </c>
      <c r="G8136" t="s">
        <v>2</v>
      </c>
      <c r="H8136" t="s">
        <v>8494</v>
      </c>
      <c r="Y8136" t="s">
        <v>33209</v>
      </c>
    </row>
    <row r="8137" spans="1:25" x14ac:dyDescent="0.25">
      <c r="A8137" t="str">
        <f>"78862622110"</f>
        <v>78862622110</v>
      </c>
      <c r="B8137" t="s">
        <v>160</v>
      </c>
      <c r="C8137" t="s">
        <v>2479</v>
      </c>
      <c r="D8137" t="s">
        <v>33210</v>
      </c>
      <c r="E8137">
        <v>424028</v>
      </c>
      <c r="F8137" t="s">
        <v>1</v>
      </c>
      <c r="G8137" t="s">
        <v>2</v>
      </c>
      <c r="H8137" t="s">
        <v>24899</v>
      </c>
      <c r="I8137" t="s">
        <v>33211</v>
      </c>
      <c r="L8137" t="s">
        <v>33212</v>
      </c>
      <c r="M8137" t="s">
        <v>33213</v>
      </c>
      <c r="P8137" t="s">
        <v>390</v>
      </c>
      <c r="Y8137" t="s">
        <v>33214</v>
      </c>
    </row>
    <row r="8138" spans="1:25" x14ac:dyDescent="0.25">
      <c r="A8138" t="str">
        <f>"78877745841"</f>
        <v>78877745841</v>
      </c>
      <c r="B8138" t="s">
        <v>574</v>
      </c>
      <c r="C8138" t="s">
        <v>33217</v>
      </c>
      <c r="D8138" t="s">
        <v>6102</v>
      </c>
      <c r="E8138">
        <v>424004</v>
      </c>
      <c r="F8138" t="s">
        <v>1</v>
      </c>
      <c r="G8138" t="s">
        <v>2</v>
      </c>
      <c r="H8138" t="s">
        <v>186</v>
      </c>
      <c r="J8138" t="s">
        <v>12635</v>
      </c>
      <c r="L8138" t="s">
        <v>33215</v>
      </c>
      <c r="M8138" t="s">
        <v>33216</v>
      </c>
      <c r="Q8138" t="s">
        <v>33218</v>
      </c>
      <c r="T8138" t="s">
        <v>33219</v>
      </c>
      <c r="Y8138" t="s">
        <v>190</v>
      </c>
    </row>
    <row r="8139" spans="1:25" x14ac:dyDescent="0.25">
      <c r="A8139" t="str">
        <f>"78892307555"</f>
        <v>78892307555</v>
      </c>
      <c r="B8139" t="s">
        <v>13538</v>
      </c>
      <c r="C8139" t="s">
        <v>13539</v>
      </c>
      <c r="D8139" t="s">
        <v>33220</v>
      </c>
      <c r="E8139">
        <v>424007</v>
      </c>
      <c r="F8139" t="s">
        <v>1</v>
      </c>
      <c r="G8139" t="s">
        <v>2</v>
      </c>
      <c r="H8139" t="s">
        <v>10252</v>
      </c>
      <c r="I8139" t="s">
        <v>33221</v>
      </c>
      <c r="J8139" t="s">
        <v>33222</v>
      </c>
      <c r="L8139" t="s">
        <v>33223</v>
      </c>
      <c r="M8139" t="s">
        <v>33224</v>
      </c>
      <c r="P8139" t="s">
        <v>152</v>
      </c>
      <c r="Y8139" t="s">
        <v>10258</v>
      </c>
    </row>
    <row r="8140" spans="1:25" x14ac:dyDescent="0.25">
      <c r="A8140" t="str">
        <f>"78904328377"</f>
        <v>78904328377</v>
      </c>
      <c r="B8140" t="s">
        <v>640</v>
      </c>
      <c r="C8140" t="s">
        <v>29164</v>
      </c>
      <c r="D8140" t="s">
        <v>33225</v>
      </c>
      <c r="F8140" t="s">
        <v>1</v>
      </c>
      <c r="G8140" t="s">
        <v>2</v>
      </c>
      <c r="H8140" t="s">
        <v>30862</v>
      </c>
      <c r="Y8140" t="s">
        <v>33226</v>
      </c>
    </row>
    <row r="8141" spans="1:25" x14ac:dyDescent="0.25">
      <c r="A8141" t="str">
        <f>"78910425979"</f>
        <v>78910425979</v>
      </c>
      <c r="B8141" t="s">
        <v>96</v>
      </c>
      <c r="C8141" t="s">
        <v>893</v>
      </c>
      <c r="D8141" t="s">
        <v>29523</v>
      </c>
      <c r="E8141">
        <v>424032</v>
      </c>
      <c r="F8141" t="s">
        <v>1</v>
      </c>
      <c r="G8141" t="s">
        <v>2</v>
      </c>
      <c r="H8141" t="s">
        <v>25553</v>
      </c>
      <c r="Y8141" t="s">
        <v>33227</v>
      </c>
    </row>
    <row r="8142" spans="1:25" x14ac:dyDescent="0.25">
      <c r="A8142" t="str">
        <f>"78991852002"</f>
        <v>78991852002</v>
      </c>
      <c r="B8142" t="s">
        <v>930</v>
      </c>
      <c r="C8142" t="s">
        <v>1096</v>
      </c>
      <c r="D8142" t="s">
        <v>1094</v>
      </c>
      <c r="E8142">
        <v>424039</v>
      </c>
      <c r="F8142" t="s">
        <v>1</v>
      </c>
      <c r="G8142" t="s">
        <v>2</v>
      </c>
      <c r="H8142" t="s">
        <v>33228</v>
      </c>
      <c r="Y8142" t="s">
        <v>33229</v>
      </c>
    </row>
    <row r="8143" spans="1:25" x14ac:dyDescent="0.25">
      <c r="A8143" t="str">
        <f>"79003947541"</f>
        <v>79003947541</v>
      </c>
      <c r="B8143" t="s">
        <v>654</v>
      </c>
      <c r="C8143" t="s">
        <v>14448</v>
      </c>
      <c r="D8143" t="s">
        <v>4776</v>
      </c>
      <c r="E8143">
        <v>424038</v>
      </c>
      <c r="F8143" t="s">
        <v>1</v>
      </c>
      <c r="G8143" t="s">
        <v>2</v>
      </c>
      <c r="H8143" t="s">
        <v>2087</v>
      </c>
      <c r="Y8143" t="s">
        <v>33230</v>
      </c>
    </row>
    <row r="8144" spans="1:25" x14ac:dyDescent="0.25">
      <c r="A8144" t="str">
        <f>"79025127978"</f>
        <v>79025127978</v>
      </c>
      <c r="B8144" t="s">
        <v>790</v>
      </c>
      <c r="C8144" t="s">
        <v>4583</v>
      </c>
      <c r="D8144" t="s">
        <v>33231</v>
      </c>
      <c r="E8144">
        <v>424008</v>
      </c>
      <c r="F8144" t="s">
        <v>1</v>
      </c>
      <c r="G8144" t="s">
        <v>2</v>
      </c>
      <c r="H8144" t="s">
        <v>11060</v>
      </c>
      <c r="I8144" t="s">
        <v>33232</v>
      </c>
      <c r="P8144" t="s">
        <v>33233</v>
      </c>
      <c r="Y8144" t="s">
        <v>11964</v>
      </c>
    </row>
    <row r="8145" spans="1:25" x14ac:dyDescent="0.25">
      <c r="A8145" t="str">
        <f>"79047000479"</f>
        <v>79047000479</v>
      </c>
      <c r="B8145" t="s">
        <v>352</v>
      </c>
      <c r="C8145" t="s">
        <v>33238</v>
      </c>
      <c r="D8145" t="s">
        <v>33234</v>
      </c>
      <c r="F8145" t="s">
        <v>1</v>
      </c>
      <c r="G8145" t="s">
        <v>2</v>
      </c>
      <c r="H8145" t="s">
        <v>1600</v>
      </c>
      <c r="I8145" t="s">
        <v>33235</v>
      </c>
      <c r="L8145" t="s">
        <v>33236</v>
      </c>
      <c r="M8145" t="s">
        <v>33237</v>
      </c>
      <c r="P8145" t="s">
        <v>1232</v>
      </c>
      <c r="Y8145" t="s">
        <v>33239</v>
      </c>
    </row>
    <row r="8146" spans="1:25" x14ac:dyDescent="0.25">
      <c r="A8146" t="str">
        <f>"79054439707"</f>
        <v>79054439707</v>
      </c>
      <c r="B8146" t="s">
        <v>88</v>
      </c>
      <c r="C8146" t="s">
        <v>6066</v>
      </c>
      <c r="D8146" t="s">
        <v>33240</v>
      </c>
      <c r="E8146">
        <v>424000</v>
      </c>
      <c r="F8146" t="s">
        <v>1</v>
      </c>
      <c r="G8146" t="s">
        <v>2</v>
      </c>
      <c r="H8146" t="s">
        <v>4255</v>
      </c>
      <c r="Y8146" t="s">
        <v>4256</v>
      </c>
    </row>
    <row r="8147" spans="1:25" x14ac:dyDescent="0.25">
      <c r="A8147" t="str">
        <f>"79067315277"</f>
        <v>79067315277</v>
      </c>
      <c r="B8147" t="s">
        <v>32</v>
      </c>
      <c r="C8147" t="s">
        <v>12657</v>
      </c>
      <c r="D8147" t="s">
        <v>33241</v>
      </c>
      <c r="E8147">
        <v>424003</v>
      </c>
      <c r="F8147" t="s">
        <v>1</v>
      </c>
      <c r="G8147" t="s">
        <v>2</v>
      </c>
      <c r="H8147" t="s">
        <v>22528</v>
      </c>
      <c r="J8147" t="s">
        <v>33242</v>
      </c>
      <c r="L8147" t="s">
        <v>33243</v>
      </c>
      <c r="M8147" t="s">
        <v>22120</v>
      </c>
      <c r="P8147" t="s">
        <v>1027</v>
      </c>
      <c r="Q8147" t="s">
        <v>33244</v>
      </c>
      <c r="V8147" t="s">
        <v>33245</v>
      </c>
      <c r="Y8147" t="s">
        <v>33246</v>
      </c>
    </row>
    <row r="8148" spans="1:25" x14ac:dyDescent="0.25">
      <c r="A8148" t="str">
        <f>"79088914324"</f>
        <v>79088914324</v>
      </c>
      <c r="B8148" t="s">
        <v>574</v>
      </c>
      <c r="C8148" t="s">
        <v>646</v>
      </c>
      <c r="D8148" t="s">
        <v>33247</v>
      </c>
      <c r="E8148">
        <v>424039</v>
      </c>
      <c r="F8148" t="s">
        <v>1</v>
      </c>
      <c r="G8148" t="s">
        <v>2</v>
      </c>
      <c r="H8148" t="s">
        <v>5827</v>
      </c>
      <c r="Y8148" t="s">
        <v>23921</v>
      </c>
    </row>
    <row r="8149" spans="1:25" x14ac:dyDescent="0.25">
      <c r="A8149" t="str">
        <f>"79178038900"</f>
        <v>79178038900</v>
      </c>
      <c r="B8149" t="s">
        <v>746</v>
      </c>
      <c r="C8149" t="s">
        <v>33251</v>
      </c>
      <c r="D8149" t="s">
        <v>33248</v>
      </c>
      <c r="E8149">
        <v>424002</v>
      </c>
      <c r="F8149" t="s">
        <v>1</v>
      </c>
      <c r="G8149" t="s">
        <v>2</v>
      </c>
      <c r="H8149" t="s">
        <v>14513</v>
      </c>
      <c r="L8149" t="s">
        <v>33249</v>
      </c>
      <c r="M8149" t="s">
        <v>33250</v>
      </c>
      <c r="Y8149" t="s">
        <v>33252</v>
      </c>
    </row>
    <row r="8150" spans="1:25" x14ac:dyDescent="0.25">
      <c r="A8150" t="str">
        <f>"79192398544"</f>
        <v>79192398544</v>
      </c>
      <c r="B8150" t="s">
        <v>1323</v>
      </c>
      <c r="C8150" t="s">
        <v>1324</v>
      </c>
      <c r="D8150" t="s">
        <v>33253</v>
      </c>
      <c r="E8150">
        <v>424006</v>
      </c>
      <c r="F8150" t="s">
        <v>1</v>
      </c>
      <c r="G8150" t="s">
        <v>2</v>
      </c>
      <c r="H8150" t="s">
        <v>21558</v>
      </c>
      <c r="Y8150" t="s">
        <v>26687</v>
      </c>
    </row>
    <row r="8151" spans="1:25" x14ac:dyDescent="0.25">
      <c r="A8151" t="str">
        <f>"79210958049"</f>
        <v>79210958049</v>
      </c>
      <c r="B8151" t="s">
        <v>117</v>
      </c>
      <c r="C8151" t="s">
        <v>6850</v>
      </c>
      <c r="D8151" t="s">
        <v>33254</v>
      </c>
      <c r="E8151">
        <v>424033</v>
      </c>
      <c r="F8151" t="s">
        <v>1</v>
      </c>
      <c r="G8151" t="s">
        <v>2</v>
      </c>
      <c r="H8151" t="s">
        <v>33255</v>
      </c>
      <c r="Y8151" t="s">
        <v>33256</v>
      </c>
    </row>
    <row r="8152" spans="1:25" x14ac:dyDescent="0.25">
      <c r="A8152" t="str">
        <f>"79226669345"</f>
        <v>79226669345</v>
      </c>
      <c r="B8152" t="s">
        <v>18</v>
      </c>
      <c r="C8152" t="s">
        <v>143</v>
      </c>
      <c r="D8152" t="s">
        <v>33257</v>
      </c>
      <c r="E8152">
        <v>424007</v>
      </c>
      <c r="F8152" t="s">
        <v>1</v>
      </c>
      <c r="G8152" t="s">
        <v>2</v>
      </c>
      <c r="H8152" t="s">
        <v>33258</v>
      </c>
      <c r="I8152" t="s">
        <v>33259</v>
      </c>
      <c r="P8152" t="s">
        <v>20</v>
      </c>
      <c r="Y8152" t="s">
        <v>33260</v>
      </c>
    </row>
    <row r="8153" spans="1:25" x14ac:dyDescent="0.25">
      <c r="A8153" t="str">
        <f>"79249616004"</f>
        <v>79249616004</v>
      </c>
      <c r="B8153" t="s">
        <v>1573</v>
      </c>
      <c r="C8153" t="s">
        <v>31523</v>
      </c>
      <c r="D8153" t="s">
        <v>33261</v>
      </c>
      <c r="F8153" t="s">
        <v>1</v>
      </c>
      <c r="G8153" t="s">
        <v>2</v>
      </c>
      <c r="H8153" t="s">
        <v>16696</v>
      </c>
      <c r="Y8153" t="s">
        <v>33262</v>
      </c>
    </row>
    <row r="8154" spans="1:25" x14ac:dyDescent="0.25">
      <c r="A8154" t="str">
        <f>"79249851497"</f>
        <v>79249851497</v>
      </c>
      <c r="B8154" t="s">
        <v>32</v>
      </c>
      <c r="C8154" t="s">
        <v>5809</v>
      </c>
      <c r="D8154" t="s">
        <v>12025</v>
      </c>
      <c r="E8154">
        <v>424019</v>
      </c>
      <c r="F8154" t="s">
        <v>1</v>
      </c>
      <c r="G8154" t="s">
        <v>2</v>
      </c>
      <c r="H8154" t="s">
        <v>33263</v>
      </c>
      <c r="Y8154" t="s">
        <v>33264</v>
      </c>
    </row>
    <row r="8155" spans="1:25" x14ac:dyDescent="0.25">
      <c r="A8155" t="str">
        <f>"79283429096"</f>
        <v>79283429096</v>
      </c>
      <c r="B8155" t="s">
        <v>7312</v>
      </c>
      <c r="C8155" t="s">
        <v>9849</v>
      </c>
      <c r="D8155" t="s">
        <v>33265</v>
      </c>
      <c r="E8155">
        <v>424000</v>
      </c>
      <c r="F8155" t="s">
        <v>1</v>
      </c>
      <c r="G8155" t="s">
        <v>2</v>
      </c>
      <c r="H8155" t="s">
        <v>164</v>
      </c>
      <c r="Y8155" t="s">
        <v>33266</v>
      </c>
    </row>
    <row r="8156" spans="1:25" x14ac:dyDescent="0.25">
      <c r="A8156" t="str">
        <f>"79332205470"</f>
        <v>79332205470</v>
      </c>
      <c r="B8156" t="s">
        <v>131</v>
      </c>
      <c r="C8156" t="s">
        <v>33269</v>
      </c>
      <c r="D8156" t="s">
        <v>9436</v>
      </c>
      <c r="E8156">
        <v>424002</v>
      </c>
      <c r="F8156" t="s">
        <v>1</v>
      </c>
      <c r="G8156" t="s">
        <v>2</v>
      </c>
      <c r="H8156" t="s">
        <v>33267</v>
      </c>
      <c r="I8156" t="s">
        <v>33268</v>
      </c>
      <c r="L8156" t="s">
        <v>194</v>
      </c>
      <c r="M8156" t="s">
        <v>195</v>
      </c>
      <c r="Y8156" t="s">
        <v>33270</v>
      </c>
    </row>
    <row r="8157" spans="1:25" x14ac:dyDescent="0.25">
      <c r="A8157" t="str">
        <f>"79360893443"</f>
        <v>79360893443</v>
      </c>
      <c r="B8157" t="s">
        <v>530</v>
      </c>
      <c r="C8157" t="s">
        <v>23950</v>
      </c>
      <c r="D8157" t="s">
        <v>23950</v>
      </c>
      <c r="E8157">
        <v>424007</v>
      </c>
      <c r="F8157" t="s">
        <v>1</v>
      </c>
      <c r="G8157" t="s">
        <v>2</v>
      </c>
      <c r="H8157" t="s">
        <v>15418</v>
      </c>
      <c r="Y8157" t="s">
        <v>33271</v>
      </c>
    </row>
    <row r="8158" spans="1:25" x14ac:dyDescent="0.25">
      <c r="A8158" t="str">
        <f>"79370407389"</f>
        <v>79370407389</v>
      </c>
      <c r="B8158" t="s">
        <v>1152</v>
      </c>
      <c r="C8158" t="s">
        <v>2319</v>
      </c>
      <c r="D8158" t="s">
        <v>33272</v>
      </c>
      <c r="E8158">
        <v>424918</v>
      </c>
      <c r="F8158" t="s">
        <v>1</v>
      </c>
      <c r="G8158" t="s">
        <v>2</v>
      </c>
      <c r="H8158" t="s">
        <v>629</v>
      </c>
      <c r="P8158" t="s">
        <v>630</v>
      </c>
      <c r="Y8158" t="s">
        <v>1744</v>
      </c>
    </row>
    <row r="8159" spans="1:25" x14ac:dyDescent="0.25">
      <c r="A8159" t="str">
        <f>"79377933435"</f>
        <v>79377933435</v>
      </c>
      <c r="B8159" t="s">
        <v>176</v>
      </c>
      <c r="C8159" t="s">
        <v>4741</v>
      </c>
      <c r="D8159" t="s">
        <v>33273</v>
      </c>
      <c r="E8159">
        <v>424007</v>
      </c>
      <c r="F8159" t="s">
        <v>1</v>
      </c>
      <c r="G8159" t="s">
        <v>2</v>
      </c>
      <c r="H8159" t="s">
        <v>22705</v>
      </c>
      <c r="J8159" t="s">
        <v>33274</v>
      </c>
      <c r="P8159" t="s">
        <v>144</v>
      </c>
      <c r="Y8159" t="s">
        <v>33275</v>
      </c>
    </row>
    <row r="8160" spans="1:25" x14ac:dyDescent="0.25">
      <c r="A8160" t="str">
        <f>"79380663274"</f>
        <v>79380663274</v>
      </c>
      <c r="B8160" t="s">
        <v>18</v>
      </c>
      <c r="C8160" t="s">
        <v>33277</v>
      </c>
      <c r="D8160" t="s">
        <v>4522</v>
      </c>
      <c r="F8160" t="s">
        <v>1</v>
      </c>
      <c r="G8160" t="s">
        <v>2</v>
      </c>
      <c r="H8160" t="s">
        <v>33276</v>
      </c>
      <c r="P8160" t="s">
        <v>3938</v>
      </c>
      <c r="Y8160" t="s">
        <v>33278</v>
      </c>
    </row>
    <row r="8161" spans="1:25" x14ac:dyDescent="0.25">
      <c r="A8161" t="str">
        <f>"79400227869"</f>
        <v>79400227869</v>
      </c>
      <c r="B8161" t="s">
        <v>3544</v>
      </c>
      <c r="C8161" t="s">
        <v>11303</v>
      </c>
      <c r="D8161" t="s">
        <v>33279</v>
      </c>
      <c r="F8161" t="s">
        <v>1</v>
      </c>
      <c r="G8161" t="s">
        <v>2</v>
      </c>
      <c r="H8161" t="s">
        <v>24011</v>
      </c>
      <c r="Y8161" t="s">
        <v>33280</v>
      </c>
    </row>
    <row r="8162" spans="1:25" x14ac:dyDescent="0.25">
      <c r="A8162" t="str">
        <f>"79404320496"</f>
        <v>79404320496</v>
      </c>
      <c r="B8162" t="s">
        <v>1475</v>
      </c>
      <c r="C8162" t="s">
        <v>1476</v>
      </c>
      <c r="D8162" t="s">
        <v>16112</v>
      </c>
      <c r="E8162">
        <v>424038</v>
      </c>
      <c r="F8162" t="s">
        <v>1</v>
      </c>
      <c r="G8162" t="s">
        <v>2</v>
      </c>
      <c r="H8162" t="s">
        <v>16988</v>
      </c>
      <c r="J8162" t="s">
        <v>33281</v>
      </c>
      <c r="P8162" t="s">
        <v>33282</v>
      </c>
      <c r="Y8162" t="s">
        <v>33283</v>
      </c>
    </row>
    <row r="8163" spans="1:25" x14ac:dyDescent="0.25">
      <c r="A8163" t="str">
        <f>"79426816136"</f>
        <v>79426816136</v>
      </c>
      <c r="B8163" t="s">
        <v>96</v>
      </c>
      <c r="C8163" t="s">
        <v>659</v>
      </c>
      <c r="D8163" t="s">
        <v>33284</v>
      </c>
      <c r="E8163">
        <v>424006</v>
      </c>
      <c r="F8163" t="s">
        <v>1</v>
      </c>
      <c r="G8163" t="s">
        <v>2</v>
      </c>
      <c r="H8163" t="s">
        <v>15013</v>
      </c>
      <c r="P8163" t="s">
        <v>410</v>
      </c>
      <c r="Y8163" t="s">
        <v>33285</v>
      </c>
    </row>
    <row r="8164" spans="1:25" x14ac:dyDescent="0.25">
      <c r="A8164" t="str">
        <f>"79430259637"</f>
        <v>79430259637</v>
      </c>
      <c r="B8164" t="s">
        <v>224</v>
      </c>
      <c r="C8164" t="s">
        <v>26269</v>
      </c>
      <c r="D8164" t="s">
        <v>28096</v>
      </c>
      <c r="E8164">
        <v>424004</v>
      </c>
      <c r="F8164" t="s">
        <v>1</v>
      </c>
      <c r="G8164" t="s">
        <v>2</v>
      </c>
      <c r="H8164" t="s">
        <v>33286</v>
      </c>
      <c r="J8164" t="s">
        <v>33287</v>
      </c>
      <c r="P8164" t="s">
        <v>3690</v>
      </c>
      <c r="Y8164" t="s">
        <v>33288</v>
      </c>
    </row>
    <row r="8165" spans="1:25" x14ac:dyDescent="0.25">
      <c r="A8165" t="str">
        <f>"79455389976"</f>
        <v>79455389976</v>
      </c>
      <c r="B8165" t="s">
        <v>18</v>
      </c>
      <c r="C8165" t="s">
        <v>33292</v>
      </c>
      <c r="D8165" t="s">
        <v>33289</v>
      </c>
      <c r="E8165">
        <v>424007</v>
      </c>
      <c r="F8165" t="s">
        <v>1</v>
      </c>
      <c r="G8165" t="s">
        <v>2</v>
      </c>
      <c r="H8165" t="s">
        <v>23896</v>
      </c>
      <c r="J8165" t="s">
        <v>33290</v>
      </c>
      <c r="M8165" t="s">
        <v>33291</v>
      </c>
      <c r="P8165" t="s">
        <v>390</v>
      </c>
      <c r="Y8165" t="s">
        <v>23992</v>
      </c>
    </row>
    <row r="8166" spans="1:25" x14ac:dyDescent="0.25">
      <c r="A8166" t="str">
        <f>"79463589879"</f>
        <v>79463589879</v>
      </c>
      <c r="B8166" t="s">
        <v>32</v>
      </c>
      <c r="C8166" t="s">
        <v>33295</v>
      </c>
      <c r="D8166" t="s">
        <v>33293</v>
      </c>
      <c r="E8166">
        <v>424036</v>
      </c>
      <c r="F8166" t="s">
        <v>1</v>
      </c>
      <c r="G8166" t="s">
        <v>2</v>
      </c>
      <c r="H8166" t="s">
        <v>24169</v>
      </c>
      <c r="J8166" t="s">
        <v>33294</v>
      </c>
      <c r="P8166" t="s">
        <v>13820</v>
      </c>
      <c r="Q8166" t="s">
        <v>33296</v>
      </c>
      <c r="V8166" t="s">
        <v>33297</v>
      </c>
      <c r="Y8166" t="s">
        <v>33298</v>
      </c>
    </row>
    <row r="8167" spans="1:25" x14ac:dyDescent="0.25">
      <c r="A8167" t="str">
        <f>"79472155272"</f>
        <v>79472155272</v>
      </c>
      <c r="B8167" t="s">
        <v>930</v>
      </c>
      <c r="C8167" t="s">
        <v>33301</v>
      </c>
      <c r="D8167" t="s">
        <v>33299</v>
      </c>
      <c r="F8167" t="s">
        <v>1</v>
      </c>
      <c r="G8167" t="s">
        <v>2</v>
      </c>
      <c r="H8167" t="s">
        <v>10476</v>
      </c>
      <c r="J8167" t="s">
        <v>33300</v>
      </c>
      <c r="Q8167" t="s">
        <v>33302</v>
      </c>
      <c r="Y8167" t="s">
        <v>33303</v>
      </c>
    </row>
    <row r="8168" spans="1:25" x14ac:dyDescent="0.25">
      <c r="A8168" t="str">
        <f>"79490817916"</f>
        <v>79490817916</v>
      </c>
      <c r="B8168" t="s">
        <v>80</v>
      </c>
      <c r="C8168" t="s">
        <v>11414</v>
      </c>
      <c r="D8168" t="s">
        <v>33304</v>
      </c>
      <c r="E8168">
        <v>424003</v>
      </c>
      <c r="F8168" t="s">
        <v>1</v>
      </c>
      <c r="G8168" t="s">
        <v>2</v>
      </c>
      <c r="H8168" t="s">
        <v>1725</v>
      </c>
      <c r="Y8168" t="s">
        <v>33305</v>
      </c>
    </row>
    <row r="8169" spans="1:25" x14ac:dyDescent="0.25">
      <c r="A8169" t="str">
        <f>"79499104054"</f>
        <v>79499104054</v>
      </c>
      <c r="B8169" t="s">
        <v>930</v>
      </c>
      <c r="C8169" t="s">
        <v>1096</v>
      </c>
      <c r="D8169" t="s">
        <v>33306</v>
      </c>
      <c r="F8169" t="s">
        <v>1</v>
      </c>
      <c r="G8169" t="s">
        <v>2</v>
      </c>
      <c r="H8169" t="s">
        <v>33307</v>
      </c>
      <c r="J8169" t="s">
        <v>33308</v>
      </c>
      <c r="P8169" t="s">
        <v>10632</v>
      </c>
      <c r="Y8169" t="s">
        <v>33309</v>
      </c>
    </row>
    <row r="8170" spans="1:25" x14ac:dyDescent="0.25">
      <c r="A8170" t="str">
        <f>"79519524550"</f>
        <v>79519524550</v>
      </c>
      <c r="B8170" t="s">
        <v>447</v>
      </c>
      <c r="C8170" t="s">
        <v>16100</v>
      </c>
      <c r="D8170" t="s">
        <v>33310</v>
      </c>
      <c r="E8170">
        <v>424006</v>
      </c>
      <c r="F8170" t="s">
        <v>1</v>
      </c>
      <c r="G8170" t="s">
        <v>2</v>
      </c>
      <c r="H8170" t="s">
        <v>445</v>
      </c>
      <c r="J8170" t="s">
        <v>33311</v>
      </c>
      <c r="L8170" t="s">
        <v>33312</v>
      </c>
      <c r="M8170" t="s">
        <v>33313</v>
      </c>
      <c r="P8170" t="s">
        <v>33314</v>
      </c>
      <c r="Y8170" t="s">
        <v>449</v>
      </c>
    </row>
    <row r="8171" spans="1:25" x14ac:dyDescent="0.25">
      <c r="A8171" t="str">
        <f>"79533888683"</f>
        <v>79533888683</v>
      </c>
      <c r="B8171" t="s">
        <v>574</v>
      </c>
      <c r="C8171" t="s">
        <v>8884</v>
      </c>
      <c r="D8171" t="s">
        <v>8880</v>
      </c>
      <c r="E8171">
        <v>424040</v>
      </c>
      <c r="F8171" t="s">
        <v>1</v>
      </c>
      <c r="G8171" t="s">
        <v>2</v>
      </c>
      <c r="H8171" t="s">
        <v>20151</v>
      </c>
      <c r="J8171" t="s">
        <v>33315</v>
      </c>
      <c r="L8171" t="s">
        <v>26240</v>
      </c>
      <c r="M8171" t="s">
        <v>8883</v>
      </c>
      <c r="P8171" t="s">
        <v>26241</v>
      </c>
      <c r="Q8171" t="s">
        <v>8886</v>
      </c>
      <c r="T8171" t="s">
        <v>8887</v>
      </c>
      <c r="V8171" t="s">
        <v>8888</v>
      </c>
      <c r="Y8171" t="s">
        <v>20152</v>
      </c>
    </row>
    <row r="8172" spans="1:25" x14ac:dyDescent="0.25">
      <c r="A8172" t="str">
        <f>"79552795390"</f>
        <v>79552795390</v>
      </c>
      <c r="B8172" t="s">
        <v>574</v>
      </c>
      <c r="C8172" t="s">
        <v>24608</v>
      </c>
      <c r="D8172" t="s">
        <v>33316</v>
      </c>
      <c r="E8172">
        <v>424002</v>
      </c>
      <c r="F8172" t="s">
        <v>1</v>
      </c>
      <c r="G8172" t="s">
        <v>2</v>
      </c>
      <c r="H8172" t="s">
        <v>11341</v>
      </c>
      <c r="I8172" t="s">
        <v>32087</v>
      </c>
      <c r="L8172" t="s">
        <v>24606</v>
      </c>
      <c r="M8172" t="s">
        <v>24607</v>
      </c>
      <c r="P8172" t="s">
        <v>8994</v>
      </c>
      <c r="Q8172" t="s">
        <v>33317</v>
      </c>
      <c r="Y8172" t="s">
        <v>11344</v>
      </c>
    </row>
    <row r="8173" spans="1:25" x14ac:dyDescent="0.25">
      <c r="A8173" t="str">
        <f>"79558628264"</f>
        <v>79558628264</v>
      </c>
      <c r="B8173" t="s">
        <v>3008</v>
      </c>
      <c r="C8173" t="s">
        <v>33323</v>
      </c>
      <c r="D8173" t="s">
        <v>33318</v>
      </c>
      <c r="E8173">
        <v>424006</v>
      </c>
      <c r="F8173" t="s">
        <v>1</v>
      </c>
      <c r="G8173" t="s">
        <v>2</v>
      </c>
      <c r="H8173" t="s">
        <v>33319</v>
      </c>
      <c r="I8173" t="s">
        <v>33320</v>
      </c>
      <c r="L8173" t="s">
        <v>33321</v>
      </c>
      <c r="M8173" t="s">
        <v>33322</v>
      </c>
      <c r="P8173" t="s">
        <v>7390</v>
      </c>
      <c r="Y8173" t="s">
        <v>33324</v>
      </c>
    </row>
    <row r="8174" spans="1:25" x14ac:dyDescent="0.25">
      <c r="A8174" t="str">
        <f>"79602527267"</f>
        <v>79602527267</v>
      </c>
      <c r="B8174" t="s">
        <v>456</v>
      </c>
      <c r="C8174" t="s">
        <v>2773</v>
      </c>
      <c r="D8174" t="s">
        <v>33325</v>
      </c>
      <c r="E8174">
        <v>424016</v>
      </c>
      <c r="F8174" t="s">
        <v>1</v>
      </c>
      <c r="G8174" t="s">
        <v>2</v>
      </c>
      <c r="H8174" t="s">
        <v>5561</v>
      </c>
      <c r="J8174" t="s">
        <v>33326</v>
      </c>
      <c r="P8174" t="s">
        <v>27</v>
      </c>
      <c r="Y8174" t="s">
        <v>33327</v>
      </c>
    </row>
    <row r="8175" spans="1:25" x14ac:dyDescent="0.25">
      <c r="A8175" t="str">
        <f>"79611269839"</f>
        <v>79611269839</v>
      </c>
      <c r="B8175" t="s">
        <v>96</v>
      </c>
      <c r="C8175" t="s">
        <v>33328</v>
      </c>
      <c r="D8175" t="s">
        <v>12115</v>
      </c>
      <c r="E8175">
        <v>424002</v>
      </c>
      <c r="F8175" t="s">
        <v>1</v>
      </c>
      <c r="G8175" t="s">
        <v>2</v>
      </c>
      <c r="H8175" t="s">
        <v>1886</v>
      </c>
      <c r="Y8175" t="s">
        <v>32115</v>
      </c>
    </row>
    <row r="8176" spans="1:25" x14ac:dyDescent="0.25">
      <c r="A8176" t="str">
        <f>"79619600998"</f>
        <v>79619600998</v>
      </c>
      <c r="B8176" t="s">
        <v>930</v>
      </c>
      <c r="C8176" t="s">
        <v>10263</v>
      </c>
      <c r="D8176" t="s">
        <v>33329</v>
      </c>
      <c r="F8176" t="s">
        <v>1</v>
      </c>
      <c r="G8176" t="s">
        <v>2</v>
      </c>
      <c r="H8176" t="s">
        <v>29412</v>
      </c>
      <c r="I8176" t="s">
        <v>33330</v>
      </c>
      <c r="J8176" t="s">
        <v>33331</v>
      </c>
      <c r="L8176" t="s">
        <v>33332</v>
      </c>
      <c r="M8176" t="s">
        <v>33333</v>
      </c>
      <c r="P8176" t="s">
        <v>330</v>
      </c>
      <c r="Q8176" t="s">
        <v>33334</v>
      </c>
      <c r="Y8176" t="s">
        <v>33335</v>
      </c>
    </row>
    <row r="8177" spans="1:25" x14ac:dyDescent="0.25">
      <c r="A8177" t="str">
        <f>"79620933644"</f>
        <v>79620933644</v>
      </c>
      <c r="B8177" t="s">
        <v>803</v>
      </c>
      <c r="C8177" t="s">
        <v>17261</v>
      </c>
      <c r="D8177" t="s">
        <v>33336</v>
      </c>
      <c r="E8177">
        <v>424038</v>
      </c>
      <c r="F8177" t="s">
        <v>1</v>
      </c>
      <c r="G8177" t="s">
        <v>2</v>
      </c>
      <c r="H8177" t="s">
        <v>21507</v>
      </c>
      <c r="J8177" t="s">
        <v>31875</v>
      </c>
      <c r="M8177" t="s">
        <v>33337</v>
      </c>
      <c r="P8177" t="s">
        <v>1760</v>
      </c>
      <c r="Y8177" t="s">
        <v>33338</v>
      </c>
    </row>
    <row r="8178" spans="1:25" x14ac:dyDescent="0.25">
      <c r="A8178" t="str">
        <f>"79702144827"</f>
        <v>79702144827</v>
      </c>
      <c r="B8178" t="s">
        <v>2601</v>
      </c>
      <c r="C8178" t="s">
        <v>33340</v>
      </c>
      <c r="D8178" t="s">
        <v>33339</v>
      </c>
      <c r="E8178">
        <v>424000</v>
      </c>
      <c r="F8178" t="s">
        <v>1</v>
      </c>
      <c r="G8178" t="s">
        <v>2</v>
      </c>
      <c r="H8178" t="s">
        <v>2671</v>
      </c>
      <c r="Y8178" t="s">
        <v>2674</v>
      </c>
    </row>
    <row r="8179" spans="1:25" x14ac:dyDescent="0.25">
      <c r="A8179" t="str">
        <f>"79725663261"</f>
        <v>79725663261</v>
      </c>
      <c r="B8179" t="s">
        <v>530</v>
      </c>
      <c r="C8179" t="s">
        <v>23950</v>
      </c>
      <c r="D8179" t="s">
        <v>23950</v>
      </c>
      <c r="F8179" t="s">
        <v>1</v>
      </c>
      <c r="G8179" t="s">
        <v>2</v>
      </c>
      <c r="H8179" t="s">
        <v>33341</v>
      </c>
      <c r="Y8179" t="s">
        <v>33342</v>
      </c>
    </row>
    <row r="8180" spans="1:25" x14ac:dyDescent="0.25">
      <c r="A8180" t="str">
        <f>"79731633799"</f>
        <v>79731633799</v>
      </c>
      <c r="B8180" t="s">
        <v>888</v>
      </c>
      <c r="C8180" t="s">
        <v>33347</v>
      </c>
      <c r="D8180" t="s">
        <v>896</v>
      </c>
      <c r="E8180">
        <v>424031</v>
      </c>
      <c r="F8180" t="s">
        <v>1</v>
      </c>
      <c r="G8180" t="s">
        <v>2</v>
      </c>
      <c r="H8180" t="s">
        <v>413</v>
      </c>
      <c r="I8180" t="s">
        <v>33343</v>
      </c>
      <c r="J8180" t="s">
        <v>33344</v>
      </c>
      <c r="L8180" t="s">
        <v>33345</v>
      </c>
      <c r="M8180" t="s">
        <v>33346</v>
      </c>
      <c r="P8180" t="s">
        <v>33348</v>
      </c>
      <c r="Q8180" t="s">
        <v>33349</v>
      </c>
      <c r="Y8180" t="s">
        <v>33350</v>
      </c>
    </row>
    <row r="8181" spans="1:25" x14ac:dyDescent="0.25">
      <c r="A8181" t="str">
        <f>"79756052223"</f>
        <v>79756052223</v>
      </c>
      <c r="B8181" t="s">
        <v>18</v>
      </c>
      <c r="C8181" t="s">
        <v>143</v>
      </c>
      <c r="D8181" t="s">
        <v>33351</v>
      </c>
      <c r="E8181">
        <v>424005</v>
      </c>
      <c r="F8181" t="s">
        <v>1</v>
      </c>
      <c r="G8181" t="s">
        <v>2</v>
      </c>
      <c r="H8181" t="s">
        <v>1310</v>
      </c>
      <c r="I8181" t="s">
        <v>33352</v>
      </c>
      <c r="J8181" t="s">
        <v>33353</v>
      </c>
      <c r="M8181" t="s">
        <v>33354</v>
      </c>
      <c r="P8181" t="s">
        <v>20</v>
      </c>
      <c r="Y8181" t="s">
        <v>33355</v>
      </c>
    </row>
    <row r="8182" spans="1:25" x14ac:dyDescent="0.25">
      <c r="A8182" t="str">
        <f>"79759152395"</f>
        <v>79759152395</v>
      </c>
      <c r="B8182" t="s">
        <v>1323</v>
      </c>
      <c r="C8182" t="s">
        <v>1324</v>
      </c>
      <c r="D8182" t="s">
        <v>33356</v>
      </c>
      <c r="E8182">
        <v>424006</v>
      </c>
      <c r="F8182" t="s">
        <v>1</v>
      </c>
      <c r="G8182" t="s">
        <v>2</v>
      </c>
      <c r="H8182" t="s">
        <v>21558</v>
      </c>
      <c r="Y8182" t="s">
        <v>26687</v>
      </c>
    </row>
    <row r="8183" spans="1:25" x14ac:dyDescent="0.25">
      <c r="A8183" t="str">
        <f>"79780793681"</f>
        <v>79780793681</v>
      </c>
      <c r="B8183" t="s">
        <v>348</v>
      </c>
      <c r="C8183" t="s">
        <v>33361</v>
      </c>
      <c r="D8183" t="s">
        <v>33357</v>
      </c>
      <c r="F8183" t="s">
        <v>1</v>
      </c>
      <c r="G8183" t="s">
        <v>2</v>
      </c>
      <c r="H8183" t="s">
        <v>138</v>
      </c>
      <c r="J8183" t="s">
        <v>33358</v>
      </c>
      <c r="L8183" t="s">
        <v>33359</v>
      </c>
      <c r="M8183" t="s">
        <v>33360</v>
      </c>
      <c r="P8183" t="s">
        <v>144</v>
      </c>
      <c r="Q8183" t="s">
        <v>33362</v>
      </c>
      <c r="Y8183" t="s">
        <v>146</v>
      </c>
    </row>
    <row r="8184" spans="1:25" x14ac:dyDescent="0.25">
      <c r="A8184" t="str">
        <f>"79787700521"</f>
        <v>79787700521</v>
      </c>
      <c r="B8184" t="s">
        <v>738</v>
      </c>
      <c r="C8184" t="s">
        <v>739</v>
      </c>
      <c r="D8184" t="s">
        <v>33363</v>
      </c>
      <c r="F8184" t="s">
        <v>1</v>
      </c>
      <c r="G8184" t="s">
        <v>2</v>
      </c>
      <c r="H8184" t="s">
        <v>29987</v>
      </c>
      <c r="Y8184" t="s">
        <v>33364</v>
      </c>
    </row>
    <row r="8185" spans="1:25" x14ac:dyDescent="0.25">
      <c r="A8185" t="str">
        <f>"79788327797"</f>
        <v>79788327797</v>
      </c>
      <c r="B8185" t="s">
        <v>2104</v>
      </c>
      <c r="C8185" t="s">
        <v>13387</v>
      </c>
      <c r="D8185" t="s">
        <v>33365</v>
      </c>
      <c r="E8185">
        <v>424028</v>
      </c>
      <c r="F8185" t="s">
        <v>1</v>
      </c>
      <c r="G8185" t="s">
        <v>2</v>
      </c>
      <c r="H8185" t="s">
        <v>18467</v>
      </c>
      <c r="Y8185" t="s">
        <v>33366</v>
      </c>
    </row>
    <row r="8186" spans="1:25" x14ac:dyDescent="0.25">
      <c r="A8186" t="str">
        <f>"79839316637"</f>
        <v>79839316637</v>
      </c>
      <c r="B8186" t="s">
        <v>1617</v>
      </c>
      <c r="C8186" t="s">
        <v>21001</v>
      </c>
      <c r="D8186" t="s">
        <v>20999</v>
      </c>
      <c r="F8186" t="s">
        <v>1</v>
      </c>
      <c r="G8186" t="s">
        <v>2</v>
      </c>
      <c r="H8186" t="s">
        <v>22802</v>
      </c>
      <c r="Y8186" t="s">
        <v>33367</v>
      </c>
    </row>
    <row r="8187" spans="1:25" x14ac:dyDescent="0.25">
      <c r="A8187" t="str">
        <f>"79849256099"</f>
        <v>79849256099</v>
      </c>
      <c r="B8187" t="s">
        <v>18</v>
      </c>
      <c r="C8187" t="s">
        <v>33369</v>
      </c>
      <c r="D8187" t="s">
        <v>33368</v>
      </c>
      <c r="E8187">
        <v>424002</v>
      </c>
      <c r="F8187" t="s">
        <v>1</v>
      </c>
      <c r="G8187" t="s">
        <v>2</v>
      </c>
      <c r="H8187" t="s">
        <v>5806</v>
      </c>
      <c r="Y8187" t="s">
        <v>33370</v>
      </c>
    </row>
    <row r="8188" spans="1:25" x14ac:dyDescent="0.25">
      <c r="A8188" t="str">
        <f>"79852615126"</f>
        <v>79852615126</v>
      </c>
      <c r="B8188" t="s">
        <v>96</v>
      </c>
      <c r="C8188" t="s">
        <v>893</v>
      </c>
      <c r="D8188" t="s">
        <v>33371</v>
      </c>
      <c r="E8188">
        <v>424002</v>
      </c>
      <c r="F8188" t="s">
        <v>1</v>
      </c>
      <c r="G8188" t="s">
        <v>2</v>
      </c>
      <c r="H8188" t="s">
        <v>33372</v>
      </c>
      <c r="Y8188" t="s">
        <v>33373</v>
      </c>
    </row>
    <row r="8189" spans="1:25" x14ac:dyDescent="0.25">
      <c r="A8189" t="str">
        <f>"79889269952"</f>
        <v>79889269952</v>
      </c>
      <c r="B8189" t="s">
        <v>1544</v>
      </c>
      <c r="C8189" t="s">
        <v>24552</v>
      </c>
      <c r="D8189" t="s">
        <v>33374</v>
      </c>
      <c r="E8189">
        <v>424000</v>
      </c>
      <c r="F8189" t="s">
        <v>1</v>
      </c>
      <c r="G8189" t="s">
        <v>2</v>
      </c>
      <c r="H8189" t="s">
        <v>4427</v>
      </c>
      <c r="I8189" t="s">
        <v>33375</v>
      </c>
      <c r="P8189" t="s">
        <v>33376</v>
      </c>
      <c r="Y8189" t="s">
        <v>33377</v>
      </c>
    </row>
    <row r="8190" spans="1:25" x14ac:dyDescent="0.25">
      <c r="A8190" t="str">
        <f>"79903894990"</f>
        <v>79903894990</v>
      </c>
      <c r="B8190" t="s">
        <v>530</v>
      </c>
      <c r="C8190" t="s">
        <v>23950</v>
      </c>
      <c r="D8190" t="s">
        <v>23950</v>
      </c>
      <c r="F8190" t="s">
        <v>1</v>
      </c>
      <c r="G8190" t="s">
        <v>2</v>
      </c>
      <c r="H8190" t="s">
        <v>33060</v>
      </c>
      <c r="Y8190" t="s">
        <v>33378</v>
      </c>
    </row>
    <row r="8191" spans="1:25" x14ac:dyDescent="0.25">
      <c r="A8191" t="str">
        <f>"80033483904"</f>
        <v>80033483904</v>
      </c>
      <c r="B8191" t="s">
        <v>348</v>
      </c>
      <c r="C8191" t="s">
        <v>9150</v>
      </c>
      <c r="D8191" t="s">
        <v>33379</v>
      </c>
      <c r="F8191" t="s">
        <v>1</v>
      </c>
      <c r="G8191" t="s">
        <v>2</v>
      </c>
      <c r="H8191" t="s">
        <v>138</v>
      </c>
      <c r="I8191" t="s">
        <v>33380</v>
      </c>
      <c r="J8191" t="s">
        <v>33381</v>
      </c>
      <c r="L8191" t="s">
        <v>33382</v>
      </c>
      <c r="M8191" t="s">
        <v>33383</v>
      </c>
      <c r="P8191" t="s">
        <v>144</v>
      </c>
      <c r="Y8191" t="s">
        <v>33384</v>
      </c>
    </row>
    <row r="8192" spans="1:25" x14ac:dyDescent="0.25">
      <c r="A8192" t="str">
        <f>"80033741601"</f>
        <v>80033741601</v>
      </c>
      <c r="B8192" t="s">
        <v>462</v>
      </c>
      <c r="C8192" t="s">
        <v>5618</v>
      </c>
      <c r="D8192" t="s">
        <v>33385</v>
      </c>
      <c r="E8192">
        <v>424008</v>
      </c>
      <c r="F8192" t="s">
        <v>1</v>
      </c>
      <c r="G8192" t="s">
        <v>2</v>
      </c>
      <c r="H8192" t="s">
        <v>1031</v>
      </c>
      <c r="I8192" t="s">
        <v>33386</v>
      </c>
      <c r="L8192" t="s">
        <v>33387</v>
      </c>
      <c r="M8192" t="s">
        <v>33388</v>
      </c>
      <c r="Y8192" t="s">
        <v>5039</v>
      </c>
    </row>
    <row r="8193" spans="1:25" x14ac:dyDescent="0.25">
      <c r="A8193" t="str">
        <f>"80110238633"</f>
        <v>80110238633</v>
      </c>
      <c r="B8193" t="s">
        <v>530</v>
      </c>
      <c r="C8193" t="s">
        <v>23950</v>
      </c>
      <c r="D8193" t="s">
        <v>23950</v>
      </c>
      <c r="F8193" t="s">
        <v>1</v>
      </c>
      <c r="G8193" t="s">
        <v>2</v>
      </c>
      <c r="H8193" t="s">
        <v>29283</v>
      </c>
      <c r="Y8193" t="s">
        <v>33389</v>
      </c>
    </row>
    <row r="8194" spans="1:25" x14ac:dyDescent="0.25">
      <c r="A8194" t="str">
        <f>"80183434225"</f>
        <v>80183434225</v>
      </c>
      <c r="B8194" t="s">
        <v>530</v>
      </c>
      <c r="C8194" t="s">
        <v>23950</v>
      </c>
      <c r="D8194" t="s">
        <v>23950</v>
      </c>
      <c r="E8194">
        <v>424006</v>
      </c>
      <c r="F8194" t="s">
        <v>1</v>
      </c>
      <c r="G8194" t="s">
        <v>2</v>
      </c>
      <c r="H8194" t="s">
        <v>18109</v>
      </c>
      <c r="Y8194" t="s">
        <v>33390</v>
      </c>
    </row>
    <row r="8195" spans="1:25" x14ac:dyDescent="0.25">
      <c r="A8195" t="str">
        <f>"80215565909"</f>
        <v>80215565909</v>
      </c>
      <c r="B8195" t="s">
        <v>2104</v>
      </c>
      <c r="C8195" t="s">
        <v>21175</v>
      </c>
      <c r="D8195" t="s">
        <v>33391</v>
      </c>
      <c r="E8195">
        <v>424020</v>
      </c>
      <c r="F8195" t="s">
        <v>1</v>
      </c>
      <c r="G8195" t="s">
        <v>2</v>
      </c>
      <c r="H8195" t="s">
        <v>7738</v>
      </c>
      <c r="Y8195" t="s">
        <v>33392</v>
      </c>
    </row>
    <row r="8196" spans="1:25" x14ac:dyDescent="0.25">
      <c r="A8196" t="str">
        <f>"80240169657"</f>
        <v>80240169657</v>
      </c>
      <c r="B8196" t="s">
        <v>110</v>
      </c>
      <c r="C8196" t="s">
        <v>5061</v>
      </c>
      <c r="D8196" t="s">
        <v>33393</v>
      </c>
      <c r="E8196">
        <v>424028</v>
      </c>
      <c r="F8196" t="s">
        <v>1</v>
      </c>
      <c r="G8196" t="s">
        <v>2</v>
      </c>
      <c r="H8196" t="s">
        <v>17393</v>
      </c>
      <c r="J8196" t="s">
        <v>33394</v>
      </c>
      <c r="P8196" t="s">
        <v>260</v>
      </c>
      <c r="Y8196" t="s">
        <v>33395</v>
      </c>
    </row>
    <row r="8197" spans="1:25" x14ac:dyDescent="0.25">
      <c r="A8197" t="str">
        <f>"80282440608"</f>
        <v>80282440608</v>
      </c>
      <c r="B8197" t="s">
        <v>417</v>
      </c>
      <c r="C8197" t="s">
        <v>418</v>
      </c>
      <c r="D8197" t="s">
        <v>33396</v>
      </c>
      <c r="E8197">
        <v>424038</v>
      </c>
      <c r="F8197" t="s">
        <v>1</v>
      </c>
      <c r="G8197" t="s">
        <v>2</v>
      </c>
      <c r="H8197" t="s">
        <v>25487</v>
      </c>
      <c r="I8197" t="s">
        <v>33397</v>
      </c>
      <c r="L8197" t="s">
        <v>33398</v>
      </c>
      <c r="M8197" t="s">
        <v>33399</v>
      </c>
      <c r="P8197" t="s">
        <v>10331</v>
      </c>
      <c r="Q8197" t="s">
        <v>33400</v>
      </c>
      <c r="V8197" t="s">
        <v>33401</v>
      </c>
      <c r="Y8197" t="s">
        <v>33402</v>
      </c>
    </row>
    <row r="8198" spans="1:25" x14ac:dyDescent="0.25">
      <c r="A8198" t="str">
        <f>"80303653091"</f>
        <v>80303653091</v>
      </c>
      <c r="B8198" t="s">
        <v>67</v>
      </c>
      <c r="C8198" t="s">
        <v>269</v>
      </c>
      <c r="D8198" t="s">
        <v>24760</v>
      </c>
      <c r="E8198">
        <v>424008</v>
      </c>
      <c r="F8198" t="s">
        <v>1</v>
      </c>
      <c r="G8198" t="s">
        <v>2</v>
      </c>
      <c r="H8198" t="s">
        <v>1031</v>
      </c>
      <c r="Y8198" t="s">
        <v>33403</v>
      </c>
    </row>
    <row r="8199" spans="1:25" x14ac:dyDescent="0.25">
      <c r="A8199" t="str">
        <f>"80328866454"</f>
        <v>80328866454</v>
      </c>
      <c r="B8199" t="s">
        <v>7312</v>
      </c>
      <c r="C8199" t="s">
        <v>7313</v>
      </c>
      <c r="D8199" t="s">
        <v>7313</v>
      </c>
      <c r="E8199">
        <v>424006</v>
      </c>
      <c r="F8199" t="s">
        <v>1</v>
      </c>
      <c r="G8199" t="s">
        <v>2</v>
      </c>
      <c r="H8199" t="s">
        <v>2557</v>
      </c>
      <c r="Y8199" t="s">
        <v>33404</v>
      </c>
    </row>
    <row r="8200" spans="1:25" x14ac:dyDescent="0.25">
      <c r="A8200" t="str">
        <f>"80364911525"</f>
        <v>80364911525</v>
      </c>
      <c r="B8200" t="s">
        <v>1152</v>
      </c>
      <c r="C8200" t="s">
        <v>1153</v>
      </c>
      <c r="D8200" t="s">
        <v>10280</v>
      </c>
      <c r="F8200" t="s">
        <v>1</v>
      </c>
      <c r="G8200" t="s">
        <v>2</v>
      </c>
      <c r="H8200" t="s">
        <v>23254</v>
      </c>
      <c r="I8200" t="s">
        <v>22092</v>
      </c>
      <c r="M8200" t="s">
        <v>10284</v>
      </c>
      <c r="Q8200" t="s">
        <v>10286</v>
      </c>
      <c r="R8200" t="s">
        <v>10287</v>
      </c>
      <c r="S8200" t="s">
        <v>10288</v>
      </c>
      <c r="T8200" t="s">
        <v>10289</v>
      </c>
      <c r="U8200" t="s">
        <v>10290</v>
      </c>
      <c r="V8200" t="s">
        <v>10291</v>
      </c>
      <c r="Y8200" t="s">
        <v>33405</v>
      </c>
    </row>
    <row r="8201" spans="1:25" x14ac:dyDescent="0.25">
      <c r="A8201" t="str">
        <f>"80367674095"</f>
        <v>80367674095</v>
      </c>
      <c r="B8201" t="s">
        <v>117</v>
      </c>
      <c r="C8201" t="s">
        <v>118</v>
      </c>
      <c r="D8201" t="s">
        <v>7620</v>
      </c>
      <c r="F8201" t="s">
        <v>1</v>
      </c>
      <c r="G8201" t="s">
        <v>2</v>
      </c>
      <c r="H8201" t="s">
        <v>25667</v>
      </c>
      <c r="Y8201" t="s">
        <v>33406</v>
      </c>
    </row>
    <row r="8202" spans="1:25" x14ac:dyDescent="0.25">
      <c r="A8202" t="str">
        <f>"80375643777"</f>
        <v>80375643777</v>
      </c>
      <c r="B8202" t="s">
        <v>530</v>
      </c>
      <c r="C8202" t="s">
        <v>23950</v>
      </c>
      <c r="D8202" t="s">
        <v>23950</v>
      </c>
      <c r="F8202" t="s">
        <v>1</v>
      </c>
      <c r="G8202" t="s">
        <v>2</v>
      </c>
      <c r="H8202" t="s">
        <v>33407</v>
      </c>
      <c r="Y8202" t="s">
        <v>33408</v>
      </c>
    </row>
    <row r="8203" spans="1:25" x14ac:dyDescent="0.25">
      <c r="A8203" t="str">
        <f>"80377383058"</f>
        <v>80377383058</v>
      </c>
      <c r="B8203" t="s">
        <v>888</v>
      </c>
      <c r="C8203" t="s">
        <v>7389</v>
      </c>
      <c r="D8203" t="s">
        <v>33409</v>
      </c>
      <c r="E8203">
        <v>424019</v>
      </c>
      <c r="F8203" t="s">
        <v>1</v>
      </c>
      <c r="G8203" t="s">
        <v>2</v>
      </c>
      <c r="H8203" t="s">
        <v>1801</v>
      </c>
      <c r="J8203" t="s">
        <v>33410</v>
      </c>
      <c r="Q8203" t="s">
        <v>33411</v>
      </c>
      <c r="Y8203" t="s">
        <v>1804</v>
      </c>
    </row>
    <row r="8204" spans="1:25" x14ac:dyDescent="0.25">
      <c r="A8204" t="str">
        <f>"80391933654"</f>
        <v>80391933654</v>
      </c>
      <c r="B8204" t="s">
        <v>25</v>
      </c>
      <c r="C8204" t="s">
        <v>11919</v>
      </c>
      <c r="D8204" t="s">
        <v>33412</v>
      </c>
      <c r="E8204">
        <v>424036</v>
      </c>
      <c r="F8204" t="s">
        <v>1</v>
      </c>
      <c r="G8204" t="s">
        <v>2</v>
      </c>
      <c r="H8204" t="s">
        <v>33413</v>
      </c>
      <c r="I8204" t="s">
        <v>33414</v>
      </c>
      <c r="P8204" t="s">
        <v>458</v>
      </c>
      <c r="Y8204" t="s">
        <v>33415</v>
      </c>
    </row>
    <row r="8205" spans="1:25" x14ac:dyDescent="0.25">
      <c r="A8205" t="str">
        <f>"80446776069"</f>
        <v>80446776069</v>
      </c>
      <c r="B8205" t="s">
        <v>574</v>
      </c>
      <c r="C8205" t="s">
        <v>952</v>
      </c>
      <c r="D8205" t="s">
        <v>15267</v>
      </c>
      <c r="E8205">
        <v>424002</v>
      </c>
      <c r="F8205" t="s">
        <v>1</v>
      </c>
      <c r="G8205" t="s">
        <v>2</v>
      </c>
      <c r="H8205" t="s">
        <v>33416</v>
      </c>
      <c r="Y8205" t="s">
        <v>33417</v>
      </c>
    </row>
    <row r="8206" spans="1:25" x14ac:dyDescent="0.25">
      <c r="A8206" t="str">
        <f>"80476584026"</f>
        <v>80476584026</v>
      </c>
      <c r="B8206" t="s">
        <v>10383</v>
      </c>
      <c r="C8206" t="s">
        <v>24146</v>
      </c>
      <c r="D8206" t="s">
        <v>29301</v>
      </c>
      <c r="E8206">
        <v>424037</v>
      </c>
      <c r="F8206" t="s">
        <v>1</v>
      </c>
      <c r="G8206" t="s">
        <v>2</v>
      </c>
      <c r="H8206" t="s">
        <v>15663</v>
      </c>
      <c r="Y8206" t="s">
        <v>33418</v>
      </c>
    </row>
    <row r="8207" spans="1:25" x14ac:dyDescent="0.25">
      <c r="A8207" t="str">
        <f>"80488143793"</f>
        <v>80488143793</v>
      </c>
      <c r="B8207" t="s">
        <v>2062</v>
      </c>
      <c r="C8207" t="s">
        <v>3293</v>
      </c>
      <c r="D8207" t="s">
        <v>33419</v>
      </c>
      <c r="E8207">
        <v>424020</v>
      </c>
      <c r="F8207" t="s">
        <v>1</v>
      </c>
      <c r="G8207" t="s">
        <v>2</v>
      </c>
      <c r="H8207" t="s">
        <v>12801</v>
      </c>
      <c r="Y8207" t="s">
        <v>33420</v>
      </c>
    </row>
    <row r="8208" spans="1:25" x14ac:dyDescent="0.25">
      <c r="A8208" t="str">
        <f>"80504846225"</f>
        <v>80504846225</v>
      </c>
      <c r="B8208" t="s">
        <v>290</v>
      </c>
      <c r="C8208" t="s">
        <v>290</v>
      </c>
      <c r="D8208" t="s">
        <v>15773</v>
      </c>
      <c r="E8208">
        <v>424032</v>
      </c>
      <c r="F8208" t="s">
        <v>1</v>
      </c>
      <c r="G8208" t="s">
        <v>2</v>
      </c>
      <c r="H8208" t="s">
        <v>33421</v>
      </c>
      <c r="P8208" t="s">
        <v>216</v>
      </c>
      <c r="Y8208" t="s">
        <v>33422</v>
      </c>
    </row>
    <row r="8209" spans="1:25" x14ac:dyDescent="0.25">
      <c r="A8209" t="str">
        <f>"80507025277"</f>
        <v>80507025277</v>
      </c>
      <c r="B8209" t="s">
        <v>1152</v>
      </c>
      <c r="C8209" t="s">
        <v>8449</v>
      </c>
      <c r="D8209" t="s">
        <v>33423</v>
      </c>
      <c r="E8209">
        <v>424039</v>
      </c>
      <c r="F8209" t="s">
        <v>1</v>
      </c>
      <c r="G8209" t="s">
        <v>2</v>
      </c>
      <c r="H8209" t="s">
        <v>17375</v>
      </c>
      <c r="Y8209" t="s">
        <v>33424</v>
      </c>
    </row>
    <row r="8210" spans="1:25" x14ac:dyDescent="0.25">
      <c r="A8210" t="str">
        <f>"80521126060"</f>
        <v>80521126060</v>
      </c>
      <c r="B8210" t="s">
        <v>574</v>
      </c>
      <c r="C8210" t="s">
        <v>646</v>
      </c>
      <c r="D8210" t="s">
        <v>33425</v>
      </c>
      <c r="E8210">
        <v>424000</v>
      </c>
      <c r="F8210" t="s">
        <v>1</v>
      </c>
      <c r="G8210" t="s">
        <v>2</v>
      </c>
      <c r="H8210" t="s">
        <v>2299</v>
      </c>
      <c r="P8210" t="s">
        <v>7436</v>
      </c>
      <c r="Y8210" t="s">
        <v>33426</v>
      </c>
    </row>
    <row r="8211" spans="1:25" x14ac:dyDescent="0.25">
      <c r="A8211" t="str">
        <f>"80540027778"</f>
        <v>80540027778</v>
      </c>
      <c r="B8211" t="s">
        <v>160</v>
      </c>
      <c r="C8211" t="s">
        <v>1666</v>
      </c>
      <c r="D8211" t="s">
        <v>33427</v>
      </c>
      <c r="E8211">
        <v>424007</v>
      </c>
      <c r="F8211" t="s">
        <v>1</v>
      </c>
      <c r="G8211" t="s">
        <v>2</v>
      </c>
      <c r="H8211" t="s">
        <v>819</v>
      </c>
      <c r="I8211" t="s">
        <v>33428</v>
      </c>
      <c r="P8211" t="s">
        <v>260</v>
      </c>
      <c r="Y8211" t="s">
        <v>821</v>
      </c>
    </row>
    <row r="8212" spans="1:25" x14ac:dyDescent="0.25">
      <c r="A8212" t="str">
        <f>"80730353755"</f>
        <v>80730353755</v>
      </c>
      <c r="B8212" t="s">
        <v>1046</v>
      </c>
      <c r="C8212" t="s">
        <v>22946</v>
      </c>
      <c r="D8212" t="s">
        <v>22946</v>
      </c>
      <c r="E8212">
        <v>424033</v>
      </c>
      <c r="F8212" t="s">
        <v>1</v>
      </c>
      <c r="G8212" t="s">
        <v>2</v>
      </c>
      <c r="H8212" t="s">
        <v>24707</v>
      </c>
      <c r="Y8212" t="s">
        <v>33429</v>
      </c>
    </row>
    <row r="8213" spans="1:25" x14ac:dyDescent="0.25">
      <c r="A8213" t="str">
        <f>"80740436071"</f>
        <v>80740436071</v>
      </c>
      <c r="B8213" t="s">
        <v>574</v>
      </c>
      <c r="C8213" t="s">
        <v>9802</v>
      </c>
      <c r="D8213" t="s">
        <v>3057</v>
      </c>
      <c r="F8213" t="s">
        <v>1</v>
      </c>
      <c r="G8213" t="s">
        <v>2</v>
      </c>
      <c r="H8213" t="s">
        <v>31172</v>
      </c>
      <c r="Y8213" t="s">
        <v>33430</v>
      </c>
    </row>
    <row r="8214" spans="1:25" x14ac:dyDescent="0.25">
      <c r="A8214" t="str">
        <f>"80757675649"</f>
        <v>80757675649</v>
      </c>
      <c r="B8214" t="s">
        <v>96</v>
      </c>
      <c r="C8214" t="s">
        <v>33433</v>
      </c>
      <c r="D8214" t="s">
        <v>33431</v>
      </c>
      <c r="E8214">
        <v>424031</v>
      </c>
      <c r="F8214" t="s">
        <v>1</v>
      </c>
      <c r="G8214" t="s">
        <v>2</v>
      </c>
      <c r="H8214" t="s">
        <v>4622</v>
      </c>
      <c r="J8214" t="s">
        <v>33432</v>
      </c>
      <c r="P8214" t="s">
        <v>26091</v>
      </c>
      <c r="Y8214" t="s">
        <v>33434</v>
      </c>
    </row>
    <row r="8215" spans="1:25" x14ac:dyDescent="0.25">
      <c r="A8215" t="str">
        <f>"80758716888"</f>
        <v>80758716888</v>
      </c>
      <c r="B8215" t="s">
        <v>1475</v>
      </c>
      <c r="C8215" t="s">
        <v>1476</v>
      </c>
      <c r="D8215" t="s">
        <v>33435</v>
      </c>
      <c r="E8215">
        <v>424028</v>
      </c>
      <c r="F8215" t="s">
        <v>1</v>
      </c>
      <c r="G8215" t="s">
        <v>2</v>
      </c>
      <c r="H8215" t="s">
        <v>3628</v>
      </c>
      <c r="P8215" t="s">
        <v>2731</v>
      </c>
      <c r="Y8215" t="s">
        <v>33436</v>
      </c>
    </row>
    <row r="8216" spans="1:25" x14ac:dyDescent="0.25">
      <c r="A8216" t="str">
        <f>"80827437525"</f>
        <v>80827437525</v>
      </c>
      <c r="B8216" t="s">
        <v>1262</v>
      </c>
      <c r="C8216" t="s">
        <v>33441</v>
      </c>
      <c r="D8216" t="s">
        <v>33437</v>
      </c>
      <c r="E8216">
        <v>424003</v>
      </c>
      <c r="F8216" t="s">
        <v>1</v>
      </c>
      <c r="G8216" t="s">
        <v>2</v>
      </c>
      <c r="H8216" t="s">
        <v>8926</v>
      </c>
      <c r="I8216" t="s">
        <v>33438</v>
      </c>
      <c r="L8216" t="s">
        <v>33439</v>
      </c>
      <c r="M8216" t="s">
        <v>33440</v>
      </c>
      <c r="P8216" t="s">
        <v>2979</v>
      </c>
      <c r="Y8216" t="s">
        <v>8929</v>
      </c>
    </row>
    <row r="8217" spans="1:25" x14ac:dyDescent="0.25">
      <c r="A8217" t="str">
        <f>"80858968940"</f>
        <v>80858968940</v>
      </c>
      <c r="B8217" t="s">
        <v>348</v>
      </c>
      <c r="C8217" t="s">
        <v>24364</v>
      </c>
      <c r="D8217" t="s">
        <v>15659</v>
      </c>
      <c r="E8217">
        <v>424008</v>
      </c>
      <c r="F8217" t="s">
        <v>1</v>
      </c>
      <c r="G8217" t="s">
        <v>2</v>
      </c>
      <c r="H8217" t="s">
        <v>15428</v>
      </c>
      <c r="Q8217" t="s">
        <v>33442</v>
      </c>
      <c r="Y8217" t="s">
        <v>15430</v>
      </c>
    </row>
    <row r="8218" spans="1:25" x14ac:dyDescent="0.25">
      <c r="A8218" t="str">
        <f>"80873163898"</f>
        <v>80873163898</v>
      </c>
      <c r="B8218" t="s">
        <v>1475</v>
      </c>
      <c r="C8218" t="s">
        <v>1476</v>
      </c>
      <c r="D8218" t="s">
        <v>7130</v>
      </c>
      <c r="E8218">
        <v>424003</v>
      </c>
      <c r="F8218" t="s">
        <v>1</v>
      </c>
      <c r="G8218" t="s">
        <v>2</v>
      </c>
      <c r="H8218" t="s">
        <v>22849</v>
      </c>
      <c r="Y8218" t="s">
        <v>33443</v>
      </c>
    </row>
    <row r="8219" spans="1:25" x14ac:dyDescent="0.25">
      <c r="A8219" t="str">
        <f>"80901910931"</f>
        <v>80901910931</v>
      </c>
      <c r="B8219" t="s">
        <v>1152</v>
      </c>
      <c r="C8219" t="s">
        <v>1153</v>
      </c>
      <c r="D8219" t="s">
        <v>10280</v>
      </c>
      <c r="E8219">
        <v>424028</v>
      </c>
      <c r="F8219" t="s">
        <v>1</v>
      </c>
      <c r="G8219" t="s">
        <v>2</v>
      </c>
      <c r="H8219" t="s">
        <v>3359</v>
      </c>
      <c r="I8219" t="s">
        <v>22092</v>
      </c>
      <c r="M8219" t="s">
        <v>10284</v>
      </c>
      <c r="P8219" t="s">
        <v>60</v>
      </c>
      <c r="Q8219" t="s">
        <v>10286</v>
      </c>
      <c r="R8219" t="s">
        <v>10287</v>
      </c>
      <c r="S8219" t="s">
        <v>10288</v>
      </c>
      <c r="T8219" t="s">
        <v>10289</v>
      </c>
      <c r="U8219" t="s">
        <v>10290</v>
      </c>
      <c r="V8219" t="s">
        <v>10291</v>
      </c>
      <c r="Y8219" t="s">
        <v>33444</v>
      </c>
    </row>
    <row r="8220" spans="1:25" x14ac:dyDescent="0.25">
      <c r="A8220" t="str">
        <f>"80915716889"</f>
        <v>80915716889</v>
      </c>
      <c r="B8220" t="s">
        <v>371</v>
      </c>
      <c r="C8220" t="s">
        <v>33449</v>
      </c>
      <c r="D8220" t="s">
        <v>33445</v>
      </c>
      <c r="E8220">
        <v>424001</v>
      </c>
      <c r="F8220" t="s">
        <v>1</v>
      </c>
      <c r="G8220" t="s">
        <v>2</v>
      </c>
      <c r="H8220" t="s">
        <v>919</v>
      </c>
      <c r="I8220" t="s">
        <v>33446</v>
      </c>
      <c r="L8220" t="s">
        <v>33447</v>
      </c>
      <c r="M8220" t="s">
        <v>33448</v>
      </c>
      <c r="P8220" t="s">
        <v>2839</v>
      </c>
      <c r="Y8220" t="s">
        <v>33450</v>
      </c>
    </row>
    <row r="8221" spans="1:25" x14ac:dyDescent="0.25">
      <c r="A8221" t="str">
        <f>"80918255767"</f>
        <v>80918255767</v>
      </c>
      <c r="B8221" t="s">
        <v>25</v>
      </c>
      <c r="C8221" t="s">
        <v>13425</v>
      </c>
      <c r="D8221" t="s">
        <v>33451</v>
      </c>
      <c r="E8221">
        <v>424003</v>
      </c>
      <c r="F8221" t="s">
        <v>1</v>
      </c>
      <c r="G8221" t="s">
        <v>2</v>
      </c>
      <c r="H8221" t="s">
        <v>22849</v>
      </c>
      <c r="Y8221" t="s">
        <v>33452</v>
      </c>
    </row>
    <row r="8222" spans="1:25" x14ac:dyDescent="0.25">
      <c r="A8222" t="str">
        <f>"80932750039"</f>
        <v>80932750039</v>
      </c>
      <c r="B8222" t="s">
        <v>1573</v>
      </c>
      <c r="C8222" t="s">
        <v>11913</v>
      </c>
      <c r="D8222" t="s">
        <v>33453</v>
      </c>
      <c r="F8222" t="s">
        <v>1</v>
      </c>
      <c r="G8222" t="s">
        <v>2</v>
      </c>
      <c r="H8222" t="s">
        <v>25588</v>
      </c>
      <c r="Y8222" t="s">
        <v>33454</v>
      </c>
    </row>
    <row r="8223" spans="1:25" x14ac:dyDescent="0.25">
      <c r="A8223" t="str">
        <f>"80934116535"</f>
        <v>80934116535</v>
      </c>
      <c r="B8223" t="s">
        <v>530</v>
      </c>
      <c r="C8223" t="s">
        <v>23950</v>
      </c>
      <c r="D8223" t="s">
        <v>23950</v>
      </c>
      <c r="F8223" t="s">
        <v>1</v>
      </c>
      <c r="G8223" t="s">
        <v>2</v>
      </c>
      <c r="H8223" t="s">
        <v>33455</v>
      </c>
      <c r="Y8223" t="s">
        <v>33456</v>
      </c>
    </row>
    <row r="8224" spans="1:25" x14ac:dyDescent="0.25">
      <c r="A8224" t="str">
        <f>"80950644258"</f>
        <v>80950644258</v>
      </c>
      <c r="B8224" t="s">
        <v>348</v>
      </c>
      <c r="C8224" t="s">
        <v>4366</v>
      </c>
      <c r="D8224" t="s">
        <v>33457</v>
      </c>
      <c r="F8224" t="s">
        <v>1</v>
      </c>
      <c r="G8224" t="s">
        <v>2</v>
      </c>
      <c r="H8224" t="s">
        <v>138</v>
      </c>
      <c r="J8224" t="s">
        <v>33458</v>
      </c>
      <c r="P8224" t="s">
        <v>144</v>
      </c>
      <c r="Y8224" t="s">
        <v>146</v>
      </c>
    </row>
    <row r="8225" spans="1:25" x14ac:dyDescent="0.25">
      <c r="A8225" t="str">
        <f>"80953281843"</f>
        <v>80953281843</v>
      </c>
      <c r="B8225" t="s">
        <v>574</v>
      </c>
      <c r="C8225" t="s">
        <v>9802</v>
      </c>
      <c r="D8225" t="s">
        <v>29285</v>
      </c>
      <c r="E8225">
        <v>424033</v>
      </c>
      <c r="F8225" t="s">
        <v>1</v>
      </c>
      <c r="G8225" t="s">
        <v>2</v>
      </c>
      <c r="H8225" t="s">
        <v>10720</v>
      </c>
      <c r="Y8225" t="s">
        <v>33459</v>
      </c>
    </row>
    <row r="8226" spans="1:25" x14ac:dyDescent="0.25">
      <c r="A8226" t="str">
        <f>"81001113098"</f>
        <v>81001113098</v>
      </c>
      <c r="B8226" t="s">
        <v>371</v>
      </c>
      <c r="C8226" t="s">
        <v>372</v>
      </c>
      <c r="D8226" t="s">
        <v>33460</v>
      </c>
      <c r="E8226">
        <v>424020</v>
      </c>
      <c r="F8226" t="s">
        <v>1</v>
      </c>
      <c r="G8226" t="s">
        <v>2</v>
      </c>
      <c r="H8226" t="s">
        <v>21899</v>
      </c>
      <c r="J8226" t="s">
        <v>33461</v>
      </c>
      <c r="P8226" t="s">
        <v>27</v>
      </c>
      <c r="Y8226" t="s">
        <v>33462</v>
      </c>
    </row>
    <row r="8227" spans="1:25" x14ac:dyDescent="0.25">
      <c r="A8227" t="str">
        <f>"81015290072"</f>
        <v>81015290072</v>
      </c>
      <c r="B8227" t="s">
        <v>290</v>
      </c>
      <c r="C8227" t="s">
        <v>290</v>
      </c>
      <c r="D8227" t="s">
        <v>33463</v>
      </c>
      <c r="E8227">
        <v>424002</v>
      </c>
      <c r="F8227" t="s">
        <v>1</v>
      </c>
      <c r="G8227" t="s">
        <v>2</v>
      </c>
      <c r="H8227" t="s">
        <v>7132</v>
      </c>
      <c r="I8227" t="s">
        <v>33464</v>
      </c>
      <c r="P8227" t="s">
        <v>33465</v>
      </c>
      <c r="Y8227" t="s">
        <v>33466</v>
      </c>
    </row>
    <row r="8228" spans="1:25" x14ac:dyDescent="0.25">
      <c r="A8228" t="str">
        <f>"81077994156"</f>
        <v>81077994156</v>
      </c>
      <c r="B8228" t="s">
        <v>930</v>
      </c>
      <c r="C8228" t="s">
        <v>33471</v>
      </c>
      <c r="D8228" t="s">
        <v>33467</v>
      </c>
      <c r="E8228">
        <v>424007</v>
      </c>
      <c r="F8228" t="s">
        <v>1</v>
      </c>
      <c r="G8228" t="s">
        <v>2</v>
      </c>
      <c r="H8228" t="s">
        <v>33468</v>
      </c>
      <c r="J8228" t="s">
        <v>33469</v>
      </c>
      <c r="M8228" t="s">
        <v>33470</v>
      </c>
      <c r="P8228" t="s">
        <v>799</v>
      </c>
      <c r="Y8228" t="s">
        <v>33472</v>
      </c>
    </row>
    <row r="8229" spans="1:25" x14ac:dyDescent="0.25">
      <c r="A8229" t="str">
        <f>"81108764854"</f>
        <v>81108764854</v>
      </c>
      <c r="B8229" t="s">
        <v>530</v>
      </c>
      <c r="C8229" t="s">
        <v>23950</v>
      </c>
      <c r="D8229" t="s">
        <v>23950</v>
      </c>
      <c r="F8229" t="s">
        <v>1</v>
      </c>
      <c r="G8229" t="s">
        <v>2</v>
      </c>
      <c r="H8229" t="s">
        <v>27567</v>
      </c>
      <c r="Y8229" t="s">
        <v>33473</v>
      </c>
    </row>
    <row r="8230" spans="1:25" x14ac:dyDescent="0.25">
      <c r="A8230" t="str">
        <f>"81189490464"</f>
        <v>81189490464</v>
      </c>
      <c r="B8230" t="s">
        <v>397</v>
      </c>
      <c r="C8230" t="s">
        <v>33475</v>
      </c>
      <c r="D8230" t="s">
        <v>33474</v>
      </c>
      <c r="F8230" t="s">
        <v>1</v>
      </c>
      <c r="G8230" t="s">
        <v>2</v>
      </c>
      <c r="H8230" t="s">
        <v>7547</v>
      </c>
      <c r="Q8230" t="s">
        <v>33476</v>
      </c>
      <c r="Y8230" t="s">
        <v>33477</v>
      </c>
    </row>
    <row r="8231" spans="1:25" x14ac:dyDescent="0.25">
      <c r="A8231" t="str">
        <f>"81206752743"</f>
        <v>81206752743</v>
      </c>
      <c r="B8231" t="s">
        <v>574</v>
      </c>
      <c r="C8231" t="s">
        <v>8436</v>
      </c>
      <c r="D8231" t="s">
        <v>33478</v>
      </c>
      <c r="E8231">
        <v>424030</v>
      </c>
      <c r="F8231" t="s">
        <v>1</v>
      </c>
      <c r="G8231" t="s">
        <v>2</v>
      </c>
      <c r="H8231" t="s">
        <v>24317</v>
      </c>
      <c r="I8231" t="s">
        <v>33479</v>
      </c>
      <c r="M8231" t="s">
        <v>33480</v>
      </c>
      <c r="P8231" t="s">
        <v>60</v>
      </c>
      <c r="Y8231" t="s">
        <v>33481</v>
      </c>
    </row>
    <row r="8232" spans="1:25" x14ac:dyDescent="0.25">
      <c r="A8232" t="str">
        <f>"81222391089"</f>
        <v>81222391089</v>
      </c>
      <c r="B8232" t="s">
        <v>67</v>
      </c>
      <c r="C8232" t="s">
        <v>269</v>
      </c>
      <c r="D8232" t="s">
        <v>62</v>
      </c>
      <c r="E8232">
        <v>424036</v>
      </c>
      <c r="F8232" t="s">
        <v>1</v>
      </c>
      <c r="G8232" t="s">
        <v>2</v>
      </c>
      <c r="H8232" t="s">
        <v>5294</v>
      </c>
      <c r="P8232" t="s">
        <v>33482</v>
      </c>
      <c r="Y8232" t="s">
        <v>33483</v>
      </c>
    </row>
    <row r="8233" spans="1:25" x14ac:dyDescent="0.25">
      <c r="A8233" t="str">
        <f>"81235488924"</f>
        <v>81235488924</v>
      </c>
      <c r="B8233" t="s">
        <v>1758</v>
      </c>
      <c r="C8233" t="s">
        <v>33486</v>
      </c>
      <c r="D8233" t="s">
        <v>15258</v>
      </c>
      <c r="E8233">
        <v>424004</v>
      </c>
      <c r="F8233" t="s">
        <v>1</v>
      </c>
      <c r="G8233" t="s">
        <v>2</v>
      </c>
      <c r="H8233" t="s">
        <v>1756</v>
      </c>
      <c r="I8233" t="s">
        <v>33484</v>
      </c>
      <c r="J8233" t="s">
        <v>33485</v>
      </c>
      <c r="P8233" t="s">
        <v>1760</v>
      </c>
      <c r="Q8233" t="s">
        <v>33487</v>
      </c>
      <c r="Y8233" t="s">
        <v>1761</v>
      </c>
    </row>
    <row r="8234" spans="1:25" x14ac:dyDescent="0.25">
      <c r="A8234" t="str">
        <f>"81249318030"</f>
        <v>81249318030</v>
      </c>
      <c r="B8234" t="s">
        <v>1352</v>
      </c>
      <c r="C8234" t="s">
        <v>33490</v>
      </c>
      <c r="D8234" t="s">
        <v>33488</v>
      </c>
      <c r="E8234">
        <v>424038</v>
      </c>
      <c r="F8234" t="s">
        <v>1</v>
      </c>
      <c r="G8234" t="s">
        <v>2</v>
      </c>
      <c r="H8234" t="s">
        <v>9865</v>
      </c>
      <c r="J8234" t="s">
        <v>33489</v>
      </c>
      <c r="Q8234" t="s">
        <v>33491</v>
      </c>
      <c r="Y8234" t="s">
        <v>9870</v>
      </c>
    </row>
    <row r="8235" spans="1:25" x14ac:dyDescent="0.25">
      <c r="A8235" t="str">
        <f>"81332019875"</f>
        <v>81332019875</v>
      </c>
      <c r="B8235" t="s">
        <v>117</v>
      </c>
      <c r="C8235" t="s">
        <v>118</v>
      </c>
      <c r="D8235" t="s">
        <v>33492</v>
      </c>
      <c r="E8235">
        <v>424006</v>
      </c>
      <c r="F8235" t="s">
        <v>1</v>
      </c>
      <c r="G8235" t="s">
        <v>2</v>
      </c>
      <c r="H8235" t="s">
        <v>1286</v>
      </c>
      <c r="Y8235" t="s">
        <v>33493</v>
      </c>
    </row>
    <row r="8236" spans="1:25" x14ac:dyDescent="0.25">
      <c r="A8236" t="str">
        <f>"81352822786"</f>
        <v>81352822786</v>
      </c>
      <c r="B8236" t="s">
        <v>123</v>
      </c>
      <c r="C8236" t="s">
        <v>10232</v>
      </c>
      <c r="D8236" t="s">
        <v>33494</v>
      </c>
      <c r="E8236">
        <v>424007</v>
      </c>
      <c r="F8236" t="s">
        <v>1</v>
      </c>
      <c r="G8236" t="s">
        <v>2</v>
      </c>
      <c r="H8236" t="s">
        <v>25707</v>
      </c>
      <c r="J8236" t="s">
        <v>33495</v>
      </c>
      <c r="P8236" t="s">
        <v>2738</v>
      </c>
      <c r="Y8236" t="s">
        <v>33496</v>
      </c>
    </row>
    <row r="8237" spans="1:25" x14ac:dyDescent="0.25">
      <c r="A8237" t="str">
        <f>"81400677597"</f>
        <v>81400677597</v>
      </c>
      <c r="B8237" t="s">
        <v>1053</v>
      </c>
      <c r="C8237" t="s">
        <v>1927</v>
      </c>
      <c r="D8237" t="s">
        <v>33497</v>
      </c>
      <c r="E8237">
        <v>424006</v>
      </c>
      <c r="F8237" t="s">
        <v>1</v>
      </c>
      <c r="G8237" t="s">
        <v>2</v>
      </c>
      <c r="H8237" t="s">
        <v>14896</v>
      </c>
      <c r="Y8237" t="s">
        <v>33498</v>
      </c>
    </row>
    <row r="8238" spans="1:25" x14ac:dyDescent="0.25">
      <c r="A8238" t="str">
        <f>"81450849123"</f>
        <v>81450849123</v>
      </c>
      <c r="B8238" t="s">
        <v>703</v>
      </c>
      <c r="C8238" t="s">
        <v>14165</v>
      </c>
      <c r="D8238" t="s">
        <v>33499</v>
      </c>
      <c r="E8238">
        <v>424006</v>
      </c>
      <c r="F8238" t="s">
        <v>1</v>
      </c>
      <c r="G8238" t="s">
        <v>2</v>
      </c>
      <c r="H8238" t="s">
        <v>7984</v>
      </c>
      <c r="J8238" t="s">
        <v>33500</v>
      </c>
      <c r="L8238" t="s">
        <v>33501</v>
      </c>
      <c r="M8238" t="s">
        <v>33502</v>
      </c>
      <c r="P8238" t="s">
        <v>27</v>
      </c>
      <c r="Q8238" t="s">
        <v>33503</v>
      </c>
      <c r="U8238" t="s">
        <v>33504</v>
      </c>
      <c r="V8238" t="s">
        <v>33505</v>
      </c>
      <c r="Y8238" t="s">
        <v>28318</v>
      </c>
    </row>
    <row r="8239" spans="1:25" x14ac:dyDescent="0.25">
      <c r="A8239" t="str">
        <f>"81475407811"</f>
        <v>81475407811</v>
      </c>
      <c r="B8239" t="s">
        <v>2601</v>
      </c>
      <c r="C8239" t="s">
        <v>33508</v>
      </c>
      <c r="D8239" t="s">
        <v>33506</v>
      </c>
      <c r="E8239">
        <v>424000</v>
      </c>
      <c r="F8239" t="s">
        <v>1</v>
      </c>
      <c r="G8239" t="s">
        <v>2</v>
      </c>
      <c r="H8239" t="s">
        <v>3454</v>
      </c>
      <c r="I8239" t="s">
        <v>33507</v>
      </c>
      <c r="P8239" t="s">
        <v>33509</v>
      </c>
      <c r="Y8239" t="s">
        <v>33510</v>
      </c>
    </row>
    <row r="8240" spans="1:25" x14ac:dyDescent="0.25">
      <c r="A8240" t="str">
        <f>"81484837751"</f>
        <v>81484837751</v>
      </c>
      <c r="B8240" t="s">
        <v>32</v>
      </c>
      <c r="C8240" t="s">
        <v>20137</v>
      </c>
      <c r="D8240" t="s">
        <v>33511</v>
      </c>
      <c r="E8240">
        <v>424000</v>
      </c>
      <c r="F8240" t="s">
        <v>1</v>
      </c>
      <c r="G8240" t="s">
        <v>2</v>
      </c>
      <c r="H8240" t="s">
        <v>92</v>
      </c>
      <c r="I8240" t="s">
        <v>33512</v>
      </c>
      <c r="P8240" t="s">
        <v>98</v>
      </c>
      <c r="Y8240" t="s">
        <v>33513</v>
      </c>
    </row>
    <row r="8241" spans="1:25" x14ac:dyDescent="0.25">
      <c r="A8241" t="str">
        <f>"81503324282"</f>
        <v>81503324282</v>
      </c>
      <c r="B8241" t="s">
        <v>388</v>
      </c>
      <c r="C8241" t="s">
        <v>389</v>
      </c>
      <c r="D8241" t="s">
        <v>7539</v>
      </c>
      <c r="E8241">
        <v>424038</v>
      </c>
      <c r="F8241" t="s">
        <v>1</v>
      </c>
      <c r="G8241" t="s">
        <v>2</v>
      </c>
      <c r="H8241" t="s">
        <v>2145</v>
      </c>
      <c r="I8241" t="s">
        <v>7540</v>
      </c>
      <c r="K8241" t="s">
        <v>33514</v>
      </c>
      <c r="L8241" t="s">
        <v>7541</v>
      </c>
      <c r="M8241" t="s">
        <v>33515</v>
      </c>
      <c r="P8241" t="s">
        <v>9</v>
      </c>
      <c r="Q8241" t="s">
        <v>7544</v>
      </c>
      <c r="Y8241" t="s">
        <v>10626</v>
      </c>
    </row>
    <row r="8242" spans="1:25" x14ac:dyDescent="0.25">
      <c r="A8242" t="str">
        <f>"81504398051"</f>
        <v>81504398051</v>
      </c>
      <c r="B8242" t="s">
        <v>284</v>
      </c>
      <c r="C8242" t="s">
        <v>2462</v>
      </c>
      <c r="D8242" t="s">
        <v>18373</v>
      </c>
      <c r="F8242" t="s">
        <v>1</v>
      </c>
      <c r="G8242" t="s">
        <v>2</v>
      </c>
      <c r="H8242" t="s">
        <v>3500</v>
      </c>
      <c r="I8242" t="s">
        <v>33516</v>
      </c>
      <c r="J8242" t="s">
        <v>33517</v>
      </c>
      <c r="P8242" t="s">
        <v>330</v>
      </c>
      <c r="Y8242" t="s">
        <v>3502</v>
      </c>
    </row>
    <row r="8243" spans="1:25" x14ac:dyDescent="0.25">
      <c r="A8243" t="str">
        <f>"81509311849"</f>
        <v>81509311849</v>
      </c>
      <c r="B8243" t="s">
        <v>797</v>
      </c>
      <c r="C8243" t="s">
        <v>5123</v>
      </c>
      <c r="D8243" t="s">
        <v>33518</v>
      </c>
      <c r="F8243" t="s">
        <v>1</v>
      </c>
      <c r="G8243" t="s">
        <v>2</v>
      </c>
      <c r="H8243" t="s">
        <v>3018</v>
      </c>
      <c r="I8243" t="s">
        <v>33519</v>
      </c>
      <c r="Y8243" t="s">
        <v>33520</v>
      </c>
    </row>
    <row r="8244" spans="1:25" x14ac:dyDescent="0.25">
      <c r="A8244" t="str">
        <f>"81515935363"</f>
        <v>81515935363</v>
      </c>
      <c r="B8244" t="s">
        <v>1544</v>
      </c>
      <c r="C8244" t="s">
        <v>3596</v>
      </c>
      <c r="D8244" t="s">
        <v>3596</v>
      </c>
      <c r="E8244">
        <v>424006</v>
      </c>
      <c r="F8244" t="s">
        <v>1</v>
      </c>
      <c r="G8244" t="s">
        <v>2</v>
      </c>
      <c r="H8244" t="s">
        <v>9823</v>
      </c>
      <c r="Y8244" t="s">
        <v>33521</v>
      </c>
    </row>
    <row r="8245" spans="1:25" x14ac:dyDescent="0.25">
      <c r="A8245" t="str">
        <f>"81661454036"</f>
        <v>81661454036</v>
      </c>
      <c r="B8245" t="s">
        <v>687</v>
      </c>
      <c r="C8245" t="s">
        <v>7478</v>
      </c>
      <c r="D8245" t="s">
        <v>33522</v>
      </c>
      <c r="F8245" t="s">
        <v>1</v>
      </c>
      <c r="G8245" t="s">
        <v>2</v>
      </c>
      <c r="H8245" t="s">
        <v>33523</v>
      </c>
      <c r="Y8245" t="s">
        <v>33524</v>
      </c>
    </row>
    <row r="8246" spans="1:25" x14ac:dyDescent="0.25">
      <c r="A8246" t="str">
        <f>"81667622481"</f>
        <v>81667622481</v>
      </c>
      <c r="B8246" t="s">
        <v>18</v>
      </c>
      <c r="C8246" t="s">
        <v>4522</v>
      </c>
      <c r="D8246" t="s">
        <v>33525</v>
      </c>
      <c r="E8246">
        <v>424007</v>
      </c>
      <c r="F8246" t="s">
        <v>1</v>
      </c>
      <c r="G8246" t="s">
        <v>2</v>
      </c>
      <c r="H8246" t="s">
        <v>12328</v>
      </c>
      <c r="I8246" t="s">
        <v>33526</v>
      </c>
      <c r="P8246" t="s">
        <v>390</v>
      </c>
      <c r="Y8246" t="s">
        <v>12334</v>
      </c>
    </row>
    <row r="8247" spans="1:25" x14ac:dyDescent="0.25">
      <c r="A8247" t="str">
        <f>"81669999591"</f>
        <v>81669999591</v>
      </c>
      <c r="B8247" t="s">
        <v>1182</v>
      </c>
      <c r="C8247" t="s">
        <v>31303</v>
      </c>
      <c r="D8247" t="s">
        <v>31301</v>
      </c>
      <c r="E8247">
        <v>424039</v>
      </c>
      <c r="F8247" t="s">
        <v>1</v>
      </c>
      <c r="G8247" t="s">
        <v>2</v>
      </c>
      <c r="H8247" t="s">
        <v>23651</v>
      </c>
      <c r="J8247" t="s">
        <v>31302</v>
      </c>
      <c r="L8247" t="s">
        <v>33527</v>
      </c>
      <c r="M8247" t="s">
        <v>33528</v>
      </c>
      <c r="P8247" t="s">
        <v>312</v>
      </c>
      <c r="Y8247" t="s">
        <v>33529</v>
      </c>
    </row>
    <row r="8248" spans="1:25" x14ac:dyDescent="0.25">
      <c r="A8248" t="str">
        <f>"81688435243"</f>
        <v>81688435243</v>
      </c>
      <c r="B8248" t="s">
        <v>7312</v>
      </c>
      <c r="C8248" t="s">
        <v>19097</v>
      </c>
      <c r="D8248" t="s">
        <v>20843</v>
      </c>
      <c r="E8248">
        <v>424039</v>
      </c>
      <c r="F8248" t="s">
        <v>1</v>
      </c>
      <c r="G8248" t="s">
        <v>2</v>
      </c>
      <c r="H8248" t="s">
        <v>5827</v>
      </c>
      <c r="Y8248" t="s">
        <v>23921</v>
      </c>
    </row>
    <row r="8249" spans="1:25" x14ac:dyDescent="0.25">
      <c r="A8249" t="str">
        <f>"81711383721"</f>
        <v>81711383721</v>
      </c>
      <c r="B8249" t="s">
        <v>930</v>
      </c>
      <c r="C8249" t="s">
        <v>1096</v>
      </c>
      <c r="D8249" t="s">
        <v>33530</v>
      </c>
      <c r="E8249">
        <v>424008</v>
      </c>
      <c r="F8249" t="s">
        <v>1</v>
      </c>
      <c r="G8249" t="s">
        <v>2</v>
      </c>
      <c r="H8249" t="s">
        <v>25607</v>
      </c>
      <c r="Y8249" t="s">
        <v>33531</v>
      </c>
    </row>
    <row r="8250" spans="1:25" x14ac:dyDescent="0.25">
      <c r="A8250" t="str">
        <f>"81718974482"</f>
        <v>81718974482</v>
      </c>
      <c r="B8250" t="s">
        <v>2062</v>
      </c>
      <c r="C8250" t="s">
        <v>3293</v>
      </c>
      <c r="D8250" t="s">
        <v>33532</v>
      </c>
      <c r="E8250">
        <v>424003</v>
      </c>
      <c r="F8250" t="s">
        <v>1</v>
      </c>
      <c r="G8250" t="s">
        <v>2</v>
      </c>
      <c r="H8250" t="s">
        <v>5311</v>
      </c>
      <c r="J8250" t="s">
        <v>33533</v>
      </c>
      <c r="Y8250" t="s">
        <v>10521</v>
      </c>
    </row>
    <row r="8251" spans="1:25" x14ac:dyDescent="0.25">
      <c r="A8251" t="str">
        <f>"81725669013"</f>
        <v>81725669013</v>
      </c>
      <c r="B8251" t="s">
        <v>1078</v>
      </c>
      <c r="C8251" t="s">
        <v>25481</v>
      </c>
      <c r="D8251" t="s">
        <v>33534</v>
      </c>
      <c r="E8251">
        <v>424007</v>
      </c>
      <c r="F8251" t="s">
        <v>1</v>
      </c>
      <c r="G8251" t="s">
        <v>2</v>
      </c>
      <c r="H8251" t="s">
        <v>23667</v>
      </c>
      <c r="Y8251" t="s">
        <v>33535</v>
      </c>
    </row>
    <row r="8252" spans="1:25" x14ac:dyDescent="0.25">
      <c r="A8252" t="str">
        <f>"81733038643"</f>
        <v>81733038643</v>
      </c>
      <c r="B8252" t="s">
        <v>176</v>
      </c>
      <c r="C8252" t="s">
        <v>566</v>
      </c>
      <c r="D8252" t="s">
        <v>33536</v>
      </c>
      <c r="E8252">
        <v>424004</v>
      </c>
      <c r="F8252" t="s">
        <v>1</v>
      </c>
      <c r="G8252" t="s">
        <v>2</v>
      </c>
      <c r="H8252" t="s">
        <v>17461</v>
      </c>
      <c r="I8252" t="s">
        <v>33537</v>
      </c>
      <c r="J8252" t="s">
        <v>33538</v>
      </c>
      <c r="M8252" t="s">
        <v>33539</v>
      </c>
      <c r="P8252" t="s">
        <v>330</v>
      </c>
      <c r="Y8252" t="s">
        <v>33540</v>
      </c>
    </row>
    <row r="8253" spans="1:25" x14ac:dyDescent="0.25">
      <c r="A8253" t="str">
        <f>"81752794521"</f>
        <v>81752794521</v>
      </c>
      <c r="B8253" t="s">
        <v>530</v>
      </c>
      <c r="C8253" t="s">
        <v>23950</v>
      </c>
      <c r="D8253" t="s">
        <v>23950</v>
      </c>
      <c r="E8253">
        <v>424003</v>
      </c>
      <c r="F8253" t="s">
        <v>1</v>
      </c>
      <c r="G8253" t="s">
        <v>2</v>
      </c>
      <c r="H8253" t="s">
        <v>3459</v>
      </c>
      <c r="Y8253" t="s">
        <v>33541</v>
      </c>
    </row>
    <row r="8254" spans="1:25" x14ac:dyDescent="0.25">
      <c r="A8254" t="str">
        <f>"81810644296"</f>
        <v>81810644296</v>
      </c>
      <c r="B8254" t="s">
        <v>1573</v>
      </c>
      <c r="C8254" t="s">
        <v>1817</v>
      </c>
      <c r="D8254" t="s">
        <v>33542</v>
      </c>
      <c r="E8254">
        <v>424020</v>
      </c>
      <c r="F8254" t="s">
        <v>1</v>
      </c>
      <c r="G8254" t="s">
        <v>2</v>
      </c>
      <c r="H8254" t="s">
        <v>10825</v>
      </c>
      <c r="Y8254" t="s">
        <v>26856</v>
      </c>
    </row>
    <row r="8255" spans="1:25" x14ac:dyDescent="0.25">
      <c r="A8255" t="str">
        <f>"81820337200"</f>
        <v>81820337200</v>
      </c>
      <c r="B8255" t="s">
        <v>176</v>
      </c>
      <c r="C8255" t="s">
        <v>250</v>
      </c>
      <c r="D8255" t="s">
        <v>33543</v>
      </c>
      <c r="E8255">
        <v>424038</v>
      </c>
      <c r="F8255" t="s">
        <v>1</v>
      </c>
      <c r="G8255" t="s">
        <v>2</v>
      </c>
      <c r="H8255" t="s">
        <v>546</v>
      </c>
      <c r="J8255" t="s">
        <v>33544</v>
      </c>
      <c r="L8255" t="s">
        <v>33545</v>
      </c>
      <c r="Q8255" t="s">
        <v>33546</v>
      </c>
      <c r="Y8255" t="s">
        <v>549</v>
      </c>
    </row>
    <row r="8256" spans="1:25" x14ac:dyDescent="0.25">
      <c r="A8256" t="str">
        <f>"81897440115"</f>
        <v>81897440115</v>
      </c>
      <c r="B8256" t="s">
        <v>1475</v>
      </c>
      <c r="C8256" t="s">
        <v>1476</v>
      </c>
      <c r="D8256" t="s">
        <v>33547</v>
      </c>
      <c r="E8256">
        <v>424038</v>
      </c>
      <c r="F8256" t="s">
        <v>1</v>
      </c>
      <c r="G8256" t="s">
        <v>2</v>
      </c>
      <c r="H8256" t="s">
        <v>1366</v>
      </c>
      <c r="Y8256" t="s">
        <v>33548</v>
      </c>
    </row>
    <row r="8257" spans="1:25" x14ac:dyDescent="0.25">
      <c r="A8257" t="str">
        <f>"81905286503"</f>
        <v>81905286503</v>
      </c>
      <c r="B8257" t="s">
        <v>430</v>
      </c>
      <c r="C8257" t="s">
        <v>940</v>
      </c>
      <c r="D8257" t="s">
        <v>33549</v>
      </c>
      <c r="F8257" t="s">
        <v>1</v>
      </c>
      <c r="G8257" t="s">
        <v>2</v>
      </c>
      <c r="H8257" t="s">
        <v>19499</v>
      </c>
      <c r="J8257" t="s">
        <v>33550</v>
      </c>
      <c r="P8257" t="s">
        <v>144</v>
      </c>
      <c r="Y8257" t="s">
        <v>24185</v>
      </c>
    </row>
    <row r="8258" spans="1:25" x14ac:dyDescent="0.25">
      <c r="A8258" t="str">
        <f>"81911304158"</f>
        <v>81911304158</v>
      </c>
      <c r="B8258" t="s">
        <v>930</v>
      </c>
      <c r="C8258" t="s">
        <v>10263</v>
      </c>
      <c r="D8258" t="s">
        <v>26779</v>
      </c>
      <c r="E8258">
        <v>424032</v>
      </c>
      <c r="F8258" t="s">
        <v>1</v>
      </c>
      <c r="G8258" t="s">
        <v>2</v>
      </c>
      <c r="H8258" t="s">
        <v>26780</v>
      </c>
      <c r="I8258" t="s">
        <v>33551</v>
      </c>
      <c r="J8258" t="s">
        <v>33552</v>
      </c>
      <c r="L8258" t="s">
        <v>26782</v>
      </c>
      <c r="M8258" t="s">
        <v>26783</v>
      </c>
      <c r="P8258" t="s">
        <v>60</v>
      </c>
      <c r="Y8258" t="s">
        <v>33553</v>
      </c>
    </row>
    <row r="8259" spans="1:25" x14ac:dyDescent="0.25">
      <c r="A8259" t="str">
        <f>"81911842792"</f>
        <v>81911842792</v>
      </c>
      <c r="B8259" t="s">
        <v>519</v>
      </c>
      <c r="C8259" t="s">
        <v>33555</v>
      </c>
      <c r="D8259" t="s">
        <v>33554</v>
      </c>
      <c r="E8259">
        <v>424006</v>
      </c>
      <c r="F8259" t="s">
        <v>1</v>
      </c>
      <c r="G8259" t="s">
        <v>2</v>
      </c>
      <c r="H8259" t="s">
        <v>2649</v>
      </c>
      <c r="Y8259" t="s">
        <v>2654</v>
      </c>
    </row>
    <row r="8260" spans="1:25" x14ac:dyDescent="0.25">
      <c r="A8260" t="str">
        <f>"81950542865"</f>
        <v>81950542865</v>
      </c>
      <c r="B8260" t="s">
        <v>117</v>
      </c>
      <c r="C8260" t="s">
        <v>873</v>
      </c>
      <c r="D8260" t="s">
        <v>873</v>
      </c>
      <c r="F8260" t="s">
        <v>1</v>
      </c>
      <c r="G8260" t="s">
        <v>2</v>
      </c>
      <c r="H8260" t="s">
        <v>29803</v>
      </c>
      <c r="Y8260" t="s">
        <v>33556</v>
      </c>
    </row>
    <row r="8261" spans="1:25" x14ac:dyDescent="0.25">
      <c r="A8261" t="str">
        <f>"82055377563"</f>
        <v>82055377563</v>
      </c>
      <c r="B8261" t="s">
        <v>284</v>
      </c>
      <c r="C8261" t="s">
        <v>2462</v>
      </c>
      <c r="D8261" t="s">
        <v>33557</v>
      </c>
      <c r="E8261">
        <v>424005</v>
      </c>
      <c r="F8261" t="s">
        <v>1</v>
      </c>
      <c r="G8261" t="s">
        <v>2</v>
      </c>
      <c r="H8261" t="s">
        <v>33558</v>
      </c>
      <c r="J8261" t="s">
        <v>19424</v>
      </c>
      <c r="P8261" t="s">
        <v>280</v>
      </c>
      <c r="Y8261" t="s">
        <v>33559</v>
      </c>
    </row>
    <row r="8262" spans="1:25" x14ac:dyDescent="0.25">
      <c r="A8262" t="str">
        <f>"82081824589"</f>
        <v>82081824589</v>
      </c>
      <c r="B8262" t="s">
        <v>978</v>
      </c>
      <c r="C8262" t="s">
        <v>7568</v>
      </c>
      <c r="D8262" t="s">
        <v>33560</v>
      </c>
      <c r="F8262" t="s">
        <v>1</v>
      </c>
      <c r="G8262" t="s">
        <v>2</v>
      </c>
      <c r="H8262" t="s">
        <v>2018</v>
      </c>
      <c r="J8262" t="s">
        <v>33561</v>
      </c>
      <c r="M8262" t="s">
        <v>33562</v>
      </c>
      <c r="P8262" t="s">
        <v>33563</v>
      </c>
      <c r="Y8262" t="s">
        <v>2131</v>
      </c>
    </row>
    <row r="8263" spans="1:25" x14ac:dyDescent="0.25">
      <c r="A8263" t="str">
        <f>"82107468784"</f>
        <v>82107468784</v>
      </c>
      <c r="B8263" t="s">
        <v>574</v>
      </c>
      <c r="C8263" t="s">
        <v>24933</v>
      </c>
      <c r="D8263" t="s">
        <v>33564</v>
      </c>
      <c r="E8263">
        <v>424000</v>
      </c>
      <c r="F8263" t="s">
        <v>1</v>
      </c>
      <c r="G8263" t="s">
        <v>2</v>
      </c>
      <c r="H8263" t="s">
        <v>2671</v>
      </c>
      <c r="Y8263" t="s">
        <v>33565</v>
      </c>
    </row>
    <row r="8264" spans="1:25" x14ac:dyDescent="0.25">
      <c r="A8264" t="str">
        <f>"82198711424"</f>
        <v>82198711424</v>
      </c>
      <c r="B8264" t="s">
        <v>96</v>
      </c>
      <c r="C8264" t="s">
        <v>33568</v>
      </c>
      <c r="D8264" t="s">
        <v>33566</v>
      </c>
      <c r="E8264">
        <v>424918</v>
      </c>
      <c r="F8264" t="s">
        <v>1</v>
      </c>
      <c r="G8264" t="s">
        <v>2</v>
      </c>
      <c r="H8264" t="s">
        <v>629</v>
      </c>
      <c r="L8264" t="s">
        <v>23414</v>
      </c>
      <c r="M8264" t="s">
        <v>33567</v>
      </c>
      <c r="P8264" t="s">
        <v>144</v>
      </c>
      <c r="Y8264" t="s">
        <v>33569</v>
      </c>
    </row>
    <row r="8265" spans="1:25" x14ac:dyDescent="0.25">
      <c r="A8265" t="str">
        <f>"82222077521"</f>
        <v>82222077521</v>
      </c>
      <c r="B8265" t="s">
        <v>574</v>
      </c>
      <c r="C8265" t="s">
        <v>24405</v>
      </c>
      <c r="D8265" t="s">
        <v>24404</v>
      </c>
      <c r="E8265">
        <v>424033</v>
      </c>
      <c r="F8265" t="s">
        <v>1</v>
      </c>
      <c r="G8265" t="s">
        <v>2</v>
      </c>
      <c r="H8265" t="s">
        <v>22045</v>
      </c>
      <c r="Y8265" t="s">
        <v>33570</v>
      </c>
    </row>
    <row r="8266" spans="1:25" x14ac:dyDescent="0.25">
      <c r="A8266" t="str">
        <f>"82259599714"</f>
        <v>82259599714</v>
      </c>
      <c r="B8266" t="s">
        <v>160</v>
      </c>
      <c r="C8266" t="s">
        <v>2327</v>
      </c>
      <c r="D8266" t="s">
        <v>33571</v>
      </c>
      <c r="E8266">
        <v>424032</v>
      </c>
      <c r="F8266" t="s">
        <v>1</v>
      </c>
      <c r="G8266" t="s">
        <v>2</v>
      </c>
      <c r="H8266" t="s">
        <v>33572</v>
      </c>
      <c r="Y8266" t="s">
        <v>33573</v>
      </c>
    </row>
    <row r="8267" spans="1:25" x14ac:dyDescent="0.25">
      <c r="A8267" t="str">
        <f>"82260973786"</f>
        <v>82260973786</v>
      </c>
      <c r="B8267" t="s">
        <v>160</v>
      </c>
      <c r="C8267" t="s">
        <v>33578</v>
      </c>
      <c r="D8267" t="s">
        <v>33574</v>
      </c>
      <c r="E8267">
        <v>424006</v>
      </c>
      <c r="F8267" t="s">
        <v>1</v>
      </c>
      <c r="G8267" t="s">
        <v>2</v>
      </c>
      <c r="H8267" t="s">
        <v>7984</v>
      </c>
      <c r="I8267" t="s">
        <v>33575</v>
      </c>
      <c r="L8267" t="s">
        <v>33576</v>
      </c>
      <c r="M8267" t="s">
        <v>33577</v>
      </c>
      <c r="P8267" t="s">
        <v>27</v>
      </c>
      <c r="Y8267" t="s">
        <v>28318</v>
      </c>
    </row>
    <row r="8268" spans="1:25" x14ac:dyDescent="0.25">
      <c r="A8268" t="str">
        <f>"82268209367"</f>
        <v>82268209367</v>
      </c>
      <c r="B8268" t="s">
        <v>519</v>
      </c>
      <c r="C8268" t="s">
        <v>32925</v>
      </c>
      <c r="D8268" t="s">
        <v>32920</v>
      </c>
      <c r="E8268">
        <v>424006</v>
      </c>
      <c r="F8268" t="s">
        <v>1</v>
      </c>
      <c r="G8268" t="s">
        <v>2</v>
      </c>
      <c r="H8268" t="s">
        <v>13383</v>
      </c>
      <c r="I8268" t="s">
        <v>32921</v>
      </c>
      <c r="J8268" t="s">
        <v>32922</v>
      </c>
      <c r="L8268" t="s">
        <v>33579</v>
      </c>
      <c r="M8268" t="s">
        <v>33580</v>
      </c>
      <c r="P8268" t="s">
        <v>2738</v>
      </c>
      <c r="Y8268" t="s">
        <v>13389</v>
      </c>
    </row>
    <row r="8269" spans="1:25" x14ac:dyDescent="0.25">
      <c r="A8269" t="str">
        <f>"82315132313"</f>
        <v>82315132313</v>
      </c>
      <c r="B8269" t="s">
        <v>123</v>
      </c>
      <c r="C8269" t="s">
        <v>10769</v>
      </c>
      <c r="D8269" t="s">
        <v>13583</v>
      </c>
      <c r="E8269">
        <v>424000</v>
      </c>
      <c r="F8269" t="s">
        <v>1</v>
      </c>
      <c r="G8269" t="s">
        <v>2</v>
      </c>
      <c r="H8269" t="s">
        <v>837</v>
      </c>
      <c r="J8269" t="s">
        <v>18437</v>
      </c>
      <c r="P8269" t="s">
        <v>216</v>
      </c>
      <c r="Y8269" t="s">
        <v>33581</v>
      </c>
    </row>
    <row r="8270" spans="1:25" x14ac:dyDescent="0.25">
      <c r="A8270" t="str">
        <f>"82402741484"</f>
        <v>82402741484</v>
      </c>
      <c r="B8270" t="s">
        <v>1299</v>
      </c>
      <c r="C8270" t="s">
        <v>1300</v>
      </c>
      <c r="D8270" t="s">
        <v>33582</v>
      </c>
      <c r="E8270">
        <v>424007</v>
      </c>
      <c r="F8270" t="s">
        <v>1</v>
      </c>
      <c r="G8270" t="s">
        <v>2</v>
      </c>
      <c r="H8270" t="s">
        <v>13363</v>
      </c>
      <c r="Y8270" t="s">
        <v>13366</v>
      </c>
    </row>
    <row r="8271" spans="1:25" x14ac:dyDescent="0.25">
      <c r="A8271" t="str">
        <f>"82407702463"</f>
        <v>82407702463</v>
      </c>
      <c r="B8271" t="s">
        <v>96</v>
      </c>
      <c r="C8271" t="s">
        <v>695</v>
      </c>
      <c r="D8271" t="s">
        <v>12083</v>
      </c>
      <c r="E8271">
        <v>424020</v>
      </c>
      <c r="F8271" t="s">
        <v>1</v>
      </c>
      <c r="G8271" t="s">
        <v>2</v>
      </c>
      <c r="H8271" t="s">
        <v>1837</v>
      </c>
      <c r="I8271" t="s">
        <v>29255</v>
      </c>
      <c r="P8271" t="s">
        <v>152</v>
      </c>
      <c r="Y8271" t="s">
        <v>1842</v>
      </c>
    </row>
    <row r="8272" spans="1:25" x14ac:dyDescent="0.25">
      <c r="A8272" t="str">
        <f>"82441490592"</f>
        <v>82441490592</v>
      </c>
      <c r="B8272" t="s">
        <v>417</v>
      </c>
      <c r="C8272" t="s">
        <v>418</v>
      </c>
      <c r="D8272" t="s">
        <v>20327</v>
      </c>
      <c r="E8272">
        <v>424002</v>
      </c>
      <c r="F8272" t="s">
        <v>1</v>
      </c>
      <c r="G8272" t="s">
        <v>2</v>
      </c>
      <c r="H8272" t="s">
        <v>11889</v>
      </c>
      <c r="Y8272" t="s">
        <v>33583</v>
      </c>
    </row>
    <row r="8273" spans="1:25" x14ac:dyDescent="0.25">
      <c r="A8273" t="str">
        <f>"82457794797"</f>
        <v>82457794797</v>
      </c>
      <c r="B8273" t="s">
        <v>25</v>
      </c>
      <c r="C8273" t="s">
        <v>20320</v>
      </c>
      <c r="D8273" t="s">
        <v>33584</v>
      </c>
      <c r="E8273">
        <v>424038</v>
      </c>
      <c r="F8273" t="s">
        <v>1</v>
      </c>
      <c r="G8273" t="s">
        <v>2</v>
      </c>
      <c r="H8273" t="s">
        <v>33585</v>
      </c>
      <c r="Y8273" t="s">
        <v>33586</v>
      </c>
    </row>
    <row r="8274" spans="1:25" x14ac:dyDescent="0.25">
      <c r="A8274" t="str">
        <f>"82477993487"</f>
        <v>82477993487</v>
      </c>
      <c r="B8274" t="s">
        <v>456</v>
      </c>
      <c r="C8274" t="s">
        <v>33589</v>
      </c>
      <c r="D8274" t="s">
        <v>33587</v>
      </c>
      <c r="F8274" t="s">
        <v>1</v>
      </c>
      <c r="G8274" t="s">
        <v>2</v>
      </c>
      <c r="H8274" t="s">
        <v>3984</v>
      </c>
      <c r="J8274" t="s">
        <v>33588</v>
      </c>
      <c r="Y8274" t="s">
        <v>33590</v>
      </c>
    </row>
    <row r="8275" spans="1:25" x14ac:dyDescent="0.25">
      <c r="A8275" t="str">
        <f>"82523270029"</f>
        <v>82523270029</v>
      </c>
      <c r="B8275" t="s">
        <v>176</v>
      </c>
      <c r="C8275" t="s">
        <v>566</v>
      </c>
      <c r="D8275" t="s">
        <v>33591</v>
      </c>
      <c r="F8275" t="s">
        <v>1</v>
      </c>
      <c r="G8275" t="s">
        <v>2</v>
      </c>
      <c r="H8275" t="s">
        <v>33592</v>
      </c>
      <c r="J8275" t="s">
        <v>33593</v>
      </c>
      <c r="Y8275" t="s">
        <v>33594</v>
      </c>
    </row>
    <row r="8276" spans="1:25" x14ac:dyDescent="0.25">
      <c r="A8276" t="str">
        <f>"82527705700"</f>
        <v>82527705700</v>
      </c>
      <c r="B8276" t="s">
        <v>4888</v>
      </c>
      <c r="C8276" t="s">
        <v>33599</v>
      </c>
      <c r="D8276" t="s">
        <v>33595</v>
      </c>
      <c r="F8276" t="s">
        <v>1</v>
      </c>
      <c r="G8276" t="s">
        <v>2</v>
      </c>
      <c r="H8276" t="s">
        <v>6026</v>
      </c>
      <c r="J8276" t="s">
        <v>33596</v>
      </c>
      <c r="L8276" t="s">
        <v>33597</v>
      </c>
      <c r="M8276" t="s">
        <v>33598</v>
      </c>
      <c r="P8276" t="s">
        <v>330</v>
      </c>
      <c r="Y8276" t="s">
        <v>33600</v>
      </c>
    </row>
    <row r="8277" spans="1:25" x14ac:dyDescent="0.25">
      <c r="A8277" t="str">
        <f>"82570168310"</f>
        <v>82570168310</v>
      </c>
      <c r="B8277" t="s">
        <v>574</v>
      </c>
      <c r="C8277" t="s">
        <v>10644</v>
      </c>
      <c r="D8277" t="s">
        <v>7620</v>
      </c>
      <c r="E8277">
        <v>424006</v>
      </c>
      <c r="F8277" t="s">
        <v>1</v>
      </c>
      <c r="G8277" t="s">
        <v>2</v>
      </c>
      <c r="H8277" t="s">
        <v>31320</v>
      </c>
      <c r="Y8277" t="s">
        <v>33601</v>
      </c>
    </row>
    <row r="8278" spans="1:25" x14ac:dyDescent="0.25">
      <c r="A8278" t="str">
        <f>"82588605386"</f>
        <v>82588605386</v>
      </c>
      <c r="B8278" t="s">
        <v>738</v>
      </c>
      <c r="C8278" t="s">
        <v>13603</v>
      </c>
      <c r="D8278" t="s">
        <v>33602</v>
      </c>
      <c r="E8278">
        <v>424037</v>
      </c>
      <c r="F8278" t="s">
        <v>1</v>
      </c>
      <c r="G8278" t="s">
        <v>2</v>
      </c>
      <c r="H8278" t="s">
        <v>3765</v>
      </c>
      <c r="L8278" t="s">
        <v>33603</v>
      </c>
      <c r="M8278" t="s">
        <v>33604</v>
      </c>
      <c r="Y8278" t="s">
        <v>33605</v>
      </c>
    </row>
    <row r="8279" spans="1:25" x14ac:dyDescent="0.25">
      <c r="A8279" t="str">
        <f>"82593084488"</f>
        <v>82593084488</v>
      </c>
      <c r="B8279" t="s">
        <v>574</v>
      </c>
      <c r="C8279" t="s">
        <v>646</v>
      </c>
      <c r="D8279" t="s">
        <v>33606</v>
      </c>
      <c r="E8279">
        <v>424003</v>
      </c>
      <c r="F8279" t="s">
        <v>1</v>
      </c>
      <c r="G8279" t="s">
        <v>2</v>
      </c>
      <c r="H8279" t="s">
        <v>21660</v>
      </c>
      <c r="J8279" t="s">
        <v>31102</v>
      </c>
      <c r="P8279" t="s">
        <v>216</v>
      </c>
      <c r="Y8279" t="s">
        <v>24917</v>
      </c>
    </row>
    <row r="8280" spans="1:25" x14ac:dyDescent="0.25">
      <c r="A8280" t="str">
        <f>"82629784172"</f>
        <v>82629784172</v>
      </c>
      <c r="B8280" t="s">
        <v>553</v>
      </c>
      <c r="C8280" t="s">
        <v>554</v>
      </c>
      <c r="D8280" t="s">
        <v>33607</v>
      </c>
      <c r="F8280" t="s">
        <v>1</v>
      </c>
      <c r="G8280" t="s">
        <v>2</v>
      </c>
      <c r="H8280" t="s">
        <v>24976</v>
      </c>
      <c r="J8280" t="s">
        <v>33608</v>
      </c>
      <c r="P8280" t="s">
        <v>27</v>
      </c>
      <c r="Y8280" t="s">
        <v>33609</v>
      </c>
    </row>
    <row r="8281" spans="1:25" x14ac:dyDescent="0.25">
      <c r="A8281" t="str">
        <f>"82641926022"</f>
        <v>82641926022</v>
      </c>
      <c r="B8281" t="s">
        <v>1078</v>
      </c>
      <c r="C8281" t="s">
        <v>33612</v>
      </c>
      <c r="D8281" t="s">
        <v>33085</v>
      </c>
      <c r="E8281">
        <v>424006</v>
      </c>
      <c r="F8281" t="s">
        <v>1</v>
      </c>
      <c r="G8281" t="s">
        <v>2</v>
      </c>
      <c r="H8281" t="s">
        <v>12469</v>
      </c>
      <c r="I8281" t="s">
        <v>33610</v>
      </c>
      <c r="M8281" t="s">
        <v>33611</v>
      </c>
      <c r="Y8281" t="s">
        <v>12472</v>
      </c>
    </row>
    <row r="8282" spans="1:25" x14ac:dyDescent="0.25">
      <c r="A8282" t="str">
        <f>"82667539390"</f>
        <v>82667539390</v>
      </c>
      <c r="B8282" t="s">
        <v>2055</v>
      </c>
      <c r="C8282" t="s">
        <v>33618</v>
      </c>
      <c r="D8282" t="s">
        <v>33613</v>
      </c>
      <c r="F8282" t="s">
        <v>1</v>
      </c>
      <c r="G8282" t="s">
        <v>2</v>
      </c>
      <c r="H8282" t="s">
        <v>33614</v>
      </c>
      <c r="I8282" t="s">
        <v>33615</v>
      </c>
      <c r="L8282" t="s">
        <v>33616</v>
      </c>
      <c r="M8282" t="s">
        <v>33617</v>
      </c>
      <c r="P8282" t="s">
        <v>280</v>
      </c>
      <c r="Y8282" t="s">
        <v>25853</v>
      </c>
    </row>
    <row r="8283" spans="1:25" x14ac:dyDescent="0.25">
      <c r="A8283" t="str">
        <f>"82694061586"</f>
        <v>82694061586</v>
      </c>
      <c r="B8283" t="s">
        <v>4084</v>
      </c>
      <c r="C8283" t="s">
        <v>7951</v>
      </c>
      <c r="D8283" t="s">
        <v>33619</v>
      </c>
      <c r="F8283" t="s">
        <v>1</v>
      </c>
      <c r="G8283" t="s">
        <v>2</v>
      </c>
      <c r="H8283" t="s">
        <v>7547</v>
      </c>
      <c r="Y8283" t="s">
        <v>33620</v>
      </c>
    </row>
    <row r="8284" spans="1:25" x14ac:dyDescent="0.25">
      <c r="A8284" t="str">
        <f>"82706401945"</f>
        <v>82706401945</v>
      </c>
      <c r="B8284" t="s">
        <v>1182</v>
      </c>
      <c r="C8284" t="s">
        <v>33625</v>
      </c>
      <c r="D8284" t="s">
        <v>19865</v>
      </c>
      <c r="F8284" t="s">
        <v>1</v>
      </c>
      <c r="G8284" t="s">
        <v>2</v>
      </c>
      <c r="H8284" t="s">
        <v>3696</v>
      </c>
      <c r="I8284" t="s">
        <v>33621</v>
      </c>
      <c r="J8284" t="s">
        <v>33622</v>
      </c>
      <c r="L8284" t="s">
        <v>33623</v>
      </c>
      <c r="M8284" t="s">
        <v>33624</v>
      </c>
      <c r="P8284" t="s">
        <v>280</v>
      </c>
      <c r="Y8284" t="s">
        <v>3701</v>
      </c>
    </row>
    <row r="8285" spans="1:25" x14ac:dyDescent="0.25">
      <c r="A8285" t="str">
        <f>"82711517725"</f>
        <v>82711517725</v>
      </c>
      <c r="B8285" t="s">
        <v>1046</v>
      </c>
      <c r="C8285" t="s">
        <v>22946</v>
      </c>
      <c r="D8285" t="s">
        <v>22946</v>
      </c>
      <c r="E8285">
        <v>424031</v>
      </c>
      <c r="F8285" t="s">
        <v>1</v>
      </c>
      <c r="G8285" t="s">
        <v>2</v>
      </c>
      <c r="H8285" t="s">
        <v>4622</v>
      </c>
      <c r="Y8285" t="s">
        <v>33626</v>
      </c>
    </row>
    <row r="8286" spans="1:25" x14ac:dyDescent="0.25">
      <c r="A8286" t="str">
        <f>"82717667826"</f>
        <v>82717667826</v>
      </c>
      <c r="B8286" t="s">
        <v>25</v>
      </c>
      <c r="C8286" t="s">
        <v>33630</v>
      </c>
      <c r="D8286" t="s">
        <v>33627</v>
      </c>
      <c r="F8286" t="s">
        <v>1</v>
      </c>
      <c r="G8286" t="s">
        <v>2</v>
      </c>
      <c r="H8286" t="s">
        <v>33628</v>
      </c>
      <c r="I8286" t="s">
        <v>33629</v>
      </c>
      <c r="Y8286" t="s">
        <v>33631</v>
      </c>
    </row>
    <row r="8287" spans="1:25" x14ac:dyDescent="0.25">
      <c r="A8287" t="str">
        <f>"82730074930"</f>
        <v>82730074930</v>
      </c>
      <c r="B8287" t="s">
        <v>574</v>
      </c>
      <c r="C8287" t="s">
        <v>646</v>
      </c>
      <c r="D8287" t="s">
        <v>33632</v>
      </c>
      <c r="E8287">
        <v>424028</v>
      </c>
      <c r="F8287" t="s">
        <v>1</v>
      </c>
      <c r="G8287" t="s">
        <v>2</v>
      </c>
      <c r="H8287" t="s">
        <v>28946</v>
      </c>
      <c r="I8287" t="s">
        <v>33633</v>
      </c>
      <c r="P8287" t="s">
        <v>9840</v>
      </c>
      <c r="Y8287" t="s">
        <v>33634</v>
      </c>
    </row>
    <row r="8288" spans="1:25" x14ac:dyDescent="0.25">
      <c r="A8288" t="str">
        <f>"82765144054"</f>
        <v>82765144054</v>
      </c>
      <c r="B8288" t="s">
        <v>654</v>
      </c>
      <c r="C8288" t="s">
        <v>2195</v>
      </c>
      <c r="D8288" t="s">
        <v>25782</v>
      </c>
      <c r="E8288">
        <v>424005</v>
      </c>
      <c r="F8288" t="s">
        <v>1</v>
      </c>
      <c r="G8288" t="s">
        <v>2</v>
      </c>
      <c r="H8288" t="s">
        <v>6843</v>
      </c>
      <c r="I8288" t="s">
        <v>25784</v>
      </c>
      <c r="M8288" t="s">
        <v>25785</v>
      </c>
      <c r="P8288" t="s">
        <v>2438</v>
      </c>
      <c r="Y8288" t="s">
        <v>6846</v>
      </c>
    </row>
    <row r="8289" spans="1:25" x14ac:dyDescent="0.25">
      <c r="A8289" t="str">
        <f>"82769375450"</f>
        <v>82769375450</v>
      </c>
      <c r="B8289" t="s">
        <v>96</v>
      </c>
      <c r="C8289" t="s">
        <v>20677</v>
      </c>
      <c r="D8289" t="s">
        <v>9628</v>
      </c>
      <c r="E8289">
        <v>424000</v>
      </c>
      <c r="F8289" t="s">
        <v>1</v>
      </c>
      <c r="G8289" t="s">
        <v>2</v>
      </c>
      <c r="H8289" t="s">
        <v>2671</v>
      </c>
      <c r="P8289" t="s">
        <v>1027</v>
      </c>
      <c r="Y8289" t="s">
        <v>33635</v>
      </c>
    </row>
    <row r="8290" spans="1:25" x14ac:dyDescent="0.25">
      <c r="A8290" t="str">
        <f>"82775885790"</f>
        <v>82775885790</v>
      </c>
      <c r="B8290" t="s">
        <v>574</v>
      </c>
      <c r="C8290" t="s">
        <v>9802</v>
      </c>
      <c r="D8290" t="s">
        <v>33636</v>
      </c>
      <c r="E8290">
        <v>424006</v>
      </c>
      <c r="F8290" t="s">
        <v>1</v>
      </c>
      <c r="G8290" t="s">
        <v>2</v>
      </c>
      <c r="H8290" t="s">
        <v>15013</v>
      </c>
      <c r="P8290" t="s">
        <v>33637</v>
      </c>
      <c r="Y8290" t="s">
        <v>33638</v>
      </c>
    </row>
    <row r="8291" spans="1:25" x14ac:dyDescent="0.25">
      <c r="A8291" t="str">
        <f>"82776185015"</f>
        <v>82776185015</v>
      </c>
      <c r="B8291" t="s">
        <v>48</v>
      </c>
      <c r="C8291" t="s">
        <v>33644</v>
      </c>
      <c r="D8291" t="s">
        <v>33639</v>
      </c>
      <c r="E8291">
        <v>424037</v>
      </c>
      <c r="F8291" t="s">
        <v>1</v>
      </c>
      <c r="G8291" t="s">
        <v>2</v>
      </c>
      <c r="H8291" t="s">
        <v>33640</v>
      </c>
      <c r="J8291" t="s">
        <v>33641</v>
      </c>
      <c r="L8291" t="s">
        <v>33642</v>
      </c>
      <c r="M8291" t="s">
        <v>33643</v>
      </c>
      <c r="P8291" t="s">
        <v>144</v>
      </c>
      <c r="Y8291" t="s">
        <v>33645</v>
      </c>
    </row>
    <row r="8292" spans="1:25" x14ac:dyDescent="0.25">
      <c r="A8292" t="str">
        <f>"82808307448"</f>
        <v>82808307448</v>
      </c>
      <c r="B8292" t="s">
        <v>25</v>
      </c>
      <c r="C8292" t="s">
        <v>59</v>
      </c>
      <c r="D8292" t="s">
        <v>33646</v>
      </c>
      <c r="E8292">
        <v>424020</v>
      </c>
      <c r="F8292" t="s">
        <v>1</v>
      </c>
      <c r="G8292" t="s">
        <v>2</v>
      </c>
      <c r="H8292" t="s">
        <v>33647</v>
      </c>
      <c r="Y8292" t="s">
        <v>33648</v>
      </c>
    </row>
    <row r="8293" spans="1:25" x14ac:dyDescent="0.25">
      <c r="A8293" t="str">
        <f>"82827644875"</f>
        <v>82827644875</v>
      </c>
      <c r="B8293" t="s">
        <v>32</v>
      </c>
      <c r="C8293" t="s">
        <v>33</v>
      </c>
      <c r="D8293" t="s">
        <v>28294</v>
      </c>
      <c r="E8293">
        <v>424031</v>
      </c>
      <c r="F8293" t="s">
        <v>1</v>
      </c>
      <c r="G8293" t="s">
        <v>2</v>
      </c>
      <c r="H8293" t="s">
        <v>239</v>
      </c>
      <c r="Y8293" t="s">
        <v>246</v>
      </c>
    </row>
    <row r="8294" spans="1:25" x14ac:dyDescent="0.25">
      <c r="A8294" t="str">
        <f>"82833307202"</f>
        <v>82833307202</v>
      </c>
      <c r="B8294" t="s">
        <v>18</v>
      </c>
      <c r="C8294" t="s">
        <v>4188</v>
      </c>
      <c r="D8294" t="s">
        <v>33649</v>
      </c>
      <c r="E8294">
        <v>424006</v>
      </c>
      <c r="F8294" t="s">
        <v>1</v>
      </c>
      <c r="G8294" t="s">
        <v>2</v>
      </c>
      <c r="H8294" t="s">
        <v>4078</v>
      </c>
      <c r="I8294" t="s">
        <v>33650</v>
      </c>
      <c r="L8294" t="s">
        <v>30843</v>
      </c>
      <c r="M8294" t="s">
        <v>30844</v>
      </c>
      <c r="P8294" t="s">
        <v>280</v>
      </c>
      <c r="Y8294" t="s">
        <v>4080</v>
      </c>
    </row>
    <row r="8295" spans="1:25" x14ac:dyDescent="0.25">
      <c r="A8295" t="str">
        <f>"82851262218"</f>
        <v>82851262218</v>
      </c>
      <c r="B8295" t="s">
        <v>930</v>
      </c>
      <c r="C8295" t="s">
        <v>1096</v>
      </c>
      <c r="D8295" t="s">
        <v>1094</v>
      </c>
      <c r="F8295" t="s">
        <v>1</v>
      </c>
      <c r="G8295" t="s">
        <v>2</v>
      </c>
      <c r="H8295" t="s">
        <v>10476</v>
      </c>
      <c r="Y8295" t="s">
        <v>33651</v>
      </c>
    </row>
    <row r="8296" spans="1:25" x14ac:dyDescent="0.25">
      <c r="A8296" t="str">
        <f>"82912526660"</f>
        <v>82912526660</v>
      </c>
      <c r="B8296" t="s">
        <v>1152</v>
      </c>
      <c r="C8296" t="s">
        <v>1152</v>
      </c>
      <c r="D8296" t="s">
        <v>33652</v>
      </c>
      <c r="E8296">
        <v>424019</v>
      </c>
      <c r="F8296" t="s">
        <v>1</v>
      </c>
      <c r="G8296" t="s">
        <v>2</v>
      </c>
      <c r="H8296" t="s">
        <v>9271</v>
      </c>
      <c r="J8296" t="s">
        <v>33653</v>
      </c>
      <c r="P8296" t="s">
        <v>2050</v>
      </c>
      <c r="Y8296" t="s">
        <v>14680</v>
      </c>
    </row>
    <row r="8297" spans="1:25" x14ac:dyDescent="0.25">
      <c r="A8297" t="str">
        <f>"82927959849"</f>
        <v>82927959849</v>
      </c>
      <c r="B8297" t="s">
        <v>1053</v>
      </c>
      <c r="C8297" t="s">
        <v>1927</v>
      </c>
      <c r="D8297" t="s">
        <v>33654</v>
      </c>
      <c r="E8297">
        <v>424004</v>
      </c>
      <c r="F8297" t="s">
        <v>1</v>
      </c>
      <c r="G8297" t="s">
        <v>2</v>
      </c>
      <c r="H8297" t="s">
        <v>13630</v>
      </c>
      <c r="Y8297" t="s">
        <v>22090</v>
      </c>
    </row>
    <row r="8298" spans="1:25" x14ac:dyDescent="0.25">
      <c r="A8298" t="str">
        <f>"82929280975"</f>
        <v>82929280975</v>
      </c>
      <c r="B8298" t="s">
        <v>123</v>
      </c>
      <c r="C8298" t="s">
        <v>424</v>
      </c>
      <c r="D8298" t="s">
        <v>33655</v>
      </c>
      <c r="F8298" t="s">
        <v>1</v>
      </c>
      <c r="G8298" t="s">
        <v>2</v>
      </c>
      <c r="H8298" t="s">
        <v>33656</v>
      </c>
      <c r="Y8298" t="s">
        <v>33657</v>
      </c>
    </row>
    <row r="8299" spans="1:25" x14ac:dyDescent="0.25">
      <c r="A8299" t="str">
        <f>"82931321321"</f>
        <v>82931321321</v>
      </c>
      <c r="B8299" t="s">
        <v>319</v>
      </c>
      <c r="C8299" t="s">
        <v>320</v>
      </c>
      <c r="D8299" t="s">
        <v>33658</v>
      </c>
      <c r="E8299">
        <v>424005</v>
      </c>
      <c r="F8299" t="s">
        <v>1</v>
      </c>
      <c r="G8299" t="s">
        <v>2</v>
      </c>
      <c r="H8299" t="s">
        <v>4965</v>
      </c>
      <c r="Y8299" t="s">
        <v>33659</v>
      </c>
    </row>
    <row r="8300" spans="1:25" x14ac:dyDescent="0.25">
      <c r="A8300" t="str">
        <f>"82974793407"</f>
        <v>82974793407</v>
      </c>
      <c r="B8300" t="s">
        <v>1544</v>
      </c>
      <c r="C8300" t="s">
        <v>15598</v>
      </c>
      <c r="D8300" t="s">
        <v>30956</v>
      </c>
      <c r="E8300">
        <v>424028</v>
      </c>
      <c r="F8300" t="s">
        <v>1</v>
      </c>
      <c r="G8300" t="s">
        <v>2</v>
      </c>
      <c r="H8300" t="s">
        <v>28022</v>
      </c>
      <c r="Y8300" t="s">
        <v>33660</v>
      </c>
    </row>
    <row r="8301" spans="1:25" x14ac:dyDescent="0.25">
      <c r="A8301" t="str">
        <f>"83031474203"</f>
        <v>83031474203</v>
      </c>
      <c r="B8301" t="s">
        <v>117</v>
      </c>
      <c r="C8301" t="s">
        <v>873</v>
      </c>
      <c r="D8301" t="s">
        <v>873</v>
      </c>
      <c r="F8301" t="s">
        <v>1</v>
      </c>
      <c r="G8301" t="s">
        <v>2</v>
      </c>
      <c r="H8301" t="s">
        <v>33661</v>
      </c>
      <c r="Y8301" t="s">
        <v>33662</v>
      </c>
    </row>
    <row r="8302" spans="1:25" x14ac:dyDescent="0.25">
      <c r="A8302" t="str">
        <f>"83056694684"</f>
        <v>83056694684</v>
      </c>
      <c r="B8302" t="s">
        <v>80</v>
      </c>
      <c r="C8302" t="s">
        <v>2071</v>
      </c>
      <c r="D8302" t="s">
        <v>33663</v>
      </c>
      <c r="E8302">
        <v>424006</v>
      </c>
      <c r="F8302" t="s">
        <v>1</v>
      </c>
      <c r="G8302" t="s">
        <v>2</v>
      </c>
      <c r="H8302" t="s">
        <v>24225</v>
      </c>
      <c r="I8302" t="s">
        <v>33664</v>
      </c>
      <c r="L8302" t="s">
        <v>21912</v>
      </c>
      <c r="M8302" t="s">
        <v>33665</v>
      </c>
      <c r="P8302" t="s">
        <v>33666</v>
      </c>
      <c r="Y8302" t="s">
        <v>33667</v>
      </c>
    </row>
    <row r="8303" spans="1:25" x14ac:dyDescent="0.25">
      <c r="A8303" t="str">
        <f>"83063502852"</f>
        <v>83063502852</v>
      </c>
      <c r="B8303" t="s">
        <v>574</v>
      </c>
      <c r="C8303" t="s">
        <v>3332</v>
      </c>
      <c r="D8303" t="s">
        <v>3329</v>
      </c>
      <c r="E8303">
        <v>424020</v>
      </c>
      <c r="F8303" t="s">
        <v>1</v>
      </c>
      <c r="G8303" t="s">
        <v>2</v>
      </c>
      <c r="H8303" t="s">
        <v>802</v>
      </c>
      <c r="P8303" t="s">
        <v>60</v>
      </c>
      <c r="Y8303" t="s">
        <v>33668</v>
      </c>
    </row>
    <row r="8304" spans="1:25" x14ac:dyDescent="0.25">
      <c r="A8304" t="str">
        <f>"83099528047"</f>
        <v>83099528047</v>
      </c>
      <c r="B8304" t="s">
        <v>1343</v>
      </c>
      <c r="C8304" t="s">
        <v>33670</v>
      </c>
      <c r="D8304" t="s">
        <v>33669</v>
      </c>
      <c r="E8304">
        <v>424005</v>
      </c>
      <c r="F8304" t="s">
        <v>1</v>
      </c>
      <c r="G8304" t="s">
        <v>2</v>
      </c>
      <c r="H8304" t="s">
        <v>4965</v>
      </c>
      <c r="Y8304" t="s">
        <v>33671</v>
      </c>
    </row>
    <row r="8305" spans="1:25" x14ac:dyDescent="0.25">
      <c r="A8305" t="str">
        <f>"83100003887"</f>
        <v>83100003887</v>
      </c>
      <c r="B8305" t="s">
        <v>530</v>
      </c>
      <c r="C8305" t="s">
        <v>23950</v>
      </c>
      <c r="D8305" t="s">
        <v>23950</v>
      </c>
      <c r="E8305">
        <v>424005</v>
      </c>
      <c r="F8305" t="s">
        <v>1</v>
      </c>
      <c r="G8305" t="s">
        <v>2</v>
      </c>
      <c r="H8305" t="s">
        <v>33672</v>
      </c>
      <c r="Y8305" t="s">
        <v>33673</v>
      </c>
    </row>
    <row r="8306" spans="1:25" x14ac:dyDescent="0.25">
      <c r="A8306" t="str">
        <f>"83100053796"</f>
        <v>83100053796</v>
      </c>
      <c r="B8306" t="s">
        <v>687</v>
      </c>
      <c r="C8306" t="s">
        <v>19034</v>
      </c>
      <c r="D8306" t="s">
        <v>33674</v>
      </c>
      <c r="F8306" t="s">
        <v>1</v>
      </c>
      <c r="G8306" t="s">
        <v>2</v>
      </c>
      <c r="H8306" t="s">
        <v>33675</v>
      </c>
      <c r="I8306" t="s">
        <v>33676</v>
      </c>
      <c r="L8306" t="s">
        <v>33677</v>
      </c>
      <c r="M8306" t="s">
        <v>33678</v>
      </c>
      <c r="P8306" t="s">
        <v>27</v>
      </c>
      <c r="Y8306" t="s">
        <v>33679</v>
      </c>
    </row>
    <row r="8307" spans="1:25" x14ac:dyDescent="0.25">
      <c r="A8307" t="str">
        <f>"83105333484"</f>
        <v>83105333484</v>
      </c>
      <c r="B8307" t="s">
        <v>290</v>
      </c>
      <c r="C8307" t="s">
        <v>11603</v>
      </c>
      <c r="D8307" t="s">
        <v>15108</v>
      </c>
      <c r="E8307">
        <v>424033</v>
      </c>
      <c r="F8307" t="s">
        <v>1</v>
      </c>
      <c r="G8307" t="s">
        <v>2</v>
      </c>
      <c r="H8307" t="s">
        <v>6126</v>
      </c>
      <c r="P8307" t="s">
        <v>330</v>
      </c>
      <c r="Y8307" t="s">
        <v>33680</v>
      </c>
    </row>
    <row r="8308" spans="1:25" x14ac:dyDescent="0.25">
      <c r="A8308" t="str">
        <f>"83118209085"</f>
        <v>83118209085</v>
      </c>
      <c r="B8308" t="s">
        <v>530</v>
      </c>
      <c r="C8308" t="s">
        <v>23950</v>
      </c>
      <c r="D8308" t="s">
        <v>23950</v>
      </c>
      <c r="F8308" t="s">
        <v>1</v>
      </c>
      <c r="G8308" t="s">
        <v>2</v>
      </c>
      <c r="H8308" t="s">
        <v>28731</v>
      </c>
      <c r="Y8308" t="s">
        <v>33681</v>
      </c>
    </row>
    <row r="8309" spans="1:25" x14ac:dyDescent="0.25">
      <c r="A8309" t="str">
        <f>"83140026111"</f>
        <v>83140026111</v>
      </c>
      <c r="B8309" t="s">
        <v>703</v>
      </c>
      <c r="C8309" t="s">
        <v>33683</v>
      </c>
      <c r="D8309" t="s">
        <v>33682</v>
      </c>
      <c r="E8309">
        <v>424007</v>
      </c>
      <c r="F8309" t="s">
        <v>1</v>
      </c>
      <c r="G8309" t="s">
        <v>2</v>
      </c>
      <c r="H8309" t="s">
        <v>14570</v>
      </c>
      <c r="P8309" t="s">
        <v>280</v>
      </c>
      <c r="Y8309" t="s">
        <v>14573</v>
      </c>
    </row>
    <row r="8310" spans="1:25" x14ac:dyDescent="0.25">
      <c r="A8310" t="str">
        <f>"83141511038"</f>
        <v>83141511038</v>
      </c>
      <c r="B8310" t="s">
        <v>25</v>
      </c>
      <c r="C8310" t="s">
        <v>1005</v>
      </c>
      <c r="D8310" t="s">
        <v>33684</v>
      </c>
      <c r="F8310" t="s">
        <v>1</v>
      </c>
      <c r="G8310" t="s">
        <v>2</v>
      </c>
      <c r="H8310" t="s">
        <v>11761</v>
      </c>
      <c r="I8310" t="s">
        <v>33685</v>
      </c>
      <c r="P8310" t="s">
        <v>5575</v>
      </c>
      <c r="Y8310" t="s">
        <v>11764</v>
      </c>
    </row>
    <row r="8311" spans="1:25" x14ac:dyDescent="0.25">
      <c r="A8311" t="str">
        <f>"83166473924"</f>
        <v>83166473924</v>
      </c>
      <c r="B8311" t="s">
        <v>290</v>
      </c>
      <c r="C8311" t="s">
        <v>290</v>
      </c>
      <c r="D8311" t="s">
        <v>33686</v>
      </c>
      <c r="E8311">
        <v>424918</v>
      </c>
      <c r="F8311" t="s">
        <v>1</v>
      </c>
      <c r="G8311" t="s">
        <v>2</v>
      </c>
      <c r="H8311" t="s">
        <v>629</v>
      </c>
      <c r="P8311" t="s">
        <v>630</v>
      </c>
      <c r="Y8311" t="s">
        <v>33687</v>
      </c>
    </row>
    <row r="8312" spans="1:25" x14ac:dyDescent="0.25">
      <c r="A8312" t="str">
        <f>"83177854191"</f>
        <v>83177854191</v>
      </c>
      <c r="B8312" t="s">
        <v>574</v>
      </c>
      <c r="C8312" t="s">
        <v>646</v>
      </c>
      <c r="D8312" t="s">
        <v>30816</v>
      </c>
      <c r="E8312">
        <v>424007</v>
      </c>
      <c r="F8312" t="s">
        <v>1</v>
      </c>
      <c r="G8312" t="s">
        <v>2</v>
      </c>
      <c r="H8312" t="s">
        <v>7196</v>
      </c>
      <c r="P8312" t="s">
        <v>60</v>
      </c>
      <c r="Y8312" t="s">
        <v>33688</v>
      </c>
    </row>
    <row r="8313" spans="1:25" x14ac:dyDescent="0.25">
      <c r="A8313" t="str">
        <f>"83178550905"</f>
        <v>83178550905</v>
      </c>
      <c r="B8313" t="s">
        <v>1152</v>
      </c>
      <c r="C8313" t="s">
        <v>1153</v>
      </c>
      <c r="D8313" t="s">
        <v>10280</v>
      </c>
      <c r="E8313">
        <v>424038</v>
      </c>
      <c r="F8313" t="s">
        <v>1</v>
      </c>
      <c r="G8313" t="s">
        <v>2</v>
      </c>
      <c r="H8313" t="s">
        <v>21507</v>
      </c>
      <c r="I8313" t="s">
        <v>22092</v>
      </c>
      <c r="M8313" t="s">
        <v>10284</v>
      </c>
      <c r="Q8313" t="s">
        <v>10286</v>
      </c>
      <c r="R8313" t="s">
        <v>10287</v>
      </c>
      <c r="S8313" t="s">
        <v>10288</v>
      </c>
      <c r="T8313" t="s">
        <v>10289</v>
      </c>
      <c r="U8313" t="s">
        <v>10290</v>
      </c>
      <c r="V8313" t="s">
        <v>10291</v>
      </c>
      <c r="Y8313" t="s">
        <v>25178</v>
      </c>
    </row>
    <row r="8314" spans="1:25" x14ac:dyDescent="0.25">
      <c r="A8314" t="str">
        <f>"83229075358"</f>
        <v>83229075358</v>
      </c>
      <c r="B8314" t="s">
        <v>1230</v>
      </c>
      <c r="C8314" t="s">
        <v>33693</v>
      </c>
      <c r="D8314" t="s">
        <v>33689</v>
      </c>
      <c r="E8314">
        <v>424031</v>
      </c>
      <c r="F8314" t="s">
        <v>1</v>
      </c>
      <c r="G8314" t="s">
        <v>2</v>
      </c>
      <c r="H8314" t="s">
        <v>239</v>
      </c>
      <c r="J8314" t="s">
        <v>33690</v>
      </c>
      <c r="L8314" t="s">
        <v>33691</v>
      </c>
      <c r="M8314" t="s">
        <v>33692</v>
      </c>
      <c r="P8314" t="s">
        <v>98</v>
      </c>
      <c r="Y8314" t="s">
        <v>246</v>
      </c>
    </row>
    <row r="8315" spans="1:25" x14ac:dyDescent="0.25">
      <c r="A8315" t="str">
        <f>"83278620638"</f>
        <v>83278620638</v>
      </c>
      <c r="B8315" t="s">
        <v>3544</v>
      </c>
      <c r="C8315" t="s">
        <v>33697</v>
      </c>
      <c r="D8315" t="s">
        <v>33694</v>
      </c>
      <c r="E8315">
        <v>424000</v>
      </c>
      <c r="F8315" t="s">
        <v>1</v>
      </c>
      <c r="G8315" t="s">
        <v>2</v>
      </c>
      <c r="H8315" t="s">
        <v>5615</v>
      </c>
      <c r="J8315" t="s">
        <v>33695</v>
      </c>
      <c r="M8315" t="s">
        <v>33696</v>
      </c>
      <c r="P8315" t="s">
        <v>27</v>
      </c>
      <c r="Y8315" t="s">
        <v>5619</v>
      </c>
    </row>
    <row r="8316" spans="1:25" x14ac:dyDescent="0.25">
      <c r="A8316" t="str">
        <f>"83293147486"</f>
        <v>83293147486</v>
      </c>
      <c r="B8316" t="s">
        <v>379</v>
      </c>
      <c r="C8316" t="s">
        <v>766</v>
      </c>
      <c r="D8316" t="s">
        <v>32808</v>
      </c>
      <c r="E8316">
        <v>424020</v>
      </c>
      <c r="F8316" t="s">
        <v>1</v>
      </c>
      <c r="G8316" t="s">
        <v>2</v>
      </c>
      <c r="H8316" t="s">
        <v>24402</v>
      </c>
      <c r="P8316" t="s">
        <v>33698</v>
      </c>
      <c r="Y8316" t="s">
        <v>33699</v>
      </c>
    </row>
    <row r="8317" spans="1:25" x14ac:dyDescent="0.25">
      <c r="A8317" t="str">
        <f>"83311189222"</f>
        <v>83311189222</v>
      </c>
      <c r="B8317" t="s">
        <v>25</v>
      </c>
      <c r="C8317" t="s">
        <v>33705</v>
      </c>
      <c r="D8317" t="s">
        <v>33700</v>
      </c>
      <c r="E8317">
        <v>424038</v>
      </c>
      <c r="F8317" t="s">
        <v>1</v>
      </c>
      <c r="G8317" t="s">
        <v>2</v>
      </c>
      <c r="H8317" t="s">
        <v>4399</v>
      </c>
      <c r="I8317" t="s">
        <v>33701</v>
      </c>
      <c r="J8317" t="s">
        <v>33702</v>
      </c>
      <c r="L8317" t="s">
        <v>33703</v>
      </c>
      <c r="M8317" t="s">
        <v>33704</v>
      </c>
      <c r="P8317" t="s">
        <v>1232</v>
      </c>
      <c r="Q8317" t="s">
        <v>33706</v>
      </c>
      <c r="R8317" t="s">
        <v>33707</v>
      </c>
      <c r="Y8317" t="s">
        <v>33708</v>
      </c>
    </row>
    <row r="8318" spans="1:25" x14ac:dyDescent="0.25">
      <c r="A8318" t="str">
        <f>"83312939973"</f>
        <v>83312939973</v>
      </c>
      <c r="B8318" t="s">
        <v>574</v>
      </c>
      <c r="C8318" t="s">
        <v>9802</v>
      </c>
      <c r="D8318" t="s">
        <v>3057</v>
      </c>
      <c r="E8318">
        <v>424036</v>
      </c>
      <c r="F8318" t="s">
        <v>1</v>
      </c>
      <c r="G8318" t="s">
        <v>2</v>
      </c>
      <c r="H8318" t="s">
        <v>12116</v>
      </c>
      <c r="Y8318" t="s">
        <v>33709</v>
      </c>
    </row>
    <row r="8319" spans="1:25" x14ac:dyDescent="0.25">
      <c r="A8319" t="str">
        <f>"83320927134"</f>
        <v>83320927134</v>
      </c>
      <c r="B8319" t="s">
        <v>1078</v>
      </c>
      <c r="C8319" t="s">
        <v>25481</v>
      </c>
      <c r="D8319" t="s">
        <v>15782</v>
      </c>
      <c r="E8319">
        <v>424038</v>
      </c>
      <c r="F8319" t="s">
        <v>1</v>
      </c>
      <c r="G8319" t="s">
        <v>2</v>
      </c>
      <c r="H8319" t="s">
        <v>23978</v>
      </c>
      <c r="Y8319" t="s">
        <v>33710</v>
      </c>
    </row>
    <row r="8320" spans="1:25" x14ac:dyDescent="0.25">
      <c r="A8320" t="str">
        <f>"83326590751"</f>
        <v>83326590751</v>
      </c>
      <c r="B8320" t="s">
        <v>18</v>
      </c>
      <c r="C8320" t="s">
        <v>13796</v>
      </c>
      <c r="D8320" t="s">
        <v>33711</v>
      </c>
      <c r="E8320">
        <v>424028</v>
      </c>
      <c r="F8320" t="s">
        <v>1</v>
      </c>
      <c r="G8320" t="s">
        <v>2</v>
      </c>
      <c r="H8320" t="s">
        <v>30569</v>
      </c>
      <c r="J8320" t="s">
        <v>33712</v>
      </c>
      <c r="M8320" t="s">
        <v>33713</v>
      </c>
      <c r="P8320" t="s">
        <v>27</v>
      </c>
      <c r="Y8320" t="s">
        <v>33714</v>
      </c>
    </row>
    <row r="8321" spans="1:25" x14ac:dyDescent="0.25">
      <c r="A8321" t="str">
        <f>"83360398335"</f>
        <v>83360398335</v>
      </c>
      <c r="B8321" t="s">
        <v>1053</v>
      </c>
      <c r="C8321" t="s">
        <v>1927</v>
      </c>
      <c r="D8321" t="s">
        <v>33715</v>
      </c>
      <c r="E8321">
        <v>424003</v>
      </c>
      <c r="F8321" t="s">
        <v>1</v>
      </c>
      <c r="G8321" t="s">
        <v>2</v>
      </c>
      <c r="H8321" t="s">
        <v>7152</v>
      </c>
      <c r="J8321" t="s">
        <v>33716</v>
      </c>
      <c r="P8321" t="s">
        <v>260</v>
      </c>
      <c r="Y8321" t="s">
        <v>7157</v>
      </c>
    </row>
    <row r="8322" spans="1:25" x14ac:dyDescent="0.25">
      <c r="A8322" t="str">
        <f>"83371089218"</f>
        <v>83371089218</v>
      </c>
      <c r="B8322" t="s">
        <v>640</v>
      </c>
      <c r="C8322" t="s">
        <v>33719</v>
      </c>
      <c r="D8322" t="s">
        <v>33717</v>
      </c>
      <c r="E8322">
        <v>424038</v>
      </c>
      <c r="F8322" t="s">
        <v>1</v>
      </c>
      <c r="G8322" t="s">
        <v>2</v>
      </c>
      <c r="H8322" t="s">
        <v>10766</v>
      </c>
      <c r="I8322" t="s">
        <v>33718</v>
      </c>
      <c r="Y8322" t="s">
        <v>9441</v>
      </c>
    </row>
    <row r="8323" spans="1:25" x14ac:dyDescent="0.25">
      <c r="A8323" t="str">
        <f>"83383557821"</f>
        <v>83383557821</v>
      </c>
      <c r="B8323" t="s">
        <v>3908</v>
      </c>
      <c r="C8323" t="s">
        <v>33721</v>
      </c>
      <c r="D8323" t="s">
        <v>33720</v>
      </c>
      <c r="E8323">
        <v>424005</v>
      </c>
      <c r="F8323" t="s">
        <v>1</v>
      </c>
      <c r="G8323" t="s">
        <v>2</v>
      </c>
      <c r="H8323" t="s">
        <v>30829</v>
      </c>
      <c r="Y8323" t="s">
        <v>33722</v>
      </c>
    </row>
    <row r="8324" spans="1:25" x14ac:dyDescent="0.25">
      <c r="A8324" t="str">
        <f>"83494069557"</f>
        <v>83494069557</v>
      </c>
      <c r="B8324" t="s">
        <v>32</v>
      </c>
      <c r="C8324" t="s">
        <v>182</v>
      </c>
      <c r="D8324" t="s">
        <v>33723</v>
      </c>
      <c r="E8324">
        <v>424000</v>
      </c>
      <c r="F8324" t="s">
        <v>1</v>
      </c>
      <c r="G8324" t="s">
        <v>2</v>
      </c>
      <c r="H8324" t="s">
        <v>5615</v>
      </c>
      <c r="Y8324" t="s">
        <v>33724</v>
      </c>
    </row>
    <row r="8325" spans="1:25" x14ac:dyDescent="0.25">
      <c r="A8325" t="str">
        <f>"83514421705"</f>
        <v>83514421705</v>
      </c>
      <c r="B8325" t="s">
        <v>96</v>
      </c>
      <c r="C8325" t="s">
        <v>8479</v>
      </c>
      <c r="D8325" t="s">
        <v>8479</v>
      </c>
      <c r="E8325">
        <v>424000</v>
      </c>
      <c r="F8325" t="s">
        <v>1</v>
      </c>
      <c r="G8325" t="s">
        <v>2</v>
      </c>
      <c r="H8325" t="s">
        <v>28565</v>
      </c>
      <c r="I8325" t="s">
        <v>33725</v>
      </c>
      <c r="P8325" t="s">
        <v>799</v>
      </c>
      <c r="Y8325" t="s">
        <v>28566</v>
      </c>
    </row>
    <row r="8326" spans="1:25" x14ac:dyDescent="0.25">
      <c r="A8326" t="str">
        <f>"83537480709"</f>
        <v>83537480709</v>
      </c>
      <c r="B8326" t="s">
        <v>18</v>
      </c>
      <c r="C8326" t="s">
        <v>33730</v>
      </c>
      <c r="D8326" t="s">
        <v>33726</v>
      </c>
      <c r="E8326">
        <v>424006</v>
      </c>
      <c r="F8326" t="s">
        <v>1</v>
      </c>
      <c r="G8326" t="s">
        <v>2</v>
      </c>
      <c r="H8326" t="s">
        <v>8622</v>
      </c>
      <c r="I8326" t="s">
        <v>33727</v>
      </c>
      <c r="L8326" t="s">
        <v>33728</v>
      </c>
      <c r="M8326" t="s">
        <v>33729</v>
      </c>
      <c r="P8326" t="s">
        <v>2731</v>
      </c>
      <c r="Q8326" t="s">
        <v>33731</v>
      </c>
      <c r="R8326" t="s">
        <v>33732</v>
      </c>
      <c r="V8326" t="s">
        <v>33733</v>
      </c>
      <c r="Y8326" t="s">
        <v>10258</v>
      </c>
    </row>
    <row r="8327" spans="1:25" x14ac:dyDescent="0.25">
      <c r="A8327" t="str">
        <f>"83585036699"</f>
        <v>83585036699</v>
      </c>
      <c r="B8327" t="s">
        <v>574</v>
      </c>
      <c r="C8327" t="s">
        <v>9802</v>
      </c>
      <c r="D8327" t="s">
        <v>33734</v>
      </c>
      <c r="E8327">
        <v>424039</v>
      </c>
      <c r="F8327" t="s">
        <v>1</v>
      </c>
      <c r="G8327" t="s">
        <v>2</v>
      </c>
      <c r="H8327" t="s">
        <v>2729</v>
      </c>
      <c r="Y8327" t="s">
        <v>33735</v>
      </c>
    </row>
    <row r="8328" spans="1:25" x14ac:dyDescent="0.25">
      <c r="A8328" t="str">
        <f>"83625204900"</f>
        <v>83625204900</v>
      </c>
      <c r="B8328" t="s">
        <v>290</v>
      </c>
      <c r="C8328" t="s">
        <v>11114</v>
      </c>
      <c r="D8328" t="s">
        <v>33736</v>
      </c>
      <c r="E8328">
        <v>424038</v>
      </c>
      <c r="F8328" t="s">
        <v>1</v>
      </c>
      <c r="G8328" t="s">
        <v>2</v>
      </c>
      <c r="H8328" t="s">
        <v>4399</v>
      </c>
      <c r="J8328" t="s">
        <v>33737</v>
      </c>
      <c r="P8328" t="s">
        <v>133</v>
      </c>
      <c r="Y8328" t="s">
        <v>33738</v>
      </c>
    </row>
    <row r="8329" spans="1:25" x14ac:dyDescent="0.25">
      <c r="A8329" t="str">
        <f>"83628826585"</f>
        <v>83628826585</v>
      </c>
      <c r="B8329" t="s">
        <v>1053</v>
      </c>
      <c r="C8329" t="s">
        <v>1799</v>
      </c>
      <c r="D8329" t="s">
        <v>33739</v>
      </c>
      <c r="E8329">
        <v>424033</v>
      </c>
      <c r="F8329" t="s">
        <v>1</v>
      </c>
      <c r="G8329" t="s">
        <v>2</v>
      </c>
      <c r="H8329" t="s">
        <v>6953</v>
      </c>
      <c r="I8329" t="s">
        <v>33740</v>
      </c>
      <c r="Y8329" t="s">
        <v>13534</v>
      </c>
    </row>
    <row r="8330" spans="1:25" x14ac:dyDescent="0.25">
      <c r="A8330" t="str">
        <f>"83663865238"</f>
        <v>83663865238</v>
      </c>
      <c r="B8330" t="s">
        <v>176</v>
      </c>
      <c r="C8330" t="s">
        <v>2838</v>
      </c>
      <c r="D8330" t="s">
        <v>33741</v>
      </c>
      <c r="E8330">
        <v>424000</v>
      </c>
      <c r="F8330" t="s">
        <v>1</v>
      </c>
      <c r="G8330" t="s">
        <v>2</v>
      </c>
      <c r="H8330" t="s">
        <v>4427</v>
      </c>
      <c r="I8330" t="s">
        <v>33742</v>
      </c>
      <c r="P8330" t="s">
        <v>1027</v>
      </c>
      <c r="Y8330" t="s">
        <v>4431</v>
      </c>
    </row>
    <row r="8331" spans="1:25" x14ac:dyDescent="0.25">
      <c r="A8331" t="str">
        <f>"83695292490"</f>
        <v>83695292490</v>
      </c>
      <c r="B8331" t="s">
        <v>1152</v>
      </c>
      <c r="C8331" t="s">
        <v>1152</v>
      </c>
      <c r="D8331" t="s">
        <v>14504</v>
      </c>
      <c r="E8331">
        <v>424006</v>
      </c>
      <c r="F8331" t="s">
        <v>1</v>
      </c>
      <c r="G8331" t="s">
        <v>2</v>
      </c>
      <c r="H8331" t="s">
        <v>751</v>
      </c>
      <c r="J8331" t="s">
        <v>33743</v>
      </c>
      <c r="P8331" t="s">
        <v>2438</v>
      </c>
      <c r="Y8331" t="s">
        <v>755</v>
      </c>
    </row>
    <row r="8332" spans="1:25" x14ac:dyDescent="0.25">
      <c r="A8332" t="str">
        <f>"83698410469"</f>
        <v>83698410469</v>
      </c>
      <c r="B8332" t="s">
        <v>2062</v>
      </c>
      <c r="C8332" t="s">
        <v>3293</v>
      </c>
      <c r="D8332" t="s">
        <v>33744</v>
      </c>
      <c r="E8332">
        <v>424002</v>
      </c>
      <c r="F8332" t="s">
        <v>1</v>
      </c>
      <c r="G8332" t="s">
        <v>2</v>
      </c>
      <c r="H8332" t="s">
        <v>6656</v>
      </c>
      <c r="I8332" t="s">
        <v>33745</v>
      </c>
      <c r="L8332" t="s">
        <v>33746</v>
      </c>
      <c r="M8332" t="s">
        <v>33747</v>
      </c>
      <c r="P8332" t="s">
        <v>9</v>
      </c>
      <c r="Q8332" t="s">
        <v>33748</v>
      </c>
      <c r="S8332" t="s">
        <v>33749</v>
      </c>
      <c r="T8332" t="s">
        <v>33750</v>
      </c>
      <c r="V8332" t="s">
        <v>33751</v>
      </c>
      <c r="Y8332" t="s">
        <v>11652</v>
      </c>
    </row>
    <row r="8333" spans="1:25" x14ac:dyDescent="0.25">
      <c r="A8333" t="str">
        <f>"83717633863"</f>
        <v>83717633863</v>
      </c>
      <c r="B8333" t="s">
        <v>1611</v>
      </c>
      <c r="C8333" t="s">
        <v>33754</v>
      </c>
      <c r="D8333" t="s">
        <v>14981</v>
      </c>
      <c r="F8333" t="s">
        <v>1</v>
      </c>
      <c r="G8333" t="s">
        <v>2</v>
      </c>
      <c r="H8333" t="s">
        <v>8275</v>
      </c>
      <c r="I8333" t="s">
        <v>33752</v>
      </c>
      <c r="J8333" t="s">
        <v>33753</v>
      </c>
      <c r="M8333" t="s">
        <v>14983</v>
      </c>
      <c r="P8333" t="s">
        <v>8280</v>
      </c>
      <c r="Q8333" t="s">
        <v>19322</v>
      </c>
      <c r="U8333" t="s">
        <v>33755</v>
      </c>
      <c r="V8333" t="s">
        <v>33756</v>
      </c>
      <c r="Y8333" t="s">
        <v>33757</v>
      </c>
    </row>
    <row r="8334" spans="1:25" x14ac:dyDescent="0.25">
      <c r="A8334" t="str">
        <f>"83723828112"</f>
        <v>83723828112</v>
      </c>
      <c r="B8334" t="s">
        <v>530</v>
      </c>
      <c r="C8334" t="s">
        <v>23950</v>
      </c>
      <c r="D8334" t="s">
        <v>23950</v>
      </c>
      <c r="F8334" t="s">
        <v>1</v>
      </c>
      <c r="G8334" t="s">
        <v>2</v>
      </c>
      <c r="H8334" t="s">
        <v>19139</v>
      </c>
      <c r="Y8334" t="s">
        <v>33758</v>
      </c>
    </row>
    <row r="8335" spans="1:25" x14ac:dyDescent="0.25">
      <c r="A8335" t="str">
        <f>"83782667995"</f>
        <v>83782667995</v>
      </c>
      <c r="B8335" t="s">
        <v>930</v>
      </c>
      <c r="C8335" t="s">
        <v>33761</v>
      </c>
      <c r="D8335" t="s">
        <v>33759</v>
      </c>
      <c r="E8335">
        <v>424006</v>
      </c>
      <c r="F8335" t="s">
        <v>1</v>
      </c>
      <c r="G8335" t="s">
        <v>2</v>
      </c>
      <c r="H8335" t="s">
        <v>5726</v>
      </c>
      <c r="J8335" t="s">
        <v>33760</v>
      </c>
      <c r="P8335" t="s">
        <v>27</v>
      </c>
      <c r="Q8335" t="s">
        <v>33762</v>
      </c>
      <c r="Y8335" t="s">
        <v>656</v>
      </c>
    </row>
    <row r="8336" spans="1:25" x14ac:dyDescent="0.25">
      <c r="A8336" t="str">
        <f>"83786683813"</f>
        <v>83786683813</v>
      </c>
      <c r="B8336" t="s">
        <v>67</v>
      </c>
      <c r="C8336" t="s">
        <v>27252</v>
      </c>
      <c r="D8336" t="s">
        <v>1153</v>
      </c>
      <c r="E8336">
        <v>424037</v>
      </c>
      <c r="F8336" t="s">
        <v>1</v>
      </c>
      <c r="G8336" t="s">
        <v>2</v>
      </c>
      <c r="H8336" t="s">
        <v>15674</v>
      </c>
      <c r="Y8336" t="s">
        <v>33763</v>
      </c>
    </row>
    <row r="8337" spans="1:25" x14ac:dyDescent="0.25">
      <c r="A8337" t="str">
        <f>"83832500608"</f>
        <v>83832500608</v>
      </c>
      <c r="B8337" t="s">
        <v>1362</v>
      </c>
      <c r="C8337" t="s">
        <v>8728</v>
      </c>
      <c r="D8337" t="s">
        <v>15536</v>
      </c>
      <c r="E8337">
        <v>424006</v>
      </c>
      <c r="F8337" t="s">
        <v>1</v>
      </c>
      <c r="G8337" t="s">
        <v>2</v>
      </c>
      <c r="H8337" t="s">
        <v>5290</v>
      </c>
      <c r="I8337" t="s">
        <v>33764</v>
      </c>
      <c r="P8337" t="s">
        <v>330</v>
      </c>
      <c r="Y8337" t="s">
        <v>5293</v>
      </c>
    </row>
    <row r="8338" spans="1:25" x14ac:dyDescent="0.25">
      <c r="A8338" t="str">
        <f>"83838080752"</f>
        <v>83838080752</v>
      </c>
      <c r="B8338" t="s">
        <v>290</v>
      </c>
      <c r="C8338" t="s">
        <v>290</v>
      </c>
      <c r="D8338" t="s">
        <v>290</v>
      </c>
      <c r="E8338">
        <v>424008</v>
      </c>
      <c r="F8338" t="s">
        <v>1</v>
      </c>
      <c r="G8338" t="s">
        <v>2</v>
      </c>
      <c r="H8338" t="s">
        <v>33765</v>
      </c>
      <c r="Y8338" t="s">
        <v>33766</v>
      </c>
    </row>
    <row r="8339" spans="1:25" x14ac:dyDescent="0.25">
      <c r="A8339" t="str">
        <f>"83881754010"</f>
        <v>83881754010</v>
      </c>
      <c r="B8339" t="s">
        <v>18</v>
      </c>
      <c r="C8339" t="s">
        <v>4522</v>
      </c>
      <c r="D8339" t="s">
        <v>4522</v>
      </c>
      <c r="E8339">
        <v>424030</v>
      </c>
      <c r="F8339" t="s">
        <v>1</v>
      </c>
      <c r="G8339" t="s">
        <v>2</v>
      </c>
      <c r="H8339" t="s">
        <v>10204</v>
      </c>
      <c r="P8339" t="s">
        <v>5278</v>
      </c>
      <c r="Y8339" t="s">
        <v>33767</v>
      </c>
    </row>
    <row r="8340" spans="1:25" x14ac:dyDescent="0.25">
      <c r="A8340" t="str">
        <f>"83902181197"</f>
        <v>83902181197</v>
      </c>
      <c r="B8340" t="s">
        <v>110</v>
      </c>
      <c r="C8340" t="s">
        <v>111</v>
      </c>
      <c r="D8340" t="s">
        <v>33768</v>
      </c>
      <c r="E8340">
        <v>424006</v>
      </c>
      <c r="F8340" t="s">
        <v>1</v>
      </c>
      <c r="G8340" t="s">
        <v>2</v>
      </c>
      <c r="H8340" t="s">
        <v>10247</v>
      </c>
      <c r="M8340" t="s">
        <v>33769</v>
      </c>
      <c r="Y8340" t="s">
        <v>33770</v>
      </c>
    </row>
    <row r="8341" spans="1:25" x14ac:dyDescent="0.25">
      <c r="A8341" t="str">
        <f>"83936587560"</f>
        <v>83936587560</v>
      </c>
      <c r="B8341" t="s">
        <v>2055</v>
      </c>
      <c r="C8341" t="s">
        <v>33618</v>
      </c>
      <c r="D8341" t="s">
        <v>33771</v>
      </c>
      <c r="F8341" t="s">
        <v>1</v>
      </c>
      <c r="G8341" t="s">
        <v>2</v>
      </c>
      <c r="H8341" t="s">
        <v>23852</v>
      </c>
      <c r="J8341" t="s">
        <v>33772</v>
      </c>
      <c r="L8341" t="s">
        <v>33773</v>
      </c>
      <c r="P8341" t="s">
        <v>390</v>
      </c>
      <c r="Y8341" t="s">
        <v>24833</v>
      </c>
    </row>
    <row r="8342" spans="1:25" x14ac:dyDescent="0.25">
      <c r="A8342" t="str">
        <f>"83942852586"</f>
        <v>83942852586</v>
      </c>
      <c r="B8342" t="s">
        <v>18</v>
      </c>
      <c r="C8342" t="s">
        <v>16412</v>
      </c>
      <c r="D8342" t="s">
        <v>33774</v>
      </c>
      <c r="E8342">
        <v>424008</v>
      </c>
      <c r="F8342" t="s">
        <v>1</v>
      </c>
      <c r="G8342" t="s">
        <v>2</v>
      </c>
      <c r="H8342" t="s">
        <v>1012</v>
      </c>
      <c r="I8342" t="s">
        <v>33775</v>
      </c>
      <c r="J8342" t="s">
        <v>28520</v>
      </c>
      <c r="L8342" t="s">
        <v>33776</v>
      </c>
      <c r="M8342" t="s">
        <v>33777</v>
      </c>
      <c r="P8342" t="s">
        <v>260</v>
      </c>
      <c r="Y8342" t="s">
        <v>1016</v>
      </c>
    </row>
    <row r="8343" spans="1:25" x14ac:dyDescent="0.25">
      <c r="A8343" t="str">
        <f>"83968459948"</f>
        <v>83968459948</v>
      </c>
      <c r="B8343" t="s">
        <v>5840</v>
      </c>
      <c r="C8343" t="s">
        <v>23837</v>
      </c>
      <c r="D8343" t="s">
        <v>33778</v>
      </c>
      <c r="E8343">
        <v>424007</v>
      </c>
      <c r="F8343" t="s">
        <v>1</v>
      </c>
      <c r="G8343" t="s">
        <v>2</v>
      </c>
      <c r="H8343" t="s">
        <v>9500</v>
      </c>
      <c r="I8343" t="s">
        <v>33779</v>
      </c>
      <c r="P8343" t="s">
        <v>17486</v>
      </c>
      <c r="Y8343" t="s">
        <v>9503</v>
      </c>
    </row>
    <row r="8344" spans="1:25" x14ac:dyDescent="0.25">
      <c r="A8344" t="str">
        <f>"84010008520"</f>
        <v>84010008520</v>
      </c>
      <c r="B8344" t="s">
        <v>574</v>
      </c>
      <c r="C8344" t="s">
        <v>646</v>
      </c>
      <c r="D8344" t="s">
        <v>4221</v>
      </c>
      <c r="E8344">
        <v>424038</v>
      </c>
      <c r="F8344" t="s">
        <v>1</v>
      </c>
      <c r="G8344" t="s">
        <v>2</v>
      </c>
      <c r="H8344" t="s">
        <v>14026</v>
      </c>
      <c r="Y8344" t="s">
        <v>33780</v>
      </c>
    </row>
    <row r="8345" spans="1:25" x14ac:dyDescent="0.25">
      <c r="A8345" t="str">
        <f>"84031904098"</f>
        <v>84031904098</v>
      </c>
      <c r="B8345" t="s">
        <v>2864</v>
      </c>
      <c r="C8345" t="s">
        <v>33782</v>
      </c>
      <c r="D8345" t="s">
        <v>33781</v>
      </c>
      <c r="F8345" t="s">
        <v>1</v>
      </c>
      <c r="G8345" t="s">
        <v>2</v>
      </c>
      <c r="H8345" t="s">
        <v>7547</v>
      </c>
      <c r="Y8345" t="s">
        <v>33783</v>
      </c>
    </row>
    <row r="8346" spans="1:25" x14ac:dyDescent="0.25">
      <c r="A8346" t="str">
        <f>"84033325463"</f>
        <v>84033325463</v>
      </c>
      <c r="B8346" t="s">
        <v>1617</v>
      </c>
      <c r="C8346" t="s">
        <v>21001</v>
      </c>
      <c r="D8346" t="s">
        <v>20999</v>
      </c>
      <c r="F8346" t="s">
        <v>1</v>
      </c>
      <c r="G8346" t="s">
        <v>2</v>
      </c>
      <c r="H8346" t="s">
        <v>25791</v>
      </c>
      <c r="Y8346" t="s">
        <v>33784</v>
      </c>
    </row>
    <row r="8347" spans="1:25" x14ac:dyDescent="0.25">
      <c r="A8347" t="str">
        <f>"84112553116"</f>
        <v>84112553116</v>
      </c>
      <c r="B8347" t="s">
        <v>123</v>
      </c>
      <c r="C8347" t="s">
        <v>10769</v>
      </c>
      <c r="D8347" t="s">
        <v>33785</v>
      </c>
      <c r="E8347">
        <v>424003</v>
      </c>
      <c r="F8347" t="s">
        <v>1</v>
      </c>
      <c r="G8347" t="s">
        <v>2</v>
      </c>
      <c r="H8347" t="s">
        <v>2465</v>
      </c>
      <c r="I8347" t="s">
        <v>33786</v>
      </c>
      <c r="Q8347" t="s">
        <v>33787</v>
      </c>
      <c r="Y8347" t="s">
        <v>33788</v>
      </c>
    </row>
    <row r="8348" spans="1:25" x14ac:dyDescent="0.25">
      <c r="A8348" t="str">
        <f>"84113058724"</f>
        <v>84113058724</v>
      </c>
      <c r="B8348" t="s">
        <v>2790</v>
      </c>
      <c r="C8348" t="s">
        <v>3528</v>
      </c>
      <c r="D8348" t="s">
        <v>33789</v>
      </c>
      <c r="E8348">
        <v>424033</v>
      </c>
      <c r="F8348" t="s">
        <v>1</v>
      </c>
      <c r="G8348" t="s">
        <v>2</v>
      </c>
      <c r="H8348" t="s">
        <v>19623</v>
      </c>
      <c r="I8348" t="s">
        <v>33790</v>
      </c>
      <c r="L8348" t="s">
        <v>11788</v>
      </c>
      <c r="M8348" t="s">
        <v>3743</v>
      </c>
      <c r="P8348" t="s">
        <v>4073</v>
      </c>
      <c r="Q8348" t="s">
        <v>19626</v>
      </c>
      <c r="Y8348" t="s">
        <v>33791</v>
      </c>
    </row>
    <row r="8349" spans="1:25" x14ac:dyDescent="0.25">
      <c r="A8349" t="str">
        <f>"84118263111"</f>
        <v>84118263111</v>
      </c>
      <c r="B8349" t="s">
        <v>88</v>
      </c>
      <c r="C8349" t="s">
        <v>33795</v>
      </c>
      <c r="D8349" t="s">
        <v>33792</v>
      </c>
      <c r="E8349">
        <v>424037</v>
      </c>
      <c r="F8349" t="s">
        <v>1</v>
      </c>
      <c r="G8349" t="s">
        <v>2</v>
      </c>
      <c r="H8349" t="s">
        <v>1849</v>
      </c>
      <c r="J8349" t="s">
        <v>33793</v>
      </c>
      <c r="L8349" t="s">
        <v>33794</v>
      </c>
      <c r="P8349" t="s">
        <v>33796</v>
      </c>
      <c r="Q8349" t="s">
        <v>33797</v>
      </c>
      <c r="Y8349" t="s">
        <v>33798</v>
      </c>
    </row>
    <row r="8350" spans="1:25" x14ac:dyDescent="0.25">
      <c r="A8350" t="str">
        <f>"84120616992"</f>
        <v>84120616992</v>
      </c>
      <c r="B8350" t="s">
        <v>456</v>
      </c>
      <c r="C8350" t="s">
        <v>33804</v>
      </c>
      <c r="D8350" t="s">
        <v>33799</v>
      </c>
      <c r="F8350" t="s">
        <v>1</v>
      </c>
      <c r="G8350" t="s">
        <v>2</v>
      </c>
      <c r="H8350" t="s">
        <v>33800</v>
      </c>
      <c r="I8350" t="s">
        <v>33801</v>
      </c>
      <c r="J8350" t="s">
        <v>33802</v>
      </c>
      <c r="L8350" t="s">
        <v>33803</v>
      </c>
      <c r="P8350" t="s">
        <v>1027</v>
      </c>
      <c r="Y8350" t="s">
        <v>33805</v>
      </c>
    </row>
    <row r="8351" spans="1:25" x14ac:dyDescent="0.25">
      <c r="A8351" t="str">
        <f>"84125385016"</f>
        <v>84125385016</v>
      </c>
      <c r="B8351" t="s">
        <v>1046</v>
      </c>
      <c r="C8351" t="s">
        <v>22946</v>
      </c>
      <c r="D8351" t="s">
        <v>33806</v>
      </c>
      <c r="E8351">
        <v>424002</v>
      </c>
      <c r="F8351" t="s">
        <v>1</v>
      </c>
      <c r="G8351" t="s">
        <v>2</v>
      </c>
      <c r="H8351" t="s">
        <v>3864</v>
      </c>
      <c r="P8351" t="s">
        <v>14394</v>
      </c>
      <c r="Y8351" t="s">
        <v>17950</v>
      </c>
    </row>
    <row r="8352" spans="1:25" x14ac:dyDescent="0.25">
      <c r="A8352" t="str">
        <f>"84128396896"</f>
        <v>84128396896</v>
      </c>
      <c r="B8352" t="s">
        <v>456</v>
      </c>
      <c r="C8352" t="s">
        <v>4178</v>
      </c>
      <c r="D8352" t="s">
        <v>33807</v>
      </c>
      <c r="E8352">
        <v>424028</v>
      </c>
      <c r="F8352" t="s">
        <v>1</v>
      </c>
      <c r="G8352" t="s">
        <v>2</v>
      </c>
      <c r="H8352" t="s">
        <v>4480</v>
      </c>
      <c r="Y8352" t="s">
        <v>33808</v>
      </c>
    </row>
    <row r="8353" spans="1:25" x14ac:dyDescent="0.25">
      <c r="A8353" t="str">
        <f>"84140910472"</f>
        <v>84140910472</v>
      </c>
      <c r="B8353" t="s">
        <v>738</v>
      </c>
      <c r="C8353" t="s">
        <v>32344</v>
      </c>
      <c r="D8353" t="s">
        <v>33809</v>
      </c>
      <c r="F8353" t="s">
        <v>1</v>
      </c>
      <c r="G8353" t="s">
        <v>2</v>
      </c>
      <c r="H8353" t="s">
        <v>714</v>
      </c>
      <c r="I8353" t="s">
        <v>33810</v>
      </c>
      <c r="L8353" t="s">
        <v>32342</v>
      </c>
      <c r="M8353" t="s">
        <v>32343</v>
      </c>
      <c r="P8353" t="s">
        <v>330</v>
      </c>
      <c r="Y8353" t="s">
        <v>33811</v>
      </c>
    </row>
    <row r="8354" spans="1:25" x14ac:dyDescent="0.25">
      <c r="A8354" t="str">
        <f>"84172295761"</f>
        <v>84172295761</v>
      </c>
      <c r="B8354" t="s">
        <v>96</v>
      </c>
      <c r="C8354" t="s">
        <v>893</v>
      </c>
      <c r="D8354" t="s">
        <v>33812</v>
      </c>
      <c r="E8354">
        <v>424918</v>
      </c>
      <c r="F8354" t="s">
        <v>1</v>
      </c>
      <c r="G8354" t="s">
        <v>2</v>
      </c>
      <c r="H8354" t="s">
        <v>629</v>
      </c>
      <c r="P8354" t="s">
        <v>630</v>
      </c>
      <c r="Y8354" t="s">
        <v>33813</v>
      </c>
    </row>
    <row r="8355" spans="1:25" x14ac:dyDescent="0.25">
      <c r="A8355" t="str">
        <f>"84220116435"</f>
        <v>84220116435</v>
      </c>
      <c r="B8355" t="s">
        <v>123</v>
      </c>
      <c r="C8355" t="s">
        <v>18438</v>
      </c>
      <c r="D8355" t="s">
        <v>33814</v>
      </c>
      <c r="E8355">
        <v>424000</v>
      </c>
      <c r="F8355" t="s">
        <v>1</v>
      </c>
      <c r="G8355" t="s">
        <v>2</v>
      </c>
      <c r="H8355" t="s">
        <v>211</v>
      </c>
      <c r="J8355" t="s">
        <v>33815</v>
      </c>
      <c r="P8355" t="s">
        <v>5084</v>
      </c>
      <c r="Y8355" t="s">
        <v>4742</v>
      </c>
    </row>
    <row r="8356" spans="1:25" x14ac:dyDescent="0.25">
      <c r="A8356" t="str">
        <f>"84220875104"</f>
        <v>84220875104</v>
      </c>
      <c r="B8356" t="s">
        <v>430</v>
      </c>
      <c r="C8356" t="s">
        <v>612</v>
      </c>
      <c r="D8356" t="s">
        <v>33816</v>
      </c>
      <c r="E8356">
        <v>424037</v>
      </c>
      <c r="F8356" t="s">
        <v>1</v>
      </c>
      <c r="G8356" t="s">
        <v>2</v>
      </c>
      <c r="H8356" t="s">
        <v>18247</v>
      </c>
      <c r="I8356" t="s">
        <v>22990</v>
      </c>
      <c r="Q8356" t="s">
        <v>22992</v>
      </c>
      <c r="Y8356" t="s">
        <v>33645</v>
      </c>
    </row>
    <row r="8357" spans="1:25" x14ac:dyDescent="0.25">
      <c r="A8357" t="str">
        <f>"84227361959"</f>
        <v>84227361959</v>
      </c>
      <c r="B8357" t="s">
        <v>530</v>
      </c>
      <c r="C8357" t="s">
        <v>23950</v>
      </c>
      <c r="D8357" t="s">
        <v>23950</v>
      </c>
      <c r="F8357" t="s">
        <v>1</v>
      </c>
      <c r="G8357" t="s">
        <v>2</v>
      </c>
      <c r="H8357" t="s">
        <v>33817</v>
      </c>
      <c r="Y8357" t="s">
        <v>33818</v>
      </c>
    </row>
    <row r="8358" spans="1:25" x14ac:dyDescent="0.25">
      <c r="A8358" t="str">
        <f>"84245310407"</f>
        <v>84245310407</v>
      </c>
      <c r="B8358" t="s">
        <v>3908</v>
      </c>
      <c r="C8358" t="s">
        <v>3918</v>
      </c>
      <c r="D8358" t="s">
        <v>33819</v>
      </c>
      <c r="E8358">
        <v>424037</v>
      </c>
      <c r="F8358" t="s">
        <v>1</v>
      </c>
      <c r="G8358" t="s">
        <v>2</v>
      </c>
      <c r="H8358" t="s">
        <v>2680</v>
      </c>
      <c r="P8358" t="s">
        <v>216</v>
      </c>
      <c r="Y8358" t="s">
        <v>33820</v>
      </c>
    </row>
    <row r="8359" spans="1:25" x14ac:dyDescent="0.25">
      <c r="A8359" t="str">
        <f>"84248573468"</f>
        <v>84248573468</v>
      </c>
      <c r="B8359" t="s">
        <v>1552</v>
      </c>
      <c r="C8359" t="s">
        <v>33823</v>
      </c>
      <c r="D8359" t="s">
        <v>33821</v>
      </c>
      <c r="F8359" t="s">
        <v>1</v>
      </c>
      <c r="G8359" t="s">
        <v>2</v>
      </c>
      <c r="H8359" t="s">
        <v>33822</v>
      </c>
      <c r="Y8359" t="s">
        <v>33824</v>
      </c>
    </row>
    <row r="8360" spans="1:25" x14ac:dyDescent="0.25">
      <c r="A8360" t="str">
        <f>"84259561426"</f>
        <v>84259561426</v>
      </c>
      <c r="B8360" t="s">
        <v>430</v>
      </c>
      <c r="C8360" t="s">
        <v>16178</v>
      </c>
      <c r="D8360" t="s">
        <v>22989</v>
      </c>
      <c r="E8360">
        <v>424005</v>
      </c>
      <c r="F8360" t="s">
        <v>1</v>
      </c>
      <c r="G8360" t="s">
        <v>2</v>
      </c>
      <c r="H8360" t="s">
        <v>24874</v>
      </c>
      <c r="P8360" t="s">
        <v>13505</v>
      </c>
      <c r="Y8360" t="s">
        <v>33825</v>
      </c>
    </row>
    <row r="8361" spans="1:25" x14ac:dyDescent="0.25">
      <c r="A8361" t="str">
        <f>"84283116491"</f>
        <v>84283116491</v>
      </c>
      <c r="B8361" t="s">
        <v>930</v>
      </c>
      <c r="C8361" t="s">
        <v>13865</v>
      </c>
      <c r="D8361" t="s">
        <v>33826</v>
      </c>
      <c r="E8361">
        <v>424007</v>
      </c>
      <c r="F8361" t="s">
        <v>1</v>
      </c>
      <c r="G8361" t="s">
        <v>2</v>
      </c>
      <c r="H8361" t="s">
        <v>3444</v>
      </c>
      <c r="J8361" t="s">
        <v>33827</v>
      </c>
      <c r="P8361" t="s">
        <v>799</v>
      </c>
      <c r="Y8361" t="s">
        <v>3446</v>
      </c>
    </row>
    <row r="8362" spans="1:25" x14ac:dyDescent="0.25">
      <c r="A8362" t="str">
        <f>"84288589161"</f>
        <v>84288589161</v>
      </c>
      <c r="B8362" t="s">
        <v>574</v>
      </c>
      <c r="C8362" t="s">
        <v>22533</v>
      </c>
      <c r="D8362" t="s">
        <v>14735</v>
      </c>
      <c r="E8362">
        <v>424028</v>
      </c>
      <c r="F8362" t="s">
        <v>1</v>
      </c>
      <c r="G8362" t="s">
        <v>2</v>
      </c>
      <c r="H8362" t="s">
        <v>23999</v>
      </c>
      <c r="J8362" t="s">
        <v>33828</v>
      </c>
      <c r="M8362" t="s">
        <v>33829</v>
      </c>
      <c r="P8362" t="s">
        <v>21167</v>
      </c>
      <c r="Y8362" t="s">
        <v>33830</v>
      </c>
    </row>
    <row r="8363" spans="1:25" x14ac:dyDescent="0.25">
      <c r="A8363" t="str">
        <f>"84302970904"</f>
        <v>84302970904</v>
      </c>
      <c r="B8363" t="s">
        <v>18</v>
      </c>
      <c r="C8363" t="s">
        <v>143</v>
      </c>
      <c r="D8363" t="s">
        <v>33831</v>
      </c>
      <c r="E8363">
        <v>424007</v>
      </c>
      <c r="F8363" t="s">
        <v>1</v>
      </c>
      <c r="G8363" t="s">
        <v>2</v>
      </c>
      <c r="H8363" t="s">
        <v>5450</v>
      </c>
      <c r="I8363" t="s">
        <v>33832</v>
      </c>
      <c r="L8363" t="s">
        <v>33833</v>
      </c>
      <c r="M8363" t="s">
        <v>33834</v>
      </c>
      <c r="Y8363" t="s">
        <v>5452</v>
      </c>
    </row>
    <row r="8364" spans="1:25" x14ac:dyDescent="0.25">
      <c r="A8364" t="str">
        <f>"84322726602"</f>
        <v>84322726602</v>
      </c>
      <c r="B8364" t="s">
        <v>4084</v>
      </c>
      <c r="C8364" t="s">
        <v>28282</v>
      </c>
      <c r="D8364" t="s">
        <v>28461</v>
      </c>
      <c r="E8364">
        <v>424000</v>
      </c>
      <c r="F8364" t="s">
        <v>1</v>
      </c>
      <c r="G8364" t="s">
        <v>2</v>
      </c>
      <c r="H8364" t="s">
        <v>265</v>
      </c>
      <c r="Y8364" t="s">
        <v>11205</v>
      </c>
    </row>
    <row r="8365" spans="1:25" x14ac:dyDescent="0.25">
      <c r="A8365" t="str">
        <f>"84387730627"</f>
        <v>84387730627</v>
      </c>
      <c r="B8365" t="s">
        <v>3958</v>
      </c>
      <c r="C8365" t="s">
        <v>23400</v>
      </c>
      <c r="D8365" t="s">
        <v>33835</v>
      </c>
      <c r="E8365">
        <v>424007</v>
      </c>
      <c r="F8365" t="s">
        <v>1</v>
      </c>
      <c r="G8365" t="s">
        <v>2</v>
      </c>
      <c r="H8365" t="s">
        <v>10252</v>
      </c>
      <c r="I8365" t="s">
        <v>33836</v>
      </c>
      <c r="L8365" t="s">
        <v>33837</v>
      </c>
      <c r="M8365" t="s">
        <v>33838</v>
      </c>
      <c r="P8365" t="s">
        <v>152</v>
      </c>
      <c r="Q8365" t="s">
        <v>33839</v>
      </c>
      <c r="V8365" t="s">
        <v>33840</v>
      </c>
      <c r="Y8365" t="s">
        <v>33841</v>
      </c>
    </row>
    <row r="8366" spans="1:25" x14ac:dyDescent="0.25">
      <c r="A8366" t="str">
        <f>"84397427850"</f>
        <v>84397427850</v>
      </c>
      <c r="B8366" t="s">
        <v>8011</v>
      </c>
      <c r="C8366" t="s">
        <v>25177</v>
      </c>
      <c r="D8366" t="s">
        <v>24987</v>
      </c>
      <c r="E8366">
        <v>424006</v>
      </c>
      <c r="F8366" t="s">
        <v>1</v>
      </c>
      <c r="G8366" t="s">
        <v>2</v>
      </c>
      <c r="H8366" t="s">
        <v>3436</v>
      </c>
      <c r="Y8366" t="s">
        <v>33842</v>
      </c>
    </row>
    <row r="8367" spans="1:25" x14ac:dyDescent="0.25">
      <c r="A8367" t="str">
        <f>"84413662848"</f>
        <v>84413662848</v>
      </c>
      <c r="B8367" t="s">
        <v>738</v>
      </c>
      <c r="C8367" t="s">
        <v>17323</v>
      </c>
      <c r="D8367" t="s">
        <v>33843</v>
      </c>
      <c r="E8367">
        <v>424008</v>
      </c>
      <c r="F8367" t="s">
        <v>1</v>
      </c>
      <c r="G8367" t="s">
        <v>2</v>
      </c>
      <c r="H8367" t="s">
        <v>337</v>
      </c>
      <c r="J8367" t="s">
        <v>33844</v>
      </c>
      <c r="P8367" t="s">
        <v>60</v>
      </c>
      <c r="Y8367" t="s">
        <v>33845</v>
      </c>
    </row>
    <row r="8368" spans="1:25" x14ac:dyDescent="0.25">
      <c r="A8368" t="str">
        <f>"84460820650"</f>
        <v>84460820650</v>
      </c>
      <c r="B8368" t="s">
        <v>519</v>
      </c>
      <c r="C8368" t="s">
        <v>27829</v>
      </c>
      <c r="D8368" t="s">
        <v>33846</v>
      </c>
      <c r="E8368">
        <v>424002</v>
      </c>
      <c r="F8368" t="s">
        <v>1</v>
      </c>
      <c r="G8368" t="s">
        <v>2</v>
      </c>
      <c r="H8368" t="s">
        <v>57</v>
      </c>
      <c r="J8368" t="s">
        <v>33847</v>
      </c>
      <c r="P8368" t="s">
        <v>33848</v>
      </c>
      <c r="Q8368" t="s">
        <v>33849</v>
      </c>
      <c r="V8368" t="s">
        <v>33850</v>
      </c>
      <c r="Y8368" t="s">
        <v>3783</v>
      </c>
    </row>
    <row r="8369" spans="1:25" x14ac:dyDescent="0.25">
      <c r="A8369" t="str">
        <f>"84467657942"</f>
        <v>84467657942</v>
      </c>
      <c r="B8369" t="s">
        <v>574</v>
      </c>
      <c r="C8369" t="s">
        <v>14269</v>
      </c>
      <c r="D8369" t="s">
        <v>21152</v>
      </c>
      <c r="E8369">
        <v>424007</v>
      </c>
      <c r="F8369" t="s">
        <v>1</v>
      </c>
      <c r="G8369" t="s">
        <v>2</v>
      </c>
      <c r="H8369" t="s">
        <v>13762</v>
      </c>
      <c r="Y8369" t="s">
        <v>33851</v>
      </c>
    </row>
    <row r="8370" spans="1:25" x14ac:dyDescent="0.25">
      <c r="A8370" t="str">
        <f>"84478354661"</f>
        <v>84478354661</v>
      </c>
      <c r="B8370" t="s">
        <v>233</v>
      </c>
      <c r="C8370" t="s">
        <v>1897</v>
      </c>
      <c r="D8370" t="s">
        <v>33852</v>
      </c>
      <c r="E8370">
        <v>424007</v>
      </c>
      <c r="F8370" t="s">
        <v>1</v>
      </c>
      <c r="G8370" t="s">
        <v>2</v>
      </c>
      <c r="H8370" t="s">
        <v>17849</v>
      </c>
      <c r="J8370" t="s">
        <v>33853</v>
      </c>
      <c r="P8370" t="s">
        <v>280</v>
      </c>
      <c r="Y8370" t="s">
        <v>20608</v>
      </c>
    </row>
    <row r="8371" spans="1:25" x14ac:dyDescent="0.25">
      <c r="A8371" t="str">
        <f>"84592652857"</f>
        <v>84592652857</v>
      </c>
      <c r="B8371" t="s">
        <v>96</v>
      </c>
      <c r="C8371" t="s">
        <v>33857</v>
      </c>
      <c r="D8371" t="s">
        <v>33854</v>
      </c>
      <c r="E8371">
        <v>424000</v>
      </c>
      <c r="F8371" t="s">
        <v>1</v>
      </c>
      <c r="G8371" t="s">
        <v>2</v>
      </c>
      <c r="H8371" t="s">
        <v>1531</v>
      </c>
      <c r="I8371" t="s">
        <v>33855</v>
      </c>
      <c r="M8371" t="s">
        <v>33856</v>
      </c>
      <c r="P8371" t="s">
        <v>330</v>
      </c>
      <c r="Y8371" t="s">
        <v>33858</v>
      </c>
    </row>
    <row r="8372" spans="1:25" x14ac:dyDescent="0.25">
      <c r="A8372" t="str">
        <f>"84592863853"</f>
        <v>84592863853</v>
      </c>
      <c r="B8372" t="s">
        <v>25</v>
      </c>
      <c r="C8372" t="s">
        <v>20320</v>
      </c>
      <c r="D8372" t="s">
        <v>33859</v>
      </c>
      <c r="E8372">
        <v>424002</v>
      </c>
      <c r="F8372" t="s">
        <v>1</v>
      </c>
      <c r="G8372" t="s">
        <v>2</v>
      </c>
      <c r="H8372" t="s">
        <v>14333</v>
      </c>
      <c r="Y8372" t="s">
        <v>33860</v>
      </c>
    </row>
    <row r="8373" spans="1:25" x14ac:dyDescent="0.25">
      <c r="A8373" t="str">
        <f>"84605006614"</f>
        <v>84605006614</v>
      </c>
      <c r="B8373" t="s">
        <v>2601</v>
      </c>
      <c r="C8373" t="s">
        <v>26087</v>
      </c>
      <c r="D8373" t="s">
        <v>33861</v>
      </c>
      <c r="E8373">
        <v>424003</v>
      </c>
      <c r="F8373" t="s">
        <v>1</v>
      </c>
      <c r="G8373" t="s">
        <v>2</v>
      </c>
      <c r="H8373" t="s">
        <v>15183</v>
      </c>
      <c r="J8373" t="s">
        <v>33862</v>
      </c>
      <c r="P8373" t="s">
        <v>216</v>
      </c>
      <c r="Y8373" t="s">
        <v>15185</v>
      </c>
    </row>
    <row r="8374" spans="1:25" x14ac:dyDescent="0.25">
      <c r="A8374" t="str">
        <f>"84620000331"</f>
        <v>84620000331</v>
      </c>
      <c r="B8374" t="s">
        <v>1299</v>
      </c>
      <c r="C8374" t="s">
        <v>1300</v>
      </c>
      <c r="D8374" t="s">
        <v>33863</v>
      </c>
      <c r="E8374">
        <v>424006</v>
      </c>
      <c r="F8374" t="s">
        <v>1</v>
      </c>
      <c r="G8374" t="s">
        <v>2</v>
      </c>
      <c r="H8374" t="s">
        <v>13284</v>
      </c>
      <c r="L8374" t="s">
        <v>597</v>
      </c>
      <c r="M8374" t="s">
        <v>33864</v>
      </c>
      <c r="Y8374" t="s">
        <v>33865</v>
      </c>
    </row>
    <row r="8375" spans="1:25" x14ac:dyDescent="0.25">
      <c r="A8375" t="str">
        <f>"84636399070"</f>
        <v>84636399070</v>
      </c>
      <c r="B8375" t="s">
        <v>978</v>
      </c>
      <c r="C8375" t="s">
        <v>1659</v>
      </c>
      <c r="D8375" t="s">
        <v>33866</v>
      </c>
      <c r="E8375">
        <v>424004</v>
      </c>
      <c r="F8375" t="s">
        <v>1</v>
      </c>
      <c r="G8375" t="s">
        <v>2</v>
      </c>
      <c r="H8375" t="s">
        <v>6869</v>
      </c>
      <c r="Y8375" t="s">
        <v>33867</v>
      </c>
    </row>
    <row r="8376" spans="1:25" x14ac:dyDescent="0.25">
      <c r="A8376" t="str">
        <f>"84638674297"</f>
        <v>84638674297</v>
      </c>
      <c r="B8376" t="s">
        <v>117</v>
      </c>
      <c r="C8376" t="s">
        <v>873</v>
      </c>
      <c r="D8376" t="s">
        <v>873</v>
      </c>
      <c r="E8376">
        <v>424033</v>
      </c>
      <c r="F8376" t="s">
        <v>1</v>
      </c>
      <c r="G8376" t="s">
        <v>2</v>
      </c>
      <c r="H8376" t="s">
        <v>5492</v>
      </c>
      <c r="Y8376" t="s">
        <v>33868</v>
      </c>
    </row>
    <row r="8377" spans="1:25" x14ac:dyDescent="0.25">
      <c r="A8377" t="str">
        <f>"84643641506"</f>
        <v>84643641506</v>
      </c>
      <c r="B8377" t="s">
        <v>123</v>
      </c>
      <c r="C8377" t="s">
        <v>18438</v>
      </c>
      <c r="D8377" t="s">
        <v>33869</v>
      </c>
      <c r="E8377">
        <v>424020</v>
      </c>
      <c r="F8377" t="s">
        <v>1</v>
      </c>
      <c r="G8377" t="s">
        <v>2</v>
      </c>
      <c r="H8377" t="s">
        <v>10825</v>
      </c>
      <c r="Y8377" t="s">
        <v>33870</v>
      </c>
    </row>
    <row r="8378" spans="1:25" x14ac:dyDescent="0.25">
      <c r="A8378" t="str">
        <f>"84678072817"</f>
        <v>84678072817</v>
      </c>
      <c r="B8378" t="s">
        <v>1152</v>
      </c>
      <c r="C8378" t="s">
        <v>1153</v>
      </c>
      <c r="D8378" t="s">
        <v>24071</v>
      </c>
      <c r="E8378">
        <v>424028</v>
      </c>
      <c r="F8378" t="s">
        <v>1</v>
      </c>
      <c r="G8378" t="s">
        <v>2</v>
      </c>
      <c r="H8378" t="s">
        <v>31376</v>
      </c>
      <c r="Y8378" t="s">
        <v>33871</v>
      </c>
    </row>
    <row r="8379" spans="1:25" x14ac:dyDescent="0.25">
      <c r="A8379" t="str">
        <f>"84821102114"</f>
        <v>84821102114</v>
      </c>
      <c r="B8379" t="s">
        <v>456</v>
      </c>
      <c r="C8379" t="s">
        <v>32888</v>
      </c>
      <c r="D8379" t="s">
        <v>33872</v>
      </c>
      <c r="E8379">
        <v>424006</v>
      </c>
      <c r="F8379" t="s">
        <v>1</v>
      </c>
      <c r="G8379" t="s">
        <v>2</v>
      </c>
      <c r="H8379" t="s">
        <v>7984</v>
      </c>
      <c r="I8379" t="s">
        <v>33873</v>
      </c>
      <c r="L8379" t="s">
        <v>33874</v>
      </c>
      <c r="P8379" t="s">
        <v>330</v>
      </c>
      <c r="Y8379" t="s">
        <v>28318</v>
      </c>
    </row>
    <row r="8380" spans="1:25" x14ac:dyDescent="0.25">
      <c r="A8380" t="str">
        <f>"84847588831"</f>
        <v>84847588831</v>
      </c>
      <c r="B8380" t="s">
        <v>2104</v>
      </c>
      <c r="C8380" t="s">
        <v>21175</v>
      </c>
      <c r="D8380" t="s">
        <v>33875</v>
      </c>
      <c r="E8380">
        <v>424000</v>
      </c>
      <c r="F8380" t="s">
        <v>1</v>
      </c>
      <c r="G8380" t="s">
        <v>2</v>
      </c>
      <c r="H8380" t="s">
        <v>92</v>
      </c>
      <c r="Y8380" t="s">
        <v>28397</v>
      </c>
    </row>
    <row r="8381" spans="1:25" x14ac:dyDescent="0.25">
      <c r="A8381" t="str">
        <f>"84856561273"</f>
        <v>84856561273</v>
      </c>
      <c r="B8381" t="s">
        <v>456</v>
      </c>
      <c r="C8381" t="s">
        <v>17904</v>
      </c>
      <c r="D8381" t="s">
        <v>33876</v>
      </c>
      <c r="E8381">
        <v>424008</v>
      </c>
      <c r="F8381" t="s">
        <v>1</v>
      </c>
      <c r="G8381" t="s">
        <v>2</v>
      </c>
      <c r="H8381" t="s">
        <v>4857</v>
      </c>
      <c r="I8381" t="s">
        <v>33877</v>
      </c>
      <c r="L8381" t="s">
        <v>33878</v>
      </c>
      <c r="M8381" t="s">
        <v>33879</v>
      </c>
      <c r="P8381" t="s">
        <v>27</v>
      </c>
      <c r="Q8381" t="s">
        <v>33880</v>
      </c>
      <c r="V8381" t="s">
        <v>33881</v>
      </c>
      <c r="Y8381" t="s">
        <v>33882</v>
      </c>
    </row>
    <row r="8382" spans="1:25" x14ac:dyDescent="0.25">
      <c r="A8382" t="str">
        <f>"84857272682"</f>
        <v>84857272682</v>
      </c>
      <c r="B8382" t="s">
        <v>738</v>
      </c>
      <c r="C8382" t="s">
        <v>739</v>
      </c>
      <c r="D8382" t="s">
        <v>33883</v>
      </c>
      <c r="E8382">
        <v>424002</v>
      </c>
      <c r="F8382" t="s">
        <v>1</v>
      </c>
      <c r="G8382" t="s">
        <v>2</v>
      </c>
      <c r="H8382" t="s">
        <v>6656</v>
      </c>
      <c r="I8382" t="s">
        <v>33884</v>
      </c>
      <c r="P8382" t="s">
        <v>20819</v>
      </c>
      <c r="Y8382" t="s">
        <v>33885</v>
      </c>
    </row>
    <row r="8383" spans="1:25" x14ac:dyDescent="0.25">
      <c r="A8383" t="str">
        <f>"84898674355"</f>
        <v>84898674355</v>
      </c>
      <c r="B8383" t="s">
        <v>117</v>
      </c>
      <c r="C8383" t="s">
        <v>118</v>
      </c>
      <c r="D8383" t="s">
        <v>33886</v>
      </c>
      <c r="E8383">
        <v>424007</v>
      </c>
      <c r="F8383" t="s">
        <v>1</v>
      </c>
      <c r="G8383" t="s">
        <v>2</v>
      </c>
      <c r="H8383" t="s">
        <v>33887</v>
      </c>
      <c r="I8383" t="s">
        <v>33888</v>
      </c>
      <c r="P8383" t="s">
        <v>33889</v>
      </c>
      <c r="Y8383" t="s">
        <v>33890</v>
      </c>
    </row>
    <row r="8384" spans="1:25" x14ac:dyDescent="0.25">
      <c r="A8384" t="str">
        <f>"84911428945"</f>
        <v>84911428945</v>
      </c>
      <c r="B8384" t="s">
        <v>123</v>
      </c>
      <c r="C8384" t="s">
        <v>424</v>
      </c>
      <c r="D8384" t="s">
        <v>424</v>
      </c>
      <c r="E8384">
        <v>424032</v>
      </c>
      <c r="F8384" t="s">
        <v>1</v>
      </c>
      <c r="G8384" t="s">
        <v>2</v>
      </c>
      <c r="H8384" t="s">
        <v>32613</v>
      </c>
      <c r="Y8384" t="s">
        <v>33891</v>
      </c>
    </row>
    <row r="8385" spans="1:25" x14ac:dyDescent="0.25">
      <c r="A8385" t="str">
        <f>"84917802320"</f>
        <v>84917802320</v>
      </c>
      <c r="B8385" t="s">
        <v>1299</v>
      </c>
      <c r="C8385" t="s">
        <v>33894</v>
      </c>
      <c r="D8385" t="s">
        <v>33892</v>
      </c>
      <c r="E8385">
        <v>424002</v>
      </c>
      <c r="F8385" t="s">
        <v>1</v>
      </c>
      <c r="G8385" t="s">
        <v>2</v>
      </c>
      <c r="H8385" t="s">
        <v>18039</v>
      </c>
      <c r="J8385" t="s">
        <v>33893</v>
      </c>
      <c r="Y8385" t="s">
        <v>33895</v>
      </c>
    </row>
    <row r="8386" spans="1:25" x14ac:dyDescent="0.25">
      <c r="A8386" t="str">
        <f>"84944504603"</f>
        <v>84944504603</v>
      </c>
      <c r="B8386" t="s">
        <v>1152</v>
      </c>
      <c r="C8386" t="s">
        <v>33899</v>
      </c>
      <c r="D8386" t="s">
        <v>33896</v>
      </c>
      <c r="E8386">
        <v>424008</v>
      </c>
      <c r="F8386" t="s">
        <v>1</v>
      </c>
      <c r="G8386" t="s">
        <v>2</v>
      </c>
      <c r="H8386" t="s">
        <v>1012</v>
      </c>
      <c r="J8386" t="s">
        <v>33897</v>
      </c>
      <c r="M8386" t="s">
        <v>33898</v>
      </c>
      <c r="P8386" t="s">
        <v>216</v>
      </c>
      <c r="Y8386" t="s">
        <v>1016</v>
      </c>
    </row>
    <row r="8387" spans="1:25" x14ac:dyDescent="0.25">
      <c r="A8387" t="str">
        <f>"84952017964"</f>
        <v>84952017964</v>
      </c>
      <c r="B8387" t="s">
        <v>841</v>
      </c>
      <c r="C8387" t="s">
        <v>11986</v>
      </c>
      <c r="D8387" t="s">
        <v>33900</v>
      </c>
      <c r="E8387">
        <v>424006</v>
      </c>
      <c r="F8387" t="s">
        <v>1</v>
      </c>
      <c r="G8387" t="s">
        <v>2</v>
      </c>
      <c r="H8387" t="s">
        <v>3330</v>
      </c>
      <c r="Y8387" t="s">
        <v>3387</v>
      </c>
    </row>
    <row r="8388" spans="1:25" x14ac:dyDescent="0.25">
      <c r="A8388" t="str">
        <f>"84962800543"</f>
        <v>84962800543</v>
      </c>
      <c r="B8388" t="s">
        <v>738</v>
      </c>
      <c r="C8388" t="s">
        <v>26044</v>
      </c>
      <c r="D8388" t="s">
        <v>33901</v>
      </c>
      <c r="E8388">
        <v>424028</v>
      </c>
      <c r="F8388" t="s">
        <v>1</v>
      </c>
      <c r="G8388" t="s">
        <v>2</v>
      </c>
      <c r="H8388" t="s">
        <v>33902</v>
      </c>
      <c r="I8388" t="s">
        <v>33903</v>
      </c>
      <c r="P8388" t="s">
        <v>2362</v>
      </c>
      <c r="Y8388" t="s">
        <v>1264</v>
      </c>
    </row>
    <row r="8389" spans="1:25" x14ac:dyDescent="0.25">
      <c r="A8389" t="str">
        <f>"84968152806"</f>
        <v>84968152806</v>
      </c>
      <c r="B8389" t="s">
        <v>1343</v>
      </c>
      <c r="C8389" t="s">
        <v>13544</v>
      </c>
      <c r="D8389" t="s">
        <v>33904</v>
      </c>
      <c r="E8389">
        <v>424038</v>
      </c>
      <c r="F8389" t="s">
        <v>1</v>
      </c>
      <c r="G8389" t="s">
        <v>2</v>
      </c>
      <c r="H8389" t="s">
        <v>2614</v>
      </c>
      <c r="Y8389" t="s">
        <v>33905</v>
      </c>
    </row>
    <row r="8390" spans="1:25" x14ac:dyDescent="0.25">
      <c r="A8390" t="str">
        <f>"84989138090"</f>
        <v>84989138090</v>
      </c>
      <c r="B8390" t="s">
        <v>738</v>
      </c>
      <c r="C8390" t="s">
        <v>33908</v>
      </c>
      <c r="D8390" t="s">
        <v>33906</v>
      </c>
      <c r="E8390">
        <v>424006</v>
      </c>
      <c r="F8390" t="s">
        <v>1</v>
      </c>
      <c r="G8390" t="s">
        <v>2</v>
      </c>
      <c r="H8390" t="s">
        <v>16063</v>
      </c>
      <c r="I8390" t="s">
        <v>33907</v>
      </c>
      <c r="P8390" t="s">
        <v>133</v>
      </c>
      <c r="Y8390" t="s">
        <v>16066</v>
      </c>
    </row>
    <row r="8391" spans="1:25" x14ac:dyDescent="0.25">
      <c r="A8391" t="str">
        <f>"85003241310"</f>
        <v>85003241310</v>
      </c>
      <c r="B8391" t="s">
        <v>96</v>
      </c>
      <c r="C8391" t="s">
        <v>5155</v>
      </c>
      <c r="D8391" t="s">
        <v>27960</v>
      </c>
      <c r="E8391">
        <v>424000</v>
      </c>
      <c r="F8391" t="s">
        <v>1</v>
      </c>
      <c r="G8391" t="s">
        <v>2</v>
      </c>
      <c r="H8391" t="s">
        <v>7049</v>
      </c>
      <c r="J8391" t="s">
        <v>33909</v>
      </c>
      <c r="V8391" t="s">
        <v>33910</v>
      </c>
      <c r="Y8391" t="s">
        <v>16917</v>
      </c>
    </row>
    <row r="8392" spans="1:25" x14ac:dyDescent="0.25">
      <c r="A8392" t="str">
        <f>"85005809695"</f>
        <v>85005809695</v>
      </c>
      <c r="B8392" t="s">
        <v>1323</v>
      </c>
      <c r="C8392" t="s">
        <v>1324</v>
      </c>
      <c r="D8392" t="s">
        <v>33911</v>
      </c>
      <c r="E8392">
        <v>424037</v>
      </c>
      <c r="F8392" t="s">
        <v>1</v>
      </c>
      <c r="G8392" t="s">
        <v>2</v>
      </c>
      <c r="H8392" t="s">
        <v>11792</v>
      </c>
      <c r="Y8392" t="s">
        <v>33912</v>
      </c>
    </row>
    <row r="8393" spans="1:25" x14ac:dyDescent="0.25">
      <c r="A8393" t="str">
        <f>"85006920810"</f>
        <v>85006920810</v>
      </c>
      <c r="B8393" t="s">
        <v>352</v>
      </c>
      <c r="C8393" t="s">
        <v>353</v>
      </c>
      <c r="D8393" t="s">
        <v>33913</v>
      </c>
      <c r="E8393">
        <v>424038</v>
      </c>
      <c r="F8393" t="s">
        <v>1</v>
      </c>
      <c r="G8393" t="s">
        <v>2</v>
      </c>
      <c r="H8393" t="s">
        <v>1366</v>
      </c>
      <c r="J8393" t="s">
        <v>33914</v>
      </c>
      <c r="L8393" t="s">
        <v>33915</v>
      </c>
      <c r="P8393" t="s">
        <v>2658</v>
      </c>
      <c r="Q8393" t="s">
        <v>33916</v>
      </c>
      <c r="Y8393" t="s">
        <v>7381</v>
      </c>
    </row>
    <row r="8394" spans="1:25" x14ac:dyDescent="0.25">
      <c r="A8394" t="str">
        <f>"85027026345"</f>
        <v>85027026345</v>
      </c>
      <c r="B8394" t="s">
        <v>482</v>
      </c>
      <c r="C8394" t="s">
        <v>483</v>
      </c>
      <c r="D8394" t="s">
        <v>33917</v>
      </c>
      <c r="E8394">
        <v>424002</v>
      </c>
      <c r="F8394" t="s">
        <v>1</v>
      </c>
      <c r="G8394" t="s">
        <v>2</v>
      </c>
      <c r="H8394" t="s">
        <v>22908</v>
      </c>
      <c r="J8394" t="s">
        <v>32406</v>
      </c>
      <c r="P8394" t="s">
        <v>27</v>
      </c>
      <c r="Y8394" t="s">
        <v>29253</v>
      </c>
    </row>
    <row r="8395" spans="1:25" x14ac:dyDescent="0.25">
      <c r="A8395" t="str">
        <f>"85100010236"</f>
        <v>85100010236</v>
      </c>
      <c r="B8395" t="s">
        <v>1617</v>
      </c>
      <c r="C8395" t="s">
        <v>21001</v>
      </c>
      <c r="D8395" t="s">
        <v>17501</v>
      </c>
      <c r="F8395" t="s">
        <v>1</v>
      </c>
      <c r="G8395" t="s">
        <v>2</v>
      </c>
      <c r="H8395" t="s">
        <v>22441</v>
      </c>
      <c r="P8395" t="s">
        <v>17390</v>
      </c>
      <c r="Y8395" t="s">
        <v>33918</v>
      </c>
    </row>
    <row r="8396" spans="1:25" x14ac:dyDescent="0.25">
      <c r="A8396" t="str">
        <f>"85105931889"</f>
        <v>85105931889</v>
      </c>
      <c r="B8396" t="s">
        <v>1573</v>
      </c>
      <c r="C8396" t="s">
        <v>1817</v>
      </c>
      <c r="D8396" t="s">
        <v>33919</v>
      </c>
      <c r="F8396" t="s">
        <v>1</v>
      </c>
      <c r="G8396" t="s">
        <v>2</v>
      </c>
      <c r="H8396" t="s">
        <v>25588</v>
      </c>
      <c r="Y8396" t="s">
        <v>33920</v>
      </c>
    </row>
    <row r="8397" spans="1:25" x14ac:dyDescent="0.25">
      <c r="A8397" t="str">
        <f>"85155975089"</f>
        <v>85155975089</v>
      </c>
      <c r="B8397" t="s">
        <v>930</v>
      </c>
      <c r="C8397" t="s">
        <v>10263</v>
      </c>
      <c r="D8397" t="s">
        <v>10263</v>
      </c>
      <c r="E8397">
        <v>424039</v>
      </c>
      <c r="F8397" t="s">
        <v>1</v>
      </c>
      <c r="G8397" t="s">
        <v>2</v>
      </c>
      <c r="H8397" t="s">
        <v>29928</v>
      </c>
      <c r="Y8397" t="s">
        <v>33921</v>
      </c>
    </row>
    <row r="8398" spans="1:25" x14ac:dyDescent="0.25">
      <c r="A8398" t="str">
        <f>"85173643568"</f>
        <v>85173643568</v>
      </c>
      <c r="B8398" t="s">
        <v>96</v>
      </c>
      <c r="C8398" t="s">
        <v>8578</v>
      </c>
      <c r="D8398" t="s">
        <v>21819</v>
      </c>
      <c r="E8398">
        <v>424038</v>
      </c>
      <c r="F8398" t="s">
        <v>1</v>
      </c>
      <c r="G8398" t="s">
        <v>2</v>
      </c>
      <c r="H8398" t="s">
        <v>7597</v>
      </c>
      <c r="I8398" t="s">
        <v>21820</v>
      </c>
      <c r="L8398" t="s">
        <v>21821</v>
      </c>
      <c r="M8398" t="s">
        <v>21822</v>
      </c>
      <c r="P8398" t="s">
        <v>1642</v>
      </c>
      <c r="Q8398" t="s">
        <v>21823</v>
      </c>
      <c r="V8398" t="s">
        <v>33922</v>
      </c>
      <c r="Y8398" t="s">
        <v>16150</v>
      </c>
    </row>
    <row r="8399" spans="1:25" x14ac:dyDescent="0.25">
      <c r="A8399" t="str">
        <f>"85202461208"</f>
        <v>85202461208</v>
      </c>
      <c r="B8399" t="s">
        <v>558</v>
      </c>
      <c r="C8399" t="s">
        <v>559</v>
      </c>
      <c r="D8399" t="s">
        <v>33923</v>
      </c>
      <c r="F8399" t="s">
        <v>1</v>
      </c>
      <c r="G8399" t="s">
        <v>2</v>
      </c>
      <c r="H8399" t="s">
        <v>12204</v>
      </c>
      <c r="J8399" t="s">
        <v>33924</v>
      </c>
      <c r="P8399" t="s">
        <v>33925</v>
      </c>
      <c r="Y8399" t="s">
        <v>33926</v>
      </c>
    </row>
    <row r="8400" spans="1:25" x14ac:dyDescent="0.25">
      <c r="A8400" t="str">
        <f>"85318413261"</f>
        <v>85318413261</v>
      </c>
      <c r="B8400" t="s">
        <v>738</v>
      </c>
      <c r="C8400" t="s">
        <v>17320</v>
      </c>
      <c r="D8400" t="s">
        <v>33927</v>
      </c>
      <c r="E8400">
        <v>424031</v>
      </c>
      <c r="F8400" t="s">
        <v>1</v>
      </c>
      <c r="G8400" t="s">
        <v>2</v>
      </c>
      <c r="H8400" t="s">
        <v>413</v>
      </c>
      <c r="P8400" t="s">
        <v>330</v>
      </c>
      <c r="Y8400" t="s">
        <v>33928</v>
      </c>
    </row>
    <row r="8401" spans="1:25" x14ac:dyDescent="0.25">
      <c r="A8401" t="str">
        <f>"85338184883"</f>
        <v>85338184883</v>
      </c>
      <c r="B8401" t="s">
        <v>67</v>
      </c>
      <c r="C8401" t="s">
        <v>269</v>
      </c>
      <c r="D8401" t="s">
        <v>33929</v>
      </c>
      <c r="E8401">
        <v>424038</v>
      </c>
      <c r="F8401" t="s">
        <v>1</v>
      </c>
      <c r="G8401" t="s">
        <v>2</v>
      </c>
      <c r="H8401" t="s">
        <v>465</v>
      </c>
      <c r="Y8401" t="s">
        <v>33930</v>
      </c>
    </row>
    <row r="8402" spans="1:25" x14ac:dyDescent="0.25">
      <c r="A8402" t="str">
        <f>"85416608674"</f>
        <v>85416608674</v>
      </c>
      <c r="B8402" t="s">
        <v>67</v>
      </c>
      <c r="C8402" t="s">
        <v>269</v>
      </c>
      <c r="D8402" t="s">
        <v>33931</v>
      </c>
      <c r="E8402">
        <v>424003</v>
      </c>
      <c r="F8402" t="s">
        <v>1</v>
      </c>
      <c r="G8402" t="s">
        <v>2</v>
      </c>
      <c r="H8402" t="s">
        <v>7888</v>
      </c>
      <c r="I8402" t="s">
        <v>33932</v>
      </c>
      <c r="L8402" t="s">
        <v>15912</v>
      </c>
      <c r="M8402" t="s">
        <v>33933</v>
      </c>
      <c r="P8402" t="s">
        <v>330</v>
      </c>
      <c r="Y8402" t="s">
        <v>33934</v>
      </c>
    </row>
    <row r="8403" spans="1:25" x14ac:dyDescent="0.25">
      <c r="A8403" t="str">
        <f>"85430044532"</f>
        <v>85430044532</v>
      </c>
      <c r="B8403" t="s">
        <v>930</v>
      </c>
      <c r="C8403" t="s">
        <v>7140</v>
      </c>
      <c r="D8403" t="s">
        <v>33935</v>
      </c>
      <c r="E8403">
        <v>424040</v>
      </c>
      <c r="F8403" t="s">
        <v>1</v>
      </c>
      <c r="G8403" t="s">
        <v>2</v>
      </c>
      <c r="H8403" t="s">
        <v>16312</v>
      </c>
      <c r="I8403" t="s">
        <v>33936</v>
      </c>
      <c r="L8403" t="s">
        <v>33937</v>
      </c>
      <c r="M8403" t="s">
        <v>33938</v>
      </c>
      <c r="P8403" t="s">
        <v>33939</v>
      </c>
      <c r="Q8403" t="s">
        <v>33940</v>
      </c>
      <c r="R8403" t="s">
        <v>33941</v>
      </c>
      <c r="V8403" t="s">
        <v>33942</v>
      </c>
      <c r="Y8403" t="s">
        <v>33943</v>
      </c>
    </row>
    <row r="8404" spans="1:25" x14ac:dyDescent="0.25">
      <c r="A8404" t="str">
        <f>"85498811436"</f>
        <v>85498811436</v>
      </c>
      <c r="B8404" t="s">
        <v>841</v>
      </c>
      <c r="C8404" t="s">
        <v>33946</v>
      </c>
      <c r="D8404" t="s">
        <v>33944</v>
      </c>
      <c r="E8404">
        <v>424038</v>
      </c>
      <c r="F8404" t="s">
        <v>1</v>
      </c>
      <c r="G8404" t="s">
        <v>2</v>
      </c>
      <c r="H8404" t="s">
        <v>2614</v>
      </c>
      <c r="J8404" t="s">
        <v>33945</v>
      </c>
      <c r="P8404" t="s">
        <v>2050</v>
      </c>
      <c r="Q8404" t="s">
        <v>33947</v>
      </c>
      <c r="Y8404" t="s">
        <v>33948</v>
      </c>
    </row>
    <row r="8405" spans="1:25" x14ac:dyDescent="0.25">
      <c r="A8405" t="str">
        <f>"85541631471"</f>
        <v>85541631471</v>
      </c>
      <c r="B8405" t="s">
        <v>530</v>
      </c>
      <c r="C8405" t="s">
        <v>23950</v>
      </c>
      <c r="D8405" t="s">
        <v>23950</v>
      </c>
      <c r="F8405" t="s">
        <v>1</v>
      </c>
      <c r="G8405" t="s">
        <v>2</v>
      </c>
      <c r="H8405" t="s">
        <v>7547</v>
      </c>
      <c r="Y8405" t="s">
        <v>33949</v>
      </c>
    </row>
    <row r="8406" spans="1:25" x14ac:dyDescent="0.25">
      <c r="A8406" t="str">
        <f>"85545690583"</f>
        <v>85545690583</v>
      </c>
      <c r="B8406" t="s">
        <v>10383</v>
      </c>
      <c r="C8406" t="s">
        <v>31853</v>
      </c>
      <c r="D8406" t="s">
        <v>33950</v>
      </c>
      <c r="E8406">
        <v>424006</v>
      </c>
      <c r="F8406" t="s">
        <v>1</v>
      </c>
      <c r="G8406" t="s">
        <v>2</v>
      </c>
      <c r="H8406" t="s">
        <v>9851</v>
      </c>
      <c r="I8406" t="s">
        <v>33951</v>
      </c>
      <c r="P8406" t="s">
        <v>216</v>
      </c>
      <c r="Y8406" t="s">
        <v>33952</v>
      </c>
    </row>
    <row r="8407" spans="1:25" x14ac:dyDescent="0.25">
      <c r="A8407" t="str">
        <f>"85564545276"</f>
        <v>85564545276</v>
      </c>
      <c r="B8407" t="s">
        <v>930</v>
      </c>
      <c r="C8407" t="s">
        <v>10263</v>
      </c>
      <c r="D8407" t="s">
        <v>10263</v>
      </c>
      <c r="F8407" t="s">
        <v>1</v>
      </c>
      <c r="G8407" t="s">
        <v>2</v>
      </c>
      <c r="H8407" t="s">
        <v>33953</v>
      </c>
      <c r="Y8407" t="s">
        <v>33954</v>
      </c>
    </row>
    <row r="8408" spans="1:25" x14ac:dyDescent="0.25">
      <c r="A8408" t="str">
        <f>"85597144476"</f>
        <v>85597144476</v>
      </c>
      <c r="B8408" t="s">
        <v>188</v>
      </c>
      <c r="C8408" t="s">
        <v>24568</v>
      </c>
      <c r="D8408" t="s">
        <v>24568</v>
      </c>
      <c r="E8408">
        <v>424038</v>
      </c>
      <c r="F8408" t="s">
        <v>1</v>
      </c>
      <c r="G8408" t="s">
        <v>2</v>
      </c>
      <c r="H8408" t="s">
        <v>15751</v>
      </c>
      <c r="Y8408" t="s">
        <v>33955</v>
      </c>
    </row>
    <row r="8409" spans="1:25" x14ac:dyDescent="0.25">
      <c r="A8409" t="str">
        <f>"85619855094"</f>
        <v>85619855094</v>
      </c>
      <c r="B8409" t="s">
        <v>1053</v>
      </c>
      <c r="C8409" t="s">
        <v>5092</v>
      </c>
      <c r="D8409" t="s">
        <v>5092</v>
      </c>
      <c r="E8409">
        <v>424000</v>
      </c>
      <c r="F8409" t="s">
        <v>1</v>
      </c>
      <c r="G8409" t="s">
        <v>2</v>
      </c>
      <c r="H8409" t="s">
        <v>1531</v>
      </c>
      <c r="J8409" t="s">
        <v>33956</v>
      </c>
      <c r="L8409" t="s">
        <v>33957</v>
      </c>
      <c r="M8409" t="s">
        <v>33958</v>
      </c>
      <c r="P8409" t="s">
        <v>330</v>
      </c>
      <c r="Y8409" t="s">
        <v>1707</v>
      </c>
    </row>
    <row r="8410" spans="1:25" x14ac:dyDescent="0.25">
      <c r="A8410" t="str">
        <f>"85633898197"</f>
        <v>85633898197</v>
      </c>
      <c r="B8410" t="s">
        <v>930</v>
      </c>
      <c r="C8410" t="s">
        <v>9679</v>
      </c>
      <c r="D8410" t="s">
        <v>33959</v>
      </c>
      <c r="F8410" t="s">
        <v>1</v>
      </c>
      <c r="G8410" t="s">
        <v>2</v>
      </c>
      <c r="H8410" t="s">
        <v>31528</v>
      </c>
      <c r="J8410" t="s">
        <v>33960</v>
      </c>
      <c r="Y8410" t="s">
        <v>33961</v>
      </c>
    </row>
    <row r="8411" spans="1:25" x14ac:dyDescent="0.25">
      <c r="A8411" t="str">
        <f>"85681094147"</f>
        <v>85681094147</v>
      </c>
      <c r="B8411" t="s">
        <v>574</v>
      </c>
      <c r="C8411" t="s">
        <v>646</v>
      </c>
      <c r="D8411" t="s">
        <v>33962</v>
      </c>
      <c r="E8411">
        <v>424006</v>
      </c>
      <c r="F8411" t="s">
        <v>1</v>
      </c>
      <c r="G8411" t="s">
        <v>2</v>
      </c>
      <c r="H8411" t="s">
        <v>4710</v>
      </c>
      <c r="Y8411" t="s">
        <v>4714</v>
      </c>
    </row>
    <row r="8412" spans="1:25" x14ac:dyDescent="0.25">
      <c r="A8412" t="str">
        <f>"85692340330"</f>
        <v>85692340330</v>
      </c>
      <c r="B8412" t="s">
        <v>2104</v>
      </c>
      <c r="C8412" t="s">
        <v>2105</v>
      </c>
      <c r="D8412" t="s">
        <v>14600</v>
      </c>
      <c r="E8412">
        <v>424038</v>
      </c>
      <c r="F8412" t="s">
        <v>1</v>
      </c>
      <c r="G8412" t="s">
        <v>2</v>
      </c>
      <c r="H8412" t="s">
        <v>7518</v>
      </c>
      <c r="Y8412" t="s">
        <v>33963</v>
      </c>
    </row>
    <row r="8413" spans="1:25" x14ac:dyDescent="0.25">
      <c r="A8413" t="str">
        <f>"85752490377"</f>
        <v>85752490377</v>
      </c>
      <c r="B8413" t="s">
        <v>290</v>
      </c>
      <c r="C8413" t="s">
        <v>291</v>
      </c>
      <c r="D8413" t="s">
        <v>33964</v>
      </c>
      <c r="E8413">
        <v>424039</v>
      </c>
      <c r="F8413" t="s">
        <v>1</v>
      </c>
      <c r="G8413" t="s">
        <v>2</v>
      </c>
      <c r="H8413" t="s">
        <v>2492</v>
      </c>
      <c r="P8413" t="s">
        <v>33965</v>
      </c>
      <c r="Y8413" t="s">
        <v>33966</v>
      </c>
    </row>
    <row r="8414" spans="1:25" x14ac:dyDescent="0.25">
      <c r="A8414" t="str">
        <f>"85777910249"</f>
        <v>85777910249</v>
      </c>
      <c r="B8414" t="s">
        <v>574</v>
      </c>
      <c r="C8414" t="s">
        <v>9802</v>
      </c>
      <c r="D8414" t="s">
        <v>33967</v>
      </c>
      <c r="E8414">
        <v>424007</v>
      </c>
      <c r="F8414" t="s">
        <v>1</v>
      </c>
      <c r="G8414" t="s">
        <v>2</v>
      </c>
      <c r="H8414" t="s">
        <v>7196</v>
      </c>
      <c r="J8414" t="s">
        <v>33968</v>
      </c>
      <c r="P8414" t="s">
        <v>2738</v>
      </c>
      <c r="Q8414" t="s">
        <v>33969</v>
      </c>
      <c r="V8414" t="s">
        <v>33970</v>
      </c>
      <c r="Y8414" t="s">
        <v>7199</v>
      </c>
    </row>
    <row r="8415" spans="1:25" x14ac:dyDescent="0.25">
      <c r="A8415" t="str">
        <f>"85777932149"</f>
        <v>85777932149</v>
      </c>
      <c r="B8415" t="s">
        <v>978</v>
      </c>
      <c r="C8415" t="s">
        <v>1659</v>
      </c>
      <c r="D8415" t="s">
        <v>33971</v>
      </c>
      <c r="E8415">
        <v>424000</v>
      </c>
      <c r="F8415" t="s">
        <v>1</v>
      </c>
      <c r="G8415" t="s">
        <v>2</v>
      </c>
      <c r="H8415" t="s">
        <v>937</v>
      </c>
      <c r="L8415" t="s">
        <v>33972</v>
      </c>
      <c r="Y8415" t="s">
        <v>33973</v>
      </c>
    </row>
    <row r="8416" spans="1:25" x14ac:dyDescent="0.25">
      <c r="A8416" t="str">
        <f>"85780120255"</f>
        <v>85780120255</v>
      </c>
      <c r="B8416" t="s">
        <v>574</v>
      </c>
      <c r="C8416" t="s">
        <v>25489</v>
      </c>
      <c r="D8416" t="s">
        <v>3057</v>
      </c>
      <c r="E8416">
        <v>424005</v>
      </c>
      <c r="F8416" t="s">
        <v>1</v>
      </c>
      <c r="G8416" t="s">
        <v>2</v>
      </c>
      <c r="H8416" t="s">
        <v>1148</v>
      </c>
      <c r="P8416" t="s">
        <v>216</v>
      </c>
      <c r="Y8416" t="s">
        <v>33974</v>
      </c>
    </row>
    <row r="8417" spans="1:25" x14ac:dyDescent="0.25">
      <c r="A8417" t="str">
        <f>"85783530712"</f>
        <v>85783530712</v>
      </c>
      <c r="B8417" t="s">
        <v>18</v>
      </c>
      <c r="C8417" t="s">
        <v>143</v>
      </c>
      <c r="D8417" t="s">
        <v>33975</v>
      </c>
      <c r="E8417">
        <v>424005</v>
      </c>
      <c r="F8417" t="s">
        <v>1</v>
      </c>
      <c r="G8417" t="s">
        <v>2</v>
      </c>
      <c r="H8417" t="s">
        <v>6843</v>
      </c>
      <c r="I8417" t="s">
        <v>33976</v>
      </c>
      <c r="J8417" t="s">
        <v>33977</v>
      </c>
      <c r="P8417" t="s">
        <v>2079</v>
      </c>
      <c r="Q8417" t="s">
        <v>33978</v>
      </c>
      <c r="R8417" t="s">
        <v>33979</v>
      </c>
      <c r="V8417" t="s">
        <v>33980</v>
      </c>
      <c r="Y8417" t="s">
        <v>6846</v>
      </c>
    </row>
    <row r="8418" spans="1:25" x14ac:dyDescent="0.25">
      <c r="A8418" t="str">
        <f>"85808430715"</f>
        <v>85808430715</v>
      </c>
      <c r="B8418" t="s">
        <v>110</v>
      </c>
      <c r="C8418" t="s">
        <v>111</v>
      </c>
      <c r="D8418" t="s">
        <v>33981</v>
      </c>
      <c r="E8418">
        <v>424000</v>
      </c>
      <c r="F8418" t="s">
        <v>1</v>
      </c>
      <c r="G8418" t="s">
        <v>2</v>
      </c>
      <c r="H8418" t="s">
        <v>1531</v>
      </c>
      <c r="I8418" t="s">
        <v>33982</v>
      </c>
      <c r="J8418" t="s">
        <v>33983</v>
      </c>
      <c r="M8418" t="s">
        <v>11158</v>
      </c>
      <c r="P8418" t="s">
        <v>1404</v>
      </c>
      <c r="Q8418" t="s">
        <v>11159</v>
      </c>
      <c r="Y8418" t="s">
        <v>33984</v>
      </c>
    </row>
    <row r="8419" spans="1:25" x14ac:dyDescent="0.25">
      <c r="A8419" t="str">
        <f>"85860985047"</f>
        <v>85860985047</v>
      </c>
      <c r="B8419" t="s">
        <v>7</v>
      </c>
      <c r="C8419" t="s">
        <v>26967</v>
      </c>
      <c r="D8419" t="s">
        <v>33985</v>
      </c>
      <c r="F8419" t="s">
        <v>1</v>
      </c>
      <c r="G8419" t="s">
        <v>2</v>
      </c>
      <c r="H8419" t="s">
        <v>27421</v>
      </c>
      <c r="I8419" t="s">
        <v>33986</v>
      </c>
      <c r="J8419" t="s">
        <v>33987</v>
      </c>
      <c r="L8419" t="s">
        <v>33988</v>
      </c>
      <c r="M8419" t="s">
        <v>33989</v>
      </c>
      <c r="P8419" t="s">
        <v>5575</v>
      </c>
      <c r="Q8419" t="s">
        <v>33990</v>
      </c>
      <c r="V8419" t="s">
        <v>33991</v>
      </c>
      <c r="Y8419" t="s">
        <v>33992</v>
      </c>
    </row>
    <row r="8420" spans="1:25" x14ac:dyDescent="0.25">
      <c r="A8420" t="str">
        <f>"85875656153"</f>
        <v>85875656153</v>
      </c>
      <c r="B8420" t="s">
        <v>32</v>
      </c>
      <c r="C8420" t="s">
        <v>33995</v>
      </c>
      <c r="D8420" t="s">
        <v>33993</v>
      </c>
      <c r="E8420">
        <v>424019</v>
      </c>
      <c r="F8420" t="s">
        <v>1</v>
      </c>
      <c r="G8420" t="s">
        <v>2</v>
      </c>
      <c r="H8420" t="s">
        <v>12420</v>
      </c>
      <c r="J8420" t="s">
        <v>33994</v>
      </c>
      <c r="P8420" t="s">
        <v>11563</v>
      </c>
      <c r="Y8420" t="s">
        <v>33996</v>
      </c>
    </row>
    <row r="8421" spans="1:25" x14ac:dyDescent="0.25">
      <c r="A8421" t="str">
        <f>"85891492804"</f>
        <v>85891492804</v>
      </c>
      <c r="B8421" t="s">
        <v>96</v>
      </c>
      <c r="C8421" t="s">
        <v>24401</v>
      </c>
      <c r="D8421" t="s">
        <v>13856</v>
      </c>
      <c r="E8421">
        <v>424020</v>
      </c>
      <c r="F8421" t="s">
        <v>1</v>
      </c>
      <c r="G8421" t="s">
        <v>2</v>
      </c>
      <c r="H8421" t="s">
        <v>2112</v>
      </c>
      <c r="Y8421" t="s">
        <v>33997</v>
      </c>
    </row>
    <row r="8422" spans="1:25" x14ac:dyDescent="0.25">
      <c r="A8422" t="str">
        <f>"85899530811"</f>
        <v>85899530811</v>
      </c>
      <c r="B8422" t="s">
        <v>1544</v>
      </c>
      <c r="C8422" t="s">
        <v>34000</v>
      </c>
      <c r="D8422" t="s">
        <v>33998</v>
      </c>
      <c r="E8422">
        <v>424003</v>
      </c>
      <c r="F8422" t="s">
        <v>1</v>
      </c>
      <c r="G8422" t="s">
        <v>2</v>
      </c>
      <c r="H8422" t="s">
        <v>11207</v>
      </c>
      <c r="I8422" t="s">
        <v>33999</v>
      </c>
      <c r="P8422" t="s">
        <v>34001</v>
      </c>
      <c r="Q8422" t="s">
        <v>34002</v>
      </c>
      <c r="V8422" t="s">
        <v>34003</v>
      </c>
      <c r="Y8422" t="s">
        <v>34004</v>
      </c>
    </row>
    <row r="8423" spans="1:25" x14ac:dyDescent="0.25">
      <c r="A8423" t="str">
        <f>"85919900148"</f>
        <v>85919900148</v>
      </c>
      <c r="B8423" t="s">
        <v>930</v>
      </c>
      <c r="C8423" t="s">
        <v>15966</v>
      </c>
      <c r="D8423" t="s">
        <v>34005</v>
      </c>
      <c r="F8423" t="s">
        <v>1</v>
      </c>
      <c r="G8423" t="s">
        <v>2</v>
      </c>
      <c r="H8423" t="s">
        <v>15237</v>
      </c>
      <c r="J8423" t="s">
        <v>15239</v>
      </c>
      <c r="P8423" t="s">
        <v>27</v>
      </c>
      <c r="V8423" t="s">
        <v>34006</v>
      </c>
      <c r="Y8423" t="s">
        <v>34007</v>
      </c>
    </row>
    <row r="8424" spans="1:25" x14ac:dyDescent="0.25">
      <c r="A8424" t="str">
        <f>"85935640797"</f>
        <v>85935640797</v>
      </c>
      <c r="B8424" t="s">
        <v>530</v>
      </c>
      <c r="C8424" t="s">
        <v>23950</v>
      </c>
      <c r="D8424" t="s">
        <v>23950</v>
      </c>
      <c r="F8424" t="s">
        <v>1</v>
      </c>
      <c r="G8424" t="s">
        <v>2</v>
      </c>
      <c r="H8424" t="s">
        <v>7547</v>
      </c>
      <c r="Y8424" t="s">
        <v>34008</v>
      </c>
    </row>
    <row r="8425" spans="1:25" x14ac:dyDescent="0.25">
      <c r="A8425" t="str">
        <f>"85986908914"</f>
        <v>85986908914</v>
      </c>
      <c r="B8425" t="s">
        <v>1046</v>
      </c>
      <c r="C8425" t="s">
        <v>22946</v>
      </c>
      <c r="D8425" t="s">
        <v>31470</v>
      </c>
      <c r="E8425">
        <v>424036</v>
      </c>
      <c r="F8425" t="s">
        <v>1</v>
      </c>
      <c r="G8425" t="s">
        <v>2</v>
      </c>
      <c r="H8425" t="s">
        <v>14976</v>
      </c>
      <c r="Y8425" t="s">
        <v>34009</v>
      </c>
    </row>
    <row r="8426" spans="1:25" x14ac:dyDescent="0.25">
      <c r="A8426" t="str">
        <f>"85996776719"</f>
        <v>85996776719</v>
      </c>
      <c r="B8426" t="s">
        <v>430</v>
      </c>
      <c r="C8426" t="s">
        <v>16178</v>
      </c>
      <c r="D8426" t="s">
        <v>10135</v>
      </c>
      <c r="E8426">
        <v>424006</v>
      </c>
      <c r="F8426" t="s">
        <v>1</v>
      </c>
      <c r="G8426" t="s">
        <v>2</v>
      </c>
      <c r="H8426" t="s">
        <v>30817</v>
      </c>
      <c r="P8426" t="s">
        <v>21995</v>
      </c>
      <c r="Y8426" t="s">
        <v>34010</v>
      </c>
    </row>
    <row r="8427" spans="1:25" x14ac:dyDescent="0.25">
      <c r="A8427" t="str">
        <f>"86009941881"</f>
        <v>86009941881</v>
      </c>
      <c r="B8427" t="s">
        <v>25</v>
      </c>
      <c r="C8427" t="s">
        <v>24938</v>
      </c>
      <c r="D8427" t="s">
        <v>34011</v>
      </c>
      <c r="E8427">
        <v>424004</v>
      </c>
      <c r="F8427" t="s">
        <v>1</v>
      </c>
      <c r="G8427" t="s">
        <v>2</v>
      </c>
      <c r="H8427" t="s">
        <v>23522</v>
      </c>
      <c r="I8427" t="s">
        <v>34012</v>
      </c>
      <c r="M8427" t="s">
        <v>34013</v>
      </c>
      <c r="Y8427" t="s">
        <v>34014</v>
      </c>
    </row>
    <row r="8428" spans="1:25" x14ac:dyDescent="0.25">
      <c r="A8428" t="str">
        <f>"86024412721"</f>
        <v>86024412721</v>
      </c>
      <c r="B8428" t="s">
        <v>574</v>
      </c>
      <c r="C8428" t="s">
        <v>34016</v>
      </c>
      <c r="D8428" t="s">
        <v>34015</v>
      </c>
      <c r="E8428">
        <v>424000</v>
      </c>
      <c r="F8428" t="s">
        <v>1</v>
      </c>
      <c r="G8428" t="s">
        <v>2</v>
      </c>
      <c r="H8428" t="s">
        <v>837</v>
      </c>
      <c r="Y8428" t="s">
        <v>34017</v>
      </c>
    </row>
    <row r="8429" spans="1:25" x14ac:dyDescent="0.25">
      <c r="A8429" t="str">
        <f>"86059199512"</f>
        <v>86059199512</v>
      </c>
      <c r="B8429" t="s">
        <v>96</v>
      </c>
      <c r="C8429" t="s">
        <v>34022</v>
      </c>
      <c r="D8429" t="s">
        <v>34018</v>
      </c>
      <c r="E8429">
        <v>424038</v>
      </c>
      <c r="F8429" t="s">
        <v>1</v>
      </c>
      <c r="G8429" t="s">
        <v>2</v>
      </c>
      <c r="H8429" t="s">
        <v>7597</v>
      </c>
      <c r="I8429" t="s">
        <v>34019</v>
      </c>
      <c r="L8429" t="s">
        <v>34020</v>
      </c>
      <c r="M8429" t="s">
        <v>34021</v>
      </c>
      <c r="P8429" t="s">
        <v>1642</v>
      </c>
      <c r="Q8429" t="s">
        <v>34023</v>
      </c>
      <c r="S8429" t="s">
        <v>34024</v>
      </c>
      <c r="T8429" t="s">
        <v>34025</v>
      </c>
      <c r="U8429" t="s">
        <v>34026</v>
      </c>
      <c r="V8429" t="s">
        <v>34027</v>
      </c>
      <c r="Y8429" t="s">
        <v>34028</v>
      </c>
    </row>
    <row r="8430" spans="1:25" x14ac:dyDescent="0.25">
      <c r="A8430" t="str">
        <f>"86062483290"</f>
        <v>86062483290</v>
      </c>
      <c r="B8430" t="s">
        <v>284</v>
      </c>
      <c r="C8430" t="s">
        <v>34034</v>
      </c>
      <c r="D8430" t="s">
        <v>34029</v>
      </c>
      <c r="E8430">
        <v>424008</v>
      </c>
      <c r="F8430" t="s">
        <v>1</v>
      </c>
      <c r="G8430" t="s">
        <v>2</v>
      </c>
      <c r="H8430" t="s">
        <v>11833</v>
      </c>
      <c r="I8430" t="s">
        <v>34030</v>
      </c>
      <c r="J8430" t="s">
        <v>34031</v>
      </c>
      <c r="L8430" t="s">
        <v>34032</v>
      </c>
      <c r="M8430" t="s">
        <v>34033</v>
      </c>
      <c r="P8430" t="s">
        <v>1071</v>
      </c>
      <c r="Y8430" t="s">
        <v>16542</v>
      </c>
    </row>
    <row r="8431" spans="1:25" x14ac:dyDescent="0.25">
      <c r="A8431" t="str">
        <f>"86106135495"</f>
        <v>86106135495</v>
      </c>
      <c r="B8431" t="s">
        <v>25</v>
      </c>
      <c r="C8431" t="s">
        <v>20320</v>
      </c>
      <c r="D8431" t="s">
        <v>34035</v>
      </c>
      <c r="E8431">
        <v>424033</v>
      </c>
      <c r="F8431" t="s">
        <v>1</v>
      </c>
      <c r="G8431" t="s">
        <v>2</v>
      </c>
      <c r="H8431" t="s">
        <v>16703</v>
      </c>
      <c r="Y8431" t="s">
        <v>34036</v>
      </c>
    </row>
    <row r="8432" spans="1:25" x14ac:dyDescent="0.25">
      <c r="A8432" t="str">
        <f>"86108434323"</f>
        <v>86108434323</v>
      </c>
      <c r="B8432" t="s">
        <v>519</v>
      </c>
      <c r="C8432" t="s">
        <v>34041</v>
      </c>
      <c r="D8432" t="s">
        <v>34037</v>
      </c>
      <c r="F8432" t="s">
        <v>1</v>
      </c>
      <c r="G8432" t="s">
        <v>2</v>
      </c>
      <c r="H8432" t="s">
        <v>2745</v>
      </c>
      <c r="J8432" t="s">
        <v>34038</v>
      </c>
      <c r="L8432" t="s">
        <v>34039</v>
      </c>
      <c r="M8432" t="s">
        <v>34040</v>
      </c>
      <c r="P8432" t="s">
        <v>34042</v>
      </c>
      <c r="Y8432" t="s">
        <v>34043</v>
      </c>
    </row>
    <row r="8433" spans="1:25" x14ac:dyDescent="0.25">
      <c r="A8433" t="str">
        <f>"86113779116"</f>
        <v>86113779116</v>
      </c>
      <c r="B8433" t="s">
        <v>797</v>
      </c>
      <c r="C8433" t="s">
        <v>5123</v>
      </c>
      <c r="D8433" t="s">
        <v>20718</v>
      </c>
      <c r="E8433">
        <v>424000</v>
      </c>
      <c r="F8433" t="s">
        <v>1</v>
      </c>
      <c r="G8433" t="s">
        <v>2</v>
      </c>
      <c r="H8433" t="s">
        <v>2671</v>
      </c>
      <c r="Y8433" t="s">
        <v>2674</v>
      </c>
    </row>
    <row r="8434" spans="1:25" x14ac:dyDescent="0.25">
      <c r="A8434" t="str">
        <f>"86183857404"</f>
        <v>86183857404</v>
      </c>
      <c r="B8434" t="s">
        <v>1152</v>
      </c>
      <c r="C8434" t="s">
        <v>1153</v>
      </c>
      <c r="D8434" t="s">
        <v>10280</v>
      </c>
      <c r="E8434">
        <v>424007</v>
      </c>
      <c r="F8434" t="s">
        <v>1</v>
      </c>
      <c r="G8434" t="s">
        <v>2</v>
      </c>
      <c r="H8434" t="s">
        <v>11314</v>
      </c>
      <c r="Y8434" t="s">
        <v>34044</v>
      </c>
    </row>
    <row r="8435" spans="1:25" x14ac:dyDescent="0.25">
      <c r="A8435" t="str">
        <f>"86198753062"</f>
        <v>86198753062</v>
      </c>
      <c r="B8435" t="s">
        <v>2104</v>
      </c>
      <c r="C8435" t="s">
        <v>34046</v>
      </c>
      <c r="D8435" t="s">
        <v>32026</v>
      </c>
      <c r="F8435" t="s">
        <v>1</v>
      </c>
      <c r="G8435" t="s">
        <v>2</v>
      </c>
      <c r="H8435" t="s">
        <v>34045</v>
      </c>
      <c r="Y8435" t="s">
        <v>34047</v>
      </c>
    </row>
    <row r="8436" spans="1:25" x14ac:dyDescent="0.25">
      <c r="A8436" t="str">
        <f>"86257600018"</f>
        <v>86257600018</v>
      </c>
      <c r="B8436" t="s">
        <v>188</v>
      </c>
      <c r="C8436" t="s">
        <v>24568</v>
      </c>
      <c r="D8436" t="s">
        <v>24568</v>
      </c>
      <c r="E8436">
        <v>424002</v>
      </c>
      <c r="F8436" t="s">
        <v>1</v>
      </c>
      <c r="G8436" t="s">
        <v>2</v>
      </c>
      <c r="H8436" t="s">
        <v>11581</v>
      </c>
      <c r="P8436" t="s">
        <v>410</v>
      </c>
      <c r="Y8436" t="s">
        <v>34048</v>
      </c>
    </row>
    <row r="8437" spans="1:25" x14ac:dyDescent="0.25">
      <c r="A8437" t="str">
        <f>"86259229801"</f>
        <v>86259229801</v>
      </c>
      <c r="B8437" t="s">
        <v>1391</v>
      </c>
      <c r="C8437" t="s">
        <v>1392</v>
      </c>
      <c r="D8437" t="s">
        <v>34049</v>
      </c>
      <c r="E8437">
        <v>424020</v>
      </c>
      <c r="F8437" t="s">
        <v>1</v>
      </c>
      <c r="G8437" t="s">
        <v>2</v>
      </c>
      <c r="H8437" t="s">
        <v>2112</v>
      </c>
      <c r="Y8437" t="s">
        <v>34050</v>
      </c>
    </row>
    <row r="8438" spans="1:25" x14ac:dyDescent="0.25">
      <c r="A8438" t="str">
        <f>"86269542859"</f>
        <v>86269542859</v>
      </c>
      <c r="B8438" t="s">
        <v>703</v>
      </c>
      <c r="C8438" t="s">
        <v>34052</v>
      </c>
      <c r="D8438" t="s">
        <v>34051</v>
      </c>
      <c r="E8438">
        <v>424006</v>
      </c>
      <c r="F8438" t="s">
        <v>1</v>
      </c>
      <c r="G8438" t="s">
        <v>2</v>
      </c>
      <c r="H8438" t="s">
        <v>15013</v>
      </c>
      <c r="P8438" t="s">
        <v>34053</v>
      </c>
      <c r="Y8438" t="s">
        <v>34054</v>
      </c>
    </row>
    <row r="8439" spans="1:25" x14ac:dyDescent="0.25">
      <c r="A8439" t="str">
        <f>"86322977784"</f>
        <v>86322977784</v>
      </c>
      <c r="B8439" t="s">
        <v>738</v>
      </c>
      <c r="C8439" t="s">
        <v>739</v>
      </c>
      <c r="D8439" t="s">
        <v>34055</v>
      </c>
      <c r="E8439">
        <v>424007</v>
      </c>
      <c r="F8439" t="s">
        <v>1</v>
      </c>
      <c r="G8439" t="s">
        <v>2</v>
      </c>
      <c r="H8439" t="s">
        <v>10252</v>
      </c>
      <c r="I8439" t="s">
        <v>34056</v>
      </c>
      <c r="L8439" t="s">
        <v>34057</v>
      </c>
      <c r="M8439" t="s">
        <v>34058</v>
      </c>
      <c r="P8439" t="s">
        <v>27</v>
      </c>
      <c r="Y8439" t="s">
        <v>10258</v>
      </c>
    </row>
    <row r="8440" spans="1:25" x14ac:dyDescent="0.25">
      <c r="A8440" t="str">
        <f>"86331590515"</f>
        <v>86331590515</v>
      </c>
      <c r="B8440" t="s">
        <v>25</v>
      </c>
      <c r="C8440" t="s">
        <v>11919</v>
      </c>
      <c r="D8440" t="s">
        <v>34059</v>
      </c>
      <c r="E8440">
        <v>424000</v>
      </c>
      <c r="F8440" t="s">
        <v>1</v>
      </c>
      <c r="G8440" t="s">
        <v>2</v>
      </c>
      <c r="H8440" t="s">
        <v>837</v>
      </c>
      <c r="I8440" t="s">
        <v>34060</v>
      </c>
      <c r="J8440" t="s">
        <v>34061</v>
      </c>
      <c r="P8440" t="s">
        <v>25850</v>
      </c>
      <c r="Y8440" t="s">
        <v>34062</v>
      </c>
    </row>
    <row r="8441" spans="1:25" x14ac:dyDescent="0.25">
      <c r="A8441" t="str">
        <f>"86356160161"</f>
        <v>86356160161</v>
      </c>
      <c r="B8441" t="s">
        <v>430</v>
      </c>
      <c r="C8441" t="s">
        <v>612</v>
      </c>
      <c r="D8441" t="s">
        <v>34063</v>
      </c>
      <c r="E8441">
        <v>424004</v>
      </c>
      <c r="F8441" t="s">
        <v>1</v>
      </c>
      <c r="G8441" t="s">
        <v>2</v>
      </c>
      <c r="H8441" t="s">
        <v>8853</v>
      </c>
      <c r="I8441" t="s">
        <v>34064</v>
      </c>
      <c r="P8441" t="s">
        <v>2050</v>
      </c>
      <c r="Y8441" t="s">
        <v>34065</v>
      </c>
    </row>
    <row r="8442" spans="1:25" x14ac:dyDescent="0.25">
      <c r="A8442" t="str">
        <f>"86387022113"</f>
        <v>86387022113</v>
      </c>
      <c r="B8442" t="s">
        <v>96</v>
      </c>
      <c r="C8442" t="s">
        <v>8479</v>
      </c>
      <c r="D8442" t="s">
        <v>34066</v>
      </c>
      <c r="E8442">
        <v>424002</v>
      </c>
      <c r="F8442" t="s">
        <v>1</v>
      </c>
      <c r="G8442" t="s">
        <v>2</v>
      </c>
      <c r="H8442" t="s">
        <v>744</v>
      </c>
      <c r="J8442" t="s">
        <v>34067</v>
      </c>
      <c r="L8442" t="s">
        <v>34068</v>
      </c>
      <c r="M8442" t="s">
        <v>34069</v>
      </c>
      <c r="P8442" t="s">
        <v>748</v>
      </c>
      <c r="Q8442" t="s">
        <v>34070</v>
      </c>
      <c r="Y8442" t="s">
        <v>34071</v>
      </c>
    </row>
    <row r="8443" spans="1:25" x14ac:dyDescent="0.25">
      <c r="A8443" t="str">
        <f>"86406890674"</f>
        <v>86406890674</v>
      </c>
      <c r="B8443" t="s">
        <v>640</v>
      </c>
      <c r="C8443" t="s">
        <v>26599</v>
      </c>
      <c r="D8443" t="s">
        <v>26498</v>
      </c>
      <c r="E8443">
        <v>424003</v>
      </c>
      <c r="F8443" t="s">
        <v>1</v>
      </c>
      <c r="G8443" t="s">
        <v>2</v>
      </c>
      <c r="H8443" t="s">
        <v>1725</v>
      </c>
      <c r="Y8443" t="s">
        <v>34072</v>
      </c>
    </row>
    <row r="8444" spans="1:25" x14ac:dyDescent="0.25">
      <c r="A8444" t="str">
        <f>"86408820137"</f>
        <v>86408820137</v>
      </c>
      <c r="B8444" t="s">
        <v>1152</v>
      </c>
      <c r="C8444" t="s">
        <v>1153</v>
      </c>
      <c r="D8444" t="s">
        <v>10280</v>
      </c>
      <c r="E8444">
        <v>424039</v>
      </c>
      <c r="F8444" t="s">
        <v>1</v>
      </c>
      <c r="G8444" t="s">
        <v>2</v>
      </c>
      <c r="H8444" t="s">
        <v>15233</v>
      </c>
      <c r="I8444" t="s">
        <v>22092</v>
      </c>
      <c r="M8444" t="s">
        <v>10284</v>
      </c>
      <c r="Q8444" t="s">
        <v>10286</v>
      </c>
      <c r="R8444" t="s">
        <v>10287</v>
      </c>
      <c r="S8444" t="s">
        <v>10288</v>
      </c>
      <c r="T8444" t="s">
        <v>10289</v>
      </c>
      <c r="U8444" t="s">
        <v>10290</v>
      </c>
      <c r="V8444" t="s">
        <v>10291</v>
      </c>
      <c r="Y8444" t="s">
        <v>34073</v>
      </c>
    </row>
    <row r="8445" spans="1:25" x14ac:dyDescent="0.25">
      <c r="A8445" t="str">
        <f>"86418335830"</f>
        <v>86418335830</v>
      </c>
      <c r="B8445" t="s">
        <v>88</v>
      </c>
      <c r="C8445" t="s">
        <v>29952</v>
      </c>
      <c r="D8445" t="s">
        <v>12374</v>
      </c>
      <c r="E8445">
        <v>424020</v>
      </c>
      <c r="F8445" t="s">
        <v>1</v>
      </c>
      <c r="G8445" t="s">
        <v>2</v>
      </c>
      <c r="H8445" t="s">
        <v>4528</v>
      </c>
      <c r="Y8445" t="s">
        <v>34074</v>
      </c>
    </row>
    <row r="8446" spans="1:25" x14ac:dyDescent="0.25">
      <c r="A8446" t="str">
        <f>"86502825593"</f>
        <v>86502825593</v>
      </c>
      <c r="B8446" t="s">
        <v>96</v>
      </c>
      <c r="C8446" t="s">
        <v>893</v>
      </c>
      <c r="D8446" t="s">
        <v>34075</v>
      </c>
      <c r="E8446">
        <v>424028</v>
      </c>
      <c r="F8446" t="s">
        <v>1</v>
      </c>
      <c r="G8446" t="s">
        <v>2</v>
      </c>
      <c r="H8446" t="s">
        <v>5034</v>
      </c>
      <c r="Y8446" t="s">
        <v>34076</v>
      </c>
    </row>
    <row r="8447" spans="1:25" x14ac:dyDescent="0.25">
      <c r="A8447" t="str">
        <f>"86504347353"</f>
        <v>86504347353</v>
      </c>
      <c r="B8447" t="s">
        <v>1046</v>
      </c>
      <c r="C8447" t="s">
        <v>22946</v>
      </c>
      <c r="D8447" t="s">
        <v>22946</v>
      </c>
      <c r="E8447">
        <v>424007</v>
      </c>
      <c r="F8447" t="s">
        <v>1</v>
      </c>
      <c r="G8447" t="s">
        <v>2</v>
      </c>
      <c r="H8447" t="s">
        <v>34077</v>
      </c>
      <c r="Y8447" t="s">
        <v>34078</v>
      </c>
    </row>
    <row r="8448" spans="1:25" x14ac:dyDescent="0.25">
      <c r="A8448" t="str">
        <f>"86529803213"</f>
        <v>86529803213</v>
      </c>
      <c r="B8448" t="s">
        <v>188</v>
      </c>
      <c r="C8448" t="s">
        <v>24568</v>
      </c>
      <c r="D8448" t="s">
        <v>24568</v>
      </c>
      <c r="E8448">
        <v>424006</v>
      </c>
      <c r="F8448" t="s">
        <v>1</v>
      </c>
      <c r="G8448" t="s">
        <v>2</v>
      </c>
      <c r="H8448" t="s">
        <v>8172</v>
      </c>
      <c r="Y8448" t="s">
        <v>34079</v>
      </c>
    </row>
    <row r="8449" spans="1:25" x14ac:dyDescent="0.25">
      <c r="A8449" t="str">
        <f>"86565822337"</f>
        <v>86565822337</v>
      </c>
      <c r="B8449" t="s">
        <v>7312</v>
      </c>
      <c r="C8449" t="s">
        <v>19097</v>
      </c>
      <c r="D8449" t="s">
        <v>19130</v>
      </c>
      <c r="E8449">
        <v>424028</v>
      </c>
      <c r="F8449" t="s">
        <v>1</v>
      </c>
      <c r="G8449" t="s">
        <v>2</v>
      </c>
      <c r="H8449" t="s">
        <v>15129</v>
      </c>
      <c r="Y8449" t="s">
        <v>34080</v>
      </c>
    </row>
    <row r="8450" spans="1:25" x14ac:dyDescent="0.25">
      <c r="A8450" t="str">
        <f>"86592566820"</f>
        <v>86592566820</v>
      </c>
      <c r="B8450" t="s">
        <v>530</v>
      </c>
      <c r="C8450" t="s">
        <v>23950</v>
      </c>
      <c r="D8450" t="s">
        <v>23950</v>
      </c>
      <c r="E8450">
        <v>424030</v>
      </c>
      <c r="F8450" t="s">
        <v>1</v>
      </c>
      <c r="G8450" t="s">
        <v>2</v>
      </c>
      <c r="H8450" t="s">
        <v>34081</v>
      </c>
      <c r="Y8450" t="s">
        <v>34082</v>
      </c>
    </row>
    <row r="8451" spans="1:25" x14ac:dyDescent="0.25">
      <c r="A8451" t="str">
        <f>"86612049311"</f>
        <v>86612049311</v>
      </c>
      <c r="B8451" t="s">
        <v>574</v>
      </c>
      <c r="C8451" t="s">
        <v>646</v>
      </c>
      <c r="D8451" t="s">
        <v>4221</v>
      </c>
      <c r="E8451">
        <v>424032</v>
      </c>
      <c r="F8451" t="s">
        <v>1</v>
      </c>
      <c r="G8451" t="s">
        <v>2</v>
      </c>
      <c r="H8451" t="s">
        <v>2250</v>
      </c>
      <c r="Y8451" t="s">
        <v>34083</v>
      </c>
    </row>
    <row r="8452" spans="1:25" x14ac:dyDescent="0.25">
      <c r="A8452" t="str">
        <f>"86615334916"</f>
        <v>86615334916</v>
      </c>
      <c r="B8452" t="s">
        <v>284</v>
      </c>
      <c r="C8452" t="s">
        <v>34089</v>
      </c>
      <c r="D8452" t="s">
        <v>34084</v>
      </c>
      <c r="E8452">
        <v>424032</v>
      </c>
      <c r="F8452" t="s">
        <v>1</v>
      </c>
      <c r="G8452" t="s">
        <v>2</v>
      </c>
      <c r="H8452" t="s">
        <v>34085</v>
      </c>
      <c r="J8452" t="s">
        <v>34086</v>
      </c>
      <c r="L8452" t="s">
        <v>34087</v>
      </c>
      <c r="M8452" t="s">
        <v>34088</v>
      </c>
      <c r="P8452" t="s">
        <v>280</v>
      </c>
      <c r="Y8452" t="s">
        <v>34090</v>
      </c>
    </row>
    <row r="8453" spans="1:25" x14ac:dyDescent="0.25">
      <c r="A8453" t="str">
        <f>"86689307494"</f>
        <v>86689307494</v>
      </c>
      <c r="B8453" t="s">
        <v>574</v>
      </c>
      <c r="C8453" t="s">
        <v>646</v>
      </c>
      <c r="D8453" t="s">
        <v>4221</v>
      </c>
      <c r="E8453">
        <v>424033</v>
      </c>
      <c r="F8453" t="s">
        <v>1</v>
      </c>
      <c r="G8453" t="s">
        <v>2</v>
      </c>
      <c r="H8453" t="s">
        <v>2597</v>
      </c>
      <c r="Y8453" t="s">
        <v>34091</v>
      </c>
    </row>
    <row r="8454" spans="1:25" x14ac:dyDescent="0.25">
      <c r="A8454" t="str">
        <f>"86718938629"</f>
        <v>86718938629</v>
      </c>
      <c r="B8454" t="s">
        <v>117</v>
      </c>
      <c r="C8454" t="s">
        <v>873</v>
      </c>
      <c r="D8454" t="s">
        <v>873</v>
      </c>
      <c r="F8454" t="s">
        <v>1</v>
      </c>
      <c r="G8454" t="s">
        <v>2</v>
      </c>
      <c r="H8454" t="s">
        <v>19499</v>
      </c>
      <c r="P8454" t="s">
        <v>144</v>
      </c>
      <c r="Y8454" t="s">
        <v>34092</v>
      </c>
    </row>
    <row r="8455" spans="1:25" x14ac:dyDescent="0.25">
      <c r="A8455" t="str">
        <f>"86723020729"</f>
        <v>86723020729</v>
      </c>
      <c r="B8455" t="s">
        <v>1053</v>
      </c>
      <c r="C8455" t="s">
        <v>1927</v>
      </c>
      <c r="D8455" t="s">
        <v>34093</v>
      </c>
      <c r="E8455">
        <v>424002</v>
      </c>
      <c r="F8455" t="s">
        <v>1</v>
      </c>
      <c r="G8455" t="s">
        <v>2</v>
      </c>
      <c r="H8455" t="s">
        <v>11597</v>
      </c>
      <c r="I8455" t="s">
        <v>34094</v>
      </c>
      <c r="Y8455" t="s">
        <v>11600</v>
      </c>
    </row>
    <row r="8456" spans="1:25" x14ac:dyDescent="0.25">
      <c r="A8456" t="str">
        <f>"86741076653"</f>
        <v>86741076653</v>
      </c>
      <c r="B8456" t="s">
        <v>123</v>
      </c>
      <c r="C8456" t="s">
        <v>34099</v>
      </c>
      <c r="D8456" t="s">
        <v>34095</v>
      </c>
      <c r="F8456" t="s">
        <v>1</v>
      </c>
      <c r="G8456" t="s">
        <v>2</v>
      </c>
      <c r="H8456" t="s">
        <v>27421</v>
      </c>
      <c r="I8456" t="s">
        <v>34096</v>
      </c>
      <c r="L8456" t="s">
        <v>34097</v>
      </c>
      <c r="M8456" t="s">
        <v>34098</v>
      </c>
      <c r="P8456" t="s">
        <v>7369</v>
      </c>
      <c r="Q8456" t="s">
        <v>34100</v>
      </c>
      <c r="T8456" t="s">
        <v>34101</v>
      </c>
      <c r="V8456" t="s">
        <v>34102</v>
      </c>
      <c r="Y8456" t="s">
        <v>34103</v>
      </c>
    </row>
    <row r="8457" spans="1:25" x14ac:dyDescent="0.25">
      <c r="A8457" t="str">
        <f>"86754756947"</f>
        <v>86754756947</v>
      </c>
      <c r="B8457" t="s">
        <v>176</v>
      </c>
      <c r="C8457" t="s">
        <v>250</v>
      </c>
      <c r="D8457" t="s">
        <v>34104</v>
      </c>
      <c r="E8457">
        <v>424002</v>
      </c>
      <c r="F8457" t="s">
        <v>1</v>
      </c>
      <c r="G8457" t="s">
        <v>2</v>
      </c>
      <c r="H8457" t="s">
        <v>14916</v>
      </c>
      <c r="Y8457" t="s">
        <v>34105</v>
      </c>
    </row>
    <row r="8458" spans="1:25" x14ac:dyDescent="0.25">
      <c r="A8458" t="str">
        <f>"86757201392"</f>
        <v>86757201392</v>
      </c>
      <c r="B8458" t="s">
        <v>1152</v>
      </c>
      <c r="C8458" t="s">
        <v>34108</v>
      </c>
      <c r="D8458" t="s">
        <v>34106</v>
      </c>
      <c r="E8458">
        <v>424038</v>
      </c>
      <c r="F8458" t="s">
        <v>1</v>
      </c>
      <c r="G8458" t="s">
        <v>2</v>
      </c>
      <c r="H8458" t="s">
        <v>2614</v>
      </c>
      <c r="I8458" t="s">
        <v>34107</v>
      </c>
      <c r="P8458" t="s">
        <v>2050</v>
      </c>
      <c r="Q8458" t="s">
        <v>34109</v>
      </c>
      <c r="Y8458" t="s">
        <v>2617</v>
      </c>
    </row>
    <row r="8459" spans="1:25" x14ac:dyDescent="0.25">
      <c r="A8459" t="str">
        <f>"86762888486"</f>
        <v>86762888486</v>
      </c>
      <c r="B8459" t="s">
        <v>32</v>
      </c>
      <c r="C8459" t="s">
        <v>34111</v>
      </c>
      <c r="D8459" t="s">
        <v>34110</v>
      </c>
      <c r="E8459">
        <v>424002</v>
      </c>
      <c r="F8459" t="s">
        <v>1</v>
      </c>
      <c r="G8459" t="s">
        <v>2</v>
      </c>
      <c r="H8459" t="s">
        <v>10546</v>
      </c>
      <c r="Y8459" t="s">
        <v>34112</v>
      </c>
    </row>
    <row r="8460" spans="1:25" x14ac:dyDescent="0.25">
      <c r="A8460" t="str">
        <f>"86796518945"</f>
        <v>86796518945</v>
      </c>
      <c r="B8460" t="s">
        <v>1544</v>
      </c>
      <c r="C8460" t="s">
        <v>2667</v>
      </c>
      <c r="D8460" t="s">
        <v>34113</v>
      </c>
      <c r="F8460" t="s">
        <v>1</v>
      </c>
      <c r="G8460" t="s">
        <v>2</v>
      </c>
      <c r="H8460" t="s">
        <v>34114</v>
      </c>
      <c r="Y8460" t="s">
        <v>34115</v>
      </c>
    </row>
    <row r="8461" spans="1:25" x14ac:dyDescent="0.25">
      <c r="A8461" t="str">
        <f>"86850535435"</f>
        <v>86850535435</v>
      </c>
      <c r="B8461" t="s">
        <v>110</v>
      </c>
      <c r="C8461" t="s">
        <v>34119</v>
      </c>
      <c r="D8461" t="s">
        <v>34116</v>
      </c>
      <c r="E8461">
        <v>424004</v>
      </c>
      <c r="F8461" t="s">
        <v>1</v>
      </c>
      <c r="G8461" t="s">
        <v>2</v>
      </c>
      <c r="H8461" t="s">
        <v>5197</v>
      </c>
      <c r="I8461" t="s">
        <v>34117</v>
      </c>
      <c r="J8461" t="s">
        <v>34118</v>
      </c>
      <c r="P8461" t="s">
        <v>34120</v>
      </c>
      <c r="Y8461" t="s">
        <v>34121</v>
      </c>
    </row>
    <row r="8462" spans="1:25" x14ac:dyDescent="0.25">
      <c r="A8462" t="str">
        <f>"86876291775"</f>
        <v>86876291775</v>
      </c>
      <c r="B8462" t="s">
        <v>1046</v>
      </c>
      <c r="C8462" t="s">
        <v>22946</v>
      </c>
      <c r="D8462" t="s">
        <v>31470</v>
      </c>
      <c r="E8462">
        <v>424036</v>
      </c>
      <c r="F8462" t="s">
        <v>1</v>
      </c>
      <c r="G8462" t="s">
        <v>2</v>
      </c>
      <c r="H8462" t="s">
        <v>2291</v>
      </c>
      <c r="Y8462" t="s">
        <v>34122</v>
      </c>
    </row>
    <row r="8463" spans="1:25" x14ac:dyDescent="0.25">
      <c r="A8463" t="str">
        <f>"86897457808"</f>
        <v>86897457808</v>
      </c>
      <c r="B8463" t="s">
        <v>574</v>
      </c>
      <c r="C8463" t="s">
        <v>23462</v>
      </c>
      <c r="D8463" t="s">
        <v>27898</v>
      </c>
      <c r="E8463">
        <v>424028</v>
      </c>
      <c r="F8463" t="s">
        <v>1</v>
      </c>
      <c r="G8463" t="s">
        <v>2</v>
      </c>
      <c r="H8463" t="s">
        <v>23999</v>
      </c>
      <c r="Y8463" t="s">
        <v>34123</v>
      </c>
    </row>
    <row r="8464" spans="1:25" x14ac:dyDescent="0.25">
      <c r="A8464" t="str">
        <f>"86977124004"</f>
        <v>86977124004</v>
      </c>
      <c r="B8464" t="s">
        <v>1046</v>
      </c>
      <c r="C8464" t="s">
        <v>22946</v>
      </c>
      <c r="D8464" t="s">
        <v>22946</v>
      </c>
      <c r="E8464">
        <v>424020</v>
      </c>
      <c r="F8464" t="s">
        <v>1</v>
      </c>
      <c r="G8464" t="s">
        <v>2</v>
      </c>
      <c r="H8464" t="s">
        <v>9442</v>
      </c>
      <c r="Y8464" t="s">
        <v>34124</v>
      </c>
    </row>
    <row r="8465" spans="1:25" x14ac:dyDescent="0.25">
      <c r="A8465" t="str">
        <f>"86986581611"</f>
        <v>86986581611</v>
      </c>
      <c r="B8465" t="s">
        <v>574</v>
      </c>
      <c r="C8465" t="s">
        <v>23462</v>
      </c>
      <c r="D8465" t="s">
        <v>27898</v>
      </c>
      <c r="E8465">
        <v>424006</v>
      </c>
      <c r="F8465" t="s">
        <v>1</v>
      </c>
      <c r="G8465" t="s">
        <v>2</v>
      </c>
      <c r="H8465" t="s">
        <v>27057</v>
      </c>
      <c r="Y8465" t="s">
        <v>34125</v>
      </c>
    </row>
    <row r="8466" spans="1:25" x14ac:dyDescent="0.25">
      <c r="A8466" t="str">
        <f>"86989169354"</f>
        <v>86989169354</v>
      </c>
      <c r="B8466" t="s">
        <v>151</v>
      </c>
      <c r="C8466" t="s">
        <v>34130</v>
      </c>
      <c r="D8466" t="s">
        <v>34126</v>
      </c>
      <c r="E8466">
        <v>424000</v>
      </c>
      <c r="F8466" t="s">
        <v>1</v>
      </c>
      <c r="G8466" t="s">
        <v>2</v>
      </c>
      <c r="H8466" t="s">
        <v>499</v>
      </c>
      <c r="I8466" t="s">
        <v>34127</v>
      </c>
      <c r="L8466" t="s">
        <v>34128</v>
      </c>
      <c r="M8466" t="s">
        <v>34129</v>
      </c>
      <c r="P8466" t="s">
        <v>2438</v>
      </c>
      <c r="Y8466" t="s">
        <v>1598</v>
      </c>
    </row>
    <row r="8467" spans="1:25" x14ac:dyDescent="0.25">
      <c r="A8467" t="str">
        <f>"86996833871"</f>
        <v>86996833871</v>
      </c>
      <c r="B8467" t="s">
        <v>530</v>
      </c>
      <c r="C8467" t="s">
        <v>23950</v>
      </c>
      <c r="D8467" t="s">
        <v>23950</v>
      </c>
      <c r="F8467" t="s">
        <v>1</v>
      </c>
      <c r="G8467" t="s">
        <v>2</v>
      </c>
      <c r="H8467" t="s">
        <v>31710</v>
      </c>
      <c r="Y8467" t="s">
        <v>34131</v>
      </c>
    </row>
    <row r="8468" spans="1:25" x14ac:dyDescent="0.25">
      <c r="A8468" t="str">
        <f>"87000463581"</f>
        <v>87000463581</v>
      </c>
      <c r="B8468" t="s">
        <v>574</v>
      </c>
      <c r="C8468" t="s">
        <v>14269</v>
      </c>
      <c r="D8468" t="s">
        <v>14267</v>
      </c>
      <c r="E8468">
        <v>424038</v>
      </c>
      <c r="F8468" t="s">
        <v>1</v>
      </c>
      <c r="G8468" t="s">
        <v>2</v>
      </c>
      <c r="H8468" t="s">
        <v>2614</v>
      </c>
      <c r="Y8468" t="s">
        <v>7651</v>
      </c>
    </row>
    <row r="8469" spans="1:25" x14ac:dyDescent="0.25">
      <c r="A8469" t="str">
        <f>"87006579133"</f>
        <v>87006579133</v>
      </c>
      <c r="B8469" t="s">
        <v>1152</v>
      </c>
      <c r="C8469" t="s">
        <v>21652</v>
      </c>
      <c r="D8469" t="s">
        <v>21650</v>
      </c>
      <c r="E8469">
        <v>424000</v>
      </c>
      <c r="F8469" t="s">
        <v>1</v>
      </c>
      <c r="G8469" t="s">
        <v>2</v>
      </c>
      <c r="H8469" t="s">
        <v>1473</v>
      </c>
      <c r="J8469" t="s">
        <v>21651</v>
      </c>
      <c r="P8469" t="s">
        <v>34132</v>
      </c>
      <c r="Q8469" t="s">
        <v>21654</v>
      </c>
      <c r="Y8469" t="s">
        <v>34133</v>
      </c>
    </row>
    <row r="8470" spans="1:25" x14ac:dyDescent="0.25">
      <c r="A8470" t="str">
        <f>"87015224132"</f>
        <v>87015224132</v>
      </c>
      <c r="B8470" t="s">
        <v>160</v>
      </c>
      <c r="C8470" t="s">
        <v>1666</v>
      </c>
      <c r="D8470" t="s">
        <v>34134</v>
      </c>
      <c r="E8470">
        <v>424003</v>
      </c>
      <c r="F8470" t="s">
        <v>1</v>
      </c>
      <c r="G8470" t="s">
        <v>2</v>
      </c>
      <c r="H8470" t="s">
        <v>34135</v>
      </c>
      <c r="I8470" t="s">
        <v>34136</v>
      </c>
      <c r="P8470" t="s">
        <v>330</v>
      </c>
      <c r="Y8470" t="s">
        <v>34137</v>
      </c>
    </row>
    <row r="8471" spans="1:25" x14ac:dyDescent="0.25">
      <c r="A8471" t="str">
        <f>"87024771772"</f>
        <v>87024771772</v>
      </c>
      <c r="B8471" t="s">
        <v>32</v>
      </c>
      <c r="C8471" t="s">
        <v>14135</v>
      </c>
      <c r="D8471" t="s">
        <v>34138</v>
      </c>
      <c r="E8471">
        <v>424019</v>
      </c>
      <c r="F8471" t="s">
        <v>1</v>
      </c>
      <c r="G8471" t="s">
        <v>2</v>
      </c>
      <c r="H8471" t="s">
        <v>20692</v>
      </c>
      <c r="J8471" t="s">
        <v>34139</v>
      </c>
      <c r="P8471" t="s">
        <v>34140</v>
      </c>
      <c r="Q8471" t="s">
        <v>34141</v>
      </c>
      <c r="Y8471" t="s">
        <v>34142</v>
      </c>
    </row>
    <row r="8472" spans="1:25" x14ac:dyDescent="0.25">
      <c r="A8472" t="str">
        <f>"87038946641"</f>
        <v>87038946641</v>
      </c>
      <c r="B8472" t="s">
        <v>738</v>
      </c>
      <c r="C8472" t="s">
        <v>2456</v>
      </c>
      <c r="D8472" t="s">
        <v>2453</v>
      </c>
      <c r="E8472">
        <v>424005</v>
      </c>
      <c r="F8472" t="s">
        <v>1</v>
      </c>
      <c r="G8472" t="s">
        <v>2</v>
      </c>
      <c r="H8472" t="s">
        <v>6843</v>
      </c>
      <c r="I8472" t="s">
        <v>34143</v>
      </c>
      <c r="P8472" t="s">
        <v>30769</v>
      </c>
      <c r="Y8472" t="s">
        <v>34144</v>
      </c>
    </row>
    <row r="8473" spans="1:25" x14ac:dyDescent="0.25">
      <c r="A8473" t="str">
        <f>"87062294551"</f>
        <v>87062294551</v>
      </c>
      <c r="B8473" t="s">
        <v>716</v>
      </c>
      <c r="C8473" t="s">
        <v>26823</v>
      </c>
      <c r="D8473" t="s">
        <v>34145</v>
      </c>
      <c r="E8473">
        <v>424000</v>
      </c>
      <c r="F8473" t="s">
        <v>1</v>
      </c>
      <c r="G8473" t="s">
        <v>2</v>
      </c>
      <c r="H8473" t="s">
        <v>1531</v>
      </c>
      <c r="J8473" t="s">
        <v>34146</v>
      </c>
      <c r="P8473" t="s">
        <v>2457</v>
      </c>
      <c r="Y8473" t="s">
        <v>1707</v>
      </c>
    </row>
    <row r="8474" spans="1:25" x14ac:dyDescent="0.25">
      <c r="A8474" t="str">
        <f>"87091949077"</f>
        <v>87091949077</v>
      </c>
      <c r="B8474" t="s">
        <v>224</v>
      </c>
      <c r="C8474" t="s">
        <v>3240</v>
      </c>
      <c r="D8474" t="s">
        <v>15740</v>
      </c>
      <c r="F8474" t="s">
        <v>1</v>
      </c>
      <c r="G8474" t="s">
        <v>2</v>
      </c>
      <c r="H8474" t="s">
        <v>34147</v>
      </c>
      <c r="I8474" t="s">
        <v>8483</v>
      </c>
      <c r="J8474" t="s">
        <v>26928</v>
      </c>
      <c r="P8474" t="s">
        <v>16914</v>
      </c>
      <c r="Y8474" t="s">
        <v>34148</v>
      </c>
    </row>
    <row r="8475" spans="1:25" x14ac:dyDescent="0.25">
      <c r="A8475" t="str">
        <f>"87103091122"</f>
        <v>87103091122</v>
      </c>
      <c r="B8475" t="s">
        <v>462</v>
      </c>
      <c r="C8475" t="s">
        <v>1140</v>
      </c>
      <c r="D8475" t="s">
        <v>13973</v>
      </c>
      <c r="E8475">
        <v>424000</v>
      </c>
      <c r="F8475" t="s">
        <v>1</v>
      </c>
      <c r="G8475" t="s">
        <v>2</v>
      </c>
      <c r="H8475" t="s">
        <v>34149</v>
      </c>
      <c r="I8475" t="s">
        <v>13974</v>
      </c>
      <c r="P8475" t="s">
        <v>2951</v>
      </c>
      <c r="Y8475" t="s">
        <v>34150</v>
      </c>
    </row>
    <row r="8476" spans="1:25" x14ac:dyDescent="0.25">
      <c r="A8476" t="str">
        <f>"87151884481"</f>
        <v>87151884481</v>
      </c>
      <c r="B8476" t="s">
        <v>12698</v>
      </c>
      <c r="C8476" t="s">
        <v>29132</v>
      </c>
      <c r="D8476" t="s">
        <v>29131</v>
      </c>
      <c r="F8476" t="s">
        <v>1</v>
      </c>
      <c r="G8476" t="s">
        <v>2</v>
      </c>
      <c r="H8476" t="s">
        <v>34151</v>
      </c>
      <c r="Y8476" t="s">
        <v>34152</v>
      </c>
    </row>
    <row r="8477" spans="1:25" x14ac:dyDescent="0.25">
      <c r="A8477" t="str">
        <f>"87205863232"</f>
        <v>87205863232</v>
      </c>
      <c r="B8477" t="s">
        <v>26977</v>
      </c>
      <c r="C8477" t="s">
        <v>26978</v>
      </c>
      <c r="D8477" t="s">
        <v>34153</v>
      </c>
      <c r="E8477">
        <v>424028</v>
      </c>
      <c r="F8477" t="s">
        <v>1</v>
      </c>
      <c r="G8477" t="s">
        <v>2</v>
      </c>
      <c r="H8477" t="s">
        <v>8743</v>
      </c>
      <c r="I8477" t="s">
        <v>34154</v>
      </c>
      <c r="P8477" t="s">
        <v>330</v>
      </c>
      <c r="Y8477" t="s">
        <v>14234</v>
      </c>
    </row>
    <row r="8478" spans="1:25" x14ac:dyDescent="0.25">
      <c r="A8478" t="str">
        <f>"87208290926"</f>
        <v>87208290926</v>
      </c>
      <c r="B8478" t="s">
        <v>1046</v>
      </c>
      <c r="C8478" t="s">
        <v>34157</v>
      </c>
      <c r="D8478" t="s">
        <v>34155</v>
      </c>
      <c r="E8478">
        <v>424040</v>
      </c>
      <c r="F8478" t="s">
        <v>1</v>
      </c>
      <c r="G8478" t="s">
        <v>2</v>
      </c>
      <c r="H8478" t="s">
        <v>6712</v>
      </c>
      <c r="I8478" t="s">
        <v>34156</v>
      </c>
      <c r="Y8478" t="s">
        <v>34158</v>
      </c>
    </row>
    <row r="8479" spans="1:25" x14ac:dyDescent="0.25">
      <c r="A8479" t="str">
        <f>"87212464793"</f>
        <v>87212464793</v>
      </c>
      <c r="B8479" t="s">
        <v>96</v>
      </c>
      <c r="C8479" t="s">
        <v>659</v>
      </c>
      <c r="D8479" t="s">
        <v>34159</v>
      </c>
      <c r="E8479">
        <v>424918</v>
      </c>
      <c r="F8479" t="s">
        <v>1</v>
      </c>
      <c r="G8479" t="s">
        <v>2</v>
      </c>
      <c r="H8479" t="s">
        <v>629</v>
      </c>
      <c r="P8479" t="s">
        <v>630</v>
      </c>
      <c r="Y8479" t="s">
        <v>34160</v>
      </c>
    </row>
    <row r="8480" spans="1:25" x14ac:dyDescent="0.25">
      <c r="A8480" t="str">
        <f>"87290410421"</f>
        <v>87290410421</v>
      </c>
      <c r="B8480" t="s">
        <v>574</v>
      </c>
      <c r="C8480" t="s">
        <v>952</v>
      </c>
      <c r="D8480" t="s">
        <v>7620</v>
      </c>
      <c r="F8480" t="s">
        <v>1</v>
      </c>
      <c r="G8480" t="s">
        <v>2</v>
      </c>
      <c r="H8480" t="s">
        <v>24384</v>
      </c>
      <c r="Y8480" t="s">
        <v>34161</v>
      </c>
    </row>
    <row r="8481" spans="1:25" x14ac:dyDescent="0.25">
      <c r="A8481" t="str">
        <f>"87327586040"</f>
        <v>87327586040</v>
      </c>
      <c r="B8481" t="s">
        <v>1544</v>
      </c>
      <c r="C8481" t="s">
        <v>24552</v>
      </c>
      <c r="D8481" t="s">
        <v>34162</v>
      </c>
      <c r="E8481">
        <v>424918</v>
      </c>
      <c r="F8481" t="s">
        <v>1</v>
      </c>
      <c r="G8481" t="s">
        <v>2</v>
      </c>
      <c r="H8481" t="s">
        <v>629</v>
      </c>
      <c r="I8481" t="s">
        <v>34163</v>
      </c>
      <c r="P8481" t="s">
        <v>34164</v>
      </c>
      <c r="Y8481" t="s">
        <v>1744</v>
      </c>
    </row>
    <row r="8482" spans="1:25" x14ac:dyDescent="0.25">
      <c r="A8482" t="str">
        <f>"87364466427"</f>
        <v>87364466427</v>
      </c>
      <c r="B8482" t="s">
        <v>1343</v>
      </c>
      <c r="C8482" t="s">
        <v>5308</v>
      </c>
      <c r="D8482" t="s">
        <v>34165</v>
      </c>
      <c r="E8482">
        <v>424008</v>
      </c>
      <c r="F8482" t="s">
        <v>1</v>
      </c>
      <c r="G8482" t="s">
        <v>2</v>
      </c>
      <c r="H8482" t="s">
        <v>23978</v>
      </c>
      <c r="Y8482" t="s">
        <v>34166</v>
      </c>
    </row>
    <row r="8483" spans="1:25" x14ac:dyDescent="0.25">
      <c r="A8483" t="str">
        <f>"87387738593"</f>
        <v>87387738593</v>
      </c>
      <c r="B8483" t="s">
        <v>96</v>
      </c>
      <c r="C8483" t="s">
        <v>32196</v>
      </c>
      <c r="D8483" t="s">
        <v>21572</v>
      </c>
      <c r="E8483">
        <v>424028</v>
      </c>
      <c r="F8483" t="s">
        <v>1</v>
      </c>
      <c r="G8483" t="s">
        <v>2</v>
      </c>
      <c r="H8483" t="s">
        <v>5034</v>
      </c>
      <c r="Y8483" t="s">
        <v>34167</v>
      </c>
    </row>
    <row r="8484" spans="1:25" x14ac:dyDescent="0.25">
      <c r="A8484" t="str">
        <f>"87396998481"</f>
        <v>87396998481</v>
      </c>
      <c r="B8484" t="s">
        <v>224</v>
      </c>
      <c r="C8484" t="s">
        <v>3240</v>
      </c>
      <c r="D8484" t="s">
        <v>13595</v>
      </c>
      <c r="E8484">
        <v>424006</v>
      </c>
      <c r="F8484" t="s">
        <v>1</v>
      </c>
      <c r="G8484" t="s">
        <v>2</v>
      </c>
      <c r="H8484" t="s">
        <v>2012</v>
      </c>
      <c r="J8484" t="s">
        <v>13597</v>
      </c>
      <c r="P8484" t="s">
        <v>2084</v>
      </c>
      <c r="Y8484" t="s">
        <v>2016</v>
      </c>
    </row>
    <row r="8485" spans="1:25" x14ac:dyDescent="0.25">
      <c r="A8485" t="str">
        <f>"87418254049"</f>
        <v>87418254049</v>
      </c>
      <c r="B8485" t="s">
        <v>574</v>
      </c>
      <c r="C8485" t="s">
        <v>9802</v>
      </c>
      <c r="D8485" t="s">
        <v>14735</v>
      </c>
      <c r="E8485">
        <v>424006</v>
      </c>
      <c r="F8485" t="s">
        <v>1</v>
      </c>
      <c r="G8485" t="s">
        <v>2</v>
      </c>
      <c r="H8485" t="s">
        <v>34168</v>
      </c>
      <c r="J8485" t="s">
        <v>33828</v>
      </c>
      <c r="M8485" t="s">
        <v>33829</v>
      </c>
      <c r="P8485" t="s">
        <v>26241</v>
      </c>
      <c r="Y8485" t="s">
        <v>34169</v>
      </c>
    </row>
    <row r="8486" spans="1:25" x14ac:dyDescent="0.25">
      <c r="A8486" t="str">
        <f>"87429866995"</f>
        <v>87429866995</v>
      </c>
      <c r="B8486" t="s">
        <v>188</v>
      </c>
      <c r="C8486" t="s">
        <v>8311</v>
      </c>
      <c r="D8486" t="s">
        <v>20330</v>
      </c>
      <c r="E8486">
        <v>424007</v>
      </c>
      <c r="F8486" t="s">
        <v>1</v>
      </c>
      <c r="G8486" t="s">
        <v>2</v>
      </c>
      <c r="H8486" t="s">
        <v>11314</v>
      </c>
      <c r="Y8486" t="s">
        <v>34170</v>
      </c>
    </row>
    <row r="8487" spans="1:25" x14ac:dyDescent="0.25">
      <c r="A8487" t="str">
        <f>"87440851513"</f>
        <v>87440851513</v>
      </c>
      <c r="B8487" t="s">
        <v>88</v>
      </c>
      <c r="C8487" t="s">
        <v>6066</v>
      </c>
      <c r="D8487" t="s">
        <v>34171</v>
      </c>
      <c r="E8487">
        <v>424033</v>
      </c>
      <c r="F8487" t="s">
        <v>1</v>
      </c>
      <c r="G8487" t="s">
        <v>2</v>
      </c>
      <c r="H8487" t="s">
        <v>6126</v>
      </c>
      <c r="Y8487" t="s">
        <v>25024</v>
      </c>
    </row>
    <row r="8488" spans="1:25" x14ac:dyDescent="0.25">
      <c r="A8488" t="str">
        <f>"87468491643"</f>
        <v>87468491643</v>
      </c>
      <c r="B8488" t="s">
        <v>574</v>
      </c>
      <c r="C8488" t="s">
        <v>22533</v>
      </c>
      <c r="D8488" t="s">
        <v>34172</v>
      </c>
      <c r="F8488" t="s">
        <v>1</v>
      </c>
      <c r="G8488" t="s">
        <v>2</v>
      </c>
      <c r="H8488" t="s">
        <v>16696</v>
      </c>
      <c r="Y8488" t="s">
        <v>34173</v>
      </c>
    </row>
    <row r="8489" spans="1:25" x14ac:dyDescent="0.25">
      <c r="A8489" t="str">
        <f>"87578671910"</f>
        <v>87578671910</v>
      </c>
      <c r="B8489" t="s">
        <v>117</v>
      </c>
      <c r="C8489" t="s">
        <v>118</v>
      </c>
      <c r="D8489" t="s">
        <v>34174</v>
      </c>
      <c r="F8489" t="s">
        <v>1</v>
      </c>
      <c r="G8489" t="s">
        <v>2</v>
      </c>
      <c r="H8489" t="s">
        <v>27612</v>
      </c>
      <c r="Y8489" t="s">
        <v>34175</v>
      </c>
    </row>
    <row r="8490" spans="1:25" x14ac:dyDescent="0.25">
      <c r="A8490" t="str">
        <f>"87593587391"</f>
        <v>87593587391</v>
      </c>
      <c r="B8490" t="s">
        <v>96</v>
      </c>
      <c r="C8490" t="s">
        <v>34176</v>
      </c>
      <c r="D8490" t="s">
        <v>30499</v>
      </c>
      <c r="E8490">
        <v>424028</v>
      </c>
      <c r="F8490" t="s">
        <v>1</v>
      </c>
      <c r="G8490" t="s">
        <v>2</v>
      </c>
      <c r="H8490" t="s">
        <v>24503</v>
      </c>
      <c r="J8490" t="s">
        <v>30500</v>
      </c>
      <c r="P8490" t="s">
        <v>15510</v>
      </c>
      <c r="Y8490" t="s">
        <v>34177</v>
      </c>
    </row>
    <row r="8491" spans="1:25" x14ac:dyDescent="0.25">
      <c r="A8491" t="str">
        <f>"87595847825"</f>
        <v>87595847825</v>
      </c>
      <c r="B8491" t="s">
        <v>18</v>
      </c>
      <c r="C8491" t="s">
        <v>34180</v>
      </c>
      <c r="D8491" t="s">
        <v>3157</v>
      </c>
      <c r="F8491" t="s">
        <v>1</v>
      </c>
      <c r="G8491" t="s">
        <v>2</v>
      </c>
      <c r="H8491" t="s">
        <v>21074</v>
      </c>
      <c r="I8491" t="s">
        <v>34178</v>
      </c>
      <c r="L8491" t="s">
        <v>3160</v>
      </c>
      <c r="M8491" t="s">
        <v>34179</v>
      </c>
      <c r="P8491" t="s">
        <v>21948</v>
      </c>
      <c r="Y8491" t="s">
        <v>21079</v>
      </c>
    </row>
    <row r="8492" spans="1:25" x14ac:dyDescent="0.25">
      <c r="A8492" t="str">
        <f>"87597184156"</f>
        <v>87597184156</v>
      </c>
      <c r="B8492" t="s">
        <v>204</v>
      </c>
      <c r="C8492" t="s">
        <v>25704</v>
      </c>
      <c r="D8492" t="s">
        <v>34181</v>
      </c>
      <c r="E8492">
        <v>424037</v>
      </c>
      <c r="F8492" t="s">
        <v>1</v>
      </c>
      <c r="G8492" t="s">
        <v>2</v>
      </c>
      <c r="H8492" t="s">
        <v>15407</v>
      </c>
      <c r="J8492" t="s">
        <v>34182</v>
      </c>
      <c r="M8492" t="s">
        <v>34183</v>
      </c>
      <c r="P8492" t="s">
        <v>216</v>
      </c>
      <c r="Q8492" t="s">
        <v>34184</v>
      </c>
      <c r="Y8492" t="s">
        <v>4724</v>
      </c>
    </row>
    <row r="8493" spans="1:25" x14ac:dyDescent="0.25">
      <c r="A8493" t="str">
        <f>"87609282978"</f>
        <v>87609282978</v>
      </c>
      <c r="B8493" t="s">
        <v>204</v>
      </c>
      <c r="C8493" t="s">
        <v>7914</v>
      </c>
      <c r="D8493" t="s">
        <v>34185</v>
      </c>
      <c r="E8493">
        <v>424003</v>
      </c>
      <c r="F8493" t="s">
        <v>1</v>
      </c>
      <c r="G8493" t="s">
        <v>2</v>
      </c>
      <c r="H8493" t="s">
        <v>14928</v>
      </c>
      <c r="I8493" t="s">
        <v>34186</v>
      </c>
      <c r="L8493" t="s">
        <v>34187</v>
      </c>
      <c r="M8493" t="s">
        <v>34188</v>
      </c>
      <c r="P8493" t="s">
        <v>27649</v>
      </c>
      <c r="Q8493" t="s">
        <v>34189</v>
      </c>
      <c r="R8493" t="s">
        <v>34190</v>
      </c>
      <c r="T8493" t="s">
        <v>34191</v>
      </c>
      <c r="U8493" t="s">
        <v>34192</v>
      </c>
      <c r="V8493" t="s">
        <v>34193</v>
      </c>
      <c r="Y8493" t="s">
        <v>25046</v>
      </c>
    </row>
    <row r="8494" spans="1:25" x14ac:dyDescent="0.25">
      <c r="A8494" t="str">
        <f>"87612909247"</f>
        <v>87612909247</v>
      </c>
      <c r="B8494" t="s">
        <v>530</v>
      </c>
      <c r="C8494" t="s">
        <v>23950</v>
      </c>
      <c r="D8494" t="s">
        <v>23950</v>
      </c>
      <c r="F8494" t="s">
        <v>1</v>
      </c>
      <c r="G8494" t="s">
        <v>2</v>
      </c>
      <c r="H8494" t="s">
        <v>7547</v>
      </c>
      <c r="Y8494" t="s">
        <v>34194</v>
      </c>
    </row>
    <row r="8495" spans="1:25" x14ac:dyDescent="0.25">
      <c r="A8495" t="str">
        <f>"87632450083"</f>
        <v>87632450083</v>
      </c>
      <c r="B8495" t="s">
        <v>348</v>
      </c>
      <c r="C8495" t="s">
        <v>4366</v>
      </c>
      <c r="D8495" t="s">
        <v>15779</v>
      </c>
      <c r="F8495" t="s">
        <v>1</v>
      </c>
      <c r="G8495" t="s">
        <v>2</v>
      </c>
      <c r="H8495" t="s">
        <v>138</v>
      </c>
      <c r="J8495" t="s">
        <v>34195</v>
      </c>
      <c r="P8495" t="s">
        <v>144</v>
      </c>
      <c r="Y8495" t="s">
        <v>146</v>
      </c>
    </row>
    <row r="8496" spans="1:25" x14ac:dyDescent="0.25">
      <c r="A8496" t="str">
        <f>"87645877483"</f>
        <v>87645877483</v>
      </c>
      <c r="B8496" t="s">
        <v>1729</v>
      </c>
      <c r="C8496" t="s">
        <v>34198</v>
      </c>
      <c r="D8496" t="s">
        <v>34196</v>
      </c>
      <c r="E8496">
        <v>424036</v>
      </c>
      <c r="F8496" t="s">
        <v>1</v>
      </c>
      <c r="G8496" t="s">
        <v>2</v>
      </c>
      <c r="H8496" t="s">
        <v>10750</v>
      </c>
      <c r="I8496" t="s">
        <v>34197</v>
      </c>
      <c r="P8496" t="s">
        <v>152</v>
      </c>
      <c r="Y8496" t="s">
        <v>34199</v>
      </c>
    </row>
    <row r="8497" spans="1:25" x14ac:dyDescent="0.25">
      <c r="A8497" t="str">
        <f>"87696703034"</f>
        <v>87696703034</v>
      </c>
      <c r="B8497" t="s">
        <v>574</v>
      </c>
      <c r="C8497" t="s">
        <v>14269</v>
      </c>
      <c r="D8497" t="s">
        <v>24813</v>
      </c>
      <c r="F8497" t="s">
        <v>1</v>
      </c>
      <c r="G8497" t="s">
        <v>2</v>
      </c>
      <c r="H8497" t="s">
        <v>34200</v>
      </c>
      <c r="Y8497" t="s">
        <v>34201</v>
      </c>
    </row>
    <row r="8498" spans="1:25" x14ac:dyDescent="0.25">
      <c r="A8498" t="str">
        <f>"87728113250"</f>
        <v>87728113250</v>
      </c>
      <c r="B8498" t="s">
        <v>1352</v>
      </c>
      <c r="C8498" t="s">
        <v>1353</v>
      </c>
      <c r="D8498" t="s">
        <v>34202</v>
      </c>
      <c r="E8498">
        <v>424019</v>
      </c>
      <c r="F8498" t="s">
        <v>1</v>
      </c>
      <c r="G8498" t="s">
        <v>2</v>
      </c>
      <c r="H8498" t="s">
        <v>7785</v>
      </c>
      <c r="P8498" t="s">
        <v>98</v>
      </c>
      <c r="Y8498" t="s">
        <v>34203</v>
      </c>
    </row>
    <row r="8499" spans="1:25" x14ac:dyDescent="0.25">
      <c r="A8499" t="str">
        <f>"87840015550"</f>
        <v>87840015550</v>
      </c>
      <c r="B8499" t="s">
        <v>2846</v>
      </c>
      <c r="C8499" t="s">
        <v>18131</v>
      </c>
      <c r="D8499" t="s">
        <v>34204</v>
      </c>
      <c r="E8499">
        <v>424000</v>
      </c>
      <c r="F8499" t="s">
        <v>1</v>
      </c>
      <c r="G8499" t="s">
        <v>2</v>
      </c>
      <c r="H8499" t="s">
        <v>1975</v>
      </c>
      <c r="P8499" t="s">
        <v>1404</v>
      </c>
      <c r="Y8499" t="s">
        <v>34205</v>
      </c>
    </row>
    <row r="8500" spans="1:25" x14ac:dyDescent="0.25">
      <c r="A8500" t="str">
        <f>"87841474507"</f>
        <v>87841474507</v>
      </c>
      <c r="B8500" t="s">
        <v>1475</v>
      </c>
      <c r="C8500" t="s">
        <v>4005</v>
      </c>
      <c r="D8500" t="s">
        <v>7821</v>
      </c>
      <c r="E8500">
        <v>424000</v>
      </c>
      <c r="F8500" t="s">
        <v>1</v>
      </c>
      <c r="G8500" t="s">
        <v>2</v>
      </c>
      <c r="H8500" t="s">
        <v>10357</v>
      </c>
      <c r="P8500" t="s">
        <v>7826</v>
      </c>
      <c r="Y8500" t="s">
        <v>34206</v>
      </c>
    </row>
    <row r="8501" spans="1:25" x14ac:dyDescent="0.25">
      <c r="A8501" t="str">
        <f>"87850754505"</f>
        <v>87850754505</v>
      </c>
      <c r="B8501" t="s">
        <v>1391</v>
      </c>
      <c r="C8501" t="s">
        <v>34209</v>
      </c>
      <c r="D8501" t="s">
        <v>34207</v>
      </c>
      <c r="E8501">
        <v>424006</v>
      </c>
      <c r="F8501" t="s">
        <v>1</v>
      </c>
      <c r="G8501" t="s">
        <v>2</v>
      </c>
      <c r="H8501" t="s">
        <v>1436</v>
      </c>
      <c r="I8501" t="s">
        <v>23265</v>
      </c>
      <c r="J8501" t="s">
        <v>34208</v>
      </c>
      <c r="L8501" t="s">
        <v>5049</v>
      </c>
      <c r="P8501" t="s">
        <v>34210</v>
      </c>
      <c r="Y8501" t="s">
        <v>34211</v>
      </c>
    </row>
    <row r="8502" spans="1:25" x14ac:dyDescent="0.25">
      <c r="A8502" t="str">
        <f>"87855008126"</f>
        <v>87855008126</v>
      </c>
      <c r="B8502" t="s">
        <v>123</v>
      </c>
      <c r="C8502" t="s">
        <v>196</v>
      </c>
      <c r="D8502" t="s">
        <v>34212</v>
      </c>
      <c r="E8502">
        <v>424003</v>
      </c>
      <c r="F8502" t="s">
        <v>1</v>
      </c>
      <c r="G8502" t="s">
        <v>2</v>
      </c>
      <c r="H8502" t="s">
        <v>13303</v>
      </c>
      <c r="J8502" t="s">
        <v>34213</v>
      </c>
      <c r="P8502" t="s">
        <v>330</v>
      </c>
      <c r="Y8502" t="s">
        <v>30377</v>
      </c>
    </row>
    <row r="8503" spans="1:25" x14ac:dyDescent="0.25">
      <c r="A8503" t="str">
        <f>"87856128313"</f>
        <v>87856128313</v>
      </c>
      <c r="B8503" t="s">
        <v>1152</v>
      </c>
      <c r="C8503" t="s">
        <v>1153</v>
      </c>
      <c r="D8503" t="s">
        <v>10280</v>
      </c>
      <c r="E8503">
        <v>424019</v>
      </c>
      <c r="F8503" t="s">
        <v>1</v>
      </c>
      <c r="G8503" t="s">
        <v>2</v>
      </c>
      <c r="H8503" t="s">
        <v>9271</v>
      </c>
      <c r="I8503" t="s">
        <v>22092</v>
      </c>
      <c r="M8503" t="s">
        <v>10284</v>
      </c>
      <c r="Q8503" t="s">
        <v>10286</v>
      </c>
      <c r="R8503" t="s">
        <v>10287</v>
      </c>
      <c r="S8503" t="s">
        <v>10288</v>
      </c>
      <c r="T8503" t="s">
        <v>10289</v>
      </c>
      <c r="U8503" t="s">
        <v>10290</v>
      </c>
      <c r="V8503" t="s">
        <v>10291</v>
      </c>
      <c r="Y8503" t="s">
        <v>14680</v>
      </c>
    </row>
    <row r="8504" spans="1:25" x14ac:dyDescent="0.25">
      <c r="A8504" t="str">
        <f>"87883376341"</f>
        <v>87883376341</v>
      </c>
      <c r="B8504" t="s">
        <v>841</v>
      </c>
      <c r="C8504" t="s">
        <v>25954</v>
      </c>
      <c r="D8504" t="s">
        <v>28343</v>
      </c>
      <c r="E8504">
        <v>424019</v>
      </c>
      <c r="F8504" t="s">
        <v>1</v>
      </c>
      <c r="G8504" t="s">
        <v>2</v>
      </c>
      <c r="H8504" t="s">
        <v>12105</v>
      </c>
      <c r="Y8504" t="s">
        <v>14260</v>
      </c>
    </row>
    <row r="8505" spans="1:25" x14ac:dyDescent="0.25">
      <c r="A8505" t="str">
        <f>"87908205397"</f>
        <v>87908205397</v>
      </c>
      <c r="B8505" t="s">
        <v>25</v>
      </c>
      <c r="C8505" t="s">
        <v>59</v>
      </c>
      <c r="D8505" t="s">
        <v>34214</v>
      </c>
      <c r="E8505">
        <v>424028</v>
      </c>
      <c r="F8505" t="s">
        <v>1</v>
      </c>
      <c r="G8505" t="s">
        <v>2</v>
      </c>
      <c r="H8505" t="s">
        <v>3628</v>
      </c>
      <c r="Y8505" t="s">
        <v>34215</v>
      </c>
    </row>
    <row r="8506" spans="1:25" x14ac:dyDescent="0.25">
      <c r="A8506" t="str">
        <f>"87981130947"</f>
        <v>87981130947</v>
      </c>
      <c r="B8506" t="s">
        <v>7</v>
      </c>
      <c r="C8506" t="s">
        <v>34218</v>
      </c>
      <c r="D8506" t="s">
        <v>34216</v>
      </c>
      <c r="E8506">
        <v>424006</v>
      </c>
      <c r="F8506" t="s">
        <v>1</v>
      </c>
      <c r="G8506" t="s">
        <v>2</v>
      </c>
      <c r="H8506" t="s">
        <v>3521</v>
      </c>
      <c r="I8506" t="s">
        <v>34217</v>
      </c>
      <c r="P8506" t="s">
        <v>34219</v>
      </c>
      <c r="Y8506" t="s">
        <v>3523</v>
      </c>
    </row>
    <row r="8507" spans="1:25" x14ac:dyDescent="0.25">
      <c r="A8507" t="str">
        <f>"88003634113"</f>
        <v>88003634113</v>
      </c>
      <c r="B8507" t="s">
        <v>4888</v>
      </c>
      <c r="C8507" t="s">
        <v>34225</v>
      </c>
      <c r="D8507" t="s">
        <v>34220</v>
      </c>
      <c r="F8507" t="s">
        <v>1</v>
      </c>
      <c r="G8507" t="s">
        <v>2</v>
      </c>
      <c r="H8507" t="s">
        <v>9124</v>
      </c>
      <c r="I8507" t="s">
        <v>34221</v>
      </c>
      <c r="J8507" t="s">
        <v>34222</v>
      </c>
      <c r="L8507" t="s">
        <v>34223</v>
      </c>
      <c r="M8507" t="s">
        <v>34224</v>
      </c>
      <c r="P8507" t="s">
        <v>330</v>
      </c>
      <c r="Q8507" t="s">
        <v>34226</v>
      </c>
      <c r="S8507" t="s">
        <v>34227</v>
      </c>
      <c r="Y8507" t="s">
        <v>34228</v>
      </c>
    </row>
    <row r="8508" spans="1:25" x14ac:dyDescent="0.25">
      <c r="A8508" t="str">
        <f>"88011653325"</f>
        <v>88011653325</v>
      </c>
      <c r="B8508" t="s">
        <v>3008</v>
      </c>
      <c r="C8508" t="s">
        <v>34231</v>
      </c>
      <c r="D8508" t="s">
        <v>34229</v>
      </c>
      <c r="E8508">
        <v>424038</v>
      </c>
      <c r="F8508" t="s">
        <v>1</v>
      </c>
      <c r="G8508" t="s">
        <v>2</v>
      </c>
      <c r="H8508" t="s">
        <v>34230</v>
      </c>
      <c r="P8508" t="s">
        <v>34232</v>
      </c>
      <c r="Y8508" t="s">
        <v>34233</v>
      </c>
    </row>
    <row r="8509" spans="1:25" x14ac:dyDescent="0.25">
      <c r="A8509" t="str">
        <f>"88043996086"</f>
        <v>88043996086</v>
      </c>
      <c r="B8509" t="s">
        <v>574</v>
      </c>
      <c r="C8509" t="s">
        <v>646</v>
      </c>
      <c r="D8509" t="s">
        <v>4005</v>
      </c>
      <c r="E8509">
        <v>424032</v>
      </c>
      <c r="F8509" t="s">
        <v>1</v>
      </c>
      <c r="G8509" t="s">
        <v>2</v>
      </c>
      <c r="H8509" t="s">
        <v>34234</v>
      </c>
      <c r="Y8509" t="s">
        <v>34235</v>
      </c>
    </row>
    <row r="8510" spans="1:25" x14ac:dyDescent="0.25">
      <c r="A8510" t="str">
        <f>"88055240405"</f>
        <v>88055240405</v>
      </c>
      <c r="B8510" t="s">
        <v>1573</v>
      </c>
      <c r="C8510" t="s">
        <v>11363</v>
      </c>
      <c r="D8510" t="s">
        <v>34236</v>
      </c>
      <c r="E8510">
        <v>424028</v>
      </c>
      <c r="F8510" t="s">
        <v>1</v>
      </c>
      <c r="G8510" t="s">
        <v>2</v>
      </c>
      <c r="H8510" t="s">
        <v>13373</v>
      </c>
      <c r="J8510" t="s">
        <v>34237</v>
      </c>
      <c r="L8510" t="s">
        <v>34238</v>
      </c>
      <c r="M8510" t="s">
        <v>34239</v>
      </c>
      <c r="P8510" t="s">
        <v>20</v>
      </c>
      <c r="Y8510" t="s">
        <v>13379</v>
      </c>
    </row>
    <row r="8511" spans="1:25" x14ac:dyDescent="0.25">
      <c r="A8511" t="str">
        <f>"88091095943"</f>
        <v>88091095943</v>
      </c>
      <c r="B8511" t="s">
        <v>290</v>
      </c>
      <c r="C8511" t="s">
        <v>290</v>
      </c>
      <c r="D8511" t="s">
        <v>34240</v>
      </c>
      <c r="E8511">
        <v>424007</v>
      </c>
      <c r="F8511" t="s">
        <v>1</v>
      </c>
      <c r="G8511" t="s">
        <v>2</v>
      </c>
      <c r="H8511" t="s">
        <v>9471</v>
      </c>
      <c r="Y8511" t="s">
        <v>34241</v>
      </c>
    </row>
    <row r="8512" spans="1:25" x14ac:dyDescent="0.25">
      <c r="A8512" t="str">
        <f>"88091395135"</f>
        <v>88091395135</v>
      </c>
      <c r="B8512" t="s">
        <v>574</v>
      </c>
      <c r="C8512" t="s">
        <v>646</v>
      </c>
      <c r="D8512" t="s">
        <v>15669</v>
      </c>
      <c r="E8512">
        <v>424037</v>
      </c>
      <c r="F8512" t="s">
        <v>1</v>
      </c>
      <c r="G8512" t="s">
        <v>2</v>
      </c>
      <c r="H8512" t="s">
        <v>30702</v>
      </c>
      <c r="Y8512" t="s">
        <v>34242</v>
      </c>
    </row>
    <row r="8513" spans="1:25" x14ac:dyDescent="0.25">
      <c r="A8513" t="str">
        <f>"88104055665"</f>
        <v>88104055665</v>
      </c>
      <c r="B8513" t="s">
        <v>2104</v>
      </c>
      <c r="C8513" t="s">
        <v>2105</v>
      </c>
      <c r="D8513" t="s">
        <v>24033</v>
      </c>
      <c r="E8513">
        <v>424016</v>
      </c>
      <c r="F8513" t="s">
        <v>1</v>
      </c>
      <c r="G8513" t="s">
        <v>2</v>
      </c>
      <c r="H8513" t="s">
        <v>18429</v>
      </c>
      <c r="L8513" t="s">
        <v>28709</v>
      </c>
      <c r="Q8513" t="s">
        <v>28711</v>
      </c>
      <c r="Y8513" t="s">
        <v>34243</v>
      </c>
    </row>
    <row r="8514" spans="1:25" x14ac:dyDescent="0.25">
      <c r="A8514" t="str">
        <f>"88128432074"</f>
        <v>88128432074</v>
      </c>
      <c r="B8514" t="s">
        <v>654</v>
      </c>
      <c r="C8514" t="s">
        <v>11963</v>
      </c>
      <c r="D8514" t="s">
        <v>11963</v>
      </c>
      <c r="E8514">
        <v>424030</v>
      </c>
      <c r="F8514" t="s">
        <v>1</v>
      </c>
      <c r="G8514" t="s">
        <v>2</v>
      </c>
      <c r="H8514" t="s">
        <v>27528</v>
      </c>
      <c r="Y8514" t="s">
        <v>34244</v>
      </c>
    </row>
    <row r="8515" spans="1:25" x14ac:dyDescent="0.25">
      <c r="A8515" t="str">
        <f>"88134175346"</f>
        <v>88134175346</v>
      </c>
      <c r="B8515" t="s">
        <v>188</v>
      </c>
      <c r="C8515" t="s">
        <v>24568</v>
      </c>
      <c r="D8515" t="s">
        <v>24568</v>
      </c>
      <c r="E8515">
        <v>424038</v>
      </c>
      <c r="F8515" t="s">
        <v>1</v>
      </c>
      <c r="G8515" t="s">
        <v>2</v>
      </c>
      <c r="H8515" t="s">
        <v>465</v>
      </c>
      <c r="Y8515" t="s">
        <v>34245</v>
      </c>
    </row>
    <row r="8516" spans="1:25" x14ac:dyDescent="0.25">
      <c r="A8516" t="str">
        <f>"88159890664"</f>
        <v>88159890664</v>
      </c>
      <c r="B8516" t="s">
        <v>32</v>
      </c>
      <c r="C8516" t="s">
        <v>40</v>
      </c>
      <c r="D8516" t="s">
        <v>28247</v>
      </c>
      <c r="E8516">
        <v>424002</v>
      </c>
      <c r="F8516" t="s">
        <v>1</v>
      </c>
      <c r="G8516" t="s">
        <v>2</v>
      </c>
      <c r="H8516" t="s">
        <v>2260</v>
      </c>
      <c r="I8516" t="s">
        <v>34246</v>
      </c>
      <c r="L8516" t="s">
        <v>34247</v>
      </c>
      <c r="Q8516" t="s">
        <v>34248</v>
      </c>
      <c r="Y8516" t="s">
        <v>27091</v>
      </c>
    </row>
    <row r="8517" spans="1:25" x14ac:dyDescent="0.25">
      <c r="A8517" t="str">
        <f>"88166732831"</f>
        <v>88166732831</v>
      </c>
      <c r="B8517" t="s">
        <v>574</v>
      </c>
      <c r="C8517" t="s">
        <v>646</v>
      </c>
      <c r="D8517" t="s">
        <v>33686</v>
      </c>
      <c r="E8517">
        <v>424918</v>
      </c>
      <c r="F8517" t="s">
        <v>1</v>
      </c>
      <c r="G8517" t="s">
        <v>2</v>
      </c>
      <c r="H8517" t="s">
        <v>629</v>
      </c>
      <c r="P8517" t="s">
        <v>630</v>
      </c>
      <c r="Y8517" t="s">
        <v>1744</v>
      </c>
    </row>
    <row r="8518" spans="1:25" x14ac:dyDescent="0.25">
      <c r="A8518" t="str">
        <f>"88204396740"</f>
        <v>88204396740</v>
      </c>
      <c r="B8518" t="s">
        <v>530</v>
      </c>
      <c r="C8518" t="s">
        <v>23950</v>
      </c>
      <c r="D8518" t="s">
        <v>23950</v>
      </c>
      <c r="E8518">
        <v>424019</v>
      </c>
      <c r="F8518" t="s">
        <v>1</v>
      </c>
      <c r="G8518" t="s">
        <v>2</v>
      </c>
      <c r="H8518" t="s">
        <v>12420</v>
      </c>
      <c r="Y8518" t="s">
        <v>34249</v>
      </c>
    </row>
    <row r="8519" spans="1:25" x14ac:dyDescent="0.25">
      <c r="A8519" t="str">
        <f>"88266302833"</f>
        <v>88266302833</v>
      </c>
      <c r="B8519" t="s">
        <v>1573</v>
      </c>
      <c r="C8519" t="s">
        <v>34253</v>
      </c>
      <c r="D8519" t="s">
        <v>34250</v>
      </c>
      <c r="E8519">
        <v>424019</v>
      </c>
      <c r="F8519" t="s">
        <v>1</v>
      </c>
      <c r="G8519" t="s">
        <v>2</v>
      </c>
      <c r="H8519" t="s">
        <v>19290</v>
      </c>
      <c r="J8519" t="s">
        <v>34251</v>
      </c>
      <c r="L8519" t="s">
        <v>34252</v>
      </c>
      <c r="P8519" t="s">
        <v>280</v>
      </c>
      <c r="Y8519" t="s">
        <v>19298</v>
      </c>
    </row>
    <row r="8520" spans="1:25" x14ac:dyDescent="0.25">
      <c r="A8520" t="str">
        <f>"88291381523"</f>
        <v>88291381523</v>
      </c>
      <c r="B8520" t="s">
        <v>371</v>
      </c>
      <c r="C8520" t="s">
        <v>372</v>
      </c>
      <c r="D8520" t="s">
        <v>34254</v>
      </c>
      <c r="E8520">
        <v>424004</v>
      </c>
      <c r="F8520" t="s">
        <v>1</v>
      </c>
      <c r="G8520" t="s">
        <v>2</v>
      </c>
      <c r="H8520" t="s">
        <v>8326</v>
      </c>
      <c r="I8520" t="s">
        <v>34255</v>
      </c>
      <c r="P8520" t="s">
        <v>27</v>
      </c>
      <c r="Y8520" t="s">
        <v>8331</v>
      </c>
    </row>
    <row r="8521" spans="1:25" x14ac:dyDescent="0.25">
      <c r="A8521" t="str">
        <f>"88316951504"</f>
        <v>88316951504</v>
      </c>
      <c r="B8521" t="s">
        <v>930</v>
      </c>
      <c r="C8521" t="s">
        <v>13865</v>
      </c>
      <c r="D8521" t="s">
        <v>23105</v>
      </c>
      <c r="E8521">
        <v>424039</v>
      </c>
      <c r="F8521" t="s">
        <v>1</v>
      </c>
      <c r="G8521" t="s">
        <v>2</v>
      </c>
      <c r="H8521" t="s">
        <v>34256</v>
      </c>
      <c r="J8521" t="s">
        <v>34257</v>
      </c>
      <c r="P8521" t="s">
        <v>3938</v>
      </c>
      <c r="Y8521" t="s">
        <v>34258</v>
      </c>
    </row>
    <row r="8522" spans="1:25" x14ac:dyDescent="0.25">
      <c r="A8522" t="str">
        <f>"88350915787"</f>
        <v>88350915787</v>
      </c>
      <c r="B8522" t="s">
        <v>930</v>
      </c>
      <c r="C8522" t="s">
        <v>34264</v>
      </c>
      <c r="D8522" t="s">
        <v>34259</v>
      </c>
      <c r="E8522">
        <v>424028</v>
      </c>
      <c r="F8522" t="s">
        <v>1</v>
      </c>
      <c r="G8522" t="s">
        <v>2</v>
      </c>
      <c r="H8522" t="s">
        <v>10741</v>
      </c>
      <c r="I8522" t="s">
        <v>34260</v>
      </c>
      <c r="J8522" t="s">
        <v>34261</v>
      </c>
      <c r="L8522" t="s">
        <v>34262</v>
      </c>
      <c r="M8522" t="s">
        <v>34263</v>
      </c>
      <c r="P8522" t="s">
        <v>2406</v>
      </c>
      <c r="Q8522" t="s">
        <v>34265</v>
      </c>
      <c r="T8522" t="s">
        <v>34266</v>
      </c>
      <c r="V8522" t="s">
        <v>34267</v>
      </c>
      <c r="Y8522" t="s">
        <v>34268</v>
      </c>
    </row>
    <row r="8523" spans="1:25" x14ac:dyDescent="0.25">
      <c r="A8523" t="str">
        <f>"88377170407"</f>
        <v>88377170407</v>
      </c>
      <c r="B8523" t="s">
        <v>25</v>
      </c>
      <c r="C8523" t="s">
        <v>20320</v>
      </c>
      <c r="D8523" t="s">
        <v>34269</v>
      </c>
      <c r="E8523">
        <v>424003</v>
      </c>
      <c r="F8523" t="s">
        <v>1</v>
      </c>
      <c r="G8523" t="s">
        <v>2</v>
      </c>
      <c r="H8523" t="s">
        <v>19413</v>
      </c>
      <c r="Y8523" t="s">
        <v>34270</v>
      </c>
    </row>
    <row r="8524" spans="1:25" x14ac:dyDescent="0.25">
      <c r="A8524" t="str">
        <f>"88461743820"</f>
        <v>88461743820</v>
      </c>
      <c r="B8524" t="s">
        <v>1611</v>
      </c>
      <c r="C8524" t="s">
        <v>34274</v>
      </c>
      <c r="D8524" t="s">
        <v>34271</v>
      </c>
      <c r="E8524">
        <v>424033</v>
      </c>
      <c r="F8524" t="s">
        <v>1</v>
      </c>
      <c r="G8524" t="s">
        <v>2</v>
      </c>
      <c r="H8524" t="s">
        <v>2995</v>
      </c>
      <c r="I8524" t="s">
        <v>34272</v>
      </c>
      <c r="M8524" t="s">
        <v>34273</v>
      </c>
      <c r="P8524" t="s">
        <v>34275</v>
      </c>
      <c r="Y8524" t="s">
        <v>34276</v>
      </c>
    </row>
    <row r="8525" spans="1:25" x14ac:dyDescent="0.25">
      <c r="A8525" t="str">
        <f>"88478724566"</f>
        <v>88478724566</v>
      </c>
      <c r="B8525" t="s">
        <v>25</v>
      </c>
      <c r="C8525" t="s">
        <v>24938</v>
      </c>
      <c r="D8525" t="s">
        <v>34277</v>
      </c>
      <c r="E8525">
        <v>424031</v>
      </c>
      <c r="F8525" t="s">
        <v>1</v>
      </c>
      <c r="G8525" t="s">
        <v>2</v>
      </c>
      <c r="H8525" t="s">
        <v>25620</v>
      </c>
      <c r="I8525" t="s">
        <v>28955</v>
      </c>
      <c r="L8525" t="s">
        <v>28956</v>
      </c>
      <c r="M8525" t="s">
        <v>28957</v>
      </c>
      <c r="P8525" t="s">
        <v>152</v>
      </c>
      <c r="Y8525" t="s">
        <v>34278</v>
      </c>
    </row>
    <row r="8526" spans="1:25" x14ac:dyDescent="0.25">
      <c r="A8526" t="str">
        <f>"88514216860"</f>
        <v>88514216860</v>
      </c>
      <c r="B8526" t="s">
        <v>888</v>
      </c>
      <c r="C8526" t="s">
        <v>34282</v>
      </c>
      <c r="D8526" t="s">
        <v>34279</v>
      </c>
      <c r="E8526">
        <v>424000</v>
      </c>
      <c r="F8526" t="s">
        <v>1</v>
      </c>
      <c r="G8526" t="s">
        <v>2</v>
      </c>
      <c r="H8526" t="s">
        <v>4726</v>
      </c>
      <c r="J8526" t="s">
        <v>34280</v>
      </c>
      <c r="M8526" t="s">
        <v>34281</v>
      </c>
      <c r="P8526" t="s">
        <v>2738</v>
      </c>
      <c r="V8526" t="s">
        <v>34283</v>
      </c>
      <c r="Y8526" t="s">
        <v>4728</v>
      </c>
    </row>
    <row r="8527" spans="1:25" x14ac:dyDescent="0.25">
      <c r="A8527" t="str">
        <f>"88546332719"</f>
        <v>88546332719</v>
      </c>
      <c r="B8527" t="s">
        <v>25</v>
      </c>
      <c r="C8527" t="s">
        <v>20320</v>
      </c>
      <c r="D8527" t="s">
        <v>34284</v>
      </c>
      <c r="E8527">
        <v>424008</v>
      </c>
      <c r="F8527" t="s">
        <v>1</v>
      </c>
      <c r="G8527" t="s">
        <v>2</v>
      </c>
      <c r="H8527" t="s">
        <v>30196</v>
      </c>
      <c r="Y8527" t="s">
        <v>34285</v>
      </c>
    </row>
    <row r="8528" spans="1:25" x14ac:dyDescent="0.25">
      <c r="A8528" t="str">
        <f>"88556583140"</f>
        <v>88556583140</v>
      </c>
      <c r="B8528" t="s">
        <v>930</v>
      </c>
      <c r="C8528" t="s">
        <v>10263</v>
      </c>
      <c r="D8528" t="s">
        <v>34286</v>
      </c>
      <c r="F8528" t="s">
        <v>1</v>
      </c>
      <c r="G8528" t="s">
        <v>2</v>
      </c>
      <c r="H8528" t="s">
        <v>19770</v>
      </c>
      <c r="Y8528" t="s">
        <v>34287</v>
      </c>
    </row>
    <row r="8529" spans="1:25" x14ac:dyDescent="0.25">
      <c r="A8529" t="str">
        <f>"88563227526"</f>
        <v>88563227526</v>
      </c>
      <c r="B8529" t="s">
        <v>574</v>
      </c>
      <c r="C8529" t="s">
        <v>646</v>
      </c>
      <c r="D8529" t="s">
        <v>34288</v>
      </c>
      <c r="E8529">
        <v>424006</v>
      </c>
      <c r="F8529" t="s">
        <v>1</v>
      </c>
      <c r="G8529" t="s">
        <v>2</v>
      </c>
      <c r="H8529" t="s">
        <v>3736</v>
      </c>
      <c r="I8529" t="s">
        <v>34289</v>
      </c>
      <c r="P8529" t="s">
        <v>9840</v>
      </c>
      <c r="Y8529" t="s">
        <v>3739</v>
      </c>
    </row>
    <row r="8530" spans="1:25" x14ac:dyDescent="0.25">
      <c r="A8530" t="str">
        <f>"88580588676"</f>
        <v>88580588676</v>
      </c>
      <c r="B8530" t="s">
        <v>930</v>
      </c>
      <c r="C8530" t="s">
        <v>13865</v>
      </c>
      <c r="D8530" t="s">
        <v>34290</v>
      </c>
      <c r="F8530" t="s">
        <v>1</v>
      </c>
      <c r="G8530" t="s">
        <v>2</v>
      </c>
      <c r="H8530" t="s">
        <v>11761</v>
      </c>
      <c r="I8530" t="s">
        <v>34291</v>
      </c>
      <c r="P8530" t="s">
        <v>799</v>
      </c>
      <c r="Y8530" t="s">
        <v>34292</v>
      </c>
    </row>
    <row r="8531" spans="1:25" x14ac:dyDescent="0.25">
      <c r="A8531" t="str">
        <f>"88598512417"</f>
        <v>88598512417</v>
      </c>
      <c r="B8531" t="s">
        <v>530</v>
      </c>
      <c r="C8531" t="s">
        <v>23950</v>
      </c>
      <c r="D8531" t="s">
        <v>23950</v>
      </c>
      <c r="F8531" t="s">
        <v>1</v>
      </c>
      <c r="G8531" t="s">
        <v>2</v>
      </c>
      <c r="H8531" t="s">
        <v>34293</v>
      </c>
      <c r="Y8531" t="s">
        <v>34294</v>
      </c>
    </row>
    <row r="8532" spans="1:25" x14ac:dyDescent="0.25">
      <c r="A8532" t="str">
        <f>"88633788587"</f>
        <v>88633788587</v>
      </c>
      <c r="B8532" t="s">
        <v>2104</v>
      </c>
      <c r="C8532" t="s">
        <v>2105</v>
      </c>
      <c r="D8532" t="s">
        <v>34295</v>
      </c>
      <c r="E8532">
        <v>424033</v>
      </c>
      <c r="F8532" t="s">
        <v>1</v>
      </c>
      <c r="G8532" t="s">
        <v>2</v>
      </c>
      <c r="H8532" t="s">
        <v>4536</v>
      </c>
      <c r="J8532" t="s">
        <v>34296</v>
      </c>
      <c r="P8532" t="s">
        <v>32939</v>
      </c>
      <c r="Y8532" t="s">
        <v>34297</v>
      </c>
    </row>
    <row r="8533" spans="1:25" x14ac:dyDescent="0.25">
      <c r="A8533" t="str">
        <f>"88696044047"</f>
        <v>88696044047</v>
      </c>
      <c r="B8533" t="s">
        <v>117</v>
      </c>
      <c r="C8533" t="s">
        <v>118</v>
      </c>
      <c r="D8533" t="s">
        <v>34298</v>
      </c>
      <c r="F8533" t="s">
        <v>1</v>
      </c>
      <c r="G8533" t="s">
        <v>2</v>
      </c>
      <c r="H8533" t="s">
        <v>7547</v>
      </c>
      <c r="Y8533" t="s">
        <v>34299</v>
      </c>
    </row>
    <row r="8534" spans="1:25" x14ac:dyDescent="0.25">
      <c r="A8534" t="str">
        <f>"88722264354"</f>
        <v>88722264354</v>
      </c>
      <c r="B8534" t="s">
        <v>930</v>
      </c>
      <c r="C8534" t="s">
        <v>13865</v>
      </c>
      <c r="D8534" t="s">
        <v>34300</v>
      </c>
      <c r="E8534">
        <v>424007</v>
      </c>
      <c r="F8534" t="s">
        <v>1</v>
      </c>
      <c r="G8534" t="s">
        <v>2</v>
      </c>
      <c r="H8534" t="s">
        <v>23896</v>
      </c>
      <c r="I8534" t="s">
        <v>34301</v>
      </c>
      <c r="J8534" t="s">
        <v>34302</v>
      </c>
      <c r="P8534" t="s">
        <v>34</v>
      </c>
      <c r="Y8534" t="s">
        <v>34303</v>
      </c>
    </row>
    <row r="8535" spans="1:25" x14ac:dyDescent="0.25">
      <c r="A8535" t="str">
        <f>"88748103894"</f>
        <v>88748103894</v>
      </c>
      <c r="B8535" t="s">
        <v>1222</v>
      </c>
      <c r="C8535" t="s">
        <v>2114</v>
      </c>
      <c r="D8535" t="s">
        <v>34304</v>
      </c>
      <c r="E8535">
        <v>424006</v>
      </c>
      <c r="F8535" t="s">
        <v>1</v>
      </c>
      <c r="G8535" t="s">
        <v>2</v>
      </c>
      <c r="H8535" t="s">
        <v>2012</v>
      </c>
      <c r="J8535" t="s">
        <v>34305</v>
      </c>
      <c r="P8535" t="s">
        <v>1027</v>
      </c>
      <c r="Y8535" t="s">
        <v>2016</v>
      </c>
    </row>
    <row r="8536" spans="1:25" x14ac:dyDescent="0.25">
      <c r="A8536" t="str">
        <f>"88831874436"</f>
        <v>88831874436</v>
      </c>
      <c r="B8536" t="s">
        <v>574</v>
      </c>
      <c r="C8536" t="s">
        <v>646</v>
      </c>
      <c r="D8536" t="s">
        <v>4221</v>
      </c>
      <c r="E8536">
        <v>424040</v>
      </c>
      <c r="F8536" t="s">
        <v>1</v>
      </c>
      <c r="G8536" t="s">
        <v>2</v>
      </c>
      <c r="H8536" t="s">
        <v>25612</v>
      </c>
      <c r="Y8536" t="s">
        <v>34306</v>
      </c>
    </row>
    <row r="8537" spans="1:25" x14ac:dyDescent="0.25">
      <c r="A8537" t="str">
        <f>"88855777547"</f>
        <v>88855777547</v>
      </c>
      <c r="B8537" t="s">
        <v>1343</v>
      </c>
      <c r="C8537" t="s">
        <v>1344</v>
      </c>
      <c r="D8537" t="s">
        <v>34307</v>
      </c>
      <c r="E8537">
        <v>424019</v>
      </c>
      <c r="F8537" t="s">
        <v>1</v>
      </c>
      <c r="G8537" t="s">
        <v>2</v>
      </c>
      <c r="H8537" t="s">
        <v>7785</v>
      </c>
      <c r="P8537" t="s">
        <v>98</v>
      </c>
      <c r="Y8537" t="s">
        <v>34308</v>
      </c>
    </row>
    <row r="8538" spans="1:25" x14ac:dyDescent="0.25">
      <c r="A8538" t="str">
        <f>"88896235183"</f>
        <v>88896235183</v>
      </c>
      <c r="B8538" t="s">
        <v>1544</v>
      </c>
      <c r="C8538" t="s">
        <v>7974</v>
      </c>
      <c r="D8538" t="s">
        <v>28272</v>
      </c>
      <c r="E8538">
        <v>424028</v>
      </c>
      <c r="F8538" t="s">
        <v>1</v>
      </c>
      <c r="G8538" t="s">
        <v>2</v>
      </c>
      <c r="H8538" t="s">
        <v>3628</v>
      </c>
      <c r="Y8538" t="s">
        <v>6934</v>
      </c>
    </row>
    <row r="8539" spans="1:25" x14ac:dyDescent="0.25">
      <c r="A8539" t="str">
        <f>"88958384795"</f>
        <v>88958384795</v>
      </c>
      <c r="B8539" t="s">
        <v>462</v>
      </c>
      <c r="C8539" t="s">
        <v>4752</v>
      </c>
      <c r="D8539" t="s">
        <v>34309</v>
      </c>
      <c r="E8539">
        <v>424033</v>
      </c>
      <c r="F8539" t="s">
        <v>1</v>
      </c>
      <c r="G8539" t="s">
        <v>2</v>
      </c>
      <c r="H8539" t="s">
        <v>16703</v>
      </c>
      <c r="L8539" t="s">
        <v>34310</v>
      </c>
      <c r="M8539" t="s">
        <v>34311</v>
      </c>
      <c r="Y8539" t="s">
        <v>16705</v>
      </c>
    </row>
    <row r="8540" spans="1:25" x14ac:dyDescent="0.25">
      <c r="A8540" t="str">
        <f>"88962225821"</f>
        <v>88962225821</v>
      </c>
      <c r="B8540" t="s">
        <v>640</v>
      </c>
      <c r="C8540" t="s">
        <v>663</v>
      </c>
      <c r="D8540" t="s">
        <v>9628</v>
      </c>
      <c r="E8540">
        <v>424033</v>
      </c>
      <c r="F8540" t="s">
        <v>1</v>
      </c>
      <c r="G8540" t="s">
        <v>2</v>
      </c>
      <c r="H8540" t="s">
        <v>22045</v>
      </c>
      <c r="Y8540" t="s">
        <v>34312</v>
      </c>
    </row>
    <row r="8541" spans="1:25" x14ac:dyDescent="0.25">
      <c r="A8541" t="str">
        <f>"89009530074"</f>
        <v>89009530074</v>
      </c>
      <c r="B8541" t="s">
        <v>591</v>
      </c>
      <c r="C8541" t="s">
        <v>1904</v>
      </c>
      <c r="D8541" t="s">
        <v>24854</v>
      </c>
      <c r="E8541">
        <v>424038</v>
      </c>
      <c r="F8541" t="s">
        <v>1</v>
      </c>
      <c r="G8541" t="s">
        <v>2</v>
      </c>
      <c r="H8541" t="s">
        <v>546</v>
      </c>
      <c r="I8541" t="s">
        <v>3279</v>
      </c>
      <c r="L8541" t="s">
        <v>3280</v>
      </c>
      <c r="M8541" t="s">
        <v>3281</v>
      </c>
      <c r="P8541" t="s">
        <v>216</v>
      </c>
      <c r="Y8541" t="s">
        <v>549</v>
      </c>
    </row>
    <row r="8542" spans="1:25" x14ac:dyDescent="0.25">
      <c r="A8542" t="str">
        <f>"89052395537"</f>
        <v>89052395537</v>
      </c>
      <c r="B8542" t="s">
        <v>530</v>
      </c>
      <c r="C8542" t="s">
        <v>23950</v>
      </c>
      <c r="D8542" t="s">
        <v>23950</v>
      </c>
      <c r="E8542">
        <v>424039</v>
      </c>
      <c r="F8542" t="s">
        <v>1</v>
      </c>
      <c r="G8542" t="s">
        <v>2</v>
      </c>
      <c r="H8542" t="s">
        <v>34313</v>
      </c>
      <c r="Y8542" t="s">
        <v>34314</v>
      </c>
    </row>
    <row r="8543" spans="1:25" x14ac:dyDescent="0.25">
      <c r="A8543" t="str">
        <f>"89060725655"</f>
        <v>89060725655</v>
      </c>
      <c r="B8543" t="s">
        <v>18</v>
      </c>
      <c r="C8543" t="s">
        <v>13796</v>
      </c>
      <c r="D8543" t="s">
        <v>34315</v>
      </c>
      <c r="E8543">
        <v>424006</v>
      </c>
      <c r="F8543" t="s">
        <v>1</v>
      </c>
      <c r="G8543" t="s">
        <v>2</v>
      </c>
      <c r="H8543" t="s">
        <v>4628</v>
      </c>
      <c r="I8543" t="s">
        <v>34316</v>
      </c>
      <c r="J8543" t="s">
        <v>34317</v>
      </c>
      <c r="L8543" t="s">
        <v>34318</v>
      </c>
      <c r="P8543" t="s">
        <v>2438</v>
      </c>
      <c r="Q8543" t="s">
        <v>34319</v>
      </c>
      <c r="U8543" t="s">
        <v>34320</v>
      </c>
      <c r="V8543" t="s">
        <v>34321</v>
      </c>
      <c r="Y8543" t="s">
        <v>34322</v>
      </c>
    </row>
    <row r="8544" spans="1:25" x14ac:dyDescent="0.25">
      <c r="A8544" t="str">
        <f>"89150434010"</f>
        <v>89150434010</v>
      </c>
      <c r="B8544" t="s">
        <v>1152</v>
      </c>
      <c r="C8544" t="s">
        <v>1153</v>
      </c>
      <c r="D8544" t="s">
        <v>10280</v>
      </c>
      <c r="E8544">
        <v>424003</v>
      </c>
      <c r="F8544" t="s">
        <v>1</v>
      </c>
      <c r="G8544" t="s">
        <v>2</v>
      </c>
      <c r="H8544" t="s">
        <v>44</v>
      </c>
      <c r="I8544" t="s">
        <v>22092</v>
      </c>
      <c r="M8544" t="s">
        <v>10284</v>
      </c>
      <c r="Q8544" t="s">
        <v>10286</v>
      </c>
      <c r="R8544" t="s">
        <v>10287</v>
      </c>
      <c r="S8544" t="s">
        <v>10288</v>
      </c>
      <c r="T8544" t="s">
        <v>10289</v>
      </c>
      <c r="U8544" t="s">
        <v>10290</v>
      </c>
      <c r="V8544" t="s">
        <v>10291</v>
      </c>
      <c r="Y8544" t="s">
        <v>34323</v>
      </c>
    </row>
    <row r="8545" spans="1:25" x14ac:dyDescent="0.25">
      <c r="A8545" t="str">
        <f>"89180368008"</f>
        <v>89180368008</v>
      </c>
      <c r="B8545" t="s">
        <v>32</v>
      </c>
      <c r="C8545" t="s">
        <v>34326</v>
      </c>
      <c r="D8545" t="s">
        <v>34324</v>
      </c>
      <c r="E8545">
        <v>424003</v>
      </c>
      <c r="F8545" t="s">
        <v>1</v>
      </c>
      <c r="G8545" t="s">
        <v>2</v>
      </c>
      <c r="H8545" t="s">
        <v>3647</v>
      </c>
      <c r="J8545" t="s">
        <v>34325</v>
      </c>
      <c r="P8545" t="s">
        <v>410</v>
      </c>
      <c r="Q8545" t="s">
        <v>34327</v>
      </c>
      <c r="Y8545" t="s">
        <v>34328</v>
      </c>
    </row>
    <row r="8546" spans="1:25" x14ac:dyDescent="0.25">
      <c r="A8546" t="str">
        <f>"89180957598"</f>
        <v>89180957598</v>
      </c>
      <c r="B8546" t="s">
        <v>1222</v>
      </c>
      <c r="C8546" t="s">
        <v>2114</v>
      </c>
      <c r="D8546" t="s">
        <v>34329</v>
      </c>
      <c r="E8546">
        <v>424004</v>
      </c>
      <c r="F8546" t="s">
        <v>1</v>
      </c>
      <c r="G8546" t="s">
        <v>2</v>
      </c>
      <c r="H8546" t="s">
        <v>351</v>
      </c>
      <c r="J8546" t="s">
        <v>34330</v>
      </c>
      <c r="P8546" t="s">
        <v>330</v>
      </c>
      <c r="Y8546" t="s">
        <v>354</v>
      </c>
    </row>
    <row r="8547" spans="1:25" x14ac:dyDescent="0.25">
      <c r="A8547" t="str">
        <f>"89211136373"</f>
        <v>89211136373</v>
      </c>
      <c r="B8547" t="s">
        <v>738</v>
      </c>
      <c r="C8547" t="s">
        <v>34332</v>
      </c>
      <c r="D8547" t="s">
        <v>34331</v>
      </c>
      <c r="E8547">
        <v>424002</v>
      </c>
      <c r="F8547" t="s">
        <v>1</v>
      </c>
      <c r="G8547" t="s">
        <v>2</v>
      </c>
      <c r="H8547" t="s">
        <v>16252</v>
      </c>
      <c r="Y8547" t="s">
        <v>16254</v>
      </c>
    </row>
    <row r="8548" spans="1:25" x14ac:dyDescent="0.25">
      <c r="A8548" t="str">
        <f>"89214148776"</f>
        <v>89214148776</v>
      </c>
      <c r="B8548" t="s">
        <v>2846</v>
      </c>
      <c r="C8548" t="s">
        <v>5305</v>
      </c>
      <c r="D8548" t="s">
        <v>34333</v>
      </c>
      <c r="E8548">
        <v>424007</v>
      </c>
      <c r="F8548" t="s">
        <v>1</v>
      </c>
      <c r="G8548" t="s">
        <v>2</v>
      </c>
      <c r="H8548" t="s">
        <v>3243</v>
      </c>
      <c r="J8548" t="s">
        <v>34334</v>
      </c>
      <c r="P8548" t="s">
        <v>689</v>
      </c>
      <c r="Y8548" t="s">
        <v>3249</v>
      </c>
    </row>
    <row r="8549" spans="1:25" x14ac:dyDescent="0.25">
      <c r="A8549" t="str">
        <f>"89231423142"</f>
        <v>89231423142</v>
      </c>
      <c r="B8549" t="s">
        <v>654</v>
      </c>
      <c r="C8549" t="s">
        <v>4033</v>
      </c>
      <c r="D8549" t="s">
        <v>34335</v>
      </c>
      <c r="F8549" t="s">
        <v>1</v>
      </c>
      <c r="G8549" t="s">
        <v>2</v>
      </c>
      <c r="H8549" t="s">
        <v>27894</v>
      </c>
      <c r="I8549" t="s">
        <v>34336</v>
      </c>
      <c r="J8549" t="s">
        <v>34337</v>
      </c>
      <c r="L8549" t="s">
        <v>34338</v>
      </c>
      <c r="M8549" t="s">
        <v>34339</v>
      </c>
      <c r="P8549" t="s">
        <v>260</v>
      </c>
      <c r="V8549" t="s">
        <v>34340</v>
      </c>
      <c r="Y8549" t="s">
        <v>34341</v>
      </c>
    </row>
    <row r="8550" spans="1:25" x14ac:dyDescent="0.25">
      <c r="A8550" t="str">
        <f>"89233155370"</f>
        <v>89233155370</v>
      </c>
      <c r="B8550" t="s">
        <v>80</v>
      </c>
      <c r="C8550" t="s">
        <v>3295</v>
      </c>
      <c r="D8550" t="s">
        <v>34342</v>
      </c>
      <c r="E8550">
        <v>424002</v>
      </c>
      <c r="F8550" t="s">
        <v>1</v>
      </c>
      <c r="G8550" t="s">
        <v>2</v>
      </c>
      <c r="H8550" t="s">
        <v>6916</v>
      </c>
      <c r="J8550" t="s">
        <v>34343</v>
      </c>
      <c r="P8550" t="s">
        <v>34344</v>
      </c>
      <c r="Y8550" t="s">
        <v>6918</v>
      </c>
    </row>
    <row r="8551" spans="1:25" x14ac:dyDescent="0.25">
      <c r="A8551" t="str">
        <f>"89234934754"</f>
        <v>89234934754</v>
      </c>
      <c r="B8551" t="s">
        <v>96</v>
      </c>
      <c r="C8551" t="s">
        <v>893</v>
      </c>
      <c r="D8551" t="s">
        <v>34345</v>
      </c>
      <c r="E8551">
        <v>424004</v>
      </c>
      <c r="F8551" t="s">
        <v>1</v>
      </c>
      <c r="G8551" t="s">
        <v>2</v>
      </c>
      <c r="H8551" t="s">
        <v>351</v>
      </c>
      <c r="V8551" t="s">
        <v>34346</v>
      </c>
      <c r="Y8551" t="s">
        <v>354</v>
      </c>
    </row>
    <row r="8552" spans="1:25" x14ac:dyDescent="0.25">
      <c r="A8552" t="str">
        <f>"89371022147"</f>
        <v>89371022147</v>
      </c>
      <c r="B8552" t="s">
        <v>1152</v>
      </c>
      <c r="C8552" t="s">
        <v>18252</v>
      </c>
      <c r="D8552" t="s">
        <v>34347</v>
      </c>
      <c r="F8552" t="s">
        <v>1</v>
      </c>
      <c r="G8552" t="s">
        <v>2</v>
      </c>
      <c r="H8552" t="s">
        <v>34348</v>
      </c>
      <c r="I8552" t="s">
        <v>34349</v>
      </c>
      <c r="J8552" t="s">
        <v>34350</v>
      </c>
      <c r="K8552" t="s">
        <v>34351</v>
      </c>
      <c r="L8552" t="s">
        <v>34352</v>
      </c>
      <c r="P8552" t="s">
        <v>390</v>
      </c>
      <c r="Y8552" t="s">
        <v>34353</v>
      </c>
    </row>
    <row r="8553" spans="1:25" x14ac:dyDescent="0.25">
      <c r="A8553" t="str">
        <f>"89374019549"</f>
        <v>89374019549</v>
      </c>
      <c r="B8553" t="s">
        <v>1573</v>
      </c>
      <c r="C8553" t="s">
        <v>1753</v>
      </c>
      <c r="D8553" t="s">
        <v>1753</v>
      </c>
      <c r="E8553">
        <v>424039</v>
      </c>
      <c r="F8553" t="s">
        <v>1</v>
      </c>
      <c r="G8553" t="s">
        <v>2</v>
      </c>
      <c r="H8553" t="s">
        <v>17375</v>
      </c>
      <c r="Y8553" t="s">
        <v>34354</v>
      </c>
    </row>
    <row r="8554" spans="1:25" x14ac:dyDescent="0.25">
      <c r="A8554" t="str">
        <f>"89397121611"</f>
        <v>89397121611</v>
      </c>
      <c r="B8554" t="s">
        <v>430</v>
      </c>
      <c r="C8554" t="s">
        <v>34358</v>
      </c>
      <c r="D8554" t="s">
        <v>34355</v>
      </c>
      <c r="E8554">
        <v>424031</v>
      </c>
      <c r="F8554" t="s">
        <v>1</v>
      </c>
      <c r="G8554" t="s">
        <v>2</v>
      </c>
      <c r="H8554" t="s">
        <v>7470</v>
      </c>
      <c r="I8554" t="s">
        <v>34356</v>
      </c>
      <c r="J8554" t="s">
        <v>34357</v>
      </c>
      <c r="P8554" t="s">
        <v>2050</v>
      </c>
      <c r="Y8554" t="s">
        <v>20571</v>
      </c>
    </row>
    <row r="8555" spans="1:25" x14ac:dyDescent="0.25">
      <c r="A8555" t="str">
        <f>"89402608220"</f>
        <v>89402608220</v>
      </c>
      <c r="B8555" t="s">
        <v>1152</v>
      </c>
      <c r="C8555" t="s">
        <v>4682</v>
      </c>
      <c r="D8555" t="s">
        <v>34359</v>
      </c>
      <c r="E8555">
        <v>424006</v>
      </c>
      <c r="F8555" t="s">
        <v>1</v>
      </c>
      <c r="G8555" t="s">
        <v>2</v>
      </c>
      <c r="H8555" t="s">
        <v>4880</v>
      </c>
      <c r="Y8555" t="s">
        <v>4885</v>
      </c>
    </row>
    <row r="8556" spans="1:25" x14ac:dyDescent="0.25">
      <c r="A8556" t="str">
        <f>"89438823295"</f>
        <v>89438823295</v>
      </c>
      <c r="B8556" t="s">
        <v>290</v>
      </c>
      <c r="C8556" t="s">
        <v>11603</v>
      </c>
      <c r="D8556" t="s">
        <v>24570</v>
      </c>
      <c r="E8556">
        <v>424019</v>
      </c>
      <c r="F8556" t="s">
        <v>1</v>
      </c>
      <c r="G8556" t="s">
        <v>2</v>
      </c>
      <c r="H8556" t="s">
        <v>34360</v>
      </c>
      <c r="J8556" t="s">
        <v>24572</v>
      </c>
      <c r="P8556" t="s">
        <v>1027</v>
      </c>
      <c r="Y8556" t="s">
        <v>34361</v>
      </c>
    </row>
    <row r="8557" spans="1:25" x14ac:dyDescent="0.25">
      <c r="A8557" t="str">
        <f>"89443211364"</f>
        <v>89443211364</v>
      </c>
      <c r="B8557" t="s">
        <v>408</v>
      </c>
      <c r="C8557" t="s">
        <v>25792</v>
      </c>
      <c r="D8557" t="s">
        <v>25790</v>
      </c>
      <c r="E8557">
        <v>424039</v>
      </c>
      <c r="F8557" t="s">
        <v>1</v>
      </c>
      <c r="G8557" t="s">
        <v>2</v>
      </c>
      <c r="H8557" t="s">
        <v>2729</v>
      </c>
      <c r="Y8557" t="s">
        <v>34362</v>
      </c>
    </row>
    <row r="8558" spans="1:25" x14ac:dyDescent="0.25">
      <c r="A8558" t="str">
        <f>"89456585245"</f>
        <v>89456585245</v>
      </c>
      <c r="B8558" t="s">
        <v>3544</v>
      </c>
      <c r="C8558" t="s">
        <v>11303</v>
      </c>
      <c r="D8558" t="s">
        <v>34363</v>
      </c>
      <c r="E8558">
        <v>424003</v>
      </c>
      <c r="F8558" t="s">
        <v>1</v>
      </c>
      <c r="G8558" t="s">
        <v>2</v>
      </c>
      <c r="H8558" t="s">
        <v>34364</v>
      </c>
      <c r="I8558" t="s">
        <v>34365</v>
      </c>
      <c r="L8558" t="s">
        <v>34366</v>
      </c>
      <c r="M8558" t="s">
        <v>34367</v>
      </c>
      <c r="P8558" t="s">
        <v>689</v>
      </c>
      <c r="Y8558" t="s">
        <v>34368</v>
      </c>
    </row>
    <row r="8559" spans="1:25" x14ac:dyDescent="0.25">
      <c r="A8559" t="str">
        <f>"89593744504"</f>
        <v>89593744504</v>
      </c>
      <c r="B8559" t="s">
        <v>96</v>
      </c>
      <c r="C8559" t="s">
        <v>24042</v>
      </c>
      <c r="D8559" t="s">
        <v>24042</v>
      </c>
      <c r="E8559">
        <v>424007</v>
      </c>
      <c r="F8559" t="s">
        <v>1</v>
      </c>
      <c r="G8559" t="s">
        <v>2</v>
      </c>
      <c r="H8559" t="s">
        <v>34369</v>
      </c>
      <c r="Y8559" t="s">
        <v>34370</v>
      </c>
    </row>
    <row r="8560" spans="1:25" x14ac:dyDescent="0.25">
      <c r="A8560" t="str">
        <f>"89606524320"</f>
        <v>89606524320</v>
      </c>
      <c r="B8560" t="s">
        <v>110</v>
      </c>
      <c r="C8560" t="s">
        <v>22522</v>
      </c>
      <c r="D8560" t="s">
        <v>34371</v>
      </c>
      <c r="E8560">
        <v>424038</v>
      </c>
      <c r="F8560" t="s">
        <v>1</v>
      </c>
      <c r="G8560" t="s">
        <v>2</v>
      </c>
      <c r="H8560" t="s">
        <v>30196</v>
      </c>
      <c r="I8560" t="s">
        <v>34372</v>
      </c>
      <c r="L8560" t="s">
        <v>34373</v>
      </c>
      <c r="M8560" t="s">
        <v>34374</v>
      </c>
      <c r="P8560" t="s">
        <v>330</v>
      </c>
      <c r="Y8560" t="s">
        <v>30205</v>
      </c>
    </row>
    <row r="8561" spans="1:25" x14ac:dyDescent="0.25">
      <c r="A8561" t="str">
        <f>"89658522152"</f>
        <v>89658522152</v>
      </c>
      <c r="B8561" t="s">
        <v>117</v>
      </c>
      <c r="C8561" t="s">
        <v>26692</v>
      </c>
      <c r="D8561" t="s">
        <v>26690</v>
      </c>
      <c r="E8561">
        <v>424020</v>
      </c>
      <c r="F8561" t="s">
        <v>1</v>
      </c>
      <c r="G8561" t="s">
        <v>2</v>
      </c>
      <c r="H8561" t="s">
        <v>34375</v>
      </c>
      <c r="Y8561" t="s">
        <v>34376</v>
      </c>
    </row>
    <row r="8562" spans="1:25" x14ac:dyDescent="0.25">
      <c r="A8562" t="str">
        <f>"89667000750"</f>
        <v>89667000750</v>
      </c>
      <c r="B8562" t="s">
        <v>96</v>
      </c>
      <c r="C8562" t="s">
        <v>19281</v>
      </c>
      <c r="D8562" t="s">
        <v>31831</v>
      </c>
      <c r="F8562" t="s">
        <v>1</v>
      </c>
      <c r="G8562" t="s">
        <v>2</v>
      </c>
      <c r="H8562" t="s">
        <v>21408</v>
      </c>
      <c r="Y8562" t="s">
        <v>34377</v>
      </c>
    </row>
    <row r="8563" spans="1:25" x14ac:dyDescent="0.25">
      <c r="A8563" t="str">
        <f>"89738609820"</f>
        <v>89738609820</v>
      </c>
      <c r="B8563" t="s">
        <v>738</v>
      </c>
      <c r="C8563" t="s">
        <v>739</v>
      </c>
      <c r="D8563" t="s">
        <v>2578</v>
      </c>
      <c r="E8563">
        <v>424007</v>
      </c>
      <c r="F8563" t="s">
        <v>1</v>
      </c>
      <c r="G8563" t="s">
        <v>2</v>
      </c>
      <c r="H8563" t="s">
        <v>33258</v>
      </c>
      <c r="Y8563" t="s">
        <v>34378</v>
      </c>
    </row>
    <row r="8564" spans="1:25" x14ac:dyDescent="0.25">
      <c r="A8564" t="str">
        <f>"89767104908"</f>
        <v>89767104908</v>
      </c>
      <c r="B8564" t="s">
        <v>1046</v>
      </c>
      <c r="C8564" t="s">
        <v>27404</v>
      </c>
      <c r="D8564" t="s">
        <v>34379</v>
      </c>
      <c r="E8564">
        <v>424002</v>
      </c>
      <c r="F8564" t="s">
        <v>1</v>
      </c>
      <c r="G8564" t="s">
        <v>2</v>
      </c>
      <c r="H8564" t="s">
        <v>18295</v>
      </c>
      <c r="P8564" t="s">
        <v>30329</v>
      </c>
      <c r="Y8564" t="s">
        <v>34380</v>
      </c>
    </row>
    <row r="8565" spans="1:25" x14ac:dyDescent="0.25">
      <c r="A8565" t="str">
        <f>"89780843344"</f>
        <v>89780843344</v>
      </c>
      <c r="B8565" t="s">
        <v>624</v>
      </c>
      <c r="C8565" t="s">
        <v>1637</v>
      </c>
      <c r="D8565" t="s">
        <v>34381</v>
      </c>
      <c r="E8565">
        <v>424031</v>
      </c>
      <c r="F8565" t="s">
        <v>1</v>
      </c>
      <c r="G8565" t="s">
        <v>2</v>
      </c>
      <c r="H8565" t="s">
        <v>239</v>
      </c>
      <c r="I8565" t="s">
        <v>34382</v>
      </c>
      <c r="K8565" t="s">
        <v>34383</v>
      </c>
      <c r="P8565" t="s">
        <v>987</v>
      </c>
      <c r="Y8565" t="s">
        <v>246</v>
      </c>
    </row>
    <row r="8566" spans="1:25" x14ac:dyDescent="0.25">
      <c r="A8566" t="str">
        <f>"89813179360"</f>
        <v>89813179360</v>
      </c>
      <c r="B8566" t="s">
        <v>574</v>
      </c>
      <c r="C8566" t="s">
        <v>9802</v>
      </c>
      <c r="D8566" t="s">
        <v>3057</v>
      </c>
      <c r="E8566">
        <v>424037</v>
      </c>
      <c r="F8566" t="s">
        <v>1</v>
      </c>
      <c r="G8566" t="s">
        <v>2</v>
      </c>
      <c r="H8566" t="s">
        <v>31633</v>
      </c>
      <c r="P8566" t="s">
        <v>216</v>
      </c>
      <c r="Y8566" t="s">
        <v>34384</v>
      </c>
    </row>
    <row r="8567" spans="1:25" x14ac:dyDescent="0.25">
      <c r="A8567" t="str">
        <f>"89845422884"</f>
        <v>89845422884</v>
      </c>
      <c r="B8567" t="s">
        <v>930</v>
      </c>
      <c r="C8567" t="s">
        <v>927</v>
      </c>
      <c r="D8567" t="s">
        <v>927</v>
      </c>
      <c r="E8567">
        <v>424007</v>
      </c>
      <c r="F8567" t="s">
        <v>1</v>
      </c>
      <c r="G8567" t="s">
        <v>2</v>
      </c>
      <c r="H8567" t="s">
        <v>34385</v>
      </c>
      <c r="Y8567" t="s">
        <v>34386</v>
      </c>
    </row>
    <row r="8568" spans="1:25" x14ac:dyDescent="0.25">
      <c r="A8568" t="str">
        <f>"89878159257"</f>
        <v>89878159257</v>
      </c>
      <c r="B8568" t="s">
        <v>151</v>
      </c>
      <c r="C8568" t="s">
        <v>2522</v>
      </c>
      <c r="D8568" t="s">
        <v>34387</v>
      </c>
      <c r="E8568">
        <v>424033</v>
      </c>
      <c r="F8568" t="s">
        <v>1</v>
      </c>
      <c r="G8568" t="s">
        <v>2</v>
      </c>
      <c r="H8568" t="s">
        <v>6875</v>
      </c>
      <c r="I8568" t="s">
        <v>34388</v>
      </c>
      <c r="P8568" t="s">
        <v>869</v>
      </c>
      <c r="Y8568" t="s">
        <v>6881</v>
      </c>
    </row>
    <row r="8569" spans="1:25" x14ac:dyDescent="0.25">
      <c r="A8569" t="str">
        <f>"89888061066"</f>
        <v>89888061066</v>
      </c>
      <c r="B8569" t="s">
        <v>930</v>
      </c>
      <c r="C8569" t="s">
        <v>1096</v>
      </c>
      <c r="D8569" t="s">
        <v>34389</v>
      </c>
      <c r="F8569" t="s">
        <v>1</v>
      </c>
      <c r="G8569" t="s">
        <v>2</v>
      </c>
      <c r="H8569" t="s">
        <v>8989</v>
      </c>
      <c r="Y8569" t="s">
        <v>34390</v>
      </c>
    </row>
    <row r="8570" spans="1:25" x14ac:dyDescent="0.25">
      <c r="A8570" t="str">
        <f>"89892550568"</f>
        <v>89892550568</v>
      </c>
      <c r="B8570" t="s">
        <v>687</v>
      </c>
      <c r="C8570" t="s">
        <v>34392</v>
      </c>
      <c r="D8570" t="s">
        <v>34391</v>
      </c>
      <c r="E8570">
        <v>424020</v>
      </c>
      <c r="F8570" t="s">
        <v>1</v>
      </c>
      <c r="G8570" t="s">
        <v>2</v>
      </c>
      <c r="H8570" t="s">
        <v>1837</v>
      </c>
      <c r="Y8570" t="s">
        <v>34393</v>
      </c>
    </row>
    <row r="8571" spans="1:25" x14ac:dyDescent="0.25">
      <c r="A8571" t="str">
        <f>"89909479804"</f>
        <v>89909479804</v>
      </c>
      <c r="B8571" t="s">
        <v>456</v>
      </c>
      <c r="C8571" t="s">
        <v>34398</v>
      </c>
      <c r="D8571" t="s">
        <v>34394</v>
      </c>
      <c r="E8571">
        <v>424038</v>
      </c>
      <c r="F8571" t="s">
        <v>1</v>
      </c>
      <c r="G8571" t="s">
        <v>2</v>
      </c>
      <c r="H8571" t="s">
        <v>546</v>
      </c>
      <c r="J8571" t="s">
        <v>34395</v>
      </c>
      <c r="L8571" t="s">
        <v>34396</v>
      </c>
      <c r="M8571" t="s">
        <v>34397</v>
      </c>
      <c r="P8571" t="s">
        <v>34399</v>
      </c>
      <c r="Q8571" t="s">
        <v>34400</v>
      </c>
      <c r="V8571" t="s">
        <v>34401</v>
      </c>
      <c r="Y8571" t="s">
        <v>549</v>
      </c>
    </row>
    <row r="8572" spans="1:25" x14ac:dyDescent="0.25">
      <c r="A8572" t="str">
        <f>"89935213870"</f>
        <v>89935213870</v>
      </c>
      <c r="B8572" t="s">
        <v>1078</v>
      </c>
      <c r="C8572" t="s">
        <v>3181</v>
      </c>
      <c r="D8572" t="s">
        <v>34402</v>
      </c>
      <c r="E8572">
        <v>424033</v>
      </c>
      <c r="F8572" t="s">
        <v>1</v>
      </c>
      <c r="G8572" t="s">
        <v>2</v>
      </c>
      <c r="H8572" t="s">
        <v>4225</v>
      </c>
      <c r="P8572" t="s">
        <v>27</v>
      </c>
      <c r="Y8572" t="s">
        <v>34403</v>
      </c>
    </row>
    <row r="8573" spans="1:25" x14ac:dyDescent="0.25">
      <c r="A8573" t="str">
        <f>"89941516406"</f>
        <v>89941516406</v>
      </c>
      <c r="B8573" t="s">
        <v>96</v>
      </c>
      <c r="C8573" t="s">
        <v>34408</v>
      </c>
      <c r="D8573" t="s">
        <v>34404</v>
      </c>
      <c r="E8573">
        <v>424006</v>
      </c>
      <c r="F8573" t="s">
        <v>1</v>
      </c>
      <c r="G8573" t="s">
        <v>2</v>
      </c>
      <c r="H8573" t="s">
        <v>8482</v>
      </c>
      <c r="J8573" t="s">
        <v>34405</v>
      </c>
      <c r="L8573" t="s">
        <v>34406</v>
      </c>
      <c r="M8573" t="s">
        <v>34407</v>
      </c>
      <c r="P8573" t="s">
        <v>312</v>
      </c>
      <c r="Q8573" t="s">
        <v>34409</v>
      </c>
      <c r="V8573" t="s">
        <v>34410</v>
      </c>
      <c r="Y8573" t="s">
        <v>8488</v>
      </c>
    </row>
    <row r="8574" spans="1:25" x14ac:dyDescent="0.25">
      <c r="A8574" t="str">
        <f>"89965353751"</f>
        <v>89965353751</v>
      </c>
      <c r="B8574" t="s">
        <v>624</v>
      </c>
      <c r="C8574" t="s">
        <v>34412</v>
      </c>
      <c r="D8574" t="s">
        <v>34411</v>
      </c>
      <c r="E8574">
        <v>424006</v>
      </c>
      <c r="F8574" t="s">
        <v>1</v>
      </c>
      <c r="G8574" t="s">
        <v>2</v>
      </c>
      <c r="H8574" t="s">
        <v>21713</v>
      </c>
      <c r="Y8574" t="s">
        <v>21715</v>
      </c>
    </row>
    <row r="8575" spans="1:25" x14ac:dyDescent="0.25">
      <c r="A8575" t="str">
        <f>"89983763129"</f>
        <v>89983763129</v>
      </c>
      <c r="B8575" t="s">
        <v>352</v>
      </c>
      <c r="C8575" t="s">
        <v>34416</v>
      </c>
      <c r="D8575" t="s">
        <v>34413</v>
      </c>
      <c r="E8575">
        <v>424003</v>
      </c>
      <c r="F8575" t="s">
        <v>1</v>
      </c>
      <c r="G8575" t="s">
        <v>2</v>
      </c>
      <c r="H8575" t="s">
        <v>1031</v>
      </c>
      <c r="L8575" t="s">
        <v>34414</v>
      </c>
      <c r="M8575" t="s">
        <v>34415</v>
      </c>
      <c r="P8575" t="s">
        <v>799</v>
      </c>
      <c r="Q8575" t="s">
        <v>34417</v>
      </c>
      <c r="Y8575" t="s">
        <v>30598</v>
      </c>
    </row>
    <row r="8576" spans="1:25" x14ac:dyDescent="0.25">
      <c r="A8576" t="str">
        <f>"89984455957"</f>
        <v>89984455957</v>
      </c>
      <c r="B8576" t="s">
        <v>1078</v>
      </c>
      <c r="C8576" t="s">
        <v>6962</v>
      </c>
      <c r="D8576" t="s">
        <v>34418</v>
      </c>
      <c r="E8576">
        <v>424007</v>
      </c>
      <c r="F8576" t="s">
        <v>1</v>
      </c>
      <c r="G8576" t="s">
        <v>2</v>
      </c>
      <c r="H8576" t="s">
        <v>14570</v>
      </c>
      <c r="J8576" t="s">
        <v>34419</v>
      </c>
      <c r="P8576" t="s">
        <v>280</v>
      </c>
      <c r="Q8576" t="s">
        <v>34420</v>
      </c>
      <c r="V8576" t="s">
        <v>34421</v>
      </c>
      <c r="Y8576" t="s">
        <v>14573</v>
      </c>
    </row>
    <row r="8577" spans="1:25" x14ac:dyDescent="0.25">
      <c r="A8577" t="str">
        <f>"90011615706"</f>
        <v>90011615706</v>
      </c>
      <c r="B8577" t="s">
        <v>18</v>
      </c>
      <c r="C8577" t="s">
        <v>959</v>
      </c>
      <c r="D8577" t="s">
        <v>34422</v>
      </c>
      <c r="E8577">
        <v>424028</v>
      </c>
      <c r="F8577" t="s">
        <v>1</v>
      </c>
      <c r="G8577" t="s">
        <v>2</v>
      </c>
      <c r="H8577" t="s">
        <v>1260</v>
      </c>
      <c r="Y8577" t="s">
        <v>1264</v>
      </c>
    </row>
    <row r="8578" spans="1:25" x14ac:dyDescent="0.25">
      <c r="A8578" t="str">
        <f>"90018380811"</f>
        <v>90018380811</v>
      </c>
      <c r="B8578" t="s">
        <v>1475</v>
      </c>
      <c r="C8578" t="s">
        <v>1476</v>
      </c>
      <c r="D8578" t="s">
        <v>2111</v>
      </c>
      <c r="E8578">
        <v>424020</v>
      </c>
      <c r="F8578" t="s">
        <v>1</v>
      </c>
      <c r="G8578" t="s">
        <v>2</v>
      </c>
      <c r="H8578" t="s">
        <v>8643</v>
      </c>
      <c r="I8578" t="s">
        <v>34423</v>
      </c>
      <c r="P8578" t="s">
        <v>1027</v>
      </c>
      <c r="Y8578" t="s">
        <v>34424</v>
      </c>
    </row>
    <row r="8579" spans="1:25" x14ac:dyDescent="0.25">
      <c r="A8579" t="str">
        <f>"90022434085"</f>
        <v>90022434085</v>
      </c>
      <c r="B8579" t="s">
        <v>96</v>
      </c>
      <c r="C8579" t="s">
        <v>659</v>
      </c>
      <c r="D8579" t="s">
        <v>34425</v>
      </c>
      <c r="E8579">
        <v>424000</v>
      </c>
      <c r="F8579" t="s">
        <v>1</v>
      </c>
      <c r="G8579" t="s">
        <v>2</v>
      </c>
      <c r="H8579" t="s">
        <v>10803</v>
      </c>
      <c r="J8579" t="s">
        <v>34426</v>
      </c>
      <c r="P8579" t="s">
        <v>13021</v>
      </c>
      <c r="Y8579" t="s">
        <v>34427</v>
      </c>
    </row>
    <row r="8580" spans="1:25" x14ac:dyDescent="0.25">
      <c r="A8580" t="str">
        <f>"90028417991"</f>
        <v>90028417991</v>
      </c>
      <c r="B8580" t="s">
        <v>352</v>
      </c>
      <c r="C8580" t="s">
        <v>353</v>
      </c>
      <c r="D8580" t="s">
        <v>34428</v>
      </c>
      <c r="E8580">
        <v>424004</v>
      </c>
      <c r="F8580" t="s">
        <v>1</v>
      </c>
      <c r="G8580" t="s">
        <v>2</v>
      </c>
      <c r="H8580" t="s">
        <v>351</v>
      </c>
      <c r="J8580" t="s">
        <v>34429</v>
      </c>
      <c r="P8580" t="s">
        <v>987</v>
      </c>
      <c r="Y8580" t="s">
        <v>354</v>
      </c>
    </row>
    <row r="8581" spans="1:25" x14ac:dyDescent="0.25">
      <c r="A8581" t="str">
        <f>"90042364883"</f>
        <v>90042364883</v>
      </c>
      <c r="B8581" t="s">
        <v>930</v>
      </c>
      <c r="C8581" t="s">
        <v>927</v>
      </c>
      <c r="D8581" t="s">
        <v>927</v>
      </c>
      <c r="F8581" t="s">
        <v>1</v>
      </c>
      <c r="G8581" t="s">
        <v>2</v>
      </c>
      <c r="H8581" t="s">
        <v>25338</v>
      </c>
      <c r="Y8581" t="s">
        <v>34430</v>
      </c>
    </row>
    <row r="8582" spans="1:25" x14ac:dyDescent="0.25">
      <c r="A8582" t="str">
        <f>"90091517892"</f>
        <v>90091517892</v>
      </c>
      <c r="B8582" t="s">
        <v>4084</v>
      </c>
      <c r="C8582" t="s">
        <v>7951</v>
      </c>
      <c r="D8582" t="s">
        <v>34431</v>
      </c>
      <c r="E8582">
        <v>424007</v>
      </c>
      <c r="F8582" t="s">
        <v>1</v>
      </c>
      <c r="G8582" t="s">
        <v>2</v>
      </c>
      <c r="H8582" t="s">
        <v>30559</v>
      </c>
      <c r="M8582" t="s">
        <v>34432</v>
      </c>
      <c r="Y8582" t="s">
        <v>32195</v>
      </c>
    </row>
    <row r="8583" spans="1:25" x14ac:dyDescent="0.25">
      <c r="A8583" t="str">
        <f>"90100011972"</f>
        <v>90100011972</v>
      </c>
      <c r="B8583" t="s">
        <v>1061</v>
      </c>
      <c r="C8583" t="s">
        <v>26953</v>
      </c>
      <c r="D8583" t="s">
        <v>34433</v>
      </c>
      <c r="F8583" t="s">
        <v>1</v>
      </c>
      <c r="G8583" t="s">
        <v>2</v>
      </c>
      <c r="H8583" t="s">
        <v>34434</v>
      </c>
      <c r="Y8583" t="s">
        <v>34435</v>
      </c>
    </row>
    <row r="8584" spans="1:25" x14ac:dyDescent="0.25">
      <c r="A8584" t="str">
        <f>"90156691603"</f>
        <v>90156691603</v>
      </c>
      <c r="B8584" t="s">
        <v>482</v>
      </c>
      <c r="C8584" t="s">
        <v>6009</v>
      </c>
      <c r="D8584" t="s">
        <v>34436</v>
      </c>
      <c r="E8584">
        <v>424003</v>
      </c>
      <c r="F8584" t="s">
        <v>1</v>
      </c>
      <c r="G8584" t="s">
        <v>2</v>
      </c>
      <c r="H8584" t="s">
        <v>19413</v>
      </c>
      <c r="I8584" t="s">
        <v>34437</v>
      </c>
      <c r="L8584" t="s">
        <v>34438</v>
      </c>
      <c r="M8584" t="s">
        <v>34439</v>
      </c>
      <c r="P8584" t="s">
        <v>235</v>
      </c>
      <c r="Q8584" t="s">
        <v>34440</v>
      </c>
      <c r="Y8584" t="s">
        <v>34441</v>
      </c>
    </row>
    <row r="8585" spans="1:25" x14ac:dyDescent="0.25">
      <c r="A8585" t="str">
        <f>"90158581881"</f>
        <v>90158581881</v>
      </c>
      <c r="B8585" t="s">
        <v>1046</v>
      </c>
      <c r="C8585" t="s">
        <v>22946</v>
      </c>
      <c r="D8585" t="s">
        <v>22946</v>
      </c>
      <c r="E8585">
        <v>424020</v>
      </c>
      <c r="F8585" t="s">
        <v>1</v>
      </c>
      <c r="G8585" t="s">
        <v>2</v>
      </c>
      <c r="H8585" t="s">
        <v>8702</v>
      </c>
      <c r="Y8585" t="s">
        <v>34442</v>
      </c>
    </row>
    <row r="8586" spans="1:25" x14ac:dyDescent="0.25">
      <c r="A8586" t="str">
        <f>"90199291238"</f>
        <v>90199291238</v>
      </c>
      <c r="B8586" t="s">
        <v>1617</v>
      </c>
      <c r="C8586" t="s">
        <v>21001</v>
      </c>
      <c r="D8586" t="s">
        <v>20999</v>
      </c>
      <c r="E8586">
        <v>424038</v>
      </c>
      <c r="F8586" t="s">
        <v>1</v>
      </c>
      <c r="G8586" t="s">
        <v>2</v>
      </c>
      <c r="H8586" t="s">
        <v>1366</v>
      </c>
      <c r="P8586" t="s">
        <v>9840</v>
      </c>
      <c r="Y8586" t="s">
        <v>34443</v>
      </c>
    </row>
    <row r="8587" spans="1:25" x14ac:dyDescent="0.25">
      <c r="A8587" t="str">
        <f>"90203737274"</f>
        <v>90203737274</v>
      </c>
      <c r="B8587" t="s">
        <v>7</v>
      </c>
      <c r="C8587" t="s">
        <v>14013</v>
      </c>
      <c r="D8587" t="s">
        <v>34444</v>
      </c>
      <c r="E8587">
        <v>424000</v>
      </c>
      <c r="F8587" t="s">
        <v>1</v>
      </c>
      <c r="G8587" t="s">
        <v>2</v>
      </c>
      <c r="H8587" t="s">
        <v>11143</v>
      </c>
      <c r="I8587" t="s">
        <v>34445</v>
      </c>
      <c r="L8587" t="s">
        <v>34446</v>
      </c>
      <c r="M8587" t="s">
        <v>34447</v>
      </c>
      <c r="P8587" t="s">
        <v>9523</v>
      </c>
      <c r="Y8587" t="s">
        <v>34448</v>
      </c>
    </row>
    <row r="8588" spans="1:25" x14ac:dyDescent="0.25">
      <c r="A8588" t="str">
        <f>"90247209257"</f>
        <v>90247209257</v>
      </c>
      <c r="B8588" t="s">
        <v>624</v>
      </c>
      <c r="C8588" t="s">
        <v>34452</v>
      </c>
      <c r="D8588" t="s">
        <v>34449</v>
      </c>
      <c r="E8588">
        <v>424031</v>
      </c>
      <c r="F8588" t="s">
        <v>1</v>
      </c>
      <c r="G8588" t="s">
        <v>2</v>
      </c>
      <c r="H8588" t="s">
        <v>1524</v>
      </c>
      <c r="I8588" t="s">
        <v>34450</v>
      </c>
      <c r="J8588" t="s">
        <v>34451</v>
      </c>
      <c r="P8588" t="s">
        <v>152</v>
      </c>
      <c r="Y8588" t="s">
        <v>12004</v>
      </c>
    </row>
    <row r="8589" spans="1:25" x14ac:dyDescent="0.25">
      <c r="A8589" t="str">
        <f>"90257088461"</f>
        <v>90257088461</v>
      </c>
      <c r="B8589" t="s">
        <v>7312</v>
      </c>
      <c r="C8589" t="s">
        <v>19097</v>
      </c>
      <c r="D8589" t="s">
        <v>5408</v>
      </c>
      <c r="E8589">
        <v>424038</v>
      </c>
      <c r="F8589" t="s">
        <v>1</v>
      </c>
      <c r="G8589" t="s">
        <v>2</v>
      </c>
      <c r="H8589" t="s">
        <v>2614</v>
      </c>
      <c r="Y8589" t="s">
        <v>2617</v>
      </c>
    </row>
    <row r="8590" spans="1:25" x14ac:dyDescent="0.25">
      <c r="A8590" t="str">
        <f>"90261137309"</f>
        <v>90261137309</v>
      </c>
      <c r="B8590" t="s">
        <v>624</v>
      </c>
      <c r="C8590" t="s">
        <v>625</v>
      </c>
      <c r="D8590" t="s">
        <v>21574</v>
      </c>
      <c r="F8590" t="s">
        <v>1</v>
      </c>
      <c r="G8590" t="s">
        <v>2</v>
      </c>
      <c r="H8590" t="s">
        <v>8989</v>
      </c>
      <c r="J8590" t="s">
        <v>34453</v>
      </c>
      <c r="P8590" t="s">
        <v>1071</v>
      </c>
      <c r="Y8590" t="s">
        <v>34454</v>
      </c>
    </row>
    <row r="8591" spans="1:25" x14ac:dyDescent="0.25">
      <c r="A8591" t="str">
        <f>"90267725134"</f>
        <v>90267725134</v>
      </c>
      <c r="B8591" t="s">
        <v>1222</v>
      </c>
      <c r="C8591" t="s">
        <v>1223</v>
      </c>
      <c r="D8591" t="s">
        <v>34455</v>
      </c>
      <c r="E8591">
        <v>424004</v>
      </c>
      <c r="F8591" t="s">
        <v>1</v>
      </c>
      <c r="G8591" t="s">
        <v>2</v>
      </c>
      <c r="H8591" t="s">
        <v>13630</v>
      </c>
      <c r="Y8591" t="s">
        <v>22090</v>
      </c>
    </row>
    <row r="8592" spans="1:25" x14ac:dyDescent="0.25">
      <c r="A8592" t="str">
        <f>"90292986853"</f>
        <v>90292986853</v>
      </c>
      <c r="B8592" t="s">
        <v>1152</v>
      </c>
      <c r="C8592" t="s">
        <v>1153</v>
      </c>
      <c r="D8592" t="s">
        <v>10280</v>
      </c>
      <c r="F8592" t="s">
        <v>1</v>
      </c>
      <c r="G8592" t="s">
        <v>2</v>
      </c>
      <c r="H8592" t="s">
        <v>9571</v>
      </c>
      <c r="I8592" t="s">
        <v>22092</v>
      </c>
      <c r="M8592" t="s">
        <v>10284</v>
      </c>
      <c r="Q8592" t="s">
        <v>10286</v>
      </c>
      <c r="R8592" t="s">
        <v>10287</v>
      </c>
      <c r="S8592" t="s">
        <v>10288</v>
      </c>
      <c r="T8592" t="s">
        <v>10289</v>
      </c>
      <c r="U8592" t="s">
        <v>10290</v>
      </c>
      <c r="V8592" t="s">
        <v>10291</v>
      </c>
      <c r="Y8592" t="s">
        <v>34456</v>
      </c>
    </row>
    <row r="8593" spans="1:25" x14ac:dyDescent="0.25">
      <c r="A8593" t="str">
        <f>"90341838875"</f>
        <v>90341838875</v>
      </c>
      <c r="B8593" t="s">
        <v>574</v>
      </c>
      <c r="C8593" t="s">
        <v>952</v>
      </c>
      <c r="D8593" t="s">
        <v>15267</v>
      </c>
      <c r="F8593" t="s">
        <v>1</v>
      </c>
      <c r="G8593" t="s">
        <v>2</v>
      </c>
      <c r="H8593" t="s">
        <v>16696</v>
      </c>
      <c r="I8593" t="s">
        <v>34457</v>
      </c>
      <c r="L8593" t="s">
        <v>34458</v>
      </c>
      <c r="M8593" t="s">
        <v>34459</v>
      </c>
      <c r="P8593" t="s">
        <v>2738</v>
      </c>
      <c r="Y8593" t="s">
        <v>34460</v>
      </c>
    </row>
    <row r="8594" spans="1:25" x14ac:dyDescent="0.25">
      <c r="A8594" t="str">
        <f>"90345603958"</f>
        <v>90345603958</v>
      </c>
      <c r="B8594" t="s">
        <v>1702</v>
      </c>
      <c r="C8594" t="s">
        <v>1703</v>
      </c>
      <c r="D8594" t="s">
        <v>34461</v>
      </c>
      <c r="E8594">
        <v>424037</v>
      </c>
      <c r="F8594" t="s">
        <v>1</v>
      </c>
      <c r="G8594" t="s">
        <v>2</v>
      </c>
      <c r="H8594" t="s">
        <v>3278</v>
      </c>
      <c r="Y8594" t="s">
        <v>34462</v>
      </c>
    </row>
    <row r="8595" spans="1:25" x14ac:dyDescent="0.25">
      <c r="A8595" t="str">
        <f>"90347292136"</f>
        <v>90347292136</v>
      </c>
      <c r="B8595" t="s">
        <v>397</v>
      </c>
      <c r="C8595" t="s">
        <v>34463</v>
      </c>
      <c r="D8595" t="s">
        <v>25385</v>
      </c>
      <c r="E8595">
        <v>424031</v>
      </c>
      <c r="F8595" t="s">
        <v>1</v>
      </c>
      <c r="G8595" t="s">
        <v>2</v>
      </c>
      <c r="H8595" t="s">
        <v>16588</v>
      </c>
      <c r="Y8595" t="s">
        <v>34464</v>
      </c>
    </row>
    <row r="8596" spans="1:25" x14ac:dyDescent="0.25">
      <c r="A8596" t="str">
        <f>"90361575179"</f>
        <v>90361575179</v>
      </c>
      <c r="B8596" t="s">
        <v>319</v>
      </c>
      <c r="C8596" t="s">
        <v>320</v>
      </c>
      <c r="D8596" t="s">
        <v>24129</v>
      </c>
      <c r="E8596">
        <v>424038</v>
      </c>
      <c r="F8596" t="s">
        <v>1</v>
      </c>
      <c r="G8596" t="s">
        <v>2</v>
      </c>
      <c r="H8596" t="s">
        <v>7518</v>
      </c>
      <c r="I8596" t="s">
        <v>24130</v>
      </c>
      <c r="M8596" t="s">
        <v>24131</v>
      </c>
      <c r="P8596" t="s">
        <v>17892</v>
      </c>
      <c r="Y8596" t="s">
        <v>34465</v>
      </c>
    </row>
    <row r="8597" spans="1:25" x14ac:dyDescent="0.25">
      <c r="A8597" t="str">
        <f>"90362161458"</f>
        <v>90362161458</v>
      </c>
      <c r="B8597" t="s">
        <v>703</v>
      </c>
      <c r="C8597" t="s">
        <v>14165</v>
      </c>
      <c r="D8597" t="s">
        <v>34466</v>
      </c>
      <c r="E8597">
        <v>424005</v>
      </c>
      <c r="F8597" t="s">
        <v>1</v>
      </c>
      <c r="G8597" t="s">
        <v>2</v>
      </c>
      <c r="H8597" t="s">
        <v>1359</v>
      </c>
      <c r="I8597" t="s">
        <v>34467</v>
      </c>
      <c r="L8597" t="s">
        <v>34468</v>
      </c>
      <c r="M8597" t="s">
        <v>34469</v>
      </c>
      <c r="P8597" t="s">
        <v>2406</v>
      </c>
      <c r="Q8597" t="s">
        <v>34470</v>
      </c>
      <c r="T8597" t="s">
        <v>34471</v>
      </c>
      <c r="V8597" t="s">
        <v>34472</v>
      </c>
      <c r="Y8597" t="s">
        <v>34473</v>
      </c>
    </row>
    <row r="8598" spans="1:25" x14ac:dyDescent="0.25">
      <c r="A8598" t="str">
        <f>"90393098746"</f>
        <v>90393098746</v>
      </c>
      <c r="B8598" t="s">
        <v>379</v>
      </c>
      <c r="C8598" t="s">
        <v>766</v>
      </c>
      <c r="D8598" t="s">
        <v>21867</v>
      </c>
      <c r="E8598">
        <v>424028</v>
      </c>
      <c r="F8598" t="s">
        <v>1</v>
      </c>
      <c r="G8598" t="s">
        <v>2</v>
      </c>
      <c r="H8598" t="s">
        <v>5034</v>
      </c>
      <c r="L8598" t="s">
        <v>34474</v>
      </c>
      <c r="M8598" t="s">
        <v>21870</v>
      </c>
      <c r="Y8598" t="s">
        <v>34475</v>
      </c>
    </row>
    <row r="8599" spans="1:25" x14ac:dyDescent="0.25">
      <c r="A8599" t="str">
        <f>"90426914866"</f>
        <v>90426914866</v>
      </c>
      <c r="B8599" t="s">
        <v>96</v>
      </c>
      <c r="C8599" t="s">
        <v>22202</v>
      </c>
      <c r="D8599" t="s">
        <v>32178</v>
      </c>
      <c r="E8599">
        <v>424002</v>
      </c>
      <c r="F8599" t="s">
        <v>1</v>
      </c>
      <c r="G8599" t="s">
        <v>2</v>
      </c>
      <c r="H8599" t="s">
        <v>3864</v>
      </c>
      <c r="Y8599" t="s">
        <v>3867</v>
      </c>
    </row>
    <row r="8600" spans="1:25" x14ac:dyDescent="0.25">
      <c r="A8600" t="str">
        <f>"90428322214"</f>
        <v>90428322214</v>
      </c>
      <c r="B8600" t="s">
        <v>654</v>
      </c>
      <c r="C8600" t="s">
        <v>14448</v>
      </c>
      <c r="D8600" t="s">
        <v>34476</v>
      </c>
      <c r="E8600">
        <v>424028</v>
      </c>
      <c r="F8600" t="s">
        <v>1</v>
      </c>
      <c r="G8600" t="s">
        <v>2</v>
      </c>
      <c r="H8600" t="s">
        <v>3628</v>
      </c>
      <c r="Y8600" t="s">
        <v>34477</v>
      </c>
    </row>
    <row r="8601" spans="1:25" x14ac:dyDescent="0.25">
      <c r="A8601" t="str">
        <f>"90438802557"</f>
        <v>90438802557</v>
      </c>
      <c r="B8601" t="s">
        <v>1611</v>
      </c>
      <c r="C8601" t="s">
        <v>34479</v>
      </c>
      <c r="D8601" t="s">
        <v>34478</v>
      </c>
      <c r="E8601">
        <v>424037</v>
      </c>
      <c r="F8601" t="s">
        <v>1</v>
      </c>
      <c r="G8601" t="s">
        <v>2</v>
      </c>
      <c r="H8601" t="s">
        <v>15407</v>
      </c>
      <c r="L8601" t="s">
        <v>16332</v>
      </c>
      <c r="M8601" t="s">
        <v>16333</v>
      </c>
      <c r="Y8601" t="s">
        <v>4724</v>
      </c>
    </row>
    <row r="8602" spans="1:25" x14ac:dyDescent="0.25">
      <c r="A8602" t="str">
        <f>"90464468882"</f>
        <v>90464468882</v>
      </c>
      <c r="B8602" t="s">
        <v>123</v>
      </c>
      <c r="C8602" t="s">
        <v>424</v>
      </c>
      <c r="D8602" t="s">
        <v>34480</v>
      </c>
      <c r="E8602">
        <v>424000</v>
      </c>
      <c r="F8602" t="s">
        <v>1</v>
      </c>
      <c r="G8602" t="s">
        <v>2</v>
      </c>
      <c r="H8602" t="s">
        <v>523</v>
      </c>
      <c r="I8602" t="s">
        <v>34481</v>
      </c>
      <c r="P8602" t="s">
        <v>425</v>
      </c>
      <c r="Y8602" t="s">
        <v>526</v>
      </c>
    </row>
    <row r="8603" spans="1:25" x14ac:dyDescent="0.25">
      <c r="A8603" t="str">
        <f>"90480067085"</f>
        <v>90480067085</v>
      </c>
      <c r="B8603" t="s">
        <v>553</v>
      </c>
      <c r="C8603" t="s">
        <v>12001</v>
      </c>
      <c r="D8603" t="s">
        <v>33318</v>
      </c>
      <c r="E8603">
        <v>424038</v>
      </c>
      <c r="F8603" t="s">
        <v>1</v>
      </c>
      <c r="G8603" t="s">
        <v>2</v>
      </c>
      <c r="H8603" t="s">
        <v>8196</v>
      </c>
      <c r="Y8603" t="s">
        <v>34482</v>
      </c>
    </row>
    <row r="8604" spans="1:25" x14ac:dyDescent="0.25">
      <c r="A8604" t="str">
        <f>"90495125735"</f>
        <v>90495125735</v>
      </c>
      <c r="B8604" t="s">
        <v>530</v>
      </c>
      <c r="C8604" t="s">
        <v>23950</v>
      </c>
      <c r="D8604" t="s">
        <v>23950</v>
      </c>
      <c r="F8604" t="s">
        <v>1</v>
      </c>
      <c r="G8604" t="s">
        <v>2</v>
      </c>
      <c r="H8604" t="s">
        <v>33407</v>
      </c>
      <c r="Y8604" t="s">
        <v>34483</v>
      </c>
    </row>
    <row r="8605" spans="1:25" x14ac:dyDescent="0.25">
      <c r="A8605" t="str">
        <f>"90513967582"</f>
        <v>90513967582</v>
      </c>
      <c r="B8605" t="s">
        <v>430</v>
      </c>
      <c r="C8605" t="s">
        <v>34485</v>
      </c>
      <c r="D8605" t="s">
        <v>34484</v>
      </c>
      <c r="E8605">
        <v>424037</v>
      </c>
      <c r="F8605" t="s">
        <v>1</v>
      </c>
      <c r="G8605" t="s">
        <v>2</v>
      </c>
      <c r="H8605" t="s">
        <v>2680</v>
      </c>
      <c r="P8605" t="s">
        <v>330</v>
      </c>
      <c r="Y8605" t="s">
        <v>34486</v>
      </c>
    </row>
    <row r="8606" spans="1:25" x14ac:dyDescent="0.25">
      <c r="A8606" t="str">
        <f>"90550451781"</f>
        <v>90550451781</v>
      </c>
      <c r="B8606" t="s">
        <v>519</v>
      </c>
      <c r="C8606" t="s">
        <v>23996</v>
      </c>
      <c r="D8606" t="s">
        <v>34487</v>
      </c>
      <c r="E8606">
        <v>424002</v>
      </c>
      <c r="F8606" t="s">
        <v>1</v>
      </c>
      <c r="G8606" t="s">
        <v>2</v>
      </c>
      <c r="H8606" t="s">
        <v>1886</v>
      </c>
      <c r="J8606" t="s">
        <v>34488</v>
      </c>
      <c r="P8606" t="s">
        <v>2438</v>
      </c>
      <c r="Q8606" t="s">
        <v>34489</v>
      </c>
      <c r="Y8606" t="s">
        <v>34490</v>
      </c>
    </row>
    <row r="8607" spans="1:25" x14ac:dyDescent="0.25">
      <c r="A8607" t="str">
        <f>"90557439160"</f>
        <v>90557439160</v>
      </c>
      <c r="B8607" t="s">
        <v>640</v>
      </c>
      <c r="C8607" t="s">
        <v>28140</v>
      </c>
      <c r="D8607" t="s">
        <v>34491</v>
      </c>
      <c r="E8607">
        <v>424032</v>
      </c>
      <c r="F8607" t="s">
        <v>1</v>
      </c>
      <c r="G8607" t="s">
        <v>2</v>
      </c>
      <c r="H8607" t="s">
        <v>9132</v>
      </c>
      <c r="P8607" t="s">
        <v>34492</v>
      </c>
      <c r="Y8607" t="s">
        <v>34493</v>
      </c>
    </row>
    <row r="8608" spans="1:25" x14ac:dyDescent="0.25">
      <c r="A8608" t="str">
        <f>"90570077732"</f>
        <v>90570077732</v>
      </c>
      <c r="B8608" t="s">
        <v>930</v>
      </c>
      <c r="C8608" t="s">
        <v>34498</v>
      </c>
      <c r="D8608" t="s">
        <v>34494</v>
      </c>
      <c r="E8608">
        <v>424007</v>
      </c>
      <c r="F8608" t="s">
        <v>1</v>
      </c>
      <c r="G8608" t="s">
        <v>2</v>
      </c>
      <c r="H8608" t="s">
        <v>10906</v>
      </c>
      <c r="J8608" t="s">
        <v>34495</v>
      </c>
      <c r="L8608" t="s">
        <v>34496</v>
      </c>
      <c r="M8608" t="s">
        <v>34497</v>
      </c>
      <c r="P8608" t="s">
        <v>280</v>
      </c>
      <c r="Q8608" t="s">
        <v>34499</v>
      </c>
      <c r="T8608" t="s">
        <v>34500</v>
      </c>
      <c r="U8608" t="s">
        <v>34501</v>
      </c>
      <c r="V8608" t="s">
        <v>34502</v>
      </c>
      <c r="Y8608" t="s">
        <v>34503</v>
      </c>
    </row>
    <row r="8609" spans="1:25" x14ac:dyDescent="0.25">
      <c r="A8609" t="str">
        <f>"90586606301"</f>
        <v>90586606301</v>
      </c>
      <c r="B8609" t="s">
        <v>96</v>
      </c>
      <c r="C8609" t="s">
        <v>695</v>
      </c>
      <c r="D8609" t="s">
        <v>31437</v>
      </c>
      <c r="E8609">
        <v>424004</v>
      </c>
      <c r="F8609" t="s">
        <v>1</v>
      </c>
      <c r="G8609" t="s">
        <v>2</v>
      </c>
      <c r="H8609" t="s">
        <v>3489</v>
      </c>
      <c r="Y8609" t="s">
        <v>34504</v>
      </c>
    </row>
    <row r="8610" spans="1:25" x14ac:dyDescent="0.25">
      <c r="A8610" t="str">
        <f>"90592964261"</f>
        <v>90592964261</v>
      </c>
      <c r="B8610" t="s">
        <v>18</v>
      </c>
      <c r="C8610" t="s">
        <v>143</v>
      </c>
      <c r="D8610" t="s">
        <v>17212</v>
      </c>
      <c r="E8610">
        <v>424031</v>
      </c>
      <c r="F8610" t="s">
        <v>1</v>
      </c>
      <c r="G8610" t="s">
        <v>2</v>
      </c>
      <c r="H8610" t="s">
        <v>1900</v>
      </c>
      <c r="I8610" t="s">
        <v>34505</v>
      </c>
      <c r="J8610" t="s">
        <v>34506</v>
      </c>
      <c r="M8610" t="s">
        <v>17215</v>
      </c>
      <c r="P8610" t="s">
        <v>4671</v>
      </c>
      <c r="Y8610" t="s">
        <v>1905</v>
      </c>
    </row>
    <row r="8611" spans="1:25" x14ac:dyDescent="0.25">
      <c r="A8611" t="str">
        <f>"90613197345"</f>
        <v>90613197345</v>
      </c>
      <c r="B8611" t="s">
        <v>176</v>
      </c>
      <c r="C8611" t="s">
        <v>566</v>
      </c>
      <c r="D8611" t="s">
        <v>34507</v>
      </c>
      <c r="E8611">
        <v>424037</v>
      </c>
      <c r="F8611" t="s">
        <v>1</v>
      </c>
      <c r="G8611" t="s">
        <v>2</v>
      </c>
      <c r="H8611" t="s">
        <v>30</v>
      </c>
      <c r="Y8611" t="s">
        <v>28613</v>
      </c>
    </row>
    <row r="8612" spans="1:25" x14ac:dyDescent="0.25">
      <c r="A8612" t="str">
        <f>"90639016649"</f>
        <v>90639016649</v>
      </c>
      <c r="B8612" t="s">
        <v>519</v>
      </c>
      <c r="C8612" t="s">
        <v>34512</v>
      </c>
      <c r="D8612" t="s">
        <v>34508</v>
      </c>
      <c r="E8612">
        <v>424019</v>
      </c>
      <c r="F8612" t="s">
        <v>1</v>
      </c>
      <c r="G8612" t="s">
        <v>2</v>
      </c>
      <c r="H8612" t="s">
        <v>25053</v>
      </c>
      <c r="I8612" t="s">
        <v>34509</v>
      </c>
      <c r="L8612" t="s">
        <v>34510</v>
      </c>
      <c r="M8612" t="s">
        <v>34511</v>
      </c>
      <c r="P8612" t="s">
        <v>330</v>
      </c>
      <c r="Y8612" t="s">
        <v>25055</v>
      </c>
    </row>
    <row r="8613" spans="1:25" x14ac:dyDescent="0.25">
      <c r="A8613" t="str">
        <f>"90639131125"</f>
        <v>90639131125</v>
      </c>
      <c r="B8613" t="s">
        <v>96</v>
      </c>
      <c r="C8613" t="s">
        <v>24042</v>
      </c>
      <c r="D8613" t="s">
        <v>34513</v>
      </c>
      <c r="E8613">
        <v>424039</v>
      </c>
      <c r="F8613" t="s">
        <v>1</v>
      </c>
      <c r="G8613" t="s">
        <v>2</v>
      </c>
      <c r="H8613" t="s">
        <v>2729</v>
      </c>
      <c r="Y8613" t="s">
        <v>34514</v>
      </c>
    </row>
    <row r="8614" spans="1:25" x14ac:dyDescent="0.25">
      <c r="A8614" t="str">
        <f>"90648566530"</f>
        <v>90648566530</v>
      </c>
      <c r="B8614" t="s">
        <v>1544</v>
      </c>
      <c r="C8614" t="s">
        <v>3596</v>
      </c>
      <c r="D8614" t="s">
        <v>3596</v>
      </c>
      <c r="E8614">
        <v>424002</v>
      </c>
      <c r="F8614" t="s">
        <v>1</v>
      </c>
      <c r="G8614" t="s">
        <v>2</v>
      </c>
      <c r="H8614" t="s">
        <v>6397</v>
      </c>
      <c r="I8614" t="s">
        <v>18219</v>
      </c>
      <c r="P8614" t="s">
        <v>4543</v>
      </c>
      <c r="Y8614" t="s">
        <v>34515</v>
      </c>
    </row>
    <row r="8615" spans="1:25" x14ac:dyDescent="0.25">
      <c r="A8615" t="str">
        <f>"90663337564"</f>
        <v>90663337564</v>
      </c>
      <c r="B8615" t="s">
        <v>88</v>
      </c>
      <c r="C8615" t="s">
        <v>34520</v>
      </c>
      <c r="D8615" t="s">
        <v>34516</v>
      </c>
      <c r="F8615" t="s">
        <v>1</v>
      </c>
      <c r="G8615" t="s">
        <v>2</v>
      </c>
      <c r="H8615" t="s">
        <v>7547</v>
      </c>
      <c r="J8615" t="s">
        <v>34517</v>
      </c>
      <c r="L8615" t="s">
        <v>34518</v>
      </c>
      <c r="M8615" t="s">
        <v>34519</v>
      </c>
      <c r="P8615" t="s">
        <v>152</v>
      </c>
      <c r="Y8615" t="s">
        <v>34521</v>
      </c>
    </row>
    <row r="8616" spans="1:25" x14ac:dyDescent="0.25">
      <c r="A8616" t="str">
        <f>"90665815793"</f>
        <v>90665815793</v>
      </c>
      <c r="B8616" t="s">
        <v>530</v>
      </c>
      <c r="C8616" t="s">
        <v>23950</v>
      </c>
      <c r="D8616" t="s">
        <v>23950</v>
      </c>
      <c r="E8616">
        <v>424000</v>
      </c>
      <c r="F8616" t="s">
        <v>1</v>
      </c>
      <c r="G8616" t="s">
        <v>2</v>
      </c>
      <c r="H8616" t="s">
        <v>1975</v>
      </c>
      <c r="Y8616" t="s">
        <v>34522</v>
      </c>
    </row>
    <row r="8617" spans="1:25" x14ac:dyDescent="0.25">
      <c r="A8617" t="str">
        <f>"90673061090"</f>
        <v>90673061090</v>
      </c>
      <c r="B8617" t="s">
        <v>25</v>
      </c>
      <c r="C8617" t="s">
        <v>20320</v>
      </c>
      <c r="D8617" t="s">
        <v>34523</v>
      </c>
      <c r="E8617">
        <v>424031</v>
      </c>
      <c r="F8617" t="s">
        <v>1</v>
      </c>
      <c r="G8617" t="s">
        <v>2</v>
      </c>
      <c r="H8617" t="s">
        <v>12438</v>
      </c>
      <c r="Y8617" t="s">
        <v>34524</v>
      </c>
    </row>
    <row r="8618" spans="1:25" x14ac:dyDescent="0.25">
      <c r="A8618" t="str">
        <f>"90684928712"</f>
        <v>90684928712</v>
      </c>
      <c r="B8618" t="s">
        <v>1046</v>
      </c>
      <c r="C8618" t="s">
        <v>22946</v>
      </c>
      <c r="D8618" t="s">
        <v>22946</v>
      </c>
      <c r="E8618">
        <v>424007</v>
      </c>
      <c r="F8618" t="s">
        <v>1</v>
      </c>
      <c r="G8618" t="s">
        <v>2</v>
      </c>
      <c r="H8618" t="s">
        <v>23208</v>
      </c>
      <c r="Y8618" t="s">
        <v>34525</v>
      </c>
    </row>
    <row r="8619" spans="1:25" x14ac:dyDescent="0.25">
      <c r="A8619" t="str">
        <f>"90691571713"</f>
        <v>90691571713</v>
      </c>
      <c r="B8619" t="s">
        <v>96</v>
      </c>
      <c r="C8619" t="s">
        <v>27704</v>
      </c>
      <c r="D8619" t="s">
        <v>27703</v>
      </c>
      <c r="E8619">
        <v>424003</v>
      </c>
      <c r="F8619" t="s">
        <v>1</v>
      </c>
      <c r="G8619" t="s">
        <v>2</v>
      </c>
      <c r="H8619" t="s">
        <v>4546</v>
      </c>
      <c r="P8619" t="s">
        <v>9785</v>
      </c>
      <c r="Y8619" t="s">
        <v>34526</v>
      </c>
    </row>
    <row r="8620" spans="1:25" x14ac:dyDescent="0.25">
      <c r="A8620" t="str">
        <f>"90728197093"</f>
        <v>90728197093</v>
      </c>
      <c r="B8620" t="s">
        <v>1573</v>
      </c>
      <c r="C8620" t="s">
        <v>1817</v>
      </c>
      <c r="D8620" t="s">
        <v>34527</v>
      </c>
      <c r="E8620">
        <v>424020</v>
      </c>
      <c r="F8620" t="s">
        <v>1</v>
      </c>
      <c r="G8620" t="s">
        <v>2</v>
      </c>
      <c r="H8620" t="s">
        <v>802</v>
      </c>
      <c r="P8620" t="s">
        <v>799</v>
      </c>
      <c r="Y8620" t="s">
        <v>34528</v>
      </c>
    </row>
    <row r="8621" spans="1:25" x14ac:dyDescent="0.25">
      <c r="A8621" t="str">
        <f>"90770343481"</f>
        <v>90770343481</v>
      </c>
      <c r="B8621" t="s">
        <v>888</v>
      </c>
      <c r="C8621" t="s">
        <v>4712</v>
      </c>
      <c r="D8621" t="s">
        <v>34529</v>
      </c>
      <c r="E8621">
        <v>424019</v>
      </c>
      <c r="F8621" t="s">
        <v>1</v>
      </c>
      <c r="G8621" t="s">
        <v>2</v>
      </c>
      <c r="H8621" t="s">
        <v>19290</v>
      </c>
      <c r="Y8621" t="s">
        <v>34530</v>
      </c>
    </row>
    <row r="8622" spans="1:25" x14ac:dyDescent="0.25">
      <c r="A8622" t="str">
        <f>"90777614844"</f>
        <v>90777614844</v>
      </c>
      <c r="B8622" t="s">
        <v>2104</v>
      </c>
      <c r="C8622" t="s">
        <v>13387</v>
      </c>
      <c r="D8622" t="s">
        <v>34531</v>
      </c>
      <c r="E8622">
        <v>424032</v>
      </c>
      <c r="F8622" t="s">
        <v>1</v>
      </c>
      <c r="G8622" t="s">
        <v>2</v>
      </c>
      <c r="H8622" t="s">
        <v>34234</v>
      </c>
      <c r="Y8622" t="s">
        <v>34532</v>
      </c>
    </row>
    <row r="8623" spans="1:25" x14ac:dyDescent="0.25">
      <c r="A8623" t="str">
        <f>"90777979358"</f>
        <v>90777979358</v>
      </c>
      <c r="B8623" t="s">
        <v>188</v>
      </c>
      <c r="C8623" t="s">
        <v>8311</v>
      </c>
      <c r="D8623" t="s">
        <v>34533</v>
      </c>
      <c r="E8623">
        <v>424002</v>
      </c>
      <c r="F8623" t="s">
        <v>1</v>
      </c>
      <c r="G8623" t="s">
        <v>2</v>
      </c>
      <c r="H8623" t="s">
        <v>570</v>
      </c>
      <c r="I8623" t="s">
        <v>34534</v>
      </c>
      <c r="L8623" t="s">
        <v>34535</v>
      </c>
      <c r="M8623" t="s">
        <v>34536</v>
      </c>
      <c r="P8623" t="s">
        <v>2406</v>
      </c>
      <c r="Y8623" t="s">
        <v>18782</v>
      </c>
    </row>
    <row r="8624" spans="1:25" x14ac:dyDescent="0.25">
      <c r="A8624" t="str">
        <f>"90845316117"</f>
        <v>90845316117</v>
      </c>
      <c r="B8624" t="s">
        <v>5840</v>
      </c>
      <c r="C8624" t="s">
        <v>5841</v>
      </c>
      <c r="D8624" t="s">
        <v>34537</v>
      </c>
      <c r="E8624">
        <v>424007</v>
      </c>
      <c r="F8624" t="s">
        <v>1</v>
      </c>
      <c r="G8624" t="s">
        <v>2</v>
      </c>
      <c r="H8624" t="s">
        <v>2460</v>
      </c>
      <c r="J8624" t="s">
        <v>34538</v>
      </c>
      <c r="L8624" t="s">
        <v>34539</v>
      </c>
      <c r="M8624" t="s">
        <v>34540</v>
      </c>
      <c r="P8624" t="s">
        <v>3938</v>
      </c>
      <c r="Y8624" t="s">
        <v>34541</v>
      </c>
    </row>
    <row r="8625" spans="1:25" x14ac:dyDescent="0.25">
      <c r="A8625" t="str">
        <f>"90850998203"</f>
        <v>90850998203</v>
      </c>
      <c r="B8625" t="s">
        <v>1391</v>
      </c>
      <c r="C8625" t="s">
        <v>2935</v>
      </c>
      <c r="D8625" t="s">
        <v>34542</v>
      </c>
      <c r="E8625">
        <v>424031</v>
      </c>
      <c r="F8625" t="s">
        <v>1</v>
      </c>
      <c r="G8625" t="s">
        <v>2</v>
      </c>
      <c r="H8625" t="s">
        <v>29568</v>
      </c>
      <c r="I8625" t="s">
        <v>34543</v>
      </c>
      <c r="L8625" t="s">
        <v>34544</v>
      </c>
      <c r="P8625" t="s">
        <v>7390</v>
      </c>
      <c r="Y8625" t="s">
        <v>34545</v>
      </c>
    </row>
    <row r="8626" spans="1:25" x14ac:dyDescent="0.25">
      <c r="A8626" t="str">
        <f>"90861097095"</f>
        <v>90861097095</v>
      </c>
      <c r="B8626" t="s">
        <v>117</v>
      </c>
      <c r="C8626" t="s">
        <v>118</v>
      </c>
      <c r="D8626" t="s">
        <v>34546</v>
      </c>
      <c r="F8626" t="s">
        <v>1</v>
      </c>
      <c r="G8626" t="s">
        <v>2</v>
      </c>
      <c r="H8626" t="s">
        <v>34547</v>
      </c>
      <c r="I8626" t="s">
        <v>34548</v>
      </c>
      <c r="Y8626" t="s">
        <v>34549</v>
      </c>
    </row>
    <row r="8627" spans="1:25" x14ac:dyDescent="0.25">
      <c r="A8627" t="str">
        <f>"90865594626"</f>
        <v>90865594626</v>
      </c>
      <c r="B8627" t="s">
        <v>151</v>
      </c>
      <c r="C8627" t="s">
        <v>34554</v>
      </c>
      <c r="D8627" t="s">
        <v>34550</v>
      </c>
      <c r="E8627">
        <v>424006</v>
      </c>
      <c r="F8627" t="s">
        <v>1</v>
      </c>
      <c r="G8627" t="s">
        <v>2</v>
      </c>
      <c r="H8627" t="s">
        <v>751</v>
      </c>
      <c r="I8627" t="s">
        <v>34551</v>
      </c>
      <c r="L8627" t="s">
        <v>34552</v>
      </c>
      <c r="M8627" t="s">
        <v>34553</v>
      </c>
      <c r="P8627" t="s">
        <v>27</v>
      </c>
      <c r="Q8627" t="s">
        <v>34555</v>
      </c>
      <c r="V8627" t="s">
        <v>34556</v>
      </c>
      <c r="Y8627" t="s">
        <v>755</v>
      </c>
    </row>
    <row r="8628" spans="1:25" x14ac:dyDescent="0.25">
      <c r="A8628" t="str">
        <f>"90897606954"</f>
        <v>90897606954</v>
      </c>
      <c r="B8628" t="s">
        <v>430</v>
      </c>
      <c r="C8628" t="s">
        <v>612</v>
      </c>
      <c r="D8628" t="s">
        <v>34557</v>
      </c>
      <c r="E8628">
        <v>424031</v>
      </c>
      <c r="F8628" t="s">
        <v>1</v>
      </c>
      <c r="G8628" t="s">
        <v>2</v>
      </c>
      <c r="H8628" t="s">
        <v>413</v>
      </c>
      <c r="J8628" t="s">
        <v>34558</v>
      </c>
      <c r="Y8628" t="s">
        <v>33928</v>
      </c>
    </row>
    <row r="8629" spans="1:25" x14ac:dyDescent="0.25">
      <c r="A8629" t="str">
        <f>"90925653894"</f>
        <v>90925653894</v>
      </c>
      <c r="B8629" t="s">
        <v>1611</v>
      </c>
      <c r="C8629" t="s">
        <v>2214</v>
      </c>
      <c r="D8629" t="s">
        <v>34559</v>
      </c>
      <c r="F8629" t="s">
        <v>1</v>
      </c>
      <c r="G8629" t="s">
        <v>2</v>
      </c>
      <c r="H8629" t="s">
        <v>5721</v>
      </c>
      <c r="I8629" t="s">
        <v>34560</v>
      </c>
      <c r="M8629" t="s">
        <v>34561</v>
      </c>
      <c r="P8629" t="s">
        <v>34562</v>
      </c>
      <c r="Y8629" t="s">
        <v>5724</v>
      </c>
    </row>
    <row r="8630" spans="1:25" x14ac:dyDescent="0.25">
      <c r="A8630" t="str">
        <f>"90941018454"</f>
        <v>90941018454</v>
      </c>
      <c r="B8630" t="s">
        <v>530</v>
      </c>
      <c r="C8630" t="s">
        <v>23950</v>
      </c>
      <c r="D8630" t="s">
        <v>23950</v>
      </c>
      <c r="F8630" t="s">
        <v>1</v>
      </c>
      <c r="G8630" t="s">
        <v>2</v>
      </c>
      <c r="H8630" t="s">
        <v>34563</v>
      </c>
      <c r="Y8630" t="s">
        <v>34564</v>
      </c>
    </row>
    <row r="8631" spans="1:25" x14ac:dyDescent="0.25">
      <c r="A8631" t="str">
        <f>"90973119708"</f>
        <v>90973119708</v>
      </c>
      <c r="B8631" t="s">
        <v>379</v>
      </c>
      <c r="C8631" t="s">
        <v>34570</v>
      </c>
      <c r="D8631" t="s">
        <v>34565</v>
      </c>
      <c r="E8631">
        <v>424006</v>
      </c>
      <c r="F8631" t="s">
        <v>1</v>
      </c>
      <c r="G8631" t="s">
        <v>2</v>
      </c>
      <c r="H8631" t="s">
        <v>1923</v>
      </c>
      <c r="I8631" t="s">
        <v>34566</v>
      </c>
      <c r="J8631" t="s">
        <v>34567</v>
      </c>
      <c r="L8631" t="s">
        <v>34568</v>
      </c>
      <c r="M8631" t="s">
        <v>34569</v>
      </c>
      <c r="P8631" t="s">
        <v>27</v>
      </c>
      <c r="Q8631" t="s">
        <v>34571</v>
      </c>
      <c r="T8631" t="s">
        <v>34572</v>
      </c>
      <c r="U8631" t="s">
        <v>34573</v>
      </c>
      <c r="Y8631" t="s">
        <v>34574</v>
      </c>
    </row>
    <row r="8632" spans="1:25" x14ac:dyDescent="0.25">
      <c r="A8632" t="str">
        <f>"90980429338"</f>
        <v>90980429338</v>
      </c>
      <c r="B8632" t="s">
        <v>530</v>
      </c>
      <c r="C8632" t="s">
        <v>23950</v>
      </c>
      <c r="D8632" t="s">
        <v>23950</v>
      </c>
      <c r="F8632" t="s">
        <v>1</v>
      </c>
      <c r="G8632" t="s">
        <v>2</v>
      </c>
      <c r="H8632" t="s">
        <v>34575</v>
      </c>
      <c r="Y8632" t="s">
        <v>34576</v>
      </c>
    </row>
    <row r="8633" spans="1:25" x14ac:dyDescent="0.25">
      <c r="A8633" t="str">
        <f>"91044793485"</f>
        <v>91044793485</v>
      </c>
      <c r="B8633" t="s">
        <v>1475</v>
      </c>
      <c r="C8633" t="s">
        <v>4005</v>
      </c>
      <c r="D8633" t="s">
        <v>7821</v>
      </c>
      <c r="E8633">
        <v>424033</v>
      </c>
      <c r="F8633" t="s">
        <v>1</v>
      </c>
      <c r="G8633" t="s">
        <v>2</v>
      </c>
      <c r="H8633" t="s">
        <v>10720</v>
      </c>
      <c r="I8633" t="s">
        <v>7823</v>
      </c>
      <c r="L8633" t="s">
        <v>11301</v>
      </c>
      <c r="M8633" t="s">
        <v>11302</v>
      </c>
      <c r="P8633" t="s">
        <v>9776</v>
      </c>
      <c r="Y8633" t="s">
        <v>34577</v>
      </c>
    </row>
    <row r="8634" spans="1:25" x14ac:dyDescent="0.25">
      <c r="A8634" t="str">
        <f>"91057909816"</f>
        <v>91057909816</v>
      </c>
      <c r="B8634" t="s">
        <v>530</v>
      </c>
      <c r="C8634" t="s">
        <v>5046</v>
      </c>
      <c r="D8634" t="s">
        <v>34578</v>
      </c>
      <c r="F8634" t="s">
        <v>1</v>
      </c>
      <c r="G8634" t="s">
        <v>2</v>
      </c>
      <c r="H8634" t="s">
        <v>34579</v>
      </c>
      <c r="Y8634" t="s">
        <v>34580</v>
      </c>
    </row>
    <row r="8635" spans="1:25" x14ac:dyDescent="0.25">
      <c r="A8635" t="str">
        <f>"91065809739"</f>
        <v>91065809739</v>
      </c>
      <c r="B8635" t="s">
        <v>188</v>
      </c>
      <c r="C8635" t="s">
        <v>23982</v>
      </c>
      <c r="D8635" t="s">
        <v>23982</v>
      </c>
      <c r="E8635">
        <v>424000</v>
      </c>
      <c r="F8635" t="s">
        <v>1</v>
      </c>
      <c r="G8635" t="s">
        <v>2</v>
      </c>
      <c r="H8635" t="s">
        <v>34581</v>
      </c>
      <c r="Y8635" t="s">
        <v>34582</v>
      </c>
    </row>
    <row r="8636" spans="1:25" x14ac:dyDescent="0.25">
      <c r="A8636" t="str">
        <f>"91079176068"</f>
        <v>91079176068</v>
      </c>
      <c r="B8636" t="s">
        <v>160</v>
      </c>
      <c r="C8636" t="s">
        <v>1666</v>
      </c>
      <c r="D8636" t="s">
        <v>34583</v>
      </c>
      <c r="E8636">
        <v>424007</v>
      </c>
      <c r="F8636" t="s">
        <v>1</v>
      </c>
      <c r="G8636" t="s">
        <v>2</v>
      </c>
      <c r="H8636" t="s">
        <v>20115</v>
      </c>
      <c r="I8636" t="s">
        <v>34584</v>
      </c>
      <c r="P8636" t="s">
        <v>20</v>
      </c>
      <c r="Y8636" t="s">
        <v>20116</v>
      </c>
    </row>
    <row r="8637" spans="1:25" x14ac:dyDescent="0.25">
      <c r="A8637" t="str">
        <f>"91100222987"</f>
        <v>91100222987</v>
      </c>
      <c r="B8637" t="s">
        <v>530</v>
      </c>
      <c r="C8637" t="s">
        <v>23950</v>
      </c>
      <c r="D8637" t="s">
        <v>23950</v>
      </c>
      <c r="F8637" t="s">
        <v>1</v>
      </c>
      <c r="G8637" t="s">
        <v>2</v>
      </c>
      <c r="H8637" t="s">
        <v>24651</v>
      </c>
      <c r="Y8637" t="s">
        <v>34585</v>
      </c>
    </row>
    <row r="8638" spans="1:25" x14ac:dyDescent="0.25">
      <c r="A8638" t="str">
        <f>"91120431572"</f>
        <v>91120431572</v>
      </c>
      <c r="B8638" t="s">
        <v>1222</v>
      </c>
      <c r="C8638" t="s">
        <v>34590</v>
      </c>
      <c r="D8638" t="s">
        <v>34586</v>
      </c>
      <c r="E8638">
        <v>424005</v>
      </c>
      <c r="F8638" t="s">
        <v>1</v>
      </c>
      <c r="G8638" t="s">
        <v>2</v>
      </c>
      <c r="H8638" t="s">
        <v>18082</v>
      </c>
      <c r="J8638" t="s">
        <v>34587</v>
      </c>
      <c r="L8638" t="s">
        <v>34588</v>
      </c>
      <c r="M8638" t="s">
        <v>34589</v>
      </c>
      <c r="P8638" t="s">
        <v>9213</v>
      </c>
      <c r="Q8638" t="s">
        <v>34591</v>
      </c>
      <c r="Y8638" t="s">
        <v>34592</v>
      </c>
    </row>
    <row r="8639" spans="1:25" x14ac:dyDescent="0.25">
      <c r="A8639" t="str">
        <f>"91123385446"</f>
        <v>91123385446</v>
      </c>
      <c r="B8639" t="s">
        <v>1152</v>
      </c>
      <c r="C8639" t="s">
        <v>1153</v>
      </c>
      <c r="D8639" t="s">
        <v>24071</v>
      </c>
      <c r="F8639" t="s">
        <v>1</v>
      </c>
      <c r="G8639" t="s">
        <v>2</v>
      </c>
      <c r="H8639" t="s">
        <v>30571</v>
      </c>
      <c r="Y8639" t="s">
        <v>34593</v>
      </c>
    </row>
    <row r="8640" spans="1:25" x14ac:dyDescent="0.25">
      <c r="A8640" t="str">
        <f>"91150882238"</f>
        <v>91150882238</v>
      </c>
      <c r="B8640" t="s">
        <v>469</v>
      </c>
      <c r="C8640" t="s">
        <v>24886</v>
      </c>
      <c r="D8640" t="s">
        <v>34594</v>
      </c>
      <c r="E8640">
        <v>424003</v>
      </c>
      <c r="F8640" t="s">
        <v>1</v>
      </c>
      <c r="G8640" t="s">
        <v>2</v>
      </c>
      <c r="H8640" t="s">
        <v>16749</v>
      </c>
      <c r="I8640" t="s">
        <v>34595</v>
      </c>
      <c r="L8640" t="s">
        <v>34596</v>
      </c>
      <c r="M8640" t="s">
        <v>34597</v>
      </c>
      <c r="P8640" t="s">
        <v>330</v>
      </c>
      <c r="Q8640" t="s">
        <v>34598</v>
      </c>
      <c r="V8640" t="s">
        <v>34599</v>
      </c>
      <c r="Y8640" t="s">
        <v>17899</v>
      </c>
    </row>
    <row r="8641" spans="1:25" x14ac:dyDescent="0.25">
      <c r="A8641" t="str">
        <f>"91185190638"</f>
        <v>91185190638</v>
      </c>
      <c r="B8641" t="s">
        <v>574</v>
      </c>
      <c r="C8641" t="s">
        <v>23462</v>
      </c>
      <c r="D8641" t="s">
        <v>24693</v>
      </c>
      <c r="E8641">
        <v>424038</v>
      </c>
      <c r="F8641" t="s">
        <v>1</v>
      </c>
      <c r="G8641" t="s">
        <v>2</v>
      </c>
      <c r="H8641" t="s">
        <v>16183</v>
      </c>
      <c r="Y8641" t="s">
        <v>34600</v>
      </c>
    </row>
    <row r="8642" spans="1:25" x14ac:dyDescent="0.25">
      <c r="A8642" t="str">
        <f>"91198518361"</f>
        <v>91198518361</v>
      </c>
      <c r="B8642" t="s">
        <v>530</v>
      </c>
      <c r="C8642" t="s">
        <v>23950</v>
      </c>
      <c r="D8642" t="s">
        <v>23950</v>
      </c>
      <c r="F8642" t="s">
        <v>1</v>
      </c>
      <c r="G8642" t="s">
        <v>2</v>
      </c>
      <c r="H8642" t="s">
        <v>27272</v>
      </c>
      <c r="Y8642" t="s">
        <v>34601</v>
      </c>
    </row>
    <row r="8643" spans="1:25" x14ac:dyDescent="0.25">
      <c r="A8643" t="str">
        <f>"91215487941"</f>
        <v>91215487941</v>
      </c>
      <c r="B8643" t="s">
        <v>188</v>
      </c>
      <c r="C8643" t="s">
        <v>34606</v>
      </c>
      <c r="D8643" t="s">
        <v>34602</v>
      </c>
      <c r="E8643">
        <v>424000</v>
      </c>
      <c r="F8643" t="s">
        <v>1</v>
      </c>
      <c r="G8643" t="s">
        <v>2</v>
      </c>
      <c r="H8643" t="s">
        <v>18356</v>
      </c>
      <c r="J8643" t="s">
        <v>34603</v>
      </c>
      <c r="L8643" t="s">
        <v>34604</v>
      </c>
      <c r="M8643" t="s">
        <v>34605</v>
      </c>
      <c r="P8643" t="s">
        <v>34607</v>
      </c>
      <c r="Q8643" t="s">
        <v>34608</v>
      </c>
      <c r="Y8643" t="s">
        <v>34609</v>
      </c>
    </row>
    <row r="8644" spans="1:25" x14ac:dyDescent="0.25">
      <c r="A8644" t="str">
        <f>"91228152067"</f>
        <v>91228152067</v>
      </c>
      <c r="B8644" t="s">
        <v>469</v>
      </c>
      <c r="C8644" t="s">
        <v>27694</v>
      </c>
      <c r="D8644" t="s">
        <v>34610</v>
      </c>
      <c r="E8644">
        <v>424019</v>
      </c>
      <c r="F8644" t="s">
        <v>1</v>
      </c>
      <c r="G8644" t="s">
        <v>2</v>
      </c>
      <c r="H8644" t="s">
        <v>1801</v>
      </c>
      <c r="Y8644" t="s">
        <v>34611</v>
      </c>
    </row>
    <row r="8645" spans="1:25" x14ac:dyDescent="0.25">
      <c r="A8645" t="str">
        <f>"91244646588"</f>
        <v>91244646588</v>
      </c>
      <c r="B8645" t="s">
        <v>243</v>
      </c>
      <c r="C8645" t="s">
        <v>2538</v>
      </c>
      <c r="D8645" t="s">
        <v>34612</v>
      </c>
      <c r="E8645">
        <v>424002</v>
      </c>
      <c r="F8645" t="s">
        <v>1</v>
      </c>
      <c r="G8645" t="s">
        <v>2</v>
      </c>
      <c r="H8645" t="s">
        <v>1683</v>
      </c>
      <c r="I8645" t="s">
        <v>34613</v>
      </c>
      <c r="L8645" t="s">
        <v>34614</v>
      </c>
      <c r="M8645" t="s">
        <v>34615</v>
      </c>
      <c r="P8645" t="s">
        <v>27</v>
      </c>
      <c r="Y8645" t="s">
        <v>34616</v>
      </c>
    </row>
    <row r="8646" spans="1:25" x14ac:dyDescent="0.25">
      <c r="A8646" t="str">
        <f>"91293517139"</f>
        <v>91293517139</v>
      </c>
      <c r="B8646" t="s">
        <v>1611</v>
      </c>
      <c r="C8646" t="s">
        <v>11688</v>
      </c>
      <c r="D8646" t="s">
        <v>34617</v>
      </c>
      <c r="E8646">
        <v>424037</v>
      </c>
      <c r="F8646" t="s">
        <v>1</v>
      </c>
      <c r="G8646" t="s">
        <v>2</v>
      </c>
      <c r="H8646" t="s">
        <v>16664</v>
      </c>
      <c r="I8646" t="s">
        <v>34618</v>
      </c>
      <c r="L8646" t="s">
        <v>20111</v>
      </c>
      <c r="M8646" t="s">
        <v>20178</v>
      </c>
      <c r="P8646" t="s">
        <v>330</v>
      </c>
      <c r="Y8646" t="s">
        <v>34619</v>
      </c>
    </row>
    <row r="8647" spans="1:25" x14ac:dyDescent="0.25">
      <c r="A8647" t="str">
        <f>"91311919585"</f>
        <v>91311919585</v>
      </c>
      <c r="B8647" t="s">
        <v>738</v>
      </c>
      <c r="C8647" t="s">
        <v>739</v>
      </c>
      <c r="D8647" t="s">
        <v>34620</v>
      </c>
      <c r="F8647" t="s">
        <v>1</v>
      </c>
      <c r="G8647" t="s">
        <v>2</v>
      </c>
      <c r="H8647" t="s">
        <v>12069</v>
      </c>
      <c r="J8647" t="s">
        <v>34621</v>
      </c>
      <c r="L8647" t="s">
        <v>34622</v>
      </c>
      <c r="M8647" t="s">
        <v>34623</v>
      </c>
      <c r="P8647" t="s">
        <v>34624</v>
      </c>
      <c r="Q8647" t="s">
        <v>34625</v>
      </c>
      <c r="V8647" t="s">
        <v>34626</v>
      </c>
      <c r="Y8647" t="s">
        <v>34627</v>
      </c>
    </row>
    <row r="8648" spans="1:25" x14ac:dyDescent="0.25">
      <c r="A8648" t="str">
        <f>"91331925014"</f>
        <v>91331925014</v>
      </c>
      <c r="B8648" t="s">
        <v>456</v>
      </c>
      <c r="C8648" t="s">
        <v>34631</v>
      </c>
      <c r="D8648" t="s">
        <v>34628</v>
      </c>
      <c r="E8648">
        <v>424006</v>
      </c>
      <c r="F8648" t="s">
        <v>1</v>
      </c>
      <c r="G8648" t="s">
        <v>2</v>
      </c>
      <c r="H8648" t="s">
        <v>8622</v>
      </c>
      <c r="I8648" t="s">
        <v>34629</v>
      </c>
      <c r="L8648" t="s">
        <v>34630</v>
      </c>
      <c r="P8648" t="s">
        <v>458</v>
      </c>
      <c r="Y8648" t="s">
        <v>8866</v>
      </c>
    </row>
    <row r="8649" spans="1:25" x14ac:dyDescent="0.25">
      <c r="A8649" t="str">
        <f>"91345316204"</f>
        <v>91345316204</v>
      </c>
      <c r="B8649" t="s">
        <v>32</v>
      </c>
      <c r="C8649" t="s">
        <v>9784</v>
      </c>
      <c r="D8649" t="s">
        <v>34632</v>
      </c>
      <c r="E8649">
        <v>424004</v>
      </c>
      <c r="F8649" t="s">
        <v>1</v>
      </c>
      <c r="G8649" t="s">
        <v>2</v>
      </c>
      <c r="H8649" t="s">
        <v>3817</v>
      </c>
      <c r="I8649" t="s">
        <v>34633</v>
      </c>
      <c r="Y8649" t="s">
        <v>34634</v>
      </c>
    </row>
    <row r="8650" spans="1:25" x14ac:dyDescent="0.25">
      <c r="A8650" t="str">
        <f>"91409534948"</f>
        <v>91409534948</v>
      </c>
      <c r="B8650" t="s">
        <v>1573</v>
      </c>
      <c r="C8650" t="s">
        <v>1817</v>
      </c>
      <c r="D8650" t="s">
        <v>25092</v>
      </c>
      <c r="E8650">
        <v>424020</v>
      </c>
      <c r="F8650" t="s">
        <v>1</v>
      </c>
      <c r="G8650" t="s">
        <v>2</v>
      </c>
      <c r="H8650" t="s">
        <v>802</v>
      </c>
      <c r="Y8650" t="s">
        <v>34635</v>
      </c>
    </row>
    <row r="8651" spans="1:25" x14ac:dyDescent="0.25">
      <c r="A8651" t="str">
        <f>"91421766982"</f>
        <v>91421766982</v>
      </c>
      <c r="B8651" t="s">
        <v>233</v>
      </c>
      <c r="C8651" t="s">
        <v>34636</v>
      </c>
      <c r="D8651" t="s">
        <v>16452</v>
      </c>
      <c r="E8651">
        <v>424005</v>
      </c>
      <c r="F8651" t="s">
        <v>1</v>
      </c>
      <c r="G8651" t="s">
        <v>2</v>
      </c>
      <c r="H8651" t="s">
        <v>22463</v>
      </c>
      <c r="Y8651" t="s">
        <v>26528</v>
      </c>
    </row>
    <row r="8652" spans="1:25" x14ac:dyDescent="0.25">
      <c r="A8652" t="str">
        <f>"91432839395"</f>
        <v>91432839395</v>
      </c>
      <c r="B8652" t="s">
        <v>553</v>
      </c>
      <c r="C8652" t="s">
        <v>10404</v>
      </c>
      <c r="D8652" t="s">
        <v>34637</v>
      </c>
      <c r="F8652" t="s">
        <v>1</v>
      </c>
      <c r="G8652" t="s">
        <v>2</v>
      </c>
      <c r="H8652" t="s">
        <v>8553</v>
      </c>
      <c r="J8652" t="s">
        <v>34638</v>
      </c>
      <c r="P8652" t="s">
        <v>280</v>
      </c>
      <c r="Y8652" t="s">
        <v>13628</v>
      </c>
    </row>
    <row r="8653" spans="1:25" x14ac:dyDescent="0.25">
      <c r="A8653" t="str">
        <f>"91443373574"</f>
        <v>91443373574</v>
      </c>
      <c r="B8653" t="s">
        <v>96</v>
      </c>
      <c r="C8653" t="s">
        <v>695</v>
      </c>
      <c r="D8653" t="s">
        <v>12083</v>
      </c>
      <c r="E8653">
        <v>424038</v>
      </c>
      <c r="F8653" t="s">
        <v>1</v>
      </c>
      <c r="G8653" t="s">
        <v>2</v>
      </c>
      <c r="H8653" t="s">
        <v>23978</v>
      </c>
      <c r="Y8653" t="s">
        <v>34639</v>
      </c>
    </row>
    <row r="8654" spans="1:25" x14ac:dyDescent="0.25">
      <c r="A8654" t="str">
        <f>"91456578118"</f>
        <v>91456578118</v>
      </c>
      <c r="B8654" t="s">
        <v>1611</v>
      </c>
      <c r="C8654" t="s">
        <v>34642</v>
      </c>
      <c r="D8654" t="s">
        <v>34640</v>
      </c>
      <c r="E8654">
        <v>424037</v>
      </c>
      <c r="F8654" t="s">
        <v>1</v>
      </c>
      <c r="G8654" t="s">
        <v>2</v>
      </c>
      <c r="H8654" t="s">
        <v>15407</v>
      </c>
      <c r="I8654" t="s">
        <v>34641</v>
      </c>
      <c r="L8654" t="s">
        <v>3217</v>
      </c>
      <c r="P8654" t="s">
        <v>9840</v>
      </c>
      <c r="Y8654" t="s">
        <v>4724</v>
      </c>
    </row>
    <row r="8655" spans="1:25" x14ac:dyDescent="0.25">
      <c r="A8655" t="str">
        <f>"91477019173"</f>
        <v>91477019173</v>
      </c>
      <c r="B8655" t="s">
        <v>96</v>
      </c>
      <c r="C8655" t="s">
        <v>24042</v>
      </c>
      <c r="D8655" t="s">
        <v>24127</v>
      </c>
      <c r="F8655" t="s">
        <v>1</v>
      </c>
      <c r="G8655" t="s">
        <v>2</v>
      </c>
      <c r="H8655" t="s">
        <v>17767</v>
      </c>
      <c r="Y8655" t="s">
        <v>34643</v>
      </c>
    </row>
    <row r="8656" spans="1:25" x14ac:dyDescent="0.25">
      <c r="A8656" t="str">
        <f>"91479404287"</f>
        <v>91479404287</v>
      </c>
      <c r="B8656" t="s">
        <v>32</v>
      </c>
      <c r="C8656" t="s">
        <v>40</v>
      </c>
      <c r="D8656" t="s">
        <v>3636</v>
      </c>
      <c r="E8656">
        <v>424007</v>
      </c>
      <c r="F8656" t="s">
        <v>1</v>
      </c>
      <c r="G8656" t="s">
        <v>2</v>
      </c>
      <c r="H8656" t="s">
        <v>1389</v>
      </c>
      <c r="Y8656" t="s">
        <v>34644</v>
      </c>
    </row>
    <row r="8657" spans="1:25" x14ac:dyDescent="0.25">
      <c r="A8657" t="str">
        <f>"91496560423"</f>
        <v>91496560423</v>
      </c>
      <c r="B8657" t="s">
        <v>290</v>
      </c>
      <c r="C8657" t="s">
        <v>34646</v>
      </c>
      <c r="D8657" t="s">
        <v>33591</v>
      </c>
      <c r="F8657" t="s">
        <v>1</v>
      </c>
      <c r="G8657" t="s">
        <v>2</v>
      </c>
      <c r="H8657" t="s">
        <v>33592</v>
      </c>
      <c r="I8657" t="s">
        <v>34645</v>
      </c>
      <c r="P8657" t="s">
        <v>10285</v>
      </c>
      <c r="Q8657" t="s">
        <v>34647</v>
      </c>
      <c r="U8657" t="s">
        <v>34648</v>
      </c>
      <c r="Y8657" t="s">
        <v>34649</v>
      </c>
    </row>
    <row r="8658" spans="1:25" x14ac:dyDescent="0.25">
      <c r="A8658" t="str">
        <f>"91502109191"</f>
        <v>91502109191</v>
      </c>
      <c r="B8658" t="s">
        <v>482</v>
      </c>
      <c r="C8658" t="s">
        <v>6009</v>
      </c>
      <c r="D8658" t="s">
        <v>34650</v>
      </c>
      <c r="E8658">
        <v>424004</v>
      </c>
      <c r="F8658" t="s">
        <v>1</v>
      </c>
      <c r="G8658" t="s">
        <v>2</v>
      </c>
      <c r="H8658" t="s">
        <v>13630</v>
      </c>
      <c r="I8658" t="s">
        <v>34651</v>
      </c>
      <c r="J8658" t="s">
        <v>34652</v>
      </c>
      <c r="L8658" t="s">
        <v>34653</v>
      </c>
      <c r="M8658" t="s">
        <v>34654</v>
      </c>
      <c r="P8658" t="s">
        <v>27</v>
      </c>
      <c r="Q8658" t="s">
        <v>34655</v>
      </c>
      <c r="Y8658" t="s">
        <v>34656</v>
      </c>
    </row>
    <row r="8659" spans="1:25" x14ac:dyDescent="0.25">
      <c r="A8659" t="str">
        <f>"91517121320"</f>
        <v>91517121320</v>
      </c>
      <c r="B8659" t="s">
        <v>80</v>
      </c>
      <c r="C8659" t="s">
        <v>3295</v>
      </c>
      <c r="D8659" t="s">
        <v>34657</v>
      </c>
      <c r="F8659" t="s">
        <v>1</v>
      </c>
      <c r="G8659" t="s">
        <v>2</v>
      </c>
      <c r="H8659" t="s">
        <v>31690</v>
      </c>
      <c r="Y8659" t="s">
        <v>34658</v>
      </c>
    </row>
    <row r="8660" spans="1:25" x14ac:dyDescent="0.25">
      <c r="A8660" t="str">
        <f>"91521126247"</f>
        <v>91521126247</v>
      </c>
      <c r="B8660" t="s">
        <v>96</v>
      </c>
      <c r="C8660" t="s">
        <v>7071</v>
      </c>
      <c r="D8660" t="s">
        <v>34659</v>
      </c>
      <c r="E8660">
        <v>424019</v>
      </c>
      <c r="F8660" t="s">
        <v>1</v>
      </c>
      <c r="G8660" t="s">
        <v>2</v>
      </c>
      <c r="H8660" t="s">
        <v>1801</v>
      </c>
      <c r="J8660" t="s">
        <v>34660</v>
      </c>
      <c r="P8660" t="s">
        <v>34661</v>
      </c>
      <c r="Y8660" t="s">
        <v>34662</v>
      </c>
    </row>
    <row r="8661" spans="1:25" x14ac:dyDescent="0.25">
      <c r="A8661" t="str">
        <f>"91525115148"</f>
        <v>91525115148</v>
      </c>
      <c r="B8661" t="s">
        <v>32</v>
      </c>
      <c r="C8661" t="s">
        <v>34664</v>
      </c>
      <c r="D8661" t="s">
        <v>34663</v>
      </c>
      <c r="F8661" t="s">
        <v>1</v>
      </c>
      <c r="G8661" t="s">
        <v>2</v>
      </c>
      <c r="H8661" t="s">
        <v>2018</v>
      </c>
      <c r="P8661" t="s">
        <v>216</v>
      </c>
      <c r="Q8661" t="s">
        <v>34665</v>
      </c>
      <c r="V8661" t="s">
        <v>34666</v>
      </c>
      <c r="Y8661" t="s">
        <v>2131</v>
      </c>
    </row>
    <row r="8662" spans="1:25" x14ac:dyDescent="0.25">
      <c r="A8662" t="str">
        <f>"91621677919"</f>
        <v>91621677919</v>
      </c>
      <c r="B8662" t="s">
        <v>6478</v>
      </c>
      <c r="C8662" t="s">
        <v>6479</v>
      </c>
      <c r="D8662" t="s">
        <v>34667</v>
      </c>
      <c r="E8662">
        <v>424001</v>
      </c>
      <c r="F8662" t="s">
        <v>1</v>
      </c>
      <c r="G8662" t="s">
        <v>2</v>
      </c>
      <c r="H8662" t="s">
        <v>11410</v>
      </c>
      <c r="I8662" t="s">
        <v>34668</v>
      </c>
      <c r="L8662" t="s">
        <v>581</v>
      </c>
      <c r="M8662" t="s">
        <v>34669</v>
      </c>
      <c r="P8662" t="s">
        <v>2839</v>
      </c>
      <c r="Y8662" t="s">
        <v>34670</v>
      </c>
    </row>
    <row r="8663" spans="1:25" x14ac:dyDescent="0.25">
      <c r="A8663" t="str">
        <f>"91648715875"</f>
        <v>91648715875</v>
      </c>
      <c r="B8663" t="s">
        <v>1573</v>
      </c>
      <c r="C8663" t="s">
        <v>11913</v>
      </c>
      <c r="D8663" t="s">
        <v>34671</v>
      </c>
      <c r="E8663">
        <v>424031</v>
      </c>
      <c r="F8663" t="s">
        <v>1</v>
      </c>
      <c r="G8663" t="s">
        <v>2</v>
      </c>
      <c r="H8663" t="s">
        <v>34672</v>
      </c>
      <c r="I8663" t="s">
        <v>34673</v>
      </c>
      <c r="L8663" t="s">
        <v>34674</v>
      </c>
      <c r="M8663" t="s">
        <v>34675</v>
      </c>
      <c r="P8663" t="s">
        <v>15403</v>
      </c>
      <c r="Q8663" t="s">
        <v>34676</v>
      </c>
      <c r="R8663" t="s">
        <v>34677</v>
      </c>
      <c r="V8663" t="s">
        <v>34678</v>
      </c>
      <c r="Y8663" t="s">
        <v>34679</v>
      </c>
    </row>
    <row r="8664" spans="1:25" x14ac:dyDescent="0.25">
      <c r="A8664" t="str">
        <f>"91654033061"</f>
        <v>91654033061</v>
      </c>
      <c r="B8664" t="s">
        <v>2104</v>
      </c>
      <c r="C8664" t="s">
        <v>13387</v>
      </c>
      <c r="D8664" t="s">
        <v>14600</v>
      </c>
      <c r="E8664">
        <v>424039</v>
      </c>
      <c r="F8664" t="s">
        <v>1</v>
      </c>
      <c r="G8664" t="s">
        <v>2</v>
      </c>
      <c r="H8664" t="s">
        <v>17375</v>
      </c>
      <c r="Y8664" t="s">
        <v>34680</v>
      </c>
    </row>
    <row r="8665" spans="1:25" x14ac:dyDescent="0.25">
      <c r="A8665" t="str">
        <f>"91692783899"</f>
        <v>91692783899</v>
      </c>
      <c r="B8665" t="s">
        <v>8011</v>
      </c>
      <c r="C8665" t="s">
        <v>25177</v>
      </c>
      <c r="D8665" t="s">
        <v>34681</v>
      </c>
      <c r="E8665">
        <v>424030</v>
      </c>
      <c r="F8665" t="s">
        <v>1</v>
      </c>
      <c r="G8665" t="s">
        <v>2</v>
      </c>
      <c r="H8665" t="s">
        <v>10204</v>
      </c>
      <c r="J8665" t="s">
        <v>34682</v>
      </c>
      <c r="P8665" t="s">
        <v>112</v>
      </c>
      <c r="Y8665" t="s">
        <v>17288</v>
      </c>
    </row>
    <row r="8666" spans="1:25" x14ac:dyDescent="0.25">
      <c r="A8666" t="str">
        <f>"91699194215"</f>
        <v>91699194215</v>
      </c>
      <c r="B8666" t="s">
        <v>290</v>
      </c>
      <c r="C8666" t="s">
        <v>23328</v>
      </c>
      <c r="D8666" t="s">
        <v>34683</v>
      </c>
      <c r="E8666">
        <v>424038</v>
      </c>
      <c r="F8666" t="s">
        <v>1</v>
      </c>
      <c r="G8666" t="s">
        <v>2</v>
      </c>
      <c r="H8666" t="s">
        <v>8196</v>
      </c>
      <c r="Y8666" t="s">
        <v>34684</v>
      </c>
    </row>
    <row r="8667" spans="1:25" x14ac:dyDescent="0.25">
      <c r="A8667" t="str">
        <f>"91735658381"</f>
        <v>91735658381</v>
      </c>
      <c r="B8667" t="s">
        <v>530</v>
      </c>
      <c r="C8667" t="s">
        <v>5046</v>
      </c>
      <c r="D8667" t="s">
        <v>34685</v>
      </c>
      <c r="E8667">
        <v>424004</v>
      </c>
      <c r="F8667" t="s">
        <v>1</v>
      </c>
      <c r="G8667" t="s">
        <v>2</v>
      </c>
      <c r="H8667" t="s">
        <v>34686</v>
      </c>
      <c r="I8667" t="s">
        <v>34687</v>
      </c>
      <c r="P8667" t="s">
        <v>799</v>
      </c>
      <c r="Y8667" t="s">
        <v>34688</v>
      </c>
    </row>
    <row r="8668" spans="1:25" x14ac:dyDescent="0.25">
      <c r="A8668" t="str">
        <f>"91790906358"</f>
        <v>91790906358</v>
      </c>
      <c r="B8668" t="s">
        <v>96</v>
      </c>
      <c r="C8668" t="s">
        <v>893</v>
      </c>
      <c r="D8668" t="s">
        <v>34689</v>
      </c>
      <c r="E8668">
        <v>424000</v>
      </c>
      <c r="F8668" t="s">
        <v>1</v>
      </c>
      <c r="G8668" t="s">
        <v>2</v>
      </c>
      <c r="H8668" t="s">
        <v>92</v>
      </c>
      <c r="Y8668" t="s">
        <v>28397</v>
      </c>
    </row>
    <row r="8669" spans="1:25" x14ac:dyDescent="0.25">
      <c r="A8669" t="str">
        <f>"91822001255"</f>
        <v>91822001255</v>
      </c>
      <c r="B8669" t="s">
        <v>96</v>
      </c>
      <c r="C8669" t="s">
        <v>26416</v>
      </c>
      <c r="D8669" t="s">
        <v>34690</v>
      </c>
      <c r="E8669">
        <v>424000</v>
      </c>
      <c r="F8669" t="s">
        <v>1</v>
      </c>
      <c r="G8669" t="s">
        <v>2</v>
      </c>
      <c r="H8669" t="s">
        <v>1473</v>
      </c>
      <c r="P8669" t="s">
        <v>941</v>
      </c>
      <c r="Y8669" t="s">
        <v>4067</v>
      </c>
    </row>
    <row r="8670" spans="1:25" x14ac:dyDescent="0.25">
      <c r="A8670" t="str">
        <f>"91836121407"</f>
        <v>91836121407</v>
      </c>
      <c r="B8670" t="s">
        <v>530</v>
      </c>
      <c r="C8670" t="s">
        <v>23950</v>
      </c>
      <c r="D8670" t="s">
        <v>23950</v>
      </c>
      <c r="F8670" t="s">
        <v>1</v>
      </c>
      <c r="G8670" t="s">
        <v>2</v>
      </c>
      <c r="H8670" t="s">
        <v>33523</v>
      </c>
      <c r="Y8670" t="s">
        <v>34691</v>
      </c>
    </row>
    <row r="8671" spans="1:25" x14ac:dyDescent="0.25">
      <c r="A8671" t="str">
        <f>"91841115989"</f>
        <v>91841115989</v>
      </c>
      <c r="B8671" t="s">
        <v>530</v>
      </c>
      <c r="C8671" t="s">
        <v>23950</v>
      </c>
      <c r="D8671" t="s">
        <v>23950</v>
      </c>
      <c r="F8671" t="s">
        <v>1</v>
      </c>
      <c r="G8671" t="s">
        <v>2</v>
      </c>
      <c r="H8671" t="s">
        <v>7547</v>
      </c>
      <c r="Y8671" t="s">
        <v>34692</v>
      </c>
    </row>
    <row r="8672" spans="1:25" x14ac:dyDescent="0.25">
      <c r="A8672" t="str">
        <f>"91850984186"</f>
        <v>91850984186</v>
      </c>
      <c r="B8672" t="s">
        <v>456</v>
      </c>
      <c r="C8672" t="s">
        <v>2773</v>
      </c>
      <c r="D8672" t="s">
        <v>34693</v>
      </c>
      <c r="E8672">
        <v>424019</v>
      </c>
      <c r="F8672" t="s">
        <v>1</v>
      </c>
      <c r="G8672" t="s">
        <v>2</v>
      </c>
      <c r="H8672" t="s">
        <v>20692</v>
      </c>
      <c r="I8672" t="s">
        <v>34694</v>
      </c>
      <c r="L8672" t="s">
        <v>34695</v>
      </c>
      <c r="M8672" t="s">
        <v>34696</v>
      </c>
      <c r="Y8672" t="s">
        <v>20697</v>
      </c>
    </row>
    <row r="8673" spans="1:25" x14ac:dyDescent="0.25">
      <c r="A8673" t="str">
        <f>"91894147480"</f>
        <v>91894147480</v>
      </c>
      <c r="B8673" t="s">
        <v>1046</v>
      </c>
      <c r="C8673" t="s">
        <v>22946</v>
      </c>
      <c r="D8673" t="s">
        <v>22946</v>
      </c>
      <c r="E8673">
        <v>424033</v>
      </c>
      <c r="F8673" t="s">
        <v>1</v>
      </c>
      <c r="G8673" t="s">
        <v>2</v>
      </c>
      <c r="H8673" t="s">
        <v>18472</v>
      </c>
      <c r="Y8673" t="s">
        <v>34697</v>
      </c>
    </row>
    <row r="8674" spans="1:25" x14ac:dyDescent="0.25">
      <c r="A8674" t="str">
        <f>"91984398052"</f>
        <v>91984398052</v>
      </c>
      <c r="B8674" t="s">
        <v>1611</v>
      </c>
      <c r="C8674" t="s">
        <v>3218</v>
      </c>
      <c r="D8674" t="s">
        <v>34698</v>
      </c>
      <c r="E8674">
        <v>424005</v>
      </c>
      <c r="F8674" t="s">
        <v>1</v>
      </c>
      <c r="G8674" t="s">
        <v>2</v>
      </c>
      <c r="H8674" t="s">
        <v>34699</v>
      </c>
      <c r="M8674" t="s">
        <v>34700</v>
      </c>
      <c r="P8674" t="s">
        <v>34701</v>
      </c>
      <c r="Y8674" t="s">
        <v>34702</v>
      </c>
    </row>
    <row r="8675" spans="1:25" x14ac:dyDescent="0.25">
      <c r="A8675" t="str">
        <f>"92024075054"</f>
        <v>92024075054</v>
      </c>
      <c r="B8675" t="s">
        <v>3008</v>
      </c>
      <c r="C8675" t="s">
        <v>3008</v>
      </c>
      <c r="D8675" t="s">
        <v>34703</v>
      </c>
      <c r="F8675" t="s">
        <v>1</v>
      </c>
      <c r="G8675" t="s">
        <v>2</v>
      </c>
      <c r="H8675" t="s">
        <v>25588</v>
      </c>
      <c r="Y8675" t="s">
        <v>34704</v>
      </c>
    </row>
    <row r="8676" spans="1:25" x14ac:dyDescent="0.25">
      <c r="A8676" t="str">
        <f>"92072588867"</f>
        <v>92072588867</v>
      </c>
      <c r="B8676" t="s">
        <v>348</v>
      </c>
      <c r="C8676" t="s">
        <v>3135</v>
      </c>
      <c r="D8676" t="s">
        <v>34705</v>
      </c>
      <c r="E8676">
        <v>424033</v>
      </c>
      <c r="F8676" t="s">
        <v>1</v>
      </c>
      <c r="G8676" t="s">
        <v>2</v>
      </c>
      <c r="H8676" t="s">
        <v>2342</v>
      </c>
      <c r="J8676" t="s">
        <v>34706</v>
      </c>
      <c r="L8676" t="s">
        <v>34707</v>
      </c>
      <c r="M8676" t="s">
        <v>34708</v>
      </c>
      <c r="P8676" t="s">
        <v>34</v>
      </c>
      <c r="R8676" t="s">
        <v>34709</v>
      </c>
      <c r="Y8676" t="s">
        <v>13169</v>
      </c>
    </row>
    <row r="8677" spans="1:25" x14ac:dyDescent="0.25">
      <c r="A8677" t="str">
        <f>"92087812389"</f>
        <v>92087812389</v>
      </c>
      <c r="B8677" t="s">
        <v>88</v>
      </c>
      <c r="C8677" t="s">
        <v>34713</v>
      </c>
      <c r="D8677" t="s">
        <v>34710</v>
      </c>
      <c r="F8677" t="s">
        <v>1</v>
      </c>
      <c r="G8677" t="s">
        <v>2</v>
      </c>
      <c r="H8677" t="s">
        <v>34711</v>
      </c>
      <c r="I8677" t="s">
        <v>34712</v>
      </c>
      <c r="P8677" t="s">
        <v>216</v>
      </c>
      <c r="Y8677" t="s">
        <v>34714</v>
      </c>
    </row>
    <row r="8678" spans="1:25" x14ac:dyDescent="0.25">
      <c r="A8678" t="str">
        <f>"92113036397"</f>
        <v>92113036397</v>
      </c>
      <c r="B8678" t="s">
        <v>18</v>
      </c>
      <c r="C8678" t="s">
        <v>143</v>
      </c>
      <c r="D8678" t="s">
        <v>34715</v>
      </c>
      <c r="F8678" t="s">
        <v>1</v>
      </c>
      <c r="G8678" t="s">
        <v>2</v>
      </c>
      <c r="H8678" t="s">
        <v>18806</v>
      </c>
      <c r="Y8678" t="s">
        <v>34716</v>
      </c>
    </row>
    <row r="8679" spans="1:25" x14ac:dyDescent="0.25">
      <c r="A8679" t="str">
        <f>"92115062864"</f>
        <v>92115062864</v>
      </c>
      <c r="B8679" t="s">
        <v>430</v>
      </c>
      <c r="C8679" t="s">
        <v>16178</v>
      </c>
      <c r="D8679" t="s">
        <v>2613</v>
      </c>
      <c r="E8679">
        <v>424033</v>
      </c>
      <c r="F8679" t="s">
        <v>1</v>
      </c>
      <c r="G8679" t="s">
        <v>2</v>
      </c>
      <c r="H8679" t="s">
        <v>3221</v>
      </c>
      <c r="Y8679" t="s">
        <v>34717</v>
      </c>
    </row>
    <row r="8680" spans="1:25" x14ac:dyDescent="0.25">
      <c r="A8680" t="str">
        <f>"92163392158"</f>
        <v>92163392158</v>
      </c>
      <c r="B8680" t="s">
        <v>96</v>
      </c>
      <c r="C8680" t="s">
        <v>26416</v>
      </c>
      <c r="D8680" t="s">
        <v>5177</v>
      </c>
      <c r="E8680">
        <v>424038</v>
      </c>
      <c r="F8680" t="s">
        <v>1</v>
      </c>
      <c r="G8680" t="s">
        <v>2</v>
      </c>
      <c r="H8680" t="s">
        <v>2614</v>
      </c>
      <c r="Y8680" t="s">
        <v>2617</v>
      </c>
    </row>
    <row r="8681" spans="1:25" x14ac:dyDescent="0.25">
      <c r="A8681" t="str">
        <f>"92210414896"</f>
        <v>92210414896</v>
      </c>
      <c r="B8681" t="s">
        <v>1152</v>
      </c>
      <c r="C8681" t="s">
        <v>34720</v>
      </c>
      <c r="D8681" t="s">
        <v>34718</v>
      </c>
      <c r="E8681">
        <v>424003</v>
      </c>
      <c r="F8681" t="s">
        <v>1</v>
      </c>
      <c r="G8681" t="s">
        <v>2</v>
      </c>
      <c r="H8681" t="s">
        <v>16294</v>
      </c>
      <c r="J8681" t="s">
        <v>34719</v>
      </c>
      <c r="Y8681" t="s">
        <v>14527</v>
      </c>
    </row>
    <row r="8682" spans="1:25" x14ac:dyDescent="0.25">
      <c r="A8682" t="str">
        <f>"92251058113"</f>
        <v>92251058113</v>
      </c>
      <c r="B8682" t="s">
        <v>18</v>
      </c>
      <c r="C8682" t="s">
        <v>143</v>
      </c>
      <c r="D8682" t="s">
        <v>34721</v>
      </c>
      <c r="E8682">
        <v>424006</v>
      </c>
      <c r="F8682" t="s">
        <v>1</v>
      </c>
      <c r="G8682" t="s">
        <v>2</v>
      </c>
      <c r="H8682" t="s">
        <v>2012</v>
      </c>
      <c r="I8682" t="s">
        <v>34722</v>
      </c>
      <c r="P8682" t="s">
        <v>20</v>
      </c>
      <c r="Y8682" t="s">
        <v>2016</v>
      </c>
    </row>
    <row r="8683" spans="1:25" x14ac:dyDescent="0.25">
      <c r="A8683" t="str">
        <f>"92264194691"</f>
        <v>92264194691</v>
      </c>
      <c r="B8683" t="s">
        <v>1343</v>
      </c>
      <c r="C8683" t="s">
        <v>7789</v>
      </c>
      <c r="D8683" t="s">
        <v>34723</v>
      </c>
      <c r="E8683">
        <v>424008</v>
      </c>
      <c r="F8683" t="s">
        <v>1</v>
      </c>
      <c r="G8683" t="s">
        <v>2</v>
      </c>
      <c r="H8683" t="s">
        <v>31130</v>
      </c>
      <c r="I8683" t="s">
        <v>34724</v>
      </c>
      <c r="J8683" t="s">
        <v>34725</v>
      </c>
      <c r="L8683" t="s">
        <v>34726</v>
      </c>
      <c r="M8683" t="s">
        <v>34727</v>
      </c>
      <c r="P8683" t="s">
        <v>1404</v>
      </c>
      <c r="Q8683" t="s">
        <v>34728</v>
      </c>
      <c r="Y8683" t="s">
        <v>34729</v>
      </c>
    </row>
    <row r="8684" spans="1:25" x14ac:dyDescent="0.25">
      <c r="A8684" t="str">
        <f>"92281215196"</f>
        <v>92281215196</v>
      </c>
      <c r="B8684" t="s">
        <v>397</v>
      </c>
      <c r="C8684" t="s">
        <v>26803</v>
      </c>
      <c r="D8684" t="s">
        <v>34730</v>
      </c>
      <c r="E8684">
        <v>424004</v>
      </c>
      <c r="F8684" t="s">
        <v>1</v>
      </c>
      <c r="G8684" t="s">
        <v>2</v>
      </c>
      <c r="H8684" t="s">
        <v>186</v>
      </c>
      <c r="I8684" t="s">
        <v>34731</v>
      </c>
      <c r="J8684" t="s">
        <v>34732</v>
      </c>
      <c r="L8684" t="s">
        <v>34733</v>
      </c>
      <c r="M8684" t="s">
        <v>34734</v>
      </c>
      <c r="P8684" t="s">
        <v>27</v>
      </c>
      <c r="Q8684" t="s">
        <v>34735</v>
      </c>
      <c r="V8684" t="s">
        <v>34736</v>
      </c>
      <c r="Y8684" t="s">
        <v>190</v>
      </c>
    </row>
    <row r="8685" spans="1:25" x14ac:dyDescent="0.25">
      <c r="A8685" t="str">
        <f>"92373849621"</f>
        <v>92373849621</v>
      </c>
      <c r="B8685" t="s">
        <v>1053</v>
      </c>
      <c r="C8685" t="s">
        <v>1927</v>
      </c>
      <c r="D8685" t="s">
        <v>34737</v>
      </c>
      <c r="E8685">
        <v>424000</v>
      </c>
      <c r="F8685" t="s">
        <v>1</v>
      </c>
      <c r="G8685" t="s">
        <v>2</v>
      </c>
      <c r="H8685" t="s">
        <v>4492</v>
      </c>
      <c r="Y8685" t="s">
        <v>4497</v>
      </c>
    </row>
    <row r="8686" spans="1:25" x14ac:dyDescent="0.25">
      <c r="A8686" t="str">
        <f>"92387436682"</f>
        <v>92387436682</v>
      </c>
      <c r="B8686" t="s">
        <v>290</v>
      </c>
      <c r="C8686" t="s">
        <v>290</v>
      </c>
      <c r="D8686" t="s">
        <v>34738</v>
      </c>
      <c r="E8686">
        <v>424000</v>
      </c>
      <c r="F8686" t="s">
        <v>1</v>
      </c>
      <c r="G8686" t="s">
        <v>2</v>
      </c>
      <c r="H8686" t="s">
        <v>34739</v>
      </c>
      <c r="J8686" t="s">
        <v>34740</v>
      </c>
      <c r="P8686" t="s">
        <v>34741</v>
      </c>
      <c r="Y8686" t="s">
        <v>34742</v>
      </c>
    </row>
    <row r="8687" spans="1:25" x14ac:dyDescent="0.25">
      <c r="A8687" t="str">
        <f>"92400101571"</f>
        <v>92400101571</v>
      </c>
      <c r="B8687" t="s">
        <v>1493</v>
      </c>
      <c r="C8687" t="s">
        <v>31932</v>
      </c>
      <c r="D8687" t="s">
        <v>34743</v>
      </c>
      <c r="E8687">
        <v>424020</v>
      </c>
      <c r="F8687" t="s">
        <v>1</v>
      </c>
      <c r="G8687" t="s">
        <v>2</v>
      </c>
      <c r="H8687" t="s">
        <v>14474</v>
      </c>
      <c r="Y8687" t="s">
        <v>34744</v>
      </c>
    </row>
    <row r="8688" spans="1:25" x14ac:dyDescent="0.25">
      <c r="A8688" t="str">
        <f>"92445066195"</f>
        <v>92445066195</v>
      </c>
      <c r="B8688" t="s">
        <v>5840</v>
      </c>
      <c r="C8688" t="s">
        <v>23837</v>
      </c>
      <c r="D8688" t="s">
        <v>1815</v>
      </c>
      <c r="F8688" t="s">
        <v>1</v>
      </c>
      <c r="G8688" t="s">
        <v>2</v>
      </c>
      <c r="H8688" t="s">
        <v>16696</v>
      </c>
      <c r="Y8688" t="s">
        <v>34745</v>
      </c>
    </row>
    <row r="8689" spans="1:25" x14ac:dyDescent="0.25">
      <c r="A8689" t="str">
        <f>"92463337644"</f>
        <v>92463337644</v>
      </c>
      <c r="B8689" t="s">
        <v>574</v>
      </c>
      <c r="C8689" t="s">
        <v>646</v>
      </c>
      <c r="D8689" t="s">
        <v>24036</v>
      </c>
      <c r="E8689">
        <v>424004</v>
      </c>
      <c r="F8689" t="s">
        <v>1</v>
      </c>
      <c r="G8689" t="s">
        <v>2</v>
      </c>
      <c r="H8689" t="s">
        <v>23522</v>
      </c>
      <c r="Y8689" t="s">
        <v>3139</v>
      </c>
    </row>
    <row r="8690" spans="1:25" x14ac:dyDescent="0.25">
      <c r="A8690" t="str">
        <f>"92518967326"</f>
        <v>92518967326</v>
      </c>
      <c r="B8690" t="s">
        <v>930</v>
      </c>
      <c r="C8690" t="s">
        <v>34750</v>
      </c>
      <c r="D8690" t="s">
        <v>34746</v>
      </c>
      <c r="F8690" t="s">
        <v>1</v>
      </c>
      <c r="G8690" t="s">
        <v>2</v>
      </c>
      <c r="H8690" t="s">
        <v>10727</v>
      </c>
      <c r="J8690" t="s">
        <v>34747</v>
      </c>
      <c r="L8690" t="s">
        <v>34748</v>
      </c>
      <c r="M8690" t="s">
        <v>34749</v>
      </c>
      <c r="P8690" t="s">
        <v>340</v>
      </c>
      <c r="Y8690" t="s">
        <v>34751</v>
      </c>
    </row>
    <row r="8691" spans="1:25" x14ac:dyDescent="0.25">
      <c r="A8691" t="str">
        <f>"92533666533"</f>
        <v>92533666533</v>
      </c>
      <c r="B8691" t="s">
        <v>16816</v>
      </c>
      <c r="C8691" t="s">
        <v>34756</v>
      </c>
      <c r="D8691" t="s">
        <v>34752</v>
      </c>
      <c r="E8691">
        <v>424028</v>
      </c>
      <c r="F8691" t="s">
        <v>1</v>
      </c>
      <c r="G8691" t="s">
        <v>2</v>
      </c>
      <c r="H8691" t="s">
        <v>34753</v>
      </c>
      <c r="L8691" t="s">
        <v>34754</v>
      </c>
      <c r="M8691" t="s">
        <v>34755</v>
      </c>
      <c r="Q8691" t="s">
        <v>34757</v>
      </c>
      <c r="V8691" t="s">
        <v>34758</v>
      </c>
      <c r="Y8691" t="s">
        <v>34759</v>
      </c>
    </row>
    <row r="8692" spans="1:25" x14ac:dyDescent="0.25">
      <c r="A8692" t="str">
        <f>"92551434658"</f>
        <v>92551434658</v>
      </c>
      <c r="B8692" t="s">
        <v>379</v>
      </c>
      <c r="C8692" t="s">
        <v>766</v>
      </c>
      <c r="D8692" t="s">
        <v>34760</v>
      </c>
      <c r="E8692">
        <v>424003</v>
      </c>
      <c r="F8692" t="s">
        <v>1</v>
      </c>
      <c r="G8692" t="s">
        <v>2</v>
      </c>
      <c r="H8692" t="s">
        <v>38</v>
      </c>
      <c r="P8692" t="s">
        <v>1027</v>
      </c>
      <c r="Y8692" t="s">
        <v>34761</v>
      </c>
    </row>
    <row r="8693" spans="1:25" x14ac:dyDescent="0.25">
      <c r="A8693" t="str">
        <f>"92575188285"</f>
        <v>92575188285</v>
      </c>
      <c r="B8693" t="s">
        <v>430</v>
      </c>
      <c r="C8693" t="s">
        <v>13258</v>
      </c>
      <c r="D8693" t="s">
        <v>5741</v>
      </c>
      <c r="E8693">
        <v>424007</v>
      </c>
      <c r="F8693" t="s">
        <v>1</v>
      </c>
      <c r="G8693" t="s">
        <v>2</v>
      </c>
      <c r="H8693" t="s">
        <v>31520</v>
      </c>
      <c r="I8693" t="s">
        <v>34762</v>
      </c>
      <c r="P8693" t="s">
        <v>390</v>
      </c>
      <c r="Q8693" t="s">
        <v>34763</v>
      </c>
      <c r="Y8693" t="s">
        <v>34764</v>
      </c>
    </row>
    <row r="8694" spans="1:25" x14ac:dyDescent="0.25">
      <c r="A8694" t="str">
        <f>"92575358927"</f>
        <v>92575358927</v>
      </c>
      <c r="B8694" t="s">
        <v>348</v>
      </c>
      <c r="C8694" t="s">
        <v>28855</v>
      </c>
      <c r="D8694" t="s">
        <v>34765</v>
      </c>
      <c r="E8694">
        <v>424000</v>
      </c>
      <c r="F8694" t="s">
        <v>1</v>
      </c>
      <c r="G8694" t="s">
        <v>2</v>
      </c>
      <c r="H8694" t="s">
        <v>1473</v>
      </c>
      <c r="I8694" t="s">
        <v>34766</v>
      </c>
      <c r="L8694" t="s">
        <v>34767</v>
      </c>
      <c r="P8694" t="s">
        <v>941</v>
      </c>
      <c r="Q8694" t="s">
        <v>34768</v>
      </c>
      <c r="Y8694" t="s">
        <v>34769</v>
      </c>
    </row>
    <row r="8695" spans="1:25" x14ac:dyDescent="0.25">
      <c r="A8695" t="str">
        <f>"92582879618"</f>
        <v>92582879618</v>
      </c>
      <c r="B8695" t="s">
        <v>1053</v>
      </c>
      <c r="C8695" t="s">
        <v>34773</v>
      </c>
      <c r="D8695" t="s">
        <v>34770</v>
      </c>
      <c r="F8695" t="s">
        <v>1</v>
      </c>
      <c r="G8695" t="s">
        <v>2</v>
      </c>
      <c r="H8695" t="s">
        <v>26431</v>
      </c>
      <c r="J8695" t="s">
        <v>34771</v>
      </c>
      <c r="M8695" t="s">
        <v>34772</v>
      </c>
      <c r="P8695" t="s">
        <v>27</v>
      </c>
      <c r="Y8695" t="s">
        <v>34774</v>
      </c>
    </row>
    <row r="8696" spans="1:25" x14ac:dyDescent="0.25">
      <c r="A8696" t="str">
        <f>"92635753218"</f>
        <v>92635753218</v>
      </c>
      <c r="B8696" t="s">
        <v>32</v>
      </c>
      <c r="C8696" t="s">
        <v>5809</v>
      </c>
      <c r="D8696" t="s">
        <v>34775</v>
      </c>
      <c r="E8696">
        <v>424038</v>
      </c>
      <c r="F8696" t="s">
        <v>1</v>
      </c>
      <c r="G8696" t="s">
        <v>2</v>
      </c>
      <c r="H8696" t="s">
        <v>34776</v>
      </c>
      <c r="I8696" t="s">
        <v>34777</v>
      </c>
      <c r="J8696" t="s">
        <v>34778</v>
      </c>
      <c r="P8696" t="s">
        <v>1855</v>
      </c>
      <c r="Y8696" t="s">
        <v>34779</v>
      </c>
    </row>
    <row r="8697" spans="1:25" x14ac:dyDescent="0.25">
      <c r="A8697" t="str">
        <f>"92655283336"</f>
        <v>92655283336</v>
      </c>
      <c r="B8697" t="s">
        <v>1152</v>
      </c>
      <c r="C8697" t="s">
        <v>1385</v>
      </c>
      <c r="D8697" t="s">
        <v>27705</v>
      </c>
      <c r="E8697">
        <v>424006</v>
      </c>
      <c r="F8697" t="s">
        <v>1</v>
      </c>
      <c r="G8697" t="s">
        <v>2</v>
      </c>
      <c r="H8697" t="s">
        <v>34780</v>
      </c>
      <c r="Y8697" t="s">
        <v>34781</v>
      </c>
    </row>
    <row r="8698" spans="1:25" x14ac:dyDescent="0.25">
      <c r="A8698" t="str">
        <f>"92664114958"</f>
        <v>92664114958</v>
      </c>
      <c r="B8698" t="s">
        <v>574</v>
      </c>
      <c r="C8698" t="s">
        <v>952</v>
      </c>
      <c r="D8698" t="s">
        <v>7620</v>
      </c>
      <c r="E8698">
        <v>424033</v>
      </c>
      <c r="F8698" t="s">
        <v>1</v>
      </c>
      <c r="G8698" t="s">
        <v>2</v>
      </c>
      <c r="H8698" t="s">
        <v>34782</v>
      </c>
      <c r="Y8698" t="s">
        <v>34783</v>
      </c>
    </row>
    <row r="8699" spans="1:25" x14ac:dyDescent="0.25">
      <c r="A8699" t="str">
        <f>"92696233591"</f>
        <v>92696233591</v>
      </c>
      <c r="B8699" t="s">
        <v>462</v>
      </c>
      <c r="C8699" t="s">
        <v>463</v>
      </c>
      <c r="D8699" t="s">
        <v>34784</v>
      </c>
      <c r="E8699">
        <v>424000</v>
      </c>
      <c r="F8699" t="s">
        <v>1</v>
      </c>
      <c r="G8699" t="s">
        <v>2</v>
      </c>
      <c r="H8699" t="s">
        <v>523</v>
      </c>
      <c r="L8699" t="s">
        <v>34785</v>
      </c>
      <c r="M8699" t="s">
        <v>34786</v>
      </c>
      <c r="P8699" t="s">
        <v>226</v>
      </c>
      <c r="Y8699" t="s">
        <v>526</v>
      </c>
    </row>
    <row r="8700" spans="1:25" x14ac:dyDescent="0.25">
      <c r="A8700" t="str">
        <f>"92720038722"</f>
        <v>92720038722</v>
      </c>
      <c r="B8700" t="s">
        <v>1061</v>
      </c>
      <c r="C8700" t="s">
        <v>26953</v>
      </c>
      <c r="D8700" t="s">
        <v>1062</v>
      </c>
      <c r="F8700" t="s">
        <v>1</v>
      </c>
      <c r="G8700" t="s">
        <v>2</v>
      </c>
      <c r="H8700" t="s">
        <v>25448</v>
      </c>
      <c r="Y8700" t="s">
        <v>34787</v>
      </c>
    </row>
    <row r="8701" spans="1:25" x14ac:dyDescent="0.25">
      <c r="A8701" t="str">
        <f>"92752221482"</f>
        <v>92752221482</v>
      </c>
      <c r="B8701" t="s">
        <v>123</v>
      </c>
      <c r="C8701" t="s">
        <v>196</v>
      </c>
      <c r="D8701" t="s">
        <v>34788</v>
      </c>
      <c r="E8701">
        <v>424032</v>
      </c>
      <c r="F8701" t="s">
        <v>1</v>
      </c>
      <c r="G8701" t="s">
        <v>2</v>
      </c>
      <c r="H8701" t="s">
        <v>15519</v>
      </c>
      <c r="I8701" t="s">
        <v>34789</v>
      </c>
      <c r="Y8701" t="s">
        <v>34790</v>
      </c>
    </row>
    <row r="8702" spans="1:25" x14ac:dyDescent="0.25">
      <c r="A8702" t="str">
        <f>"92812906762"</f>
        <v>92812906762</v>
      </c>
      <c r="B8702" t="s">
        <v>123</v>
      </c>
      <c r="C8702" t="s">
        <v>3262</v>
      </c>
      <c r="D8702" t="s">
        <v>29562</v>
      </c>
      <c r="E8702">
        <v>424038</v>
      </c>
      <c r="F8702" t="s">
        <v>1</v>
      </c>
      <c r="G8702" t="s">
        <v>2</v>
      </c>
      <c r="H8702" t="s">
        <v>1366</v>
      </c>
      <c r="J8702" t="s">
        <v>29563</v>
      </c>
      <c r="P8702" t="s">
        <v>17179</v>
      </c>
      <c r="Y8702" t="s">
        <v>34791</v>
      </c>
    </row>
    <row r="8703" spans="1:25" x14ac:dyDescent="0.25">
      <c r="A8703" t="str">
        <f>"92845972032"</f>
        <v>92845972032</v>
      </c>
      <c r="B8703" t="s">
        <v>482</v>
      </c>
      <c r="C8703" t="s">
        <v>34795</v>
      </c>
      <c r="D8703" t="s">
        <v>23940</v>
      </c>
      <c r="E8703">
        <v>424002</v>
      </c>
      <c r="F8703" t="s">
        <v>1</v>
      </c>
      <c r="G8703" t="s">
        <v>2</v>
      </c>
      <c r="H8703" t="s">
        <v>16321</v>
      </c>
      <c r="I8703" t="s">
        <v>34792</v>
      </c>
      <c r="L8703" t="s">
        <v>34793</v>
      </c>
      <c r="M8703" t="s">
        <v>34794</v>
      </c>
      <c r="P8703" t="s">
        <v>2923</v>
      </c>
      <c r="Q8703" t="s">
        <v>34796</v>
      </c>
      <c r="R8703" t="s">
        <v>34797</v>
      </c>
      <c r="S8703" t="s">
        <v>34798</v>
      </c>
      <c r="T8703" t="s">
        <v>34799</v>
      </c>
      <c r="U8703" t="s">
        <v>34800</v>
      </c>
      <c r="V8703" t="s">
        <v>34801</v>
      </c>
      <c r="Y8703" t="s">
        <v>34802</v>
      </c>
    </row>
    <row r="8704" spans="1:25" x14ac:dyDescent="0.25">
      <c r="A8704" t="str">
        <f>"92860659314"</f>
        <v>92860659314</v>
      </c>
      <c r="B8704" t="s">
        <v>574</v>
      </c>
      <c r="C8704" t="s">
        <v>24087</v>
      </c>
      <c r="D8704" t="s">
        <v>17775</v>
      </c>
      <c r="E8704">
        <v>424008</v>
      </c>
      <c r="F8704" t="s">
        <v>1</v>
      </c>
      <c r="G8704" t="s">
        <v>2</v>
      </c>
      <c r="H8704" t="s">
        <v>1031</v>
      </c>
      <c r="J8704" t="s">
        <v>34803</v>
      </c>
      <c r="P8704" t="s">
        <v>799</v>
      </c>
      <c r="Y8704" t="s">
        <v>34804</v>
      </c>
    </row>
    <row r="8705" spans="1:25" x14ac:dyDescent="0.25">
      <c r="A8705" t="str">
        <f>"92876079405"</f>
        <v>92876079405</v>
      </c>
      <c r="B8705" t="s">
        <v>408</v>
      </c>
      <c r="C8705" t="s">
        <v>34807</v>
      </c>
      <c r="D8705" t="s">
        <v>10010</v>
      </c>
      <c r="F8705" t="s">
        <v>1</v>
      </c>
      <c r="G8705" t="s">
        <v>2</v>
      </c>
      <c r="H8705" t="s">
        <v>34805</v>
      </c>
      <c r="J8705" t="s">
        <v>34806</v>
      </c>
      <c r="P8705" t="s">
        <v>34808</v>
      </c>
      <c r="Y8705" t="s">
        <v>34809</v>
      </c>
    </row>
    <row r="8706" spans="1:25" x14ac:dyDescent="0.25">
      <c r="A8706" t="str">
        <f>"92893528289"</f>
        <v>92893528289</v>
      </c>
      <c r="B8706" t="s">
        <v>5840</v>
      </c>
      <c r="C8706" t="s">
        <v>34814</v>
      </c>
      <c r="D8706" t="s">
        <v>34810</v>
      </c>
      <c r="F8706" t="s">
        <v>1</v>
      </c>
      <c r="G8706" t="s">
        <v>2</v>
      </c>
      <c r="H8706" t="s">
        <v>19770</v>
      </c>
      <c r="I8706" t="s">
        <v>34811</v>
      </c>
      <c r="L8706" t="s">
        <v>34812</v>
      </c>
      <c r="M8706" t="s">
        <v>34813</v>
      </c>
      <c r="P8706" t="s">
        <v>34815</v>
      </c>
      <c r="Y8706" t="s">
        <v>30114</v>
      </c>
    </row>
    <row r="8707" spans="1:25" x14ac:dyDescent="0.25">
      <c r="A8707" t="str">
        <f>"92898865443"</f>
        <v>92898865443</v>
      </c>
      <c r="B8707" t="s">
        <v>530</v>
      </c>
      <c r="C8707" t="s">
        <v>10576</v>
      </c>
      <c r="D8707" t="s">
        <v>34816</v>
      </c>
      <c r="E8707">
        <v>424004</v>
      </c>
      <c r="F8707" t="s">
        <v>1</v>
      </c>
      <c r="G8707" t="s">
        <v>2</v>
      </c>
      <c r="H8707" t="s">
        <v>34817</v>
      </c>
      <c r="J8707" t="s">
        <v>34818</v>
      </c>
      <c r="P8707" t="s">
        <v>216</v>
      </c>
      <c r="Y8707" t="s">
        <v>34819</v>
      </c>
    </row>
    <row r="8708" spans="1:25" x14ac:dyDescent="0.25">
      <c r="A8708" t="str">
        <f>"92906494951"</f>
        <v>92906494951</v>
      </c>
      <c r="B8708" t="s">
        <v>18</v>
      </c>
      <c r="C8708" t="s">
        <v>34824</v>
      </c>
      <c r="D8708" t="s">
        <v>34820</v>
      </c>
      <c r="E8708">
        <v>424000</v>
      </c>
      <c r="F8708" t="s">
        <v>1</v>
      </c>
      <c r="G8708" t="s">
        <v>2</v>
      </c>
      <c r="H8708" t="s">
        <v>4648</v>
      </c>
      <c r="I8708" t="s">
        <v>34821</v>
      </c>
      <c r="L8708" t="s">
        <v>34822</v>
      </c>
      <c r="M8708" t="s">
        <v>34823</v>
      </c>
      <c r="P8708" t="s">
        <v>9533</v>
      </c>
      <c r="Q8708" t="s">
        <v>34825</v>
      </c>
      <c r="V8708" t="s">
        <v>34826</v>
      </c>
      <c r="Y8708" t="s">
        <v>4649</v>
      </c>
    </row>
    <row r="8709" spans="1:25" x14ac:dyDescent="0.25">
      <c r="A8709" t="str">
        <f>"92926949130"</f>
        <v>92926949130</v>
      </c>
      <c r="B8709" t="s">
        <v>430</v>
      </c>
      <c r="C8709" t="s">
        <v>34830</v>
      </c>
      <c r="D8709" t="s">
        <v>34827</v>
      </c>
      <c r="E8709">
        <v>424038</v>
      </c>
      <c r="F8709" t="s">
        <v>1</v>
      </c>
      <c r="G8709" t="s">
        <v>2</v>
      </c>
      <c r="H8709" t="s">
        <v>1862</v>
      </c>
      <c r="J8709" t="s">
        <v>34828</v>
      </c>
      <c r="L8709" t="s">
        <v>34829</v>
      </c>
      <c r="P8709" t="s">
        <v>4280</v>
      </c>
      <c r="Q8709" t="s">
        <v>34831</v>
      </c>
      <c r="V8709" t="s">
        <v>34832</v>
      </c>
      <c r="Y8709" t="s">
        <v>3870</v>
      </c>
    </row>
    <row r="8710" spans="1:25" x14ac:dyDescent="0.25">
      <c r="A8710" t="str">
        <f>"92936165946"</f>
        <v>92936165946</v>
      </c>
      <c r="B8710" t="s">
        <v>1046</v>
      </c>
      <c r="C8710" t="s">
        <v>22946</v>
      </c>
      <c r="D8710" t="s">
        <v>22946</v>
      </c>
      <c r="E8710">
        <v>424007</v>
      </c>
      <c r="F8710" t="s">
        <v>1</v>
      </c>
      <c r="G8710" t="s">
        <v>2</v>
      </c>
      <c r="H8710" t="s">
        <v>34833</v>
      </c>
      <c r="Y8710" t="s">
        <v>34834</v>
      </c>
    </row>
    <row r="8711" spans="1:25" x14ac:dyDescent="0.25">
      <c r="A8711" t="str">
        <f>"92990641308"</f>
        <v>92990641308</v>
      </c>
      <c r="B8711" t="s">
        <v>5573</v>
      </c>
      <c r="C8711" t="s">
        <v>21453</v>
      </c>
      <c r="D8711" t="s">
        <v>34835</v>
      </c>
      <c r="E8711">
        <v>424007</v>
      </c>
      <c r="F8711" t="s">
        <v>1</v>
      </c>
      <c r="G8711" t="s">
        <v>2</v>
      </c>
      <c r="H8711" t="s">
        <v>5178</v>
      </c>
      <c r="P8711" t="s">
        <v>2731</v>
      </c>
      <c r="Y8711" t="s">
        <v>34836</v>
      </c>
    </row>
    <row r="8712" spans="1:25" x14ac:dyDescent="0.25">
      <c r="A8712" t="str">
        <f>"92999080652"</f>
        <v>92999080652</v>
      </c>
      <c r="B8712" t="s">
        <v>1544</v>
      </c>
      <c r="C8712" t="s">
        <v>15598</v>
      </c>
      <c r="D8712" t="s">
        <v>10260</v>
      </c>
      <c r="E8712">
        <v>424019</v>
      </c>
      <c r="F8712" t="s">
        <v>1</v>
      </c>
      <c r="G8712" t="s">
        <v>2</v>
      </c>
      <c r="H8712" t="s">
        <v>1801</v>
      </c>
      <c r="P8712" t="s">
        <v>330</v>
      </c>
      <c r="Y8712" t="s">
        <v>34837</v>
      </c>
    </row>
    <row r="8713" spans="1:25" x14ac:dyDescent="0.25">
      <c r="A8713" t="str">
        <f>"93005969745"</f>
        <v>93005969745</v>
      </c>
      <c r="B8713" t="s">
        <v>4495</v>
      </c>
      <c r="C8713" t="s">
        <v>34841</v>
      </c>
      <c r="D8713" t="s">
        <v>34838</v>
      </c>
      <c r="E8713">
        <v>424006</v>
      </c>
      <c r="F8713" t="s">
        <v>1</v>
      </c>
      <c r="G8713" t="s">
        <v>2</v>
      </c>
      <c r="H8713" t="s">
        <v>34839</v>
      </c>
      <c r="J8713" t="s">
        <v>34840</v>
      </c>
      <c r="P8713" t="s">
        <v>390</v>
      </c>
      <c r="Y8713" t="s">
        <v>34842</v>
      </c>
    </row>
    <row r="8714" spans="1:25" x14ac:dyDescent="0.25">
      <c r="A8714" t="str">
        <f>"93018736330"</f>
        <v>93018736330</v>
      </c>
      <c r="B8714" t="s">
        <v>574</v>
      </c>
      <c r="C8714" t="s">
        <v>646</v>
      </c>
      <c r="D8714" t="s">
        <v>34843</v>
      </c>
      <c r="E8714">
        <v>424002</v>
      </c>
      <c r="F8714" t="s">
        <v>1</v>
      </c>
      <c r="G8714" t="s">
        <v>2</v>
      </c>
      <c r="H8714" t="s">
        <v>4001</v>
      </c>
      <c r="I8714" t="s">
        <v>21924</v>
      </c>
      <c r="P8714" t="s">
        <v>799</v>
      </c>
      <c r="Y8714" t="s">
        <v>25034</v>
      </c>
    </row>
    <row r="8715" spans="1:25" x14ac:dyDescent="0.25">
      <c r="A8715" t="str">
        <f>"93035334814"</f>
        <v>93035334814</v>
      </c>
      <c r="B8715" t="s">
        <v>348</v>
      </c>
      <c r="C8715" t="s">
        <v>4366</v>
      </c>
      <c r="D8715" t="s">
        <v>34844</v>
      </c>
      <c r="E8715">
        <v>424038</v>
      </c>
      <c r="F8715" t="s">
        <v>1</v>
      </c>
      <c r="G8715" t="s">
        <v>2</v>
      </c>
      <c r="H8715" t="s">
        <v>6550</v>
      </c>
      <c r="M8715" t="s">
        <v>34845</v>
      </c>
      <c r="P8715" t="s">
        <v>941</v>
      </c>
      <c r="Y8715" t="s">
        <v>34846</v>
      </c>
    </row>
    <row r="8716" spans="1:25" x14ac:dyDescent="0.25">
      <c r="A8716" t="str">
        <f>"93064275949"</f>
        <v>93064275949</v>
      </c>
      <c r="B8716" t="s">
        <v>32</v>
      </c>
      <c r="C8716" t="s">
        <v>15493</v>
      </c>
      <c r="D8716" t="s">
        <v>22117</v>
      </c>
      <c r="E8716">
        <v>424000</v>
      </c>
      <c r="F8716" t="s">
        <v>1</v>
      </c>
      <c r="G8716" t="s">
        <v>2</v>
      </c>
      <c r="H8716" t="s">
        <v>1531</v>
      </c>
      <c r="I8716" t="s">
        <v>34847</v>
      </c>
      <c r="M8716" t="s">
        <v>22120</v>
      </c>
      <c r="P8716" t="s">
        <v>1027</v>
      </c>
      <c r="Y8716" t="s">
        <v>1707</v>
      </c>
    </row>
    <row r="8717" spans="1:25" x14ac:dyDescent="0.25">
      <c r="A8717" t="str">
        <f>"93066254062"</f>
        <v>93066254062</v>
      </c>
      <c r="B8717" t="s">
        <v>7</v>
      </c>
      <c r="C8717" t="s">
        <v>9893</v>
      </c>
      <c r="D8717" t="s">
        <v>19054</v>
      </c>
      <c r="E8717">
        <v>424006</v>
      </c>
      <c r="F8717" t="s">
        <v>1</v>
      </c>
      <c r="G8717" t="s">
        <v>2</v>
      </c>
      <c r="H8717" t="s">
        <v>34848</v>
      </c>
      <c r="I8717" t="s">
        <v>34849</v>
      </c>
      <c r="J8717" t="s">
        <v>34850</v>
      </c>
      <c r="L8717" t="s">
        <v>19057</v>
      </c>
      <c r="M8717" t="s">
        <v>34851</v>
      </c>
      <c r="P8717" t="s">
        <v>9</v>
      </c>
      <c r="Y8717" t="s">
        <v>1443</v>
      </c>
    </row>
    <row r="8718" spans="1:25" x14ac:dyDescent="0.25">
      <c r="A8718" t="str">
        <f>"93125175576"</f>
        <v>93125175576</v>
      </c>
      <c r="B8718" t="s">
        <v>930</v>
      </c>
      <c r="C8718" t="s">
        <v>15966</v>
      </c>
      <c r="D8718" t="s">
        <v>34852</v>
      </c>
      <c r="E8718">
        <v>424006</v>
      </c>
      <c r="F8718" t="s">
        <v>1</v>
      </c>
      <c r="G8718" t="s">
        <v>2</v>
      </c>
      <c r="H8718" t="s">
        <v>13191</v>
      </c>
      <c r="I8718" t="s">
        <v>34853</v>
      </c>
      <c r="P8718" t="s">
        <v>13820</v>
      </c>
      <c r="Y8718" t="s">
        <v>13197</v>
      </c>
    </row>
    <row r="8719" spans="1:25" x14ac:dyDescent="0.25">
      <c r="A8719" t="str">
        <f>"93138040655"</f>
        <v>93138040655</v>
      </c>
      <c r="B8719" t="s">
        <v>574</v>
      </c>
      <c r="C8719" t="s">
        <v>646</v>
      </c>
      <c r="D8719" t="s">
        <v>30750</v>
      </c>
      <c r="E8719">
        <v>424020</v>
      </c>
      <c r="F8719" t="s">
        <v>1</v>
      </c>
      <c r="G8719" t="s">
        <v>2</v>
      </c>
      <c r="H8719" t="s">
        <v>27549</v>
      </c>
      <c r="P8719" t="s">
        <v>216</v>
      </c>
      <c r="Y8719" t="s">
        <v>34854</v>
      </c>
    </row>
    <row r="8720" spans="1:25" x14ac:dyDescent="0.25">
      <c r="A8720" t="str">
        <f>"93216871016"</f>
        <v>93216871016</v>
      </c>
      <c r="B8720" t="s">
        <v>2055</v>
      </c>
      <c r="C8720" t="s">
        <v>34859</v>
      </c>
      <c r="D8720" t="s">
        <v>34855</v>
      </c>
      <c r="E8720">
        <v>424019</v>
      </c>
      <c r="F8720" t="s">
        <v>1</v>
      </c>
      <c r="G8720" t="s">
        <v>2</v>
      </c>
      <c r="H8720" t="s">
        <v>23956</v>
      </c>
      <c r="I8720" t="s">
        <v>34856</v>
      </c>
      <c r="L8720" t="s">
        <v>34857</v>
      </c>
      <c r="M8720" t="s">
        <v>34858</v>
      </c>
      <c r="P8720" t="s">
        <v>27</v>
      </c>
      <c r="Q8720" t="s">
        <v>34860</v>
      </c>
      <c r="T8720" t="s">
        <v>34861</v>
      </c>
      <c r="U8720" t="s">
        <v>34862</v>
      </c>
      <c r="V8720" t="s">
        <v>34863</v>
      </c>
      <c r="Y8720" t="s">
        <v>34864</v>
      </c>
    </row>
    <row r="8721" spans="1:25" x14ac:dyDescent="0.25">
      <c r="A8721" t="str">
        <f>"93221529553"</f>
        <v>93221529553</v>
      </c>
      <c r="B8721" t="s">
        <v>530</v>
      </c>
      <c r="C8721" t="s">
        <v>5046</v>
      </c>
      <c r="D8721" t="s">
        <v>34865</v>
      </c>
      <c r="E8721">
        <v>424007</v>
      </c>
      <c r="F8721" t="s">
        <v>1</v>
      </c>
      <c r="G8721" t="s">
        <v>2</v>
      </c>
      <c r="H8721" t="s">
        <v>10252</v>
      </c>
      <c r="J8721" t="s">
        <v>34866</v>
      </c>
      <c r="P8721" t="s">
        <v>152</v>
      </c>
      <c r="Y8721" t="s">
        <v>10258</v>
      </c>
    </row>
    <row r="8722" spans="1:25" x14ac:dyDescent="0.25">
      <c r="A8722" t="str">
        <f>"93284962912"</f>
        <v>93284962912</v>
      </c>
      <c r="B8722" t="s">
        <v>3094</v>
      </c>
      <c r="C8722" t="s">
        <v>34869</v>
      </c>
      <c r="D8722" t="s">
        <v>34867</v>
      </c>
      <c r="E8722">
        <v>424000</v>
      </c>
      <c r="F8722" t="s">
        <v>1</v>
      </c>
      <c r="G8722" t="s">
        <v>2</v>
      </c>
      <c r="H8722" t="s">
        <v>837</v>
      </c>
      <c r="I8722" t="s">
        <v>34868</v>
      </c>
      <c r="J8722" t="s">
        <v>30522</v>
      </c>
      <c r="P8722" t="s">
        <v>340</v>
      </c>
      <c r="Q8722" t="s">
        <v>34870</v>
      </c>
      <c r="Y8722" t="s">
        <v>34871</v>
      </c>
    </row>
    <row r="8723" spans="1:25" x14ac:dyDescent="0.25">
      <c r="A8723" t="str">
        <f>"93300942796"</f>
        <v>93300942796</v>
      </c>
      <c r="B8723" t="s">
        <v>1315</v>
      </c>
      <c r="C8723" t="s">
        <v>4274</v>
      </c>
      <c r="D8723" t="s">
        <v>34872</v>
      </c>
      <c r="F8723" t="s">
        <v>1</v>
      </c>
      <c r="G8723" t="s">
        <v>2</v>
      </c>
      <c r="H8723" t="s">
        <v>7547</v>
      </c>
      <c r="Y8723" t="s">
        <v>34873</v>
      </c>
    </row>
    <row r="8724" spans="1:25" x14ac:dyDescent="0.25">
      <c r="A8724" t="str">
        <f>"93309289282"</f>
        <v>93309289282</v>
      </c>
      <c r="B8724" t="s">
        <v>530</v>
      </c>
      <c r="C8724" t="s">
        <v>23950</v>
      </c>
      <c r="D8724" t="s">
        <v>23950</v>
      </c>
      <c r="E8724">
        <v>424020</v>
      </c>
      <c r="F8724" t="s">
        <v>1</v>
      </c>
      <c r="G8724" t="s">
        <v>2</v>
      </c>
      <c r="H8724" t="s">
        <v>34874</v>
      </c>
      <c r="Y8724" t="s">
        <v>34875</v>
      </c>
    </row>
    <row r="8725" spans="1:25" x14ac:dyDescent="0.25">
      <c r="A8725" t="str">
        <f>"93328128717"</f>
        <v>93328128717</v>
      </c>
      <c r="B8725" t="s">
        <v>110</v>
      </c>
      <c r="C8725" t="s">
        <v>111</v>
      </c>
      <c r="D8725" t="s">
        <v>34876</v>
      </c>
      <c r="F8725" t="s">
        <v>1</v>
      </c>
      <c r="G8725" t="s">
        <v>2</v>
      </c>
      <c r="H8725" t="s">
        <v>19499</v>
      </c>
      <c r="P8725" t="s">
        <v>144</v>
      </c>
      <c r="Y8725" t="s">
        <v>24185</v>
      </c>
    </row>
    <row r="8726" spans="1:25" x14ac:dyDescent="0.25">
      <c r="A8726" t="str">
        <f>"93337536786"</f>
        <v>93337536786</v>
      </c>
      <c r="B8726" t="s">
        <v>1315</v>
      </c>
      <c r="C8726" t="s">
        <v>31477</v>
      </c>
      <c r="D8726" t="s">
        <v>34877</v>
      </c>
      <c r="E8726">
        <v>424003</v>
      </c>
      <c r="F8726" t="s">
        <v>1</v>
      </c>
      <c r="G8726" t="s">
        <v>2</v>
      </c>
      <c r="H8726" t="s">
        <v>28200</v>
      </c>
      <c r="I8726" t="s">
        <v>34878</v>
      </c>
      <c r="L8726" t="s">
        <v>31475</v>
      </c>
      <c r="M8726" t="s">
        <v>31476</v>
      </c>
      <c r="P8726" t="s">
        <v>390</v>
      </c>
      <c r="Q8726" t="s">
        <v>31478</v>
      </c>
      <c r="V8726" t="s">
        <v>31479</v>
      </c>
      <c r="Y8726" t="s">
        <v>28206</v>
      </c>
    </row>
    <row r="8727" spans="1:25" x14ac:dyDescent="0.25">
      <c r="A8727" t="str">
        <f>"93347287402"</f>
        <v>93347287402</v>
      </c>
      <c r="B8727" t="s">
        <v>188</v>
      </c>
      <c r="C8727" t="s">
        <v>24568</v>
      </c>
      <c r="D8727" t="s">
        <v>24568</v>
      </c>
      <c r="E8727">
        <v>424000</v>
      </c>
      <c r="F8727" t="s">
        <v>1</v>
      </c>
      <c r="G8727" t="s">
        <v>2</v>
      </c>
      <c r="H8727" t="s">
        <v>2671</v>
      </c>
      <c r="Y8727" t="s">
        <v>34879</v>
      </c>
    </row>
    <row r="8728" spans="1:25" x14ac:dyDescent="0.25">
      <c r="A8728" t="str">
        <f>"93375855379"</f>
        <v>93375855379</v>
      </c>
      <c r="B8728" t="s">
        <v>188</v>
      </c>
      <c r="C8728" t="s">
        <v>24568</v>
      </c>
      <c r="D8728" t="s">
        <v>24568</v>
      </c>
      <c r="F8728" t="s">
        <v>1</v>
      </c>
      <c r="G8728" t="s">
        <v>2</v>
      </c>
      <c r="H8728" t="s">
        <v>34880</v>
      </c>
      <c r="Y8728" t="s">
        <v>34881</v>
      </c>
    </row>
    <row r="8729" spans="1:25" x14ac:dyDescent="0.25">
      <c r="A8729" t="str">
        <f>"93396251535"</f>
        <v>93396251535</v>
      </c>
      <c r="B8729" t="s">
        <v>574</v>
      </c>
      <c r="C8729" t="s">
        <v>24405</v>
      </c>
      <c r="D8729" t="s">
        <v>32710</v>
      </c>
      <c r="E8729">
        <v>424020</v>
      </c>
      <c r="F8729" t="s">
        <v>1</v>
      </c>
      <c r="G8729" t="s">
        <v>2</v>
      </c>
      <c r="H8729" t="s">
        <v>23516</v>
      </c>
      <c r="Y8729" t="s">
        <v>34882</v>
      </c>
    </row>
    <row r="8730" spans="1:25" x14ac:dyDescent="0.25">
      <c r="A8730" t="str">
        <f>"93405744474"</f>
        <v>93405744474</v>
      </c>
      <c r="B8730" t="s">
        <v>290</v>
      </c>
      <c r="C8730" t="s">
        <v>290</v>
      </c>
      <c r="D8730" t="s">
        <v>34883</v>
      </c>
      <c r="E8730">
        <v>424016</v>
      </c>
      <c r="F8730" t="s">
        <v>1</v>
      </c>
      <c r="G8730" t="s">
        <v>2</v>
      </c>
      <c r="H8730" t="s">
        <v>24041</v>
      </c>
      <c r="Y8730" t="s">
        <v>34884</v>
      </c>
    </row>
    <row r="8731" spans="1:25" x14ac:dyDescent="0.25">
      <c r="A8731" t="str">
        <f>"93407450529"</f>
        <v>93407450529</v>
      </c>
      <c r="B8731" t="s">
        <v>67</v>
      </c>
      <c r="C8731" t="s">
        <v>269</v>
      </c>
      <c r="D8731" t="s">
        <v>34885</v>
      </c>
      <c r="E8731">
        <v>424002</v>
      </c>
      <c r="F8731" t="s">
        <v>1</v>
      </c>
      <c r="G8731" t="s">
        <v>2</v>
      </c>
      <c r="H8731" t="s">
        <v>15717</v>
      </c>
      <c r="I8731" t="s">
        <v>15718</v>
      </c>
      <c r="L8731" t="s">
        <v>15719</v>
      </c>
      <c r="M8731" t="s">
        <v>34886</v>
      </c>
      <c r="P8731" t="s">
        <v>4179</v>
      </c>
      <c r="Q8731" t="s">
        <v>34887</v>
      </c>
      <c r="T8731" t="s">
        <v>34888</v>
      </c>
      <c r="Y8731" t="s">
        <v>31356</v>
      </c>
    </row>
    <row r="8732" spans="1:25" x14ac:dyDescent="0.25">
      <c r="A8732" t="str">
        <f>"93438138632"</f>
        <v>93438138632</v>
      </c>
      <c r="B8732" t="s">
        <v>1617</v>
      </c>
      <c r="C8732" t="s">
        <v>21001</v>
      </c>
      <c r="D8732" t="s">
        <v>20999</v>
      </c>
      <c r="E8732">
        <v>424006</v>
      </c>
      <c r="F8732" t="s">
        <v>1</v>
      </c>
      <c r="G8732" t="s">
        <v>2</v>
      </c>
      <c r="H8732" t="s">
        <v>34889</v>
      </c>
      <c r="Y8732" t="s">
        <v>34890</v>
      </c>
    </row>
    <row r="8733" spans="1:25" x14ac:dyDescent="0.25">
      <c r="A8733" t="str">
        <f>"93482939086"</f>
        <v>93482939086</v>
      </c>
      <c r="B8733" t="s">
        <v>1573</v>
      </c>
      <c r="C8733" t="s">
        <v>10961</v>
      </c>
      <c r="D8733" t="s">
        <v>34891</v>
      </c>
      <c r="E8733">
        <v>424039</v>
      </c>
      <c r="F8733" t="s">
        <v>1</v>
      </c>
      <c r="G8733" t="s">
        <v>2</v>
      </c>
      <c r="H8733" t="s">
        <v>3516</v>
      </c>
      <c r="I8733" t="s">
        <v>34892</v>
      </c>
      <c r="J8733" t="s">
        <v>34893</v>
      </c>
      <c r="L8733" t="s">
        <v>9116</v>
      </c>
      <c r="M8733" t="s">
        <v>34894</v>
      </c>
      <c r="Y8733" t="s">
        <v>3519</v>
      </c>
    </row>
    <row r="8734" spans="1:25" x14ac:dyDescent="0.25">
      <c r="A8734" t="str">
        <f>"93588595605"</f>
        <v>93588595605</v>
      </c>
      <c r="B8734" t="s">
        <v>32</v>
      </c>
      <c r="C8734" t="s">
        <v>33</v>
      </c>
      <c r="D8734" t="s">
        <v>34895</v>
      </c>
      <c r="E8734">
        <v>424008</v>
      </c>
      <c r="F8734" t="s">
        <v>1</v>
      </c>
      <c r="G8734" t="s">
        <v>2</v>
      </c>
      <c r="H8734" t="s">
        <v>16703</v>
      </c>
      <c r="I8734" t="s">
        <v>34896</v>
      </c>
      <c r="P8734" t="s">
        <v>13898</v>
      </c>
      <c r="Y8734" t="s">
        <v>34897</v>
      </c>
    </row>
    <row r="8735" spans="1:25" x14ac:dyDescent="0.25">
      <c r="A8735" t="str">
        <f>"93616182835"</f>
        <v>93616182835</v>
      </c>
      <c r="B8735" t="s">
        <v>930</v>
      </c>
      <c r="C8735" t="s">
        <v>927</v>
      </c>
      <c r="D8735" t="s">
        <v>927</v>
      </c>
      <c r="E8735">
        <v>424028</v>
      </c>
      <c r="F8735" t="s">
        <v>1</v>
      </c>
      <c r="G8735" t="s">
        <v>2</v>
      </c>
      <c r="H8735" t="s">
        <v>10741</v>
      </c>
      <c r="Y8735" t="s">
        <v>34898</v>
      </c>
    </row>
    <row r="8736" spans="1:25" x14ac:dyDescent="0.25">
      <c r="A8736" t="str">
        <f>"93628623811"</f>
        <v>93628623811</v>
      </c>
      <c r="B8736" t="s">
        <v>574</v>
      </c>
      <c r="C8736" t="s">
        <v>952</v>
      </c>
      <c r="D8736" t="s">
        <v>34899</v>
      </c>
      <c r="E8736">
        <v>424038</v>
      </c>
      <c r="F8736" t="s">
        <v>1</v>
      </c>
      <c r="G8736" t="s">
        <v>2</v>
      </c>
      <c r="H8736" t="s">
        <v>24788</v>
      </c>
      <c r="Y8736" t="s">
        <v>34900</v>
      </c>
    </row>
    <row r="8737" spans="1:25" x14ac:dyDescent="0.25">
      <c r="A8737" t="str">
        <f>"93631732997"</f>
        <v>93631732997</v>
      </c>
      <c r="B8737" t="s">
        <v>1493</v>
      </c>
      <c r="C8737" t="s">
        <v>2355</v>
      </c>
      <c r="D8737" t="s">
        <v>34901</v>
      </c>
      <c r="E8737">
        <v>424031</v>
      </c>
      <c r="F8737" t="s">
        <v>1</v>
      </c>
      <c r="G8737" t="s">
        <v>2</v>
      </c>
      <c r="H8737" t="s">
        <v>1524</v>
      </c>
      <c r="Y8737" t="s">
        <v>5358</v>
      </c>
    </row>
    <row r="8738" spans="1:25" x14ac:dyDescent="0.25">
      <c r="A8738" t="str">
        <f>"93682495669"</f>
        <v>93682495669</v>
      </c>
      <c r="B8738" t="s">
        <v>7312</v>
      </c>
      <c r="C8738" t="s">
        <v>21136</v>
      </c>
      <c r="D8738" t="s">
        <v>34902</v>
      </c>
      <c r="E8738">
        <v>424002</v>
      </c>
      <c r="F8738" t="s">
        <v>1</v>
      </c>
      <c r="G8738" t="s">
        <v>2</v>
      </c>
      <c r="H8738" t="s">
        <v>570</v>
      </c>
      <c r="J8738" t="s">
        <v>34903</v>
      </c>
      <c r="L8738" t="s">
        <v>34904</v>
      </c>
      <c r="M8738" t="s">
        <v>34905</v>
      </c>
      <c r="P8738" t="s">
        <v>2738</v>
      </c>
      <c r="Y8738" t="s">
        <v>18782</v>
      </c>
    </row>
    <row r="8739" spans="1:25" x14ac:dyDescent="0.25">
      <c r="A8739" t="str">
        <f>"93689911430"</f>
        <v>93689911430</v>
      </c>
      <c r="B8739" t="s">
        <v>160</v>
      </c>
      <c r="C8739" t="s">
        <v>2327</v>
      </c>
      <c r="D8739" t="s">
        <v>21177</v>
      </c>
      <c r="E8739">
        <v>424016</v>
      </c>
      <c r="F8739" t="s">
        <v>1</v>
      </c>
      <c r="G8739" t="s">
        <v>2</v>
      </c>
      <c r="H8739" t="s">
        <v>34906</v>
      </c>
      <c r="Y8739" t="s">
        <v>34907</v>
      </c>
    </row>
    <row r="8740" spans="1:25" x14ac:dyDescent="0.25">
      <c r="A8740" t="str">
        <f>"93739635725"</f>
        <v>93739635725</v>
      </c>
      <c r="B8740" t="s">
        <v>176</v>
      </c>
      <c r="C8740" t="s">
        <v>29570</v>
      </c>
      <c r="D8740" t="s">
        <v>34908</v>
      </c>
      <c r="E8740">
        <v>424037</v>
      </c>
      <c r="F8740" t="s">
        <v>1</v>
      </c>
      <c r="G8740" t="s">
        <v>2</v>
      </c>
      <c r="H8740" t="s">
        <v>34909</v>
      </c>
      <c r="J8740" t="s">
        <v>29569</v>
      </c>
      <c r="Y8740" t="s">
        <v>34910</v>
      </c>
    </row>
    <row r="8741" spans="1:25" x14ac:dyDescent="0.25">
      <c r="A8741" t="str">
        <f>"93754556775"</f>
        <v>93754556775</v>
      </c>
      <c r="B8741" t="s">
        <v>96</v>
      </c>
      <c r="C8741" t="s">
        <v>34911</v>
      </c>
      <c r="D8741" t="s">
        <v>10162</v>
      </c>
      <c r="E8741">
        <v>424020</v>
      </c>
      <c r="F8741" t="s">
        <v>1</v>
      </c>
      <c r="G8741" t="s">
        <v>2</v>
      </c>
      <c r="H8741" t="s">
        <v>7067</v>
      </c>
      <c r="Y8741" t="s">
        <v>34912</v>
      </c>
    </row>
    <row r="8742" spans="1:25" x14ac:dyDescent="0.25">
      <c r="A8742" t="str">
        <f>"93758699141"</f>
        <v>93758699141</v>
      </c>
      <c r="B8742" t="s">
        <v>151</v>
      </c>
      <c r="C8742" t="s">
        <v>1034</v>
      </c>
      <c r="D8742" t="s">
        <v>34913</v>
      </c>
      <c r="E8742">
        <v>424000</v>
      </c>
      <c r="F8742" t="s">
        <v>1</v>
      </c>
      <c r="G8742" t="s">
        <v>2</v>
      </c>
      <c r="H8742" t="s">
        <v>499</v>
      </c>
      <c r="I8742" t="s">
        <v>34914</v>
      </c>
      <c r="J8742" t="s">
        <v>34915</v>
      </c>
      <c r="P8742" t="s">
        <v>34916</v>
      </c>
      <c r="Y8742" t="s">
        <v>1598</v>
      </c>
    </row>
    <row r="8743" spans="1:25" x14ac:dyDescent="0.25">
      <c r="A8743" t="str">
        <f>"93761502327"</f>
        <v>93761502327</v>
      </c>
      <c r="B8743" t="s">
        <v>978</v>
      </c>
      <c r="C8743" t="s">
        <v>34918</v>
      </c>
      <c r="D8743" t="s">
        <v>34917</v>
      </c>
      <c r="E8743">
        <v>424000</v>
      </c>
      <c r="F8743" t="s">
        <v>1</v>
      </c>
      <c r="G8743" t="s">
        <v>2</v>
      </c>
      <c r="H8743" t="s">
        <v>30154</v>
      </c>
      <c r="Y8743" t="s">
        <v>34919</v>
      </c>
    </row>
    <row r="8744" spans="1:25" x14ac:dyDescent="0.25">
      <c r="A8744" t="str">
        <f>"93778415459"</f>
        <v>93778415459</v>
      </c>
      <c r="B8744" t="s">
        <v>456</v>
      </c>
      <c r="C8744" t="s">
        <v>19586</v>
      </c>
      <c r="D8744" t="s">
        <v>34920</v>
      </c>
      <c r="E8744">
        <v>424007</v>
      </c>
      <c r="F8744" t="s">
        <v>1</v>
      </c>
      <c r="G8744" t="s">
        <v>2</v>
      </c>
      <c r="H8744" t="s">
        <v>7196</v>
      </c>
      <c r="J8744" t="s">
        <v>34921</v>
      </c>
      <c r="L8744" t="s">
        <v>34922</v>
      </c>
      <c r="M8744" t="s">
        <v>34923</v>
      </c>
      <c r="P8744" t="s">
        <v>390</v>
      </c>
      <c r="Y8744" t="s">
        <v>8450</v>
      </c>
    </row>
    <row r="8745" spans="1:25" x14ac:dyDescent="0.25">
      <c r="A8745" t="str">
        <f>"93781795019"</f>
        <v>93781795019</v>
      </c>
      <c r="B8745" t="s">
        <v>530</v>
      </c>
      <c r="C8745" t="s">
        <v>23950</v>
      </c>
      <c r="D8745" t="s">
        <v>23950</v>
      </c>
      <c r="E8745">
        <v>424019</v>
      </c>
      <c r="F8745" t="s">
        <v>1</v>
      </c>
      <c r="G8745" t="s">
        <v>2</v>
      </c>
      <c r="H8745" t="s">
        <v>34924</v>
      </c>
      <c r="Y8745" t="s">
        <v>34925</v>
      </c>
    </row>
    <row r="8746" spans="1:25" x14ac:dyDescent="0.25">
      <c r="A8746" t="str">
        <f>"93784781902"</f>
        <v>93784781902</v>
      </c>
      <c r="B8746" t="s">
        <v>1152</v>
      </c>
      <c r="C8746" t="s">
        <v>1153</v>
      </c>
      <c r="D8746" t="s">
        <v>10280</v>
      </c>
      <c r="E8746">
        <v>424019</v>
      </c>
      <c r="F8746" t="s">
        <v>1</v>
      </c>
      <c r="G8746" t="s">
        <v>2</v>
      </c>
      <c r="H8746" t="s">
        <v>12105</v>
      </c>
      <c r="I8746" t="s">
        <v>22092</v>
      </c>
      <c r="M8746" t="s">
        <v>10284</v>
      </c>
      <c r="Q8746" t="s">
        <v>10286</v>
      </c>
      <c r="R8746" t="s">
        <v>10287</v>
      </c>
      <c r="S8746" t="s">
        <v>10288</v>
      </c>
      <c r="T8746" t="s">
        <v>10289</v>
      </c>
      <c r="U8746" t="s">
        <v>10290</v>
      </c>
      <c r="V8746" t="s">
        <v>10291</v>
      </c>
      <c r="Y8746" t="s">
        <v>21777</v>
      </c>
    </row>
    <row r="8747" spans="1:25" x14ac:dyDescent="0.25">
      <c r="A8747" t="str">
        <f>"93792844543"</f>
        <v>93792844543</v>
      </c>
      <c r="B8747" t="s">
        <v>574</v>
      </c>
      <c r="C8747" t="s">
        <v>24933</v>
      </c>
      <c r="D8747" t="s">
        <v>34926</v>
      </c>
      <c r="E8747">
        <v>424006</v>
      </c>
      <c r="F8747" t="s">
        <v>1</v>
      </c>
      <c r="G8747" t="s">
        <v>2</v>
      </c>
      <c r="H8747" t="s">
        <v>5846</v>
      </c>
      <c r="Y8747" t="s">
        <v>34927</v>
      </c>
    </row>
    <row r="8748" spans="1:25" x14ac:dyDescent="0.25">
      <c r="A8748" t="str">
        <f>"93898594885"</f>
        <v>93898594885</v>
      </c>
      <c r="B8748" t="s">
        <v>96</v>
      </c>
      <c r="C8748" t="s">
        <v>2285</v>
      </c>
      <c r="D8748" t="s">
        <v>7130</v>
      </c>
      <c r="E8748">
        <v>424019</v>
      </c>
      <c r="F8748" t="s">
        <v>1</v>
      </c>
      <c r="G8748" t="s">
        <v>2</v>
      </c>
      <c r="H8748" t="s">
        <v>1801</v>
      </c>
      <c r="J8748" t="s">
        <v>34928</v>
      </c>
      <c r="P8748" t="s">
        <v>112</v>
      </c>
      <c r="V8748" t="s">
        <v>34929</v>
      </c>
      <c r="Y8748" t="s">
        <v>1804</v>
      </c>
    </row>
    <row r="8749" spans="1:25" x14ac:dyDescent="0.25">
      <c r="A8749" t="str">
        <f>"93901598551"</f>
        <v>93901598551</v>
      </c>
      <c r="B8749" t="s">
        <v>430</v>
      </c>
      <c r="C8749" t="s">
        <v>612</v>
      </c>
      <c r="D8749" t="s">
        <v>34930</v>
      </c>
      <c r="E8749">
        <v>424003</v>
      </c>
      <c r="F8749" t="s">
        <v>1</v>
      </c>
      <c r="G8749" t="s">
        <v>2</v>
      </c>
      <c r="H8749" t="s">
        <v>34931</v>
      </c>
      <c r="I8749" t="s">
        <v>34932</v>
      </c>
      <c r="J8749" t="s">
        <v>34933</v>
      </c>
      <c r="P8749" t="s">
        <v>4487</v>
      </c>
      <c r="V8749" t="s">
        <v>34934</v>
      </c>
      <c r="Y8749" t="s">
        <v>34935</v>
      </c>
    </row>
    <row r="8750" spans="1:25" x14ac:dyDescent="0.25">
      <c r="A8750" t="str">
        <f>"93910351556"</f>
        <v>93910351556</v>
      </c>
      <c r="B8750" t="s">
        <v>430</v>
      </c>
      <c r="C8750" t="s">
        <v>15509</v>
      </c>
      <c r="D8750" t="s">
        <v>32101</v>
      </c>
      <c r="E8750">
        <v>424020</v>
      </c>
      <c r="F8750" t="s">
        <v>1</v>
      </c>
      <c r="G8750" t="s">
        <v>2</v>
      </c>
      <c r="H8750" t="s">
        <v>288</v>
      </c>
      <c r="I8750" t="s">
        <v>34936</v>
      </c>
      <c r="J8750" t="s">
        <v>34937</v>
      </c>
      <c r="M8750" t="s">
        <v>32104</v>
      </c>
      <c r="P8750" t="s">
        <v>1027</v>
      </c>
      <c r="Q8750" t="s">
        <v>15511</v>
      </c>
      <c r="R8750" t="s">
        <v>15512</v>
      </c>
      <c r="T8750" t="s">
        <v>32105</v>
      </c>
      <c r="V8750" t="s">
        <v>32106</v>
      </c>
      <c r="Y8750" t="s">
        <v>34938</v>
      </c>
    </row>
    <row r="8751" spans="1:25" x14ac:dyDescent="0.25">
      <c r="A8751" t="str">
        <f>"93936779149"</f>
        <v>93936779149</v>
      </c>
      <c r="B8751" t="s">
        <v>110</v>
      </c>
      <c r="C8751" t="s">
        <v>34942</v>
      </c>
      <c r="D8751" t="s">
        <v>34939</v>
      </c>
      <c r="E8751">
        <v>424037</v>
      </c>
      <c r="F8751" t="s">
        <v>1</v>
      </c>
      <c r="G8751" t="s">
        <v>2</v>
      </c>
      <c r="H8751" t="s">
        <v>1849</v>
      </c>
      <c r="J8751" t="s">
        <v>34940</v>
      </c>
      <c r="L8751" t="s">
        <v>34941</v>
      </c>
      <c r="P8751" t="s">
        <v>399</v>
      </c>
      <c r="Q8751" t="s">
        <v>34943</v>
      </c>
      <c r="Y8751" t="s">
        <v>34944</v>
      </c>
    </row>
    <row r="8752" spans="1:25" x14ac:dyDescent="0.25">
      <c r="A8752" t="str">
        <f>"93972112349"</f>
        <v>93972112349</v>
      </c>
      <c r="B8752" t="s">
        <v>88</v>
      </c>
      <c r="C8752" t="s">
        <v>6066</v>
      </c>
      <c r="D8752" t="s">
        <v>34945</v>
      </c>
      <c r="E8752">
        <v>424031</v>
      </c>
      <c r="F8752" t="s">
        <v>1</v>
      </c>
      <c r="G8752" t="s">
        <v>2</v>
      </c>
      <c r="H8752" t="s">
        <v>34946</v>
      </c>
      <c r="P8752" t="s">
        <v>133</v>
      </c>
      <c r="Y8752" t="s">
        <v>34947</v>
      </c>
    </row>
    <row r="8753" spans="1:25" x14ac:dyDescent="0.25">
      <c r="A8753" t="str">
        <f>"93997484595"</f>
        <v>93997484595</v>
      </c>
      <c r="B8753" t="s">
        <v>2601</v>
      </c>
      <c r="C8753" t="s">
        <v>23216</v>
      </c>
      <c r="D8753" t="s">
        <v>26381</v>
      </c>
      <c r="E8753">
        <v>424000</v>
      </c>
      <c r="F8753" t="s">
        <v>1</v>
      </c>
      <c r="G8753" t="s">
        <v>2</v>
      </c>
      <c r="H8753" t="s">
        <v>1531</v>
      </c>
      <c r="Y8753" t="s">
        <v>1707</v>
      </c>
    </row>
    <row r="8754" spans="1:25" x14ac:dyDescent="0.25">
      <c r="A8754" t="str">
        <f>"93998127227"</f>
        <v>93998127227</v>
      </c>
      <c r="B8754" t="s">
        <v>930</v>
      </c>
      <c r="C8754" t="s">
        <v>1096</v>
      </c>
      <c r="D8754" t="s">
        <v>1094</v>
      </c>
      <c r="E8754">
        <v>424006</v>
      </c>
      <c r="F8754" t="s">
        <v>1</v>
      </c>
      <c r="G8754" t="s">
        <v>2</v>
      </c>
      <c r="H8754" t="s">
        <v>34948</v>
      </c>
      <c r="Y8754" t="s">
        <v>34949</v>
      </c>
    </row>
    <row r="8755" spans="1:25" x14ac:dyDescent="0.25">
      <c r="A8755" t="str">
        <f>"94065207675"</f>
        <v>94065207675</v>
      </c>
      <c r="B8755" t="s">
        <v>96</v>
      </c>
      <c r="C8755" t="s">
        <v>893</v>
      </c>
      <c r="D8755" t="s">
        <v>893</v>
      </c>
      <c r="E8755">
        <v>424002</v>
      </c>
      <c r="F8755" t="s">
        <v>1</v>
      </c>
      <c r="G8755" t="s">
        <v>2</v>
      </c>
      <c r="H8755" t="s">
        <v>5806</v>
      </c>
      <c r="J8755" t="s">
        <v>34950</v>
      </c>
      <c r="P8755" t="s">
        <v>2830</v>
      </c>
      <c r="V8755" t="s">
        <v>34951</v>
      </c>
      <c r="Y8755" t="s">
        <v>5812</v>
      </c>
    </row>
    <row r="8756" spans="1:25" x14ac:dyDescent="0.25">
      <c r="A8756" t="str">
        <f>"94068851507"</f>
        <v>94068851507</v>
      </c>
      <c r="B8756" t="s">
        <v>284</v>
      </c>
      <c r="C8756" t="s">
        <v>2462</v>
      </c>
      <c r="D8756" t="s">
        <v>34952</v>
      </c>
      <c r="E8756">
        <v>424002</v>
      </c>
      <c r="F8756" t="s">
        <v>1</v>
      </c>
      <c r="G8756" t="s">
        <v>2</v>
      </c>
      <c r="H8756" t="s">
        <v>2664</v>
      </c>
      <c r="J8756" t="s">
        <v>34953</v>
      </c>
      <c r="P8756" t="s">
        <v>1160</v>
      </c>
      <c r="Y8756" t="s">
        <v>34954</v>
      </c>
    </row>
    <row r="8757" spans="1:25" x14ac:dyDescent="0.25">
      <c r="A8757" t="str">
        <f>"94077243197"</f>
        <v>94077243197</v>
      </c>
      <c r="B8757" t="s">
        <v>654</v>
      </c>
      <c r="C8757" t="s">
        <v>34956</v>
      </c>
      <c r="D8757" t="s">
        <v>34955</v>
      </c>
      <c r="E8757">
        <v>424003</v>
      </c>
      <c r="F8757" t="s">
        <v>1</v>
      </c>
      <c r="G8757" t="s">
        <v>2</v>
      </c>
      <c r="H8757" t="s">
        <v>11570</v>
      </c>
      <c r="I8757" t="s">
        <v>17538</v>
      </c>
      <c r="L8757" t="s">
        <v>17539</v>
      </c>
      <c r="Q8757" t="s">
        <v>34957</v>
      </c>
      <c r="Y8757" t="s">
        <v>11573</v>
      </c>
    </row>
    <row r="8758" spans="1:25" x14ac:dyDescent="0.25">
      <c r="A8758" t="str">
        <f>"94168946149"</f>
        <v>94168946149</v>
      </c>
      <c r="B8758" t="s">
        <v>574</v>
      </c>
      <c r="C8758" t="s">
        <v>24952</v>
      </c>
      <c r="D8758" t="s">
        <v>24951</v>
      </c>
      <c r="E8758">
        <v>424020</v>
      </c>
      <c r="F8758" t="s">
        <v>1</v>
      </c>
      <c r="G8758" t="s">
        <v>2</v>
      </c>
      <c r="H8758" t="s">
        <v>288</v>
      </c>
      <c r="Y8758" t="s">
        <v>17289</v>
      </c>
    </row>
    <row r="8759" spans="1:25" x14ac:dyDescent="0.25">
      <c r="A8759" t="str">
        <f>"94188515777"</f>
        <v>94188515777</v>
      </c>
      <c r="B8759" t="s">
        <v>379</v>
      </c>
      <c r="C8759" t="s">
        <v>25366</v>
      </c>
      <c r="D8759" t="s">
        <v>18876</v>
      </c>
      <c r="E8759">
        <v>424033</v>
      </c>
      <c r="F8759" t="s">
        <v>1</v>
      </c>
      <c r="G8759" t="s">
        <v>2</v>
      </c>
      <c r="H8759" t="s">
        <v>2597</v>
      </c>
      <c r="I8759" t="s">
        <v>34958</v>
      </c>
      <c r="L8759" t="s">
        <v>25364</v>
      </c>
      <c r="M8759" t="s">
        <v>34959</v>
      </c>
      <c r="P8759" t="s">
        <v>330</v>
      </c>
      <c r="Q8759" t="s">
        <v>25367</v>
      </c>
      <c r="R8759" t="s">
        <v>25368</v>
      </c>
      <c r="T8759" t="s">
        <v>25369</v>
      </c>
      <c r="V8759" t="s">
        <v>25370</v>
      </c>
      <c r="Y8759" t="s">
        <v>34960</v>
      </c>
    </row>
    <row r="8760" spans="1:25" x14ac:dyDescent="0.25">
      <c r="A8760" t="str">
        <f>"94194998965"</f>
        <v>94194998965</v>
      </c>
      <c r="B8760" t="s">
        <v>2178</v>
      </c>
      <c r="C8760" t="s">
        <v>3223</v>
      </c>
      <c r="D8760" t="s">
        <v>29330</v>
      </c>
      <c r="E8760">
        <v>424000</v>
      </c>
      <c r="F8760" t="s">
        <v>1</v>
      </c>
      <c r="G8760" t="s">
        <v>2</v>
      </c>
      <c r="H8760" t="s">
        <v>34961</v>
      </c>
      <c r="Y8760" t="s">
        <v>34962</v>
      </c>
    </row>
    <row r="8761" spans="1:25" x14ac:dyDescent="0.25">
      <c r="A8761" t="str">
        <f>"94209121422"</f>
        <v>94209121422</v>
      </c>
      <c r="B8761" t="s">
        <v>4084</v>
      </c>
      <c r="C8761" t="s">
        <v>29553</v>
      </c>
      <c r="D8761" t="s">
        <v>34963</v>
      </c>
      <c r="E8761">
        <v>424004</v>
      </c>
      <c r="F8761" t="s">
        <v>1</v>
      </c>
      <c r="G8761" t="s">
        <v>2</v>
      </c>
      <c r="H8761" t="s">
        <v>34964</v>
      </c>
      <c r="I8761" t="s">
        <v>22517</v>
      </c>
      <c r="K8761" t="s">
        <v>34965</v>
      </c>
      <c r="L8761" t="s">
        <v>34966</v>
      </c>
      <c r="M8761" t="s">
        <v>34967</v>
      </c>
      <c r="P8761" t="s">
        <v>20</v>
      </c>
      <c r="Q8761" t="s">
        <v>34968</v>
      </c>
      <c r="Y8761" t="s">
        <v>34969</v>
      </c>
    </row>
    <row r="8762" spans="1:25" x14ac:dyDescent="0.25">
      <c r="A8762" t="str">
        <f>"94220646652"</f>
        <v>94220646652</v>
      </c>
      <c r="B8762" t="s">
        <v>32</v>
      </c>
      <c r="C8762" t="s">
        <v>777</v>
      </c>
      <c r="D8762" t="s">
        <v>34970</v>
      </c>
      <c r="E8762">
        <v>424003</v>
      </c>
      <c r="F8762" t="s">
        <v>1</v>
      </c>
      <c r="G8762" t="s">
        <v>2</v>
      </c>
      <c r="H8762" t="s">
        <v>2465</v>
      </c>
      <c r="J8762" t="s">
        <v>34971</v>
      </c>
      <c r="L8762" t="s">
        <v>34972</v>
      </c>
      <c r="M8762" t="s">
        <v>34973</v>
      </c>
      <c r="P8762" t="s">
        <v>1027</v>
      </c>
      <c r="Y8762" t="s">
        <v>34974</v>
      </c>
    </row>
    <row r="8763" spans="1:25" x14ac:dyDescent="0.25">
      <c r="A8763" t="str">
        <f>"94240386891"</f>
        <v>94240386891</v>
      </c>
      <c r="B8763" t="s">
        <v>1573</v>
      </c>
      <c r="C8763" t="s">
        <v>1817</v>
      </c>
      <c r="D8763" t="s">
        <v>1815</v>
      </c>
      <c r="E8763">
        <v>424039</v>
      </c>
      <c r="F8763" t="s">
        <v>1</v>
      </c>
      <c r="G8763" t="s">
        <v>2</v>
      </c>
      <c r="H8763" t="s">
        <v>34313</v>
      </c>
      <c r="Y8763" t="s">
        <v>34975</v>
      </c>
    </row>
    <row r="8764" spans="1:25" x14ac:dyDescent="0.25">
      <c r="A8764" t="str">
        <f>"94243412987"</f>
        <v>94243412987</v>
      </c>
      <c r="B8764" t="s">
        <v>25</v>
      </c>
      <c r="C8764" t="s">
        <v>34978</v>
      </c>
      <c r="D8764" t="s">
        <v>34976</v>
      </c>
      <c r="E8764">
        <v>424000</v>
      </c>
      <c r="F8764" t="s">
        <v>1</v>
      </c>
      <c r="G8764" t="s">
        <v>2</v>
      </c>
      <c r="H8764" t="s">
        <v>5615</v>
      </c>
      <c r="J8764" t="s">
        <v>34977</v>
      </c>
      <c r="P8764" t="s">
        <v>280</v>
      </c>
      <c r="Y8764" t="s">
        <v>5619</v>
      </c>
    </row>
    <row r="8765" spans="1:25" x14ac:dyDescent="0.25">
      <c r="A8765" t="str">
        <f>"94248693890"</f>
        <v>94248693890</v>
      </c>
      <c r="B8765" t="s">
        <v>348</v>
      </c>
      <c r="C8765" t="s">
        <v>8920</v>
      </c>
      <c r="D8765" t="s">
        <v>3395</v>
      </c>
      <c r="F8765" t="s">
        <v>1</v>
      </c>
      <c r="G8765" t="s">
        <v>2</v>
      </c>
      <c r="H8765" t="s">
        <v>138</v>
      </c>
      <c r="J8765" t="s">
        <v>34979</v>
      </c>
      <c r="P8765" t="s">
        <v>144</v>
      </c>
      <c r="Y8765" t="s">
        <v>34980</v>
      </c>
    </row>
    <row r="8766" spans="1:25" x14ac:dyDescent="0.25">
      <c r="A8766" t="str">
        <f>"94260027035"</f>
        <v>94260027035</v>
      </c>
      <c r="B8766" t="s">
        <v>96</v>
      </c>
      <c r="C8766" t="s">
        <v>893</v>
      </c>
      <c r="D8766" t="s">
        <v>29624</v>
      </c>
      <c r="E8766">
        <v>424000</v>
      </c>
      <c r="F8766" t="s">
        <v>1</v>
      </c>
      <c r="G8766" t="s">
        <v>2</v>
      </c>
      <c r="H8766" t="s">
        <v>937</v>
      </c>
      <c r="P8766" t="s">
        <v>2050</v>
      </c>
      <c r="Y8766" t="s">
        <v>34981</v>
      </c>
    </row>
    <row r="8767" spans="1:25" x14ac:dyDescent="0.25">
      <c r="A8767" t="str">
        <f>"94262411239"</f>
        <v>94262411239</v>
      </c>
      <c r="B8767" t="s">
        <v>3700</v>
      </c>
      <c r="C8767" t="s">
        <v>12422</v>
      </c>
      <c r="D8767" t="s">
        <v>34982</v>
      </c>
      <c r="F8767" t="s">
        <v>1</v>
      </c>
      <c r="G8767" t="s">
        <v>2</v>
      </c>
      <c r="H8767" t="s">
        <v>343</v>
      </c>
      <c r="Y8767" t="s">
        <v>34983</v>
      </c>
    </row>
    <row r="8768" spans="1:25" x14ac:dyDescent="0.25">
      <c r="A8768" t="str">
        <f>"94321093754"</f>
        <v>94321093754</v>
      </c>
      <c r="B8768" t="s">
        <v>176</v>
      </c>
      <c r="C8768" t="s">
        <v>27547</v>
      </c>
      <c r="D8768" t="s">
        <v>27545</v>
      </c>
      <c r="F8768" t="s">
        <v>1</v>
      </c>
      <c r="G8768" t="s">
        <v>2</v>
      </c>
      <c r="H8768" t="s">
        <v>34984</v>
      </c>
      <c r="Y8768" t="s">
        <v>34985</v>
      </c>
    </row>
    <row r="8769" spans="1:25" x14ac:dyDescent="0.25">
      <c r="A8769" t="str">
        <f>"94343789734"</f>
        <v>94343789734</v>
      </c>
      <c r="B8769" t="s">
        <v>530</v>
      </c>
      <c r="C8769" t="s">
        <v>23950</v>
      </c>
      <c r="D8769" t="s">
        <v>23950</v>
      </c>
      <c r="E8769">
        <v>424006</v>
      </c>
      <c r="F8769" t="s">
        <v>1</v>
      </c>
      <c r="G8769" t="s">
        <v>2</v>
      </c>
      <c r="H8769" t="s">
        <v>34986</v>
      </c>
      <c r="Y8769" t="s">
        <v>34987</v>
      </c>
    </row>
    <row r="8770" spans="1:25" x14ac:dyDescent="0.25">
      <c r="A8770" t="str">
        <f>"94393457904"</f>
        <v>94393457904</v>
      </c>
      <c r="B8770" t="s">
        <v>574</v>
      </c>
      <c r="C8770" t="s">
        <v>14269</v>
      </c>
      <c r="D8770" t="s">
        <v>14267</v>
      </c>
      <c r="E8770">
        <v>424038</v>
      </c>
      <c r="F8770" t="s">
        <v>1</v>
      </c>
      <c r="G8770" t="s">
        <v>2</v>
      </c>
      <c r="H8770" t="s">
        <v>21507</v>
      </c>
      <c r="Y8770" t="s">
        <v>34988</v>
      </c>
    </row>
    <row r="8771" spans="1:25" x14ac:dyDescent="0.25">
      <c r="A8771" t="str">
        <f>"94407250416"</f>
        <v>94407250416</v>
      </c>
      <c r="B8771" t="s">
        <v>1475</v>
      </c>
      <c r="C8771" t="s">
        <v>4005</v>
      </c>
      <c r="D8771" t="s">
        <v>34989</v>
      </c>
      <c r="E8771">
        <v>424040</v>
      </c>
      <c r="F8771" t="s">
        <v>1</v>
      </c>
      <c r="G8771" t="s">
        <v>2</v>
      </c>
      <c r="H8771" t="s">
        <v>34990</v>
      </c>
      <c r="Y8771" t="s">
        <v>34991</v>
      </c>
    </row>
    <row r="8772" spans="1:25" x14ac:dyDescent="0.25">
      <c r="A8772" t="str">
        <f>"94467040828"</f>
        <v>94467040828</v>
      </c>
      <c r="B8772" t="s">
        <v>1611</v>
      </c>
      <c r="C8772" t="s">
        <v>3218</v>
      </c>
      <c r="D8772" t="s">
        <v>34992</v>
      </c>
      <c r="E8772">
        <v>424005</v>
      </c>
      <c r="F8772" t="s">
        <v>1</v>
      </c>
      <c r="G8772" t="s">
        <v>2</v>
      </c>
      <c r="H8772" t="s">
        <v>5429</v>
      </c>
      <c r="I8772" t="s">
        <v>34993</v>
      </c>
      <c r="M8772" t="s">
        <v>34994</v>
      </c>
      <c r="P8772" t="s">
        <v>9840</v>
      </c>
      <c r="Y8772" t="s">
        <v>5431</v>
      </c>
    </row>
    <row r="8773" spans="1:25" x14ac:dyDescent="0.25">
      <c r="A8773" t="str">
        <f>"94477209409"</f>
        <v>94477209409</v>
      </c>
      <c r="B8773" t="s">
        <v>388</v>
      </c>
      <c r="C8773" t="s">
        <v>35001</v>
      </c>
      <c r="D8773" t="s">
        <v>34995</v>
      </c>
      <c r="F8773" t="s">
        <v>1</v>
      </c>
      <c r="G8773" t="s">
        <v>2</v>
      </c>
      <c r="H8773" t="s">
        <v>34996</v>
      </c>
      <c r="I8773" t="s">
        <v>34997</v>
      </c>
      <c r="J8773" t="s">
        <v>34998</v>
      </c>
      <c r="L8773" t="s">
        <v>34999</v>
      </c>
      <c r="M8773" t="s">
        <v>35000</v>
      </c>
      <c r="P8773" t="s">
        <v>5459</v>
      </c>
      <c r="Y8773" t="s">
        <v>35002</v>
      </c>
    </row>
    <row r="8774" spans="1:25" x14ac:dyDescent="0.25">
      <c r="A8774" t="str">
        <f>"94543052133"</f>
        <v>94543052133</v>
      </c>
      <c r="B8774" t="s">
        <v>574</v>
      </c>
      <c r="C8774" t="s">
        <v>23462</v>
      </c>
      <c r="D8774" t="s">
        <v>27898</v>
      </c>
      <c r="E8774">
        <v>424039</v>
      </c>
      <c r="F8774" t="s">
        <v>1</v>
      </c>
      <c r="G8774" t="s">
        <v>2</v>
      </c>
      <c r="H8774" t="s">
        <v>23651</v>
      </c>
      <c r="Y8774" t="s">
        <v>35003</v>
      </c>
    </row>
    <row r="8775" spans="1:25" x14ac:dyDescent="0.25">
      <c r="A8775" t="str">
        <f>"94555364326"</f>
        <v>94555364326</v>
      </c>
      <c r="B8775" t="s">
        <v>930</v>
      </c>
      <c r="C8775" t="s">
        <v>927</v>
      </c>
      <c r="D8775" t="s">
        <v>35004</v>
      </c>
      <c r="F8775" t="s">
        <v>1</v>
      </c>
      <c r="G8775" t="s">
        <v>2</v>
      </c>
      <c r="H8775" t="s">
        <v>23969</v>
      </c>
      <c r="P8775" t="s">
        <v>330</v>
      </c>
      <c r="Y8775" t="s">
        <v>35005</v>
      </c>
    </row>
    <row r="8776" spans="1:25" x14ac:dyDescent="0.25">
      <c r="A8776" t="str">
        <f>"94656392264"</f>
        <v>94656392264</v>
      </c>
      <c r="B8776" t="s">
        <v>7312</v>
      </c>
      <c r="C8776" t="s">
        <v>19097</v>
      </c>
      <c r="D8776" t="s">
        <v>19130</v>
      </c>
      <c r="E8776">
        <v>424028</v>
      </c>
      <c r="F8776" t="s">
        <v>1</v>
      </c>
      <c r="G8776" t="s">
        <v>2</v>
      </c>
      <c r="H8776" t="s">
        <v>28946</v>
      </c>
      <c r="Y8776" t="s">
        <v>35006</v>
      </c>
    </row>
    <row r="8777" spans="1:25" x14ac:dyDescent="0.25">
      <c r="A8777" t="str">
        <f>"94690080690"</f>
        <v>94690080690</v>
      </c>
      <c r="B8777" t="s">
        <v>117</v>
      </c>
      <c r="C8777" t="s">
        <v>35007</v>
      </c>
      <c r="D8777" t="s">
        <v>35007</v>
      </c>
      <c r="F8777" t="s">
        <v>1</v>
      </c>
      <c r="G8777" t="s">
        <v>2</v>
      </c>
      <c r="H8777" t="s">
        <v>35008</v>
      </c>
      <c r="Y8777" t="s">
        <v>35009</v>
      </c>
    </row>
    <row r="8778" spans="1:25" x14ac:dyDescent="0.25">
      <c r="A8778" t="str">
        <f>"94698670951"</f>
        <v>94698670951</v>
      </c>
      <c r="B8778" t="s">
        <v>519</v>
      </c>
      <c r="C8778" t="s">
        <v>35014</v>
      </c>
      <c r="D8778" t="s">
        <v>15258</v>
      </c>
      <c r="F8778" t="s">
        <v>1</v>
      </c>
      <c r="G8778" t="s">
        <v>2</v>
      </c>
      <c r="H8778" t="s">
        <v>3984</v>
      </c>
      <c r="I8778" t="s">
        <v>35010</v>
      </c>
      <c r="J8778" t="s">
        <v>35011</v>
      </c>
      <c r="L8778" t="s">
        <v>35012</v>
      </c>
      <c r="M8778" t="s">
        <v>35013</v>
      </c>
      <c r="P8778" t="s">
        <v>27</v>
      </c>
      <c r="Q8778" t="s">
        <v>35015</v>
      </c>
      <c r="S8778" t="s">
        <v>35016</v>
      </c>
      <c r="T8778" t="s">
        <v>35017</v>
      </c>
      <c r="V8778" t="s">
        <v>35018</v>
      </c>
      <c r="Y8778" t="s">
        <v>35019</v>
      </c>
    </row>
    <row r="8779" spans="1:25" x14ac:dyDescent="0.25">
      <c r="A8779" t="str">
        <f>"94703117916"</f>
        <v>94703117916</v>
      </c>
      <c r="B8779" t="s">
        <v>188</v>
      </c>
      <c r="C8779" t="s">
        <v>24568</v>
      </c>
      <c r="D8779" t="s">
        <v>24568</v>
      </c>
      <c r="F8779" t="s">
        <v>1</v>
      </c>
      <c r="G8779" t="s">
        <v>2</v>
      </c>
      <c r="H8779" t="s">
        <v>27403</v>
      </c>
      <c r="Y8779" t="s">
        <v>35020</v>
      </c>
    </row>
    <row r="8780" spans="1:25" x14ac:dyDescent="0.25">
      <c r="A8780" t="str">
        <f>"94722986892"</f>
        <v>94722986892</v>
      </c>
      <c r="B8780" t="s">
        <v>10383</v>
      </c>
      <c r="C8780" t="s">
        <v>24146</v>
      </c>
      <c r="D8780" t="s">
        <v>24146</v>
      </c>
      <c r="F8780" t="s">
        <v>1</v>
      </c>
      <c r="G8780" t="s">
        <v>2</v>
      </c>
      <c r="H8780" t="s">
        <v>35021</v>
      </c>
      <c r="Y8780" t="s">
        <v>35022</v>
      </c>
    </row>
    <row r="8781" spans="1:25" x14ac:dyDescent="0.25">
      <c r="A8781" t="str">
        <f>"94746862948"</f>
        <v>94746862948</v>
      </c>
      <c r="B8781" t="s">
        <v>13560</v>
      </c>
      <c r="C8781" t="s">
        <v>19433</v>
      </c>
      <c r="D8781" t="s">
        <v>35023</v>
      </c>
      <c r="E8781">
        <v>424033</v>
      </c>
      <c r="F8781" t="s">
        <v>1</v>
      </c>
      <c r="G8781" t="s">
        <v>2</v>
      </c>
      <c r="H8781" t="s">
        <v>25565</v>
      </c>
      <c r="I8781" t="s">
        <v>35024</v>
      </c>
      <c r="K8781" t="s">
        <v>35025</v>
      </c>
      <c r="L8781" t="s">
        <v>24300</v>
      </c>
      <c r="P8781" t="s">
        <v>2839</v>
      </c>
      <c r="Y8781" t="s">
        <v>35026</v>
      </c>
    </row>
    <row r="8782" spans="1:25" x14ac:dyDescent="0.25">
      <c r="A8782" t="str">
        <f>"94748598571"</f>
        <v>94748598571</v>
      </c>
      <c r="B8782" t="s">
        <v>290</v>
      </c>
      <c r="C8782" t="s">
        <v>11114</v>
      </c>
      <c r="D8782" t="s">
        <v>14477</v>
      </c>
      <c r="E8782">
        <v>424006</v>
      </c>
      <c r="F8782" t="s">
        <v>1</v>
      </c>
      <c r="G8782" t="s">
        <v>2</v>
      </c>
      <c r="H8782" t="s">
        <v>492</v>
      </c>
      <c r="P8782" t="s">
        <v>35027</v>
      </c>
      <c r="Y8782" t="s">
        <v>35028</v>
      </c>
    </row>
    <row r="8783" spans="1:25" x14ac:dyDescent="0.25">
      <c r="A8783" t="str">
        <f>"94748696180"</f>
        <v>94748696180</v>
      </c>
      <c r="B8783" t="s">
        <v>1152</v>
      </c>
      <c r="C8783" t="s">
        <v>1152</v>
      </c>
      <c r="D8783" t="s">
        <v>35029</v>
      </c>
      <c r="E8783">
        <v>424008</v>
      </c>
      <c r="F8783" t="s">
        <v>1</v>
      </c>
      <c r="G8783" t="s">
        <v>2</v>
      </c>
      <c r="H8783" t="s">
        <v>29445</v>
      </c>
      <c r="J8783" t="s">
        <v>35030</v>
      </c>
      <c r="P8783" t="s">
        <v>1027</v>
      </c>
      <c r="Y8783" t="s">
        <v>29446</v>
      </c>
    </row>
    <row r="8784" spans="1:25" x14ac:dyDescent="0.25">
      <c r="A8784" t="str">
        <f>"94757805324"</f>
        <v>94757805324</v>
      </c>
      <c r="B8784" t="s">
        <v>397</v>
      </c>
      <c r="C8784" t="s">
        <v>1432</v>
      </c>
      <c r="D8784" t="s">
        <v>35031</v>
      </c>
      <c r="F8784" t="s">
        <v>1</v>
      </c>
      <c r="G8784" t="s">
        <v>2</v>
      </c>
      <c r="H8784" t="s">
        <v>12120</v>
      </c>
      <c r="L8784" t="s">
        <v>35032</v>
      </c>
      <c r="M8784" t="s">
        <v>35033</v>
      </c>
      <c r="Y8784" t="s">
        <v>14894</v>
      </c>
    </row>
    <row r="8785" spans="1:25" x14ac:dyDescent="0.25">
      <c r="A8785" t="str">
        <f>"94821696960"</f>
        <v>94821696960</v>
      </c>
      <c r="B8785" t="s">
        <v>32</v>
      </c>
      <c r="C8785" t="s">
        <v>182</v>
      </c>
      <c r="D8785" t="s">
        <v>35034</v>
      </c>
      <c r="E8785">
        <v>424031</v>
      </c>
      <c r="F8785" t="s">
        <v>1</v>
      </c>
      <c r="G8785" t="s">
        <v>2</v>
      </c>
      <c r="H8785" t="s">
        <v>25620</v>
      </c>
      <c r="J8785" t="s">
        <v>35035</v>
      </c>
      <c r="L8785" t="s">
        <v>35036</v>
      </c>
      <c r="M8785" t="s">
        <v>35037</v>
      </c>
      <c r="P8785" t="s">
        <v>144</v>
      </c>
      <c r="Q8785" t="s">
        <v>35038</v>
      </c>
      <c r="T8785" t="s">
        <v>35039</v>
      </c>
      <c r="V8785" t="s">
        <v>35040</v>
      </c>
      <c r="Y8785" t="s">
        <v>35041</v>
      </c>
    </row>
    <row r="8786" spans="1:25" x14ac:dyDescent="0.25">
      <c r="A8786" t="str">
        <f>"94828682108"</f>
        <v>94828682108</v>
      </c>
      <c r="B8786" t="s">
        <v>574</v>
      </c>
      <c r="C8786" t="s">
        <v>9802</v>
      </c>
      <c r="D8786" t="s">
        <v>35042</v>
      </c>
      <c r="E8786">
        <v>424000</v>
      </c>
      <c r="F8786" t="s">
        <v>1</v>
      </c>
      <c r="G8786" t="s">
        <v>2</v>
      </c>
      <c r="H8786" t="s">
        <v>265</v>
      </c>
      <c r="Y8786" t="s">
        <v>35043</v>
      </c>
    </row>
    <row r="8787" spans="1:25" x14ac:dyDescent="0.25">
      <c r="A8787" t="str">
        <f>"94870951702"</f>
        <v>94870951702</v>
      </c>
      <c r="B8787" t="s">
        <v>32</v>
      </c>
      <c r="C8787" t="s">
        <v>182</v>
      </c>
      <c r="D8787" t="s">
        <v>16337</v>
      </c>
      <c r="E8787">
        <v>424005</v>
      </c>
      <c r="F8787" t="s">
        <v>1</v>
      </c>
      <c r="G8787" t="s">
        <v>2</v>
      </c>
      <c r="H8787" t="s">
        <v>1148</v>
      </c>
      <c r="Y8787" t="s">
        <v>35044</v>
      </c>
    </row>
    <row r="8788" spans="1:25" x14ac:dyDescent="0.25">
      <c r="A8788" t="str">
        <f>"94919784377"</f>
        <v>94919784377</v>
      </c>
      <c r="B8788" t="s">
        <v>7</v>
      </c>
      <c r="C8788" t="s">
        <v>9893</v>
      </c>
      <c r="D8788" t="s">
        <v>35045</v>
      </c>
      <c r="E8788">
        <v>424006</v>
      </c>
      <c r="F8788" t="s">
        <v>1</v>
      </c>
      <c r="G8788" t="s">
        <v>2</v>
      </c>
      <c r="H8788" t="s">
        <v>19055</v>
      </c>
      <c r="I8788" t="s">
        <v>35046</v>
      </c>
      <c r="L8788" t="s">
        <v>35047</v>
      </c>
      <c r="M8788" t="s">
        <v>35048</v>
      </c>
      <c r="P8788" t="s">
        <v>5892</v>
      </c>
      <c r="Y8788" t="s">
        <v>35049</v>
      </c>
    </row>
    <row r="8789" spans="1:25" x14ac:dyDescent="0.25">
      <c r="A8789" t="str">
        <f>"94960519411"</f>
        <v>94960519411</v>
      </c>
      <c r="B8789" t="s">
        <v>96</v>
      </c>
      <c r="C8789" t="s">
        <v>893</v>
      </c>
      <c r="D8789" t="s">
        <v>13019</v>
      </c>
      <c r="E8789">
        <v>424039</v>
      </c>
      <c r="F8789" t="s">
        <v>1</v>
      </c>
      <c r="G8789" t="s">
        <v>2</v>
      </c>
      <c r="H8789" t="s">
        <v>5827</v>
      </c>
      <c r="Y8789" t="s">
        <v>23921</v>
      </c>
    </row>
    <row r="8790" spans="1:25" x14ac:dyDescent="0.25">
      <c r="A8790" t="str">
        <f>"94973908046"</f>
        <v>94973908046</v>
      </c>
      <c r="B8790" t="s">
        <v>1544</v>
      </c>
      <c r="C8790" t="s">
        <v>7974</v>
      </c>
      <c r="D8790" t="s">
        <v>24500</v>
      </c>
      <c r="E8790">
        <v>424000</v>
      </c>
      <c r="F8790" t="s">
        <v>1</v>
      </c>
      <c r="G8790" t="s">
        <v>2</v>
      </c>
      <c r="H8790" t="s">
        <v>4462</v>
      </c>
      <c r="P8790" t="s">
        <v>4543</v>
      </c>
      <c r="Y8790" t="s">
        <v>35050</v>
      </c>
    </row>
    <row r="8791" spans="1:25" x14ac:dyDescent="0.25">
      <c r="A8791" t="str">
        <f>"94975555527"</f>
        <v>94975555527</v>
      </c>
      <c r="B8791" t="s">
        <v>88</v>
      </c>
      <c r="C8791" t="s">
        <v>35053</v>
      </c>
      <c r="D8791" t="s">
        <v>35051</v>
      </c>
      <c r="E8791">
        <v>424033</v>
      </c>
      <c r="F8791" t="s">
        <v>1</v>
      </c>
      <c r="G8791" t="s">
        <v>2</v>
      </c>
      <c r="H8791" t="s">
        <v>35052</v>
      </c>
      <c r="P8791" t="s">
        <v>1027</v>
      </c>
      <c r="Q8791" t="s">
        <v>35054</v>
      </c>
      <c r="Y8791" t="s">
        <v>35055</v>
      </c>
    </row>
    <row r="8792" spans="1:25" x14ac:dyDescent="0.25">
      <c r="A8792" t="str">
        <f>"94993874744"</f>
        <v>94993874744</v>
      </c>
      <c r="B8792" t="s">
        <v>1544</v>
      </c>
      <c r="C8792" t="s">
        <v>7974</v>
      </c>
      <c r="D8792" t="s">
        <v>29662</v>
      </c>
      <c r="E8792">
        <v>424038</v>
      </c>
      <c r="F8792" t="s">
        <v>1</v>
      </c>
      <c r="G8792" t="s">
        <v>2</v>
      </c>
      <c r="H8792" t="s">
        <v>2145</v>
      </c>
      <c r="P8792" t="s">
        <v>2738</v>
      </c>
      <c r="Q8792" t="s">
        <v>35056</v>
      </c>
      <c r="Y8792" t="s">
        <v>35057</v>
      </c>
    </row>
    <row r="8793" spans="1:25" x14ac:dyDescent="0.25">
      <c r="A8793" t="str">
        <f>"95035558720"</f>
        <v>95035558720</v>
      </c>
      <c r="B8793" t="s">
        <v>519</v>
      </c>
      <c r="C8793" t="s">
        <v>35058</v>
      </c>
      <c r="D8793" t="s">
        <v>27374</v>
      </c>
      <c r="E8793">
        <v>424000</v>
      </c>
      <c r="F8793" t="s">
        <v>1</v>
      </c>
      <c r="G8793" t="s">
        <v>2</v>
      </c>
      <c r="H8793" t="s">
        <v>5615</v>
      </c>
      <c r="Y8793" t="s">
        <v>5619</v>
      </c>
    </row>
    <row r="8794" spans="1:25" x14ac:dyDescent="0.25">
      <c r="A8794" t="str">
        <f>"95039887449"</f>
        <v>95039887449</v>
      </c>
      <c r="B8794" t="s">
        <v>456</v>
      </c>
      <c r="C8794" t="s">
        <v>14932</v>
      </c>
      <c r="D8794" t="s">
        <v>35059</v>
      </c>
      <c r="E8794">
        <v>424004</v>
      </c>
      <c r="F8794" t="s">
        <v>1</v>
      </c>
      <c r="G8794" t="s">
        <v>2</v>
      </c>
      <c r="H8794" t="s">
        <v>229</v>
      </c>
      <c r="J8794" t="s">
        <v>35060</v>
      </c>
      <c r="L8794" t="s">
        <v>35061</v>
      </c>
      <c r="M8794" t="s">
        <v>35062</v>
      </c>
      <c r="P8794" t="s">
        <v>35063</v>
      </c>
      <c r="Y8794" t="s">
        <v>35064</v>
      </c>
    </row>
    <row r="8795" spans="1:25" x14ac:dyDescent="0.25">
      <c r="A8795" t="str">
        <f>"95052799503"</f>
        <v>95052799503</v>
      </c>
      <c r="B8795" t="s">
        <v>348</v>
      </c>
      <c r="C8795" t="s">
        <v>4366</v>
      </c>
      <c r="D8795" t="s">
        <v>15779</v>
      </c>
      <c r="E8795">
        <v>424006</v>
      </c>
      <c r="F8795" t="s">
        <v>1</v>
      </c>
      <c r="G8795" t="s">
        <v>2</v>
      </c>
      <c r="H8795" t="s">
        <v>2012</v>
      </c>
      <c r="J8795" t="s">
        <v>35065</v>
      </c>
      <c r="P8795" t="s">
        <v>941</v>
      </c>
      <c r="Y8795" t="s">
        <v>2016</v>
      </c>
    </row>
    <row r="8796" spans="1:25" x14ac:dyDescent="0.25">
      <c r="A8796" t="str">
        <f>"95108557382"</f>
        <v>95108557382</v>
      </c>
      <c r="B8796" t="s">
        <v>1343</v>
      </c>
      <c r="C8796" t="s">
        <v>1344</v>
      </c>
      <c r="D8796" t="s">
        <v>34165</v>
      </c>
      <c r="E8796">
        <v>424038</v>
      </c>
      <c r="F8796" t="s">
        <v>1</v>
      </c>
      <c r="G8796" t="s">
        <v>2</v>
      </c>
      <c r="H8796" t="s">
        <v>21388</v>
      </c>
      <c r="P8796" t="s">
        <v>748</v>
      </c>
      <c r="Y8796" t="s">
        <v>24293</v>
      </c>
    </row>
    <row r="8797" spans="1:25" x14ac:dyDescent="0.25">
      <c r="A8797" t="str">
        <f>"95154721234"</f>
        <v>95154721234</v>
      </c>
      <c r="B8797" t="s">
        <v>430</v>
      </c>
      <c r="C8797" t="s">
        <v>35067</v>
      </c>
      <c r="D8797" t="s">
        <v>35066</v>
      </c>
      <c r="E8797">
        <v>424006</v>
      </c>
      <c r="F8797" t="s">
        <v>1</v>
      </c>
      <c r="G8797" t="s">
        <v>2</v>
      </c>
      <c r="H8797" t="s">
        <v>3736</v>
      </c>
      <c r="I8797" t="s">
        <v>3737</v>
      </c>
      <c r="P8797" t="s">
        <v>410</v>
      </c>
      <c r="Y8797" t="s">
        <v>35068</v>
      </c>
    </row>
    <row r="8798" spans="1:25" x14ac:dyDescent="0.25">
      <c r="A8798" t="str">
        <f>"95197937047"</f>
        <v>95197937047</v>
      </c>
      <c r="B8798" t="s">
        <v>1152</v>
      </c>
      <c r="C8798" t="s">
        <v>24032</v>
      </c>
      <c r="D8798" t="s">
        <v>35069</v>
      </c>
      <c r="E8798">
        <v>424039</v>
      </c>
      <c r="F8798" t="s">
        <v>1</v>
      </c>
      <c r="G8798" t="s">
        <v>2</v>
      </c>
      <c r="H8798" t="s">
        <v>23651</v>
      </c>
      <c r="Y8798" t="s">
        <v>35070</v>
      </c>
    </row>
    <row r="8799" spans="1:25" x14ac:dyDescent="0.25">
      <c r="A8799" t="str">
        <f>"95242744181"</f>
        <v>95242744181</v>
      </c>
      <c r="B8799" t="s">
        <v>530</v>
      </c>
      <c r="C8799" t="s">
        <v>23950</v>
      </c>
      <c r="D8799" t="s">
        <v>23950</v>
      </c>
      <c r="F8799" t="s">
        <v>1</v>
      </c>
      <c r="G8799" t="s">
        <v>2</v>
      </c>
      <c r="H8799" t="s">
        <v>35071</v>
      </c>
      <c r="Y8799" t="s">
        <v>35072</v>
      </c>
    </row>
    <row r="8800" spans="1:25" x14ac:dyDescent="0.25">
      <c r="A8800" t="str">
        <f>"95276461457"</f>
        <v>95276461457</v>
      </c>
      <c r="B8800" t="s">
        <v>1078</v>
      </c>
      <c r="C8800" t="s">
        <v>2306</v>
      </c>
      <c r="D8800" t="s">
        <v>21844</v>
      </c>
      <c r="E8800">
        <v>424019</v>
      </c>
      <c r="F8800" t="s">
        <v>1</v>
      </c>
      <c r="G8800" t="s">
        <v>2</v>
      </c>
      <c r="H8800" t="s">
        <v>12105</v>
      </c>
      <c r="I8800" t="s">
        <v>35073</v>
      </c>
      <c r="P8800" t="s">
        <v>144</v>
      </c>
      <c r="Y8800" t="s">
        <v>14260</v>
      </c>
    </row>
    <row r="8801" spans="1:25" x14ac:dyDescent="0.25">
      <c r="A8801" t="str">
        <f>"95295803559"</f>
        <v>95295803559</v>
      </c>
      <c r="B8801" t="s">
        <v>290</v>
      </c>
      <c r="C8801" t="s">
        <v>290</v>
      </c>
      <c r="D8801" t="s">
        <v>35074</v>
      </c>
      <c r="F8801" t="s">
        <v>1</v>
      </c>
      <c r="G8801" t="s">
        <v>2</v>
      </c>
      <c r="H8801" t="s">
        <v>35075</v>
      </c>
      <c r="Y8801" t="s">
        <v>35076</v>
      </c>
    </row>
    <row r="8802" spans="1:25" x14ac:dyDescent="0.25">
      <c r="A8802" t="str">
        <f>"95304185719"</f>
        <v>95304185719</v>
      </c>
      <c r="B8802" t="s">
        <v>1046</v>
      </c>
      <c r="C8802" t="s">
        <v>22946</v>
      </c>
      <c r="D8802" t="s">
        <v>22946</v>
      </c>
      <c r="F8802" t="s">
        <v>1</v>
      </c>
      <c r="G8802" t="s">
        <v>2</v>
      </c>
      <c r="H8802" t="s">
        <v>35077</v>
      </c>
      <c r="Y8802" t="s">
        <v>35078</v>
      </c>
    </row>
    <row r="8803" spans="1:25" x14ac:dyDescent="0.25">
      <c r="A8803" t="str">
        <f>"95305464564"</f>
        <v>95305464564</v>
      </c>
      <c r="B8803" t="s">
        <v>25</v>
      </c>
      <c r="C8803" t="s">
        <v>20320</v>
      </c>
      <c r="D8803" t="s">
        <v>35079</v>
      </c>
      <c r="E8803">
        <v>424003</v>
      </c>
      <c r="F8803" t="s">
        <v>1</v>
      </c>
      <c r="G8803" t="s">
        <v>2</v>
      </c>
      <c r="H8803" t="s">
        <v>2465</v>
      </c>
      <c r="Y8803" t="s">
        <v>35080</v>
      </c>
    </row>
    <row r="8804" spans="1:25" x14ac:dyDescent="0.25">
      <c r="A8804" t="str">
        <f>"95321990484"</f>
        <v>95321990484</v>
      </c>
      <c r="B8804" t="s">
        <v>530</v>
      </c>
      <c r="C8804" t="s">
        <v>23950</v>
      </c>
      <c r="D8804" t="s">
        <v>23950</v>
      </c>
      <c r="F8804" t="s">
        <v>1</v>
      </c>
      <c r="G8804" t="s">
        <v>2</v>
      </c>
      <c r="H8804" t="s">
        <v>29203</v>
      </c>
      <c r="Y8804" t="s">
        <v>35081</v>
      </c>
    </row>
    <row r="8805" spans="1:25" x14ac:dyDescent="0.25">
      <c r="A8805" t="str">
        <f>"95348604904"</f>
        <v>95348604904</v>
      </c>
      <c r="B8805" t="s">
        <v>574</v>
      </c>
      <c r="C8805" t="s">
        <v>952</v>
      </c>
      <c r="D8805" t="s">
        <v>26311</v>
      </c>
      <c r="E8805">
        <v>424038</v>
      </c>
      <c r="F8805" t="s">
        <v>1</v>
      </c>
      <c r="G8805" t="s">
        <v>2</v>
      </c>
      <c r="H8805" t="s">
        <v>35082</v>
      </c>
      <c r="Y8805" t="s">
        <v>35083</v>
      </c>
    </row>
    <row r="8806" spans="1:25" x14ac:dyDescent="0.25">
      <c r="A8806" t="str">
        <f>"95396091782"</f>
        <v>95396091782</v>
      </c>
      <c r="B8806" t="s">
        <v>530</v>
      </c>
      <c r="C8806" t="s">
        <v>23950</v>
      </c>
      <c r="D8806" t="s">
        <v>23950</v>
      </c>
      <c r="F8806" t="s">
        <v>1</v>
      </c>
      <c r="G8806" t="s">
        <v>2</v>
      </c>
      <c r="H8806" t="s">
        <v>27567</v>
      </c>
      <c r="Y8806" t="s">
        <v>35084</v>
      </c>
    </row>
    <row r="8807" spans="1:25" x14ac:dyDescent="0.25">
      <c r="A8807" t="str">
        <f>"95397250439"</f>
        <v>95397250439</v>
      </c>
      <c r="B8807" t="s">
        <v>18</v>
      </c>
      <c r="C8807" t="s">
        <v>35085</v>
      </c>
      <c r="D8807" t="s">
        <v>14709</v>
      </c>
      <c r="F8807" t="s">
        <v>1</v>
      </c>
      <c r="G8807" t="s">
        <v>2</v>
      </c>
      <c r="H8807" t="s">
        <v>4957</v>
      </c>
      <c r="Y8807" t="s">
        <v>32643</v>
      </c>
    </row>
    <row r="8808" spans="1:25" x14ac:dyDescent="0.25">
      <c r="A8808" t="str">
        <f>"95425917192"</f>
        <v>95425917192</v>
      </c>
      <c r="B8808" t="s">
        <v>348</v>
      </c>
      <c r="C8808" t="s">
        <v>4366</v>
      </c>
      <c r="D8808" t="s">
        <v>35086</v>
      </c>
      <c r="E8808">
        <v>424039</v>
      </c>
      <c r="F8808" t="s">
        <v>1</v>
      </c>
      <c r="G8808" t="s">
        <v>2</v>
      </c>
      <c r="H8808" t="s">
        <v>35087</v>
      </c>
      <c r="J8808" t="s">
        <v>35088</v>
      </c>
      <c r="P8808" t="s">
        <v>390</v>
      </c>
      <c r="Y8808" t="s">
        <v>35089</v>
      </c>
    </row>
    <row r="8809" spans="1:25" x14ac:dyDescent="0.25">
      <c r="A8809" t="str">
        <f>"95499139094"</f>
        <v>95499139094</v>
      </c>
      <c r="B8809" t="s">
        <v>530</v>
      </c>
      <c r="C8809" t="s">
        <v>23950</v>
      </c>
      <c r="D8809" t="s">
        <v>23950</v>
      </c>
      <c r="F8809" t="s">
        <v>1</v>
      </c>
      <c r="G8809" t="s">
        <v>2</v>
      </c>
      <c r="H8809" t="s">
        <v>27272</v>
      </c>
      <c r="Y8809" t="s">
        <v>35090</v>
      </c>
    </row>
    <row r="8810" spans="1:25" x14ac:dyDescent="0.25">
      <c r="A8810" t="str">
        <f>"95501630171"</f>
        <v>95501630171</v>
      </c>
      <c r="B8810" t="s">
        <v>96</v>
      </c>
      <c r="C8810" t="s">
        <v>893</v>
      </c>
      <c r="D8810" t="s">
        <v>35091</v>
      </c>
      <c r="E8810">
        <v>424000</v>
      </c>
      <c r="F8810" t="s">
        <v>1</v>
      </c>
      <c r="G8810" t="s">
        <v>2</v>
      </c>
      <c r="H8810" t="s">
        <v>1531</v>
      </c>
      <c r="I8810" t="s">
        <v>35092</v>
      </c>
      <c r="P8810" t="s">
        <v>941</v>
      </c>
      <c r="Y8810" t="s">
        <v>4373</v>
      </c>
    </row>
    <row r="8811" spans="1:25" x14ac:dyDescent="0.25">
      <c r="A8811" t="str">
        <f>"95502427184"</f>
        <v>95502427184</v>
      </c>
      <c r="B8811" t="s">
        <v>188</v>
      </c>
      <c r="C8811" t="s">
        <v>23982</v>
      </c>
      <c r="D8811" t="s">
        <v>23982</v>
      </c>
      <c r="E8811">
        <v>424038</v>
      </c>
      <c r="F8811" t="s">
        <v>1</v>
      </c>
      <c r="G8811" t="s">
        <v>2</v>
      </c>
      <c r="H8811" t="s">
        <v>13739</v>
      </c>
      <c r="Y8811" t="s">
        <v>35093</v>
      </c>
    </row>
    <row r="8812" spans="1:25" x14ac:dyDescent="0.25">
      <c r="A8812" t="str">
        <f>"95506479225"</f>
        <v>95506479225</v>
      </c>
      <c r="B8812" t="s">
        <v>574</v>
      </c>
      <c r="C8812" t="s">
        <v>14016</v>
      </c>
      <c r="D8812" t="s">
        <v>35094</v>
      </c>
      <c r="E8812">
        <v>424000</v>
      </c>
      <c r="F8812" t="s">
        <v>1</v>
      </c>
      <c r="G8812" t="s">
        <v>2</v>
      </c>
      <c r="H8812" t="s">
        <v>2299</v>
      </c>
      <c r="I8812" t="s">
        <v>35095</v>
      </c>
      <c r="P8812" t="s">
        <v>1760</v>
      </c>
      <c r="Y8812" t="s">
        <v>2302</v>
      </c>
    </row>
    <row r="8813" spans="1:25" x14ac:dyDescent="0.25">
      <c r="A8813" t="str">
        <f>"95526191461"</f>
        <v>95526191461</v>
      </c>
      <c r="B8813" t="s">
        <v>2790</v>
      </c>
      <c r="C8813" t="s">
        <v>3528</v>
      </c>
      <c r="D8813" t="s">
        <v>35096</v>
      </c>
      <c r="E8813">
        <v>424003</v>
      </c>
      <c r="F8813" t="s">
        <v>1</v>
      </c>
      <c r="G8813" t="s">
        <v>2</v>
      </c>
      <c r="H8813" t="s">
        <v>26085</v>
      </c>
      <c r="J8813" t="s">
        <v>35097</v>
      </c>
      <c r="P8813" t="s">
        <v>4073</v>
      </c>
      <c r="Y8813" t="s">
        <v>26088</v>
      </c>
    </row>
    <row r="8814" spans="1:25" x14ac:dyDescent="0.25">
      <c r="A8814" t="str">
        <f>"95568933193"</f>
        <v>95568933193</v>
      </c>
      <c r="B8814" t="s">
        <v>397</v>
      </c>
      <c r="C8814" t="s">
        <v>22344</v>
      </c>
      <c r="D8814" t="s">
        <v>35098</v>
      </c>
      <c r="E8814">
        <v>424032</v>
      </c>
      <c r="F8814" t="s">
        <v>1</v>
      </c>
      <c r="G8814" t="s">
        <v>2</v>
      </c>
      <c r="H8814" t="s">
        <v>5699</v>
      </c>
      <c r="I8814" t="s">
        <v>35099</v>
      </c>
      <c r="P8814" t="s">
        <v>1433</v>
      </c>
      <c r="Y8814" t="s">
        <v>35100</v>
      </c>
    </row>
    <row r="8815" spans="1:25" x14ac:dyDescent="0.25">
      <c r="A8815" t="str">
        <f>"95591745478"</f>
        <v>95591745478</v>
      </c>
      <c r="B8815" t="s">
        <v>2104</v>
      </c>
      <c r="C8815" t="s">
        <v>2105</v>
      </c>
      <c r="D8815" t="s">
        <v>32026</v>
      </c>
      <c r="E8815">
        <v>424028</v>
      </c>
      <c r="F8815" t="s">
        <v>1</v>
      </c>
      <c r="G8815" t="s">
        <v>2</v>
      </c>
      <c r="H8815" t="s">
        <v>5034</v>
      </c>
      <c r="Y8815" t="s">
        <v>35101</v>
      </c>
    </row>
    <row r="8816" spans="1:25" x14ac:dyDescent="0.25">
      <c r="A8816" t="str">
        <f>"95627475276"</f>
        <v>95627475276</v>
      </c>
      <c r="B8816" t="s">
        <v>1046</v>
      </c>
      <c r="C8816" t="s">
        <v>22946</v>
      </c>
      <c r="D8816" t="s">
        <v>22946</v>
      </c>
      <c r="E8816">
        <v>424038</v>
      </c>
      <c r="F8816" t="s">
        <v>1</v>
      </c>
      <c r="G8816" t="s">
        <v>2</v>
      </c>
      <c r="H8816" t="s">
        <v>11821</v>
      </c>
      <c r="Y8816" t="s">
        <v>35102</v>
      </c>
    </row>
    <row r="8817" spans="1:25" x14ac:dyDescent="0.25">
      <c r="A8817" t="str">
        <f>"95637534992"</f>
        <v>95637534992</v>
      </c>
      <c r="B8817" t="s">
        <v>25664</v>
      </c>
      <c r="C8817" t="s">
        <v>25665</v>
      </c>
      <c r="D8817" t="s">
        <v>35103</v>
      </c>
      <c r="E8817">
        <v>424028</v>
      </c>
      <c r="F8817" t="s">
        <v>1</v>
      </c>
      <c r="G8817" t="s">
        <v>2</v>
      </c>
      <c r="H8817" t="s">
        <v>8743</v>
      </c>
      <c r="Y8817" t="s">
        <v>35104</v>
      </c>
    </row>
    <row r="8818" spans="1:25" x14ac:dyDescent="0.25">
      <c r="A8818" t="str">
        <f>"95707825022"</f>
        <v>95707825022</v>
      </c>
      <c r="B8818" t="s">
        <v>1152</v>
      </c>
      <c r="C8818" t="s">
        <v>8523</v>
      </c>
      <c r="D8818" t="s">
        <v>35105</v>
      </c>
      <c r="E8818">
        <v>424000</v>
      </c>
      <c r="F8818" t="s">
        <v>1</v>
      </c>
      <c r="G8818" t="s">
        <v>2</v>
      </c>
      <c r="H8818" t="s">
        <v>5615</v>
      </c>
      <c r="J8818" t="s">
        <v>35106</v>
      </c>
      <c r="P8818" t="s">
        <v>216</v>
      </c>
      <c r="Y8818" t="s">
        <v>5619</v>
      </c>
    </row>
    <row r="8819" spans="1:25" x14ac:dyDescent="0.25">
      <c r="A8819" t="str">
        <f>"95727210064"</f>
        <v>95727210064</v>
      </c>
      <c r="B8819" t="s">
        <v>574</v>
      </c>
      <c r="C8819" t="s">
        <v>646</v>
      </c>
      <c r="D8819" t="s">
        <v>35107</v>
      </c>
      <c r="E8819">
        <v>424033</v>
      </c>
      <c r="F8819" t="s">
        <v>1</v>
      </c>
      <c r="G8819" t="s">
        <v>2</v>
      </c>
      <c r="H8819" t="s">
        <v>10720</v>
      </c>
      <c r="P8819" t="s">
        <v>216</v>
      </c>
      <c r="Y8819" t="s">
        <v>10723</v>
      </c>
    </row>
    <row r="8820" spans="1:25" x14ac:dyDescent="0.25">
      <c r="A8820" t="str">
        <f>"95800548318"</f>
        <v>95800548318</v>
      </c>
      <c r="B8820" t="s">
        <v>738</v>
      </c>
      <c r="C8820" t="s">
        <v>739</v>
      </c>
      <c r="D8820" t="s">
        <v>35108</v>
      </c>
      <c r="E8820">
        <v>424033</v>
      </c>
      <c r="F8820" t="s">
        <v>1</v>
      </c>
      <c r="G8820" t="s">
        <v>2</v>
      </c>
      <c r="H8820" t="s">
        <v>6953</v>
      </c>
      <c r="J8820" t="s">
        <v>35109</v>
      </c>
      <c r="P8820" t="s">
        <v>35110</v>
      </c>
      <c r="Y8820" t="s">
        <v>13534</v>
      </c>
    </row>
    <row r="8821" spans="1:25" x14ac:dyDescent="0.25">
      <c r="A8821" t="str">
        <f>"95867533893"</f>
        <v>95867533893</v>
      </c>
      <c r="B8821" t="s">
        <v>96</v>
      </c>
      <c r="C8821" t="s">
        <v>893</v>
      </c>
      <c r="D8821" t="s">
        <v>35111</v>
      </c>
      <c r="E8821">
        <v>424028</v>
      </c>
      <c r="F8821" t="s">
        <v>1</v>
      </c>
      <c r="G8821" t="s">
        <v>2</v>
      </c>
      <c r="H8821" t="s">
        <v>5034</v>
      </c>
      <c r="Y8821" t="s">
        <v>5036</v>
      </c>
    </row>
    <row r="8822" spans="1:25" x14ac:dyDescent="0.25">
      <c r="A8822" t="str">
        <f>"95878477093"</f>
        <v>95878477093</v>
      </c>
      <c r="B8822" t="s">
        <v>1573</v>
      </c>
      <c r="C8822" t="s">
        <v>1753</v>
      </c>
      <c r="D8822" t="s">
        <v>23156</v>
      </c>
      <c r="E8822">
        <v>424002</v>
      </c>
      <c r="F8822" t="s">
        <v>1</v>
      </c>
      <c r="G8822" t="s">
        <v>2</v>
      </c>
      <c r="H8822" t="s">
        <v>3864</v>
      </c>
      <c r="Y8822" t="s">
        <v>35112</v>
      </c>
    </row>
    <row r="8823" spans="1:25" x14ac:dyDescent="0.25">
      <c r="A8823" t="str">
        <f>"95890538233"</f>
        <v>95890538233</v>
      </c>
      <c r="B8823" t="s">
        <v>530</v>
      </c>
      <c r="C8823" t="s">
        <v>23950</v>
      </c>
      <c r="D8823" t="s">
        <v>23950</v>
      </c>
      <c r="F8823" t="s">
        <v>1</v>
      </c>
      <c r="G8823" t="s">
        <v>2</v>
      </c>
      <c r="H8823" t="s">
        <v>35113</v>
      </c>
      <c r="Y8823" t="s">
        <v>35114</v>
      </c>
    </row>
    <row r="8824" spans="1:25" x14ac:dyDescent="0.25">
      <c r="A8824" t="str">
        <f>"95893975201"</f>
        <v>95893975201</v>
      </c>
      <c r="B8824" t="s">
        <v>96</v>
      </c>
      <c r="C8824" t="s">
        <v>26416</v>
      </c>
      <c r="D8824" t="s">
        <v>25910</v>
      </c>
      <c r="F8824" t="s">
        <v>1</v>
      </c>
      <c r="G8824" t="s">
        <v>2</v>
      </c>
      <c r="H8824" t="s">
        <v>19499</v>
      </c>
      <c r="P8824" t="s">
        <v>144</v>
      </c>
      <c r="Y8824" t="s">
        <v>24185</v>
      </c>
    </row>
    <row r="8825" spans="1:25" x14ac:dyDescent="0.25">
      <c r="A8825" t="str">
        <f>"95917508071"</f>
        <v>95917508071</v>
      </c>
      <c r="B8825" t="s">
        <v>18</v>
      </c>
      <c r="C8825" t="s">
        <v>30306</v>
      </c>
      <c r="D8825" t="s">
        <v>35115</v>
      </c>
      <c r="E8825">
        <v>424038</v>
      </c>
      <c r="F8825" t="s">
        <v>1</v>
      </c>
      <c r="G8825" t="s">
        <v>2</v>
      </c>
      <c r="H8825" t="s">
        <v>8464</v>
      </c>
      <c r="I8825" t="s">
        <v>35116</v>
      </c>
      <c r="L8825" t="s">
        <v>35117</v>
      </c>
      <c r="M8825" t="s">
        <v>35118</v>
      </c>
      <c r="P8825" t="s">
        <v>35119</v>
      </c>
      <c r="Q8825" t="s">
        <v>35120</v>
      </c>
      <c r="R8825" t="s">
        <v>35121</v>
      </c>
      <c r="T8825" t="s">
        <v>35122</v>
      </c>
      <c r="V8825" t="s">
        <v>35123</v>
      </c>
      <c r="Y8825" t="s">
        <v>35124</v>
      </c>
    </row>
    <row r="8826" spans="1:25" x14ac:dyDescent="0.25">
      <c r="A8826" t="str">
        <f>"95943893225"</f>
        <v>95943893225</v>
      </c>
      <c r="B8826" t="s">
        <v>379</v>
      </c>
      <c r="C8826" t="s">
        <v>766</v>
      </c>
      <c r="D8826" t="s">
        <v>28425</v>
      </c>
      <c r="F8826" t="s">
        <v>1</v>
      </c>
      <c r="G8826" t="s">
        <v>2</v>
      </c>
      <c r="H8826" t="s">
        <v>31427</v>
      </c>
      <c r="I8826" t="s">
        <v>28426</v>
      </c>
      <c r="M8826" t="s">
        <v>28427</v>
      </c>
      <c r="P8826" t="s">
        <v>1404</v>
      </c>
      <c r="Q8826" t="s">
        <v>28428</v>
      </c>
      <c r="V8826" t="s">
        <v>28429</v>
      </c>
      <c r="Y8826" t="s">
        <v>35125</v>
      </c>
    </row>
    <row r="8827" spans="1:25" x14ac:dyDescent="0.25">
      <c r="A8827" t="str">
        <f>"96004181814"</f>
        <v>96004181814</v>
      </c>
      <c r="B8827" t="s">
        <v>1046</v>
      </c>
      <c r="C8827" t="s">
        <v>22946</v>
      </c>
      <c r="D8827" t="s">
        <v>22946</v>
      </c>
      <c r="F8827" t="s">
        <v>1</v>
      </c>
      <c r="G8827" t="s">
        <v>2</v>
      </c>
      <c r="H8827" t="s">
        <v>35021</v>
      </c>
      <c r="Y8827" t="s">
        <v>35126</v>
      </c>
    </row>
    <row r="8828" spans="1:25" x14ac:dyDescent="0.25">
      <c r="A8828" t="str">
        <f>"96033537172"</f>
        <v>96033537172</v>
      </c>
      <c r="B8828" t="s">
        <v>456</v>
      </c>
      <c r="C8828" t="s">
        <v>35131</v>
      </c>
      <c r="D8828" t="s">
        <v>35127</v>
      </c>
      <c r="E8828">
        <v>424006</v>
      </c>
      <c r="F8828" t="s">
        <v>1</v>
      </c>
      <c r="G8828" t="s">
        <v>2</v>
      </c>
      <c r="H8828" t="s">
        <v>2185</v>
      </c>
      <c r="I8828" t="s">
        <v>35128</v>
      </c>
      <c r="L8828" t="s">
        <v>35129</v>
      </c>
      <c r="M8828" t="s">
        <v>35130</v>
      </c>
      <c r="P8828" t="s">
        <v>2457</v>
      </c>
      <c r="Y8828" t="s">
        <v>2191</v>
      </c>
    </row>
    <row r="8829" spans="1:25" x14ac:dyDescent="0.25">
      <c r="A8829" t="str">
        <f>"96034863044"</f>
        <v>96034863044</v>
      </c>
      <c r="B8829" t="s">
        <v>188</v>
      </c>
      <c r="C8829" t="s">
        <v>24568</v>
      </c>
      <c r="D8829" t="s">
        <v>35132</v>
      </c>
      <c r="F8829" t="s">
        <v>1</v>
      </c>
      <c r="G8829" t="s">
        <v>2</v>
      </c>
      <c r="H8829" t="s">
        <v>5906</v>
      </c>
      <c r="Y8829" t="s">
        <v>35133</v>
      </c>
    </row>
    <row r="8830" spans="1:25" x14ac:dyDescent="0.25">
      <c r="A8830" t="str">
        <f>"96046062723"</f>
        <v>96046062723</v>
      </c>
      <c r="B8830" t="s">
        <v>624</v>
      </c>
      <c r="C8830" t="s">
        <v>1637</v>
      </c>
      <c r="D8830" t="s">
        <v>35134</v>
      </c>
      <c r="E8830">
        <v>424016</v>
      </c>
      <c r="F8830" t="s">
        <v>1</v>
      </c>
      <c r="G8830" t="s">
        <v>2</v>
      </c>
      <c r="H8830" t="s">
        <v>35135</v>
      </c>
      <c r="J8830" t="s">
        <v>35136</v>
      </c>
      <c r="P8830" t="s">
        <v>330</v>
      </c>
      <c r="Y8830" t="s">
        <v>35137</v>
      </c>
    </row>
    <row r="8831" spans="1:25" x14ac:dyDescent="0.25">
      <c r="A8831" t="str">
        <f>"96048813967"</f>
        <v>96048813967</v>
      </c>
      <c r="B8831" t="s">
        <v>1053</v>
      </c>
      <c r="C8831" t="s">
        <v>1927</v>
      </c>
      <c r="D8831" t="s">
        <v>35138</v>
      </c>
      <c r="E8831">
        <v>424006</v>
      </c>
      <c r="F8831" t="s">
        <v>1</v>
      </c>
      <c r="G8831" t="s">
        <v>2</v>
      </c>
      <c r="H8831" t="s">
        <v>2796</v>
      </c>
      <c r="Y8831" t="s">
        <v>2803</v>
      </c>
    </row>
    <row r="8832" spans="1:25" x14ac:dyDescent="0.25">
      <c r="A8832" t="str">
        <f>"96108091536"</f>
        <v>96108091536</v>
      </c>
      <c r="B8832" t="s">
        <v>188</v>
      </c>
      <c r="C8832" t="s">
        <v>24568</v>
      </c>
      <c r="D8832" t="s">
        <v>24568</v>
      </c>
      <c r="F8832" t="s">
        <v>1</v>
      </c>
      <c r="G8832" t="s">
        <v>2</v>
      </c>
      <c r="H8832" t="s">
        <v>35139</v>
      </c>
      <c r="Y8832" t="s">
        <v>35140</v>
      </c>
    </row>
    <row r="8833" spans="1:25" x14ac:dyDescent="0.25">
      <c r="A8833" t="str">
        <f>"96156939889"</f>
        <v>96156939889</v>
      </c>
      <c r="B8833" t="s">
        <v>1323</v>
      </c>
      <c r="C8833" t="s">
        <v>1324</v>
      </c>
      <c r="D8833" t="s">
        <v>35141</v>
      </c>
      <c r="E8833">
        <v>424002</v>
      </c>
      <c r="F8833" t="s">
        <v>1</v>
      </c>
      <c r="G8833" t="s">
        <v>2</v>
      </c>
      <c r="H8833" t="s">
        <v>25759</v>
      </c>
      <c r="Y8833" t="s">
        <v>35142</v>
      </c>
    </row>
    <row r="8834" spans="1:25" x14ac:dyDescent="0.25">
      <c r="A8834" t="str">
        <f>"96200855357"</f>
        <v>96200855357</v>
      </c>
      <c r="B8834" t="s">
        <v>151</v>
      </c>
      <c r="C8834" t="s">
        <v>151</v>
      </c>
      <c r="D8834" t="s">
        <v>151</v>
      </c>
      <c r="E8834">
        <v>424006</v>
      </c>
      <c r="F8834" t="s">
        <v>1</v>
      </c>
      <c r="G8834" t="s">
        <v>2</v>
      </c>
      <c r="H8834" t="s">
        <v>4710</v>
      </c>
      <c r="Y8834" t="s">
        <v>35143</v>
      </c>
    </row>
    <row r="8835" spans="1:25" x14ac:dyDescent="0.25">
      <c r="A8835" t="str">
        <f>"96208913052"</f>
        <v>96208913052</v>
      </c>
      <c r="B8835" t="s">
        <v>1053</v>
      </c>
      <c r="C8835" t="s">
        <v>1927</v>
      </c>
      <c r="D8835" t="s">
        <v>29263</v>
      </c>
      <c r="E8835">
        <v>424007</v>
      </c>
      <c r="F8835" t="s">
        <v>1</v>
      </c>
      <c r="G8835" t="s">
        <v>2</v>
      </c>
      <c r="H8835" t="s">
        <v>1242</v>
      </c>
      <c r="I8835" t="s">
        <v>29264</v>
      </c>
      <c r="P8835" t="s">
        <v>20</v>
      </c>
      <c r="Y8835" t="s">
        <v>1754</v>
      </c>
    </row>
    <row r="8836" spans="1:25" x14ac:dyDescent="0.25">
      <c r="A8836" t="str">
        <f>"96234910246"</f>
        <v>96234910246</v>
      </c>
      <c r="B8836" t="s">
        <v>10383</v>
      </c>
      <c r="C8836" t="s">
        <v>24146</v>
      </c>
      <c r="D8836" t="s">
        <v>24146</v>
      </c>
      <c r="F8836" t="s">
        <v>1</v>
      </c>
      <c r="G8836" t="s">
        <v>2</v>
      </c>
      <c r="H8836" t="s">
        <v>35144</v>
      </c>
      <c r="Y8836" t="s">
        <v>35145</v>
      </c>
    </row>
    <row r="8837" spans="1:25" x14ac:dyDescent="0.25">
      <c r="A8837" t="str">
        <f>"96235567791"</f>
        <v>96235567791</v>
      </c>
      <c r="B8837" t="s">
        <v>160</v>
      </c>
      <c r="C8837" t="s">
        <v>1666</v>
      </c>
      <c r="D8837" t="s">
        <v>35146</v>
      </c>
      <c r="E8837">
        <v>424006</v>
      </c>
      <c r="F8837" t="s">
        <v>1</v>
      </c>
      <c r="G8837" t="s">
        <v>2</v>
      </c>
      <c r="H8837" t="s">
        <v>14598</v>
      </c>
      <c r="I8837" t="s">
        <v>35147</v>
      </c>
      <c r="L8837" t="s">
        <v>35148</v>
      </c>
      <c r="P8837" t="s">
        <v>20</v>
      </c>
      <c r="Y8837" t="s">
        <v>14599</v>
      </c>
    </row>
    <row r="8838" spans="1:25" x14ac:dyDescent="0.25">
      <c r="A8838" t="str">
        <f>"96254532080"</f>
        <v>96254532080</v>
      </c>
      <c r="B8838" t="s">
        <v>803</v>
      </c>
      <c r="C8838" t="s">
        <v>4941</v>
      </c>
      <c r="D8838" t="s">
        <v>35149</v>
      </c>
      <c r="E8838">
        <v>424026</v>
      </c>
      <c r="F8838" t="s">
        <v>1</v>
      </c>
      <c r="G8838" t="s">
        <v>2</v>
      </c>
      <c r="H8838" t="s">
        <v>6415</v>
      </c>
      <c r="I8838" t="s">
        <v>35150</v>
      </c>
      <c r="J8838" t="s">
        <v>35151</v>
      </c>
      <c r="P8838" t="s">
        <v>869</v>
      </c>
      <c r="Y8838" t="s">
        <v>35152</v>
      </c>
    </row>
    <row r="8839" spans="1:25" x14ac:dyDescent="0.25">
      <c r="A8839" t="str">
        <f>"96275294933"</f>
        <v>96275294933</v>
      </c>
      <c r="B8839" t="s">
        <v>290</v>
      </c>
      <c r="C8839" t="s">
        <v>290</v>
      </c>
      <c r="D8839" t="s">
        <v>35153</v>
      </c>
      <c r="E8839">
        <v>424039</v>
      </c>
      <c r="F8839" t="s">
        <v>1</v>
      </c>
      <c r="G8839" t="s">
        <v>2</v>
      </c>
      <c r="H8839" t="s">
        <v>5827</v>
      </c>
      <c r="P8839" t="s">
        <v>330</v>
      </c>
      <c r="Y8839" t="s">
        <v>35154</v>
      </c>
    </row>
    <row r="8840" spans="1:25" x14ac:dyDescent="0.25">
      <c r="A8840" t="str">
        <f>"96299010845"</f>
        <v>96299010845</v>
      </c>
      <c r="B8840" t="s">
        <v>1352</v>
      </c>
      <c r="C8840" t="s">
        <v>2093</v>
      </c>
      <c r="D8840" t="s">
        <v>35155</v>
      </c>
      <c r="E8840">
        <v>424004</v>
      </c>
      <c r="F8840" t="s">
        <v>1</v>
      </c>
      <c r="G8840" t="s">
        <v>2</v>
      </c>
      <c r="H8840" t="s">
        <v>2392</v>
      </c>
      <c r="J8840" t="s">
        <v>35156</v>
      </c>
      <c r="L8840" t="s">
        <v>35157</v>
      </c>
      <c r="M8840" t="s">
        <v>35158</v>
      </c>
      <c r="P8840" t="s">
        <v>2830</v>
      </c>
      <c r="Y8840" t="s">
        <v>35159</v>
      </c>
    </row>
    <row r="8841" spans="1:25" x14ac:dyDescent="0.25">
      <c r="A8841" t="str">
        <f>"96370649305"</f>
        <v>96370649305</v>
      </c>
      <c r="B8841" t="s">
        <v>1343</v>
      </c>
      <c r="C8841" t="s">
        <v>13544</v>
      </c>
      <c r="D8841" t="s">
        <v>26865</v>
      </c>
      <c r="E8841">
        <v>424038</v>
      </c>
      <c r="F8841" t="s">
        <v>1</v>
      </c>
      <c r="G8841" t="s">
        <v>2</v>
      </c>
      <c r="H8841" t="s">
        <v>21507</v>
      </c>
      <c r="Y8841" t="s">
        <v>35160</v>
      </c>
    </row>
    <row r="8842" spans="1:25" x14ac:dyDescent="0.25">
      <c r="A8842" t="str">
        <f>"96391336818"</f>
        <v>96391336818</v>
      </c>
      <c r="B8842" t="s">
        <v>32</v>
      </c>
      <c r="C8842" t="s">
        <v>40</v>
      </c>
      <c r="D8842" t="s">
        <v>4725</v>
      </c>
      <c r="E8842">
        <v>424000</v>
      </c>
      <c r="F8842" t="s">
        <v>1</v>
      </c>
      <c r="G8842" t="s">
        <v>2</v>
      </c>
      <c r="H8842" t="s">
        <v>31391</v>
      </c>
      <c r="Y8842" t="s">
        <v>35161</v>
      </c>
    </row>
    <row r="8843" spans="1:25" x14ac:dyDescent="0.25">
      <c r="A8843" t="str">
        <f>"96396962351"</f>
        <v>96396962351</v>
      </c>
      <c r="B8843" t="s">
        <v>1573</v>
      </c>
      <c r="C8843" t="s">
        <v>35165</v>
      </c>
      <c r="D8843" t="s">
        <v>35162</v>
      </c>
      <c r="E8843">
        <v>424006</v>
      </c>
      <c r="F8843" t="s">
        <v>1</v>
      </c>
      <c r="G8843" t="s">
        <v>2</v>
      </c>
      <c r="H8843" t="s">
        <v>2012</v>
      </c>
      <c r="I8843" t="s">
        <v>35163</v>
      </c>
      <c r="M8843" t="s">
        <v>35164</v>
      </c>
      <c r="P8843" t="s">
        <v>20</v>
      </c>
      <c r="Y8843" t="s">
        <v>2016</v>
      </c>
    </row>
    <row r="8844" spans="1:25" x14ac:dyDescent="0.25">
      <c r="A8844" t="str">
        <f>"96420269692"</f>
        <v>96420269692</v>
      </c>
      <c r="B8844" t="s">
        <v>290</v>
      </c>
      <c r="C8844" t="s">
        <v>290</v>
      </c>
      <c r="D8844" t="s">
        <v>35166</v>
      </c>
      <c r="E8844">
        <v>424031</v>
      </c>
      <c r="F8844" t="s">
        <v>1</v>
      </c>
      <c r="G8844" t="s">
        <v>2</v>
      </c>
      <c r="H8844" t="s">
        <v>812</v>
      </c>
      <c r="P8844" t="s">
        <v>4006</v>
      </c>
      <c r="Y8844" t="s">
        <v>35167</v>
      </c>
    </row>
    <row r="8845" spans="1:25" x14ac:dyDescent="0.25">
      <c r="A8845" t="str">
        <f>"96456990286"</f>
        <v>96456990286</v>
      </c>
      <c r="B8845" t="s">
        <v>574</v>
      </c>
      <c r="C8845" t="s">
        <v>21805</v>
      </c>
      <c r="D8845" t="s">
        <v>21175</v>
      </c>
      <c r="E8845">
        <v>424020</v>
      </c>
      <c r="F8845" t="s">
        <v>1</v>
      </c>
      <c r="G8845" t="s">
        <v>2</v>
      </c>
      <c r="H8845" t="s">
        <v>1837</v>
      </c>
      <c r="J8845" t="s">
        <v>14653</v>
      </c>
      <c r="P8845" t="s">
        <v>4848</v>
      </c>
      <c r="Y8845" t="s">
        <v>1842</v>
      </c>
    </row>
    <row r="8846" spans="1:25" x14ac:dyDescent="0.25">
      <c r="A8846" t="str">
        <f>"96463923179"</f>
        <v>96463923179</v>
      </c>
      <c r="B8846" t="s">
        <v>348</v>
      </c>
      <c r="C8846" t="s">
        <v>4366</v>
      </c>
      <c r="D8846" t="s">
        <v>348</v>
      </c>
      <c r="E8846">
        <v>424019</v>
      </c>
      <c r="F8846" t="s">
        <v>1</v>
      </c>
      <c r="G8846" t="s">
        <v>2</v>
      </c>
      <c r="H8846" t="s">
        <v>666</v>
      </c>
      <c r="Y8846" t="s">
        <v>35168</v>
      </c>
    </row>
    <row r="8847" spans="1:25" x14ac:dyDescent="0.25">
      <c r="A8847" t="str">
        <f>"96502069385"</f>
        <v>96502069385</v>
      </c>
      <c r="B8847" t="s">
        <v>117</v>
      </c>
      <c r="C8847" t="s">
        <v>873</v>
      </c>
      <c r="D8847" t="s">
        <v>873</v>
      </c>
      <c r="F8847" t="s">
        <v>1</v>
      </c>
      <c r="G8847" t="s">
        <v>2</v>
      </c>
      <c r="H8847" t="s">
        <v>1428</v>
      </c>
      <c r="Y8847" t="s">
        <v>35169</v>
      </c>
    </row>
    <row r="8848" spans="1:25" x14ac:dyDescent="0.25">
      <c r="A8848" t="str">
        <f>"96523691846"</f>
        <v>96523691846</v>
      </c>
      <c r="B8848" t="s">
        <v>1046</v>
      </c>
      <c r="C8848" t="s">
        <v>27404</v>
      </c>
      <c r="D8848" t="s">
        <v>15496</v>
      </c>
      <c r="F8848" t="s">
        <v>1</v>
      </c>
      <c r="G8848" t="s">
        <v>2</v>
      </c>
      <c r="H8848" t="s">
        <v>27403</v>
      </c>
      <c r="Y8848" t="s">
        <v>35170</v>
      </c>
    </row>
    <row r="8849" spans="1:25" x14ac:dyDescent="0.25">
      <c r="A8849" t="str">
        <f>"96528237289"</f>
        <v>96528237289</v>
      </c>
      <c r="B8849" t="s">
        <v>379</v>
      </c>
      <c r="C8849" t="s">
        <v>766</v>
      </c>
      <c r="D8849" t="s">
        <v>35171</v>
      </c>
      <c r="E8849">
        <v>424007</v>
      </c>
      <c r="F8849" t="s">
        <v>1</v>
      </c>
      <c r="G8849" t="s">
        <v>2</v>
      </c>
      <c r="H8849" t="s">
        <v>2454</v>
      </c>
      <c r="Y8849" t="s">
        <v>35172</v>
      </c>
    </row>
    <row r="8850" spans="1:25" x14ac:dyDescent="0.25">
      <c r="A8850" t="str">
        <f>"96554135400"</f>
        <v>96554135400</v>
      </c>
      <c r="B8850" t="s">
        <v>574</v>
      </c>
      <c r="C8850" t="s">
        <v>22533</v>
      </c>
      <c r="D8850" t="s">
        <v>3057</v>
      </c>
      <c r="E8850">
        <v>424033</v>
      </c>
      <c r="F8850" t="s">
        <v>1</v>
      </c>
      <c r="G8850" t="s">
        <v>2</v>
      </c>
      <c r="H8850" t="s">
        <v>15428</v>
      </c>
      <c r="P8850" t="s">
        <v>216</v>
      </c>
      <c r="Y8850" t="s">
        <v>35173</v>
      </c>
    </row>
    <row r="8851" spans="1:25" x14ac:dyDescent="0.25">
      <c r="A8851" t="str">
        <f>"96577789654"</f>
        <v>96577789654</v>
      </c>
      <c r="B8851" t="s">
        <v>243</v>
      </c>
      <c r="C8851" t="s">
        <v>35175</v>
      </c>
      <c r="D8851" t="s">
        <v>35174</v>
      </c>
      <c r="E8851">
        <v>424004</v>
      </c>
      <c r="F8851" t="s">
        <v>1</v>
      </c>
      <c r="G8851" t="s">
        <v>2</v>
      </c>
      <c r="H8851" t="s">
        <v>15365</v>
      </c>
      <c r="Y8851" t="s">
        <v>35176</v>
      </c>
    </row>
    <row r="8852" spans="1:25" x14ac:dyDescent="0.25">
      <c r="A8852" t="str">
        <f>"96597837293"</f>
        <v>96597837293</v>
      </c>
      <c r="B8852" t="s">
        <v>2055</v>
      </c>
      <c r="C8852" t="s">
        <v>2623</v>
      </c>
      <c r="D8852" t="s">
        <v>35177</v>
      </c>
      <c r="E8852">
        <v>424006</v>
      </c>
      <c r="F8852" t="s">
        <v>1</v>
      </c>
      <c r="G8852" t="s">
        <v>2</v>
      </c>
      <c r="H8852" t="s">
        <v>35178</v>
      </c>
      <c r="I8852" t="s">
        <v>35179</v>
      </c>
      <c r="L8852" t="s">
        <v>12241</v>
      </c>
      <c r="M8852" t="s">
        <v>12242</v>
      </c>
      <c r="Y8852" t="s">
        <v>14116</v>
      </c>
    </row>
    <row r="8853" spans="1:25" x14ac:dyDescent="0.25">
      <c r="A8853" t="str">
        <f>"96626634827"</f>
        <v>96626634827</v>
      </c>
      <c r="B8853" t="s">
        <v>96</v>
      </c>
      <c r="C8853" t="s">
        <v>893</v>
      </c>
      <c r="D8853" t="s">
        <v>35180</v>
      </c>
      <c r="E8853">
        <v>424000</v>
      </c>
      <c r="F8853" t="s">
        <v>1</v>
      </c>
      <c r="G8853" t="s">
        <v>2</v>
      </c>
      <c r="H8853" t="s">
        <v>1531</v>
      </c>
      <c r="Y8853" t="s">
        <v>1707</v>
      </c>
    </row>
    <row r="8854" spans="1:25" x14ac:dyDescent="0.25">
      <c r="A8854" t="str">
        <f>"96637505200"</f>
        <v>96637505200</v>
      </c>
      <c r="B8854" t="s">
        <v>1544</v>
      </c>
      <c r="C8854" t="s">
        <v>15598</v>
      </c>
      <c r="D8854" t="s">
        <v>23165</v>
      </c>
      <c r="F8854" t="s">
        <v>1</v>
      </c>
      <c r="G8854" t="s">
        <v>2</v>
      </c>
      <c r="H8854" t="s">
        <v>32838</v>
      </c>
      <c r="Y8854" t="s">
        <v>35181</v>
      </c>
    </row>
    <row r="8855" spans="1:25" x14ac:dyDescent="0.25">
      <c r="A8855" t="str">
        <f>"96757228136"</f>
        <v>96757228136</v>
      </c>
      <c r="B8855" t="s">
        <v>32</v>
      </c>
      <c r="C8855" t="s">
        <v>11468</v>
      </c>
      <c r="D8855" t="s">
        <v>35182</v>
      </c>
      <c r="E8855">
        <v>424006</v>
      </c>
      <c r="F8855" t="s">
        <v>1</v>
      </c>
      <c r="G8855" t="s">
        <v>2</v>
      </c>
      <c r="H8855" t="s">
        <v>6133</v>
      </c>
      <c r="J8855" t="s">
        <v>35183</v>
      </c>
      <c r="Q8855" t="s">
        <v>35184</v>
      </c>
      <c r="Y8855" t="s">
        <v>24905</v>
      </c>
    </row>
    <row r="8856" spans="1:25" x14ac:dyDescent="0.25">
      <c r="A8856" t="str">
        <f>"96759284294"</f>
        <v>96759284294</v>
      </c>
      <c r="B8856" t="s">
        <v>1262</v>
      </c>
      <c r="C8856" t="s">
        <v>1263</v>
      </c>
      <c r="D8856" t="s">
        <v>1263</v>
      </c>
      <c r="E8856">
        <v>424028</v>
      </c>
      <c r="F8856" t="s">
        <v>1</v>
      </c>
      <c r="G8856" t="s">
        <v>2</v>
      </c>
      <c r="H8856" t="s">
        <v>2942</v>
      </c>
      <c r="J8856" t="s">
        <v>35185</v>
      </c>
      <c r="P8856" t="s">
        <v>280</v>
      </c>
      <c r="Y8856" t="s">
        <v>2944</v>
      </c>
    </row>
    <row r="8857" spans="1:25" x14ac:dyDescent="0.25">
      <c r="A8857" t="str">
        <f>"96769744446"</f>
        <v>96769744446</v>
      </c>
      <c r="B8857" t="s">
        <v>574</v>
      </c>
      <c r="C8857" t="s">
        <v>22533</v>
      </c>
      <c r="D8857" t="s">
        <v>3057</v>
      </c>
      <c r="E8857">
        <v>424020</v>
      </c>
      <c r="F8857" t="s">
        <v>1</v>
      </c>
      <c r="G8857" t="s">
        <v>2</v>
      </c>
      <c r="H8857" t="s">
        <v>19901</v>
      </c>
      <c r="P8857" t="s">
        <v>2457</v>
      </c>
      <c r="Y8857" t="s">
        <v>35186</v>
      </c>
    </row>
    <row r="8858" spans="1:25" x14ac:dyDescent="0.25">
      <c r="A8858" t="str">
        <f>"96859858833"</f>
        <v>96859858833</v>
      </c>
      <c r="B8858" t="s">
        <v>8011</v>
      </c>
      <c r="C8858" t="s">
        <v>35187</v>
      </c>
      <c r="D8858" t="s">
        <v>12536</v>
      </c>
      <c r="E8858">
        <v>424006</v>
      </c>
      <c r="F8858" t="s">
        <v>1</v>
      </c>
      <c r="G8858" t="s">
        <v>2</v>
      </c>
      <c r="H8858" t="s">
        <v>451</v>
      </c>
      <c r="Y8858" t="s">
        <v>459</v>
      </c>
    </row>
    <row r="8859" spans="1:25" x14ac:dyDescent="0.25">
      <c r="A8859" t="str">
        <f>"96909375840"</f>
        <v>96909375840</v>
      </c>
      <c r="B8859" t="s">
        <v>1053</v>
      </c>
      <c r="C8859" t="s">
        <v>1927</v>
      </c>
      <c r="D8859" t="s">
        <v>35188</v>
      </c>
      <c r="F8859" t="s">
        <v>1</v>
      </c>
      <c r="G8859" t="s">
        <v>2</v>
      </c>
      <c r="H8859" t="s">
        <v>7547</v>
      </c>
      <c r="Y8859" t="s">
        <v>35189</v>
      </c>
    </row>
    <row r="8860" spans="1:25" x14ac:dyDescent="0.25">
      <c r="A8860" t="str">
        <f>"96912484065"</f>
        <v>96912484065</v>
      </c>
      <c r="B8860" t="s">
        <v>574</v>
      </c>
      <c r="C8860" t="s">
        <v>25670</v>
      </c>
      <c r="D8860" t="s">
        <v>35190</v>
      </c>
      <c r="E8860">
        <v>424033</v>
      </c>
      <c r="F8860" t="s">
        <v>1</v>
      </c>
      <c r="G8860" t="s">
        <v>2</v>
      </c>
      <c r="H8860" t="s">
        <v>22482</v>
      </c>
      <c r="J8860" t="s">
        <v>35191</v>
      </c>
      <c r="P8860" t="s">
        <v>7802</v>
      </c>
      <c r="Y8860" t="s">
        <v>35192</v>
      </c>
    </row>
    <row r="8861" spans="1:25" x14ac:dyDescent="0.25">
      <c r="A8861" t="str">
        <f>"96927991300"</f>
        <v>96927991300</v>
      </c>
      <c r="B8861" t="s">
        <v>530</v>
      </c>
      <c r="C8861" t="s">
        <v>23950</v>
      </c>
      <c r="D8861" t="s">
        <v>23950</v>
      </c>
      <c r="E8861">
        <v>424004</v>
      </c>
      <c r="F8861" t="s">
        <v>1</v>
      </c>
      <c r="G8861" t="s">
        <v>2</v>
      </c>
      <c r="H8861" t="s">
        <v>35193</v>
      </c>
      <c r="Y8861" t="s">
        <v>35194</v>
      </c>
    </row>
    <row r="8862" spans="1:25" x14ac:dyDescent="0.25">
      <c r="A8862" t="str">
        <f>"96935276461"</f>
        <v>96935276461</v>
      </c>
      <c r="B8862" t="s">
        <v>574</v>
      </c>
      <c r="C8862" t="s">
        <v>646</v>
      </c>
      <c r="D8862" t="s">
        <v>25092</v>
      </c>
      <c r="E8862">
        <v>424028</v>
      </c>
      <c r="F8862" t="s">
        <v>1</v>
      </c>
      <c r="G8862" t="s">
        <v>2</v>
      </c>
      <c r="H8862" t="s">
        <v>5034</v>
      </c>
      <c r="P8862" t="s">
        <v>9785</v>
      </c>
      <c r="Y8862" t="s">
        <v>35195</v>
      </c>
    </row>
    <row r="8863" spans="1:25" x14ac:dyDescent="0.25">
      <c r="A8863" t="str">
        <f>"96967960780"</f>
        <v>96967960780</v>
      </c>
      <c r="B8863" t="s">
        <v>110</v>
      </c>
      <c r="C8863" t="s">
        <v>784</v>
      </c>
      <c r="D8863" t="s">
        <v>10532</v>
      </c>
      <c r="E8863">
        <v>424039</v>
      </c>
      <c r="F8863" t="s">
        <v>1</v>
      </c>
      <c r="G8863" t="s">
        <v>2</v>
      </c>
      <c r="H8863" t="s">
        <v>23651</v>
      </c>
      <c r="Y8863" t="s">
        <v>35196</v>
      </c>
    </row>
    <row r="8864" spans="1:25" x14ac:dyDescent="0.25">
      <c r="A8864" t="str">
        <f>"97028548724"</f>
        <v>97028548724</v>
      </c>
      <c r="B8864" t="s">
        <v>3544</v>
      </c>
      <c r="C8864" t="s">
        <v>11303</v>
      </c>
      <c r="D8864" t="s">
        <v>20999</v>
      </c>
      <c r="E8864">
        <v>424005</v>
      </c>
      <c r="F8864" t="s">
        <v>1</v>
      </c>
      <c r="G8864" t="s">
        <v>2</v>
      </c>
      <c r="H8864" t="s">
        <v>1763</v>
      </c>
      <c r="I8864" t="s">
        <v>35197</v>
      </c>
      <c r="P8864" t="s">
        <v>20</v>
      </c>
      <c r="Y8864" t="s">
        <v>1766</v>
      </c>
    </row>
    <row r="8865" spans="1:25" x14ac:dyDescent="0.25">
      <c r="A8865" t="str">
        <f>"97099770522"</f>
        <v>97099770522</v>
      </c>
      <c r="B8865" t="s">
        <v>1544</v>
      </c>
      <c r="C8865" t="s">
        <v>24552</v>
      </c>
      <c r="D8865" t="s">
        <v>35198</v>
      </c>
      <c r="E8865">
        <v>424000</v>
      </c>
      <c r="F8865" t="s">
        <v>1</v>
      </c>
      <c r="G8865" t="s">
        <v>2</v>
      </c>
      <c r="H8865" t="s">
        <v>5814</v>
      </c>
      <c r="I8865" t="s">
        <v>35199</v>
      </c>
      <c r="V8865" t="s">
        <v>35200</v>
      </c>
      <c r="Y8865" t="s">
        <v>5817</v>
      </c>
    </row>
    <row r="8866" spans="1:25" x14ac:dyDescent="0.25">
      <c r="A8866" t="str">
        <f>"97108057592"</f>
        <v>97108057592</v>
      </c>
      <c r="B8866" t="s">
        <v>530</v>
      </c>
      <c r="C8866" t="s">
        <v>23950</v>
      </c>
      <c r="D8866" t="s">
        <v>23950</v>
      </c>
      <c r="F8866" t="s">
        <v>1</v>
      </c>
      <c r="G8866" t="s">
        <v>2</v>
      </c>
      <c r="H8866" t="s">
        <v>34563</v>
      </c>
      <c r="Y8866" t="s">
        <v>35201</v>
      </c>
    </row>
    <row r="8867" spans="1:25" x14ac:dyDescent="0.25">
      <c r="A8867" t="str">
        <f>"97141622238"</f>
        <v>97141622238</v>
      </c>
      <c r="B8867" t="s">
        <v>32</v>
      </c>
      <c r="C8867" t="s">
        <v>5809</v>
      </c>
      <c r="D8867" t="s">
        <v>19760</v>
      </c>
      <c r="E8867">
        <v>424019</v>
      </c>
      <c r="F8867" t="s">
        <v>1</v>
      </c>
      <c r="G8867" t="s">
        <v>2</v>
      </c>
      <c r="H8867" t="s">
        <v>17678</v>
      </c>
      <c r="I8867" t="s">
        <v>35202</v>
      </c>
      <c r="Y8867" t="s">
        <v>35203</v>
      </c>
    </row>
    <row r="8868" spans="1:25" x14ac:dyDescent="0.25">
      <c r="A8868" t="str">
        <f>"97179919321"</f>
        <v>97179919321</v>
      </c>
      <c r="B8868" t="s">
        <v>160</v>
      </c>
      <c r="C8868" t="s">
        <v>9032</v>
      </c>
      <c r="D8868" t="s">
        <v>35204</v>
      </c>
      <c r="E8868">
        <v>424006</v>
      </c>
      <c r="F8868" t="s">
        <v>1</v>
      </c>
      <c r="G8868" t="s">
        <v>2</v>
      </c>
      <c r="H8868" t="s">
        <v>155</v>
      </c>
      <c r="I8868" t="s">
        <v>35205</v>
      </c>
      <c r="K8868" t="s">
        <v>35206</v>
      </c>
      <c r="L8868" t="s">
        <v>35207</v>
      </c>
      <c r="M8868" t="s">
        <v>35208</v>
      </c>
      <c r="P8868" t="s">
        <v>16164</v>
      </c>
      <c r="Q8868" t="s">
        <v>35209</v>
      </c>
      <c r="V8868" t="s">
        <v>35210</v>
      </c>
      <c r="Y8868" t="s">
        <v>35211</v>
      </c>
    </row>
    <row r="8869" spans="1:25" x14ac:dyDescent="0.25">
      <c r="A8869" t="str">
        <f>"97220649338"</f>
        <v>97220649338</v>
      </c>
      <c r="B8869" t="s">
        <v>1053</v>
      </c>
      <c r="C8869" t="s">
        <v>35213</v>
      </c>
      <c r="D8869" t="s">
        <v>35212</v>
      </c>
      <c r="E8869">
        <v>424004</v>
      </c>
      <c r="F8869" t="s">
        <v>1</v>
      </c>
      <c r="G8869" t="s">
        <v>2</v>
      </c>
      <c r="H8869" t="s">
        <v>351</v>
      </c>
      <c r="Y8869" t="s">
        <v>354</v>
      </c>
    </row>
    <row r="8870" spans="1:25" x14ac:dyDescent="0.25">
      <c r="A8870" t="str">
        <f>"97281049378"</f>
        <v>97281049378</v>
      </c>
      <c r="B8870" t="s">
        <v>1046</v>
      </c>
      <c r="C8870" t="s">
        <v>2695</v>
      </c>
      <c r="D8870" t="s">
        <v>35214</v>
      </c>
      <c r="E8870">
        <v>424031</v>
      </c>
      <c r="F8870" t="s">
        <v>1</v>
      </c>
      <c r="G8870" t="s">
        <v>2</v>
      </c>
      <c r="H8870" t="s">
        <v>1129</v>
      </c>
      <c r="I8870" t="s">
        <v>35215</v>
      </c>
      <c r="L8870" t="s">
        <v>1131</v>
      </c>
      <c r="M8870" t="s">
        <v>35216</v>
      </c>
      <c r="P8870" t="s">
        <v>330</v>
      </c>
      <c r="Q8870" t="s">
        <v>1133</v>
      </c>
      <c r="Y8870" t="s">
        <v>35217</v>
      </c>
    </row>
    <row r="8871" spans="1:25" x14ac:dyDescent="0.25">
      <c r="A8871" t="str">
        <f>"97291201064"</f>
        <v>97291201064</v>
      </c>
      <c r="B8871" t="s">
        <v>2104</v>
      </c>
      <c r="C8871" t="s">
        <v>13387</v>
      </c>
      <c r="D8871" t="s">
        <v>3329</v>
      </c>
      <c r="E8871">
        <v>424006</v>
      </c>
      <c r="F8871" t="s">
        <v>1</v>
      </c>
      <c r="G8871" t="s">
        <v>2</v>
      </c>
      <c r="H8871" t="s">
        <v>4541</v>
      </c>
      <c r="I8871" t="s">
        <v>35218</v>
      </c>
      <c r="P8871" t="s">
        <v>60</v>
      </c>
      <c r="Y8871" t="s">
        <v>35219</v>
      </c>
    </row>
    <row r="8872" spans="1:25" x14ac:dyDescent="0.25">
      <c r="A8872" t="str">
        <f>"97298577184"</f>
        <v>97298577184</v>
      </c>
      <c r="B8872" t="s">
        <v>430</v>
      </c>
      <c r="C8872" t="s">
        <v>612</v>
      </c>
      <c r="D8872" t="s">
        <v>35220</v>
      </c>
      <c r="E8872">
        <v>424006</v>
      </c>
      <c r="F8872" t="s">
        <v>1</v>
      </c>
      <c r="G8872" t="s">
        <v>2</v>
      </c>
      <c r="H8872" t="s">
        <v>13109</v>
      </c>
      <c r="J8872" t="s">
        <v>35221</v>
      </c>
      <c r="P8872" t="s">
        <v>144</v>
      </c>
      <c r="Q8872" t="s">
        <v>35222</v>
      </c>
      <c r="V8872" t="s">
        <v>35223</v>
      </c>
      <c r="Y8872" t="s">
        <v>22474</v>
      </c>
    </row>
    <row r="8873" spans="1:25" x14ac:dyDescent="0.25">
      <c r="A8873" t="str">
        <f>"97321087782"</f>
        <v>97321087782</v>
      </c>
      <c r="B8873" t="s">
        <v>456</v>
      </c>
      <c r="C8873" t="s">
        <v>35228</v>
      </c>
      <c r="D8873" t="s">
        <v>35224</v>
      </c>
      <c r="E8873">
        <v>424004</v>
      </c>
      <c r="F8873" t="s">
        <v>1</v>
      </c>
      <c r="G8873" t="s">
        <v>2</v>
      </c>
      <c r="H8873" t="s">
        <v>351</v>
      </c>
      <c r="I8873" t="s">
        <v>35225</v>
      </c>
      <c r="L8873" t="s">
        <v>35226</v>
      </c>
      <c r="M8873" t="s">
        <v>35227</v>
      </c>
      <c r="P8873" t="s">
        <v>35229</v>
      </c>
      <c r="Q8873" t="s">
        <v>35230</v>
      </c>
      <c r="Y8873" t="s">
        <v>35231</v>
      </c>
    </row>
    <row r="8874" spans="1:25" x14ac:dyDescent="0.25">
      <c r="A8874" t="str">
        <f>"97366969036"</f>
        <v>97366969036</v>
      </c>
      <c r="B8874" t="s">
        <v>703</v>
      </c>
      <c r="C8874" t="s">
        <v>35237</v>
      </c>
      <c r="D8874" t="s">
        <v>35232</v>
      </c>
      <c r="E8874">
        <v>424038</v>
      </c>
      <c r="F8874" t="s">
        <v>1</v>
      </c>
      <c r="G8874" t="s">
        <v>2</v>
      </c>
      <c r="H8874" t="s">
        <v>35233</v>
      </c>
      <c r="I8874" t="s">
        <v>35234</v>
      </c>
      <c r="J8874" t="s">
        <v>35235</v>
      </c>
      <c r="M8874" t="s">
        <v>35236</v>
      </c>
      <c r="P8874" t="s">
        <v>330</v>
      </c>
      <c r="Q8874" t="s">
        <v>35238</v>
      </c>
      <c r="Y8874" t="s">
        <v>35239</v>
      </c>
    </row>
    <row r="8875" spans="1:25" x14ac:dyDescent="0.25">
      <c r="A8875" t="str">
        <f>"97369420654"</f>
        <v>97369420654</v>
      </c>
      <c r="B8875" t="s">
        <v>348</v>
      </c>
      <c r="C8875" t="s">
        <v>35242</v>
      </c>
      <c r="D8875" t="s">
        <v>35240</v>
      </c>
      <c r="E8875">
        <v>424032</v>
      </c>
      <c r="F8875" t="s">
        <v>1</v>
      </c>
      <c r="G8875" t="s">
        <v>2</v>
      </c>
      <c r="H8875" t="s">
        <v>5699</v>
      </c>
      <c r="J8875" t="s">
        <v>26327</v>
      </c>
      <c r="M8875" t="s">
        <v>35241</v>
      </c>
      <c r="P8875" t="s">
        <v>1404</v>
      </c>
      <c r="Y8875" t="s">
        <v>5709</v>
      </c>
    </row>
    <row r="8876" spans="1:25" x14ac:dyDescent="0.25">
      <c r="A8876" t="str">
        <f>"97378122018"</f>
        <v>97378122018</v>
      </c>
      <c r="B8876" t="s">
        <v>574</v>
      </c>
      <c r="C8876" t="s">
        <v>24608</v>
      </c>
      <c r="D8876" t="s">
        <v>33316</v>
      </c>
      <c r="E8876">
        <v>424038</v>
      </c>
      <c r="F8876" t="s">
        <v>1</v>
      </c>
      <c r="G8876" t="s">
        <v>2</v>
      </c>
      <c r="H8876" t="s">
        <v>16183</v>
      </c>
      <c r="I8876" t="s">
        <v>32087</v>
      </c>
      <c r="L8876" t="s">
        <v>24606</v>
      </c>
      <c r="M8876" t="s">
        <v>24607</v>
      </c>
      <c r="P8876" t="s">
        <v>216</v>
      </c>
      <c r="Q8876" t="s">
        <v>33317</v>
      </c>
      <c r="Y8876" t="s">
        <v>35243</v>
      </c>
    </row>
    <row r="8877" spans="1:25" x14ac:dyDescent="0.25">
      <c r="A8877" t="str">
        <f>"97403679218"</f>
        <v>97403679218</v>
      </c>
      <c r="B8877" t="s">
        <v>176</v>
      </c>
      <c r="C8877" t="s">
        <v>279</v>
      </c>
      <c r="D8877" t="s">
        <v>32371</v>
      </c>
      <c r="E8877">
        <v>424005</v>
      </c>
      <c r="F8877" t="s">
        <v>1</v>
      </c>
      <c r="G8877" t="s">
        <v>2</v>
      </c>
      <c r="H8877" t="s">
        <v>35244</v>
      </c>
      <c r="Y8877" t="s">
        <v>35245</v>
      </c>
    </row>
    <row r="8878" spans="1:25" x14ac:dyDescent="0.25">
      <c r="A8878" t="str">
        <f>"97419256138"</f>
        <v>97419256138</v>
      </c>
      <c r="B8878" t="s">
        <v>574</v>
      </c>
      <c r="C8878" t="s">
        <v>646</v>
      </c>
      <c r="D8878" t="s">
        <v>7286</v>
      </c>
      <c r="E8878">
        <v>424002</v>
      </c>
      <c r="F8878" t="s">
        <v>1</v>
      </c>
      <c r="G8878" t="s">
        <v>2</v>
      </c>
      <c r="H8878" t="s">
        <v>7132</v>
      </c>
      <c r="P8878" t="s">
        <v>216</v>
      </c>
      <c r="Y8878" t="s">
        <v>35246</v>
      </c>
    </row>
    <row r="8879" spans="1:25" x14ac:dyDescent="0.25">
      <c r="A8879" t="str">
        <f>"97446083078"</f>
        <v>97446083078</v>
      </c>
      <c r="B8879" t="s">
        <v>574</v>
      </c>
      <c r="C8879" t="s">
        <v>14269</v>
      </c>
      <c r="D8879" t="s">
        <v>35247</v>
      </c>
      <c r="E8879">
        <v>424006</v>
      </c>
      <c r="F8879" t="s">
        <v>1</v>
      </c>
      <c r="G8879" t="s">
        <v>2</v>
      </c>
      <c r="H8879" t="s">
        <v>20916</v>
      </c>
      <c r="Y8879" t="s">
        <v>35248</v>
      </c>
    </row>
    <row r="8880" spans="1:25" x14ac:dyDescent="0.25">
      <c r="A8880" t="str">
        <f>"97517161144"</f>
        <v>97517161144</v>
      </c>
      <c r="B8880" t="s">
        <v>96</v>
      </c>
      <c r="C8880" t="s">
        <v>695</v>
      </c>
      <c r="D8880" t="s">
        <v>35249</v>
      </c>
      <c r="F8880" t="s">
        <v>1</v>
      </c>
      <c r="G8880" t="s">
        <v>2</v>
      </c>
      <c r="H8880" t="s">
        <v>3018</v>
      </c>
      <c r="J8880" t="s">
        <v>35250</v>
      </c>
      <c r="P8880" t="s">
        <v>1232</v>
      </c>
      <c r="Y8880" t="s">
        <v>3019</v>
      </c>
    </row>
    <row r="8881" spans="1:25" x14ac:dyDescent="0.25">
      <c r="A8881" t="str">
        <f>"97551759559"</f>
        <v>97551759559</v>
      </c>
      <c r="B8881" t="s">
        <v>18</v>
      </c>
      <c r="C8881" t="s">
        <v>24200</v>
      </c>
      <c r="D8881" t="s">
        <v>35251</v>
      </c>
      <c r="E8881">
        <v>424007</v>
      </c>
      <c r="F8881" t="s">
        <v>1</v>
      </c>
      <c r="G8881" t="s">
        <v>2</v>
      </c>
      <c r="H8881" t="s">
        <v>1566</v>
      </c>
      <c r="I8881" t="s">
        <v>35252</v>
      </c>
      <c r="M8881" t="s">
        <v>35253</v>
      </c>
      <c r="P8881" t="s">
        <v>260</v>
      </c>
      <c r="Y8881" t="s">
        <v>35254</v>
      </c>
    </row>
    <row r="8882" spans="1:25" x14ac:dyDescent="0.25">
      <c r="A8882" t="str">
        <f>"97562382985"</f>
        <v>97562382985</v>
      </c>
      <c r="B8882" t="s">
        <v>1053</v>
      </c>
      <c r="C8882" t="s">
        <v>35257</v>
      </c>
      <c r="D8882" t="s">
        <v>35255</v>
      </c>
      <c r="E8882">
        <v>424006</v>
      </c>
      <c r="F8882" t="s">
        <v>1</v>
      </c>
      <c r="G8882" t="s">
        <v>2</v>
      </c>
      <c r="H8882" t="s">
        <v>7984</v>
      </c>
      <c r="J8882" t="s">
        <v>35256</v>
      </c>
      <c r="P8882" t="s">
        <v>280</v>
      </c>
      <c r="Y8882" t="s">
        <v>35258</v>
      </c>
    </row>
    <row r="8883" spans="1:25" x14ac:dyDescent="0.25">
      <c r="A8883" t="str">
        <f>"97616828785"</f>
        <v>97616828785</v>
      </c>
      <c r="B8883" t="s">
        <v>574</v>
      </c>
      <c r="C8883" t="s">
        <v>952</v>
      </c>
      <c r="D8883" t="s">
        <v>3388</v>
      </c>
      <c r="E8883">
        <v>424038</v>
      </c>
      <c r="F8883" t="s">
        <v>1</v>
      </c>
      <c r="G8883" t="s">
        <v>2</v>
      </c>
      <c r="H8883" t="s">
        <v>192</v>
      </c>
      <c r="P8883" t="s">
        <v>9840</v>
      </c>
      <c r="Y8883" t="s">
        <v>35259</v>
      </c>
    </row>
    <row r="8884" spans="1:25" x14ac:dyDescent="0.25">
      <c r="A8884" t="str">
        <f>"97625809652"</f>
        <v>97625809652</v>
      </c>
      <c r="B8884" t="s">
        <v>888</v>
      </c>
      <c r="C8884" t="s">
        <v>7389</v>
      </c>
      <c r="D8884" t="s">
        <v>17012</v>
      </c>
      <c r="E8884">
        <v>424007</v>
      </c>
      <c r="F8884" t="s">
        <v>1</v>
      </c>
      <c r="G8884" t="s">
        <v>2</v>
      </c>
      <c r="H8884" t="s">
        <v>25707</v>
      </c>
      <c r="I8884" t="s">
        <v>35260</v>
      </c>
      <c r="M8884" t="s">
        <v>17015</v>
      </c>
      <c r="P8884" t="s">
        <v>35261</v>
      </c>
      <c r="Y8884" t="s">
        <v>35262</v>
      </c>
    </row>
    <row r="8885" spans="1:25" x14ac:dyDescent="0.25">
      <c r="A8885" t="str">
        <f>"97648207335"</f>
        <v>97648207335</v>
      </c>
      <c r="B8885" t="s">
        <v>176</v>
      </c>
      <c r="C8885" t="s">
        <v>566</v>
      </c>
      <c r="D8885" t="s">
        <v>35263</v>
      </c>
      <c r="E8885">
        <v>424028</v>
      </c>
      <c r="F8885" t="s">
        <v>1</v>
      </c>
      <c r="G8885" t="s">
        <v>2</v>
      </c>
      <c r="H8885" t="s">
        <v>24739</v>
      </c>
      <c r="Y8885" t="s">
        <v>35264</v>
      </c>
    </row>
    <row r="8886" spans="1:25" x14ac:dyDescent="0.25">
      <c r="A8886" t="str">
        <f>"97658723868"</f>
        <v>97658723868</v>
      </c>
      <c r="B8886" t="s">
        <v>1573</v>
      </c>
      <c r="C8886" t="s">
        <v>1574</v>
      </c>
      <c r="D8886" t="s">
        <v>24505</v>
      </c>
      <c r="E8886">
        <v>424028</v>
      </c>
      <c r="F8886" t="s">
        <v>1</v>
      </c>
      <c r="G8886" t="s">
        <v>2</v>
      </c>
      <c r="H8886" t="s">
        <v>35265</v>
      </c>
      <c r="Y8886" t="s">
        <v>35266</v>
      </c>
    </row>
    <row r="8887" spans="1:25" x14ac:dyDescent="0.25">
      <c r="A8887" t="str">
        <f>"97667619019"</f>
        <v>97667619019</v>
      </c>
      <c r="B8887" t="s">
        <v>1315</v>
      </c>
      <c r="C8887" t="s">
        <v>4274</v>
      </c>
      <c r="D8887" t="s">
        <v>35267</v>
      </c>
      <c r="F8887" t="s">
        <v>1</v>
      </c>
      <c r="G8887" t="s">
        <v>2</v>
      </c>
      <c r="H8887" t="s">
        <v>9077</v>
      </c>
      <c r="Y8887" t="s">
        <v>35268</v>
      </c>
    </row>
    <row r="8888" spans="1:25" x14ac:dyDescent="0.25">
      <c r="A8888" t="str">
        <f>"97745436514"</f>
        <v>97745436514</v>
      </c>
      <c r="B8888" t="s">
        <v>25</v>
      </c>
      <c r="C8888" t="s">
        <v>20320</v>
      </c>
      <c r="D8888" t="s">
        <v>35269</v>
      </c>
      <c r="E8888">
        <v>424004</v>
      </c>
      <c r="F8888" t="s">
        <v>1</v>
      </c>
      <c r="G8888" t="s">
        <v>2</v>
      </c>
      <c r="H8888" t="s">
        <v>28681</v>
      </c>
      <c r="Y8888" t="s">
        <v>35270</v>
      </c>
    </row>
    <row r="8889" spans="1:25" x14ac:dyDescent="0.25">
      <c r="A8889" t="str">
        <f>"97757541722"</f>
        <v>97757541722</v>
      </c>
      <c r="B8889" t="s">
        <v>96</v>
      </c>
      <c r="C8889" t="s">
        <v>8808</v>
      </c>
      <c r="D8889" t="s">
        <v>20451</v>
      </c>
      <c r="E8889">
        <v>424038</v>
      </c>
      <c r="F8889" t="s">
        <v>1</v>
      </c>
      <c r="G8889" t="s">
        <v>2</v>
      </c>
      <c r="H8889" t="s">
        <v>7597</v>
      </c>
      <c r="I8889" t="s">
        <v>35271</v>
      </c>
      <c r="P8889" t="s">
        <v>1642</v>
      </c>
      <c r="Y8889" t="s">
        <v>35272</v>
      </c>
    </row>
    <row r="8890" spans="1:25" x14ac:dyDescent="0.25">
      <c r="A8890" t="str">
        <f>"97781360154"</f>
        <v>97781360154</v>
      </c>
      <c r="B8890" t="s">
        <v>1343</v>
      </c>
      <c r="C8890" t="s">
        <v>7789</v>
      </c>
      <c r="D8890" t="s">
        <v>35273</v>
      </c>
      <c r="E8890">
        <v>424000</v>
      </c>
      <c r="F8890" t="s">
        <v>1</v>
      </c>
      <c r="G8890" t="s">
        <v>2</v>
      </c>
      <c r="H8890" t="s">
        <v>937</v>
      </c>
      <c r="P8890" t="s">
        <v>941</v>
      </c>
      <c r="Y8890" t="s">
        <v>35274</v>
      </c>
    </row>
    <row r="8891" spans="1:25" x14ac:dyDescent="0.25">
      <c r="A8891" t="str">
        <f>"97783511510"</f>
        <v>97783511510</v>
      </c>
      <c r="B8891" t="s">
        <v>591</v>
      </c>
      <c r="C8891" t="s">
        <v>7358</v>
      </c>
      <c r="D8891" t="s">
        <v>4820</v>
      </c>
      <c r="F8891" t="s">
        <v>1</v>
      </c>
      <c r="G8891" t="s">
        <v>2</v>
      </c>
      <c r="H8891" t="s">
        <v>12469</v>
      </c>
      <c r="Y8891" t="s">
        <v>35275</v>
      </c>
    </row>
    <row r="8892" spans="1:25" x14ac:dyDescent="0.25">
      <c r="A8892" t="str">
        <f>"97848503745"</f>
        <v>97848503745</v>
      </c>
      <c r="B8892" t="s">
        <v>1046</v>
      </c>
      <c r="C8892" t="s">
        <v>2695</v>
      </c>
      <c r="D8892" t="s">
        <v>35276</v>
      </c>
      <c r="F8892" t="s">
        <v>1</v>
      </c>
      <c r="G8892" t="s">
        <v>2</v>
      </c>
      <c r="H8892" t="s">
        <v>19139</v>
      </c>
      <c r="Y8892" t="s">
        <v>35277</v>
      </c>
    </row>
    <row r="8893" spans="1:25" x14ac:dyDescent="0.25">
      <c r="A8893" t="str">
        <f>"97861001115"</f>
        <v>97861001115</v>
      </c>
      <c r="B8893" t="s">
        <v>1152</v>
      </c>
      <c r="C8893" t="s">
        <v>20846</v>
      </c>
      <c r="D8893" t="s">
        <v>35278</v>
      </c>
      <c r="E8893">
        <v>424003</v>
      </c>
      <c r="F8893" t="s">
        <v>1</v>
      </c>
      <c r="G8893" t="s">
        <v>2</v>
      </c>
      <c r="H8893" t="s">
        <v>7152</v>
      </c>
      <c r="J8893" t="s">
        <v>35279</v>
      </c>
      <c r="P8893" t="s">
        <v>4126</v>
      </c>
      <c r="Y8893" t="s">
        <v>7157</v>
      </c>
    </row>
    <row r="8894" spans="1:25" x14ac:dyDescent="0.25">
      <c r="A8894" t="str">
        <f>"97950054520"</f>
        <v>97950054520</v>
      </c>
      <c r="B8894" t="s">
        <v>538</v>
      </c>
      <c r="C8894" t="s">
        <v>35282</v>
      </c>
      <c r="D8894" t="s">
        <v>35280</v>
      </c>
      <c r="F8894" t="s">
        <v>1</v>
      </c>
      <c r="G8894" t="s">
        <v>2</v>
      </c>
      <c r="H8894" t="s">
        <v>35281</v>
      </c>
      <c r="Y8894" t="s">
        <v>35283</v>
      </c>
    </row>
    <row r="8895" spans="1:25" x14ac:dyDescent="0.25">
      <c r="A8895" t="str">
        <f>"97982199874"</f>
        <v>97982199874</v>
      </c>
      <c r="B8895" t="s">
        <v>797</v>
      </c>
      <c r="C8895" t="s">
        <v>35289</v>
      </c>
      <c r="D8895" t="s">
        <v>35284</v>
      </c>
      <c r="F8895" t="s">
        <v>1</v>
      </c>
      <c r="G8895" t="s">
        <v>2</v>
      </c>
      <c r="H8895" t="s">
        <v>28259</v>
      </c>
      <c r="I8895" t="s">
        <v>35285</v>
      </c>
      <c r="J8895" t="s">
        <v>35286</v>
      </c>
      <c r="L8895" t="s">
        <v>35287</v>
      </c>
      <c r="M8895" t="s">
        <v>35288</v>
      </c>
      <c r="P8895" t="s">
        <v>280</v>
      </c>
      <c r="Q8895" t="s">
        <v>35290</v>
      </c>
      <c r="S8895" t="s">
        <v>35291</v>
      </c>
      <c r="T8895" t="s">
        <v>35292</v>
      </c>
      <c r="Y8895" t="s">
        <v>35293</v>
      </c>
    </row>
    <row r="8896" spans="1:25" x14ac:dyDescent="0.25">
      <c r="A8896" t="str">
        <f>"98039089244"</f>
        <v>98039089244</v>
      </c>
      <c r="B8896" t="s">
        <v>25</v>
      </c>
      <c r="C8896" t="s">
        <v>59</v>
      </c>
      <c r="D8896" t="s">
        <v>35294</v>
      </c>
      <c r="E8896">
        <v>424007</v>
      </c>
      <c r="F8896" t="s">
        <v>1</v>
      </c>
      <c r="G8896" t="s">
        <v>2</v>
      </c>
      <c r="H8896" t="s">
        <v>35295</v>
      </c>
      <c r="J8896" t="s">
        <v>35296</v>
      </c>
      <c r="P8896" t="s">
        <v>2738</v>
      </c>
      <c r="Y8896" t="s">
        <v>35297</v>
      </c>
    </row>
    <row r="8897" spans="1:25" x14ac:dyDescent="0.25">
      <c r="A8897" t="str">
        <f>"98127591205"</f>
        <v>98127591205</v>
      </c>
      <c r="B8897" t="s">
        <v>7312</v>
      </c>
      <c r="C8897" t="s">
        <v>19097</v>
      </c>
      <c r="D8897" t="s">
        <v>19130</v>
      </c>
      <c r="E8897">
        <v>424028</v>
      </c>
      <c r="F8897" t="s">
        <v>1</v>
      </c>
      <c r="G8897" t="s">
        <v>2</v>
      </c>
      <c r="H8897" t="s">
        <v>30569</v>
      </c>
      <c r="P8897" t="s">
        <v>1404</v>
      </c>
      <c r="Y8897" t="s">
        <v>35298</v>
      </c>
    </row>
    <row r="8898" spans="1:25" x14ac:dyDescent="0.25">
      <c r="A8898" t="str">
        <f>"98129624301"</f>
        <v>98129624301</v>
      </c>
      <c r="B8898" t="s">
        <v>18</v>
      </c>
      <c r="C8898" t="s">
        <v>10579</v>
      </c>
      <c r="D8898" t="s">
        <v>35299</v>
      </c>
      <c r="E8898">
        <v>424003</v>
      </c>
      <c r="F8898" t="s">
        <v>1</v>
      </c>
      <c r="G8898" t="s">
        <v>2</v>
      </c>
      <c r="H8898" t="s">
        <v>775</v>
      </c>
      <c r="J8898" t="s">
        <v>35300</v>
      </c>
      <c r="P8898" t="s">
        <v>152</v>
      </c>
      <c r="Y8898" t="s">
        <v>6686</v>
      </c>
    </row>
    <row r="8899" spans="1:25" x14ac:dyDescent="0.25">
      <c r="A8899" t="str">
        <f>"98173738995"</f>
        <v>98173738995</v>
      </c>
      <c r="B8899" t="s">
        <v>3573</v>
      </c>
      <c r="C8899" t="s">
        <v>5816</v>
      </c>
      <c r="D8899" t="s">
        <v>35301</v>
      </c>
      <c r="E8899">
        <v>424000</v>
      </c>
      <c r="F8899" t="s">
        <v>1</v>
      </c>
      <c r="G8899" t="s">
        <v>2</v>
      </c>
      <c r="H8899" t="s">
        <v>333</v>
      </c>
      <c r="I8899" t="s">
        <v>35302</v>
      </c>
      <c r="P8899" t="s">
        <v>20</v>
      </c>
      <c r="Y8899" t="s">
        <v>335</v>
      </c>
    </row>
    <row r="8900" spans="1:25" x14ac:dyDescent="0.25">
      <c r="A8900" t="str">
        <f>"98179480451"</f>
        <v>98179480451</v>
      </c>
      <c r="B8900" t="s">
        <v>397</v>
      </c>
      <c r="C8900" t="s">
        <v>3356</v>
      </c>
      <c r="D8900" t="s">
        <v>35303</v>
      </c>
      <c r="E8900">
        <v>424020</v>
      </c>
      <c r="F8900" t="s">
        <v>1</v>
      </c>
      <c r="G8900" t="s">
        <v>2</v>
      </c>
      <c r="H8900" t="s">
        <v>1837</v>
      </c>
      <c r="I8900" t="s">
        <v>35304</v>
      </c>
      <c r="J8900" t="s">
        <v>35305</v>
      </c>
      <c r="L8900" t="s">
        <v>20505</v>
      </c>
      <c r="M8900" t="s">
        <v>35306</v>
      </c>
      <c r="P8900" t="s">
        <v>35307</v>
      </c>
      <c r="Q8900" t="s">
        <v>35308</v>
      </c>
      <c r="R8900" t="s">
        <v>20507</v>
      </c>
      <c r="S8900" t="s">
        <v>20508</v>
      </c>
      <c r="T8900" t="s">
        <v>35309</v>
      </c>
      <c r="U8900" t="s">
        <v>35310</v>
      </c>
      <c r="V8900" t="s">
        <v>35311</v>
      </c>
      <c r="Y8900" t="s">
        <v>1842</v>
      </c>
    </row>
    <row r="8901" spans="1:25" x14ac:dyDescent="0.25">
      <c r="A8901" t="str">
        <f>"98184932274"</f>
        <v>98184932274</v>
      </c>
      <c r="B8901" t="s">
        <v>290</v>
      </c>
      <c r="C8901" t="s">
        <v>11114</v>
      </c>
      <c r="D8901" t="s">
        <v>35312</v>
      </c>
      <c r="F8901" t="s">
        <v>1</v>
      </c>
      <c r="G8901" t="s">
        <v>2</v>
      </c>
      <c r="H8901" t="s">
        <v>30571</v>
      </c>
      <c r="L8901" t="s">
        <v>35313</v>
      </c>
      <c r="M8901" t="s">
        <v>35314</v>
      </c>
      <c r="Q8901" t="s">
        <v>35315</v>
      </c>
      <c r="V8901" t="s">
        <v>35316</v>
      </c>
      <c r="Y8901" t="s">
        <v>16922</v>
      </c>
    </row>
    <row r="8902" spans="1:25" x14ac:dyDescent="0.25">
      <c r="A8902" t="str">
        <f>"98253501559"</f>
        <v>98253501559</v>
      </c>
      <c r="B8902" t="s">
        <v>18</v>
      </c>
      <c r="C8902" t="s">
        <v>959</v>
      </c>
      <c r="D8902" t="s">
        <v>35317</v>
      </c>
      <c r="E8902">
        <v>424004</v>
      </c>
      <c r="F8902" t="s">
        <v>1</v>
      </c>
      <c r="G8902" t="s">
        <v>2</v>
      </c>
      <c r="H8902" t="s">
        <v>14351</v>
      </c>
      <c r="J8902" t="s">
        <v>35318</v>
      </c>
      <c r="P8902" t="s">
        <v>35319</v>
      </c>
      <c r="Y8902" t="s">
        <v>14356</v>
      </c>
    </row>
    <row r="8903" spans="1:25" x14ac:dyDescent="0.25">
      <c r="A8903" t="str">
        <f>"98258037998"</f>
        <v>98258037998</v>
      </c>
      <c r="B8903" t="s">
        <v>4495</v>
      </c>
      <c r="C8903" t="s">
        <v>11755</v>
      </c>
      <c r="D8903" t="s">
        <v>35320</v>
      </c>
      <c r="E8903">
        <v>424007</v>
      </c>
      <c r="F8903" t="s">
        <v>1</v>
      </c>
      <c r="G8903" t="s">
        <v>2</v>
      </c>
      <c r="H8903" t="s">
        <v>35321</v>
      </c>
      <c r="Y8903" t="s">
        <v>35322</v>
      </c>
    </row>
    <row r="8904" spans="1:25" x14ac:dyDescent="0.25">
      <c r="A8904" t="str">
        <f>"98289884146"</f>
        <v>98289884146</v>
      </c>
      <c r="B8904" t="s">
        <v>1611</v>
      </c>
      <c r="C8904" t="s">
        <v>26250</v>
      </c>
      <c r="D8904" t="s">
        <v>35323</v>
      </c>
      <c r="E8904">
        <v>424005</v>
      </c>
      <c r="F8904" t="s">
        <v>1</v>
      </c>
      <c r="G8904" t="s">
        <v>2</v>
      </c>
      <c r="H8904" t="s">
        <v>11683</v>
      </c>
      <c r="Y8904" t="s">
        <v>35324</v>
      </c>
    </row>
    <row r="8905" spans="1:25" x14ac:dyDescent="0.25">
      <c r="A8905" t="str">
        <f>"98316637582"</f>
        <v>98316637582</v>
      </c>
      <c r="B8905" t="s">
        <v>574</v>
      </c>
      <c r="C8905" t="s">
        <v>22533</v>
      </c>
      <c r="D8905" t="s">
        <v>3057</v>
      </c>
      <c r="F8905" t="s">
        <v>1</v>
      </c>
      <c r="G8905" t="s">
        <v>2</v>
      </c>
      <c r="H8905" t="s">
        <v>25421</v>
      </c>
      <c r="P8905" t="s">
        <v>216</v>
      </c>
      <c r="Y8905" t="s">
        <v>35325</v>
      </c>
    </row>
    <row r="8906" spans="1:25" x14ac:dyDescent="0.25">
      <c r="A8906" t="str">
        <f>"98323753624"</f>
        <v>98323753624</v>
      </c>
      <c r="B8906" t="s">
        <v>1053</v>
      </c>
      <c r="C8906" t="s">
        <v>4372</v>
      </c>
      <c r="D8906" t="s">
        <v>35326</v>
      </c>
      <c r="E8906">
        <v>424007</v>
      </c>
      <c r="F8906" t="s">
        <v>1</v>
      </c>
      <c r="G8906" t="s">
        <v>2</v>
      </c>
      <c r="H8906" t="s">
        <v>499</v>
      </c>
      <c r="I8906" t="s">
        <v>35327</v>
      </c>
      <c r="P8906" t="s">
        <v>330</v>
      </c>
      <c r="Y8906" t="s">
        <v>1598</v>
      </c>
    </row>
    <row r="8907" spans="1:25" x14ac:dyDescent="0.25">
      <c r="A8907" t="str">
        <f>"98327197046"</f>
        <v>98327197046</v>
      </c>
      <c r="B8907" t="s">
        <v>96</v>
      </c>
      <c r="C8907" t="s">
        <v>659</v>
      </c>
      <c r="D8907" t="s">
        <v>35328</v>
      </c>
      <c r="E8907">
        <v>424918</v>
      </c>
      <c r="F8907" t="s">
        <v>1</v>
      </c>
      <c r="G8907" t="s">
        <v>2</v>
      </c>
      <c r="H8907" t="s">
        <v>629</v>
      </c>
      <c r="P8907" t="s">
        <v>630</v>
      </c>
      <c r="Y8907" t="s">
        <v>1744</v>
      </c>
    </row>
    <row r="8908" spans="1:25" x14ac:dyDescent="0.25">
      <c r="A8908" t="str">
        <f>"98346046205"</f>
        <v>98346046205</v>
      </c>
      <c r="B8908" t="s">
        <v>96</v>
      </c>
      <c r="C8908" t="s">
        <v>25174</v>
      </c>
      <c r="D8908" t="s">
        <v>35329</v>
      </c>
      <c r="E8908">
        <v>424000</v>
      </c>
      <c r="F8908" t="s">
        <v>1</v>
      </c>
      <c r="G8908" t="s">
        <v>2</v>
      </c>
      <c r="H8908" t="s">
        <v>2202</v>
      </c>
      <c r="Y8908" t="s">
        <v>2204</v>
      </c>
    </row>
    <row r="8909" spans="1:25" x14ac:dyDescent="0.25">
      <c r="A8909" t="str">
        <f>"98398568399"</f>
        <v>98398568399</v>
      </c>
      <c r="B8909" t="s">
        <v>430</v>
      </c>
      <c r="C8909" t="s">
        <v>2571</v>
      </c>
      <c r="D8909" t="s">
        <v>35330</v>
      </c>
      <c r="E8909">
        <v>424003</v>
      </c>
      <c r="F8909" t="s">
        <v>1</v>
      </c>
      <c r="G8909" t="s">
        <v>2</v>
      </c>
      <c r="H8909" t="s">
        <v>3471</v>
      </c>
      <c r="I8909" t="s">
        <v>35331</v>
      </c>
      <c r="J8909" t="s">
        <v>35332</v>
      </c>
      <c r="Q8909" t="s">
        <v>35333</v>
      </c>
      <c r="Y8909" t="s">
        <v>13889</v>
      </c>
    </row>
    <row r="8910" spans="1:25" x14ac:dyDescent="0.25">
      <c r="A8910" t="str">
        <f>"98424959180"</f>
        <v>98424959180</v>
      </c>
      <c r="B8910" t="s">
        <v>790</v>
      </c>
      <c r="C8910" t="s">
        <v>35336</v>
      </c>
      <c r="D8910" t="s">
        <v>35334</v>
      </c>
      <c r="E8910">
        <v>424000</v>
      </c>
      <c r="F8910" t="s">
        <v>1</v>
      </c>
      <c r="G8910" t="s">
        <v>2</v>
      </c>
      <c r="H8910" t="s">
        <v>164</v>
      </c>
      <c r="J8910" t="s">
        <v>35335</v>
      </c>
      <c r="P8910" t="s">
        <v>362</v>
      </c>
      <c r="Y8910" t="s">
        <v>172</v>
      </c>
    </row>
    <row r="8911" spans="1:25" x14ac:dyDescent="0.25">
      <c r="A8911" t="str">
        <f>"98463851310"</f>
        <v>98463851310</v>
      </c>
      <c r="B8911" t="s">
        <v>18</v>
      </c>
      <c r="C8911" t="s">
        <v>10339</v>
      </c>
      <c r="D8911" t="s">
        <v>35337</v>
      </c>
      <c r="E8911">
        <v>424000</v>
      </c>
      <c r="F8911" t="s">
        <v>1</v>
      </c>
      <c r="G8911" t="s">
        <v>2</v>
      </c>
      <c r="H8911" t="s">
        <v>1531</v>
      </c>
      <c r="J8911" t="s">
        <v>21992</v>
      </c>
      <c r="L8911" t="s">
        <v>21993</v>
      </c>
      <c r="M8911" t="s">
        <v>35338</v>
      </c>
      <c r="P8911" t="s">
        <v>1855</v>
      </c>
      <c r="Q8911" t="s">
        <v>35339</v>
      </c>
      <c r="V8911" t="s">
        <v>35340</v>
      </c>
      <c r="Y8911" t="s">
        <v>4373</v>
      </c>
    </row>
    <row r="8912" spans="1:25" x14ac:dyDescent="0.25">
      <c r="A8912" t="str">
        <f>"98488590727"</f>
        <v>98488590727</v>
      </c>
      <c r="B8912" t="s">
        <v>123</v>
      </c>
      <c r="C8912" t="s">
        <v>424</v>
      </c>
      <c r="D8912" t="s">
        <v>35341</v>
      </c>
      <c r="E8912">
        <v>424007</v>
      </c>
      <c r="F8912" t="s">
        <v>1</v>
      </c>
      <c r="G8912" t="s">
        <v>2</v>
      </c>
      <c r="H8912" t="s">
        <v>10607</v>
      </c>
      <c r="Y8912" t="s">
        <v>35342</v>
      </c>
    </row>
    <row r="8913" spans="1:25" x14ac:dyDescent="0.25">
      <c r="A8913" t="str">
        <f>"98527116379"</f>
        <v>98527116379</v>
      </c>
      <c r="B8913" t="s">
        <v>25</v>
      </c>
      <c r="C8913" t="s">
        <v>20320</v>
      </c>
      <c r="D8913" t="s">
        <v>35343</v>
      </c>
      <c r="E8913">
        <v>424002</v>
      </c>
      <c r="F8913" t="s">
        <v>1</v>
      </c>
      <c r="G8913" t="s">
        <v>2</v>
      </c>
      <c r="H8913" t="s">
        <v>13141</v>
      </c>
      <c r="Y8913" t="s">
        <v>35344</v>
      </c>
    </row>
    <row r="8914" spans="1:25" x14ac:dyDescent="0.25">
      <c r="A8914" t="str">
        <f>"98531720383"</f>
        <v>98531720383</v>
      </c>
      <c r="B8914" t="s">
        <v>1152</v>
      </c>
      <c r="C8914" t="s">
        <v>1385</v>
      </c>
      <c r="D8914" t="s">
        <v>35345</v>
      </c>
      <c r="E8914">
        <v>424038</v>
      </c>
      <c r="F8914" t="s">
        <v>1</v>
      </c>
      <c r="G8914" t="s">
        <v>2</v>
      </c>
      <c r="H8914" t="s">
        <v>13095</v>
      </c>
      <c r="P8914" t="s">
        <v>1232</v>
      </c>
      <c r="Y8914" t="s">
        <v>35346</v>
      </c>
    </row>
    <row r="8915" spans="1:25" x14ac:dyDescent="0.25">
      <c r="A8915" t="str">
        <f>"98548280658"</f>
        <v>98548280658</v>
      </c>
      <c r="B8915" t="s">
        <v>3008</v>
      </c>
      <c r="C8915" t="s">
        <v>25605</v>
      </c>
      <c r="D8915" t="s">
        <v>23015</v>
      </c>
      <c r="E8915">
        <v>424000</v>
      </c>
      <c r="F8915" t="s">
        <v>1</v>
      </c>
      <c r="G8915" t="s">
        <v>2</v>
      </c>
      <c r="H8915" t="s">
        <v>1473</v>
      </c>
      <c r="P8915" t="s">
        <v>941</v>
      </c>
      <c r="Y8915" t="s">
        <v>35347</v>
      </c>
    </row>
    <row r="8916" spans="1:25" x14ac:dyDescent="0.25">
      <c r="A8916" t="str">
        <f>"98573953811"</f>
        <v>98573953811</v>
      </c>
      <c r="B8916" t="s">
        <v>8011</v>
      </c>
      <c r="C8916" t="s">
        <v>35349</v>
      </c>
      <c r="D8916" t="s">
        <v>35348</v>
      </c>
      <c r="E8916">
        <v>424000</v>
      </c>
      <c r="F8916" t="s">
        <v>1</v>
      </c>
      <c r="G8916" t="s">
        <v>2</v>
      </c>
      <c r="H8916" t="s">
        <v>28565</v>
      </c>
      <c r="I8916" t="s">
        <v>33725</v>
      </c>
      <c r="P8916" t="s">
        <v>799</v>
      </c>
      <c r="Y8916" t="s">
        <v>28566</v>
      </c>
    </row>
    <row r="8917" spans="1:25" x14ac:dyDescent="0.25">
      <c r="A8917" t="str">
        <f>"98603950712"</f>
        <v>98603950712</v>
      </c>
      <c r="B8917" t="s">
        <v>1152</v>
      </c>
      <c r="C8917" t="s">
        <v>1153</v>
      </c>
      <c r="D8917" t="s">
        <v>10280</v>
      </c>
      <c r="F8917" t="s">
        <v>1</v>
      </c>
      <c r="G8917" t="s">
        <v>2</v>
      </c>
      <c r="H8917" t="s">
        <v>35350</v>
      </c>
      <c r="I8917" t="s">
        <v>22092</v>
      </c>
      <c r="M8917" t="s">
        <v>10284</v>
      </c>
      <c r="Q8917" t="s">
        <v>10286</v>
      </c>
      <c r="R8917" t="s">
        <v>10287</v>
      </c>
      <c r="S8917" t="s">
        <v>10288</v>
      </c>
      <c r="T8917" t="s">
        <v>10289</v>
      </c>
      <c r="U8917" t="s">
        <v>10290</v>
      </c>
      <c r="V8917" t="s">
        <v>10291</v>
      </c>
      <c r="Y8917" t="s">
        <v>35351</v>
      </c>
    </row>
    <row r="8918" spans="1:25" x14ac:dyDescent="0.25">
      <c r="A8918" t="str">
        <f>"98614884567"</f>
        <v>98614884567</v>
      </c>
      <c r="B8918" t="s">
        <v>18</v>
      </c>
      <c r="C8918" t="s">
        <v>35356</v>
      </c>
      <c r="D8918" t="s">
        <v>35352</v>
      </c>
      <c r="E8918">
        <v>424019</v>
      </c>
      <c r="F8918" t="s">
        <v>1</v>
      </c>
      <c r="G8918" t="s">
        <v>2</v>
      </c>
      <c r="H8918" t="s">
        <v>1801</v>
      </c>
      <c r="I8918" t="s">
        <v>35353</v>
      </c>
      <c r="J8918" t="s">
        <v>35354</v>
      </c>
      <c r="M8918" t="s">
        <v>35355</v>
      </c>
      <c r="P8918" t="s">
        <v>696</v>
      </c>
      <c r="Y8918" t="s">
        <v>35357</v>
      </c>
    </row>
    <row r="8919" spans="1:25" x14ac:dyDescent="0.25">
      <c r="A8919" t="str">
        <f>"98615465466"</f>
        <v>98615465466</v>
      </c>
      <c r="B8919" t="s">
        <v>110</v>
      </c>
      <c r="C8919" t="s">
        <v>12676</v>
      </c>
      <c r="D8919" t="s">
        <v>35358</v>
      </c>
      <c r="E8919">
        <v>424031</v>
      </c>
      <c r="F8919" t="s">
        <v>1</v>
      </c>
      <c r="G8919" t="s">
        <v>2</v>
      </c>
      <c r="H8919" t="s">
        <v>3962</v>
      </c>
      <c r="Y8919" t="s">
        <v>19108</v>
      </c>
    </row>
    <row r="8920" spans="1:25" x14ac:dyDescent="0.25">
      <c r="A8920" t="str">
        <f>"98638872890"</f>
        <v>98638872890</v>
      </c>
      <c r="B8920" t="s">
        <v>2104</v>
      </c>
      <c r="C8920" t="s">
        <v>25306</v>
      </c>
      <c r="D8920" t="s">
        <v>14600</v>
      </c>
      <c r="E8920">
        <v>424002</v>
      </c>
      <c r="F8920" t="s">
        <v>1</v>
      </c>
      <c r="G8920" t="s">
        <v>2</v>
      </c>
      <c r="H8920" t="s">
        <v>30322</v>
      </c>
      <c r="P8920" t="s">
        <v>26289</v>
      </c>
      <c r="Q8920" t="s">
        <v>22104</v>
      </c>
      <c r="Y8920" t="s">
        <v>35359</v>
      </c>
    </row>
    <row r="8921" spans="1:25" x14ac:dyDescent="0.25">
      <c r="A8921" t="str">
        <f>"98651937752"</f>
        <v>98651937752</v>
      </c>
      <c r="B8921" t="s">
        <v>574</v>
      </c>
      <c r="C8921" t="s">
        <v>646</v>
      </c>
      <c r="D8921" t="s">
        <v>35360</v>
      </c>
      <c r="E8921">
        <v>424039</v>
      </c>
      <c r="F8921" t="s">
        <v>1</v>
      </c>
      <c r="G8921" t="s">
        <v>2</v>
      </c>
      <c r="H8921" t="s">
        <v>11516</v>
      </c>
      <c r="J8921" t="s">
        <v>35361</v>
      </c>
      <c r="P8921" t="s">
        <v>2457</v>
      </c>
      <c r="Y8921" t="s">
        <v>35362</v>
      </c>
    </row>
    <row r="8922" spans="1:25" x14ac:dyDescent="0.25">
      <c r="A8922" t="str">
        <f>"98714375415"</f>
        <v>98714375415</v>
      </c>
      <c r="B8922" t="s">
        <v>18</v>
      </c>
      <c r="C8922" t="s">
        <v>5273</v>
      </c>
      <c r="D8922" t="s">
        <v>35363</v>
      </c>
      <c r="E8922">
        <v>424037</v>
      </c>
      <c r="F8922" t="s">
        <v>1</v>
      </c>
      <c r="G8922" t="s">
        <v>2</v>
      </c>
      <c r="H8922" t="s">
        <v>3115</v>
      </c>
      <c r="Y8922" t="s">
        <v>35364</v>
      </c>
    </row>
    <row r="8923" spans="1:25" x14ac:dyDescent="0.25">
      <c r="A8923" t="str">
        <f>"98723129409"</f>
        <v>98723129409</v>
      </c>
      <c r="B8923" t="s">
        <v>978</v>
      </c>
      <c r="C8923" t="s">
        <v>7568</v>
      </c>
      <c r="D8923" t="s">
        <v>35365</v>
      </c>
      <c r="E8923">
        <v>424003</v>
      </c>
      <c r="F8923" t="s">
        <v>1</v>
      </c>
      <c r="G8923" t="s">
        <v>2</v>
      </c>
      <c r="H8923" t="s">
        <v>3158</v>
      </c>
      <c r="J8923" t="s">
        <v>35366</v>
      </c>
      <c r="M8923" t="s">
        <v>35367</v>
      </c>
      <c r="P8923" t="s">
        <v>35368</v>
      </c>
      <c r="Y8923" t="s">
        <v>6780</v>
      </c>
    </row>
    <row r="8924" spans="1:25" x14ac:dyDescent="0.25">
      <c r="A8924" t="str">
        <f>"98744392738"</f>
        <v>98744392738</v>
      </c>
      <c r="B8924" t="s">
        <v>574</v>
      </c>
      <c r="C8924" t="s">
        <v>646</v>
      </c>
      <c r="D8924" t="s">
        <v>35369</v>
      </c>
      <c r="E8924">
        <v>424036</v>
      </c>
      <c r="F8924" t="s">
        <v>1</v>
      </c>
      <c r="G8924" t="s">
        <v>2</v>
      </c>
      <c r="H8924" t="s">
        <v>12444</v>
      </c>
      <c r="P8924" t="s">
        <v>60</v>
      </c>
      <c r="Y8924" t="s">
        <v>35370</v>
      </c>
    </row>
    <row r="8925" spans="1:25" x14ac:dyDescent="0.25">
      <c r="A8925" t="str">
        <f>"98792190203"</f>
        <v>98792190203</v>
      </c>
      <c r="B8925" t="s">
        <v>96</v>
      </c>
      <c r="C8925" t="s">
        <v>35371</v>
      </c>
      <c r="D8925" t="s">
        <v>29718</v>
      </c>
      <c r="E8925">
        <v>424005</v>
      </c>
      <c r="F8925" t="s">
        <v>1</v>
      </c>
      <c r="G8925" t="s">
        <v>2</v>
      </c>
      <c r="H8925" t="s">
        <v>7480</v>
      </c>
      <c r="Y8925" t="s">
        <v>35372</v>
      </c>
    </row>
    <row r="8926" spans="1:25" x14ac:dyDescent="0.25">
      <c r="A8926" t="str">
        <f>"98809994919"</f>
        <v>98809994919</v>
      </c>
      <c r="B8926" t="s">
        <v>2601</v>
      </c>
      <c r="C8926" t="s">
        <v>25512</v>
      </c>
      <c r="D8926" t="s">
        <v>35373</v>
      </c>
      <c r="E8926">
        <v>424031</v>
      </c>
      <c r="F8926" t="s">
        <v>1</v>
      </c>
      <c r="G8926" t="s">
        <v>2</v>
      </c>
      <c r="H8926" t="s">
        <v>239</v>
      </c>
      <c r="I8926" t="s">
        <v>35374</v>
      </c>
      <c r="J8926" t="s">
        <v>35375</v>
      </c>
      <c r="L8926" t="s">
        <v>35376</v>
      </c>
      <c r="M8926" t="s">
        <v>35377</v>
      </c>
      <c r="P8926" t="s">
        <v>1039</v>
      </c>
      <c r="Q8926" t="s">
        <v>35378</v>
      </c>
      <c r="V8926" t="s">
        <v>35379</v>
      </c>
      <c r="Y8926" t="s">
        <v>246</v>
      </c>
    </row>
    <row r="8927" spans="1:25" x14ac:dyDescent="0.25">
      <c r="A8927" t="str">
        <f>"98816078279"</f>
        <v>98816078279</v>
      </c>
      <c r="B8927" t="s">
        <v>25</v>
      </c>
      <c r="C8927" t="s">
        <v>5241</v>
      </c>
      <c r="D8927" t="s">
        <v>35380</v>
      </c>
      <c r="E8927">
        <v>424003</v>
      </c>
      <c r="F8927" t="s">
        <v>1</v>
      </c>
      <c r="G8927" t="s">
        <v>2</v>
      </c>
      <c r="H8927" t="s">
        <v>25731</v>
      </c>
      <c r="Y8927" t="s">
        <v>35381</v>
      </c>
    </row>
    <row r="8928" spans="1:25" x14ac:dyDescent="0.25">
      <c r="A8928" t="str">
        <f>"98823239511"</f>
        <v>98823239511</v>
      </c>
      <c r="B8928" t="s">
        <v>117</v>
      </c>
      <c r="C8928" t="s">
        <v>873</v>
      </c>
      <c r="D8928" t="s">
        <v>873</v>
      </c>
      <c r="F8928" t="s">
        <v>1</v>
      </c>
      <c r="G8928" t="s">
        <v>2</v>
      </c>
      <c r="H8928" t="s">
        <v>27567</v>
      </c>
      <c r="Y8928" t="s">
        <v>35382</v>
      </c>
    </row>
    <row r="8929" spans="1:25" x14ac:dyDescent="0.25">
      <c r="A8929" t="str">
        <f>"98880148559"</f>
        <v>98880148559</v>
      </c>
      <c r="B8929" t="s">
        <v>746</v>
      </c>
      <c r="C8929" t="s">
        <v>33251</v>
      </c>
      <c r="D8929" t="s">
        <v>35383</v>
      </c>
      <c r="E8929">
        <v>424003</v>
      </c>
      <c r="F8929" t="s">
        <v>1</v>
      </c>
      <c r="G8929" t="s">
        <v>2</v>
      </c>
      <c r="H8929" t="s">
        <v>28200</v>
      </c>
      <c r="I8929" t="s">
        <v>35384</v>
      </c>
      <c r="L8929" t="s">
        <v>35385</v>
      </c>
      <c r="M8929" t="s">
        <v>35386</v>
      </c>
      <c r="P8929" t="s">
        <v>27</v>
      </c>
      <c r="Q8929" t="s">
        <v>35387</v>
      </c>
      <c r="S8929" t="s">
        <v>35388</v>
      </c>
      <c r="T8929" t="s">
        <v>35389</v>
      </c>
      <c r="U8929" t="s">
        <v>35390</v>
      </c>
      <c r="V8929" t="s">
        <v>35391</v>
      </c>
      <c r="Y8929" t="s">
        <v>28206</v>
      </c>
    </row>
    <row r="8930" spans="1:25" x14ac:dyDescent="0.25">
      <c r="A8930" t="str">
        <f>"98900632526"</f>
        <v>98900632526</v>
      </c>
      <c r="B8930" t="s">
        <v>1475</v>
      </c>
      <c r="C8930" t="s">
        <v>35395</v>
      </c>
      <c r="D8930" t="s">
        <v>35392</v>
      </c>
      <c r="F8930" t="s">
        <v>1</v>
      </c>
      <c r="G8930" t="s">
        <v>2</v>
      </c>
      <c r="H8930" t="s">
        <v>138</v>
      </c>
      <c r="I8930" t="s">
        <v>35393</v>
      </c>
      <c r="J8930" t="s">
        <v>35394</v>
      </c>
      <c r="P8930" t="s">
        <v>144</v>
      </c>
      <c r="Y8930" t="s">
        <v>146</v>
      </c>
    </row>
    <row r="8931" spans="1:25" x14ac:dyDescent="0.25">
      <c r="A8931" t="str">
        <f>"98913773308"</f>
        <v>98913773308</v>
      </c>
      <c r="B8931" t="s">
        <v>2846</v>
      </c>
      <c r="C8931" t="s">
        <v>35398</v>
      </c>
      <c r="D8931" t="s">
        <v>35396</v>
      </c>
      <c r="E8931">
        <v>424038</v>
      </c>
      <c r="F8931" t="s">
        <v>1</v>
      </c>
      <c r="G8931" t="s">
        <v>2</v>
      </c>
      <c r="H8931" t="s">
        <v>3756</v>
      </c>
      <c r="J8931" t="s">
        <v>35397</v>
      </c>
      <c r="Y8931" t="s">
        <v>3759</v>
      </c>
    </row>
    <row r="8932" spans="1:25" x14ac:dyDescent="0.25">
      <c r="A8932" t="str">
        <f>"98949233986"</f>
        <v>98949233986</v>
      </c>
      <c r="B8932" t="s">
        <v>1544</v>
      </c>
      <c r="C8932" t="s">
        <v>3596</v>
      </c>
      <c r="D8932" t="s">
        <v>35399</v>
      </c>
      <c r="E8932">
        <v>424002</v>
      </c>
      <c r="F8932" t="s">
        <v>1</v>
      </c>
      <c r="G8932" t="s">
        <v>2</v>
      </c>
      <c r="H8932" t="s">
        <v>18039</v>
      </c>
      <c r="I8932" t="s">
        <v>35400</v>
      </c>
      <c r="L8932" t="s">
        <v>12981</v>
      </c>
      <c r="M8932" t="s">
        <v>35401</v>
      </c>
      <c r="P8932" t="s">
        <v>35402</v>
      </c>
      <c r="Y8932" t="s">
        <v>35403</v>
      </c>
    </row>
    <row r="8933" spans="1:25" x14ac:dyDescent="0.25">
      <c r="A8933" t="str">
        <f>"98994885011"</f>
        <v>98994885011</v>
      </c>
      <c r="B8933" t="s">
        <v>716</v>
      </c>
      <c r="C8933" t="s">
        <v>717</v>
      </c>
      <c r="D8933" t="s">
        <v>35404</v>
      </c>
      <c r="E8933">
        <v>424007</v>
      </c>
      <c r="F8933" t="s">
        <v>1</v>
      </c>
      <c r="G8933" t="s">
        <v>2</v>
      </c>
      <c r="H8933" t="s">
        <v>15418</v>
      </c>
      <c r="J8933" t="s">
        <v>35405</v>
      </c>
      <c r="P8933" t="s">
        <v>330</v>
      </c>
      <c r="Y8933" t="s">
        <v>20468</v>
      </c>
    </row>
    <row r="8934" spans="1:25" x14ac:dyDescent="0.25">
      <c r="A8934" t="str">
        <f>"99005043731"</f>
        <v>99005043731</v>
      </c>
      <c r="B8934" t="s">
        <v>96</v>
      </c>
      <c r="C8934" t="s">
        <v>659</v>
      </c>
      <c r="D8934" t="s">
        <v>17297</v>
      </c>
      <c r="E8934">
        <v>424000</v>
      </c>
      <c r="F8934" t="s">
        <v>1</v>
      </c>
      <c r="G8934" t="s">
        <v>2</v>
      </c>
      <c r="H8934" t="s">
        <v>1473</v>
      </c>
      <c r="P8934" t="s">
        <v>941</v>
      </c>
      <c r="Y8934" t="s">
        <v>4067</v>
      </c>
    </row>
    <row r="8935" spans="1:25" x14ac:dyDescent="0.25">
      <c r="A8935" t="str">
        <f>"99078730152"</f>
        <v>99078730152</v>
      </c>
      <c r="B8935" t="s">
        <v>530</v>
      </c>
      <c r="C8935" t="s">
        <v>23950</v>
      </c>
      <c r="D8935" t="s">
        <v>23950</v>
      </c>
      <c r="E8935">
        <v>424003</v>
      </c>
      <c r="F8935" t="s">
        <v>1</v>
      </c>
      <c r="G8935" t="s">
        <v>2</v>
      </c>
      <c r="H8935" t="s">
        <v>35406</v>
      </c>
      <c r="Y8935" t="s">
        <v>35407</v>
      </c>
    </row>
    <row r="8936" spans="1:25" x14ac:dyDescent="0.25">
      <c r="A8936" t="str">
        <f>"99083156462"</f>
        <v>99083156462</v>
      </c>
      <c r="B8936" t="s">
        <v>1182</v>
      </c>
      <c r="C8936" t="s">
        <v>6011</v>
      </c>
      <c r="D8936" t="s">
        <v>35408</v>
      </c>
      <c r="E8936">
        <v>424006</v>
      </c>
      <c r="F8936" t="s">
        <v>1</v>
      </c>
      <c r="G8936" t="s">
        <v>2</v>
      </c>
      <c r="H8936" t="s">
        <v>2825</v>
      </c>
      <c r="I8936" t="s">
        <v>35409</v>
      </c>
      <c r="M8936" t="s">
        <v>35410</v>
      </c>
      <c r="P8936" t="s">
        <v>7436</v>
      </c>
      <c r="Q8936" t="s">
        <v>35411</v>
      </c>
      <c r="Y8936" t="s">
        <v>2832</v>
      </c>
    </row>
    <row r="8937" spans="1:25" x14ac:dyDescent="0.25">
      <c r="A8937" t="str">
        <f>"99157446590"</f>
        <v>99157446590</v>
      </c>
      <c r="B8937" t="s">
        <v>96</v>
      </c>
      <c r="C8937" t="s">
        <v>24042</v>
      </c>
      <c r="D8937" t="s">
        <v>24127</v>
      </c>
      <c r="F8937" t="s">
        <v>1</v>
      </c>
      <c r="G8937" t="s">
        <v>2</v>
      </c>
      <c r="H8937" t="s">
        <v>35412</v>
      </c>
      <c r="Y8937" t="s">
        <v>35413</v>
      </c>
    </row>
    <row r="8938" spans="1:25" x14ac:dyDescent="0.25">
      <c r="A8938" t="str">
        <f>"99177965056"</f>
        <v>99177965056</v>
      </c>
      <c r="B8938" t="s">
        <v>67</v>
      </c>
      <c r="C8938" t="s">
        <v>832</v>
      </c>
      <c r="D8938" t="s">
        <v>2</v>
      </c>
      <c r="E8938">
        <v>424000</v>
      </c>
      <c r="F8938" t="s">
        <v>1</v>
      </c>
      <c r="G8938" t="s">
        <v>2</v>
      </c>
      <c r="H8938" t="s">
        <v>2925</v>
      </c>
      <c r="Y8938" t="s">
        <v>35414</v>
      </c>
    </row>
    <row r="8939" spans="1:25" x14ac:dyDescent="0.25">
      <c r="A8939" t="str">
        <f>"99185544337"</f>
        <v>99185544337</v>
      </c>
      <c r="B8939" t="s">
        <v>32</v>
      </c>
      <c r="C8939" t="s">
        <v>35416</v>
      </c>
      <c r="D8939" t="s">
        <v>35415</v>
      </c>
      <c r="E8939">
        <v>424003</v>
      </c>
      <c r="F8939" t="s">
        <v>1</v>
      </c>
      <c r="G8939" t="s">
        <v>2</v>
      </c>
      <c r="H8939" t="s">
        <v>38</v>
      </c>
      <c r="Y8939" t="s">
        <v>8462</v>
      </c>
    </row>
    <row r="8940" spans="1:25" x14ac:dyDescent="0.25">
      <c r="A8940" t="str">
        <f>"99212195702"</f>
        <v>99212195702</v>
      </c>
      <c r="B8940" t="s">
        <v>1046</v>
      </c>
      <c r="C8940" t="s">
        <v>22946</v>
      </c>
      <c r="D8940" t="s">
        <v>22946</v>
      </c>
      <c r="E8940">
        <v>424007</v>
      </c>
      <c r="F8940" t="s">
        <v>1</v>
      </c>
      <c r="G8940" t="s">
        <v>2</v>
      </c>
      <c r="H8940" t="s">
        <v>34833</v>
      </c>
      <c r="Y8940" t="s">
        <v>35417</v>
      </c>
    </row>
    <row r="8941" spans="1:25" x14ac:dyDescent="0.25">
      <c r="A8941" t="str">
        <f>"99252137995"</f>
        <v>99252137995</v>
      </c>
      <c r="B8941" t="s">
        <v>96</v>
      </c>
      <c r="C8941" t="s">
        <v>35418</v>
      </c>
      <c r="D8941" t="s">
        <v>12339</v>
      </c>
      <c r="E8941">
        <v>424005</v>
      </c>
      <c r="F8941" t="s">
        <v>1</v>
      </c>
      <c r="G8941" t="s">
        <v>2</v>
      </c>
      <c r="H8941" t="s">
        <v>7480</v>
      </c>
      <c r="P8941" t="s">
        <v>941</v>
      </c>
      <c r="Y8941" t="s">
        <v>35419</v>
      </c>
    </row>
    <row r="8942" spans="1:25" x14ac:dyDescent="0.25">
      <c r="A8942" t="str">
        <f>"99325632976"</f>
        <v>99325632976</v>
      </c>
      <c r="B8942" t="s">
        <v>88</v>
      </c>
      <c r="C8942" t="s">
        <v>19306</v>
      </c>
      <c r="D8942" t="s">
        <v>13314</v>
      </c>
      <c r="E8942">
        <v>424003</v>
      </c>
      <c r="F8942" t="s">
        <v>1</v>
      </c>
      <c r="G8942" t="s">
        <v>2</v>
      </c>
      <c r="H8942" t="s">
        <v>16890</v>
      </c>
      <c r="I8942" t="s">
        <v>35420</v>
      </c>
      <c r="K8942" t="s">
        <v>14459</v>
      </c>
      <c r="P8942" t="s">
        <v>20</v>
      </c>
      <c r="Y8942" t="s">
        <v>16896</v>
      </c>
    </row>
    <row r="8943" spans="1:25" x14ac:dyDescent="0.25">
      <c r="A8943" t="str">
        <f>"99356547742"</f>
        <v>99356547742</v>
      </c>
      <c r="B8943" t="s">
        <v>379</v>
      </c>
      <c r="C8943" t="s">
        <v>766</v>
      </c>
      <c r="D8943" t="s">
        <v>35421</v>
      </c>
      <c r="E8943">
        <v>424008</v>
      </c>
      <c r="F8943" t="s">
        <v>1</v>
      </c>
      <c r="G8943" t="s">
        <v>2</v>
      </c>
      <c r="H8943" t="s">
        <v>13180</v>
      </c>
      <c r="I8943" t="s">
        <v>35422</v>
      </c>
      <c r="M8943" t="s">
        <v>35423</v>
      </c>
      <c r="P8943" t="s">
        <v>17774</v>
      </c>
      <c r="Y8943" t="s">
        <v>13185</v>
      </c>
    </row>
    <row r="8944" spans="1:25" x14ac:dyDescent="0.25">
      <c r="A8944" t="str">
        <f>"99356693532"</f>
        <v>99356693532</v>
      </c>
      <c r="B8944" t="s">
        <v>430</v>
      </c>
      <c r="C8944" t="s">
        <v>35426</v>
      </c>
      <c r="D8944" t="s">
        <v>35424</v>
      </c>
      <c r="E8944">
        <v>424031</v>
      </c>
      <c r="F8944" t="s">
        <v>1</v>
      </c>
      <c r="G8944" t="s">
        <v>2</v>
      </c>
      <c r="H8944" t="s">
        <v>1129</v>
      </c>
      <c r="I8944" t="s">
        <v>35215</v>
      </c>
      <c r="L8944" t="s">
        <v>1131</v>
      </c>
      <c r="M8944" t="s">
        <v>35425</v>
      </c>
      <c r="P8944" t="s">
        <v>330</v>
      </c>
      <c r="Q8944" t="s">
        <v>1133</v>
      </c>
      <c r="Y8944" t="s">
        <v>35427</v>
      </c>
    </row>
    <row r="8945" spans="1:25" x14ac:dyDescent="0.25">
      <c r="A8945" t="str">
        <f>"99360515695"</f>
        <v>99360515695</v>
      </c>
      <c r="B8945" t="s">
        <v>25</v>
      </c>
      <c r="C8945" t="s">
        <v>20320</v>
      </c>
      <c r="D8945" t="s">
        <v>35428</v>
      </c>
      <c r="E8945">
        <v>424006</v>
      </c>
      <c r="F8945" t="s">
        <v>1</v>
      </c>
      <c r="G8945" t="s">
        <v>2</v>
      </c>
      <c r="H8945" t="s">
        <v>35429</v>
      </c>
      <c r="Y8945" t="s">
        <v>35430</v>
      </c>
    </row>
    <row r="8946" spans="1:25" x14ac:dyDescent="0.25">
      <c r="A8946" t="str">
        <f>"99377843054"</f>
        <v>99377843054</v>
      </c>
      <c r="B8946" t="s">
        <v>18</v>
      </c>
      <c r="C8946" t="s">
        <v>1419</v>
      </c>
      <c r="D8946" t="s">
        <v>35431</v>
      </c>
      <c r="E8946">
        <v>424003</v>
      </c>
      <c r="F8946" t="s">
        <v>1</v>
      </c>
      <c r="G8946" t="s">
        <v>2</v>
      </c>
      <c r="H8946" t="s">
        <v>7152</v>
      </c>
      <c r="I8946" t="s">
        <v>35432</v>
      </c>
      <c r="P8946" t="s">
        <v>27</v>
      </c>
      <c r="Y8946" t="s">
        <v>7157</v>
      </c>
    </row>
    <row r="8947" spans="1:25" x14ac:dyDescent="0.25">
      <c r="A8947" t="str">
        <f>"99378460592"</f>
        <v>99378460592</v>
      </c>
      <c r="B8947" t="s">
        <v>7312</v>
      </c>
      <c r="C8947" t="s">
        <v>21136</v>
      </c>
      <c r="D8947" t="s">
        <v>35433</v>
      </c>
      <c r="E8947">
        <v>424031</v>
      </c>
      <c r="F8947" t="s">
        <v>1</v>
      </c>
      <c r="G8947" t="s">
        <v>2</v>
      </c>
      <c r="H8947" t="s">
        <v>413</v>
      </c>
      <c r="P8947" t="s">
        <v>1855</v>
      </c>
      <c r="Y8947" t="s">
        <v>35434</v>
      </c>
    </row>
    <row r="8948" spans="1:25" x14ac:dyDescent="0.25">
      <c r="A8948" t="str">
        <f>"99379196478"</f>
        <v>99379196478</v>
      </c>
      <c r="B8948" t="s">
        <v>482</v>
      </c>
      <c r="C8948" t="s">
        <v>35436</v>
      </c>
      <c r="D8948" t="s">
        <v>35435</v>
      </c>
      <c r="E8948">
        <v>424006</v>
      </c>
      <c r="F8948" t="s">
        <v>1</v>
      </c>
      <c r="G8948" t="s">
        <v>2</v>
      </c>
      <c r="H8948" t="s">
        <v>6133</v>
      </c>
      <c r="Y8948" t="s">
        <v>35437</v>
      </c>
    </row>
    <row r="8949" spans="1:25" x14ac:dyDescent="0.25">
      <c r="A8949" t="str">
        <f>"99408584166"</f>
        <v>99408584166</v>
      </c>
      <c r="B8949" t="s">
        <v>530</v>
      </c>
      <c r="C8949" t="s">
        <v>23950</v>
      </c>
      <c r="D8949" t="s">
        <v>23950</v>
      </c>
      <c r="E8949">
        <v>424031</v>
      </c>
      <c r="F8949" t="s">
        <v>1</v>
      </c>
      <c r="G8949" t="s">
        <v>2</v>
      </c>
      <c r="H8949" t="s">
        <v>29568</v>
      </c>
      <c r="Y8949" t="s">
        <v>35438</v>
      </c>
    </row>
    <row r="8950" spans="1:25" x14ac:dyDescent="0.25">
      <c r="A8950" t="str">
        <f>"99432720852"</f>
        <v>99432720852</v>
      </c>
      <c r="B8950" t="s">
        <v>7312</v>
      </c>
      <c r="C8950" t="s">
        <v>35439</v>
      </c>
      <c r="D8950" t="s">
        <v>27713</v>
      </c>
      <c r="E8950">
        <v>424020</v>
      </c>
      <c r="F8950" t="s">
        <v>1</v>
      </c>
      <c r="G8950" t="s">
        <v>2</v>
      </c>
      <c r="H8950" t="s">
        <v>6262</v>
      </c>
      <c r="Y8950" t="s">
        <v>6264</v>
      </c>
    </row>
    <row r="8951" spans="1:25" x14ac:dyDescent="0.25">
      <c r="A8951" t="str">
        <f>"99434488631"</f>
        <v>99434488631</v>
      </c>
      <c r="B8951" t="s">
        <v>553</v>
      </c>
      <c r="C8951" t="s">
        <v>10404</v>
      </c>
      <c r="D8951" t="s">
        <v>35440</v>
      </c>
      <c r="E8951">
        <v>424007</v>
      </c>
      <c r="F8951" t="s">
        <v>1</v>
      </c>
      <c r="G8951" t="s">
        <v>2</v>
      </c>
      <c r="H8951" t="s">
        <v>5178</v>
      </c>
      <c r="J8951" t="s">
        <v>35441</v>
      </c>
      <c r="P8951" t="s">
        <v>31621</v>
      </c>
      <c r="Y8951" t="s">
        <v>35442</v>
      </c>
    </row>
    <row r="8952" spans="1:25" x14ac:dyDescent="0.25">
      <c r="A8952" t="str">
        <f>"99474473882"</f>
        <v>99474473882</v>
      </c>
      <c r="B8952" t="s">
        <v>1152</v>
      </c>
      <c r="C8952" t="s">
        <v>4682</v>
      </c>
      <c r="D8952" t="s">
        <v>35443</v>
      </c>
      <c r="E8952">
        <v>424002</v>
      </c>
      <c r="F8952" t="s">
        <v>1</v>
      </c>
      <c r="G8952" t="s">
        <v>2</v>
      </c>
      <c r="H8952" t="s">
        <v>6012</v>
      </c>
      <c r="P8952" t="s">
        <v>35444</v>
      </c>
      <c r="Y8952" t="s">
        <v>35445</v>
      </c>
    </row>
    <row r="8953" spans="1:25" x14ac:dyDescent="0.25">
      <c r="A8953" t="str">
        <f>"99505515789"</f>
        <v>99505515789</v>
      </c>
      <c r="B8953" t="s">
        <v>32</v>
      </c>
      <c r="C8953" t="s">
        <v>182</v>
      </c>
      <c r="D8953" t="s">
        <v>35446</v>
      </c>
      <c r="E8953">
        <v>424007</v>
      </c>
      <c r="F8953" t="s">
        <v>1</v>
      </c>
      <c r="G8953" t="s">
        <v>2</v>
      </c>
      <c r="H8953" t="s">
        <v>30559</v>
      </c>
      <c r="I8953" t="s">
        <v>35447</v>
      </c>
      <c r="P8953" t="s">
        <v>13898</v>
      </c>
      <c r="Y8953" t="s">
        <v>32195</v>
      </c>
    </row>
    <row r="8954" spans="1:25" x14ac:dyDescent="0.25">
      <c r="A8954" t="str">
        <f>"99510285841"</f>
        <v>99510285841</v>
      </c>
      <c r="B8954" t="s">
        <v>1611</v>
      </c>
      <c r="C8954" t="s">
        <v>3218</v>
      </c>
      <c r="D8954" t="s">
        <v>35448</v>
      </c>
      <c r="E8954">
        <v>424005</v>
      </c>
      <c r="F8954" t="s">
        <v>1</v>
      </c>
      <c r="G8954" t="s">
        <v>2</v>
      </c>
      <c r="H8954" t="s">
        <v>11683</v>
      </c>
      <c r="M8954" t="s">
        <v>35449</v>
      </c>
      <c r="Y8954" t="s">
        <v>26251</v>
      </c>
    </row>
    <row r="8955" spans="1:25" x14ac:dyDescent="0.25">
      <c r="A8955" t="str">
        <f>"99527755404"</f>
        <v>99527755404</v>
      </c>
      <c r="B8955" t="s">
        <v>117</v>
      </c>
      <c r="C8955" t="s">
        <v>28605</v>
      </c>
      <c r="D8955" t="s">
        <v>26690</v>
      </c>
      <c r="F8955" t="s">
        <v>1</v>
      </c>
      <c r="G8955" t="s">
        <v>2</v>
      </c>
      <c r="H8955" t="s">
        <v>24399</v>
      </c>
      <c r="Y8955" t="s">
        <v>35450</v>
      </c>
    </row>
    <row r="8956" spans="1:25" x14ac:dyDescent="0.25">
      <c r="A8956" t="str">
        <f>"99540318421"</f>
        <v>99540318421</v>
      </c>
      <c r="B8956" t="s">
        <v>1152</v>
      </c>
      <c r="C8956" t="s">
        <v>1153</v>
      </c>
      <c r="D8956" t="s">
        <v>10280</v>
      </c>
      <c r="F8956" t="s">
        <v>1</v>
      </c>
      <c r="G8956" t="s">
        <v>2</v>
      </c>
      <c r="H8956" t="s">
        <v>138</v>
      </c>
      <c r="I8956" t="s">
        <v>22092</v>
      </c>
      <c r="M8956" t="s">
        <v>10284</v>
      </c>
      <c r="P8956" t="s">
        <v>144</v>
      </c>
      <c r="Q8956" t="s">
        <v>10286</v>
      </c>
      <c r="R8956" t="s">
        <v>10287</v>
      </c>
      <c r="S8956" t="s">
        <v>10288</v>
      </c>
      <c r="T8956" t="s">
        <v>10289</v>
      </c>
      <c r="U8956" t="s">
        <v>10290</v>
      </c>
      <c r="V8956" t="s">
        <v>10291</v>
      </c>
      <c r="Y8956" t="s">
        <v>35451</v>
      </c>
    </row>
    <row r="8957" spans="1:25" x14ac:dyDescent="0.25">
      <c r="A8957" t="str">
        <f>"99541612115"</f>
        <v>99541612115</v>
      </c>
      <c r="B8957" t="s">
        <v>117</v>
      </c>
      <c r="C8957" t="s">
        <v>118</v>
      </c>
      <c r="D8957" t="s">
        <v>5845</v>
      </c>
      <c r="E8957">
        <v>424008</v>
      </c>
      <c r="F8957" t="s">
        <v>1</v>
      </c>
      <c r="G8957" t="s">
        <v>2</v>
      </c>
      <c r="H8957" t="s">
        <v>2001</v>
      </c>
      <c r="Y8957" t="s">
        <v>2005</v>
      </c>
    </row>
    <row r="8958" spans="1:25" x14ac:dyDescent="0.25">
      <c r="A8958" t="str">
        <f>"99567855573"</f>
        <v>99567855573</v>
      </c>
      <c r="B8958" t="s">
        <v>3008</v>
      </c>
      <c r="C8958" t="s">
        <v>35456</v>
      </c>
      <c r="D8958" t="s">
        <v>35452</v>
      </c>
      <c r="E8958">
        <v>424006</v>
      </c>
      <c r="F8958" t="s">
        <v>1</v>
      </c>
      <c r="G8958" t="s">
        <v>2</v>
      </c>
      <c r="H8958" t="s">
        <v>9007</v>
      </c>
      <c r="J8958" t="s">
        <v>35453</v>
      </c>
      <c r="L8958" t="s">
        <v>35454</v>
      </c>
      <c r="M8958" t="s">
        <v>35455</v>
      </c>
      <c r="Y8958" t="s">
        <v>9010</v>
      </c>
    </row>
    <row r="8959" spans="1:25" x14ac:dyDescent="0.25">
      <c r="A8959" t="str">
        <f>"99574380428"</f>
        <v>99574380428</v>
      </c>
      <c r="B8959" t="s">
        <v>96</v>
      </c>
      <c r="C8959" t="s">
        <v>29799</v>
      </c>
      <c r="D8959" t="s">
        <v>35457</v>
      </c>
      <c r="E8959">
        <v>424000</v>
      </c>
      <c r="F8959" t="s">
        <v>1</v>
      </c>
      <c r="G8959" t="s">
        <v>2</v>
      </c>
      <c r="H8959" t="s">
        <v>92</v>
      </c>
      <c r="Y8959" t="s">
        <v>35458</v>
      </c>
    </row>
    <row r="8960" spans="1:25" x14ac:dyDescent="0.25">
      <c r="A8960" t="str">
        <f>"99623683312"</f>
        <v>99623683312</v>
      </c>
      <c r="B8960" t="s">
        <v>1152</v>
      </c>
      <c r="C8960" t="s">
        <v>1706</v>
      </c>
      <c r="D8960" t="s">
        <v>35459</v>
      </c>
      <c r="E8960">
        <v>424007</v>
      </c>
      <c r="F8960" t="s">
        <v>1</v>
      </c>
      <c r="G8960" t="s">
        <v>2</v>
      </c>
      <c r="H8960" t="s">
        <v>14570</v>
      </c>
      <c r="I8960" t="s">
        <v>35460</v>
      </c>
      <c r="P8960" t="s">
        <v>16441</v>
      </c>
      <c r="Q8960" t="s">
        <v>35461</v>
      </c>
      <c r="Y8960" t="s">
        <v>14573</v>
      </c>
    </row>
    <row r="8961" spans="1:25" x14ac:dyDescent="0.25">
      <c r="A8961" t="str">
        <f>"99661752773"</f>
        <v>99661752773</v>
      </c>
      <c r="B8961" t="s">
        <v>430</v>
      </c>
      <c r="C8961" t="s">
        <v>35466</v>
      </c>
      <c r="D8961" t="s">
        <v>35462</v>
      </c>
      <c r="E8961">
        <v>424038</v>
      </c>
      <c r="F8961" t="s">
        <v>1</v>
      </c>
      <c r="G8961" t="s">
        <v>2</v>
      </c>
      <c r="H8961" t="s">
        <v>7597</v>
      </c>
      <c r="I8961" t="s">
        <v>35463</v>
      </c>
      <c r="J8961" t="s">
        <v>35464</v>
      </c>
      <c r="M8961" t="s">
        <v>35465</v>
      </c>
      <c r="P8961" t="s">
        <v>13820</v>
      </c>
      <c r="Q8961" t="s">
        <v>35467</v>
      </c>
      <c r="V8961" t="s">
        <v>35468</v>
      </c>
      <c r="Y8961" t="s">
        <v>35469</v>
      </c>
    </row>
    <row r="8962" spans="1:25" x14ac:dyDescent="0.25">
      <c r="A8962" t="str">
        <f>"99662868071"</f>
        <v>99662868071</v>
      </c>
      <c r="B8962" t="s">
        <v>530</v>
      </c>
      <c r="C8962" t="s">
        <v>23950</v>
      </c>
      <c r="D8962" t="s">
        <v>23950</v>
      </c>
      <c r="F8962" t="s">
        <v>1</v>
      </c>
      <c r="G8962" t="s">
        <v>2</v>
      </c>
      <c r="H8962" t="s">
        <v>35470</v>
      </c>
      <c r="Y8962" t="s">
        <v>35471</v>
      </c>
    </row>
    <row r="8963" spans="1:25" x14ac:dyDescent="0.25">
      <c r="A8963" t="str">
        <f>"99687131110"</f>
        <v>99687131110</v>
      </c>
      <c r="B8963" t="s">
        <v>640</v>
      </c>
      <c r="C8963" t="s">
        <v>28140</v>
      </c>
      <c r="D8963" t="s">
        <v>35472</v>
      </c>
      <c r="F8963" t="s">
        <v>1</v>
      </c>
      <c r="G8963" t="s">
        <v>2</v>
      </c>
      <c r="H8963" t="s">
        <v>35473</v>
      </c>
      <c r="Y8963" t="s">
        <v>35474</v>
      </c>
    </row>
    <row r="8964" spans="1:25" x14ac:dyDescent="0.25">
      <c r="A8964" t="str">
        <f>"99706461009"</f>
        <v>99706461009</v>
      </c>
      <c r="B8964" t="s">
        <v>18</v>
      </c>
      <c r="C8964" t="s">
        <v>959</v>
      </c>
      <c r="D8964" t="s">
        <v>35475</v>
      </c>
      <c r="E8964">
        <v>424019</v>
      </c>
      <c r="F8964" t="s">
        <v>1</v>
      </c>
      <c r="G8964" t="s">
        <v>2</v>
      </c>
      <c r="H8964" t="s">
        <v>15506</v>
      </c>
      <c r="Y8964" t="s">
        <v>35476</v>
      </c>
    </row>
    <row r="8965" spans="1:25" x14ac:dyDescent="0.25">
      <c r="A8965" t="str">
        <f>"99709519782"</f>
        <v>99709519782</v>
      </c>
      <c r="B8965" t="s">
        <v>96</v>
      </c>
      <c r="C8965" t="s">
        <v>893</v>
      </c>
      <c r="D8965" t="s">
        <v>35477</v>
      </c>
      <c r="E8965">
        <v>424918</v>
      </c>
      <c r="F8965" t="s">
        <v>1</v>
      </c>
      <c r="G8965" t="s">
        <v>2</v>
      </c>
      <c r="H8965" t="s">
        <v>629</v>
      </c>
      <c r="P8965" t="s">
        <v>630</v>
      </c>
      <c r="Y8965" t="s">
        <v>35478</v>
      </c>
    </row>
    <row r="8966" spans="1:25" x14ac:dyDescent="0.25">
      <c r="A8966" t="str">
        <f>"99723011903"</f>
        <v>99723011903</v>
      </c>
      <c r="B8966" t="s">
        <v>1343</v>
      </c>
      <c r="C8966" t="s">
        <v>10464</v>
      </c>
      <c r="D8966" t="s">
        <v>35479</v>
      </c>
      <c r="E8966">
        <v>424040</v>
      </c>
      <c r="F8966" t="s">
        <v>1</v>
      </c>
      <c r="G8966" t="s">
        <v>2</v>
      </c>
      <c r="H8966" t="s">
        <v>5602</v>
      </c>
      <c r="I8966" t="s">
        <v>35480</v>
      </c>
      <c r="P8966" t="s">
        <v>471</v>
      </c>
      <c r="Y8966" t="s">
        <v>5606</v>
      </c>
    </row>
    <row r="8967" spans="1:25" x14ac:dyDescent="0.25">
      <c r="A8967" t="str">
        <f>"99828515448"</f>
        <v>99828515448</v>
      </c>
      <c r="B8967" t="s">
        <v>574</v>
      </c>
      <c r="C8967" t="s">
        <v>26901</v>
      </c>
      <c r="D8967" t="s">
        <v>21345</v>
      </c>
      <c r="E8967">
        <v>424003</v>
      </c>
      <c r="F8967" t="s">
        <v>1</v>
      </c>
      <c r="G8967" t="s">
        <v>2</v>
      </c>
      <c r="H8967" t="s">
        <v>38</v>
      </c>
      <c r="Y8967" t="s">
        <v>35481</v>
      </c>
    </row>
    <row r="8968" spans="1:25" x14ac:dyDescent="0.25">
      <c r="A8968" t="str">
        <f>"99843156856"</f>
        <v>99843156856</v>
      </c>
      <c r="B8968" t="s">
        <v>80</v>
      </c>
      <c r="C8968" t="s">
        <v>3295</v>
      </c>
      <c r="D8968" t="s">
        <v>35482</v>
      </c>
      <c r="E8968">
        <v>424006</v>
      </c>
      <c r="F8968" t="s">
        <v>1</v>
      </c>
      <c r="G8968" t="s">
        <v>2</v>
      </c>
      <c r="H8968" t="s">
        <v>2966</v>
      </c>
      <c r="I8968" t="s">
        <v>35483</v>
      </c>
      <c r="J8968" t="s">
        <v>35484</v>
      </c>
      <c r="P8968" t="s">
        <v>2280</v>
      </c>
      <c r="Y8968" t="s">
        <v>2970</v>
      </c>
    </row>
    <row r="8969" spans="1:25" x14ac:dyDescent="0.25">
      <c r="A8969" t="str">
        <f>"99854559556"</f>
        <v>99854559556</v>
      </c>
      <c r="B8969" t="s">
        <v>888</v>
      </c>
      <c r="C8969" t="s">
        <v>7389</v>
      </c>
      <c r="D8969" t="s">
        <v>35485</v>
      </c>
      <c r="E8969">
        <v>424000</v>
      </c>
      <c r="F8969" t="s">
        <v>1</v>
      </c>
      <c r="G8969" t="s">
        <v>2</v>
      </c>
      <c r="H8969" t="s">
        <v>5615</v>
      </c>
      <c r="P8969" t="s">
        <v>2951</v>
      </c>
      <c r="Q8969" t="s">
        <v>35486</v>
      </c>
      <c r="Y8969" t="s">
        <v>5619</v>
      </c>
    </row>
    <row r="8970" spans="1:25" x14ac:dyDescent="0.25">
      <c r="A8970" t="str">
        <f>"99870203253"</f>
        <v>99870203253</v>
      </c>
      <c r="B8970" t="s">
        <v>32</v>
      </c>
      <c r="C8970" t="s">
        <v>20811</v>
      </c>
      <c r="D8970" t="s">
        <v>35487</v>
      </c>
      <c r="E8970">
        <v>424000</v>
      </c>
      <c r="F8970" t="s">
        <v>1</v>
      </c>
      <c r="G8970" t="s">
        <v>2</v>
      </c>
      <c r="H8970" t="s">
        <v>2299</v>
      </c>
      <c r="Y8970" t="s">
        <v>35488</v>
      </c>
    </row>
    <row r="8971" spans="1:25" x14ac:dyDescent="0.25">
      <c r="A8971" t="str">
        <f>"99887791202"</f>
        <v>99887791202</v>
      </c>
      <c r="B8971" t="s">
        <v>18</v>
      </c>
      <c r="C8971" t="s">
        <v>4522</v>
      </c>
      <c r="D8971" t="s">
        <v>18</v>
      </c>
      <c r="F8971" t="s">
        <v>1</v>
      </c>
      <c r="G8971" t="s">
        <v>2</v>
      </c>
      <c r="H8971" t="s">
        <v>7547</v>
      </c>
      <c r="P8971" t="s">
        <v>35489</v>
      </c>
      <c r="Y8971" t="s">
        <v>35490</v>
      </c>
    </row>
    <row r="8972" spans="1:25" x14ac:dyDescent="0.25">
      <c r="A8972" t="str">
        <f>"99905996089"</f>
        <v>99905996089</v>
      </c>
      <c r="B8972" t="s">
        <v>930</v>
      </c>
      <c r="C8972" t="s">
        <v>35493</v>
      </c>
      <c r="D8972" t="s">
        <v>35491</v>
      </c>
      <c r="E8972">
        <v>424032</v>
      </c>
      <c r="F8972" t="s">
        <v>1</v>
      </c>
      <c r="G8972" t="s">
        <v>2</v>
      </c>
      <c r="H8972" t="s">
        <v>4808</v>
      </c>
      <c r="J8972" t="s">
        <v>35492</v>
      </c>
      <c r="P8972" t="s">
        <v>330</v>
      </c>
      <c r="Y8972" t="s">
        <v>35494</v>
      </c>
    </row>
    <row r="8973" spans="1:25" x14ac:dyDescent="0.25">
      <c r="A8973" t="str">
        <f>"99912213786"</f>
        <v>99912213786</v>
      </c>
      <c r="B8973" t="s">
        <v>7</v>
      </c>
      <c r="C8973" t="s">
        <v>8238</v>
      </c>
      <c r="D8973" t="s">
        <v>35495</v>
      </c>
      <c r="E8973">
        <v>424000</v>
      </c>
      <c r="F8973" t="s">
        <v>1</v>
      </c>
      <c r="G8973" t="s">
        <v>2</v>
      </c>
      <c r="H8973" t="s">
        <v>837</v>
      </c>
      <c r="I8973" t="s">
        <v>16595</v>
      </c>
      <c r="J8973" t="s">
        <v>35496</v>
      </c>
      <c r="Y8973" t="s">
        <v>2964</v>
      </c>
    </row>
    <row r="8974" spans="1:25" x14ac:dyDescent="0.25">
      <c r="A8974" t="str">
        <f>"99919914140"</f>
        <v>99919914140</v>
      </c>
      <c r="B8974" t="s">
        <v>2104</v>
      </c>
      <c r="C8974" t="s">
        <v>2105</v>
      </c>
      <c r="D8974" t="s">
        <v>35497</v>
      </c>
      <c r="E8974">
        <v>424032</v>
      </c>
      <c r="F8974" t="s">
        <v>1</v>
      </c>
      <c r="G8974" t="s">
        <v>2</v>
      </c>
      <c r="H8974" t="s">
        <v>34234</v>
      </c>
      <c r="Y8974" t="s">
        <v>35498</v>
      </c>
    </row>
    <row r="8975" spans="1:25" x14ac:dyDescent="0.25">
      <c r="A8975" t="str">
        <f>"99939284174"</f>
        <v>99939284174</v>
      </c>
      <c r="B8975" t="s">
        <v>32</v>
      </c>
      <c r="C8975" t="s">
        <v>182</v>
      </c>
      <c r="D8975" t="s">
        <v>35499</v>
      </c>
      <c r="E8975">
        <v>424002</v>
      </c>
      <c r="F8975" t="s">
        <v>1</v>
      </c>
      <c r="G8975" t="s">
        <v>2</v>
      </c>
      <c r="H8975" t="s">
        <v>915</v>
      </c>
      <c r="I8975" t="s">
        <v>35500</v>
      </c>
      <c r="P8975" t="s">
        <v>216</v>
      </c>
      <c r="V8975" t="s">
        <v>35501</v>
      </c>
      <c r="Y8975" t="s">
        <v>35502</v>
      </c>
    </row>
    <row r="8976" spans="1:25" x14ac:dyDescent="0.25">
      <c r="A8976" t="str">
        <f>"99945401623"</f>
        <v>99945401623</v>
      </c>
      <c r="B8976" t="s">
        <v>18</v>
      </c>
      <c r="C8976" t="s">
        <v>959</v>
      </c>
      <c r="D8976" t="s">
        <v>35503</v>
      </c>
      <c r="E8976">
        <v>424002</v>
      </c>
      <c r="F8976" t="s">
        <v>1</v>
      </c>
      <c r="G8976" t="s">
        <v>2</v>
      </c>
      <c r="H8976" t="s">
        <v>7367</v>
      </c>
      <c r="Y8976" t="s">
        <v>35504</v>
      </c>
    </row>
    <row r="8977" spans="1:25" x14ac:dyDescent="0.25">
      <c r="A8977" t="str">
        <f>"99971546857"</f>
        <v>99971546857</v>
      </c>
      <c r="B8977" t="s">
        <v>930</v>
      </c>
      <c r="C8977" t="s">
        <v>999</v>
      </c>
      <c r="D8977" t="s">
        <v>35505</v>
      </c>
      <c r="E8977">
        <v>424913</v>
      </c>
      <c r="F8977" t="s">
        <v>1</v>
      </c>
      <c r="G8977" t="s">
        <v>2</v>
      </c>
      <c r="H8977" t="s">
        <v>35506</v>
      </c>
      <c r="I8977" t="s">
        <v>35507</v>
      </c>
      <c r="L8977" t="s">
        <v>997</v>
      </c>
      <c r="M8977" t="s">
        <v>998</v>
      </c>
      <c r="P8977" t="s">
        <v>1000</v>
      </c>
      <c r="Y8977" t="s">
        <v>35508</v>
      </c>
    </row>
    <row r="8978" spans="1:25" x14ac:dyDescent="0.25">
      <c r="A8978" t="str">
        <f>"100010879857"</f>
        <v>100010879857</v>
      </c>
      <c r="B8978" t="s">
        <v>379</v>
      </c>
      <c r="C8978" t="s">
        <v>4852</v>
      </c>
      <c r="D8978" t="s">
        <v>10857</v>
      </c>
      <c r="E8978">
        <v>424006</v>
      </c>
      <c r="F8978" t="s">
        <v>1</v>
      </c>
      <c r="G8978" t="s">
        <v>2</v>
      </c>
      <c r="H8978" t="s">
        <v>155</v>
      </c>
      <c r="I8978" t="s">
        <v>35509</v>
      </c>
      <c r="P8978" t="s">
        <v>2738</v>
      </c>
      <c r="Y8978" t="s">
        <v>162</v>
      </c>
    </row>
    <row r="8979" spans="1:25" x14ac:dyDescent="0.25">
      <c r="A8979" t="str">
        <f>"100049049980"</f>
        <v>100049049980</v>
      </c>
      <c r="B8979" t="s">
        <v>18</v>
      </c>
      <c r="C8979" t="s">
        <v>35511</v>
      </c>
      <c r="D8979" t="s">
        <v>35510</v>
      </c>
      <c r="F8979" t="s">
        <v>1</v>
      </c>
      <c r="G8979" t="s">
        <v>2</v>
      </c>
      <c r="H8979" t="s">
        <v>15073</v>
      </c>
      <c r="L8979" t="s">
        <v>13279</v>
      </c>
      <c r="M8979" t="s">
        <v>13280</v>
      </c>
      <c r="Y8979" t="s">
        <v>35512</v>
      </c>
    </row>
    <row r="8980" spans="1:25" x14ac:dyDescent="0.25">
      <c r="A8980" t="str">
        <f>"100119324022"</f>
        <v>100119324022</v>
      </c>
      <c r="B8980" t="s">
        <v>1493</v>
      </c>
      <c r="C8980" t="s">
        <v>31932</v>
      </c>
      <c r="D8980" t="s">
        <v>35513</v>
      </c>
      <c r="E8980">
        <v>424036</v>
      </c>
      <c r="F8980" t="s">
        <v>1</v>
      </c>
      <c r="G8980" t="s">
        <v>2</v>
      </c>
      <c r="H8980" t="s">
        <v>375</v>
      </c>
      <c r="I8980" t="s">
        <v>35514</v>
      </c>
      <c r="L8980" t="s">
        <v>35515</v>
      </c>
      <c r="M8980" t="s">
        <v>35516</v>
      </c>
      <c r="P8980" t="s">
        <v>260</v>
      </c>
      <c r="Y8980" t="s">
        <v>35517</v>
      </c>
    </row>
    <row r="8981" spans="1:25" x14ac:dyDescent="0.25">
      <c r="A8981" t="str">
        <f>"100127818178"</f>
        <v>100127818178</v>
      </c>
      <c r="B8981" t="s">
        <v>1046</v>
      </c>
      <c r="C8981" t="s">
        <v>22946</v>
      </c>
      <c r="D8981" t="s">
        <v>22946</v>
      </c>
      <c r="E8981">
        <v>424003</v>
      </c>
      <c r="F8981" t="s">
        <v>1</v>
      </c>
      <c r="G8981" t="s">
        <v>2</v>
      </c>
      <c r="H8981" t="s">
        <v>35518</v>
      </c>
      <c r="Y8981" t="s">
        <v>35519</v>
      </c>
    </row>
    <row r="8982" spans="1:25" x14ac:dyDescent="0.25">
      <c r="A8982" t="str">
        <f>"100142913737"</f>
        <v>100142913737</v>
      </c>
      <c r="B8982" t="s">
        <v>1544</v>
      </c>
      <c r="C8982" t="s">
        <v>15598</v>
      </c>
      <c r="D8982" t="s">
        <v>35520</v>
      </c>
      <c r="E8982">
        <v>424038</v>
      </c>
      <c r="F8982" t="s">
        <v>1</v>
      </c>
      <c r="G8982" t="s">
        <v>2</v>
      </c>
      <c r="H8982" t="s">
        <v>9618</v>
      </c>
      <c r="P8982" t="s">
        <v>1505</v>
      </c>
      <c r="Y8982" t="s">
        <v>35521</v>
      </c>
    </row>
    <row r="8983" spans="1:25" x14ac:dyDescent="0.25">
      <c r="A8983" t="str">
        <f>"100159552070"</f>
        <v>100159552070</v>
      </c>
      <c r="B8983" t="s">
        <v>687</v>
      </c>
      <c r="C8983" t="s">
        <v>35526</v>
      </c>
      <c r="D8983" t="s">
        <v>35522</v>
      </c>
      <c r="E8983">
        <v>424008</v>
      </c>
      <c r="F8983" t="s">
        <v>1</v>
      </c>
      <c r="G8983" t="s">
        <v>2</v>
      </c>
      <c r="H8983" t="s">
        <v>5114</v>
      </c>
      <c r="I8983" t="s">
        <v>35523</v>
      </c>
      <c r="L8983" t="s">
        <v>35524</v>
      </c>
      <c r="M8983" t="s">
        <v>35525</v>
      </c>
      <c r="P8983" t="s">
        <v>6764</v>
      </c>
      <c r="Q8983" t="s">
        <v>35527</v>
      </c>
      <c r="R8983" t="s">
        <v>35528</v>
      </c>
      <c r="T8983" t="s">
        <v>35529</v>
      </c>
      <c r="U8983" t="s">
        <v>35530</v>
      </c>
      <c r="V8983" t="s">
        <v>35531</v>
      </c>
      <c r="Y8983" t="s">
        <v>5116</v>
      </c>
    </row>
    <row r="8984" spans="1:25" x14ac:dyDescent="0.25">
      <c r="A8984" t="str">
        <f>"100162873533"</f>
        <v>100162873533</v>
      </c>
      <c r="B8984" t="s">
        <v>574</v>
      </c>
      <c r="C8984" t="s">
        <v>22533</v>
      </c>
      <c r="D8984" t="s">
        <v>35532</v>
      </c>
      <c r="E8984">
        <v>424028</v>
      </c>
      <c r="F8984" t="s">
        <v>1</v>
      </c>
      <c r="G8984" t="s">
        <v>2</v>
      </c>
      <c r="H8984" t="s">
        <v>17393</v>
      </c>
      <c r="P8984" t="s">
        <v>216</v>
      </c>
      <c r="Y8984" t="s">
        <v>35533</v>
      </c>
    </row>
    <row r="8985" spans="1:25" x14ac:dyDescent="0.25">
      <c r="A8985" t="str">
        <f>"100183248085"</f>
        <v>100183248085</v>
      </c>
      <c r="B8985" t="s">
        <v>7312</v>
      </c>
      <c r="C8985" t="s">
        <v>35535</v>
      </c>
      <c r="D8985" t="s">
        <v>35534</v>
      </c>
      <c r="E8985">
        <v>424032</v>
      </c>
      <c r="F8985" t="s">
        <v>1</v>
      </c>
      <c r="G8985" t="s">
        <v>2</v>
      </c>
      <c r="H8985" t="s">
        <v>2250</v>
      </c>
      <c r="Y8985" t="s">
        <v>35536</v>
      </c>
    </row>
    <row r="8986" spans="1:25" x14ac:dyDescent="0.25">
      <c r="A8986" t="str">
        <f>"100192059154"</f>
        <v>100192059154</v>
      </c>
      <c r="B8986" t="s">
        <v>530</v>
      </c>
      <c r="C8986" t="s">
        <v>23950</v>
      </c>
      <c r="D8986" t="s">
        <v>23950</v>
      </c>
      <c r="E8986">
        <v>424002</v>
      </c>
      <c r="F8986" t="s">
        <v>1</v>
      </c>
      <c r="G8986" t="s">
        <v>2</v>
      </c>
      <c r="H8986" t="s">
        <v>14333</v>
      </c>
      <c r="Y8986" t="s">
        <v>35537</v>
      </c>
    </row>
    <row r="8987" spans="1:25" x14ac:dyDescent="0.25">
      <c r="A8987" t="str">
        <f>"100311623769"</f>
        <v>100311623769</v>
      </c>
      <c r="B8987" t="s">
        <v>151</v>
      </c>
      <c r="C8987" t="s">
        <v>1034</v>
      </c>
      <c r="D8987" t="s">
        <v>35538</v>
      </c>
      <c r="E8987">
        <v>424031</v>
      </c>
      <c r="F8987" t="s">
        <v>1</v>
      </c>
      <c r="G8987" t="s">
        <v>2</v>
      </c>
      <c r="H8987" t="s">
        <v>1524</v>
      </c>
      <c r="I8987" t="s">
        <v>35539</v>
      </c>
      <c r="P8987" t="s">
        <v>27</v>
      </c>
      <c r="Y8987" t="s">
        <v>5358</v>
      </c>
    </row>
    <row r="8988" spans="1:25" x14ac:dyDescent="0.25">
      <c r="A8988" t="str">
        <f>"100347968175"</f>
        <v>100347968175</v>
      </c>
      <c r="B8988" t="s">
        <v>7312</v>
      </c>
      <c r="C8988" t="s">
        <v>19097</v>
      </c>
      <c r="D8988" t="s">
        <v>24252</v>
      </c>
      <c r="E8988">
        <v>424007</v>
      </c>
      <c r="F8988" t="s">
        <v>1</v>
      </c>
      <c r="G8988" t="s">
        <v>2</v>
      </c>
      <c r="H8988" t="s">
        <v>23667</v>
      </c>
      <c r="Y8988" t="s">
        <v>26960</v>
      </c>
    </row>
    <row r="8989" spans="1:25" x14ac:dyDescent="0.25">
      <c r="A8989" t="str">
        <f>"100376820816"</f>
        <v>100376820816</v>
      </c>
      <c r="B8989" t="s">
        <v>1046</v>
      </c>
      <c r="C8989" t="s">
        <v>22946</v>
      </c>
      <c r="D8989" t="s">
        <v>22946</v>
      </c>
      <c r="E8989">
        <v>424005</v>
      </c>
      <c r="F8989" t="s">
        <v>1</v>
      </c>
      <c r="G8989" t="s">
        <v>2</v>
      </c>
      <c r="H8989" t="s">
        <v>35540</v>
      </c>
      <c r="Y8989" t="s">
        <v>35541</v>
      </c>
    </row>
    <row r="8990" spans="1:25" x14ac:dyDescent="0.25">
      <c r="A8990" t="str">
        <f>"100391248409"</f>
        <v>100391248409</v>
      </c>
      <c r="B8990" t="s">
        <v>176</v>
      </c>
      <c r="C8990" t="s">
        <v>35547</v>
      </c>
      <c r="D8990" t="s">
        <v>35542</v>
      </c>
      <c r="E8990">
        <v>424033</v>
      </c>
      <c r="F8990" t="s">
        <v>1</v>
      </c>
      <c r="G8990" t="s">
        <v>2</v>
      </c>
      <c r="H8990" t="s">
        <v>19839</v>
      </c>
      <c r="I8990" t="s">
        <v>35543</v>
      </c>
      <c r="K8990" t="s">
        <v>35544</v>
      </c>
      <c r="L8990" t="s">
        <v>35545</v>
      </c>
      <c r="M8990" t="s">
        <v>35546</v>
      </c>
      <c r="P8990" t="s">
        <v>35548</v>
      </c>
      <c r="Q8990" t="s">
        <v>35549</v>
      </c>
      <c r="R8990" t="s">
        <v>35550</v>
      </c>
      <c r="S8990" t="s">
        <v>35551</v>
      </c>
      <c r="T8990" t="s">
        <v>35552</v>
      </c>
      <c r="U8990" t="s">
        <v>35553</v>
      </c>
      <c r="V8990" t="s">
        <v>35554</v>
      </c>
      <c r="Y8990" t="s">
        <v>35555</v>
      </c>
    </row>
    <row r="8991" spans="1:25" x14ac:dyDescent="0.25">
      <c r="A8991" t="str">
        <f>"100398709140"</f>
        <v>100398709140</v>
      </c>
      <c r="B8991" t="s">
        <v>96</v>
      </c>
      <c r="C8991" t="s">
        <v>659</v>
      </c>
      <c r="D8991" t="s">
        <v>24348</v>
      </c>
      <c r="E8991">
        <v>424019</v>
      </c>
      <c r="F8991" t="s">
        <v>1</v>
      </c>
      <c r="G8991" t="s">
        <v>2</v>
      </c>
      <c r="H8991" t="s">
        <v>7785</v>
      </c>
      <c r="J8991" t="s">
        <v>24350</v>
      </c>
      <c r="L8991" t="s">
        <v>35556</v>
      </c>
      <c r="M8991" t="s">
        <v>35557</v>
      </c>
      <c r="P8991" t="s">
        <v>2738</v>
      </c>
      <c r="Q8991" t="s">
        <v>24353</v>
      </c>
      <c r="Y8991" t="s">
        <v>35558</v>
      </c>
    </row>
    <row r="8992" spans="1:25" x14ac:dyDescent="0.25">
      <c r="A8992" t="str">
        <f>"100428542774"</f>
        <v>100428542774</v>
      </c>
      <c r="B8992" t="s">
        <v>379</v>
      </c>
      <c r="C8992" t="s">
        <v>11692</v>
      </c>
      <c r="D8992" t="s">
        <v>35559</v>
      </c>
      <c r="E8992">
        <v>424032</v>
      </c>
      <c r="F8992" t="s">
        <v>1</v>
      </c>
      <c r="G8992" t="s">
        <v>2</v>
      </c>
      <c r="H8992" t="s">
        <v>21144</v>
      </c>
      <c r="Y8992" t="s">
        <v>35560</v>
      </c>
    </row>
    <row r="8993" spans="1:25" x14ac:dyDescent="0.25">
      <c r="A8993" t="str">
        <f>"100453246589"</f>
        <v>100453246589</v>
      </c>
      <c r="B8993" t="s">
        <v>123</v>
      </c>
      <c r="C8993" t="s">
        <v>10769</v>
      </c>
      <c r="D8993" t="s">
        <v>14619</v>
      </c>
      <c r="E8993">
        <v>424007</v>
      </c>
      <c r="F8993" t="s">
        <v>1</v>
      </c>
      <c r="G8993" t="s">
        <v>2</v>
      </c>
      <c r="H8993" t="s">
        <v>25707</v>
      </c>
      <c r="I8993" t="s">
        <v>35561</v>
      </c>
      <c r="L8993" t="s">
        <v>14622</v>
      </c>
      <c r="M8993" t="s">
        <v>35562</v>
      </c>
      <c r="Q8993" t="s">
        <v>35563</v>
      </c>
      <c r="V8993" t="s">
        <v>35564</v>
      </c>
      <c r="Y8993" t="s">
        <v>35565</v>
      </c>
    </row>
    <row r="8994" spans="1:25" x14ac:dyDescent="0.25">
      <c r="A8994" t="str">
        <f>"100522929953"</f>
        <v>100522929953</v>
      </c>
      <c r="B8994" t="s">
        <v>738</v>
      </c>
      <c r="C8994" t="s">
        <v>35568</v>
      </c>
      <c r="D8994" t="s">
        <v>35566</v>
      </c>
      <c r="E8994">
        <v>424038</v>
      </c>
      <c r="F8994" t="s">
        <v>1</v>
      </c>
      <c r="G8994" t="s">
        <v>2</v>
      </c>
      <c r="H8994" t="s">
        <v>35567</v>
      </c>
      <c r="J8994" t="s">
        <v>32391</v>
      </c>
      <c r="Y8994" t="s">
        <v>35569</v>
      </c>
    </row>
    <row r="8995" spans="1:25" x14ac:dyDescent="0.25">
      <c r="A8995" t="str">
        <f>"100531442762"</f>
        <v>100531442762</v>
      </c>
      <c r="B8995" t="s">
        <v>930</v>
      </c>
      <c r="C8995" t="s">
        <v>11882</v>
      </c>
      <c r="D8995" t="s">
        <v>35570</v>
      </c>
      <c r="E8995">
        <v>424004</v>
      </c>
      <c r="F8995" t="s">
        <v>1</v>
      </c>
      <c r="G8995" t="s">
        <v>2</v>
      </c>
      <c r="H8995" t="s">
        <v>186</v>
      </c>
      <c r="I8995" t="s">
        <v>35571</v>
      </c>
      <c r="L8995" t="s">
        <v>35572</v>
      </c>
      <c r="M8995" t="s">
        <v>35573</v>
      </c>
      <c r="P8995" t="s">
        <v>35574</v>
      </c>
      <c r="Y8995" t="s">
        <v>190</v>
      </c>
    </row>
    <row r="8996" spans="1:25" x14ac:dyDescent="0.25">
      <c r="A8996" t="str">
        <f>"100587163156"</f>
        <v>100587163156</v>
      </c>
      <c r="B8996" t="s">
        <v>530</v>
      </c>
      <c r="C8996" t="s">
        <v>23950</v>
      </c>
      <c r="D8996" t="s">
        <v>23950</v>
      </c>
      <c r="E8996">
        <v>424004</v>
      </c>
      <c r="F8996" t="s">
        <v>1</v>
      </c>
      <c r="G8996" t="s">
        <v>2</v>
      </c>
      <c r="H8996" t="s">
        <v>12781</v>
      </c>
      <c r="Y8996" t="s">
        <v>35575</v>
      </c>
    </row>
    <row r="8997" spans="1:25" x14ac:dyDescent="0.25">
      <c r="A8997" t="str">
        <f>"100591842384"</f>
        <v>100591842384</v>
      </c>
      <c r="B8997" t="s">
        <v>1343</v>
      </c>
      <c r="C8997" t="s">
        <v>1344</v>
      </c>
      <c r="D8997" t="s">
        <v>1340</v>
      </c>
      <c r="E8997">
        <v>424038</v>
      </c>
      <c r="F8997" t="s">
        <v>1</v>
      </c>
      <c r="G8997" t="s">
        <v>2</v>
      </c>
      <c r="H8997" t="s">
        <v>21507</v>
      </c>
      <c r="Y8997" t="s">
        <v>35576</v>
      </c>
    </row>
    <row r="8998" spans="1:25" x14ac:dyDescent="0.25">
      <c r="A8998" t="str">
        <f>"100598917230"</f>
        <v>100598917230</v>
      </c>
      <c r="B8998" t="s">
        <v>7</v>
      </c>
      <c r="C8998" t="s">
        <v>35581</v>
      </c>
      <c r="D8998" t="s">
        <v>35577</v>
      </c>
      <c r="E8998">
        <v>424006</v>
      </c>
      <c r="F8998" t="s">
        <v>1</v>
      </c>
      <c r="G8998" t="s">
        <v>2</v>
      </c>
      <c r="H8998" t="s">
        <v>4541</v>
      </c>
      <c r="I8998" t="s">
        <v>25784</v>
      </c>
      <c r="J8998" t="s">
        <v>35578</v>
      </c>
      <c r="L8998" t="s">
        <v>35579</v>
      </c>
      <c r="M8998" t="s">
        <v>35580</v>
      </c>
      <c r="P8998" t="s">
        <v>27</v>
      </c>
      <c r="Y8998" t="s">
        <v>4544</v>
      </c>
    </row>
    <row r="8999" spans="1:25" x14ac:dyDescent="0.25">
      <c r="A8999" t="str">
        <f>"100614714937"</f>
        <v>100614714937</v>
      </c>
      <c r="B8999" t="s">
        <v>738</v>
      </c>
      <c r="C8999" t="s">
        <v>739</v>
      </c>
      <c r="D8999" t="s">
        <v>35582</v>
      </c>
      <c r="E8999">
        <v>424016</v>
      </c>
      <c r="F8999" t="s">
        <v>1</v>
      </c>
      <c r="G8999" t="s">
        <v>2</v>
      </c>
      <c r="H8999" t="s">
        <v>5561</v>
      </c>
      <c r="I8999" t="s">
        <v>35583</v>
      </c>
      <c r="P8999" t="s">
        <v>2296</v>
      </c>
      <c r="Q8999" t="s">
        <v>35584</v>
      </c>
      <c r="Y8999" t="s">
        <v>35585</v>
      </c>
    </row>
    <row r="9000" spans="1:25" x14ac:dyDescent="0.25">
      <c r="A9000" t="str">
        <f>"100621233882"</f>
        <v>100621233882</v>
      </c>
      <c r="B9000" t="s">
        <v>888</v>
      </c>
      <c r="C9000" t="s">
        <v>4712</v>
      </c>
      <c r="D9000" t="s">
        <v>35586</v>
      </c>
      <c r="E9000">
        <v>424004</v>
      </c>
      <c r="F9000" t="s">
        <v>1</v>
      </c>
      <c r="G9000" t="s">
        <v>2</v>
      </c>
      <c r="H9000" t="s">
        <v>229</v>
      </c>
      <c r="I9000" t="s">
        <v>35587</v>
      </c>
      <c r="J9000" t="s">
        <v>24722</v>
      </c>
      <c r="P9000" t="s">
        <v>1270</v>
      </c>
      <c r="Y9000" t="s">
        <v>237</v>
      </c>
    </row>
    <row r="9001" spans="1:25" x14ac:dyDescent="0.25">
      <c r="A9001" t="str">
        <f>"100623803229"</f>
        <v>100623803229</v>
      </c>
      <c r="B9001" t="s">
        <v>3573</v>
      </c>
      <c r="C9001" t="s">
        <v>35589</v>
      </c>
      <c r="D9001" t="s">
        <v>35588</v>
      </c>
      <c r="E9001">
        <v>424001</v>
      </c>
      <c r="F9001" t="s">
        <v>1</v>
      </c>
      <c r="G9001" t="s">
        <v>2</v>
      </c>
      <c r="H9001" t="s">
        <v>919</v>
      </c>
      <c r="P9001" t="s">
        <v>20</v>
      </c>
      <c r="T9001" t="s">
        <v>35590</v>
      </c>
      <c r="Y9001" t="s">
        <v>35591</v>
      </c>
    </row>
    <row r="9002" spans="1:25" x14ac:dyDescent="0.25">
      <c r="A9002" t="str">
        <f>"100649278653"</f>
        <v>100649278653</v>
      </c>
      <c r="B9002" t="s">
        <v>530</v>
      </c>
      <c r="C9002" t="s">
        <v>23950</v>
      </c>
      <c r="D9002" t="s">
        <v>23950</v>
      </c>
      <c r="E9002">
        <v>424004</v>
      </c>
      <c r="F9002" t="s">
        <v>1</v>
      </c>
      <c r="G9002" t="s">
        <v>2</v>
      </c>
      <c r="H9002" t="s">
        <v>35592</v>
      </c>
      <c r="Y9002" t="s">
        <v>35593</v>
      </c>
    </row>
    <row r="9003" spans="1:25" x14ac:dyDescent="0.25">
      <c r="A9003" t="str">
        <f>"100652448989"</f>
        <v>100652448989</v>
      </c>
      <c r="B9003" t="s">
        <v>290</v>
      </c>
      <c r="C9003" t="s">
        <v>9932</v>
      </c>
      <c r="D9003" t="s">
        <v>35594</v>
      </c>
      <c r="E9003">
        <v>424037</v>
      </c>
      <c r="F9003" t="s">
        <v>1</v>
      </c>
      <c r="G9003" t="s">
        <v>2</v>
      </c>
      <c r="H9003" t="s">
        <v>1116</v>
      </c>
      <c r="I9003" t="s">
        <v>35595</v>
      </c>
      <c r="J9003" t="s">
        <v>35596</v>
      </c>
      <c r="L9003" t="s">
        <v>35597</v>
      </c>
      <c r="M9003" t="s">
        <v>35598</v>
      </c>
      <c r="P9003" t="s">
        <v>2457</v>
      </c>
      <c r="Y9003" t="s">
        <v>35599</v>
      </c>
    </row>
    <row r="9004" spans="1:25" x14ac:dyDescent="0.25">
      <c r="A9004" t="str">
        <f>"100655894361"</f>
        <v>100655894361</v>
      </c>
      <c r="B9004" t="s">
        <v>1573</v>
      </c>
      <c r="C9004" t="s">
        <v>1817</v>
      </c>
      <c r="D9004" t="s">
        <v>18466</v>
      </c>
      <c r="E9004">
        <v>424005</v>
      </c>
      <c r="F9004" t="s">
        <v>1</v>
      </c>
      <c r="G9004" t="s">
        <v>2</v>
      </c>
      <c r="H9004" t="s">
        <v>4965</v>
      </c>
      <c r="Y9004" t="s">
        <v>27373</v>
      </c>
    </row>
    <row r="9005" spans="1:25" x14ac:dyDescent="0.25">
      <c r="A9005" t="str">
        <f>"100691872049"</f>
        <v>100691872049</v>
      </c>
      <c r="B9005" t="s">
        <v>176</v>
      </c>
      <c r="C9005" t="s">
        <v>566</v>
      </c>
      <c r="D9005" t="s">
        <v>12752</v>
      </c>
      <c r="E9005">
        <v>424006</v>
      </c>
      <c r="F9005" t="s">
        <v>1</v>
      </c>
      <c r="G9005" t="s">
        <v>2</v>
      </c>
      <c r="H9005" t="s">
        <v>3104</v>
      </c>
      <c r="I9005" t="s">
        <v>12753</v>
      </c>
      <c r="L9005" t="s">
        <v>35600</v>
      </c>
      <c r="P9005" t="s">
        <v>330</v>
      </c>
      <c r="Y9005" t="s">
        <v>12755</v>
      </c>
    </row>
    <row r="9006" spans="1:25" x14ac:dyDescent="0.25">
      <c r="A9006" t="str">
        <f>"100713933893"</f>
        <v>100713933893</v>
      </c>
      <c r="B9006" t="s">
        <v>591</v>
      </c>
      <c r="C9006" t="s">
        <v>1904</v>
      </c>
      <c r="D9006" t="s">
        <v>13039</v>
      </c>
      <c r="E9006">
        <v>424000</v>
      </c>
      <c r="F9006" t="s">
        <v>1</v>
      </c>
      <c r="G9006" t="s">
        <v>2</v>
      </c>
      <c r="H9006" t="s">
        <v>265</v>
      </c>
      <c r="P9006" t="s">
        <v>133</v>
      </c>
      <c r="Y9006" t="s">
        <v>11205</v>
      </c>
    </row>
    <row r="9007" spans="1:25" x14ac:dyDescent="0.25">
      <c r="A9007" t="str">
        <f>"100738522484"</f>
        <v>100738522484</v>
      </c>
      <c r="B9007" t="s">
        <v>3200</v>
      </c>
      <c r="C9007" t="s">
        <v>35605</v>
      </c>
      <c r="D9007" t="s">
        <v>35601</v>
      </c>
      <c r="E9007">
        <v>424019</v>
      </c>
      <c r="F9007" t="s">
        <v>1</v>
      </c>
      <c r="G9007" t="s">
        <v>2</v>
      </c>
      <c r="H9007" t="s">
        <v>35602</v>
      </c>
      <c r="I9007" t="s">
        <v>35603</v>
      </c>
      <c r="K9007" t="s">
        <v>35604</v>
      </c>
      <c r="P9007" t="s">
        <v>280</v>
      </c>
      <c r="Y9007" t="s">
        <v>35606</v>
      </c>
    </row>
    <row r="9008" spans="1:25" x14ac:dyDescent="0.25">
      <c r="A9008" t="str">
        <f>"100761597255"</f>
        <v>100761597255</v>
      </c>
      <c r="B9008" t="s">
        <v>96</v>
      </c>
      <c r="C9008" t="s">
        <v>14175</v>
      </c>
      <c r="D9008" t="s">
        <v>23756</v>
      </c>
      <c r="E9008">
        <v>424020</v>
      </c>
      <c r="F9008" t="s">
        <v>1</v>
      </c>
      <c r="G9008" t="s">
        <v>2</v>
      </c>
      <c r="H9008" t="s">
        <v>6262</v>
      </c>
      <c r="Y9008" t="s">
        <v>6264</v>
      </c>
    </row>
    <row r="9009" spans="1:25" x14ac:dyDescent="0.25">
      <c r="A9009" t="str">
        <f>"100820483586"</f>
        <v>100820483586</v>
      </c>
      <c r="B9009" t="s">
        <v>738</v>
      </c>
      <c r="C9009" t="s">
        <v>35610</v>
      </c>
      <c r="D9009" t="s">
        <v>35607</v>
      </c>
      <c r="E9009">
        <v>424037</v>
      </c>
      <c r="F9009" t="s">
        <v>1</v>
      </c>
      <c r="G9009" t="s">
        <v>2</v>
      </c>
      <c r="H9009" t="s">
        <v>29153</v>
      </c>
      <c r="J9009" t="s">
        <v>35608</v>
      </c>
      <c r="M9009" t="s">
        <v>35609</v>
      </c>
      <c r="P9009" t="s">
        <v>144</v>
      </c>
      <c r="Y9009" t="s">
        <v>35611</v>
      </c>
    </row>
    <row r="9010" spans="1:25" x14ac:dyDescent="0.25">
      <c r="A9010" t="str">
        <f>"100868797326"</f>
        <v>100868797326</v>
      </c>
      <c r="B9010" t="s">
        <v>80</v>
      </c>
      <c r="C9010" t="s">
        <v>32157</v>
      </c>
      <c r="D9010" t="s">
        <v>35612</v>
      </c>
      <c r="E9010">
        <v>424007</v>
      </c>
      <c r="F9010" t="s">
        <v>1</v>
      </c>
      <c r="G9010" t="s">
        <v>2</v>
      </c>
      <c r="H9010" t="s">
        <v>1319</v>
      </c>
      <c r="J9010" t="s">
        <v>31770</v>
      </c>
      <c r="P9010" t="s">
        <v>2738</v>
      </c>
      <c r="Y9010" t="s">
        <v>18331</v>
      </c>
    </row>
    <row r="9011" spans="1:25" x14ac:dyDescent="0.25">
      <c r="A9011" t="str">
        <f>"100879750821"</f>
        <v>100879750821</v>
      </c>
      <c r="B9011" t="s">
        <v>290</v>
      </c>
      <c r="C9011" t="s">
        <v>290</v>
      </c>
      <c r="D9011" t="s">
        <v>35613</v>
      </c>
      <c r="E9011">
        <v>424004</v>
      </c>
      <c r="F9011" t="s">
        <v>1</v>
      </c>
      <c r="G9011" t="s">
        <v>2</v>
      </c>
      <c r="H9011" t="s">
        <v>1880</v>
      </c>
      <c r="Y9011" t="s">
        <v>35614</v>
      </c>
    </row>
    <row r="9012" spans="1:25" x14ac:dyDescent="0.25">
      <c r="A9012" t="str">
        <f>"100896532110"</f>
        <v>100896532110</v>
      </c>
      <c r="B9012" t="s">
        <v>1152</v>
      </c>
      <c r="C9012" t="s">
        <v>1153</v>
      </c>
      <c r="D9012" t="s">
        <v>10280</v>
      </c>
      <c r="E9012">
        <v>424918</v>
      </c>
      <c r="F9012" t="s">
        <v>1</v>
      </c>
      <c r="G9012" t="s">
        <v>2</v>
      </c>
      <c r="H9012" t="s">
        <v>629</v>
      </c>
      <c r="I9012" t="s">
        <v>22092</v>
      </c>
      <c r="M9012" t="s">
        <v>10284</v>
      </c>
      <c r="P9012" t="s">
        <v>630</v>
      </c>
      <c r="Q9012" t="s">
        <v>10286</v>
      </c>
      <c r="R9012" t="s">
        <v>10287</v>
      </c>
      <c r="S9012" t="s">
        <v>10288</v>
      </c>
      <c r="T9012" t="s">
        <v>10289</v>
      </c>
      <c r="U9012" t="s">
        <v>10290</v>
      </c>
      <c r="V9012" t="s">
        <v>10291</v>
      </c>
      <c r="Y9012" t="s">
        <v>16536</v>
      </c>
    </row>
    <row r="9013" spans="1:25" x14ac:dyDescent="0.25">
      <c r="A9013" t="str">
        <f>"101007003245"</f>
        <v>101007003245</v>
      </c>
      <c r="B9013" t="s">
        <v>117</v>
      </c>
      <c r="C9013" t="s">
        <v>118</v>
      </c>
      <c r="D9013" t="s">
        <v>35615</v>
      </c>
      <c r="F9013" t="s">
        <v>1</v>
      </c>
      <c r="G9013" t="s">
        <v>2</v>
      </c>
      <c r="H9013" t="s">
        <v>7547</v>
      </c>
      <c r="Y9013" t="s">
        <v>35616</v>
      </c>
    </row>
    <row r="9014" spans="1:25" x14ac:dyDescent="0.25">
      <c r="A9014" t="str">
        <f>"101020651240"</f>
        <v>101020651240</v>
      </c>
      <c r="B9014" t="s">
        <v>123</v>
      </c>
      <c r="C9014" t="s">
        <v>10769</v>
      </c>
      <c r="D9014" t="s">
        <v>35617</v>
      </c>
      <c r="E9014">
        <v>424033</v>
      </c>
      <c r="F9014" t="s">
        <v>1</v>
      </c>
      <c r="G9014" t="s">
        <v>2</v>
      </c>
      <c r="H9014" t="s">
        <v>2342</v>
      </c>
      <c r="I9014" t="s">
        <v>35618</v>
      </c>
      <c r="L9014" t="s">
        <v>35619</v>
      </c>
      <c r="M9014" t="s">
        <v>35620</v>
      </c>
      <c r="P9014" t="s">
        <v>12317</v>
      </c>
      <c r="Q9014" t="s">
        <v>35621</v>
      </c>
      <c r="T9014" t="s">
        <v>35622</v>
      </c>
      <c r="U9014" t="s">
        <v>35623</v>
      </c>
      <c r="V9014" t="s">
        <v>35624</v>
      </c>
      <c r="Y9014" t="s">
        <v>35625</v>
      </c>
    </row>
    <row r="9015" spans="1:25" x14ac:dyDescent="0.25">
      <c r="A9015" t="str">
        <f>"101074339011"</f>
        <v>101074339011</v>
      </c>
      <c r="B9015" t="s">
        <v>188</v>
      </c>
      <c r="C9015" t="s">
        <v>23982</v>
      </c>
      <c r="D9015" t="s">
        <v>23982</v>
      </c>
      <c r="E9015">
        <v>424000</v>
      </c>
      <c r="F9015" t="s">
        <v>1</v>
      </c>
      <c r="G9015" t="s">
        <v>2</v>
      </c>
      <c r="H9015" t="s">
        <v>2547</v>
      </c>
      <c r="Y9015" t="s">
        <v>35626</v>
      </c>
    </row>
    <row r="9016" spans="1:25" x14ac:dyDescent="0.25">
      <c r="A9016" t="str">
        <f>"101082623075"</f>
        <v>101082623075</v>
      </c>
      <c r="B9016" t="s">
        <v>188</v>
      </c>
      <c r="C9016" t="s">
        <v>23982</v>
      </c>
      <c r="D9016" t="s">
        <v>23982</v>
      </c>
      <c r="E9016">
        <v>424033</v>
      </c>
      <c r="F9016" t="s">
        <v>1</v>
      </c>
      <c r="G9016" t="s">
        <v>2</v>
      </c>
      <c r="H9016" t="s">
        <v>6126</v>
      </c>
      <c r="Y9016" t="s">
        <v>35627</v>
      </c>
    </row>
    <row r="9017" spans="1:25" x14ac:dyDescent="0.25">
      <c r="A9017" t="str">
        <f>"101088672906"</f>
        <v>101088672906</v>
      </c>
      <c r="B9017" t="s">
        <v>160</v>
      </c>
      <c r="C9017" t="s">
        <v>14673</v>
      </c>
      <c r="D9017" t="s">
        <v>35628</v>
      </c>
      <c r="F9017" t="s">
        <v>1</v>
      </c>
      <c r="G9017" t="s">
        <v>2</v>
      </c>
      <c r="H9017" t="s">
        <v>35629</v>
      </c>
      <c r="Y9017" t="s">
        <v>35630</v>
      </c>
    </row>
    <row r="9018" spans="1:25" x14ac:dyDescent="0.25">
      <c r="A9018" t="str">
        <f>"101104402996"</f>
        <v>101104402996</v>
      </c>
      <c r="B9018" t="s">
        <v>3544</v>
      </c>
      <c r="C9018" t="s">
        <v>11303</v>
      </c>
      <c r="D9018" t="s">
        <v>35631</v>
      </c>
      <c r="E9018">
        <v>424004</v>
      </c>
      <c r="F9018" t="s">
        <v>1</v>
      </c>
      <c r="G9018" t="s">
        <v>2</v>
      </c>
      <c r="H9018" t="s">
        <v>5226</v>
      </c>
      <c r="I9018" t="s">
        <v>35632</v>
      </c>
      <c r="P9018" t="s">
        <v>280</v>
      </c>
      <c r="Y9018" t="s">
        <v>6967</v>
      </c>
    </row>
    <row r="9019" spans="1:25" x14ac:dyDescent="0.25">
      <c r="A9019" t="str">
        <f>"101158456111"</f>
        <v>101158456111</v>
      </c>
      <c r="B9019" t="s">
        <v>4027</v>
      </c>
      <c r="C9019" t="s">
        <v>4028</v>
      </c>
      <c r="D9019" t="s">
        <v>35633</v>
      </c>
      <c r="E9019">
        <v>424000</v>
      </c>
      <c r="F9019" t="s">
        <v>1</v>
      </c>
      <c r="G9019" t="s">
        <v>2</v>
      </c>
      <c r="H9019" t="s">
        <v>128</v>
      </c>
      <c r="J9019" t="s">
        <v>35634</v>
      </c>
      <c r="L9019" t="s">
        <v>35635</v>
      </c>
      <c r="M9019" t="s">
        <v>35636</v>
      </c>
      <c r="P9019" t="s">
        <v>35637</v>
      </c>
      <c r="Q9019" t="s">
        <v>35638</v>
      </c>
      <c r="Y9019" t="s">
        <v>5640</v>
      </c>
    </row>
    <row r="9020" spans="1:25" x14ac:dyDescent="0.25">
      <c r="A9020" t="str">
        <f>"101188232328"</f>
        <v>101188232328</v>
      </c>
      <c r="B9020" t="s">
        <v>348</v>
      </c>
      <c r="C9020" t="s">
        <v>26811</v>
      </c>
      <c r="D9020" t="s">
        <v>15779</v>
      </c>
      <c r="F9020" t="s">
        <v>1</v>
      </c>
      <c r="G9020" t="s">
        <v>2</v>
      </c>
      <c r="H9020" t="s">
        <v>19499</v>
      </c>
      <c r="P9020" t="s">
        <v>144</v>
      </c>
      <c r="Q9020" t="s">
        <v>35639</v>
      </c>
      <c r="Y9020" t="s">
        <v>24185</v>
      </c>
    </row>
    <row r="9021" spans="1:25" x14ac:dyDescent="0.25">
      <c r="A9021" t="str">
        <f>"101195354851"</f>
        <v>101195354851</v>
      </c>
      <c r="B9021" t="s">
        <v>117</v>
      </c>
      <c r="C9021" t="s">
        <v>873</v>
      </c>
      <c r="D9021" t="s">
        <v>873</v>
      </c>
      <c r="E9021">
        <v>424007</v>
      </c>
      <c r="F9021" t="s">
        <v>1</v>
      </c>
      <c r="G9021" t="s">
        <v>2</v>
      </c>
      <c r="H9021" t="s">
        <v>3476</v>
      </c>
      <c r="Y9021" t="s">
        <v>35640</v>
      </c>
    </row>
    <row r="9022" spans="1:25" x14ac:dyDescent="0.25">
      <c r="A9022" t="str">
        <f>"101210813266"</f>
        <v>101210813266</v>
      </c>
      <c r="B9022" t="s">
        <v>96</v>
      </c>
      <c r="C9022" t="s">
        <v>8808</v>
      </c>
      <c r="D9022" t="s">
        <v>35641</v>
      </c>
      <c r="E9022">
        <v>424000</v>
      </c>
      <c r="F9022" t="s">
        <v>1</v>
      </c>
      <c r="G9022" t="s">
        <v>2</v>
      </c>
      <c r="H9022" t="s">
        <v>2671</v>
      </c>
      <c r="Y9022" t="s">
        <v>2674</v>
      </c>
    </row>
    <row r="9023" spans="1:25" x14ac:dyDescent="0.25">
      <c r="A9023" t="str">
        <f>"101222560694"</f>
        <v>101222560694</v>
      </c>
      <c r="B9023" t="s">
        <v>110</v>
      </c>
      <c r="C9023" t="s">
        <v>35644</v>
      </c>
      <c r="D9023" t="s">
        <v>35642</v>
      </c>
      <c r="E9023">
        <v>424037</v>
      </c>
      <c r="F9023" t="s">
        <v>1</v>
      </c>
      <c r="G9023" t="s">
        <v>2</v>
      </c>
      <c r="H9023" t="s">
        <v>1849</v>
      </c>
      <c r="I9023" t="s">
        <v>35643</v>
      </c>
      <c r="P9023" t="s">
        <v>3393</v>
      </c>
      <c r="Y9023" t="s">
        <v>35645</v>
      </c>
    </row>
    <row r="9024" spans="1:25" x14ac:dyDescent="0.25">
      <c r="A9024" t="str">
        <f>"101267288383"</f>
        <v>101267288383</v>
      </c>
      <c r="B9024" t="s">
        <v>96</v>
      </c>
      <c r="C9024" t="s">
        <v>8578</v>
      </c>
      <c r="D9024" t="s">
        <v>20474</v>
      </c>
      <c r="E9024">
        <v>424002</v>
      </c>
      <c r="F9024" t="s">
        <v>1</v>
      </c>
      <c r="G9024" t="s">
        <v>2</v>
      </c>
      <c r="H9024" t="s">
        <v>744</v>
      </c>
      <c r="P9024" t="s">
        <v>748</v>
      </c>
      <c r="Y9024" t="s">
        <v>749</v>
      </c>
    </row>
    <row r="9025" spans="1:25" x14ac:dyDescent="0.25">
      <c r="A9025" t="str">
        <f>"101288863680"</f>
        <v>101288863680</v>
      </c>
      <c r="B9025" t="s">
        <v>7849</v>
      </c>
      <c r="C9025" t="s">
        <v>35647</v>
      </c>
      <c r="D9025" t="s">
        <v>35646</v>
      </c>
      <c r="E9025">
        <v>424038</v>
      </c>
      <c r="F9025" t="s">
        <v>1</v>
      </c>
      <c r="G9025" t="s">
        <v>2</v>
      </c>
      <c r="H9025" t="s">
        <v>546</v>
      </c>
      <c r="Y9025" t="s">
        <v>35648</v>
      </c>
    </row>
    <row r="9026" spans="1:25" x14ac:dyDescent="0.25">
      <c r="A9026" t="str">
        <f>"101329665636"</f>
        <v>101329665636</v>
      </c>
      <c r="B9026" t="s">
        <v>1053</v>
      </c>
      <c r="C9026" t="s">
        <v>10510</v>
      </c>
      <c r="D9026" t="s">
        <v>35649</v>
      </c>
      <c r="E9026">
        <v>424038</v>
      </c>
      <c r="F9026" t="s">
        <v>1</v>
      </c>
      <c r="G9026" t="s">
        <v>2</v>
      </c>
      <c r="H9026" t="s">
        <v>30196</v>
      </c>
      <c r="I9026" t="s">
        <v>35650</v>
      </c>
      <c r="P9026" t="s">
        <v>27</v>
      </c>
      <c r="Y9026" t="s">
        <v>30205</v>
      </c>
    </row>
    <row r="9027" spans="1:25" x14ac:dyDescent="0.25">
      <c r="A9027" t="str">
        <f>"101340751489"</f>
        <v>101340751489</v>
      </c>
      <c r="B9027" t="s">
        <v>2818</v>
      </c>
      <c r="C9027" t="s">
        <v>35653</v>
      </c>
      <c r="D9027" t="s">
        <v>35651</v>
      </c>
      <c r="E9027">
        <v>424037</v>
      </c>
      <c r="F9027" t="s">
        <v>1</v>
      </c>
      <c r="G9027" t="s">
        <v>2</v>
      </c>
      <c r="H9027" t="s">
        <v>2370</v>
      </c>
      <c r="I9027" t="s">
        <v>35652</v>
      </c>
      <c r="L9027" t="s">
        <v>194</v>
      </c>
      <c r="M9027" t="s">
        <v>195</v>
      </c>
      <c r="P9027" t="s">
        <v>35654</v>
      </c>
      <c r="Y9027" t="s">
        <v>2375</v>
      </c>
    </row>
    <row r="9028" spans="1:25" x14ac:dyDescent="0.25">
      <c r="A9028" t="str">
        <f>"101342562570"</f>
        <v>101342562570</v>
      </c>
      <c r="B9028" t="s">
        <v>469</v>
      </c>
      <c r="C9028" t="s">
        <v>16193</v>
      </c>
      <c r="D9028" t="s">
        <v>35655</v>
      </c>
      <c r="E9028">
        <v>424002</v>
      </c>
      <c r="F9028" t="s">
        <v>1</v>
      </c>
      <c r="G9028" t="s">
        <v>2</v>
      </c>
      <c r="H9028" t="s">
        <v>27750</v>
      </c>
      <c r="P9028" t="s">
        <v>35656</v>
      </c>
      <c r="Y9028" t="s">
        <v>35657</v>
      </c>
    </row>
    <row r="9029" spans="1:25" x14ac:dyDescent="0.25">
      <c r="A9029" t="str">
        <f>"101375656026"</f>
        <v>101375656026</v>
      </c>
      <c r="B9029" t="s">
        <v>2601</v>
      </c>
      <c r="C9029" t="s">
        <v>26383</v>
      </c>
      <c r="D9029" t="s">
        <v>35658</v>
      </c>
      <c r="E9029">
        <v>424000</v>
      </c>
      <c r="F9029" t="s">
        <v>1</v>
      </c>
      <c r="G9029" t="s">
        <v>2</v>
      </c>
      <c r="H9029" t="s">
        <v>265</v>
      </c>
      <c r="Y9029" t="s">
        <v>35659</v>
      </c>
    </row>
    <row r="9030" spans="1:25" x14ac:dyDescent="0.25">
      <c r="A9030" t="str">
        <f>"101399713847"</f>
        <v>101399713847</v>
      </c>
      <c r="B9030" t="s">
        <v>96</v>
      </c>
      <c r="C9030" t="s">
        <v>893</v>
      </c>
      <c r="D9030" t="s">
        <v>23567</v>
      </c>
      <c r="E9030">
        <v>424000</v>
      </c>
      <c r="F9030" t="s">
        <v>1</v>
      </c>
      <c r="G9030" t="s">
        <v>2</v>
      </c>
      <c r="H9030" t="s">
        <v>1531</v>
      </c>
      <c r="Y9030" t="s">
        <v>1707</v>
      </c>
    </row>
    <row r="9031" spans="1:25" x14ac:dyDescent="0.25">
      <c r="A9031" t="str">
        <f>"101413570832"</f>
        <v>101413570832</v>
      </c>
      <c r="B9031" t="s">
        <v>1343</v>
      </c>
      <c r="C9031" t="s">
        <v>1344</v>
      </c>
      <c r="D9031" t="s">
        <v>1340</v>
      </c>
      <c r="E9031">
        <v>424039</v>
      </c>
      <c r="F9031" t="s">
        <v>1</v>
      </c>
      <c r="G9031" t="s">
        <v>2</v>
      </c>
      <c r="H9031" t="s">
        <v>10036</v>
      </c>
      <c r="I9031" t="s">
        <v>1342</v>
      </c>
      <c r="P9031" t="s">
        <v>35660</v>
      </c>
      <c r="Y9031" t="s">
        <v>35661</v>
      </c>
    </row>
    <row r="9032" spans="1:25" x14ac:dyDescent="0.25">
      <c r="A9032" t="str">
        <f>"101424999312"</f>
        <v>101424999312</v>
      </c>
      <c r="B9032" t="s">
        <v>1323</v>
      </c>
      <c r="C9032" t="s">
        <v>1324</v>
      </c>
      <c r="D9032" t="s">
        <v>35662</v>
      </c>
      <c r="E9032">
        <v>424002</v>
      </c>
      <c r="F9032" t="s">
        <v>1</v>
      </c>
      <c r="G9032" t="s">
        <v>2</v>
      </c>
      <c r="H9032" t="s">
        <v>6397</v>
      </c>
      <c r="I9032" t="s">
        <v>35663</v>
      </c>
      <c r="L9032" t="s">
        <v>14566</v>
      </c>
      <c r="M9032" t="s">
        <v>35664</v>
      </c>
      <c r="P9032" t="s">
        <v>20</v>
      </c>
      <c r="Y9032" t="s">
        <v>35665</v>
      </c>
    </row>
    <row r="9033" spans="1:25" x14ac:dyDescent="0.25">
      <c r="A9033" t="str">
        <f>"101431237473"</f>
        <v>101431237473</v>
      </c>
      <c r="B9033" t="s">
        <v>25</v>
      </c>
      <c r="C9033" t="s">
        <v>11919</v>
      </c>
      <c r="D9033" t="s">
        <v>2762</v>
      </c>
      <c r="E9033">
        <v>424004</v>
      </c>
      <c r="F9033" t="s">
        <v>1</v>
      </c>
      <c r="G9033" t="s">
        <v>2</v>
      </c>
      <c r="H9033" t="s">
        <v>229</v>
      </c>
      <c r="I9033" t="s">
        <v>35666</v>
      </c>
      <c r="J9033" t="s">
        <v>35667</v>
      </c>
      <c r="P9033" t="s">
        <v>410</v>
      </c>
      <c r="Y9033" t="s">
        <v>35668</v>
      </c>
    </row>
    <row r="9034" spans="1:25" x14ac:dyDescent="0.25">
      <c r="A9034" t="str">
        <f>"101542728233"</f>
        <v>101542728233</v>
      </c>
      <c r="B9034" t="s">
        <v>32</v>
      </c>
      <c r="C9034" t="s">
        <v>35670</v>
      </c>
      <c r="D9034" t="s">
        <v>35669</v>
      </c>
      <c r="E9034">
        <v>424002</v>
      </c>
      <c r="F9034" t="s">
        <v>1</v>
      </c>
      <c r="G9034" t="s">
        <v>2</v>
      </c>
      <c r="H9034" t="s">
        <v>974</v>
      </c>
      <c r="Y9034" t="s">
        <v>35671</v>
      </c>
    </row>
    <row r="9035" spans="1:25" x14ac:dyDescent="0.25">
      <c r="A9035" t="str">
        <f>"101560430711"</f>
        <v>101560430711</v>
      </c>
      <c r="B9035" t="s">
        <v>32</v>
      </c>
      <c r="C9035" t="s">
        <v>35676</v>
      </c>
      <c r="D9035" t="s">
        <v>35672</v>
      </c>
      <c r="E9035">
        <v>424031</v>
      </c>
      <c r="F9035" t="s">
        <v>1</v>
      </c>
      <c r="G9035" t="s">
        <v>2</v>
      </c>
      <c r="H9035" t="s">
        <v>239</v>
      </c>
      <c r="J9035" t="s">
        <v>35673</v>
      </c>
      <c r="L9035" t="s">
        <v>35674</v>
      </c>
      <c r="M9035" t="s">
        <v>35675</v>
      </c>
      <c r="P9035" t="s">
        <v>2457</v>
      </c>
      <c r="Q9035" t="s">
        <v>35677</v>
      </c>
      <c r="V9035" t="s">
        <v>35678</v>
      </c>
      <c r="Y9035" t="s">
        <v>35679</v>
      </c>
    </row>
    <row r="9036" spans="1:25" x14ac:dyDescent="0.25">
      <c r="A9036" t="str">
        <f>"101597933986"</f>
        <v>101597933986</v>
      </c>
      <c r="B9036" t="s">
        <v>80</v>
      </c>
      <c r="C9036" t="s">
        <v>3295</v>
      </c>
      <c r="D9036" t="s">
        <v>35680</v>
      </c>
      <c r="E9036">
        <v>424003</v>
      </c>
      <c r="F9036" t="s">
        <v>1</v>
      </c>
      <c r="G9036" t="s">
        <v>2</v>
      </c>
      <c r="H9036" t="s">
        <v>35681</v>
      </c>
      <c r="I9036" t="s">
        <v>35682</v>
      </c>
      <c r="P9036" t="s">
        <v>3690</v>
      </c>
      <c r="Y9036" t="s">
        <v>35683</v>
      </c>
    </row>
    <row r="9037" spans="1:25" x14ac:dyDescent="0.25">
      <c r="A9037" t="str">
        <f>"101665917671"</f>
        <v>101665917671</v>
      </c>
      <c r="B9037" t="s">
        <v>430</v>
      </c>
      <c r="C9037" t="s">
        <v>940</v>
      </c>
      <c r="D9037" t="s">
        <v>35684</v>
      </c>
      <c r="E9037">
        <v>424038</v>
      </c>
      <c r="F9037" t="s">
        <v>1</v>
      </c>
      <c r="G9037" t="s">
        <v>2</v>
      </c>
      <c r="H9037" t="s">
        <v>7597</v>
      </c>
      <c r="P9037" t="s">
        <v>1642</v>
      </c>
      <c r="Y9037" t="s">
        <v>16150</v>
      </c>
    </row>
    <row r="9038" spans="1:25" x14ac:dyDescent="0.25">
      <c r="A9038" t="str">
        <f>"101696706092"</f>
        <v>101696706092</v>
      </c>
      <c r="B9038" t="s">
        <v>482</v>
      </c>
      <c r="C9038" t="s">
        <v>4430</v>
      </c>
      <c r="D9038" t="s">
        <v>35685</v>
      </c>
      <c r="E9038">
        <v>424036</v>
      </c>
      <c r="F9038" t="s">
        <v>1</v>
      </c>
      <c r="G9038" t="s">
        <v>2</v>
      </c>
      <c r="H9038" t="s">
        <v>375</v>
      </c>
      <c r="I9038" t="s">
        <v>35686</v>
      </c>
      <c r="J9038" t="s">
        <v>35687</v>
      </c>
      <c r="L9038" t="s">
        <v>35688</v>
      </c>
      <c r="M9038" t="s">
        <v>35689</v>
      </c>
      <c r="Y9038" t="s">
        <v>384</v>
      </c>
    </row>
    <row r="9039" spans="1:25" x14ac:dyDescent="0.25">
      <c r="A9039" t="str">
        <f>"101714330819"</f>
        <v>101714330819</v>
      </c>
      <c r="B9039" t="s">
        <v>574</v>
      </c>
      <c r="C9039" t="s">
        <v>8884</v>
      </c>
      <c r="D9039" t="s">
        <v>35690</v>
      </c>
      <c r="E9039">
        <v>424033</v>
      </c>
      <c r="F9039" t="s">
        <v>1</v>
      </c>
      <c r="G9039" t="s">
        <v>2</v>
      </c>
      <c r="H9039" t="s">
        <v>4300</v>
      </c>
      <c r="J9039" t="s">
        <v>35691</v>
      </c>
      <c r="L9039" t="s">
        <v>26240</v>
      </c>
      <c r="M9039" t="s">
        <v>8883</v>
      </c>
      <c r="P9039" t="s">
        <v>35692</v>
      </c>
      <c r="Q9039" t="s">
        <v>8886</v>
      </c>
      <c r="T9039" t="s">
        <v>8887</v>
      </c>
      <c r="V9039" t="s">
        <v>8888</v>
      </c>
      <c r="Y9039" t="s">
        <v>10046</v>
      </c>
    </row>
    <row r="9040" spans="1:25" x14ac:dyDescent="0.25">
      <c r="A9040" t="str">
        <f>"101756801020"</f>
        <v>101756801020</v>
      </c>
      <c r="B9040" t="s">
        <v>352</v>
      </c>
      <c r="C9040" t="s">
        <v>35698</v>
      </c>
      <c r="D9040" t="s">
        <v>35693</v>
      </c>
      <c r="E9040">
        <v>424007</v>
      </c>
      <c r="F9040" t="s">
        <v>1</v>
      </c>
      <c r="G9040" t="s">
        <v>2</v>
      </c>
      <c r="H9040" t="s">
        <v>7922</v>
      </c>
      <c r="I9040" t="s">
        <v>35694</v>
      </c>
      <c r="J9040" t="s">
        <v>35695</v>
      </c>
      <c r="L9040" t="s">
        <v>35696</v>
      </c>
      <c r="M9040" t="s">
        <v>35697</v>
      </c>
      <c r="P9040" t="s">
        <v>390</v>
      </c>
      <c r="Y9040" t="s">
        <v>35699</v>
      </c>
    </row>
    <row r="9041" spans="1:25" x14ac:dyDescent="0.25">
      <c r="A9041" t="str">
        <f>"101817013916"</f>
        <v>101817013916</v>
      </c>
      <c r="B9041" t="s">
        <v>1544</v>
      </c>
      <c r="C9041" t="s">
        <v>15598</v>
      </c>
      <c r="D9041" t="s">
        <v>35700</v>
      </c>
      <c r="E9041">
        <v>424038</v>
      </c>
      <c r="F9041" t="s">
        <v>1</v>
      </c>
      <c r="G9041" t="s">
        <v>2</v>
      </c>
      <c r="H9041" t="s">
        <v>1862</v>
      </c>
      <c r="P9041" t="s">
        <v>4006</v>
      </c>
      <c r="Y9041" t="s">
        <v>35701</v>
      </c>
    </row>
    <row r="9042" spans="1:25" x14ac:dyDescent="0.25">
      <c r="A9042" t="str">
        <f>"101882494100"</f>
        <v>101882494100</v>
      </c>
      <c r="B9042" t="s">
        <v>1046</v>
      </c>
      <c r="C9042" t="s">
        <v>27404</v>
      </c>
      <c r="D9042" t="s">
        <v>35702</v>
      </c>
      <c r="F9042" t="s">
        <v>1</v>
      </c>
      <c r="G9042" t="s">
        <v>2</v>
      </c>
      <c r="H9042" t="s">
        <v>27403</v>
      </c>
      <c r="Y9042" t="s">
        <v>35703</v>
      </c>
    </row>
    <row r="9043" spans="1:25" x14ac:dyDescent="0.25">
      <c r="A9043" t="str">
        <f>"101899773797"</f>
        <v>101899773797</v>
      </c>
      <c r="B9043" t="s">
        <v>117</v>
      </c>
      <c r="C9043" t="s">
        <v>873</v>
      </c>
      <c r="D9043" t="s">
        <v>873</v>
      </c>
      <c r="F9043" t="s">
        <v>1</v>
      </c>
      <c r="G9043" t="s">
        <v>2</v>
      </c>
      <c r="H9043" t="s">
        <v>35704</v>
      </c>
      <c r="Y9043" t="s">
        <v>35705</v>
      </c>
    </row>
    <row r="9044" spans="1:25" x14ac:dyDescent="0.25">
      <c r="A9044" t="str">
        <f>"101934474989"</f>
        <v>101934474989</v>
      </c>
      <c r="B9044" t="s">
        <v>978</v>
      </c>
      <c r="C9044" t="s">
        <v>14285</v>
      </c>
      <c r="D9044" t="s">
        <v>35706</v>
      </c>
      <c r="E9044">
        <v>424031</v>
      </c>
      <c r="F9044" t="s">
        <v>1</v>
      </c>
      <c r="G9044" t="s">
        <v>2</v>
      </c>
      <c r="H9044" t="s">
        <v>20058</v>
      </c>
      <c r="I9044" t="s">
        <v>35707</v>
      </c>
      <c r="J9044" t="s">
        <v>35708</v>
      </c>
      <c r="M9044" t="s">
        <v>35709</v>
      </c>
      <c r="P9044" t="s">
        <v>330</v>
      </c>
      <c r="Y9044" t="s">
        <v>20062</v>
      </c>
    </row>
    <row r="9045" spans="1:25" x14ac:dyDescent="0.25">
      <c r="A9045" t="str">
        <f>"101945910099"</f>
        <v>101945910099</v>
      </c>
      <c r="B9045" t="s">
        <v>397</v>
      </c>
      <c r="C9045" t="s">
        <v>15205</v>
      </c>
      <c r="D9045" t="s">
        <v>35710</v>
      </c>
      <c r="F9045" t="s">
        <v>1</v>
      </c>
      <c r="G9045" t="s">
        <v>2</v>
      </c>
      <c r="H9045" t="s">
        <v>32932</v>
      </c>
      <c r="Y9045" t="s">
        <v>35711</v>
      </c>
    </row>
    <row r="9046" spans="1:25" x14ac:dyDescent="0.25">
      <c r="A9046" t="str">
        <f>"101973387445"</f>
        <v>101973387445</v>
      </c>
      <c r="B9046" t="s">
        <v>35713</v>
      </c>
      <c r="C9046" t="s">
        <v>35714</v>
      </c>
      <c r="D9046" t="s">
        <v>35712</v>
      </c>
      <c r="E9046">
        <v>424002</v>
      </c>
      <c r="F9046" t="s">
        <v>1</v>
      </c>
      <c r="G9046" t="s">
        <v>2</v>
      </c>
      <c r="H9046" t="s">
        <v>744</v>
      </c>
      <c r="P9046" t="s">
        <v>748</v>
      </c>
      <c r="Y9046" t="s">
        <v>35715</v>
      </c>
    </row>
    <row r="9047" spans="1:25" x14ac:dyDescent="0.25">
      <c r="A9047" t="str">
        <f>"101974723536"</f>
        <v>101974723536</v>
      </c>
      <c r="B9047" t="s">
        <v>2055</v>
      </c>
      <c r="C9047" t="s">
        <v>35717</v>
      </c>
      <c r="D9047" t="s">
        <v>35716</v>
      </c>
      <c r="E9047">
        <v>424038</v>
      </c>
      <c r="F9047" t="s">
        <v>1</v>
      </c>
      <c r="G9047" t="s">
        <v>2</v>
      </c>
      <c r="H9047" t="s">
        <v>30317</v>
      </c>
      <c r="P9047" t="s">
        <v>799</v>
      </c>
      <c r="Q9047" t="s">
        <v>35718</v>
      </c>
      <c r="Y9047" t="s">
        <v>30318</v>
      </c>
    </row>
    <row r="9048" spans="1:25" x14ac:dyDescent="0.25">
      <c r="A9048" t="str">
        <f>"102024623885"</f>
        <v>102024623885</v>
      </c>
      <c r="B9048" t="s">
        <v>117</v>
      </c>
      <c r="C9048" t="s">
        <v>873</v>
      </c>
      <c r="D9048" t="s">
        <v>873</v>
      </c>
      <c r="E9048">
        <v>424033</v>
      </c>
      <c r="F9048" t="s">
        <v>1</v>
      </c>
      <c r="G9048" t="s">
        <v>2</v>
      </c>
      <c r="H9048" t="s">
        <v>11558</v>
      </c>
      <c r="Y9048" t="s">
        <v>35719</v>
      </c>
    </row>
    <row r="9049" spans="1:25" x14ac:dyDescent="0.25">
      <c r="A9049" t="str">
        <f>"102050627081"</f>
        <v>102050627081</v>
      </c>
      <c r="B9049" t="s">
        <v>1046</v>
      </c>
      <c r="C9049" t="s">
        <v>22946</v>
      </c>
      <c r="D9049" t="s">
        <v>22946</v>
      </c>
      <c r="E9049">
        <v>424000</v>
      </c>
      <c r="F9049" t="s">
        <v>1</v>
      </c>
      <c r="G9049" t="s">
        <v>2</v>
      </c>
      <c r="H9049" t="s">
        <v>35720</v>
      </c>
      <c r="Y9049" t="s">
        <v>35721</v>
      </c>
    </row>
    <row r="9050" spans="1:25" x14ac:dyDescent="0.25">
      <c r="A9050" t="str">
        <f>"102054665173"</f>
        <v>102054665173</v>
      </c>
      <c r="B9050" t="s">
        <v>117</v>
      </c>
      <c r="C9050" t="s">
        <v>873</v>
      </c>
      <c r="D9050" t="s">
        <v>873</v>
      </c>
      <c r="E9050">
        <v>424038</v>
      </c>
      <c r="F9050" t="s">
        <v>1</v>
      </c>
      <c r="G9050" t="s">
        <v>2</v>
      </c>
      <c r="H9050" t="s">
        <v>9930</v>
      </c>
      <c r="Y9050" t="s">
        <v>35722</v>
      </c>
    </row>
    <row r="9051" spans="1:25" x14ac:dyDescent="0.25">
      <c r="A9051" t="str">
        <f>"102063357317"</f>
        <v>102063357317</v>
      </c>
      <c r="B9051" t="s">
        <v>930</v>
      </c>
      <c r="C9051" t="s">
        <v>35726</v>
      </c>
      <c r="D9051" t="s">
        <v>35723</v>
      </c>
      <c r="E9051">
        <v>424020</v>
      </c>
      <c r="F9051" t="s">
        <v>1</v>
      </c>
      <c r="G9051" t="s">
        <v>2</v>
      </c>
      <c r="H9051" t="s">
        <v>35724</v>
      </c>
      <c r="I9051" t="s">
        <v>35725</v>
      </c>
      <c r="P9051" t="s">
        <v>4403</v>
      </c>
      <c r="Y9051" t="s">
        <v>35727</v>
      </c>
    </row>
    <row r="9052" spans="1:25" x14ac:dyDescent="0.25">
      <c r="A9052" t="str">
        <f>"102069515364"</f>
        <v>102069515364</v>
      </c>
      <c r="B9052" t="s">
        <v>319</v>
      </c>
      <c r="C9052" t="s">
        <v>320</v>
      </c>
      <c r="D9052" t="s">
        <v>35728</v>
      </c>
      <c r="E9052">
        <v>424038</v>
      </c>
      <c r="F9052" t="s">
        <v>1</v>
      </c>
      <c r="G9052" t="s">
        <v>2</v>
      </c>
      <c r="H9052" t="s">
        <v>13739</v>
      </c>
      <c r="I9052" t="s">
        <v>35729</v>
      </c>
      <c r="J9052" t="s">
        <v>35730</v>
      </c>
      <c r="L9052" t="s">
        <v>35731</v>
      </c>
      <c r="M9052" t="s">
        <v>35732</v>
      </c>
      <c r="P9052" t="s">
        <v>22134</v>
      </c>
      <c r="Y9052" t="s">
        <v>13744</v>
      </c>
    </row>
    <row r="9053" spans="1:25" x14ac:dyDescent="0.25">
      <c r="A9053" t="str">
        <f>"102081052699"</f>
        <v>102081052699</v>
      </c>
      <c r="B9053" t="s">
        <v>716</v>
      </c>
      <c r="C9053" t="s">
        <v>26823</v>
      </c>
      <c r="D9053" t="s">
        <v>35733</v>
      </c>
      <c r="E9053">
        <v>424019</v>
      </c>
      <c r="F9053" t="s">
        <v>1</v>
      </c>
      <c r="G9053" t="s">
        <v>2</v>
      </c>
      <c r="H9053" t="s">
        <v>33263</v>
      </c>
      <c r="I9053" t="s">
        <v>17992</v>
      </c>
      <c r="J9053" t="s">
        <v>35734</v>
      </c>
      <c r="P9053" t="s">
        <v>330</v>
      </c>
      <c r="Y9053" t="s">
        <v>35735</v>
      </c>
    </row>
    <row r="9054" spans="1:25" x14ac:dyDescent="0.25">
      <c r="A9054" t="str">
        <f>"102093813820"</f>
        <v>102093813820</v>
      </c>
      <c r="B9054" t="s">
        <v>930</v>
      </c>
      <c r="C9054" t="s">
        <v>4781</v>
      </c>
      <c r="D9054" t="s">
        <v>35736</v>
      </c>
      <c r="E9054">
        <v>424026</v>
      </c>
      <c r="F9054" t="s">
        <v>1</v>
      </c>
      <c r="G9054" t="s">
        <v>2</v>
      </c>
      <c r="H9054" t="s">
        <v>35737</v>
      </c>
      <c r="I9054" t="s">
        <v>35738</v>
      </c>
      <c r="L9054" t="s">
        <v>35739</v>
      </c>
      <c r="M9054" t="s">
        <v>35740</v>
      </c>
      <c r="P9054" t="s">
        <v>7390</v>
      </c>
      <c r="Y9054" t="s">
        <v>35741</v>
      </c>
    </row>
    <row r="9055" spans="1:25" x14ac:dyDescent="0.25">
      <c r="A9055" t="str">
        <f>"102146849912"</f>
        <v>102146849912</v>
      </c>
      <c r="B9055" t="s">
        <v>930</v>
      </c>
      <c r="C9055" t="s">
        <v>927</v>
      </c>
      <c r="D9055" t="s">
        <v>927</v>
      </c>
      <c r="E9055">
        <v>424004</v>
      </c>
      <c r="F9055" t="s">
        <v>1</v>
      </c>
      <c r="G9055" t="s">
        <v>2</v>
      </c>
      <c r="H9055" t="s">
        <v>35742</v>
      </c>
      <c r="J9055" t="s">
        <v>35743</v>
      </c>
      <c r="P9055" t="s">
        <v>216</v>
      </c>
      <c r="Y9055" t="s">
        <v>35744</v>
      </c>
    </row>
    <row r="9056" spans="1:25" x14ac:dyDescent="0.25">
      <c r="A9056" t="str">
        <f>"102148972966"</f>
        <v>102148972966</v>
      </c>
      <c r="B9056" t="s">
        <v>430</v>
      </c>
      <c r="C9056" t="s">
        <v>940</v>
      </c>
      <c r="D9056" t="s">
        <v>35745</v>
      </c>
      <c r="E9056">
        <v>424002</v>
      </c>
      <c r="F9056" t="s">
        <v>1</v>
      </c>
      <c r="G9056" t="s">
        <v>2</v>
      </c>
      <c r="H9056" t="s">
        <v>1208</v>
      </c>
      <c r="Y9056" t="s">
        <v>32086</v>
      </c>
    </row>
    <row r="9057" spans="1:25" x14ac:dyDescent="0.25">
      <c r="A9057" t="str">
        <f>"102188583013"</f>
        <v>102188583013</v>
      </c>
      <c r="B9057" t="s">
        <v>371</v>
      </c>
      <c r="C9057" t="s">
        <v>35751</v>
      </c>
      <c r="D9057" t="s">
        <v>35746</v>
      </c>
      <c r="E9057">
        <v>424006</v>
      </c>
      <c r="F9057" t="s">
        <v>1</v>
      </c>
      <c r="G9057" t="s">
        <v>2</v>
      </c>
      <c r="H9057" t="s">
        <v>5290</v>
      </c>
      <c r="I9057" t="s">
        <v>35747</v>
      </c>
      <c r="J9057" t="s">
        <v>35748</v>
      </c>
      <c r="L9057" t="s">
        <v>35749</v>
      </c>
      <c r="M9057" t="s">
        <v>35750</v>
      </c>
      <c r="P9057" t="s">
        <v>2738</v>
      </c>
      <c r="Q9057" t="s">
        <v>35752</v>
      </c>
      <c r="V9057" t="s">
        <v>35753</v>
      </c>
      <c r="Y9057" t="s">
        <v>5293</v>
      </c>
    </row>
    <row r="9058" spans="1:25" x14ac:dyDescent="0.25">
      <c r="A9058" t="str">
        <f>"102195306228"</f>
        <v>102195306228</v>
      </c>
      <c r="B9058" t="s">
        <v>530</v>
      </c>
      <c r="C9058" t="s">
        <v>23950</v>
      </c>
      <c r="D9058" t="s">
        <v>23950</v>
      </c>
      <c r="F9058" t="s">
        <v>1</v>
      </c>
      <c r="G9058" t="s">
        <v>2</v>
      </c>
      <c r="H9058" t="s">
        <v>26594</v>
      </c>
      <c r="Y9058" t="s">
        <v>35754</v>
      </c>
    </row>
    <row r="9059" spans="1:25" x14ac:dyDescent="0.25">
      <c r="A9059" t="str">
        <f>"102203556487"</f>
        <v>102203556487</v>
      </c>
      <c r="B9059" t="s">
        <v>25</v>
      </c>
      <c r="C9059" t="s">
        <v>20320</v>
      </c>
      <c r="D9059" t="s">
        <v>35755</v>
      </c>
      <c r="E9059">
        <v>424038</v>
      </c>
      <c r="F9059" t="s">
        <v>1</v>
      </c>
      <c r="G9059" t="s">
        <v>2</v>
      </c>
      <c r="H9059" t="s">
        <v>2614</v>
      </c>
      <c r="Y9059" t="s">
        <v>35756</v>
      </c>
    </row>
    <row r="9060" spans="1:25" x14ac:dyDescent="0.25">
      <c r="A9060" t="str">
        <f>"102263648649"</f>
        <v>102263648649</v>
      </c>
      <c r="B9060" t="s">
        <v>1046</v>
      </c>
      <c r="C9060" t="s">
        <v>4959</v>
      </c>
      <c r="D9060" t="s">
        <v>4959</v>
      </c>
      <c r="E9060">
        <v>424039</v>
      </c>
      <c r="F9060" t="s">
        <v>1</v>
      </c>
      <c r="G9060" t="s">
        <v>2</v>
      </c>
      <c r="H9060" t="s">
        <v>27086</v>
      </c>
      <c r="Y9060" t="s">
        <v>35757</v>
      </c>
    </row>
    <row r="9061" spans="1:25" x14ac:dyDescent="0.25">
      <c r="A9061" t="str">
        <f>"102270940738"</f>
        <v>102270940738</v>
      </c>
      <c r="B9061" t="s">
        <v>96</v>
      </c>
      <c r="C9061" t="s">
        <v>14175</v>
      </c>
      <c r="D9061" t="s">
        <v>35758</v>
      </c>
      <c r="E9061">
        <v>424000</v>
      </c>
      <c r="F9061" t="s">
        <v>1</v>
      </c>
      <c r="G9061" t="s">
        <v>2</v>
      </c>
      <c r="H9061" t="s">
        <v>34739</v>
      </c>
      <c r="I9061" t="s">
        <v>35759</v>
      </c>
      <c r="P9061" t="s">
        <v>112</v>
      </c>
      <c r="Y9061" t="s">
        <v>35760</v>
      </c>
    </row>
    <row r="9062" spans="1:25" x14ac:dyDescent="0.25">
      <c r="A9062" t="str">
        <f>"102288084440"</f>
        <v>102288084440</v>
      </c>
      <c r="B9062" t="s">
        <v>96</v>
      </c>
      <c r="C9062" t="s">
        <v>893</v>
      </c>
      <c r="D9062" t="s">
        <v>35761</v>
      </c>
      <c r="E9062">
        <v>424002</v>
      </c>
      <c r="F9062" t="s">
        <v>1</v>
      </c>
      <c r="G9062" t="s">
        <v>2</v>
      </c>
      <c r="H9062" t="s">
        <v>6012</v>
      </c>
      <c r="Y9062" t="s">
        <v>35762</v>
      </c>
    </row>
    <row r="9063" spans="1:25" x14ac:dyDescent="0.25">
      <c r="A9063" t="str">
        <f>"102319753143"</f>
        <v>102319753143</v>
      </c>
      <c r="B9063" t="s">
        <v>224</v>
      </c>
      <c r="C9063" t="s">
        <v>3240</v>
      </c>
      <c r="D9063" t="s">
        <v>4854</v>
      </c>
      <c r="F9063" t="s">
        <v>1</v>
      </c>
      <c r="G9063" t="s">
        <v>2</v>
      </c>
      <c r="H9063" t="s">
        <v>343</v>
      </c>
      <c r="P9063" t="s">
        <v>330</v>
      </c>
      <c r="Y9063" t="s">
        <v>345</v>
      </c>
    </row>
    <row r="9064" spans="1:25" x14ac:dyDescent="0.25">
      <c r="A9064" t="str">
        <f>"102332926627"</f>
        <v>102332926627</v>
      </c>
      <c r="B9064" t="s">
        <v>430</v>
      </c>
      <c r="C9064" t="s">
        <v>11849</v>
      </c>
      <c r="D9064" t="s">
        <v>35763</v>
      </c>
      <c r="E9064">
        <v>424038</v>
      </c>
      <c r="F9064" t="s">
        <v>1</v>
      </c>
      <c r="G9064" t="s">
        <v>2</v>
      </c>
      <c r="H9064" t="s">
        <v>7597</v>
      </c>
      <c r="I9064" t="s">
        <v>35764</v>
      </c>
      <c r="J9064" t="s">
        <v>35765</v>
      </c>
      <c r="L9064" t="s">
        <v>35766</v>
      </c>
      <c r="P9064" t="s">
        <v>1642</v>
      </c>
      <c r="Q9064" t="s">
        <v>35767</v>
      </c>
      <c r="V9064" t="s">
        <v>35768</v>
      </c>
      <c r="Y9064" t="s">
        <v>35769</v>
      </c>
    </row>
    <row r="9065" spans="1:25" x14ac:dyDescent="0.25">
      <c r="A9065" t="str">
        <f>"102361917712"</f>
        <v>102361917712</v>
      </c>
      <c r="B9065" t="s">
        <v>188</v>
      </c>
      <c r="C9065" t="s">
        <v>24568</v>
      </c>
      <c r="D9065" t="s">
        <v>24568</v>
      </c>
      <c r="E9065">
        <v>424038</v>
      </c>
      <c r="F9065" t="s">
        <v>1</v>
      </c>
      <c r="G9065" t="s">
        <v>2</v>
      </c>
      <c r="H9065" t="s">
        <v>9930</v>
      </c>
      <c r="Y9065" t="s">
        <v>35770</v>
      </c>
    </row>
    <row r="9066" spans="1:25" x14ac:dyDescent="0.25">
      <c r="A9066" t="str">
        <f>"102365202261"</f>
        <v>102365202261</v>
      </c>
      <c r="B9066" t="s">
        <v>430</v>
      </c>
      <c r="C9066" t="s">
        <v>29001</v>
      </c>
      <c r="D9066" t="s">
        <v>19842</v>
      </c>
      <c r="E9066">
        <v>424000</v>
      </c>
      <c r="F9066" t="s">
        <v>1</v>
      </c>
      <c r="G9066" t="s">
        <v>2</v>
      </c>
      <c r="H9066" t="s">
        <v>16321</v>
      </c>
      <c r="I9066" t="s">
        <v>19844</v>
      </c>
      <c r="L9066" t="s">
        <v>19845</v>
      </c>
      <c r="M9066" t="s">
        <v>19846</v>
      </c>
      <c r="P9066" t="s">
        <v>60</v>
      </c>
      <c r="V9066" t="s">
        <v>35771</v>
      </c>
      <c r="Y9066" t="s">
        <v>35772</v>
      </c>
    </row>
    <row r="9067" spans="1:25" x14ac:dyDescent="0.25">
      <c r="A9067" t="str">
        <f>"102373734047"</f>
        <v>102373734047</v>
      </c>
      <c r="B9067" t="s">
        <v>574</v>
      </c>
      <c r="C9067" t="s">
        <v>646</v>
      </c>
      <c r="D9067" t="s">
        <v>13693</v>
      </c>
      <c r="E9067">
        <v>424039</v>
      </c>
      <c r="F9067" t="s">
        <v>1</v>
      </c>
      <c r="G9067" t="s">
        <v>2</v>
      </c>
      <c r="H9067" t="s">
        <v>35773</v>
      </c>
      <c r="J9067" t="s">
        <v>35774</v>
      </c>
      <c r="P9067" t="s">
        <v>60</v>
      </c>
      <c r="Y9067" t="s">
        <v>35775</v>
      </c>
    </row>
    <row r="9068" spans="1:25" x14ac:dyDescent="0.25">
      <c r="A9068" t="str">
        <f>"102384339099"</f>
        <v>102384339099</v>
      </c>
      <c r="B9068" t="s">
        <v>930</v>
      </c>
      <c r="C9068" t="s">
        <v>35779</v>
      </c>
      <c r="D9068" t="s">
        <v>35776</v>
      </c>
      <c r="F9068" t="s">
        <v>1</v>
      </c>
      <c r="G9068" t="s">
        <v>2</v>
      </c>
      <c r="H9068" t="s">
        <v>35777</v>
      </c>
      <c r="J9068" t="s">
        <v>35778</v>
      </c>
      <c r="P9068" t="s">
        <v>330</v>
      </c>
      <c r="Q9068" t="s">
        <v>35780</v>
      </c>
      <c r="Y9068" t="s">
        <v>35781</v>
      </c>
    </row>
    <row r="9069" spans="1:25" x14ac:dyDescent="0.25">
      <c r="A9069" t="str">
        <f>"102468312052"</f>
        <v>102468312052</v>
      </c>
      <c r="B9069" t="s">
        <v>96</v>
      </c>
      <c r="C9069" t="s">
        <v>3621</v>
      </c>
      <c r="D9069" t="s">
        <v>691</v>
      </c>
      <c r="E9069">
        <v>424007</v>
      </c>
      <c r="F9069" t="s">
        <v>1</v>
      </c>
      <c r="G9069" t="s">
        <v>2</v>
      </c>
      <c r="H9069" t="s">
        <v>5178</v>
      </c>
      <c r="P9069" t="s">
        <v>2731</v>
      </c>
      <c r="Y9069" t="s">
        <v>35782</v>
      </c>
    </row>
    <row r="9070" spans="1:25" x14ac:dyDescent="0.25">
      <c r="A9070" t="str">
        <f>"102474308443"</f>
        <v>102474308443</v>
      </c>
      <c r="B9070" t="s">
        <v>624</v>
      </c>
      <c r="C9070" t="s">
        <v>21300</v>
      </c>
      <c r="D9070">
        <v>888</v>
      </c>
      <c r="E9070">
        <v>424006</v>
      </c>
      <c r="F9070" t="s">
        <v>1</v>
      </c>
      <c r="G9070" t="s">
        <v>2</v>
      </c>
      <c r="H9070" t="s">
        <v>35783</v>
      </c>
      <c r="Y9070" t="s">
        <v>35784</v>
      </c>
    </row>
    <row r="9071" spans="1:25" x14ac:dyDescent="0.25">
      <c r="A9071" t="str">
        <f>"102527995849"</f>
        <v>102527995849</v>
      </c>
      <c r="B9071" t="s">
        <v>379</v>
      </c>
      <c r="C9071" t="s">
        <v>35788</v>
      </c>
      <c r="D9071" t="s">
        <v>35785</v>
      </c>
      <c r="E9071">
        <v>424000</v>
      </c>
      <c r="F9071" t="s">
        <v>1</v>
      </c>
      <c r="G9071" t="s">
        <v>2</v>
      </c>
      <c r="H9071" t="s">
        <v>7015</v>
      </c>
      <c r="J9071" t="s">
        <v>35786</v>
      </c>
      <c r="M9071" t="s">
        <v>35787</v>
      </c>
      <c r="P9071" t="s">
        <v>216</v>
      </c>
      <c r="Y9071" t="s">
        <v>35789</v>
      </c>
    </row>
    <row r="9072" spans="1:25" x14ac:dyDescent="0.25">
      <c r="A9072" t="str">
        <f>"102557274585"</f>
        <v>102557274585</v>
      </c>
      <c r="B9072" t="s">
        <v>224</v>
      </c>
      <c r="C9072" t="s">
        <v>14572</v>
      </c>
      <c r="D9072" t="s">
        <v>35790</v>
      </c>
      <c r="F9072" t="s">
        <v>1</v>
      </c>
      <c r="G9072" t="s">
        <v>2</v>
      </c>
      <c r="H9072" t="s">
        <v>30989</v>
      </c>
      <c r="P9072" t="s">
        <v>280</v>
      </c>
      <c r="Y9072" t="s">
        <v>35791</v>
      </c>
    </row>
    <row r="9073" spans="1:25" x14ac:dyDescent="0.25">
      <c r="A9073" t="str">
        <f>"102615903181"</f>
        <v>102615903181</v>
      </c>
      <c r="B9073" t="s">
        <v>18</v>
      </c>
      <c r="C9073" t="s">
        <v>3386</v>
      </c>
      <c r="D9073" t="s">
        <v>35792</v>
      </c>
      <c r="F9073" t="s">
        <v>1</v>
      </c>
      <c r="G9073" t="s">
        <v>2</v>
      </c>
      <c r="H9073" t="s">
        <v>35793</v>
      </c>
      <c r="Y9073" t="s">
        <v>35794</v>
      </c>
    </row>
    <row r="9074" spans="1:25" x14ac:dyDescent="0.25">
      <c r="A9074" t="str">
        <f>"102618769381"</f>
        <v>102618769381</v>
      </c>
      <c r="B9074" t="s">
        <v>80</v>
      </c>
      <c r="C9074" t="s">
        <v>35799</v>
      </c>
      <c r="D9074" t="s">
        <v>35795</v>
      </c>
      <c r="E9074">
        <v>424004</v>
      </c>
      <c r="F9074" t="s">
        <v>1</v>
      </c>
      <c r="G9074" t="s">
        <v>2</v>
      </c>
      <c r="H9074" t="s">
        <v>31001</v>
      </c>
      <c r="I9074" t="s">
        <v>35796</v>
      </c>
      <c r="L9074" t="s">
        <v>35797</v>
      </c>
      <c r="M9074" t="s">
        <v>35798</v>
      </c>
      <c r="P9074" t="s">
        <v>216</v>
      </c>
      <c r="Y9074" t="s">
        <v>35800</v>
      </c>
    </row>
    <row r="9075" spans="1:25" x14ac:dyDescent="0.25">
      <c r="A9075" t="str">
        <f>"102622734610"</f>
        <v>102622734610</v>
      </c>
      <c r="B9075" t="s">
        <v>1315</v>
      </c>
      <c r="C9075" t="s">
        <v>35802</v>
      </c>
      <c r="D9075" t="s">
        <v>35801</v>
      </c>
      <c r="F9075" t="s">
        <v>1</v>
      </c>
      <c r="G9075" t="s">
        <v>2</v>
      </c>
      <c r="H9075" t="s">
        <v>7113</v>
      </c>
      <c r="I9075" t="s">
        <v>7114</v>
      </c>
      <c r="L9075" t="s">
        <v>4386</v>
      </c>
      <c r="M9075" t="s">
        <v>7115</v>
      </c>
      <c r="P9075" t="s">
        <v>35803</v>
      </c>
      <c r="Y9075" t="s">
        <v>35804</v>
      </c>
    </row>
    <row r="9076" spans="1:25" x14ac:dyDescent="0.25">
      <c r="A9076" t="str">
        <f>"102643775989"</f>
        <v>102643775989</v>
      </c>
      <c r="B9076" t="s">
        <v>160</v>
      </c>
      <c r="C9076" t="s">
        <v>13649</v>
      </c>
      <c r="D9076" t="s">
        <v>35805</v>
      </c>
      <c r="F9076" t="s">
        <v>1</v>
      </c>
      <c r="G9076" t="s">
        <v>2</v>
      </c>
      <c r="H9076" t="s">
        <v>35806</v>
      </c>
      <c r="L9076" t="s">
        <v>35807</v>
      </c>
      <c r="M9076" t="s">
        <v>35808</v>
      </c>
      <c r="P9076" t="s">
        <v>20</v>
      </c>
      <c r="Y9076" t="s">
        <v>35809</v>
      </c>
    </row>
    <row r="9077" spans="1:25" x14ac:dyDescent="0.25">
      <c r="A9077" t="str">
        <f>"102744635297"</f>
        <v>102744635297</v>
      </c>
      <c r="B9077" t="s">
        <v>519</v>
      </c>
      <c r="C9077" t="s">
        <v>10364</v>
      </c>
      <c r="D9077" t="s">
        <v>35810</v>
      </c>
      <c r="E9077">
        <v>424004</v>
      </c>
      <c r="F9077" t="s">
        <v>1</v>
      </c>
      <c r="G9077" t="s">
        <v>2</v>
      </c>
      <c r="H9077" t="s">
        <v>186</v>
      </c>
      <c r="Y9077" t="s">
        <v>35811</v>
      </c>
    </row>
    <row r="9078" spans="1:25" x14ac:dyDescent="0.25">
      <c r="A9078" t="str">
        <f>"102760040760"</f>
        <v>102760040760</v>
      </c>
      <c r="B9078" t="s">
        <v>1552</v>
      </c>
      <c r="C9078" t="s">
        <v>33823</v>
      </c>
      <c r="D9078" t="s">
        <v>35812</v>
      </c>
      <c r="F9078" t="s">
        <v>1</v>
      </c>
      <c r="G9078" t="s">
        <v>2</v>
      </c>
      <c r="H9078" t="s">
        <v>35813</v>
      </c>
      <c r="Y9078" t="s">
        <v>35814</v>
      </c>
    </row>
    <row r="9079" spans="1:25" x14ac:dyDescent="0.25">
      <c r="A9079" t="str">
        <f>"102760225995"</f>
        <v>102760225995</v>
      </c>
      <c r="B9079" t="s">
        <v>352</v>
      </c>
      <c r="C9079" t="s">
        <v>35817</v>
      </c>
      <c r="D9079" t="s">
        <v>35815</v>
      </c>
      <c r="E9079">
        <v>424036</v>
      </c>
      <c r="F9079" t="s">
        <v>1</v>
      </c>
      <c r="G9079" t="s">
        <v>2</v>
      </c>
      <c r="H9079" t="s">
        <v>8222</v>
      </c>
      <c r="I9079" t="s">
        <v>35816</v>
      </c>
      <c r="P9079" t="s">
        <v>1420</v>
      </c>
      <c r="Y9079" t="s">
        <v>12963</v>
      </c>
    </row>
    <row r="9080" spans="1:25" x14ac:dyDescent="0.25">
      <c r="A9080" t="str">
        <f>"102764735021"</f>
        <v>102764735021</v>
      </c>
      <c r="B9080" t="s">
        <v>188</v>
      </c>
      <c r="C9080" t="s">
        <v>23982</v>
      </c>
      <c r="D9080" t="s">
        <v>23982</v>
      </c>
      <c r="E9080">
        <v>424007</v>
      </c>
      <c r="F9080" t="s">
        <v>1</v>
      </c>
      <c r="G9080" t="s">
        <v>2</v>
      </c>
      <c r="H9080" t="s">
        <v>35818</v>
      </c>
      <c r="Y9080" t="s">
        <v>35819</v>
      </c>
    </row>
    <row r="9081" spans="1:25" x14ac:dyDescent="0.25">
      <c r="A9081" t="str">
        <f>"102767642061"</f>
        <v>102767642061</v>
      </c>
      <c r="B9081" t="s">
        <v>1152</v>
      </c>
      <c r="C9081" t="s">
        <v>1385</v>
      </c>
      <c r="D9081" t="s">
        <v>27705</v>
      </c>
      <c r="E9081">
        <v>424020</v>
      </c>
      <c r="F9081" t="s">
        <v>1</v>
      </c>
      <c r="G9081" t="s">
        <v>2</v>
      </c>
      <c r="H9081" t="s">
        <v>2766</v>
      </c>
      <c r="Y9081" t="s">
        <v>35820</v>
      </c>
    </row>
    <row r="9082" spans="1:25" x14ac:dyDescent="0.25">
      <c r="A9082" t="str">
        <f>"102792588754"</f>
        <v>102792588754</v>
      </c>
      <c r="B9082" t="s">
        <v>18</v>
      </c>
      <c r="C9082" t="s">
        <v>35822</v>
      </c>
      <c r="D9082" t="s">
        <v>35821</v>
      </c>
      <c r="F9082" t="s">
        <v>1</v>
      </c>
      <c r="G9082" t="s">
        <v>2</v>
      </c>
      <c r="H9082" t="s">
        <v>24076</v>
      </c>
      <c r="Y9082" t="s">
        <v>35823</v>
      </c>
    </row>
    <row r="9083" spans="1:25" x14ac:dyDescent="0.25">
      <c r="A9083" t="str">
        <f>"102831301428"</f>
        <v>102831301428</v>
      </c>
      <c r="B9083" t="s">
        <v>1053</v>
      </c>
      <c r="C9083" t="s">
        <v>1927</v>
      </c>
      <c r="D9083" t="s">
        <v>35824</v>
      </c>
      <c r="F9083" t="s">
        <v>1</v>
      </c>
      <c r="G9083" t="s">
        <v>2</v>
      </c>
      <c r="H9083" t="s">
        <v>29412</v>
      </c>
      <c r="Y9083" t="s">
        <v>35825</v>
      </c>
    </row>
    <row r="9084" spans="1:25" x14ac:dyDescent="0.25">
      <c r="A9084" t="str">
        <f>"102834633279"</f>
        <v>102834633279</v>
      </c>
      <c r="B9084" t="s">
        <v>1046</v>
      </c>
      <c r="C9084" t="s">
        <v>2695</v>
      </c>
      <c r="D9084" t="s">
        <v>35826</v>
      </c>
      <c r="E9084">
        <v>424000</v>
      </c>
      <c r="F9084" t="s">
        <v>1</v>
      </c>
      <c r="G9084" t="s">
        <v>2</v>
      </c>
      <c r="H9084" t="s">
        <v>128</v>
      </c>
      <c r="I9084" t="s">
        <v>35827</v>
      </c>
      <c r="P9084" t="s">
        <v>330</v>
      </c>
      <c r="Y9084" t="s">
        <v>35828</v>
      </c>
    </row>
    <row r="9085" spans="1:25" x14ac:dyDescent="0.25">
      <c r="A9085" t="str">
        <f>"102870184214"</f>
        <v>102870184214</v>
      </c>
      <c r="B9085" t="s">
        <v>1262</v>
      </c>
      <c r="C9085" t="s">
        <v>1263</v>
      </c>
      <c r="D9085" t="s">
        <v>35829</v>
      </c>
      <c r="E9085">
        <v>424007</v>
      </c>
      <c r="F9085" t="s">
        <v>1</v>
      </c>
      <c r="G9085" t="s">
        <v>2</v>
      </c>
      <c r="H9085" t="s">
        <v>3119</v>
      </c>
      <c r="J9085" t="s">
        <v>35830</v>
      </c>
      <c r="P9085" t="s">
        <v>330</v>
      </c>
      <c r="Y9085" t="s">
        <v>6812</v>
      </c>
    </row>
    <row r="9086" spans="1:25" x14ac:dyDescent="0.25">
      <c r="A9086" t="str">
        <f>"102879751077"</f>
        <v>102879751077</v>
      </c>
      <c r="B9086" t="s">
        <v>1544</v>
      </c>
      <c r="C9086" t="s">
        <v>15598</v>
      </c>
      <c r="D9086" t="s">
        <v>35831</v>
      </c>
      <c r="E9086">
        <v>424033</v>
      </c>
      <c r="F9086" t="s">
        <v>1</v>
      </c>
      <c r="G9086" t="s">
        <v>2</v>
      </c>
      <c r="H9086" t="s">
        <v>2597</v>
      </c>
      <c r="Y9086" t="s">
        <v>35832</v>
      </c>
    </row>
    <row r="9087" spans="1:25" x14ac:dyDescent="0.25">
      <c r="A9087" t="str">
        <f>"102944270170"</f>
        <v>102944270170</v>
      </c>
      <c r="B9087" t="s">
        <v>67</v>
      </c>
      <c r="C9087" t="s">
        <v>832</v>
      </c>
      <c r="D9087" t="s">
        <v>8747</v>
      </c>
      <c r="E9087">
        <v>424031</v>
      </c>
      <c r="F9087" t="s">
        <v>1</v>
      </c>
      <c r="G9087" t="s">
        <v>2</v>
      </c>
      <c r="H9087" t="s">
        <v>35833</v>
      </c>
      <c r="L9087" t="s">
        <v>35834</v>
      </c>
      <c r="Q9087" t="s">
        <v>23211</v>
      </c>
      <c r="T9087" t="s">
        <v>23212</v>
      </c>
      <c r="Y9087" t="s">
        <v>35835</v>
      </c>
    </row>
    <row r="9088" spans="1:25" x14ac:dyDescent="0.25">
      <c r="A9088" t="str">
        <f>"103013631675"</f>
        <v>103013631675</v>
      </c>
      <c r="B9088" t="s">
        <v>117</v>
      </c>
      <c r="C9088" t="s">
        <v>873</v>
      </c>
      <c r="D9088" t="s">
        <v>873</v>
      </c>
      <c r="F9088" t="s">
        <v>1</v>
      </c>
      <c r="G9088" t="s">
        <v>2</v>
      </c>
      <c r="H9088" t="s">
        <v>30342</v>
      </c>
      <c r="Y9088" t="s">
        <v>35836</v>
      </c>
    </row>
    <row r="9089" spans="1:25" x14ac:dyDescent="0.25">
      <c r="A9089" t="str">
        <f>"103017711327"</f>
        <v>103017711327</v>
      </c>
      <c r="B9089" t="s">
        <v>530</v>
      </c>
      <c r="C9089" t="s">
        <v>531</v>
      </c>
      <c r="D9089" t="s">
        <v>25398</v>
      </c>
      <c r="E9089">
        <v>424006</v>
      </c>
      <c r="F9089" t="s">
        <v>1</v>
      </c>
      <c r="G9089" t="s">
        <v>2</v>
      </c>
      <c r="H9089" t="s">
        <v>2775</v>
      </c>
      <c r="J9089" t="s">
        <v>35837</v>
      </c>
      <c r="P9089" t="s">
        <v>3690</v>
      </c>
      <c r="Y9089" t="s">
        <v>2779</v>
      </c>
    </row>
    <row r="9090" spans="1:25" x14ac:dyDescent="0.25">
      <c r="A9090" t="str">
        <f>"103038010001"</f>
        <v>103038010001</v>
      </c>
      <c r="B9090" t="s">
        <v>25</v>
      </c>
      <c r="C9090" t="s">
        <v>59</v>
      </c>
      <c r="D9090" t="s">
        <v>35838</v>
      </c>
      <c r="E9090">
        <v>424002</v>
      </c>
      <c r="F9090" t="s">
        <v>1</v>
      </c>
      <c r="G9090" t="s">
        <v>2</v>
      </c>
      <c r="H9090" t="s">
        <v>57</v>
      </c>
      <c r="I9090" t="s">
        <v>35839</v>
      </c>
      <c r="J9090" t="s">
        <v>35840</v>
      </c>
      <c r="L9090" t="s">
        <v>35841</v>
      </c>
      <c r="Q9090" t="s">
        <v>35842</v>
      </c>
      <c r="Y9090" t="s">
        <v>35843</v>
      </c>
    </row>
    <row r="9091" spans="1:25" x14ac:dyDescent="0.25">
      <c r="A9091" t="str">
        <f>"103074515054"</f>
        <v>103074515054</v>
      </c>
      <c r="B9091" t="s">
        <v>3544</v>
      </c>
      <c r="C9091" t="s">
        <v>3545</v>
      </c>
      <c r="D9091" t="s">
        <v>3538</v>
      </c>
      <c r="E9091">
        <v>424003</v>
      </c>
      <c r="F9091" t="s">
        <v>1</v>
      </c>
      <c r="G9091" t="s">
        <v>2</v>
      </c>
      <c r="H9091" t="s">
        <v>1042</v>
      </c>
      <c r="Y9091" t="s">
        <v>11321</v>
      </c>
    </row>
    <row r="9092" spans="1:25" x14ac:dyDescent="0.25">
      <c r="A9092" t="str">
        <f>"103128779483"</f>
        <v>103128779483</v>
      </c>
      <c r="B9092" t="s">
        <v>930</v>
      </c>
      <c r="C9092" t="s">
        <v>10263</v>
      </c>
      <c r="D9092" t="s">
        <v>35844</v>
      </c>
      <c r="F9092" t="s">
        <v>1</v>
      </c>
      <c r="G9092" t="s">
        <v>2</v>
      </c>
      <c r="H9092" t="s">
        <v>1428</v>
      </c>
      <c r="I9092" t="s">
        <v>35845</v>
      </c>
      <c r="P9092" t="s">
        <v>330</v>
      </c>
      <c r="Y9092" t="s">
        <v>35846</v>
      </c>
    </row>
    <row r="9093" spans="1:25" x14ac:dyDescent="0.25">
      <c r="A9093" t="str">
        <f>"103134062246"</f>
        <v>103134062246</v>
      </c>
      <c r="B9093" t="s">
        <v>379</v>
      </c>
      <c r="C9093" t="s">
        <v>25366</v>
      </c>
      <c r="D9093" t="s">
        <v>18876</v>
      </c>
      <c r="E9093">
        <v>424031</v>
      </c>
      <c r="F9093" t="s">
        <v>1</v>
      </c>
      <c r="G9093" t="s">
        <v>2</v>
      </c>
      <c r="H9093" t="s">
        <v>29453</v>
      </c>
      <c r="J9093" t="s">
        <v>35847</v>
      </c>
      <c r="L9093" t="s">
        <v>25364</v>
      </c>
      <c r="M9093" t="s">
        <v>35848</v>
      </c>
      <c r="P9093" t="s">
        <v>2738</v>
      </c>
      <c r="Q9093" t="s">
        <v>25367</v>
      </c>
      <c r="Y9093" t="s">
        <v>35849</v>
      </c>
    </row>
    <row r="9094" spans="1:25" x14ac:dyDescent="0.25">
      <c r="A9094" t="str">
        <f>"103198098730"</f>
        <v>103198098730</v>
      </c>
      <c r="B9094" t="s">
        <v>408</v>
      </c>
      <c r="C9094" t="s">
        <v>409</v>
      </c>
      <c r="D9094" t="s">
        <v>2238</v>
      </c>
      <c r="F9094" t="s">
        <v>1</v>
      </c>
      <c r="G9094" t="s">
        <v>2</v>
      </c>
      <c r="H9094" t="s">
        <v>26305</v>
      </c>
      <c r="Y9094" t="s">
        <v>3387</v>
      </c>
    </row>
    <row r="9095" spans="1:25" x14ac:dyDescent="0.25">
      <c r="A9095" t="str">
        <f>"103225429838"</f>
        <v>103225429838</v>
      </c>
      <c r="B9095" t="s">
        <v>18</v>
      </c>
      <c r="C9095" t="s">
        <v>35852</v>
      </c>
      <c r="D9095" t="s">
        <v>35850</v>
      </c>
      <c r="E9095">
        <v>424004</v>
      </c>
      <c r="F9095" t="s">
        <v>1</v>
      </c>
      <c r="G9095" t="s">
        <v>2</v>
      </c>
      <c r="H9095" t="s">
        <v>1169</v>
      </c>
      <c r="J9095" t="s">
        <v>35851</v>
      </c>
      <c r="P9095" t="s">
        <v>152</v>
      </c>
      <c r="Y9095" t="s">
        <v>35853</v>
      </c>
    </row>
    <row r="9096" spans="1:25" x14ac:dyDescent="0.25">
      <c r="A9096" t="str">
        <f>"103239125934"</f>
        <v>103239125934</v>
      </c>
      <c r="B9096" t="s">
        <v>96</v>
      </c>
      <c r="C9096" t="s">
        <v>893</v>
      </c>
      <c r="D9096" t="s">
        <v>35854</v>
      </c>
      <c r="E9096">
        <v>424019</v>
      </c>
      <c r="F9096" t="s">
        <v>1</v>
      </c>
      <c r="G9096" t="s">
        <v>2</v>
      </c>
      <c r="H9096" t="s">
        <v>7785</v>
      </c>
      <c r="J9096" t="s">
        <v>35855</v>
      </c>
      <c r="P9096" t="s">
        <v>98</v>
      </c>
      <c r="Y9096" t="s">
        <v>35856</v>
      </c>
    </row>
    <row r="9097" spans="1:25" x14ac:dyDescent="0.25">
      <c r="A9097" t="str">
        <f>"103240705184"</f>
        <v>103240705184</v>
      </c>
      <c r="B9097" t="s">
        <v>1352</v>
      </c>
      <c r="C9097" t="s">
        <v>35859</v>
      </c>
      <c r="D9097" t="s">
        <v>35857</v>
      </c>
      <c r="E9097">
        <v>424019</v>
      </c>
      <c r="F9097" t="s">
        <v>1</v>
      </c>
      <c r="G9097" t="s">
        <v>2</v>
      </c>
      <c r="H9097" t="s">
        <v>9271</v>
      </c>
      <c r="I9097" t="s">
        <v>35858</v>
      </c>
      <c r="Q9097" t="s">
        <v>35860</v>
      </c>
      <c r="Y9097" t="s">
        <v>35861</v>
      </c>
    </row>
    <row r="9098" spans="1:25" x14ac:dyDescent="0.25">
      <c r="A9098" t="str">
        <f>"103251714017"</f>
        <v>103251714017</v>
      </c>
      <c r="B9098" t="s">
        <v>930</v>
      </c>
      <c r="C9098" t="s">
        <v>1096</v>
      </c>
      <c r="D9098" t="s">
        <v>1094</v>
      </c>
      <c r="E9098">
        <v>424031</v>
      </c>
      <c r="F9098" t="s">
        <v>1</v>
      </c>
      <c r="G9098" t="s">
        <v>2</v>
      </c>
      <c r="H9098" t="s">
        <v>17647</v>
      </c>
      <c r="Y9098" t="s">
        <v>35862</v>
      </c>
    </row>
    <row r="9099" spans="1:25" x14ac:dyDescent="0.25">
      <c r="A9099" t="str">
        <f>"103275767741"</f>
        <v>103275767741</v>
      </c>
      <c r="B9099" t="s">
        <v>160</v>
      </c>
      <c r="C9099" t="s">
        <v>2479</v>
      </c>
      <c r="D9099" t="s">
        <v>35863</v>
      </c>
      <c r="E9099">
        <v>424003</v>
      </c>
      <c r="F9099" t="s">
        <v>1</v>
      </c>
      <c r="G9099" t="s">
        <v>2</v>
      </c>
      <c r="H9099" t="s">
        <v>35864</v>
      </c>
      <c r="Y9099" t="s">
        <v>35865</v>
      </c>
    </row>
    <row r="9100" spans="1:25" x14ac:dyDescent="0.25">
      <c r="A9100" t="str">
        <f>"103299235686"</f>
        <v>103299235686</v>
      </c>
      <c r="B9100" t="s">
        <v>123</v>
      </c>
      <c r="C9100" t="s">
        <v>124</v>
      </c>
      <c r="D9100" t="s">
        <v>35866</v>
      </c>
      <c r="E9100">
        <v>424038</v>
      </c>
      <c r="F9100" t="s">
        <v>1</v>
      </c>
      <c r="G9100" t="s">
        <v>2</v>
      </c>
      <c r="H9100" t="s">
        <v>10681</v>
      </c>
      <c r="I9100" t="s">
        <v>35867</v>
      </c>
      <c r="J9100" t="s">
        <v>35868</v>
      </c>
      <c r="P9100" t="s">
        <v>12824</v>
      </c>
      <c r="Q9100" t="s">
        <v>28852</v>
      </c>
      <c r="Y9100" t="s">
        <v>10684</v>
      </c>
    </row>
    <row r="9101" spans="1:25" x14ac:dyDescent="0.25">
      <c r="A9101" t="str">
        <f>"103309799876"</f>
        <v>103309799876</v>
      </c>
      <c r="B9101" t="s">
        <v>456</v>
      </c>
      <c r="C9101" t="s">
        <v>23372</v>
      </c>
      <c r="D9101" t="s">
        <v>35869</v>
      </c>
      <c r="E9101">
        <v>424004</v>
      </c>
      <c r="F9101" t="s">
        <v>1</v>
      </c>
      <c r="G9101" t="s">
        <v>2</v>
      </c>
      <c r="H9101" t="s">
        <v>17461</v>
      </c>
      <c r="J9101" t="s">
        <v>35870</v>
      </c>
      <c r="L9101" t="s">
        <v>35871</v>
      </c>
      <c r="M9101" t="s">
        <v>35872</v>
      </c>
      <c r="P9101" t="s">
        <v>27</v>
      </c>
      <c r="V9101" t="s">
        <v>35873</v>
      </c>
      <c r="Y9101" t="s">
        <v>20082</v>
      </c>
    </row>
    <row r="9102" spans="1:25" x14ac:dyDescent="0.25">
      <c r="A9102" t="str">
        <f>"103319384662"</f>
        <v>103319384662</v>
      </c>
      <c r="B9102" t="s">
        <v>348</v>
      </c>
      <c r="C9102" t="s">
        <v>12108</v>
      </c>
      <c r="D9102" t="s">
        <v>35874</v>
      </c>
      <c r="E9102">
        <v>424006</v>
      </c>
      <c r="F9102" t="s">
        <v>1</v>
      </c>
      <c r="G9102" t="s">
        <v>2</v>
      </c>
      <c r="H9102" t="s">
        <v>2012</v>
      </c>
      <c r="I9102" t="s">
        <v>35875</v>
      </c>
      <c r="L9102" t="s">
        <v>35876</v>
      </c>
      <c r="M9102" t="s">
        <v>35877</v>
      </c>
      <c r="P9102" t="s">
        <v>941</v>
      </c>
      <c r="T9102" t="s">
        <v>35878</v>
      </c>
      <c r="V9102" t="s">
        <v>35879</v>
      </c>
      <c r="Y9102" t="s">
        <v>2016</v>
      </c>
    </row>
    <row r="9103" spans="1:25" x14ac:dyDescent="0.25">
      <c r="A9103" t="str">
        <f>"103319934939"</f>
        <v>103319934939</v>
      </c>
      <c r="B9103" t="s">
        <v>1152</v>
      </c>
      <c r="C9103" t="s">
        <v>1153</v>
      </c>
      <c r="D9103" t="s">
        <v>32618</v>
      </c>
      <c r="E9103">
        <v>424002</v>
      </c>
      <c r="F9103" t="s">
        <v>1</v>
      </c>
      <c r="G9103" t="s">
        <v>2</v>
      </c>
      <c r="H9103" t="s">
        <v>5967</v>
      </c>
      <c r="I9103" t="s">
        <v>35880</v>
      </c>
      <c r="L9103" t="s">
        <v>28986</v>
      </c>
      <c r="M9103" t="s">
        <v>28987</v>
      </c>
      <c r="P9103" t="s">
        <v>4671</v>
      </c>
      <c r="Y9103" t="s">
        <v>35881</v>
      </c>
    </row>
    <row r="9104" spans="1:25" x14ac:dyDescent="0.25">
      <c r="A9104" t="str">
        <f>"103329263561"</f>
        <v>103329263561</v>
      </c>
      <c r="B9104" t="s">
        <v>1352</v>
      </c>
      <c r="C9104" t="s">
        <v>22433</v>
      </c>
      <c r="D9104" t="s">
        <v>35882</v>
      </c>
      <c r="E9104">
        <v>424000</v>
      </c>
      <c r="F9104" t="s">
        <v>1</v>
      </c>
      <c r="G9104" t="s">
        <v>2</v>
      </c>
      <c r="H9104" t="s">
        <v>837</v>
      </c>
      <c r="Y9104" t="s">
        <v>2964</v>
      </c>
    </row>
    <row r="9105" spans="1:25" x14ac:dyDescent="0.25">
      <c r="A9105" t="str">
        <f>"103336508303"</f>
        <v>103336508303</v>
      </c>
      <c r="B9105" t="s">
        <v>348</v>
      </c>
      <c r="C9105" t="s">
        <v>21775</v>
      </c>
      <c r="D9105" t="s">
        <v>35883</v>
      </c>
      <c r="E9105">
        <v>424036</v>
      </c>
      <c r="F9105" t="s">
        <v>1</v>
      </c>
      <c r="G9105" t="s">
        <v>2</v>
      </c>
      <c r="H9105" t="s">
        <v>7305</v>
      </c>
      <c r="Y9105" t="s">
        <v>35884</v>
      </c>
    </row>
    <row r="9106" spans="1:25" x14ac:dyDescent="0.25">
      <c r="A9106" t="str">
        <f>"103345080496"</f>
        <v>103345080496</v>
      </c>
      <c r="B9106" t="s">
        <v>18</v>
      </c>
      <c r="C9106" t="s">
        <v>35886</v>
      </c>
      <c r="D9106" t="s">
        <v>35885</v>
      </c>
      <c r="F9106" t="s">
        <v>1</v>
      </c>
      <c r="G9106" t="s">
        <v>2</v>
      </c>
      <c r="H9106" t="s">
        <v>25588</v>
      </c>
      <c r="Y9106" t="s">
        <v>35887</v>
      </c>
    </row>
    <row r="9107" spans="1:25" x14ac:dyDescent="0.25">
      <c r="A9107" t="str">
        <f>"103404526544"</f>
        <v>103404526544</v>
      </c>
      <c r="B9107" t="s">
        <v>1573</v>
      </c>
      <c r="C9107" t="s">
        <v>35889</v>
      </c>
      <c r="D9107" t="s">
        <v>35888</v>
      </c>
      <c r="E9107">
        <v>424007</v>
      </c>
      <c r="F9107" t="s">
        <v>1</v>
      </c>
      <c r="G9107" t="s">
        <v>2</v>
      </c>
      <c r="H9107" t="s">
        <v>9471</v>
      </c>
      <c r="Y9107" t="s">
        <v>9478</v>
      </c>
    </row>
    <row r="9108" spans="1:25" x14ac:dyDescent="0.25">
      <c r="A9108" t="str">
        <f>"103456399345"</f>
        <v>103456399345</v>
      </c>
      <c r="B9108" t="s">
        <v>2104</v>
      </c>
      <c r="C9108" t="s">
        <v>28710</v>
      </c>
      <c r="D9108" t="s">
        <v>30242</v>
      </c>
      <c r="E9108">
        <v>424006</v>
      </c>
      <c r="F9108" t="s">
        <v>1</v>
      </c>
      <c r="G9108" t="s">
        <v>2</v>
      </c>
      <c r="H9108" t="s">
        <v>33147</v>
      </c>
      <c r="Y9108" t="s">
        <v>35890</v>
      </c>
    </row>
    <row r="9109" spans="1:25" x14ac:dyDescent="0.25">
      <c r="A9109" t="str">
        <f>"103485717933"</f>
        <v>103485717933</v>
      </c>
      <c r="B9109" t="s">
        <v>574</v>
      </c>
      <c r="C9109" t="s">
        <v>646</v>
      </c>
      <c r="D9109" t="s">
        <v>35891</v>
      </c>
      <c r="E9109">
        <v>424019</v>
      </c>
      <c r="F9109" t="s">
        <v>1</v>
      </c>
      <c r="G9109" t="s">
        <v>2</v>
      </c>
      <c r="H9109" t="s">
        <v>20692</v>
      </c>
      <c r="J9109" t="s">
        <v>35892</v>
      </c>
      <c r="P9109" t="s">
        <v>2457</v>
      </c>
      <c r="Y9109" t="s">
        <v>35893</v>
      </c>
    </row>
    <row r="9110" spans="1:25" x14ac:dyDescent="0.25">
      <c r="A9110" t="str">
        <f>"103500128412"</f>
        <v>103500128412</v>
      </c>
      <c r="B9110" t="s">
        <v>1152</v>
      </c>
      <c r="C9110" t="s">
        <v>1153</v>
      </c>
      <c r="D9110" t="s">
        <v>24071</v>
      </c>
      <c r="E9110">
        <v>424007</v>
      </c>
      <c r="F9110" t="s">
        <v>1</v>
      </c>
      <c r="G9110" t="s">
        <v>2</v>
      </c>
      <c r="H9110" t="s">
        <v>23983</v>
      </c>
      <c r="Y9110" t="s">
        <v>35894</v>
      </c>
    </row>
    <row r="9111" spans="1:25" x14ac:dyDescent="0.25">
      <c r="A9111" t="str">
        <f>"103554544445"</f>
        <v>103554544445</v>
      </c>
      <c r="B9111" t="s">
        <v>640</v>
      </c>
      <c r="C9111" t="s">
        <v>663</v>
      </c>
      <c r="D9111" t="s">
        <v>35895</v>
      </c>
      <c r="E9111">
        <v>424031</v>
      </c>
      <c r="F9111" t="s">
        <v>1</v>
      </c>
      <c r="G9111" t="s">
        <v>2</v>
      </c>
      <c r="H9111" t="s">
        <v>2353</v>
      </c>
      <c r="I9111" t="s">
        <v>35896</v>
      </c>
      <c r="P9111" t="s">
        <v>35897</v>
      </c>
      <c r="Y9111" t="s">
        <v>2356</v>
      </c>
    </row>
    <row r="9112" spans="1:25" x14ac:dyDescent="0.25">
      <c r="A9112" t="str">
        <f>"103554909638"</f>
        <v>103554909638</v>
      </c>
      <c r="B9112" t="s">
        <v>1046</v>
      </c>
      <c r="C9112" t="s">
        <v>22946</v>
      </c>
      <c r="D9112" t="s">
        <v>22946</v>
      </c>
      <c r="E9112">
        <v>424002</v>
      </c>
      <c r="F9112" t="s">
        <v>1</v>
      </c>
      <c r="G9112" t="s">
        <v>2</v>
      </c>
      <c r="H9112" t="s">
        <v>6032</v>
      </c>
      <c r="Y9112" t="s">
        <v>35898</v>
      </c>
    </row>
    <row r="9113" spans="1:25" x14ac:dyDescent="0.25">
      <c r="A9113" t="str">
        <f>"103571156141"</f>
        <v>103571156141</v>
      </c>
      <c r="B9113" t="s">
        <v>7312</v>
      </c>
      <c r="C9113" t="s">
        <v>19097</v>
      </c>
      <c r="D9113" t="s">
        <v>14703</v>
      </c>
      <c r="E9113">
        <v>424002</v>
      </c>
      <c r="F9113" t="s">
        <v>1</v>
      </c>
      <c r="G9113" t="s">
        <v>2</v>
      </c>
      <c r="H9113" t="s">
        <v>12917</v>
      </c>
      <c r="Y9113" t="s">
        <v>12919</v>
      </c>
    </row>
    <row r="9114" spans="1:25" x14ac:dyDescent="0.25">
      <c r="A9114" t="str">
        <f>"103606552920"</f>
        <v>103606552920</v>
      </c>
      <c r="B9114" t="s">
        <v>1544</v>
      </c>
      <c r="C9114" t="s">
        <v>15598</v>
      </c>
      <c r="D9114" t="s">
        <v>23165</v>
      </c>
      <c r="E9114">
        <v>424038</v>
      </c>
      <c r="F9114" t="s">
        <v>1</v>
      </c>
      <c r="G9114" t="s">
        <v>2</v>
      </c>
      <c r="H9114" t="s">
        <v>2855</v>
      </c>
      <c r="Y9114" t="s">
        <v>35899</v>
      </c>
    </row>
    <row r="9115" spans="1:25" x14ac:dyDescent="0.25">
      <c r="A9115" t="str">
        <f>"103620632707"</f>
        <v>103620632707</v>
      </c>
      <c r="B9115" t="s">
        <v>96</v>
      </c>
      <c r="C9115" t="s">
        <v>35900</v>
      </c>
      <c r="D9115" t="s">
        <v>34165</v>
      </c>
      <c r="E9115">
        <v>424030</v>
      </c>
      <c r="F9115" t="s">
        <v>1</v>
      </c>
      <c r="G9115" t="s">
        <v>2</v>
      </c>
      <c r="H9115" t="s">
        <v>12562</v>
      </c>
      <c r="P9115" t="s">
        <v>748</v>
      </c>
      <c r="Y9115" t="s">
        <v>35901</v>
      </c>
    </row>
    <row r="9116" spans="1:25" x14ac:dyDescent="0.25">
      <c r="A9116" t="str">
        <f>"103734160911"</f>
        <v>103734160911</v>
      </c>
      <c r="B9116" t="s">
        <v>519</v>
      </c>
      <c r="C9116" t="s">
        <v>35902</v>
      </c>
      <c r="D9116" t="s">
        <v>15258</v>
      </c>
      <c r="E9116">
        <v>424019</v>
      </c>
      <c r="F9116" t="s">
        <v>1</v>
      </c>
      <c r="G9116" t="s">
        <v>2</v>
      </c>
      <c r="H9116" t="s">
        <v>17030</v>
      </c>
      <c r="Y9116" t="s">
        <v>35903</v>
      </c>
    </row>
    <row r="9117" spans="1:25" x14ac:dyDescent="0.25">
      <c r="A9117" t="str">
        <f>"103758506835"</f>
        <v>103758506835</v>
      </c>
      <c r="B9117" t="s">
        <v>1343</v>
      </c>
      <c r="C9117" t="s">
        <v>33670</v>
      </c>
      <c r="D9117" t="s">
        <v>34723</v>
      </c>
      <c r="E9117">
        <v>424032</v>
      </c>
      <c r="F9117" t="s">
        <v>1</v>
      </c>
      <c r="G9117" t="s">
        <v>2</v>
      </c>
      <c r="H9117" t="s">
        <v>2250</v>
      </c>
      <c r="I9117" t="s">
        <v>35904</v>
      </c>
      <c r="J9117" t="s">
        <v>35905</v>
      </c>
      <c r="L9117" t="s">
        <v>34726</v>
      </c>
      <c r="M9117" t="s">
        <v>34727</v>
      </c>
      <c r="P9117" t="s">
        <v>1404</v>
      </c>
      <c r="Q9117" t="s">
        <v>34728</v>
      </c>
      <c r="Y9117" t="s">
        <v>35906</v>
      </c>
    </row>
    <row r="9118" spans="1:25" x14ac:dyDescent="0.25">
      <c r="A9118" t="str">
        <f>"103795708996"</f>
        <v>103795708996</v>
      </c>
      <c r="B9118" t="s">
        <v>25</v>
      </c>
      <c r="C9118" t="s">
        <v>24938</v>
      </c>
      <c r="D9118" t="s">
        <v>30971</v>
      </c>
      <c r="F9118" t="s">
        <v>1</v>
      </c>
      <c r="G9118" t="s">
        <v>2</v>
      </c>
      <c r="H9118" t="s">
        <v>35907</v>
      </c>
      <c r="I9118" t="s">
        <v>35908</v>
      </c>
      <c r="L9118" t="s">
        <v>25465</v>
      </c>
      <c r="M9118" t="s">
        <v>35909</v>
      </c>
      <c r="Y9118" t="s">
        <v>35910</v>
      </c>
    </row>
    <row r="9119" spans="1:25" x14ac:dyDescent="0.25">
      <c r="A9119" t="str">
        <f>"103812383488"</f>
        <v>103812383488</v>
      </c>
      <c r="B9119" t="s">
        <v>1391</v>
      </c>
      <c r="C9119" t="s">
        <v>1392</v>
      </c>
      <c r="D9119" t="s">
        <v>27636</v>
      </c>
      <c r="E9119">
        <v>424032</v>
      </c>
      <c r="F9119" t="s">
        <v>1</v>
      </c>
      <c r="G9119" t="s">
        <v>2</v>
      </c>
      <c r="H9119" t="s">
        <v>6220</v>
      </c>
      <c r="P9119" t="s">
        <v>2839</v>
      </c>
      <c r="V9119" t="s">
        <v>35911</v>
      </c>
      <c r="Y9119" t="s">
        <v>6223</v>
      </c>
    </row>
    <row r="9120" spans="1:25" x14ac:dyDescent="0.25">
      <c r="A9120" t="str">
        <f>"103831467796"</f>
        <v>103831467796</v>
      </c>
      <c r="B9120" t="s">
        <v>1573</v>
      </c>
      <c r="C9120" t="s">
        <v>24508</v>
      </c>
      <c r="D9120" t="s">
        <v>29811</v>
      </c>
      <c r="E9120">
        <v>424038</v>
      </c>
      <c r="F9120" t="s">
        <v>1</v>
      </c>
      <c r="G9120" t="s">
        <v>2</v>
      </c>
      <c r="H9120" t="s">
        <v>14026</v>
      </c>
      <c r="P9120" t="s">
        <v>5278</v>
      </c>
      <c r="Y9120" t="s">
        <v>35912</v>
      </c>
    </row>
    <row r="9121" spans="1:25" x14ac:dyDescent="0.25">
      <c r="A9121" t="str">
        <f>"103838386803"</f>
        <v>103838386803</v>
      </c>
      <c r="B9121" t="s">
        <v>18</v>
      </c>
      <c r="C9121" t="s">
        <v>143</v>
      </c>
      <c r="D9121" t="s">
        <v>35913</v>
      </c>
      <c r="E9121">
        <v>424000</v>
      </c>
      <c r="F9121" t="s">
        <v>1</v>
      </c>
      <c r="G9121" t="s">
        <v>2</v>
      </c>
      <c r="H9121" t="s">
        <v>1531</v>
      </c>
      <c r="L9121" t="s">
        <v>35914</v>
      </c>
      <c r="M9121" t="s">
        <v>35915</v>
      </c>
      <c r="Y9121" t="s">
        <v>1707</v>
      </c>
    </row>
    <row r="9122" spans="1:25" x14ac:dyDescent="0.25">
      <c r="A9122" t="str">
        <f>"103842152277"</f>
        <v>103842152277</v>
      </c>
      <c r="B9122" t="s">
        <v>233</v>
      </c>
      <c r="C9122" t="s">
        <v>14003</v>
      </c>
      <c r="D9122" t="s">
        <v>24316</v>
      </c>
      <c r="E9122">
        <v>424036</v>
      </c>
      <c r="F9122" t="s">
        <v>1</v>
      </c>
      <c r="G9122" t="s">
        <v>2</v>
      </c>
      <c r="H9122" t="s">
        <v>8222</v>
      </c>
      <c r="Y9122" t="s">
        <v>35916</v>
      </c>
    </row>
    <row r="9123" spans="1:25" x14ac:dyDescent="0.25">
      <c r="A9123" t="str">
        <f>"103848270779"</f>
        <v>103848270779</v>
      </c>
      <c r="B9123" t="s">
        <v>574</v>
      </c>
      <c r="C9123" t="s">
        <v>24952</v>
      </c>
      <c r="D9123" t="s">
        <v>24951</v>
      </c>
      <c r="F9123" t="s">
        <v>1</v>
      </c>
      <c r="G9123" t="s">
        <v>2</v>
      </c>
      <c r="H9123" t="s">
        <v>21391</v>
      </c>
      <c r="Y9123" t="s">
        <v>35917</v>
      </c>
    </row>
    <row r="9124" spans="1:25" x14ac:dyDescent="0.25">
      <c r="A9124" t="str">
        <f>"103858830589"</f>
        <v>103858830589</v>
      </c>
      <c r="B9124" t="s">
        <v>348</v>
      </c>
      <c r="C9124" t="s">
        <v>4366</v>
      </c>
      <c r="D9124" t="s">
        <v>35918</v>
      </c>
      <c r="F9124" t="s">
        <v>1</v>
      </c>
      <c r="G9124" t="s">
        <v>2</v>
      </c>
      <c r="H9124" t="s">
        <v>138</v>
      </c>
      <c r="I9124" t="s">
        <v>35919</v>
      </c>
      <c r="P9124" t="s">
        <v>144</v>
      </c>
      <c r="Y9124" t="s">
        <v>146</v>
      </c>
    </row>
    <row r="9125" spans="1:25" x14ac:dyDescent="0.25">
      <c r="A9125" t="str">
        <f>"103873247525"</f>
        <v>103873247525</v>
      </c>
      <c r="B9125" t="s">
        <v>553</v>
      </c>
      <c r="C9125" t="s">
        <v>35924</v>
      </c>
      <c r="D9125" t="s">
        <v>35920</v>
      </c>
      <c r="E9125">
        <v>424000</v>
      </c>
      <c r="F9125" t="s">
        <v>1</v>
      </c>
      <c r="G9125" t="s">
        <v>2</v>
      </c>
      <c r="H9125" t="s">
        <v>404</v>
      </c>
      <c r="J9125" t="s">
        <v>35921</v>
      </c>
      <c r="L9125" t="s">
        <v>35922</v>
      </c>
      <c r="M9125" t="s">
        <v>35923</v>
      </c>
      <c r="P9125" t="s">
        <v>27</v>
      </c>
      <c r="Q9125" t="s">
        <v>35925</v>
      </c>
      <c r="Y9125" t="s">
        <v>5477</v>
      </c>
    </row>
    <row r="9126" spans="1:25" x14ac:dyDescent="0.25">
      <c r="A9126" t="str">
        <f>"103877635437"</f>
        <v>103877635437</v>
      </c>
      <c r="B9126" t="s">
        <v>1544</v>
      </c>
      <c r="C9126" t="s">
        <v>1545</v>
      </c>
      <c r="D9126" t="s">
        <v>27363</v>
      </c>
      <c r="F9126" t="s">
        <v>1</v>
      </c>
      <c r="G9126" t="s">
        <v>2</v>
      </c>
      <c r="H9126" t="s">
        <v>4446</v>
      </c>
      <c r="P9126" t="s">
        <v>216</v>
      </c>
      <c r="Y9126" t="s">
        <v>35926</v>
      </c>
    </row>
    <row r="9127" spans="1:25" x14ac:dyDescent="0.25">
      <c r="A9127" t="str">
        <f>"103894194735"</f>
        <v>103894194735</v>
      </c>
      <c r="B9127" t="s">
        <v>233</v>
      </c>
      <c r="C9127" t="s">
        <v>35928</v>
      </c>
      <c r="D9127" t="s">
        <v>35927</v>
      </c>
      <c r="E9127">
        <v>424039</v>
      </c>
      <c r="F9127" t="s">
        <v>1</v>
      </c>
      <c r="G9127" t="s">
        <v>2</v>
      </c>
      <c r="H9127" t="s">
        <v>17278</v>
      </c>
      <c r="Y9127" t="s">
        <v>17280</v>
      </c>
    </row>
    <row r="9128" spans="1:25" x14ac:dyDescent="0.25">
      <c r="A9128" t="str">
        <f>"103900241895"</f>
        <v>103900241895</v>
      </c>
      <c r="B9128" t="s">
        <v>284</v>
      </c>
      <c r="C9128" t="s">
        <v>7160</v>
      </c>
      <c r="D9128" t="s">
        <v>35929</v>
      </c>
      <c r="E9128">
        <v>424007</v>
      </c>
      <c r="F9128" t="s">
        <v>1</v>
      </c>
      <c r="G9128" t="s">
        <v>2</v>
      </c>
      <c r="H9128" t="s">
        <v>220</v>
      </c>
      <c r="I9128" t="s">
        <v>35930</v>
      </c>
      <c r="K9128" t="s">
        <v>35930</v>
      </c>
      <c r="P9128" t="s">
        <v>280</v>
      </c>
      <c r="Y9128" t="s">
        <v>227</v>
      </c>
    </row>
    <row r="9129" spans="1:25" x14ac:dyDescent="0.25">
      <c r="A9129" t="str">
        <f>"103911619303"</f>
        <v>103911619303</v>
      </c>
      <c r="B9129" t="s">
        <v>1046</v>
      </c>
      <c r="C9129" t="s">
        <v>22946</v>
      </c>
      <c r="D9129" t="s">
        <v>22946</v>
      </c>
      <c r="F9129" t="s">
        <v>1</v>
      </c>
      <c r="G9129" t="s">
        <v>2</v>
      </c>
      <c r="H9129" t="s">
        <v>35931</v>
      </c>
      <c r="Y9129" t="s">
        <v>35932</v>
      </c>
    </row>
    <row r="9130" spans="1:25" x14ac:dyDescent="0.25">
      <c r="A9130" t="str">
        <f>"103924740828"</f>
        <v>103924740828</v>
      </c>
      <c r="B9130" t="s">
        <v>88</v>
      </c>
      <c r="C9130" t="s">
        <v>35933</v>
      </c>
      <c r="D9130" t="s">
        <v>1753</v>
      </c>
      <c r="E9130">
        <v>424000</v>
      </c>
      <c r="F9130" t="s">
        <v>1</v>
      </c>
      <c r="G9130" t="s">
        <v>2</v>
      </c>
      <c r="H9130" t="s">
        <v>9927</v>
      </c>
      <c r="Y9130" t="s">
        <v>35934</v>
      </c>
    </row>
    <row r="9131" spans="1:25" x14ac:dyDescent="0.25">
      <c r="A9131" t="str">
        <f>"103928083744"</f>
        <v>103928083744</v>
      </c>
      <c r="B9131" t="s">
        <v>284</v>
      </c>
      <c r="C9131" t="s">
        <v>27632</v>
      </c>
      <c r="D9131" t="s">
        <v>35935</v>
      </c>
      <c r="E9131">
        <v>424031</v>
      </c>
      <c r="F9131" t="s">
        <v>1</v>
      </c>
      <c r="G9131" t="s">
        <v>2</v>
      </c>
      <c r="H9131" t="s">
        <v>35936</v>
      </c>
      <c r="Y9131" t="s">
        <v>35937</v>
      </c>
    </row>
    <row r="9132" spans="1:25" x14ac:dyDescent="0.25">
      <c r="A9132" t="str">
        <f>"103999061502"</f>
        <v>103999061502</v>
      </c>
      <c r="B9132" t="s">
        <v>160</v>
      </c>
      <c r="C9132" t="s">
        <v>1666</v>
      </c>
      <c r="D9132" t="s">
        <v>35938</v>
      </c>
      <c r="E9132">
        <v>424005</v>
      </c>
      <c r="F9132" t="s">
        <v>1</v>
      </c>
      <c r="G9132" t="s">
        <v>2</v>
      </c>
      <c r="H9132" t="s">
        <v>5843</v>
      </c>
      <c r="I9132" t="s">
        <v>35939</v>
      </c>
      <c r="P9132" t="s">
        <v>35940</v>
      </c>
      <c r="Y9132" t="s">
        <v>5844</v>
      </c>
    </row>
    <row r="9133" spans="1:25" x14ac:dyDescent="0.25">
      <c r="A9133" t="str">
        <f>"104005978657"</f>
        <v>104005978657</v>
      </c>
      <c r="B9133" t="s">
        <v>1315</v>
      </c>
      <c r="C9133" t="s">
        <v>4274</v>
      </c>
      <c r="D9133" t="s">
        <v>8147</v>
      </c>
      <c r="F9133" t="s">
        <v>1</v>
      </c>
      <c r="G9133" t="s">
        <v>2</v>
      </c>
      <c r="H9133" t="s">
        <v>7547</v>
      </c>
      <c r="Y9133" t="s">
        <v>35941</v>
      </c>
    </row>
    <row r="9134" spans="1:25" x14ac:dyDescent="0.25">
      <c r="A9134" t="str">
        <f>"104036554307"</f>
        <v>104036554307</v>
      </c>
      <c r="B9134" t="s">
        <v>32</v>
      </c>
      <c r="C9134" t="s">
        <v>2996</v>
      </c>
      <c r="D9134" t="s">
        <v>35942</v>
      </c>
      <c r="E9134">
        <v>424000</v>
      </c>
      <c r="F9134" t="s">
        <v>1</v>
      </c>
      <c r="G9134" t="s">
        <v>2</v>
      </c>
      <c r="H9134" t="s">
        <v>12303</v>
      </c>
      <c r="J9134" t="s">
        <v>35943</v>
      </c>
      <c r="P9134" t="s">
        <v>1027</v>
      </c>
      <c r="V9134" t="s">
        <v>35944</v>
      </c>
      <c r="Y9134" t="s">
        <v>13335</v>
      </c>
    </row>
    <row r="9135" spans="1:25" x14ac:dyDescent="0.25">
      <c r="A9135" t="str">
        <f>"104053540873"</f>
        <v>104053540873</v>
      </c>
      <c r="B9135" t="s">
        <v>22502</v>
      </c>
      <c r="C9135" t="s">
        <v>35946</v>
      </c>
      <c r="D9135" t="s">
        <v>35945</v>
      </c>
      <c r="F9135" t="s">
        <v>1</v>
      </c>
      <c r="G9135" t="s">
        <v>2</v>
      </c>
      <c r="H9135" t="s">
        <v>25588</v>
      </c>
      <c r="Y9135" t="s">
        <v>35947</v>
      </c>
    </row>
    <row r="9136" spans="1:25" x14ac:dyDescent="0.25">
      <c r="A9136" t="str">
        <f>"104056889942"</f>
        <v>104056889942</v>
      </c>
      <c r="B9136" t="s">
        <v>530</v>
      </c>
      <c r="C9136" t="s">
        <v>23950</v>
      </c>
      <c r="D9136" t="s">
        <v>23950</v>
      </c>
      <c r="E9136">
        <v>424007</v>
      </c>
      <c r="F9136" t="s">
        <v>1</v>
      </c>
      <c r="G9136" t="s">
        <v>2</v>
      </c>
      <c r="H9136" t="s">
        <v>4869</v>
      </c>
      <c r="Y9136" t="s">
        <v>35948</v>
      </c>
    </row>
    <row r="9137" spans="1:25" x14ac:dyDescent="0.25">
      <c r="A9137" t="str">
        <f>"104062876560"</f>
        <v>104062876560</v>
      </c>
      <c r="B9137" t="s">
        <v>352</v>
      </c>
      <c r="C9137" t="s">
        <v>35949</v>
      </c>
      <c r="D9137" t="s">
        <v>30234</v>
      </c>
      <c r="E9137">
        <v>424006</v>
      </c>
      <c r="F9137" t="s">
        <v>1</v>
      </c>
      <c r="G9137" t="s">
        <v>2</v>
      </c>
      <c r="H9137" t="s">
        <v>751</v>
      </c>
      <c r="J9137" t="s">
        <v>32981</v>
      </c>
      <c r="L9137" t="s">
        <v>30237</v>
      </c>
      <c r="M9137" t="s">
        <v>30238</v>
      </c>
      <c r="Y9137" t="s">
        <v>755</v>
      </c>
    </row>
    <row r="9138" spans="1:25" x14ac:dyDescent="0.25">
      <c r="A9138" t="str">
        <f>"104093004783"</f>
        <v>104093004783</v>
      </c>
      <c r="B9138" t="s">
        <v>1617</v>
      </c>
      <c r="C9138" t="s">
        <v>21001</v>
      </c>
      <c r="D9138" t="s">
        <v>20999</v>
      </c>
      <c r="E9138">
        <v>424005</v>
      </c>
      <c r="F9138" t="s">
        <v>1</v>
      </c>
      <c r="G9138" t="s">
        <v>2</v>
      </c>
      <c r="H9138" t="s">
        <v>35950</v>
      </c>
      <c r="Y9138" t="s">
        <v>30346</v>
      </c>
    </row>
    <row r="9139" spans="1:25" x14ac:dyDescent="0.25">
      <c r="A9139" t="str">
        <f>"104095480979"</f>
        <v>104095480979</v>
      </c>
      <c r="B9139" t="s">
        <v>930</v>
      </c>
      <c r="C9139" t="s">
        <v>927</v>
      </c>
      <c r="D9139" t="s">
        <v>927</v>
      </c>
      <c r="F9139" t="s">
        <v>1</v>
      </c>
      <c r="G9139" t="s">
        <v>2</v>
      </c>
      <c r="H9139" t="s">
        <v>7547</v>
      </c>
      <c r="Y9139" t="s">
        <v>35951</v>
      </c>
    </row>
    <row r="9140" spans="1:25" x14ac:dyDescent="0.25">
      <c r="A9140" t="str">
        <f>"104102052050"</f>
        <v>104102052050</v>
      </c>
      <c r="B9140" t="s">
        <v>32</v>
      </c>
      <c r="C9140" t="s">
        <v>20137</v>
      </c>
      <c r="D9140" t="s">
        <v>32817</v>
      </c>
      <c r="E9140">
        <v>424020</v>
      </c>
      <c r="F9140" t="s">
        <v>1</v>
      </c>
      <c r="G9140" t="s">
        <v>2</v>
      </c>
      <c r="H9140" t="s">
        <v>23</v>
      </c>
      <c r="Y9140" t="s">
        <v>35952</v>
      </c>
    </row>
    <row r="9141" spans="1:25" x14ac:dyDescent="0.25">
      <c r="A9141" t="str">
        <f>"104102816157"</f>
        <v>104102816157</v>
      </c>
      <c r="B9141" t="s">
        <v>25</v>
      </c>
      <c r="C9141" t="s">
        <v>59</v>
      </c>
      <c r="D9141" t="s">
        <v>35953</v>
      </c>
      <c r="E9141">
        <v>424016</v>
      </c>
      <c r="F9141" t="s">
        <v>1</v>
      </c>
      <c r="G9141" t="s">
        <v>2</v>
      </c>
      <c r="H9141" t="s">
        <v>673</v>
      </c>
      <c r="I9141" t="s">
        <v>35954</v>
      </c>
      <c r="L9141" t="s">
        <v>14274</v>
      </c>
      <c r="M9141" t="s">
        <v>35955</v>
      </c>
      <c r="P9141" t="s">
        <v>280</v>
      </c>
      <c r="Y9141" t="s">
        <v>1072</v>
      </c>
    </row>
    <row r="9142" spans="1:25" x14ac:dyDescent="0.25">
      <c r="A9142" t="str">
        <f>"104121815410"</f>
        <v>104121815410</v>
      </c>
      <c r="B9142" t="s">
        <v>574</v>
      </c>
      <c r="C9142" t="s">
        <v>952</v>
      </c>
      <c r="D9142" t="s">
        <v>28212</v>
      </c>
      <c r="E9142">
        <v>424039</v>
      </c>
      <c r="F9142" t="s">
        <v>1</v>
      </c>
      <c r="G9142" t="s">
        <v>2</v>
      </c>
      <c r="H9142" t="s">
        <v>6995</v>
      </c>
      <c r="Y9142" t="s">
        <v>35956</v>
      </c>
    </row>
    <row r="9143" spans="1:25" x14ac:dyDescent="0.25">
      <c r="A9143" t="str">
        <f>"104160154818"</f>
        <v>104160154818</v>
      </c>
      <c r="B9143" t="s">
        <v>530</v>
      </c>
      <c r="C9143" t="s">
        <v>23950</v>
      </c>
      <c r="D9143" t="s">
        <v>23950</v>
      </c>
      <c r="F9143" t="s">
        <v>1</v>
      </c>
      <c r="G9143" t="s">
        <v>2</v>
      </c>
      <c r="H9143" t="s">
        <v>35957</v>
      </c>
      <c r="Y9143" t="s">
        <v>35958</v>
      </c>
    </row>
    <row r="9144" spans="1:25" x14ac:dyDescent="0.25">
      <c r="A9144" t="str">
        <f>"104185289630"</f>
        <v>104185289630</v>
      </c>
      <c r="B9144" t="s">
        <v>290</v>
      </c>
      <c r="C9144" t="s">
        <v>290</v>
      </c>
      <c r="D9144" t="s">
        <v>290</v>
      </c>
      <c r="F9144" t="s">
        <v>1</v>
      </c>
      <c r="G9144" t="s">
        <v>2</v>
      </c>
      <c r="H9144" t="s">
        <v>5906</v>
      </c>
      <c r="Y9144" t="s">
        <v>35959</v>
      </c>
    </row>
    <row r="9145" spans="1:25" x14ac:dyDescent="0.25">
      <c r="A9145" t="str">
        <f>"104292740537"</f>
        <v>104292740537</v>
      </c>
      <c r="B9145" t="s">
        <v>1475</v>
      </c>
      <c r="C9145" t="s">
        <v>1476</v>
      </c>
      <c r="D9145" t="s">
        <v>756</v>
      </c>
      <c r="E9145">
        <v>424000</v>
      </c>
      <c r="F9145" t="s">
        <v>1</v>
      </c>
      <c r="G9145" t="s">
        <v>2</v>
      </c>
      <c r="H9145" t="s">
        <v>1806</v>
      </c>
      <c r="P9145" t="s">
        <v>18706</v>
      </c>
      <c r="Y9145" t="s">
        <v>35960</v>
      </c>
    </row>
    <row r="9146" spans="1:25" x14ac:dyDescent="0.25">
      <c r="A9146" t="str">
        <f>"104310874983"</f>
        <v>104310874983</v>
      </c>
      <c r="B9146" t="s">
        <v>1053</v>
      </c>
      <c r="C9146" t="s">
        <v>1927</v>
      </c>
      <c r="D9146" t="s">
        <v>35961</v>
      </c>
      <c r="E9146">
        <v>424028</v>
      </c>
      <c r="F9146" t="s">
        <v>1</v>
      </c>
      <c r="G9146" t="s">
        <v>2</v>
      </c>
      <c r="H9146" t="s">
        <v>35962</v>
      </c>
      <c r="J9146" t="s">
        <v>35963</v>
      </c>
      <c r="P9146" t="s">
        <v>2280</v>
      </c>
      <c r="Y9146" t="s">
        <v>35964</v>
      </c>
    </row>
    <row r="9147" spans="1:25" x14ac:dyDescent="0.25">
      <c r="A9147" t="str">
        <f>"104317485586"</f>
        <v>104317485586</v>
      </c>
      <c r="B9147" t="s">
        <v>96</v>
      </c>
      <c r="C9147" t="s">
        <v>7071</v>
      </c>
      <c r="D9147" t="s">
        <v>35965</v>
      </c>
      <c r="E9147">
        <v>424002</v>
      </c>
      <c r="F9147" t="s">
        <v>1</v>
      </c>
      <c r="G9147" t="s">
        <v>2</v>
      </c>
      <c r="H9147" t="s">
        <v>3864</v>
      </c>
      <c r="P9147" t="s">
        <v>1027</v>
      </c>
      <c r="Y9147" t="s">
        <v>35966</v>
      </c>
    </row>
    <row r="9148" spans="1:25" x14ac:dyDescent="0.25">
      <c r="A9148" t="str">
        <f>"104344264856"</f>
        <v>104344264856</v>
      </c>
      <c r="B9148" t="s">
        <v>1046</v>
      </c>
      <c r="C9148" t="s">
        <v>22946</v>
      </c>
      <c r="D9148" t="s">
        <v>22946</v>
      </c>
      <c r="F9148" t="s">
        <v>1</v>
      </c>
      <c r="G9148" t="s">
        <v>2</v>
      </c>
      <c r="H9148" t="s">
        <v>28695</v>
      </c>
      <c r="Y9148" t="s">
        <v>35967</v>
      </c>
    </row>
    <row r="9149" spans="1:25" x14ac:dyDescent="0.25">
      <c r="A9149" t="str">
        <f>"104347240418"</f>
        <v>104347240418</v>
      </c>
      <c r="B9149" t="s">
        <v>348</v>
      </c>
      <c r="C9149" t="s">
        <v>4366</v>
      </c>
      <c r="D9149" t="s">
        <v>21762</v>
      </c>
      <c r="E9149">
        <v>424038</v>
      </c>
      <c r="F9149" t="s">
        <v>1</v>
      </c>
      <c r="G9149" t="s">
        <v>2</v>
      </c>
      <c r="H9149" t="s">
        <v>6550</v>
      </c>
      <c r="J9149" t="s">
        <v>35968</v>
      </c>
      <c r="P9149" t="s">
        <v>941</v>
      </c>
      <c r="Y9149" t="s">
        <v>35969</v>
      </c>
    </row>
    <row r="9150" spans="1:25" x14ac:dyDescent="0.25">
      <c r="A9150" t="str">
        <f>"104426548326"</f>
        <v>104426548326</v>
      </c>
      <c r="B9150" t="s">
        <v>1758</v>
      </c>
      <c r="C9150" t="s">
        <v>8089</v>
      </c>
      <c r="D9150" t="s">
        <v>35970</v>
      </c>
      <c r="E9150">
        <v>424032</v>
      </c>
      <c r="F9150" t="s">
        <v>1</v>
      </c>
      <c r="G9150" t="s">
        <v>2</v>
      </c>
      <c r="H9150" t="s">
        <v>2250</v>
      </c>
      <c r="Y9150" t="s">
        <v>35971</v>
      </c>
    </row>
    <row r="9151" spans="1:25" x14ac:dyDescent="0.25">
      <c r="A9151" t="str">
        <f>"104459140810"</f>
        <v>104459140810</v>
      </c>
      <c r="B9151" t="s">
        <v>1053</v>
      </c>
      <c r="C9151" t="s">
        <v>1799</v>
      </c>
      <c r="D9151" t="s">
        <v>35972</v>
      </c>
      <c r="E9151">
        <v>424037</v>
      </c>
      <c r="F9151" t="s">
        <v>1</v>
      </c>
      <c r="G9151" t="s">
        <v>2</v>
      </c>
      <c r="H9151" t="s">
        <v>29602</v>
      </c>
      <c r="Y9151" t="s">
        <v>35973</v>
      </c>
    </row>
    <row r="9152" spans="1:25" x14ac:dyDescent="0.25">
      <c r="A9152" t="str">
        <f>"104483459795"</f>
        <v>104483459795</v>
      </c>
      <c r="B9152" t="s">
        <v>930</v>
      </c>
      <c r="C9152" t="s">
        <v>35979</v>
      </c>
      <c r="D9152" t="s">
        <v>35974</v>
      </c>
      <c r="E9152">
        <v>424003</v>
      </c>
      <c r="F9152" t="s">
        <v>1</v>
      </c>
      <c r="G9152" t="s">
        <v>2</v>
      </c>
      <c r="H9152" t="s">
        <v>35975</v>
      </c>
      <c r="I9152" t="s">
        <v>35976</v>
      </c>
      <c r="L9152" t="s">
        <v>35977</v>
      </c>
      <c r="M9152" t="s">
        <v>35978</v>
      </c>
      <c r="P9152" t="s">
        <v>1420</v>
      </c>
      <c r="Y9152" t="s">
        <v>35980</v>
      </c>
    </row>
    <row r="9153" spans="1:25" x14ac:dyDescent="0.25">
      <c r="A9153" t="str">
        <f>"104495233647"</f>
        <v>104495233647</v>
      </c>
      <c r="B9153" t="s">
        <v>930</v>
      </c>
      <c r="C9153" t="s">
        <v>927</v>
      </c>
      <c r="D9153" t="s">
        <v>35981</v>
      </c>
      <c r="E9153">
        <v>424020</v>
      </c>
      <c r="F9153" t="s">
        <v>1</v>
      </c>
      <c r="G9153" t="s">
        <v>2</v>
      </c>
      <c r="H9153" t="s">
        <v>14120</v>
      </c>
      <c r="P9153" t="s">
        <v>216</v>
      </c>
      <c r="Y9153" t="s">
        <v>35982</v>
      </c>
    </row>
    <row r="9154" spans="1:25" x14ac:dyDescent="0.25">
      <c r="A9154" t="str">
        <f>"104508701615"</f>
        <v>104508701615</v>
      </c>
      <c r="B9154" t="s">
        <v>430</v>
      </c>
      <c r="C9154" t="s">
        <v>11849</v>
      </c>
      <c r="D9154" t="s">
        <v>35983</v>
      </c>
      <c r="E9154">
        <v>424002</v>
      </c>
      <c r="F9154" t="s">
        <v>1</v>
      </c>
      <c r="G9154" t="s">
        <v>2</v>
      </c>
      <c r="H9154" t="s">
        <v>7234</v>
      </c>
      <c r="I9154" t="s">
        <v>35984</v>
      </c>
      <c r="L9154" t="s">
        <v>35985</v>
      </c>
      <c r="M9154" t="s">
        <v>35986</v>
      </c>
      <c r="P9154" t="s">
        <v>2738</v>
      </c>
      <c r="Y9154" t="s">
        <v>18701</v>
      </c>
    </row>
    <row r="9155" spans="1:25" x14ac:dyDescent="0.25">
      <c r="A9155" t="str">
        <f>"104525081236"</f>
        <v>104525081236</v>
      </c>
      <c r="B9155" t="s">
        <v>530</v>
      </c>
      <c r="C9155" t="s">
        <v>23950</v>
      </c>
      <c r="D9155" t="s">
        <v>23950</v>
      </c>
      <c r="F9155" t="s">
        <v>1</v>
      </c>
      <c r="G9155" t="s">
        <v>2</v>
      </c>
      <c r="H9155" t="s">
        <v>35987</v>
      </c>
      <c r="Y9155" t="s">
        <v>35988</v>
      </c>
    </row>
    <row r="9156" spans="1:25" x14ac:dyDescent="0.25">
      <c r="A9156" t="str">
        <f>"104525604086"</f>
        <v>104525604086</v>
      </c>
      <c r="B9156" t="s">
        <v>2062</v>
      </c>
      <c r="C9156" t="s">
        <v>35989</v>
      </c>
      <c r="D9156" t="s">
        <v>35989</v>
      </c>
      <c r="E9156">
        <v>424000</v>
      </c>
      <c r="F9156" t="s">
        <v>1</v>
      </c>
      <c r="G9156" t="s">
        <v>2</v>
      </c>
      <c r="H9156" t="s">
        <v>3471</v>
      </c>
      <c r="I9156" t="s">
        <v>26182</v>
      </c>
      <c r="J9156" t="s">
        <v>35990</v>
      </c>
      <c r="P9156" t="s">
        <v>2580</v>
      </c>
      <c r="Y9156" t="s">
        <v>35991</v>
      </c>
    </row>
    <row r="9157" spans="1:25" x14ac:dyDescent="0.25">
      <c r="A9157" t="str">
        <f>"104526340031"</f>
        <v>104526340031</v>
      </c>
      <c r="B9157" t="s">
        <v>96</v>
      </c>
      <c r="C9157" t="s">
        <v>893</v>
      </c>
      <c r="D9157" t="s">
        <v>35992</v>
      </c>
      <c r="E9157">
        <v>424038</v>
      </c>
      <c r="F9157" t="s">
        <v>1</v>
      </c>
      <c r="G9157" t="s">
        <v>2</v>
      </c>
      <c r="H9157" t="s">
        <v>7597</v>
      </c>
      <c r="J9157" t="s">
        <v>35993</v>
      </c>
      <c r="L9157" t="s">
        <v>35994</v>
      </c>
      <c r="M9157" t="s">
        <v>35995</v>
      </c>
      <c r="P9157" t="s">
        <v>1642</v>
      </c>
      <c r="Y9157" t="s">
        <v>35996</v>
      </c>
    </row>
    <row r="9158" spans="1:25" x14ac:dyDescent="0.25">
      <c r="A9158" t="str">
        <f>"104542595380"</f>
        <v>104542595380</v>
      </c>
      <c r="B9158" t="s">
        <v>430</v>
      </c>
      <c r="C9158" t="s">
        <v>35997</v>
      </c>
      <c r="D9158" t="s">
        <v>22654</v>
      </c>
      <c r="E9158">
        <v>424008</v>
      </c>
      <c r="F9158" t="s">
        <v>1</v>
      </c>
      <c r="G9158" t="s">
        <v>2</v>
      </c>
      <c r="H9158" t="s">
        <v>10720</v>
      </c>
      <c r="P9158" t="s">
        <v>9785</v>
      </c>
      <c r="V9158" t="s">
        <v>35998</v>
      </c>
      <c r="Y9158" t="s">
        <v>35999</v>
      </c>
    </row>
    <row r="9159" spans="1:25" x14ac:dyDescent="0.25">
      <c r="A9159" t="str">
        <f>"104551312655"</f>
        <v>104551312655</v>
      </c>
      <c r="B9159" t="s">
        <v>530</v>
      </c>
      <c r="C9159" t="s">
        <v>23950</v>
      </c>
      <c r="D9159" t="s">
        <v>23950</v>
      </c>
      <c r="E9159">
        <v>424031</v>
      </c>
      <c r="F9159" t="s">
        <v>1</v>
      </c>
      <c r="G9159" t="s">
        <v>2</v>
      </c>
      <c r="H9159" t="s">
        <v>1900</v>
      </c>
      <c r="Y9159" t="s">
        <v>36000</v>
      </c>
    </row>
    <row r="9160" spans="1:25" x14ac:dyDescent="0.25">
      <c r="A9160" t="str">
        <f>"104574308609"</f>
        <v>104574308609</v>
      </c>
      <c r="B9160" t="s">
        <v>1391</v>
      </c>
      <c r="C9160" t="s">
        <v>1392</v>
      </c>
      <c r="D9160" t="s">
        <v>21762</v>
      </c>
      <c r="E9160">
        <v>424032</v>
      </c>
      <c r="F9160" t="s">
        <v>1</v>
      </c>
      <c r="G9160" t="s">
        <v>2</v>
      </c>
      <c r="H9160" t="s">
        <v>7410</v>
      </c>
      <c r="J9160" t="s">
        <v>36001</v>
      </c>
      <c r="P9160" t="s">
        <v>330</v>
      </c>
      <c r="Y9160" t="s">
        <v>17267</v>
      </c>
    </row>
    <row r="9161" spans="1:25" x14ac:dyDescent="0.25">
      <c r="A9161" t="str">
        <f>"104612721875"</f>
        <v>104612721875</v>
      </c>
      <c r="B9161" t="s">
        <v>96</v>
      </c>
      <c r="C9161" t="s">
        <v>5155</v>
      </c>
      <c r="D9161" t="s">
        <v>32178</v>
      </c>
      <c r="E9161">
        <v>424000</v>
      </c>
      <c r="F9161" t="s">
        <v>1</v>
      </c>
      <c r="G9161" t="s">
        <v>2</v>
      </c>
      <c r="H9161" t="s">
        <v>1531</v>
      </c>
      <c r="Y9161" t="s">
        <v>1707</v>
      </c>
    </row>
    <row r="9162" spans="1:25" x14ac:dyDescent="0.25">
      <c r="A9162" t="str">
        <f>"104654383985"</f>
        <v>104654383985</v>
      </c>
      <c r="B9162" t="s">
        <v>1343</v>
      </c>
      <c r="C9162" t="s">
        <v>13544</v>
      </c>
      <c r="D9162" t="s">
        <v>36002</v>
      </c>
      <c r="E9162">
        <v>424038</v>
      </c>
      <c r="F9162" t="s">
        <v>1</v>
      </c>
      <c r="G9162" t="s">
        <v>2</v>
      </c>
      <c r="H9162" t="s">
        <v>5286</v>
      </c>
      <c r="J9162" t="s">
        <v>36003</v>
      </c>
      <c r="P9162" t="s">
        <v>941</v>
      </c>
      <c r="Q9162" t="s">
        <v>36004</v>
      </c>
      <c r="V9162" t="s">
        <v>36005</v>
      </c>
      <c r="Y9162" t="s">
        <v>36006</v>
      </c>
    </row>
    <row r="9163" spans="1:25" x14ac:dyDescent="0.25">
      <c r="A9163" t="str">
        <f>"104675854123"</f>
        <v>104675854123</v>
      </c>
      <c r="B9163" t="s">
        <v>574</v>
      </c>
      <c r="C9163" t="s">
        <v>646</v>
      </c>
      <c r="D9163" t="s">
        <v>2733</v>
      </c>
      <c r="E9163">
        <v>424019</v>
      </c>
      <c r="F9163" t="s">
        <v>1</v>
      </c>
      <c r="G9163" t="s">
        <v>2</v>
      </c>
      <c r="H9163" t="s">
        <v>10061</v>
      </c>
      <c r="P9163" t="s">
        <v>60</v>
      </c>
      <c r="Y9163" t="s">
        <v>36007</v>
      </c>
    </row>
    <row r="9164" spans="1:25" x14ac:dyDescent="0.25">
      <c r="A9164" t="str">
        <f>"104705820580"</f>
        <v>104705820580</v>
      </c>
      <c r="B9164" t="s">
        <v>447</v>
      </c>
      <c r="C9164" t="s">
        <v>448</v>
      </c>
      <c r="D9164" t="s">
        <v>36008</v>
      </c>
      <c r="F9164" t="s">
        <v>1</v>
      </c>
      <c r="G9164" t="s">
        <v>2</v>
      </c>
      <c r="H9164" t="s">
        <v>4915</v>
      </c>
      <c r="I9164" t="s">
        <v>36009</v>
      </c>
      <c r="P9164" t="s">
        <v>280</v>
      </c>
      <c r="Y9164" t="s">
        <v>36010</v>
      </c>
    </row>
    <row r="9165" spans="1:25" x14ac:dyDescent="0.25">
      <c r="A9165" t="str">
        <f>"104772781005"</f>
        <v>104772781005</v>
      </c>
      <c r="B9165" t="s">
        <v>1611</v>
      </c>
      <c r="C9165" t="s">
        <v>20927</v>
      </c>
      <c r="D9165" t="s">
        <v>31056</v>
      </c>
      <c r="E9165">
        <v>424000</v>
      </c>
      <c r="F9165" t="s">
        <v>1</v>
      </c>
      <c r="G9165" t="s">
        <v>2</v>
      </c>
      <c r="H9165" t="s">
        <v>11086</v>
      </c>
      <c r="I9165" t="s">
        <v>36011</v>
      </c>
      <c r="P9165" t="s">
        <v>36012</v>
      </c>
      <c r="Y9165" t="s">
        <v>36013</v>
      </c>
    </row>
    <row r="9166" spans="1:25" x14ac:dyDescent="0.25">
      <c r="A9166" t="str">
        <f>"104773821360"</f>
        <v>104773821360</v>
      </c>
      <c r="B9166" t="s">
        <v>290</v>
      </c>
      <c r="C9166" t="s">
        <v>290</v>
      </c>
      <c r="D9166" t="s">
        <v>35594</v>
      </c>
      <c r="E9166">
        <v>424039</v>
      </c>
      <c r="F9166" t="s">
        <v>1</v>
      </c>
      <c r="G9166" t="s">
        <v>2</v>
      </c>
      <c r="H9166" t="s">
        <v>35773</v>
      </c>
      <c r="I9166" t="s">
        <v>36014</v>
      </c>
      <c r="J9166" t="s">
        <v>35596</v>
      </c>
      <c r="L9166" t="s">
        <v>35597</v>
      </c>
      <c r="M9166" t="s">
        <v>35598</v>
      </c>
      <c r="P9166" t="s">
        <v>33509</v>
      </c>
      <c r="Y9166" t="s">
        <v>36015</v>
      </c>
    </row>
    <row r="9167" spans="1:25" x14ac:dyDescent="0.25">
      <c r="A9167" t="str">
        <f>"104801294011"</f>
        <v>104801294011</v>
      </c>
      <c r="B9167" t="s">
        <v>1343</v>
      </c>
      <c r="C9167" t="s">
        <v>13544</v>
      </c>
      <c r="D9167" t="s">
        <v>36016</v>
      </c>
      <c r="E9167">
        <v>424000</v>
      </c>
      <c r="F9167" t="s">
        <v>1</v>
      </c>
      <c r="G9167" t="s">
        <v>2</v>
      </c>
      <c r="H9167" t="s">
        <v>1531</v>
      </c>
      <c r="Y9167" t="s">
        <v>1707</v>
      </c>
    </row>
    <row r="9168" spans="1:25" x14ac:dyDescent="0.25">
      <c r="A9168" t="str">
        <f>"104802348183"</f>
        <v>104802348183</v>
      </c>
      <c r="B9168" t="s">
        <v>640</v>
      </c>
      <c r="C9168" t="s">
        <v>663</v>
      </c>
      <c r="D9168" t="s">
        <v>36017</v>
      </c>
      <c r="E9168">
        <v>424002</v>
      </c>
      <c r="F9168" t="s">
        <v>1</v>
      </c>
      <c r="G9168" t="s">
        <v>2</v>
      </c>
      <c r="H9168" t="s">
        <v>10546</v>
      </c>
      <c r="J9168" t="s">
        <v>36018</v>
      </c>
      <c r="P9168" t="s">
        <v>36019</v>
      </c>
      <c r="Q9168" t="s">
        <v>36020</v>
      </c>
      <c r="V9168" t="s">
        <v>36021</v>
      </c>
      <c r="Y9168" t="s">
        <v>36022</v>
      </c>
    </row>
    <row r="9169" spans="1:25" x14ac:dyDescent="0.25">
      <c r="A9169" t="str">
        <f>"104816231580"</f>
        <v>104816231580</v>
      </c>
      <c r="B9169" t="s">
        <v>117</v>
      </c>
      <c r="C9169" t="s">
        <v>873</v>
      </c>
      <c r="D9169" t="s">
        <v>873</v>
      </c>
      <c r="F9169" t="s">
        <v>1</v>
      </c>
      <c r="G9169" t="s">
        <v>2</v>
      </c>
      <c r="H9169" t="s">
        <v>7547</v>
      </c>
      <c r="Y9169" t="s">
        <v>36023</v>
      </c>
    </row>
    <row r="9170" spans="1:25" x14ac:dyDescent="0.25">
      <c r="A9170" t="str">
        <f>"104898842647"</f>
        <v>104898842647</v>
      </c>
      <c r="B9170" t="s">
        <v>117</v>
      </c>
      <c r="C9170" t="s">
        <v>873</v>
      </c>
      <c r="D9170" t="s">
        <v>873</v>
      </c>
      <c r="F9170" t="s">
        <v>1</v>
      </c>
      <c r="G9170" t="s">
        <v>2</v>
      </c>
      <c r="H9170" t="s">
        <v>29203</v>
      </c>
      <c r="Y9170" t="s">
        <v>36024</v>
      </c>
    </row>
    <row r="9171" spans="1:25" x14ac:dyDescent="0.25">
      <c r="A9171" t="str">
        <f>"104930658464"</f>
        <v>104930658464</v>
      </c>
      <c r="B9171" t="s">
        <v>1573</v>
      </c>
      <c r="C9171" t="s">
        <v>24325</v>
      </c>
      <c r="D9171" t="s">
        <v>36025</v>
      </c>
      <c r="E9171">
        <v>424007</v>
      </c>
      <c r="F9171" t="s">
        <v>1</v>
      </c>
      <c r="G9171" t="s">
        <v>2</v>
      </c>
      <c r="H9171" t="s">
        <v>5909</v>
      </c>
      <c r="J9171" t="s">
        <v>36026</v>
      </c>
      <c r="M9171" t="s">
        <v>36027</v>
      </c>
      <c r="P9171" t="s">
        <v>280</v>
      </c>
      <c r="Y9171" t="s">
        <v>36028</v>
      </c>
    </row>
    <row r="9172" spans="1:25" x14ac:dyDescent="0.25">
      <c r="A9172" t="str">
        <f>"104958464975"</f>
        <v>104958464975</v>
      </c>
      <c r="B9172" t="s">
        <v>176</v>
      </c>
      <c r="C9172" t="s">
        <v>27547</v>
      </c>
      <c r="D9172" t="s">
        <v>27545</v>
      </c>
      <c r="F9172" t="s">
        <v>1</v>
      </c>
      <c r="G9172" t="s">
        <v>2</v>
      </c>
      <c r="H9172" t="s">
        <v>36029</v>
      </c>
      <c r="Y9172" t="s">
        <v>36030</v>
      </c>
    </row>
    <row r="9173" spans="1:25" x14ac:dyDescent="0.25">
      <c r="A9173" t="str">
        <f>"104977303113"</f>
        <v>104977303113</v>
      </c>
      <c r="B9173" t="s">
        <v>1573</v>
      </c>
      <c r="C9173" t="s">
        <v>36031</v>
      </c>
      <c r="D9173" t="s">
        <v>27713</v>
      </c>
      <c r="E9173">
        <v>424037</v>
      </c>
      <c r="F9173" t="s">
        <v>1</v>
      </c>
      <c r="G9173" t="s">
        <v>2</v>
      </c>
      <c r="H9173" t="s">
        <v>21270</v>
      </c>
      <c r="Y9173" t="s">
        <v>36032</v>
      </c>
    </row>
    <row r="9174" spans="1:25" x14ac:dyDescent="0.25">
      <c r="A9174" t="str">
        <f>"105033605419"</f>
        <v>105033605419</v>
      </c>
      <c r="B9174" t="s">
        <v>80</v>
      </c>
      <c r="C9174" t="s">
        <v>3295</v>
      </c>
      <c r="D9174" t="s">
        <v>31430</v>
      </c>
      <c r="E9174">
        <v>424033</v>
      </c>
      <c r="F9174" t="s">
        <v>1</v>
      </c>
      <c r="G9174" t="s">
        <v>2</v>
      </c>
      <c r="H9174" t="s">
        <v>12529</v>
      </c>
      <c r="Y9174" t="s">
        <v>36033</v>
      </c>
    </row>
    <row r="9175" spans="1:25" x14ac:dyDescent="0.25">
      <c r="A9175" t="str">
        <f>"105044414108"</f>
        <v>105044414108</v>
      </c>
      <c r="B9175" t="s">
        <v>456</v>
      </c>
      <c r="C9175" t="s">
        <v>32888</v>
      </c>
      <c r="D9175" t="s">
        <v>36034</v>
      </c>
      <c r="E9175">
        <v>424006</v>
      </c>
      <c r="F9175" t="s">
        <v>1</v>
      </c>
      <c r="G9175" t="s">
        <v>2</v>
      </c>
      <c r="H9175" t="s">
        <v>478</v>
      </c>
      <c r="I9175" t="s">
        <v>36035</v>
      </c>
      <c r="L9175" t="s">
        <v>36036</v>
      </c>
      <c r="M9175" t="s">
        <v>36037</v>
      </c>
      <c r="P9175" t="s">
        <v>9</v>
      </c>
      <c r="Q9175" t="s">
        <v>36038</v>
      </c>
      <c r="T9175" t="s">
        <v>36039</v>
      </c>
      <c r="U9175" t="s">
        <v>36040</v>
      </c>
      <c r="Y9175" t="s">
        <v>926</v>
      </c>
    </row>
    <row r="9176" spans="1:25" x14ac:dyDescent="0.25">
      <c r="A9176" t="str">
        <f>"105054602614"</f>
        <v>105054602614</v>
      </c>
      <c r="B9176" t="s">
        <v>123</v>
      </c>
      <c r="C9176" t="s">
        <v>424</v>
      </c>
      <c r="D9176" t="s">
        <v>36041</v>
      </c>
      <c r="E9176">
        <v>424000</v>
      </c>
      <c r="F9176" t="s">
        <v>1</v>
      </c>
      <c r="G9176" t="s">
        <v>2</v>
      </c>
      <c r="H9176" t="s">
        <v>523</v>
      </c>
      <c r="I9176" t="s">
        <v>34481</v>
      </c>
      <c r="L9176" t="s">
        <v>27673</v>
      </c>
      <c r="M9176" t="s">
        <v>27674</v>
      </c>
      <c r="Y9176" t="s">
        <v>526</v>
      </c>
    </row>
    <row r="9177" spans="1:25" x14ac:dyDescent="0.25">
      <c r="A9177" t="str">
        <f>"105067686046"</f>
        <v>105067686046</v>
      </c>
      <c r="B9177" t="s">
        <v>18</v>
      </c>
      <c r="C9177" t="s">
        <v>36044</v>
      </c>
      <c r="D9177" t="s">
        <v>36042</v>
      </c>
      <c r="F9177" t="s">
        <v>1</v>
      </c>
      <c r="G9177" t="s">
        <v>2</v>
      </c>
      <c r="H9177" t="s">
        <v>138</v>
      </c>
      <c r="J9177" t="s">
        <v>27986</v>
      </c>
      <c r="L9177" t="s">
        <v>36043</v>
      </c>
      <c r="P9177" t="s">
        <v>144</v>
      </c>
      <c r="Q9177" t="s">
        <v>36045</v>
      </c>
      <c r="V9177" t="s">
        <v>36046</v>
      </c>
      <c r="Y9177" t="s">
        <v>146</v>
      </c>
    </row>
    <row r="9178" spans="1:25" x14ac:dyDescent="0.25">
      <c r="A9178" t="str">
        <f>"105117271016"</f>
        <v>105117271016</v>
      </c>
      <c r="B9178" t="s">
        <v>3008</v>
      </c>
      <c r="C9178" t="s">
        <v>28798</v>
      </c>
      <c r="D9178" t="s">
        <v>36047</v>
      </c>
      <c r="E9178">
        <v>424004</v>
      </c>
      <c r="F9178" t="s">
        <v>1</v>
      </c>
      <c r="G9178" t="s">
        <v>2</v>
      </c>
      <c r="H9178" t="s">
        <v>4844</v>
      </c>
      <c r="I9178" t="s">
        <v>36048</v>
      </c>
      <c r="J9178" t="s">
        <v>36049</v>
      </c>
      <c r="P9178" t="s">
        <v>27</v>
      </c>
      <c r="Y9178" t="s">
        <v>21056</v>
      </c>
    </row>
    <row r="9179" spans="1:25" x14ac:dyDescent="0.25">
      <c r="A9179" t="str">
        <f>"105127502506"</f>
        <v>105127502506</v>
      </c>
      <c r="B9179" t="s">
        <v>978</v>
      </c>
      <c r="C9179" t="s">
        <v>7568</v>
      </c>
      <c r="D9179" t="s">
        <v>36050</v>
      </c>
      <c r="E9179">
        <v>424038</v>
      </c>
      <c r="F9179" t="s">
        <v>1</v>
      </c>
      <c r="G9179" t="s">
        <v>2</v>
      </c>
      <c r="H9179" t="s">
        <v>10681</v>
      </c>
      <c r="J9179" t="s">
        <v>36051</v>
      </c>
      <c r="P9179" t="s">
        <v>36052</v>
      </c>
      <c r="Y9179" t="s">
        <v>10684</v>
      </c>
    </row>
    <row r="9180" spans="1:25" x14ac:dyDescent="0.25">
      <c r="A9180" t="str">
        <f>"105137626071"</f>
        <v>105137626071</v>
      </c>
      <c r="B9180" t="s">
        <v>703</v>
      </c>
      <c r="C9180" t="s">
        <v>36056</v>
      </c>
      <c r="D9180" t="s">
        <v>36053</v>
      </c>
      <c r="E9180">
        <v>424020</v>
      </c>
      <c r="F9180" t="s">
        <v>1</v>
      </c>
      <c r="G9180" t="s">
        <v>2</v>
      </c>
      <c r="H9180" t="s">
        <v>288</v>
      </c>
      <c r="J9180" t="s">
        <v>36054</v>
      </c>
      <c r="L9180" t="s">
        <v>36055</v>
      </c>
      <c r="P9180" t="s">
        <v>216</v>
      </c>
      <c r="Q9180" t="s">
        <v>36057</v>
      </c>
      <c r="Y9180" t="s">
        <v>17289</v>
      </c>
    </row>
    <row r="9181" spans="1:25" x14ac:dyDescent="0.25">
      <c r="A9181" t="str">
        <f>"105139050246"</f>
        <v>105139050246</v>
      </c>
      <c r="B9181" t="s">
        <v>930</v>
      </c>
      <c r="C9181" t="s">
        <v>927</v>
      </c>
      <c r="D9181" t="s">
        <v>927</v>
      </c>
      <c r="E9181">
        <v>424032</v>
      </c>
      <c r="F9181" t="s">
        <v>1</v>
      </c>
      <c r="G9181" t="s">
        <v>2</v>
      </c>
      <c r="H9181" t="s">
        <v>5212</v>
      </c>
      <c r="Y9181" t="s">
        <v>36058</v>
      </c>
    </row>
    <row r="9182" spans="1:25" x14ac:dyDescent="0.25">
      <c r="A9182" t="str">
        <f>"105215468439"</f>
        <v>105215468439</v>
      </c>
      <c r="B9182" t="s">
        <v>7312</v>
      </c>
      <c r="C9182" t="s">
        <v>21136</v>
      </c>
      <c r="D9182" t="s">
        <v>36059</v>
      </c>
      <c r="E9182">
        <v>424032</v>
      </c>
      <c r="F9182" t="s">
        <v>1</v>
      </c>
      <c r="G9182" t="s">
        <v>2</v>
      </c>
      <c r="H9182" t="s">
        <v>2250</v>
      </c>
      <c r="P9182" t="s">
        <v>748</v>
      </c>
      <c r="Y9182" t="s">
        <v>36060</v>
      </c>
    </row>
    <row r="9183" spans="1:25" x14ac:dyDescent="0.25">
      <c r="A9183" t="str">
        <f>"105238876456"</f>
        <v>105238876456</v>
      </c>
      <c r="B9183" t="s">
        <v>290</v>
      </c>
      <c r="C9183" t="s">
        <v>290</v>
      </c>
      <c r="D9183" t="s">
        <v>36061</v>
      </c>
      <c r="E9183">
        <v>424007</v>
      </c>
      <c r="F9183" t="s">
        <v>1</v>
      </c>
      <c r="G9183" t="s">
        <v>2</v>
      </c>
      <c r="H9183" t="s">
        <v>5628</v>
      </c>
      <c r="Y9183" t="s">
        <v>5629</v>
      </c>
    </row>
    <row r="9184" spans="1:25" x14ac:dyDescent="0.25">
      <c r="A9184" t="str">
        <f>"105268450729"</f>
        <v>105268450729</v>
      </c>
      <c r="B9184" t="s">
        <v>25</v>
      </c>
      <c r="C9184" t="s">
        <v>59</v>
      </c>
      <c r="D9184" t="s">
        <v>36062</v>
      </c>
      <c r="E9184">
        <v>424000</v>
      </c>
      <c r="F9184" t="s">
        <v>1</v>
      </c>
      <c r="G9184" t="s">
        <v>2</v>
      </c>
      <c r="H9184" t="s">
        <v>837</v>
      </c>
      <c r="I9184" t="s">
        <v>36063</v>
      </c>
      <c r="J9184" t="s">
        <v>36064</v>
      </c>
      <c r="P9184" t="s">
        <v>216</v>
      </c>
      <c r="Y9184" t="s">
        <v>36065</v>
      </c>
    </row>
    <row r="9185" spans="1:25" x14ac:dyDescent="0.25">
      <c r="A9185" t="str">
        <f>"105301523972"</f>
        <v>105301523972</v>
      </c>
      <c r="B9185" t="s">
        <v>96</v>
      </c>
      <c r="C9185" t="s">
        <v>36068</v>
      </c>
      <c r="D9185" t="s">
        <v>36066</v>
      </c>
      <c r="E9185">
        <v>424005</v>
      </c>
      <c r="F9185" t="s">
        <v>1</v>
      </c>
      <c r="G9185" t="s">
        <v>2</v>
      </c>
      <c r="H9185" t="s">
        <v>1310</v>
      </c>
      <c r="J9185" t="s">
        <v>36067</v>
      </c>
      <c r="P9185" t="s">
        <v>27</v>
      </c>
      <c r="Y9185" t="s">
        <v>3926</v>
      </c>
    </row>
    <row r="9186" spans="1:25" x14ac:dyDescent="0.25">
      <c r="A9186" t="str">
        <f>"105308738399"</f>
        <v>105308738399</v>
      </c>
      <c r="B9186" t="s">
        <v>123</v>
      </c>
      <c r="C9186" t="s">
        <v>124</v>
      </c>
      <c r="D9186" t="s">
        <v>36069</v>
      </c>
      <c r="E9186">
        <v>424038</v>
      </c>
      <c r="F9186" t="s">
        <v>1</v>
      </c>
      <c r="G9186" t="s">
        <v>2</v>
      </c>
      <c r="H9186" t="s">
        <v>1862</v>
      </c>
      <c r="J9186" t="s">
        <v>36070</v>
      </c>
      <c r="L9186" t="s">
        <v>36071</v>
      </c>
      <c r="P9186" t="s">
        <v>216</v>
      </c>
      <c r="Q9186" t="s">
        <v>36072</v>
      </c>
      <c r="Y9186" t="s">
        <v>36073</v>
      </c>
    </row>
    <row r="9187" spans="1:25" x14ac:dyDescent="0.25">
      <c r="A9187" t="str">
        <f>"105357983903"</f>
        <v>105357983903</v>
      </c>
      <c r="B9187" t="s">
        <v>32</v>
      </c>
      <c r="C9187" t="s">
        <v>36075</v>
      </c>
      <c r="D9187" t="s">
        <v>36074</v>
      </c>
      <c r="E9187">
        <v>424006</v>
      </c>
      <c r="F9187" t="s">
        <v>1</v>
      </c>
      <c r="G9187" t="s">
        <v>2</v>
      </c>
      <c r="H9187" t="s">
        <v>393</v>
      </c>
      <c r="P9187" t="s">
        <v>8655</v>
      </c>
      <c r="Y9187" t="s">
        <v>23160</v>
      </c>
    </row>
    <row r="9188" spans="1:25" x14ac:dyDescent="0.25">
      <c r="A9188" t="str">
        <f>"105378545285"</f>
        <v>105378545285</v>
      </c>
      <c r="B9188" t="s">
        <v>25</v>
      </c>
      <c r="C9188" t="s">
        <v>20320</v>
      </c>
      <c r="D9188" t="s">
        <v>36076</v>
      </c>
      <c r="F9188" t="s">
        <v>1</v>
      </c>
      <c r="G9188" t="s">
        <v>2</v>
      </c>
      <c r="H9188" t="s">
        <v>36077</v>
      </c>
      <c r="Y9188" t="s">
        <v>36078</v>
      </c>
    </row>
    <row r="9189" spans="1:25" x14ac:dyDescent="0.25">
      <c r="A9189" t="str">
        <f>"105391293889"</f>
        <v>105391293889</v>
      </c>
      <c r="B9189" t="s">
        <v>574</v>
      </c>
      <c r="C9189" t="s">
        <v>21020</v>
      </c>
      <c r="D9189" t="s">
        <v>3388</v>
      </c>
      <c r="E9189">
        <v>424004</v>
      </c>
      <c r="F9189" t="s">
        <v>1</v>
      </c>
      <c r="G9189" t="s">
        <v>2</v>
      </c>
      <c r="H9189" t="s">
        <v>906</v>
      </c>
      <c r="L9189" t="s">
        <v>14326</v>
      </c>
      <c r="M9189" t="s">
        <v>14327</v>
      </c>
      <c r="Y9189" t="s">
        <v>33164</v>
      </c>
    </row>
    <row r="9190" spans="1:25" x14ac:dyDescent="0.25">
      <c r="A9190" t="str">
        <f>"105447094371"</f>
        <v>105447094371</v>
      </c>
      <c r="B9190" t="s">
        <v>3094</v>
      </c>
      <c r="C9190" t="s">
        <v>10543</v>
      </c>
      <c r="D9190" t="s">
        <v>15021</v>
      </c>
      <c r="E9190">
        <v>424033</v>
      </c>
      <c r="F9190" t="s">
        <v>1</v>
      </c>
      <c r="G9190" t="s">
        <v>2</v>
      </c>
      <c r="H9190" t="s">
        <v>5433</v>
      </c>
      <c r="I9190" t="s">
        <v>36079</v>
      </c>
      <c r="L9190" t="s">
        <v>15023</v>
      </c>
      <c r="M9190" t="s">
        <v>15024</v>
      </c>
      <c r="P9190" t="s">
        <v>36080</v>
      </c>
      <c r="Y9190" t="s">
        <v>36081</v>
      </c>
    </row>
    <row r="9191" spans="1:25" x14ac:dyDescent="0.25">
      <c r="A9191" t="str">
        <f>"105463722550"</f>
        <v>105463722550</v>
      </c>
      <c r="B9191" t="s">
        <v>530</v>
      </c>
      <c r="C9191" t="s">
        <v>23950</v>
      </c>
      <c r="D9191" t="s">
        <v>23950</v>
      </c>
      <c r="E9191">
        <v>424033</v>
      </c>
      <c r="F9191" t="s">
        <v>1</v>
      </c>
      <c r="G9191" t="s">
        <v>2</v>
      </c>
      <c r="H9191" t="s">
        <v>11177</v>
      </c>
      <c r="Y9191" t="s">
        <v>36082</v>
      </c>
    </row>
    <row r="9192" spans="1:25" x14ac:dyDescent="0.25">
      <c r="A9192" t="str">
        <f>"105507196777"</f>
        <v>105507196777</v>
      </c>
      <c r="B9192" t="s">
        <v>319</v>
      </c>
      <c r="C9192" t="s">
        <v>320</v>
      </c>
      <c r="D9192" t="s">
        <v>314</v>
      </c>
      <c r="F9192" t="s">
        <v>1</v>
      </c>
      <c r="G9192" t="s">
        <v>2</v>
      </c>
      <c r="H9192" t="s">
        <v>31172</v>
      </c>
      <c r="P9192" t="s">
        <v>36083</v>
      </c>
      <c r="Y9192" t="s">
        <v>36084</v>
      </c>
    </row>
    <row r="9193" spans="1:25" x14ac:dyDescent="0.25">
      <c r="A9193" t="str">
        <f>"105508138076"</f>
        <v>105508138076</v>
      </c>
      <c r="B9193" t="s">
        <v>88</v>
      </c>
      <c r="C9193" t="s">
        <v>36087</v>
      </c>
      <c r="D9193" t="s">
        <v>36085</v>
      </c>
      <c r="E9193">
        <v>424031</v>
      </c>
      <c r="F9193" t="s">
        <v>1</v>
      </c>
      <c r="G9193" t="s">
        <v>2</v>
      </c>
      <c r="H9193" t="s">
        <v>4141</v>
      </c>
      <c r="I9193" t="s">
        <v>36086</v>
      </c>
      <c r="Q9193" t="s">
        <v>36088</v>
      </c>
      <c r="Y9193" t="s">
        <v>4144</v>
      </c>
    </row>
    <row r="9194" spans="1:25" x14ac:dyDescent="0.25">
      <c r="A9194" t="str">
        <f>"105569241436"</f>
        <v>105569241436</v>
      </c>
      <c r="B9194" t="s">
        <v>18</v>
      </c>
      <c r="C9194" t="s">
        <v>36093</v>
      </c>
      <c r="D9194" t="s">
        <v>36089</v>
      </c>
      <c r="E9194">
        <v>424006</v>
      </c>
      <c r="F9194" t="s">
        <v>1</v>
      </c>
      <c r="G9194" t="s">
        <v>2</v>
      </c>
      <c r="H9194" t="s">
        <v>2012</v>
      </c>
      <c r="I9194" t="s">
        <v>36090</v>
      </c>
      <c r="J9194" t="s">
        <v>32837</v>
      </c>
      <c r="L9194" t="s">
        <v>36091</v>
      </c>
      <c r="M9194" t="s">
        <v>36092</v>
      </c>
      <c r="P9194" t="s">
        <v>3456</v>
      </c>
      <c r="Y9194" t="s">
        <v>2016</v>
      </c>
    </row>
    <row r="9195" spans="1:25" x14ac:dyDescent="0.25">
      <c r="A9195" t="str">
        <f>"105587642587"</f>
        <v>105587642587</v>
      </c>
      <c r="B9195" t="s">
        <v>1475</v>
      </c>
      <c r="C9195" t="s">
        <v>21539</v>
      </c>
      <c r="D9195" t="s">
        <v>1472</v>
      </c>
      <c r="E9195">
        <v>424000</v>
      </c>
      <c r="F9195" t="s">
        <v>1</v>
      </c>
      <c r="G9195" t="s">
        <v>2</v>
      </c>
      <c r="H9195" t="s">
        <v>3749</v>
      </c>
      <c r="P9195" t="s">
        <v>941</v>
      </c>
      <c r="Y9195" t="s">
        <v>36094</v>
      </c>
    </row>
    <row r="9196" spans="1:25" x14ac:dyDescent="0.25">
      <c r="A9196" t="str">
        <f>"105591251499"</f>
        <v>105591251499</v>
      </c>
      <c r="B9196" t="s">
        <v>96</v>
      </c>
      <c r="C9196" t="s">
        <v>7071</v>
      </c>
      <c r="D9196" t="s">
        <v>27797</v>
      </c>
      <c r="E9196">
        <v>424031</v>
      </c>
      <c r="F9196" t="s">
        <v>1</v>
      </c>
      <c r="G9196" t="s">
        <v>2</v>
      </c>
      <c r="H9196" t="s">
        <v>4606</v>
      </c>
      <c r="Y9196" t="s">
        <v>36095</v>
      </c>
    </row>
    <row r="9197" spans="1:25" x14ac:dyDescent="0.25">
      <c r="A9197" t="str">
        <f>"105593298840"</f>
        <v>105593298840</v>
      </c>
      <c r="B9197" t="s">
        <v>738</v>
      </c>
      <c r="C9197" t="s">
        <v>739</v>
      </c>
      <c r="D9197" t="s">
        <v>36096</v>
      </c>
      <c r="F9197" t="s">
        <v>1</v>
      </c>
      <c r="G9197" t="s">
        <v>2</v>
      </c>
      <c r="H9197" t="s">
        <v>3984</v>
      </c>
      <c r="Y9197" t="s">
        <v>36097</v>
      </c>
    </row>
    <row r="9198" spans="1:25" x14ac:dyDescent="0.25">
      <c r="A9198" t="str">
        <f>"105602123087"</f>
        <v>105602123087</v>
      </c>
      <c r="B9198" t="s">
        <v>430</v>
      </c>
      <c r="C9198" t="s">
        <v>940</v>
      </c>
      <c r="D9198" t="s">
        <v>36098</v>
      </c>
      <c r="E9198">
        <v>424006</v>
      </c>
      <c r="F9198" t="s">
        <v>1</v>
      </c>
      <c r="G9198" t="s">
        <v>2</v>
      </c>
      <c r="H9198" t="s">
        <v>1436</v>
      </c>
      <c r="J9198" t="s">
        <v>36099</v>
      </c>
      <c r="L9198" t="s">
        <v>36100</v>
      </c>
      <c r="Q9198" t="s">
        <v>36101</v>
      </c>
      <c r="Y9198" t="s">
        <v>1443</v>
      </c>
    </row>
    <row r="9199" spans="1:25" x14ac:dyDescent="0.25">
      <c r="A9199" t="str">
        <f>"105611610693"</f>
        <v>105611610693</v>
      </c>
      <c r="B9199" t="s">
        <v>96</v>
      </c>
      <c r="C9199" t="s">
        <v>27219</v>
      </c>
      <c r="D9199" t="s">
        <v>36102</v>
      </c>
      <c r="E9199">
        <v>424000</v>
      </c>
      <c r="F9199" t="s">
        <v>1</v>
      </c>
      <c r="G9199" t="s">
        <v>2</v>
      </c>
      <c r="H9199" t="s">
        <v>4726</v>
      </c>
      <c r="J9199" t="s">
        <v>36103</v>
      </c>
      <c r="P9199" t="s">
        <v>21405</v>
      </c>
      <c r="Y9199" t="s">
        <v>4728</v>
      </c>
    </row>
    <row r="9200" spans="1:25" x14ac:dyDescent="0.25">
      <c r="A9200" t="str">
        <f>"105665178546"</f>
        <v>105665178546</v>
      </c>
      <c r="B9200" t="s">
        <v>703</v>
      </c>
      <c r="C9200" t="s">
        <v>36108</v>
      </c>
      <c r="D9200" t="s">
        <v>36104</v>
      </c>
      <c r="F9200" t="s">
        <v>1</v>
      </c>
      <c r="G9200" t="s">
        <v>2</v>
      </c>
      <c r="H9200" t="s">
        <v>1508</v>
      </c>
      <c r="I9200" t="s">
        <v>36105</v>
      </c>
      <c r="L9200" t="s">
        <v>36106</v>
      </c>
      <c r="M9200" t="s">
        <v>36107</v>
      </c>
      <c r="P9200" t="s">
        <v>27</v>
      </c>
      <c r="V9200" t="s">
        <v>36109</v>
      </c>
      <c r="Y9200" t="s">
        <v>10196</v>
      </c>
    </row>
    <row r="9201" spans="1:25" x14ac:dyDescent="0.25">
      <c r="A9201" t="str">
        <f>"105679610179"</f>
        <v>105679610179</v>
      </c>
      <c r="B9201" t="s">
        <v>1352</v>
      </c>
      <c r="C9201" t="s">
        <v>1353</v>
      </c>
      <c r="D9201" t="s">
        <v>36110</v>
      </c>
      <c r="E9201">
        <v>424000</v>
      </c>
      <c r="F9201" t="s">
        <v>1</v>
      </c>
      <c r="G9201" t="s">
        <v>2</v>
      </c>
      <c r="H9201" t="s">
        <v>1531</v>
      </c>
      <c r="J9201" t="s">
        <v>36111</v>
      </c>
      <c r="P9201" t="s">
        <v>1404</v>
      </c>
      <c r="Y9201" t="s">
        <v>1707</v>
      </c>
    </row>
    <row r="9202" spans="1:25" x14ac:dyDescent="0.25">
      <c r="A9202" t="str">
        <f>"105696473487"</f>
        <v>105696473487</v>
      </c>
      <c r="B9202" t="s">
        <v>530</v>
      </c>
      <c r="C9202" t="s">
        <v>23950</v>
      </c>
      <c r="D9202" t="s">
        <v>23950</v>
      </c>
      <c r="E9202">
        <v>424038</v>
      </c>
      <c r="F9202" t="s">
        <v>1</v>
      </c>
      <c r="G9202" t="s">
        <v>2</v>
      </c>
      <c r="H9202" t="s">
        <v>5183</v>
      </c>
      <c r="Y9202" t="s">
        <v>36112</v>
      </c>
    </row>
    <row r="9203" spans="1:25" x14ac:dyDescent="0.25">
      <c r="A9203" t="str">
        <f>"105701117744"</f>
        <v>105701117744</v>
      </c>
      <c r="B9203" t="s">
        <v>25</v>
      </c>
      <c r="C9203" t="s">
        <v>59</v>
      </c>
      <c r="D9203" t="s">
        <v>36113</v>
      </c>
      <c r="E9203">
        <v>424033</v>
      </c>
      <c r="F9203" t="s">
        <v>1</v>
      </c>
      <c r="G9203" t="s">
        <v>2</v>
      </c>
      <c r="H9203" t="s">
        <v>14856</v>
      </c>
      <c r="Y9203" t="s">
        <v>36114</v>
      </c>
    </row>
    <row r="9204" spans="1:25" x14ac:dyDescent="0.25">
      <c r="A9204" t="str">
        <f>"105728014470"</f>
        <v>105728014470</v>
      </c>
      <c r="B9204" t="s">
        <v>224</v>
      </c>
      <c r="C9204" t="s">
        <v>4139</v>
      </c>
      <c r="D9204" t="s">
        <v>36115</v>
      </c>
      <c r="E9204">
        <v>424008</v>
      </c>
      <c r="F9204" t="s">
        <v>1</v>
      </c>
      <c r="G9204" t="s">
        <v>2</v>
      </c>
      <c r="H9204" t="s">
        <v>10118</v>
      </c>
      <c r="I9204" t="s">
        <v>36116</v>
      </c>
      <c r="J9204" t="s">
        <v>36117</v>
      </c>
      <c r="M9204" t="s">
        <v>36118</v>
      </c>
      <c r="P9204" t="s">
        <v>10124</v>
      </c>
      <c r="Q9204" t="s">
        <v>36119</v>
      </c>
      <c r="Y9204" t="s">
        <v>36120</v>
      </c>
    </row>
    <row r="9205" spans="1:25" x14ac:dyDescent="0.25">
      <c r="A9205" t="str">
        <f>"105749651548"</f>
        <v>105749651548</v>
      </c>
      <c r="B9205" t="s">
        <v>25</v>
      </c>
      <c r="C9205" t="s">
        <v>59</v>
      </c>
      <c r="D9205" t="s">
        <v>36121</v>
      </c>
      <c r="E9205">
        <v>424039</v>
      </c>
      <c r="F9205" t="s">
        <v>1</v>
      </c>
      <c r="G9205" t="s">
        <v>2</v>
      </c>
      <c r="H9205" t="s">
        <v>8694</v>
      </c>
      <c r="I9205" t="s">
        <v>30977</v>
      </c>
      <c r="J9205" t="s">
        <v>36122</v>
      </c>
      <c r="P9205" t="s">
        <v>458</v>
      </c>
      <c r="Y9205" t="s">
        <v>12226</v>
      </c>
    </row>
    <row r="9206" spans="1:25" x14ac:dyDescent="0.25">
      <c r="A9206" t="str">
        <f>"105764092657"</f>
        <v>105764092657</v>
      </c>
      <c r="B9206" t="s">
        <v>408</v>
      </c>
      <c r="C9206" t="s">
        <v>4591</v>
      </c>
      <c r="D9206" t="s">
        <v>36123</v>
      </c>
      <c r="E9206">
        <v>424004</v>
      </c>
      <c r="F9206" t="s">
        <v>1</v>
      </c>
      <c r="G9206" t="s">
        <v>2</v>
      </c>
      <c r="H9206" t="s">
        <v>186</v>
      </c>
      <c r="I9206" t="s">
        <v>36124</v>
      </c>
      <c r="J9206" t="s">
        <v>36125</v>
      </c>
      <c r="L9206" t="s">
        <v>36126</v>
      </c>
      <c r="M9206" t="s">
        <v>36127</v>
      </c>
      <c r="P9206" t="s">
        <v>7980</v>
      </c>
      <c r="Y9206" t="s">
        <v>36128</v>
      </c>
    </row>
    <row r="9207" spans="1:25" x14ac:dyDescent="0.25">
      <c r="A9207" t="str">
        <f>"105784778292"</f>
        <v>105784778292</v>
      </c>
      <c r="B9207" t="s">
        <v>10986</v>
      </c>
      <c r="C9207" t="s">
        <v>27130</v>
      </c>
      <c r="D9207" t="s">
        <v>36129</v>
      </c>
      <c r="E9207">
        <v>424038</v>
      </c>
      <c r="F9207" t="s">
        <v>1</v>
      </c>
      <c r="G9207" t="s">
        <v>2</v>
      </c>
      <c r="H9207" t="s">
        <v>6550</v>
      </c>
      <c r="I9207" t="s">
        <v>36130</v>
      </c>
      <c r="L9207" t="s">
        <v>36131</v>
      </c>
      <c r="M9207" t="s">
        <v>36132</v>
      </c>
      <c r="P9207" t="s">
        <v>27</v>
      </c>
      <c r="Y9207" t="s">
        <v>11401</v>
      </c>
    </row>
    <row r="9208" spans="1:25" x14ac:dyDescent="0.25">
      <c r="A9208" t="str">
        <f>"105806420365"</f>
        <v>105806420365</v>
      </c>
      <c r="B9208" t="s">
        <v>841</v>
      </c>
      <c r="C9208" t="s">
        <v>36133</v>
      </c>
      <c r="D9208" t="s">
        <v>24312</v>
      </c>
      <c r="E9208">
        <v>424032</v>
      </c>
      <c r="F9208" t="s">
        <v>1</v>
      </c>
      <c r="G9208" t="s">
        <v>2</v>
      </c>
      <c r="H9208" t="s">
        <v>2250</v>
      </c>
      <c r="P9208" t="s">
        <v>4487</v>
      </c>
      <c r="Y9208" t="s">
        <v>36134</v>
      </c>
    </row>
    <row r="9209" spans="1:25" x14ac:dyDescent="0.25">
      <c r="A9209" t="str">
        <f>"105821278952"</f>
        <v>105821278952</v>
      </c>
      <c r="B9209" t="s">
        <v>1152</v>
      </c>
      <c r="C9209" t="s">
        <v>1159</v>
      </c>
      <c r="D9209" t="s">
        <v>36135</v>
      </c>
      <c r="E9209">
        <v>424020</v>
      </c>
      <c r="F9209" t="s">
        <v>1</v>
      </c>
      <c r="G9209" t="s">
        <v>2</v>
      </c>
      <c r="H9209" t="s">
        <v>2069</v>
      </c>
      <c r="J9209" t="s">
        <v>36136</v>
      </c>
      <c r="M9209" t="s">
        <v>36137</v>
      </c>
      <c r="Y9209" t="s">
        <v>36138</v>
      </c>
    </row>
    <row r="9210" spans="1:25" x14ac:dyDescent="0.25">
      <c r="A9210" t="str">
        <f>"105821435602"</f>
        <v>105821435602</v>
      </c>
      <c r="B9210" t="s">
        <v>18</v>
      </c>
      <c r="C9210" t="s">
        <v>4522</v>
      </c>
      <c r="D9210" t="s">
        <v>4522</v>
      </c>
      <c r="E9210">
        <v>424000</v>
      </c>
      <c r="F9210" t="s">
        <v>1</v>
      </c>
      <c r="G9210" t="s">
        <v>2</v>
      </c>
      <c r="H9210" t="s">
        <v>2671</v>
      </c>
      <c r="P9210" t="s">
        <v>2050</v>
      </c>
      <c r="Y9210" t="s">
        <v>36139</v>
      </c>
    </row>
    <row r="9211" spans="1:25" x14ac:dyDescent="0.25">
      <c r="A9211" t="str">
        <f>"105827917636"</f>
        <v>105827917636</v>
      </c>
      <c r="B9211" t="s">
        <v>738</v>
      </c>
      <c r="C9211" t="s">
        <v>739</v>
      </c>
      <c r="D9211" t="s">
        <v>2578</v>
      </c>
      <c r="E9211">
        <v>424040</v>
      </c>
      <c r="F9211" t="s">
        <v>1</v>
      </c>
      <c r="G9211" t="s">
        <v>2</v>
      </c>
      <c r="H9211" t="s">
        <v>21033</v>
      </c>
      <c r="I9211" t="s">
        <v>36140</v>
      </c>
      <c r="P9211" t="s">
        <v>3379</v>
      </c>
      <c r="Y9211" t="s">
        <v>36141</v>
      </c>
    </row>
    <row r="9212" spans="1:25" x14ac:dyDescent="0.25">
      <c r="A9212" t="str">
        <f>"105829218685"</f>
        <v>105829218685</v>
      </c>
      <c r="B9212" t="s">
        <v>1611</v>
      </c>
      <c r="C9212" t="s">
        <v>3218</v>
      </c>
      <c r="D9212" t="s">
        <v>36142</v>
      </c>
      <c r="E9212">
        <v>424005</v>
      </c>
      <c r="F9212" t="s">
        <v>1</v>
      </c>
      <c r="G9212" t="s">
        <v>2</v>
      </c>
      <c r="H9212" t="s">
        <v>30912</v>
      </c>
      <c r="Y9212" t="s">
        <v>36143</v>
      </c>
    </row>
    <row r="9213" spans="1:25" x14ac:dyDescent="0.25">
      <c r="A9213" t="str">
        <f>"105852974450"</f>
        <v>105852974450</v>
      </c>
      <c r="B9213" t="s">
        <v>930</v>
      </c>
      <c r="C9213" t="s">
        <v>927</v>
      </c>
      <c r="D9213" t="s">
        <v>927</v>
      </c>
      <c r="F9213" t="s">
        <v>1</v>
      </c>
      <c r="G9213" t="s">
        <v>2</v>
      </c>
      <c r="H9213" t="s">
        <v>19770</v>
      </c>
      <c r="Y9213" t="s">
        <v>36144</v>
      </c>
    </row>
    <row r="9214" spans="1:25" x14ac:dyDescent="0.25">
      <c r="A9214" t="str">
        <f>"105885933029"</f>
        <v>105885933029</v>
      </c>
      <c r="B9214" t="s">
        <v>25</v>
      </c>
      <c r="C9214" t="s">
        <v>13425</v>
      </c>
      <c r="D9214" t="s">
        <v>36145</v>
      </c>
      <c r="F9214" t="s">
        <v>1</v>
      </c>
      <c r="G9214" t="s">
        <v>2</v>
      </c>
      <c r="H9214" t="s">
        <v>2018</v>
      </c>
      <c r="Y9214" t="s">
        <v>36146</v>
      </c>
    </row>
    <row r="9215" spans="1:25" x14ac:dyDescent="0.25">
      <c r="A9215" t="str">
        <f>"105903935630"</f>
        <v>105903935630</v>
      </c>
      <c r="B9215" t="s">
        <v>430</v>
      </c>
      <c r="C9215" t="s">
        <v>16178</v>
      </c>
      <c r="D9215" t="s">
        <v>36147</v>
      </c>
      <c r="E9215">
        <v>424002</v>
      </c>
      <c r="F9215" t="s">
        <v>1</v>
      </c>
      <c r="G9215" t="s">
        <v>2</v>
      </c>
      <c r="H9215" t="s">
        <v>2299</v>
      </c>
      <c r="I9215" t="s">
        <v>36148</v>
      </c>
      <c r="J9215" t="s">
        <v>36149</v>
      </c>
      <c r="P9215" t="s">
        <v>216</v>
      </c>
      <c r="Q9215" t="s">
        <v>36150</v>
      </c>
      <c r="V9215" t="s">
        <v>36151</v>
      </c>
      <c r="Y9215" t="s">
        <v>36152</v>
      </c>
    </row>
    <row r="9216" spans="1:25" x14ac:dyDescent="0.25">
      <c r="A9216" t="str">
        <f>"105904740233"</f>
        <v>105904740233</v>
      </c>
      <c r="B9216" t="s">
        <v>67</v>
      </c>
      <c r="C9216" t="s">
        <v>269</v>
      </c>
      <c r="D9216" t="s">
        <v>2</v>
      </c>
      <c r="E9216">
        <v>424006</v>
      </c>
      <c r="F9216" t="s">
        <v>1</v>
      </c>
      <c r="G9216" t="s">
        <v>2</v>
      </c>
      <c r="H9216" t="s">
        <v>10818</v>
      </c>
      <c r="Y9216" t="s">
        <v>36153</v>
      </c>
    </row>
    <row r="9217" spans="1:25" x14ac:dyDescent="0.25">
      <c r="A9217" t="str">
        <f>"105933612660"</f>
        <v>105933612660</v>
      </c>
      <c r="B9217" t="s">
        <v>8011</v>
      </c>
      <c r="C9217" t="s">
        <v>36154</v>
      </c>
      <c r="D9217" t="s">
        <v>12536</v>
      </c>
      <c r="E9217">
        <v>424003</v>
      </c>
      <c r="F9217" t="s">
        <v>1</v>
      </c>
      <c r="G9217" t="s">
        <v>2</v>
      </c>
      <c r="H9217" t="s">
        <v>13438</v>
      </c>
      <c r="Y9217" t="s">
        <v>36155</v>
      </c>
    </row>
    <row r="9218" spans="1:25" x14ac:dyDescent="0.25">
      <c r="A9218" t="str">
        <f>"105941523606"</f>
        <v>105941523606</v>
      </c>
      <c r="B9218" t="s">
        <v>530</v>
      </c>
      <c r="C9218" t="s">
        <v>23950</v>
      </c>
      <c r="D9218" t="s">
        <v>23950</v>
      </c>
      <c r="E9218">
        <v>424028</v>
      </c>
      <c r="F9218" t="s">
        <v>1</v>
      </c>
      <c r="G9218" t="s">
        <v>2</v>
      </c>
      <c r="H9218" t="s">
        <v>36156</v>
      </c>
      <c r="Y9218" t="s">
        <v>36157</v>
      </c>
    </row>
    <row r="9219" spans="1:25" x14ac:dyDescent="0.25">
      <c r="A9219" t="str">
        <f>"105951685798"</f>
        <v>105951685798</v>
      </c>
      <c r="B9219" t="s">
        <v>930</v>
      </c>
      <c r="C9219" t="s">
        <v>1096</v>
      </c>
      <c r="D9219" t="s">
        <v>36158</v>
      </c>
      <c r="E9219">
        <v>424028</v>
      </c>
      <c r="F9219" t="s">
        <v>1</v>
      </c>
      <c r="G9219" t="s">
        <v>2</v>
      </c>
      <c r="H9219" t="s">
        <v>13373</v>
      </c>
      <c r="L9219" t="s">
        <v>3752</v>
      </c>
      <c r="P9219" t="s">
        <v>27</v>
      </c>
      <c r="Y9219" t="s">
        <v>13379</v>
      </c>
    </row>
    <row r="9220" spans="1:25" x14ac:dyDescent="0.25">
      <c r="A9220" t="str">
        <f>"106056217498"</f>
        <v>106056217498</v>
      </c>
      <c r="B9220" t="s">
        <v>96</v>
      </c>
      <c r="C9220" t="s">
        <v>36159</v>
      </c>
      <c r="D9220" t="s">
        <v>29523</v>
      </c>
      <c r="E9220">
        <v>424006</v>
      </c>
      <c r="F9220" t="s">
        <v>1</v>
      </c>
      <c r="G9220" t="s">
        <v>2</v>
      </c>
      <c r="H9220" t="s">
        <v>3330</v>
      </c>
      <c r="Y9220" t="s">
        <v>36160</v>
      </c>
    </row>
    <row r="9221" spans="1:25" x14ac:dyDescent="0.25">
      <c r="A9221" t="str">
        <f>"106092670095"</f>
        <v>106092670095</v>
      </c>
      <c r="B9221" t="s">
        <v>538</v>
      </c>
      <c r="C9221" t="s">
        <v>539</v>
      </c>
      <c r="D9221" t="s">
        <v>4479</v>
      </c>
      <c r="E9221">
        <v>424028</v>
      </c>
      <c r="F9221" t="s">
        <v>1</v>
      </c>
      <c r="G9221" t="s">
        <v>2</v>
      </c>
      <c r="H9221" t="s">
        <v>4480</v>
      </c>
      <c r="I9221" t="s">
        <v>36161</v>
      </c>
      <c r="P9221" t="s">
        <v>20</v>
      </c>
      <c r="Y9221" t="s">
        <v>4485</v>
      </c>
    </row>
    <row r="9222" spans="1:25" x14ac:dyDescent="0.25">
      <c r="A9222" t="str">
        <f>"106093809218"</f>
        <v>106093809218</v>
      </c>
      <c r="B9222" t="s">
        <v>328</v>
      </c>
      <c r="C9222" t="s">
        <v>1920</v>
      </c>
      <c r="D9222" t="s">
        <v>36162</v>
      </c>
      <c r="E9222">
        <v>424030</v>
      </c>
      <c r="F9222" t="s">
        <v>1</v>
      </c>
      <c r="G9222" t="s">
        <v>2</v>
      </c>
      <c r="H9222" t="s">
        <v>36163</v>
      </c>
      <c r="I9222" t="s">
        <v>36164</v>
      </c>
      <c r="J9222" t="s">
        <v>36165</v>
      </c>
      <c r="P9222" t="s">
        <v>330</v>
      </c>
      <c r="Y9222" t="s">
        <v>36166</v>
      </c>
    </row>
    <row r="9223" spans="1:25" x14ac:dyDescent="0.25">
      <c r="A9223" t="str">
        <f>"106094261513"</f>
        <v>106094261513</v>
      </c>
      <c r="B9223" t="s">
        <v>88</v>
      </c>
      <c r="C9223" t="s">
        <v>23421</v>
      </c>
      <c r="D9223" t="s">
        <v>36167</v>
      </c>
      <c r="E9223">
        <v>424006</v>
      </c>
      <c r="F9223" t="s">
        <v>1</v>
      </c>
      <c r="G9223" t="s">
        <v>2</v>
      </c>
      <c r="H9223" t="s">
        <v>4710</v>
      </c>
      <c r="L9223" t="s">
        <v>32822</v>
      </c>
      <c r="M9223" t="s">
        <v>32823</v>
      </c>
      <c r="Y9223" t="s">
        <v>36168</v>
      </c>
    </row>
    <row r="9224" spans="1:25" x14ac:dyDescent="0.25">
      <c r="A9224" t="str">
        <f>"106178604553"</f>
        <v>106178604553</v>
      </c>
      <c r="B9224" t="s">
        <v>290</v>
      </c>
      <c r="C9224" t="s">
        <v>290</v>
      </c>
      <c r="D9224" t="s">
        <v>28272</v>
      </c>
      <c r="E9224">
        <v>424002</v>
      </c>
      <c r="F9224" t="s">
        <v>1</v>
      </c>
      <c r="G9224" t="s">
        <v>2</v>
      </c>
      <c r="H9224" t="s">
        <v>744</v>
      </c>
      <c r="P9224" t="s">
        <v>36169</v>
      </c>
      <c r="Y9224" t="s">
        <v>749</v>
      </c>
    </row>
    <row r="9225" spans="1:25" x14ac:dyDescent="0.25">
      <c r="A9225" t="str">
        <f>"106186258631"</f>
        <v>106186258631</v>
      </c>
      <c r="B9225" t="s">
        <v>348</v>
      </c>
      <c r="C9225" t="s">
        <v>13749</v>
      </c>
      <c r="D9225" t="s">
        <v>36170</v>
      </c>
      <c r="E9225">
        <v>424033</v>
      </c>
      <c r="F9225" t="s">
        <v>1</v>
      </c>
      <c r="G9225" t="s">
        <v>2</v>
      </c>
      <c r="H9225" t="s">
        <v>22482</v>
      </c>
      <c r="I9225" t="s">
        <v>36171</v>
      </c>
      <c r="P9225" t="s">
        <v>9785</v>
      </c>
      <c r="Q9225" t="s">
        <v>36172</v>
      </c>
      <c r="Y9225" t="s">
        <v>36173</v>
      </c>
    </row>
    <row r="9226" spans="1:25" x14ac:dyDescent="0.25">
      <c r="A9226" t="str">
        <f>"106237748285"</f>
        <v>106237748285</v>
      </c>
      <c r="B9226" t="s">
        <v>1053</v>
      </c>
      <c r="C9226" t="s">
        <v>36177</v>
      </c>
      <c r="D9226" t="s">
        <v>36174</v>
      </c>
      <c r="E9226">
        <v>424006</v>
      </c>
      <c r="F9226" t="s">
        <v>1</v>
      </c>
      <c r="G9226" t="s">
        <v>2</v>
      </c>
      <c r="H9226" t="s">
        <v>451</v>
      </c>
      <c r="I9226" t="s">
        <v>36175</v>
      </c>
      <c r="M9226" t="s">
        <v>36176</v>
      </c>
      <c r="P9226" t="s">
        <v>390</v>
      </c>
      <c r="Q9226" t="s">
        <v>36178</v>
      </c>
      <c r="R9226" t="s">
        <v>36179</v>
      </c>
      <c r="Y9226" t="s">
        <v>36180</v>
      </c>
    </row>
    <row r="9227" spans="1:25" x14ac:dyDescent="0.25">
      <c r="A9227" t="str">
        <f>"106276803834"</f>
        <v>106276803834</v>
      </c>
      <c r="B9227" t="s">
        <v>348</v>
      </c>
      <c r="C9227" t="s">
        <v>36182</v>
      </c>
      <c r="D9227" t="s">
        <v>36181</v>
      </c>
      <c r="F9227" t="s">
        <v>1</v>
      </c>
      <c r="G9227" t="s">
        <v>2</v>
      </c>
      <c r="H9227" t="s">
        <v>138</v>
      </c>
      <c r="P9227" t="s">
        <v>144</v>
      </c>
      <c r="Y9227" t="s">
        <v>36183</v>
      </c>
    </row>
    <row r="9228" spans="1:25" x14ac:dyDescent="0.25">
      <c r="A9228" t="str">
        <f>"106382537271"</f>
        <v>106382537271</v>
      </c>
      <c r="B9228" t="s">
        <v>1053</v>
      </c>
      <c r="C9228" t="s">
        <v>36188</v>
      </c>
      <c r="D9228" t="s">
        <v>36184</v>
      </c>
      <c r="E9228">
        <v>424004</v>
      </c>
      <c r="F9228" t="s">
        <v>1</v>
      </c>
      <c r="G9228" t="s">
        <v>2</v>
      </c>
      <c r="H9228" t="s">
        <v>14351</v>
      </c>
      <c r="J9228" t="s">
        <v>36185</v>
      </c>
      <c r="L9228" t="s">
        <v>36186</v>
      </c>
      <c r="M9228" t="s">
        <v>36187</v>
      </c>
      <c r="P9228" t="s">
        <v>330</v>
      </c>
      <c r="Y9228" t="s">
        <v>14356</v>
      </c>
    </row>
    <row r="9229" spans="1:25" x14ac:dyDescent="0.25">
      <c r="A9229" t="str">
        <f>"106462448900"</f>
        <v>106462448900</v>
      </c>
      <c r="B9229" t="s">
        <v>1611</v>
      </c>
      <c r="C9229" t="s">
        <v>34642</v>
      </c>
      <c r="D9229" t="s">
        <v>36189</v>
      </c>
      <c r="E9229">
        <v>424037</v>
      </c>
      <c r="F9229" t="s">
        <v>1</v>
      </c>
      <c r="G9229" t="s">
        <v>2</v>
      </c>
      <c r="H9229" t="s">
        <v>15407</v>
      </c>
      <c r="I9229" t="s">
        <v>36190</v>
      </c>
      <c r="L9229" t="s">
        <v>3217</v>
      </c>
      <c r="P9229" t="s">
        <v>36191</v>
      </c>
      <c r="Y9229" t="s">
        <v>4724</v>
      </c>
    </row>
    <row r="9230" spans="1:25" x14ac:dyDescent="0.25">
      <c r="A9230" t="str">
        <f>"106463334652"</f>
        <v>106463334652</v>
      </c>
      <c r="B9230" t="s">
        <v>10383</v>
      </c>
      <c r="C9230" t="s">
        <v>31853</v>
      </c>
      <c r="D9230" t="s">
        <v>10379</v>
      </c>
      <c r="E9230">
        <v>424003</v>
      </c>
      <c r="F9230" t="s">
        <v>1</v>
      </c>
      <c r="G9230" t="s">
        <v>2</v>
      </c>
      <c r="H9230" t="s">
        <v>36192</v>
      </c>
      <c r="Y9230" t="s">
        <v>36193</v>
      </c>
    </row>
    <row r="9231" spans="1:25" x14ac:dyDescent="0.25">
      <c r="A9231" t="str">
        <f>"106494314608"</f>
        <v>106494314608</v>
      </c>
      <c r="B9231" t="s">
        <v>930</v>
      </c>
      <c r="C9231" t="s">
        <v>20851</v>
      </c>
      <c r="D9231" t="s">
        <v>32304</v>
      </c>
      <c r="F9231" t="s">
        <v>1</v>
      </c>
      <c r="G9231" t="s">
        <v>2</v>
      </c>
      <c r="H9231" t="s">
        <v>36194</v>
      </c>
      <c r="M9231" t="s">
        <v>36195</v>
      </c>
      <c r="P9231" t="s">
        <v>330</v>
      </c>
      <c r="Q9231" t="s">
        <v>36196</v>
      </c>
      <c r="Y9231" t="s">
        <v>36197</v>
      </c>
    </row>
    <row r="9232" spans="1:25" x14ac:dyDescent="0.25">
      <c r="A9232" t="str">
        <f>"106505004232"</f>
        <v>106505004232</v>
      </c>
      <c r="B9232" t="s">
        <v>3908</v>
      </c>
      <c r="C9232" t="s">
        <v>3909</v>
      </c>
      <c r="D9232" t="s">
        <v>36198</v>
      </c>
      <c r="E9232">
        <v>424033</v>
      </c>
      <c r="F9232" t="s">
        <v>1</v>
      </c>
      <c r="G9232" t="s">
        <v>2</v>
      </c>
      <c r="H9232" t="s">
        <v>32360</v>
      </c>
      <c r="I9232" t="s">
        <v>36199</v>
      </c>
      <c r="L9232" t="s">
        <v>32362</v>
      </c>
      <c r="M9232" t="s">
        <v>36200</v>
      </c>
      <c r="P9232" t="s">
        <v>36201</v>
      </c>
      <c r="Q9232" t="s">
        <v>32363</v>
      </c>
      <c r="Y9232" t="s">
        <v>36202</v>
      </c>
    </row>
    <row r="9233" spans="1:25" x14ac:dyDescent="0.25">
      <c r="A9233" t="str">
        <f>"106538352688"</f>
        <v>106538352688</v>
      </c>
      <c r="B9233" t="s">
        <v>790</v>
      </c>
      <c r="C9233" t="s">
        <v>32164</v>
      </c>
      <c r="D9233" t="s">
        <v>36203</v>
      </c>
      <c r="E9233">
        <v>424033</v>
      </c>
      <c r="F9233" t="s">
        <v>1</v>
      </c>
      <c r="G9233" t="s">
        <v>2</v>
      </c>
      <c r="H9233" t="s">
        <v>2597</v>
      </c>
      <c r="J9233" t="s">
        <v>36204</v>
      </c>
      <c r="P9233" t="s">
        <v>36205</v>
      </c>
      <c r="Q9233" t="s">
        <v>36206</v>
      </c>
      <c r="Y9233" t="s">
        <v>36207</v>
      </c>
    </row>
    <row r="9234" spans="1:25" x14ac:dyDescent="0.25">
      <c r="A9234" t="str">
        <f>"106562780114"</f>
        <v>106562780114</v>
      </c>
      <c r="B9234" t="s">
        <v>188</v>
      </c>
      <c r="C9234" t="s">
        <v>24568</v>
      </c>
      <c r="D9234" t="s">
        <v>24568</v>
      </c>
      <c r="F9234" t="s">
        <v>1</v>
      </c>
      <c r="G9234" t="s">
        <v>2</v>
      </c>
      <c r="H9234" t="s">
        <v>35412</v>
      </c>
      <c r="Y9234" t="s">
        <v>36208</v>
      </c>
    </row>
    <row r="9235" spans="1:25" x14ac:dyDescent="0.25">
      <c r="A9235" t="str">
        <f>"106614379644"</f>
        <v>106614379644</v>
      </c>
      <c r="B9235" t="s">
        <v>319</v>
      </c>
      <c r="C9235" t="s">
        <v>320</v>
      </c>
      <c r="D9235" t="s">
        <v>36209</v>
      </c>
      <c r="E9235">
        <v>424007</v>
      </c>
      <c r="F9235" t="s">
        <v>1</v>
      </c>
      <c r="G9235" t="s">
        <v>2</v>
      </c>
      <c r="H9235" t="s">
        <v>5281</v>
      </c>
      <c r="I9235" t="s">
        <v>7823</v>
      </c>
      <c r="L9235" t="s">
        <v>8198</v>
      </c>
      <c r="M9235" t="s">
        <v>36210</v>
      </c>
      <c r="P9235" t="s">
        <v>2738</v>
      </c>
      <c r="Q9235" t="s">
        <v>36211</v>
      </c>
      <c r="S9235" t="s">
        <v>7827</v>
      </c>
      <c r="Y9235" t="s">
        <v>36212</v>
      </c>
    </row>
    <row r="9236" spans="1:25" x14ac:dyDescent="0.25">
      <c r="A9236" t="str">
        <f>"106660409755"</f>
        <v>106660409755</v>
      </c>
      <c r="B9236" t="s">
        <v>456</v>
      </c>
      <c r="C9236" t="s">
        <v>2773</v>
      </c>
      <c r="D9236" t="s">
        <v>36213</v>
      </c>
      <c r="E9236">
        <v>424038</v>
      </c>
      <c r="F9236" t="s">
        <v>1</v>
      </c>
      <c r="G9236" t="s">
        <v>2</v>
      </c>
      <c r="H9236" t="s">
        <v>6550</v>
      </c>
      <c r="J9236" t="s">
        <v>36214</v>
      </c>
      <c r="P9236" t="s">
        <v>3456</v>
      </c>
      <c r="Q9236" t="s">
        <v>36215</v>
      </c>
      <c r="Y9236" t="s">
        <v>6552</v>
      </c>
    </row>
    <row r="9237" spans="1:25" x14ac:dyDescent="0.25">
      <c r="A9237" t="str">
        <f>"106692768991"</f>
        <v>106692768991</v>
      </c>
      <c r="B9237" t="s">
        <v>3544</v>
      </c>
      <c r="C9237" t="s">
        <v>11303</v>
      </c>
      <c r="D9237" t="s">
        <v>36216</v>
      </c>
      <c r="E9237">
        <v>424006</v>
      </c>
      <c r="F9237" t="s">
        <v>1</v>
      </c>
      <c r="G9237" t="s">
        <v>2</v>
      </c>
      <c r="H9237" t="s">
        <v>9823</v>
      </c>
      <c r="Y9237" t="s">
        <v>36217</v>
      </c>
    </row>
    <row r="9238" spans="1:25" x14ac:dyDescent="0.25">
      <c r="A9238" t="str">
        <f>"106746690861"</f>
        <v>106746690861</v>
      </c>
      <c r="B9238" t="s">
        <v>319</v>
      </c>
      <c r="C9238" t="s">
        <v>320</v>
      </c>
      <c r="D9238" t="s">
        <v>10203</v>
      </c>
      <c r="E9238">
        <v>424008</v>
      </c>
      <c r="F9238" t="s">
        <v>1</v>
      </c>
      <c r="G9238" t="s">
        <v>2</v>
      </c>
      <c r="H9238" t="s">
        <v>14026</v>
      </c>
      <c r="I9238" t="s">
        <v>36218</v>
      </c>
      <c r="Y9238" t="s">
        <v>36219</v>
      </c>
    </row>
    <row r="9239" spans="1:25" x14ac:dyDescent="0.25">
      <c r="A9239" t="str">
        <f>"106775166406"</f>
        <v>106775166406</v>
      </c>
      <c r="B9239" t="s">
        <v>930</v>
      </c>
      <c r="C9239" t="s">
        <v>1096</v>
      </c>
      <c r="D9239" t="s">
        <v>36220</v>
      </c>
      <c r="F9239" t="s">
        <v>1</v>
      </c>
      <c r="G9239" t="s">
        <v>2</v>
      </c>
      <c r="H9239" t="s">
        <v>30637</v>
      </c>
      <c r="J9239" t="s">
        <v>36221</v>
      </c>
      <c r="P9239" t="s">
        <v>216</v>
      </c>
      <c r="Y9239" t="s">
        <v>36222</v>
      </c>
    </row>
    <row r="9240" spans="1:25" x14ac:dyDescent="0.25">
      <c r="A9240" t="str">
        <f>"106794121079"</f>
        <v>106794121079</v>
      </c>
      <c r="B9240" t="s">
        <v>1053</v>
      </c>
      <c r="C9240" t="s">
        <v>1927</v>
      </c>
      <c r="D9240" t="s">
        <v>36223</v>
      </c>
      <c r="E9240">
        <v>424020</v>
      </c>
      <c r="F9240" t="s">
        <v>1</v>
      </c>
      <c r="G9240" t="s">
        <v>2</v>
      </c>
      <c r="H9240" t="s">
        <v>9442</v>
      </c>
      <c r="I9240" t="s">
        <v>9443</v>
      </c>
      <c r="L9240" t="s">
        <v>36224</v>
      </c>
      <c r="M9240" t="s">
        <v>36225</v>
      </c>
      <c r="P9240" t="s">
        <v>9445</v>
      </c>
      <c r="Y9240" t="s">
        <v>36226</v>
      </c>
    </row>
    <row r="9241" spans="1:25" x14ac:dyDescent="0.25">
      <c r="A9241" t="str">
        <f>"106799366158"</f>
        <v>106799366158</v>
      </c>
      <c r="B9241" t="s">
        <v>2104</v>
      </c>
      <c r="C9241" t="s">
        <v>11739</v>
      </c>
      <c r="D9241" t="s">
        <v>36227</v>
      </c>
      <c r="E9241">
        <v>424033</v>
      </c>
      <c r="F9241" t="s">
        <v>1</v>
      </c>
      <c r="G9241" t="s">
        <v>2</v>
      </c>
      <c r="H9241" t="s">
        <v>2597</v>
      </c>
      <c r="J9241" t="s">
        <v>21651</v>
      </c>
      <c r="P9241" t="s">
        <v>1027</v>
      </c>
      <c r="Q9241" t="s">
        <v>36228</v>
      </c>
      <c r="Y9241" t="s">
        <v>36229</v>
      </c>
    </row>
    <row r="9242" spans="1:25" x14ac:dyDescent="0.25">
      <c r="A9242" t="str">
        <f>"106855924702"</f>
        <v>106855924702</v>
      </c>
      <c r="B9242" t="s">
        <v>624</v>
      </c>
      <c r="C9242" t="s">
        <v>36231</v>
      </c>
      <c r="D9242" t="s">
        <v>36230</v>
      </c>
      <c r="F9242" t="s">
        <v>1</v>
      </c>
      <c r="G9242" t="s">
        <v>2</v>
      </c>
      <c r="H9242" t="s">
        <v>9610</v>
      </c>
      <c r="Y9242" t="s">
        <v>36232</v>
      </c>
    </row>
    <row r="9243" spans="1:25" x14ac:dyDescent="0.25">
      <c r="A9243" t="str">
        <f>"106890586740"</f>
        <v>106890586740</v>
      </c>
      <c r="B9243" t="s">
        <v>25</v>
      </c>
      <c r="C9243" t="s">
        <v>1005</v>
      </c>
      <c r="D9243" t="s">
        <v>36233</v>
      </c>
      <c r="E9243">
        <v>424031</v>
      </c>
      <c r="F9243" t="s">
        <v>1</v>
      </c>
      <c r="G9243" t="s">
        <v>2</v>
      </c>
      <c r="H9243" t="s">
        <v>1524</v>
      </c>
      <c r="I9243" t="s">
        <v>36234</v>
      </c>
      <c r="P9243" t="s">
        <v>280</v>
      </c>
      <c r="Y9243" t="s">
        <v>36235</v>
      </c>
    </row>
    <row r="9244" spans="1:25" x14ac:dyDescent="0.25">
      <c r="A9244" t="str">
        <f>"106906504924"</f>
        <v>106906504924</v>
      </c>
      <c r="B9244" t="s">
        <v>930</v>
      </c>
      <c r="C9244" t="s">
        <v>36240</v>
      </c>
      <c r="D9244" t="s">
        <v>36236</v>
      </c>
      <c r="E9244">
        <v>424006</v>
      </c>
      <c r="F9244" t="s">
        <v>1</v>
      </c>
      <c r="G9244" t="s">
        <v>2</v>
      </c>
      <c r="H9244" t="s">
        <v>1890</v>
      </c>
      <c r="I9244" t="s">
        <v>36237</v>
      </c>
      <c r="L9244" t="s">
        <v>36238</v>
      </c>
      <c r="M9244" t="s">
        <v>36239</v>
      </c>
      <c r="P9244" t="s">
        <v>330</v>
      </c>
      <c r="Q9244" t="s">
        <v>36241</v>
      </c>
      <c r="V9244" t="s">
        <v>36242</v>
      </c>
      <c r="Y9244" t="s">
        <v>1893</v>
      </c>
    </row>
    <row r="9245" spans="1:25" x14ac:dyDescent="0.25">
      <c r="A9245" t="str">
        <f>"106951036208"</f>
        <v>106951036208</v>
      </c>
      <c r="B9245" t="s">
        <v>888</v>
      </c>
      <c r="C9245" t="s">
        <v>18803</v>
      </c>
      <c r="D9245" t="s">
        <v>36243</v>
      </c>
      <c r="E9245">
        <v>424039</v>
      </c>
      <c r="F9245" t="s">
        <v>1</v>
      </c>
      <c r="G9245" t="s">
        <v>2</v>
      </c>
      <c r="H9245" t="s">
        <v>13455</v>
      </c>
      <c r="Y9245" t="s">
        <v>36244</v>
      </c>
    </row>
    <row r="9246" spans="1:25" x14ac:dyDescent="0.25">
      <c r="A9246" t="str">
        <f>"106980034701"</f>
        <v>106980034701</v>
      </c>
      <c r="B9246" t="s">
        <v>3008</v>
      </c>
      <c r="C9246" t="s">
        <v>15481</v>
      </c>
      <c r="D9246" t="s">
        <v>36245</v>
      </c>
      <c r="E9246">
        <v>424006</v>
      </c>
      <c r="F9246" t="s">
        <v>1</v>
      </c>
      <c r="G9246" t="s">
        <v>2</v>
      </c>
      <c r="H9246" t="s">
        <v>20460</v>
      </c>
      <c r="Y9246" t="s">
        <v>36246</v>
      </c>
    </row>
    <row r="9247" spans="1:25" x14ac:dyDescent="0.25">
      <c r="A9247" t="str">
        <f>"107002765695"</f>
        <v>107002765695</v>
      </c>
      <c r="B9247" t="s">
        <v>430</v>
      </c>
      <c r="C9247" t="s">
        <v>612</v>
      </c>
      <c r="D9247" t="s">
        <v>36247</v>
      </c>
      <c r="E9247">
        <v>424003</v>
      </c>
      <c r="F9247" t="s">
        <v>1</v>
      </c>
      <c r="G9247" t="s">
        <v>2</v>
      </c>
      <c r="H9247" t="s">
        <v>1303</v>
      </c>
      <c r="P9247" t="s">
        <v>2738</v>
      </c>
      <c r="Y9247" t="s">
        <v>36248</v>
      </c>
    </row>
    <row r="9248" spans="1:25" x14ac:dyDescent="0.25">
      <c r="A9248" t="str">
        <f>"107004659318"</f>
        <v>107004659318</v>
      </c>
      <c r="B9248" t="s">
        <v>654</v>
      </c>
      <c r="C9248" t="s">
        <v>2195</v>
      </c>
      <c r="D9248" t="s">
        <v>36249</v>
      </c>
      <c r="E9248">
        <v>424006</v>
      </c>
      <c r="F9248" t="s">
        <v>1</v>
      </c>
      <c r="G9248" t="s">
        <v>2</v>
      </c>
      <c r="H9248" t="s">
        <v>36250</v>
      </c>
      <c r="I9248" t="s">
        <v>36251</v>
      </c>
      <c r="P9248" t="s">
        <v>27</v>
      </c>
      <c r="Y9248" t="s">
        <v>36252</v>
      </c>
    </row>
    <row r="9249" spans="1:25" x14ac:dyDescent="0.25">
      <c r="A9249" t="str">
        <f>"107061783209"</f>
        <v>107061783209</v>
      </c>
      <c r="B9249" t="s">
        <v>1053</v>
      </c>
      <c r="C9249" t="s">
        <v>1927</v>
      </c>
      <c r="D9249" t="s">
        <v>5394</v>
      </c>
      <c r="E9249">
        <v>424032</v>
      </c>
      <c r="F9249" t="s">
        <v>1</v>
      </c>
      <c r="G9249" t="s">
        <v>2</v>
      </c>
      <c r="H9249" t="s">
        <v>36253</v>
      </c>
      <c r="Y9249" t="s">
        <v>19860</v>
      </c>
    </row>
    <row r="9250" spans="1:25" x14ac:dyDescent="0.25">
      <c r="A9250" t="str">
        <f>"107152461628"</f>
        <v>107152461628</v>
      </c>
      <c r="B9250" t="s">
        <v>188</v>
      </c>
      <c r="C9250" t="s">
        <v>23982</v>
      </c>
      <c r="D9250" t="s">
        <v>23982</v>
      </c>
      <c r="E9250">
        <v>424036</v>
      </c>
      <c r="F9250" t="s">
        <v>1</v>
      </c>
      <c r="G9250" t="s">
        <v>2</v>
      </c>
      <c r="H9250" t="s">
        <v>17259</v>
      </c>
      <c r="Y9250" t="s">
        <v>36254</v>
      </c>
    </row>
    <row r="9251" spans="1:25" x14ac:dyDescent="0.25">
      <c r="A9251" t="str">
        <f>"107153351859"</f>
        <v>107153351859</v>
      </c>
      <c r="B9251" t="s">
        <v>7312</v>
      </c>
      <c r="C9251" t="s">
        <v>36256</v>
      </c>
      <c r="D9251" t="s">
        <v>36255</v>
      </c>
      <c r="F9251" t="s">
        <v>1</v>
      </c>
      <c r="G9251" t="s">
        <v>2</v>
      </c>
      <c r="H9251" t="s">
        <v>4152</v>
      </c>
      <c r="Y9251" t="s">
        <v>36257</v>
      </c>
    </row>
    <row r="9252" spans="1:25" x14ac:dyDescent="0.25">
      <c r="A9252" t="str">
        <f>"107154637659"</f>
        <v>107154637659</v>
      </c>
      <c r="B9252" t="s">
        <v>1262</v>
      </c>
      <c r="C9252" t="s">
        <v>1263</v>
      </c>
      <c r="D9252" t="s">
        <v>36258</v>
      </c>
      <c r="E9252">
        <v>424007</v>
      </c>
      <c r="F9252" t="s">
        <v>1</v>
      </c>
      <c r="G9252" t="s">
        <v>2</v>
      </c>
      <c r="H9252" t="s">
        <v>1242</v>
      </c>
      <c r="J9252" t="s">
        <v>36259</v>
      </c>
      <c r="P9252" t="s">
        <v>280</v>
      </c>
      <c r="Y9252" t="s">
        <v>1754</v>
      </c>
    </row>
    <row r="9253" spans="1:25" x14ac:dyDescent="0.25">
      <c r="A9253" t="str">
        <f>"107166965859"</f>
        <v>107166965859</v>
      </c>
      <c r="B9253" t="s">
        <v>654</v>
      </c>
      <c r="C9253" t="s">
        <v>2195</v>
      </c>
      <c r="D9253" t="s">
        <v>21587</v>
      </c>
      <c r="E9253">
        <v>424003</v>
      </c>
      <c r="F9253" t="s">
        <v>1</v>
      </c>
      <c r="G9253" t="s">
        <v>2</v>
      </c>
      <c r="H9253" t="s">
        <v>15073</v>
      </c>
      <c r="J9253" t="s">
        <v>36260</v>
      </c>
      <c r="P9253" t="s">
        <v>36261</v>
      </c>
      <c r="Q9253" t="s">
        <v>36262</v>
      </c>
      <c r="V9253" t="s">
        <v>36263</v>
      </c>
      <c r="Y9253" t="s">
        <v>36264</v>
      </c>
    </row>
    <row r="9254" spans="1:25" x14ac:dyDescent="0.25">
      <c r="A9254" t="str">
        <f>"107232543660"</f>
        <v>107232543660</v>
      </c>
      <c r="B9254" t="s">
        <v>3573</v>
      </c>
      <c r="C9254" t="s">
        <v>35589</v>
      </c>
      <c r="D9254" t="s">
        <v>36265</v>
      </c>
      <c r="E9254">
        <v>424004</v>
      </c>
      <c r="F9254" t="s">
        <v>1</v>
      </c>
      <c r="G9254" t="s">
        <v>2</v>
      </c>
      <c r="H9254" t="s">
        <v>229</v>
      </c>
      <c r="J9254" t="s">
        <v>36266</v>
      </c>
      <c r="M9254" t="s">
        <v>36267</v>
      </c>
      <c r="P9254" t="s">
        <v>2839</v>
      </c>
      <c r="Y9254" t="s">
        <v>237</v>
      </c>
    </row>
    <row r="9255" spans="1:25" x14ac:dyDescent="0.25">
      <c r="A9255" t="str">
        <f>"107269354647"</f>
        <v>107269354647</v>
      </c>
      <c r="B9255" t="s">
        <v>32</v>
      </c>
      <c r="C9255" t="s">
        <v>40</v>
      </c>
      <c r="D9255" t="s">
        <v>36268</v>
      </c>
      <c r="E9255">
        <v>424033</v>
      </c>
      <c r="F9255" t="s">
        <v>1</v>
      </c>
      <c r="G9255" t="s">
        <v>2</v>
      </c>
      <c r="H9255" t="s">
        <v>6875</v>
      </c>
      <c r="J9255" t="s">
        <v>36269</v>
      </c>
      <c r="P9255" t="s">
        <v>1760</v>
      </c>
      <c r="Q9255" t="s">
        <v>36270</v>
      </c>
      <c r="Y9255" t="s">
        <v>6881</v>
      </c>
    </row>
    <row r="9256" spans="1:25" x14ac:dyDescent="0.25">
      <c r="A9256" t="str">
        <f>"107285648880"</f>
        <v>107285648880</v>
      </c>
      <c r="B9256" t="s">
        <v>1343</v>
      </c>
      <c r="C9256" t="s">
        <v>28717</v>
      </c>
      <c r="D9256" t="s">
        <v>7437</v>
      </c>
      <c r="E9256">
        <v>424028</v>
      </c>
      <c r="F9256" t="s">
        <v>1</v>
      </c>
      <c r="G9256" t="s">
        <v>2</v>
      </c>
      <c r="H9256" t="s">
        <v>1969</v>
      </c>
      <c r="Y9256" t="s">
        <v>36271</v>
      </c>
    </row>
    <row r="9257" spans="1:25" x14ac:dyDescent="0.25">
      <c r="A9257" t="str">
        <f>"107353332277"</f>
        <v>107353332277</v>
      </c>
      <c r="B9257" t="s">
        <v>110</v>
      </c>
      <c r="C9257" t="s">
        <v>784</v>
      </c>
      <c r="D9257" t="s">
        <v>10532</v>
      </c>
      <c r="E9257">
        <v>424033</v>
      </c>
      <c r="F9257" t="s">
        <v>1</v>
      </c>
      <c r="G9257" t="s">
        <v>2</v>
      </c>
      <c r="H9257" t="s">
        <v>2597</v>
      </c>
      <c r="J9257" t="s">
        <v>36272</v>
      </c>
      <c r="Y9257" t="s">
        <v>2718</v>
      </c>
    </row>
    <row r="9258" spans="1:25" x14ac:dyDescent="0.25">
      <c r="A9258" t="str">
        <f>"107361451344"</f>
        <v>107361451344</v>
      </c>
      <c r="B9258" t="s">
        <v>18</v>
      </c>
      <c r="C9258" t="s">
        <v>36274</v>
      </c>
      <c r="D9258" t="s">
        <v>36273</v>
      </c>
      <c r="F9258" t="s">
        <v>1</v>
      </c>
      <c r="G9258" t="s">
        <v>2</v>
      </c>
      <c r="H9258" t="s">
        <v>8553</v>
      </c>
      <c r="P9258" t="s">
        <v>280</v>
      </c>
      <c r="Y9258" t="s">
        <v>36275</v>
      </c>
    </row>
    <row r="9259" spans="1:25" x14ac:dyDescent="0.25">
      <c r="A9259" t="str">
        <f>"107429379982"</f>
        <v>107429379982</v>
      </c>
      <c r="B9259" t="s">
        <v>32</v>
      </c>
      <c r="C9259" t="s">
        <v>36277</v>
      </c>
      <c r="D9259" t="s">
        <v>36276</v>
      </c>
      <c r="F9259" t="s">
        <v>1</v>
      </c>
      <c r="G9259" t="s">
        <v>2</v>
      </c>
      <c r="H9259" t="s">
        <v>33628</v>
      </c>
      <c r="Y9259" t="s">
        <v>36278</v>
      </c>
    </row>
    <row r="9260" spans="1:25" x14ac:dyDescent="0.25">
      <c r="A9260" t="str">
        <f>"107429777216"</f>
        <v>107429777216</v>
      </c>
      <c r="B9260" t="s">
        <v>2846</v>
      </c>
      <c r="C9260" t="s">
        <v>8468</v>
      </c>
      <c r="D9260" t="s">
        <v>36279</v>
      </c>
      <c r="F9260" t="s">
        <v>1</v>
      </c>
      <c r="G9260" t="s">
        <v>2</v>
      </c>
      <c r="H9260" t="s">
        <v>16696</v>
      </c>
      <c r="Y9260" t="s">
        <v>36280</v>
      </c>
    </row>
    <row r="9261" spans="1:25" x14ac:dyDescent="0.25">
      <c r="A9261" t="str">
        <f>"107436424321"</f>
        <v>107436424321</v>
      </c>
      <c r="B9261" t="s">
        <v>1343</v>
      </c>
      <c r="C9261" t="s">
        <v>13544</v>
      </c>
      <c r="D9261" t="s">
        <v>14041</v>
      </c>
      <c r="E9261">
        <v>424005</v>
      </c>
      <c r="F9261" t="s">
        <v>1</v>
      </c>
      <c r="G9261" t="s">
        <v>2</v>
      </c>
      <c r="H9261" t="s">
        <v>7480</v>
      </c>
      <c r="Y9261" t="s">
        <v>7482</v>
      </c>
    </row>
    <row r="9262" spans="1:25" x14ac:dyDescent="0.25">
      <c r="A9262" t="str">
        <f>"107465670927"</f>
        <v>107465670927</v>
      </c>
      <c r="B9262" t="s">
        <v>319</v>
      </c>
      <c r="C9262" t="s">
        <v>320</v>
      </c>
      <c r="D9262" t="s">
        <v>2556</v>
      </c>
      <c r="E9262">
        <v>424019</v>
      </c>
      <c r="F9262" t="s">
        <v>1</v>
      </c>
      <c r="G9262" t="s">
        <v>2</v>
      </c>
      <c r="H9262" t="s">
        <v>12135</v>
      </c>
      <c r="I9262" t="s">
        <v>36281</v>
      </c>
      <c r="L9262" t="s">
        <v>2559</v>
      </c>
      <c r="M9262" t="s">
        <v>36282</v>
      </c>
      <c r="P9262" t="s">
        <v>2561</v>
      </c>
      <c r="Y9262" t="s">
        <v>36283</v>
      </c>
    </row>
    <row r="9263" spans="1:25" x14ac:dyDescent="0.25">
      <c r="A9263" t="str">
        <f>"107476727847"</f>
        <v>107476727847</v>
      </c>
      <c r="B9263" t="s">
        <v>243</v>
      </c>
      <c r="C9263" t="s">
        <v>244</v>
      </c>
      <c r="D9263" t="s">
        <v>36284</v>
      </c>
      <c r="E9263">
        <v>424039</v>
      </c>
      <c r="F9263" t="s">
        <v>1</v>
      </c>
      <c r="G9263" t="s">
        <v>2</v>
      </c>
      <c r="H9263" t="s">
        <v>6206</v>
      </c>
      <c r="L9263" t="s">
        <v>36285</v>
      </c>
      <c r="M9263" t="s">
        <v>36286</v>
      </c>
      <c r="P9263" t="s">
        <v>27</v>
      </c>
      <c r="T9263" t="s">
        <v>36287</v>
      </c>
      <c r="U9263" t="s">
        <v>36288</v>
      </c>
      <c r="Y9263" t="s">
        <v>36289</v>
      </c>
    </row>
    <row r="9264" spans="1:25" x14ac:dyDescent="0.25">
      <c r="A9264" t="str">
        <f>"107477751955"</f>
        <v>107477751955</v>
      </c>
      <c r="B9264" t="s">
        <v>430</v>
      </c>
      <c r="C9264" t="s">
        <v>16178</v>
      </c>
      <c r="D9264" t="s">
        <v>36290</v>
      </c>
      <c r="E9264">
        <v>424028</v>
      </c>
      <c r="F9264" t="s">
        <v>1</v>
      </c>
      <c r="G9264" t="s">
        <v>2</v>
      </c>
      <c r="H9264" t="s">
        <v>16901</v>
      </c>
      <c r="Y9264" t="s">
        <v>36291</v>
      </c>
    </row>
    <row r="9265" spans="1:25" x14ac:dyDescent="0.25">
      <c r="A9265" t="str">
        <f>"107493326945"</f>
        <v>107493326945</v>
      </c>
      <c r="B9265" t="s">
        <v>18</v>
      </c>
      <c r="C9265" t="s">
        <v>143</v>
      </c>
      <c r="D9265" t="s">
        <v>691</v>
      </c>
      <c r="E9265">
        <v>424031</v>
      </c>
      <c r="F9265" t="s">
        <v>1</v>
      </c>
      <c r="G9265" t="s">
        <v>2</v>
      </c>
      <c r="H9265" t="s">
        <v>413</v>
      </c>
      <c r="Y9265" t="s">
        <v>1421</v>
      </c>
    </row>
    <row r="9266" spans="1:25" x14ac:dyDescent="0.25">
      <c r="A9266" t="str">
        <f>"107511883299"</f>
        <v>107511883299</v>
      </c>
      <c r="B9266" t="s">
        <v>4495</v>
      </c>
      <c r="C9266" t="s">
        <v>36293</v>
      </c>
      <c r="D9266" t="s">
        <v>36292</v>
      </c>
      <c r="E9266">
        <v>424033</v>
      </c>
      <c r="F9266" t="s">
        <v>1</v>
      </c>
      <c r="G9266" t="s">
        <v>2</v>
      </c>
      <c r="H9266" t="s">
        <v>6953</v>
      </c>
      <c r="Y9266" t="s">
        <v>36294</v>
      </c>
    </row>
    <row r="9267" spans="1:25" x14ac:dyDescent="0.25">
      <c r="A9267" t="str">
        <f>"107521936851"</f>
        <v>107521936851</v>
      </c>
      <c r="B9267" t="s">
        <v>110</v>
      </c>
      <c r="C9267" t="s">
        <v>36297</v>
      </c>
      <c r="D9267" t="s">
        <v>36295</v>
      </c>
      <c r="E9267">
        <v>424003</v>
      </c>
      <c r="F9267" t="s">
        <v>1</v>
      </c>
      <c r="G9267" t="s">
        <v>2</v>
      </c>
      <c r="H9267" t="s">
        <v>14928</v>
      </c>
      <c r="I9267" t="s">
        <v>36296</v>
      </c>
      <c r="P9267" t="s">
        <v>1027</v>
      </c>
      <c r="Q9267" t="s">
        <v>36298</v>
      </c>
      <c r="Y9267" t="s">
        <v>25046</v>
      </c>
    </row>
    <row r="9268" spans="1:25" x14ac:dyDescent="0.25">
      <c r="A9268" t="str">
        <f>"107533769316"</f>
        <v>107533769316</v>
      </c>
      <c r="B9268" t="s">
        <v>176</v>
      </c>
      <c r="C9268" t="s">
        <v>177</v>
      </c>
      <c r="D9268" t="s">
        <v>36299</v>
      </c>
      <c r="E9268">
        <v>424040</v>
      </c>
      <c r="F9268" t="s">
        <v>1</v>
      </c>
      <c r="G9268" t="s">
        <v>2</v>
      </c>
      <c r="H9268" t="s">
        <v>5602</v>
      </c>
      <c r="Y9268" t="s">
        <v>36300</v>
      </c>
    </row>
    <row r="9269" spans="1:25" x14ac:dyDescent="0.25">
      <c r="A9269" t="str">
        <f>"107549852437"</f>
        <v>107549852437</v>
      </c>
      <c r="B9269" t="s">
        <v>430</v>
      </c>
      <c r="C9269" t="s">
        <v>431</v>
      </c>
      <c r="D9269" t="s">
        <v>36301</v>
      </c>
      <c r="E9269">
        <v>424002</v>
      </c>
      <c r="F9269" t="s">
        <v>1</v>
      </c>
      <c r="G9269" t="s">
        <v>2</v>
      </c>
      <c r="H9269" t="s">
        <v>6656</v>
      </c>
      <c r="I9269" t="s">
        <v>36302</v>
      </c>
      <c r="L9269" t="s">
        <v>36303</v>
      </c>
      <c r="P9269" t="s">
        <v>25443</v>
      </c>
      <c r="Y9269" t="s">
        <v>36304</v>
      </c>
    </row>
    <row r="9270" spans="1:25" x14ac:dyDescent="0.25">
      <c r="A9270" t="str">
        <f>"107560045017"</f>
        <v>107560045017</v>
      </c>
      <c r="B9270" t="s">
        <v>1315</v>
      </c>
      <c r="C9270" t="s">
        <v>4274</v>
      </c>
      <c r="D9270" t="s">
        <v>18229</v>
      </c>
      <c r="F9270" t="s">
        <v>1</v>
      </c>
      <c r="G9270" t="s">
        <v>2</v>
      </c>
      <c r="H9270" t="s">
        <v>36305</v>
      </c>
      <c r="Y9270" t="s">
        <v>36306</v>
      </c>
    </row>
    <row r="9271" spans="1:25" x14ac:dyDescent="0.25">
      <c r="A9271" t="str">
        <f>"107584366526"</f>
        <v>107584366526</v>
      </c>
      <c r="B9271" t="s">
        <v>930</v>
      </c>
      <c r="C9271" t="s">
        <v>12649</v>
      </c>
      <c r="D9271" t="s">
        <v>36307</v>
      </c>
      <c r="E9271">
        <v>424006</v>
      </c>
      <c r="F9271" t="s">
        <v>1</v>
      </c>
      <c r="G9271" t="s">
        <v>2</v>
      </c>
      <c r="H9271" t="s">
        <v>2825</v>
      </c>
      <c r="I9271" t="s">
        <v>32299</v>
      </c>
      <c r="J9271" t="s">
        <v>36308</v>
      </c>
      <c r="P9271" t="s">
        <v>27</v>
      </c>
      <c r="Y9271" t="s">
        <v>2832</v>
      </c>
    </row>
    <row r="9272" spans="1:25" x14ac:dyDescent="0.25">
      <c r="A9272" t="str">
        <f>"107605247246"</f>
        <v>107605247246</v>
      </c>
      <c r="B9272" t="s">
        <v>703</v>
      </c>
      <c r="C9272" t="s">
        <v>2129</v>
      </c>
      <c r="D9272" t="s">
        <v>36309</v>
      </c>
      <c r="E9272">
        <v>424037</v>
      </c>
      <c r="F9272" t="s">
        <v>1</v>
      </c>
      <c r="G9272" t="s">
        <v>2</v>
      </c>
      <c r="H9272" t="s">
        <v>13232</v>
      </c>
      <c r="J9272" t="s">
        <v>36310</v>
      </c>
      <c r="P9272" t="s">
        <v>799</v>
      </c>
      <c r="Y9272" t="s">
        <v>36311</v>
      </c>
    </row>
    <row r="9273" spans="1:25" x14ac:dyDescent="0.25">
      <c r="A9273" t="str">
        <f>"107608057313"</f>
        <v>107608057313</v>
      </c>
      <c r="B9273" t="s">
        <v>574</v>
      </c>
      <c r="C9273" t="s">
        <v>8884</v>
      </c>
      <c r="D9273" t="s">
        <v>8880</v>
      </c>
      <c r="E9273">
        <v>424033</v>
      </c>
      <c r="F9273" t="s">
        <v>1</v>
      </c>
      <c r="G9273" t="s">
        <v>2</v>
      </c>
      <c r="H9273" t="s">
        <v>6875</v>
      </c>
      <c r="J9273" t="s">
        <v>36312</v>
      </c>
      <c r="L9273" t="s">
        <v>26240</v>
      </c>
      <c r="M9273" t="s">
        <v>8883</v>
      </c>
      <c r="P9273" t="s">
        <v>1464</v>
      </c>
      <c r="Q9273" t="s">
        <v>8886</v>
      </c>
      <c r="T9273" t="s">
        <v>8887</v>
      </c>
      <c r="V9273" t="s">
        <v>8888</v>
      </c>
      <c r="Y9273" t="s">
        <v>6881</v>
      </c>
    </row>
    <row r="9274" spans="1:25" x14ac:dyDescent="0.25">
      <c r="A9274" t="str">
        <f>"107621721613"</f>
        <v>107621721613</v>
      </c>
      <c r="B9274" t="s">
        <v>1552</v>
      </c>
      <c r="C9274" t="s">
        <v>36317</v>
      </c>
      <c r="D9274" t="s">
        <v>36313</v>
      </c>
      <c r="E9274">
        <v>424006</v>
      </c>
      <c r="F9274" t="s">
        <v>1</v>
      </c>
      <c r="G9274" t="s">
        <v>2</v>
      </c>
      <c r="H9274" t="s">
        <v>8622</v>
      </c>
      <c r="I9274" t="s">
        <v>36314</v>
      </c>
      <c r="L9274" t="s">
        <v>36315</v>
      </c>
      <c r="M9274" t="s">
        <v>36316</v>
      </c>
      <c r="P9274" t="s">
        <v>29865</v>
      </c>
      <c r="Y9274" t="s">
        <v>8866</v>
      </c>
    </row>
    <row r="9275" spans="1:25" x14ac:dyDescent="0.25">
      <c r="A9275" t="str">
        <f>"107678744925"</f>
        <v>107678744925</v>
      </c>
      <c r="B9275" t="s">
        <v>32</v>
      </c>
      <c r="C9275" t="s">
        <v>13642</v>
      </c>
      <c r="D9275" t="s">
        <v>36318</v>
      </c>
      <c r="E9275">
        <v>424000</v>
      </c>
      <c r="F9275" t="s">
        <v>1</v>
      </c>
      <c r="G9275" t="s">
        <v>2</v>
      </c>
      <c r="H9275" t="s">
        <v>5615</v>
      </c>
      <c r="I9275" t="s">
        <v>36319</v>
      </c>
      <c r="P9275" t="s">
        <v>7369</v>
      </c>
      <c r="Y9275" t="s">
        <v>5619</v>
      </c>
    </row>
    <row r="9276" spans="1:25" x14ac:dyDescent="0.25">
      <c r="A9276" t="str">
        <f>"107690925038"</f>
        <v>107690925038</v>
      </c>
      <c r="B9276" t="s">
        <v>7312</v>
      </c>
      <c r="C9276" t="s">
        <v>26456</v>
      </c>
      <c r="D9276" t="s">
        <v>8791</v>
      </c>
      <c r="E9276">
        <v>424008</v>
      </c>
      <c r="F9276" t="s">
        <v>1</v>
      </c>
      <c r="G9276" t="s">
        <v>2</v>
      </c>
      <c r="H9276" t="s">
        <v>20756</v>
      </c>
      <c r="P9276" t="s">
        <v>12317</v>
      </c>
      <c r="Y9276" t="s">
        <v>36320</v>
      </c>
    </row>
    <row r="9277" spans="1:25" x14ac:dyDescent="0.25">
      <c r="A9277" t="str">
        <f>"107796673744"</f>
        <v>107796673744</v>
      </c>
      <c r="B9277" t="s">
        <v>1152</v>
      </c>
      <c r="C9277" t="s">
        <v>1152</v>
      </c>
      <c r="D9277" t="s">
        <v>36321</v>
      </c>
      <c r="E9277">
        <v>424000</v>
      </c>
      <c r="F9277" t="s">
        <v>1</v>
      </c>
      <c r="G9277" t="s">
        <v>2</v>
      </c>
      <c r="H9277" t="s">
        <v>1531</v>
      </c>
      <c r="M9277" t="s">
        <v>36322</v>
      </c>
      <c r="Q9277" t="s">
        <v>36323</v>
      </c>
      <c r="Y9277" t="s">
        <v>1707</v>
      </c>
    </row>
    <row r="9278" spans="1:25" x14ac:dyDescent="0.25">
      <c r="A9278" t="str">
        <f>"107800285675"</f>
        <v>107800285675</v>
      </c>
      <c r="B9278" t="s">
        <v>67</v>
      </c>
      <c r="C9278" t="s">
        <v>27252</v>
      </c>
      <c r="D9278" t="s">
        <v>10280</v>
      </c>
      <c r="E9278">
        <v>424020</v>
      </c>
      <c r="F9278" t="s">
        <v>1</v>
      </c>
      <c r="G9278" t="s">
        <v>2</v>
      </c>
      <c r="H9278" t="s">
        <v>18899</v>
      </c>
      <c r="Y9278" t="s">
        <v>36324</v>
      </c>
    </row>
    <row r="9279" spans="1:25" x14ac:dyDescent="0.25">
      <c r="A9279" t="str">
        <f>"107830175735"</f>
        <v>107830175735</v>
      </c>
      <c r="B9279" t="s">
        <v>24124</v>
      </c>
      <c r="C9279" t="s">
        <v>36327</v>
      </c>
      <c r="D9279" t="s">
        <v>36325</v>
      </c>
      <c r="E9279">
        <v>424000</v>
      </c>
      <c r="F9279" t="s">
        <v>1</v>
      </c>
      <c r="G9279" t="s">
        <v>2</v>
      </c>
      <c r="H9279" t="s">
        <v>6578</v>
      </c>
      <c r="J9279" t="s">
        <v>36326</v>
      </c>
      <c r="P9279" t="s">
        <v>20</v>
      </c>
      <c r="Y9279" t="s">
        <v>9940</v>
      </c>
    </row>
    <row r="9280" spans="1:25" x14ac:dyDescent="0.25">
      <c r="A9280" t="str">
        <f>"107850227157"</f>
        <v>107850227157</v>
      </c>
      <c r="B9280" t="s">
        <v>110</v>
      </c>
      <c r="C9280" t="s">
        <v>32554</v>
      </c>
      <c r="D9280" t="s">
        <v>36328</v>
      </c>
      <c r="E9280">
        <v>424007</v>
      </c>
      <c r="F9280" t="s">
        <v>1</v>
      </c>
      <c r="G9280" t="s">
        <v>2</v>
      </c>
      <c r="H9280" t="s">
        <v>4869</v>
      </c>
      <c r="I9280" t="s">
        <v>36329</v>
      </c>
      <c r="Y9280" t="s">
        <v>5759</v>
      </c>
    </row>
    <row r="9281" spans="1:25" x14ac:dyDescent="0.25">
      <c r="A9281" t="str">
        <f>"107853892825"</f>
        <v>107853892825</v>
      </c>
      <c r="B9281" t="s">
        <v>574</v>
      </c>
      <c r="C9281" t="s">
        <v>36331</v>
      </c>
      <c r="D9281" t="s">
        <v>36330</v>
      </c>
      <c r="F9281" t="s">
        <v>1</v>
      </c>
      <c r="G9281" t="s">
        <v>2</v>
      </c>
      <c r="H9281" t="s">
        <v>34200</v>
      </c>
      <c r="P9281" t="s">
        <v>2738</v>
      </c>
      <c r="Y9281" t="s">
        <v>36332</v>
      </c>
    </row>
    <row r="9282" spans="1:25" x14ac:dyDescent="0.25">
      <c r="A9282" t="str">
        <f>"107861899026"</f>
        <v>107861899026</v>
      </c>
      <c r="B9282" t="s">
        <v>2601</v>
      </c>
      <c r="C9282" t="s">
        <v>5375</v>
      </c>
      <c r="D9282" t="s">
        <v>29626</v>
      </c>
      <c r="E9282">
        <v>424918</v>
      </c>
      <c r="F9282" t="s">
        <v>1</v>
      </c>
      <c r="G9282" t="s">
        <v>2</v>
      </c>
      <c r="H9282" t="s">
        <v>629</v>
      </c>
      <c r="P9282" t="s">
        <v>630</v>
      </c>
      <c r="Y9282" t="s">
        <v>36333</v>
      </c>
    </row>
    <row r="9283" spans="1:25" x14ac:dyDescent="0.25">
      <c r="A9283" t="str">
        <f>"107878649725"</f>
        <v>107878649725</v>
      </c>
      <c r="B9283" t="s">
        <v>334</v>
      </c>
      <c r="C9283" t="s">
        <v>2551</v>
      </c>
      <c r="D9283" t="s">
        <v>36334</v>
      </c>
      <c r="E9283">
        <v>424002</v>
      </c>
      <c r="F9283" t="s">
        <v>1</v>
      </c>
      <c r="G9283" t="s">
        <v>2</v>
      </c>
      <c r="H9283" t="s">
        <v>22908</v>
      </c>
      <c r="I9283" t="s">
        <v>36335</v>
      </c>
      <c r="J9283" t="s">
        <v>36336</v>
      </c>
      <c r="L9283" t="s">
        <v>36337</v>
      </c>
      <c r="M9283" t="s">
        <v>36338</v>
      </c>
      <c r="P9283" t="s">
        <v>27</v>
      </c>
      <c r="Q9283" t="s">
        <v>36339</v>
      </c>
      <c r="T9283" t="s">
        <v>36340</v>
      </c>
      <c r="U9283" t="s">
        <v>36341</v>
      </c>
      <c r="V9283" t="s">
        <v>36342</v>
      </c>
      <c r="Y9283" t="s">
        <v>1284</v>
      </c>
    </row>
    <row r="9284" spans="1:25" x14ac:dyDescent="0.25">
      <c r="A9284" t="str">
        <f>"107900694687"</f>
        <v>107900694687</v>
      </c>
      <c r="B9284" t="s">
        <v>1053</v>
      </c>
      <c r="C9284" t="s">
        <v>1927</v>
      </c>
      <c r="D9284" t="s">
        <v>36343</v>
      </c>
      <c r="E9284">
        <v>424002</v>
      </c>
      <c r="F9284" t="s">
        <v>1</v>
      </c>
      <c r="G9284" t="s">
        <v>2</v>
      </c>
      <c r="H9284" t="s">
        <v>3604</v>
      </c>
      <c r="I9284" t="s">
        <v>36344</v>
      </c>
      <c r="J9284" t="s">
        <v>23547</v>
      </c>
      <c r="L9284" t="s">
        <v>23548</v>
      </c>
      <c r="M9284" t="s">
        <v>36345</v>
      </c>
      <c r="P9284" t="s">
        <v>36346</v>
      </c>
      <c r="Y9284" t="s">
        <v>36347</v>
      </c>
    </row>
    <row r="9285" spans="1:25" x14ac:dyDescent="0.25">
      <c r="A9285" t="str">
        <f>"107944560356"</f>
        <v>107944560356</v>
      </c>
      <c r="B9285" t="s">
        <v>3573</v>
      </c>
      <c r="C9285" t="s">
        <v>3644</v>
      </c>
      <c r="D9285" t="s">
        <v>36348</v>
      </c>
      <c r="E9285">
        <v>424004</v>
      </c>
      <c r="F9285" t="s">
        <v>1</v>
      </c>
      <c r="G9285" t="s">
        <v>2</v>
      </c>
      <c r="H9285" t="s">
        <v>351</v>
      </c>
      <c r="I9285" t="s">
        <v>36349</v>
      </c>
      <c r="P9285" t="s">
        <v>20</v>
      </c>
      <c r="Y9285" t="s">
        <v>354</v>
      </c>
    </row>
    <row r="9286" spans="1:25" x14ac:dyDescent="0.25">
      <c r="A9286" t="str">
        <f>"107960858066"</f>
        <v>107960858066</v>
      </c>
      <c r="B9286" t="s">
        <v>96</v>
      </c>
      <c r="C9286" t="s">
        <v>893</v>
      </c>
      <c r="D9286" t="s">
        <v>36350</v>
      </c>
      <c r="E9286">
        <v>424019</v>
      </c>
      <c r="F9286" t="s">
        <v>1</v>
      </c>
      <c r="G9286" t="s">
        <v>2</v>
      </c>
      <c r="H9286" t="s">
        <v>1801</v>
      </c>
      <c r="P9286" t="s">
        <v>2738</v>
      </c>
      <c r="V9286" t="s">
        <v>36351</v>
      </c>
      <c r="Y9286" t="s">
        <v>1804</v>
      </c>
    </row>
    <row r="9287" spans="1:25" x14ac:dyDescent="0.25">
      <c r="A9287" t="str">
        <f>"108005124360"</f>
        <v>108005124360</v>
      </c>
      <c r="B9287" t="s">
        <v>18</v>
      </c>
      <c r="C9287" t="s">
        <v>2593</v>
      </c>
      <c r="D9287" t="s">
        <v>36352</v>
      </c>
      <c r="E9287">
        <v>424038</v>
      </c>
      <c r="F9287" t="s">
        <v>1</v>
      </c>
      <c r="G9287" t="s">
        <v>2</v>
      </c>
      <c r="H9287" t="s">
        <v>9930</v>
      </c>
      <c r="I9287" t="s">
        <v>36353</v>
      </c>
      <c r="J9287" t="s">
        <v>29393</v>
      </c>
      <c r="P9287" t="s">
        <v>36354</v>
      </c>
      <c r="Y9287" t="s">
        <v>13829</v>
      </c>
    </row>
    <row r="9288" spans="1:25" x14ac:dyDescent="0.25">
      <c r="A9288" t="str">
        <f>"108010254904"</f>
        <v>108010254904</v>
      </c>
      <c r="B9288" t="s">
        <v>1493</v>
      </c>
      <c r="C9288" t="s">
        <v>31932</v>
      </c>
      <c r="D9288" t="s">
        <v>36355</v>
      </c>
      <c r="E9288">
        <v>424040</v>
      </c>
      <c r="F9288" t="s">
        <v>1</v>
      </c>
      <c r="G9288" t="s">
        <v>2</v>
      </c>
      <c r="H9288" t="s">
        <v>7989</v>
      </c>
      <c r="I9288" t="s">
        <v>26918</v>
      </c>
      <c r="J9288" t="s">
        <v>26919</v>
      </c>
      <c r="L9288" t="s">
        <v>36356</v>
      </c>
      <c r="P9288" t="s">
        <v>36357</v>
      </c>
      <c r="Q9288" t="s">
        <v>36358</v>
      </c>
      <c r="Y9288" t="s">
        <v>11906</v>
      </c>
    </row>
    <row r="9289" spans="1:25" x14ac:dyDescent="0.25">
      <c r="A9289" t="str">
        <f>"108046110288"</f>
        <v>108046110288</v>
      </c>
      <c r="B9289" t="s">
        <v>1182</v>
      </c>
      <c r="C9289" t="s">
        <v>6011</v>
      </c>
      <c r="D9289" t="s">
        <v>27713</v>
      </c>
      <c r="E9289">
        <v>424036</v>
      </c>
      <c r="F9289" t="s">
        <v>1</v>
      </c>
      <c r="G9289" t="s">
        <v>2</v>
      </c>
      <c r="H9289" t="s">
        <v>5294</v>
      </c>
      <c r="Y9289" t="s">
        <v>10139</v>
      </c>
    </row>
    <row r="9290" spans="1:25" x14ac:dyDescent="0.25">
      <c r="A9290" t="str">
        <f>"108049425401"</f>
        <v>108049425401</v>
      </c>
      <c r="B9290" t="s">
        <v>519</v>
      </c>
      <c r="C9290" t="s">
        <v>22942</v>
      </c>
      <c r="D9290" t="s">
        <v>22553</v>
      </c>
      <c r="E9290">
        <v>424007</v>
      </c>
      <c r="F9290" t="s">
        <v>1</v>
      </c>
      <c r="G9290" t="s">
        <v>2</v>
      </c>
      <c r="H9290" t="s">
        <v>23667</v>
      </c>
      <c r="Y9290" t="s">
        <v>26960</v>
      </c>
    </row>
    <row r="9291" spans="1:25" x14ac:dyDescent="0.25">
      <c r="A9291" t="str">
        <f>"108071219602"</f>
        <v>108071219602</v>
      </c>
      <c r="B9291" t="s">
        <v>841</v>
      </c>
      <c r="C9291" t="s">
        <v>36361</v>
      </c>
      <c r="D9291" t="s">
        <v>36359</v>
      </c>
      <c r="E9291">
        <v>424002</v>
      </c>
      <c r="F9291" t="s">
        <v>1</v>
      </c>
      <c r="G9291" t="s">
        <v>2</v>
      </c>
      <c r="H9291" t="s">
        <v>3864</v>
      </c>
      <c r="I9291" t="s">
        <v>36360</v>
      </c>
      <c r="P9291" t="s">
        <v>144</v>
      </c>
      <c r="Q9291" t="s">
        <v>36362</v>
      </c>
      <c r="V9291" t="s">
        <v>36363</v>
      </c>
      <c r="Y9291" t="s">
        <v>36364</v>
      </c>
    </row>
    <row r="9292" spans="1:25" x14ac:dyDescent="0.25">
      <c r="A9292" t="str">
        <f>"108116393699"</f>
        <v>108116393699</v>
      </c>
      <c r="B9292" t="s">
        <v>574</v>
      </c>
      <c r="C9292" t="s">
        <v>646</v>
      </c>
      <c r="D9292" t="s">
        <v>8943</v>
      </c>
      <c r="E9292">
        <v>424006</v>
      </c>
      <c r="F9292" t="s">
        <v>1</v>
      </c>
      <c r="G9292" t="s">
        <v>2</v>
      </c>
      <c r="H9292" t="s">
        <v>31320</v>
      </c>
      <c r="Y9292" t="s">
        <v>33601</v>
      </c>
    </row>
    <row r="9293" spans="1:25" x14ac:dyDescent="0.25">
      <c r="A9293" t="str">
        <f>"108130014190"</f>
        <v>108130014190</v>
      </c>
      <c r="B9293" t="s">
        <v>519</v>
      </c>
      <c r="C9293" t="s">
        <v>22942</v>
      </c>
      <c r="D9293" t="s">
        <v>36365</v>
      </c>
      <c r="E9293">
        <v>424007</v>
      </c>
      <c r="F9293" t="s">
        <v>1</v>
      </c>
      <c r="G9293" t="s">
        <v>2</v>
      </c>
      <c r="H9293" t="s">
        <v>25707</v>
      </c>
      <c r="Y9293" t="s">
        <v>36366</v>
      </c>
    </row>
    <row r="9294" spans="1:25" x14ac:dyDescent="0.25">
      <c r="A9294" t="str">
        <f>"108158446288"</f>
        <v>108158446288</v>
      </c>
      <c r="B9294" t="s">
        <v>32</v>
      </c>
      <c r="C9294" t="s">
        <v>182</v>
      </c>
      <c r="D9294" t="s">
        <v>36367</v>
      </c>
      <c r="E9294">
        <v>424020</v>
      </c>
      <c r="F9294" t="s">
        <v>1</v>
      </c>
      <c r="G9294" t="s">
        <v>2</v>
      </c>
      <c r="H9294" t="s">
        <v>36368</v>
      </c>
      <c r="I9294" t="s">
        <v>36369</v>
      </c>
      <c r="J9294" t="s">
        <v>36370</v>
      </c>
      <c r="P9294" t="s">
        <v>1855</v>
      </c>
      <c r="V9294" t="s">
        <v>36371</v>
      </c>
      <c r="Y9294" t="s">
        <v>36372</v>
      </c>
    </row>
    <row r="9295" spans="1:25" x14ac:dyDescent="0.25">
      <c r="A9295" t="str">
        <f>"108168461440"</f>
        <v>108168461440</v>
      </c>
      <c r="B9295" t="s">
        <v>348</v>
      </c>
      <c r="C9295" t="s">
        <v>36374</v>
      </c>
      <c r="D9295" t="s">
        <v>36373</v>
      </c>
      <c r="F9295" t="s">
        <v>1</v>
      </c>
      <c r="G9295" t="s">
        <v>2</v>
      </c>
      <c r="H9295" t="s">
        <v>138</v>
      </c>
      <c r="P9295" t="s">
        <v>144</v>
      </c>
      <c r="Y9295" t="s">
        <v>146</v>
      </c>
    </row>
    <row r="9296" spans="1:25" x14ac:dyDescent="0.25">
      <c r="A9296" t="str">
        <f>"108188229583"</f>
        <v>108188229583</v>
      </c>
      <c r="B9296" t="s">
        <v>176</v>
      </c>
      <c r="C9296" t="s">
        <v>36379</v>
      </c>
      <c r="D9296" t="s">
        <v>36375</v>
      </c>
      <c r="E9296">
        <v>424000</v>
      </c>
      <c r="F9296" t="s">
        <v>1</v>
      </c>
      <c r="G9296" t="s">
        <v>2</v>
      </c>
      <c r="H9296" t="s">
        <v>404</v>
      </c>
      <c r="I9296" t="s">
        <v>36376</v>
      </c>
      <c r="J9296" t="s">
        <v>7871</v>
      </c>
      <c r="L9296" t="s">
        <v>36377</v>
      </c>
      <c r="M9296" t="s">
        <v>36378</v>
      </c>
      <c r="P9296" t="s">
        <v>30738</v>
      </c>
      <c r="Q9296" t="s">
        <v>36380</v>
      </c>
      <c r="V9296" t="s">
        <v>36381</v>
      </c>
      <c r="Y9296" t="s">
        <v>36382</v>
      </c>
    </row>
    <row r="9297" spans="1:25" x14ac:dyDescent="0.25">
      <c r="A9297" t="str">
        <f>"108203771513"</f>
        <v>108203771513</v>
      </c>
      <c r="B9297" t="s">
        <v>456</v>
      </c>
      <c r="C9297" t="s">
        <v>2773</v>
      </c>
      <c r="D9297" t="s">
        <v>36383</v>
      </c>
      <c r="F9297" t="s">
        <v>1</v>
      </c>
      <c r="G9297" t="s">
        <v>2</v>
      </c>
      <c r="H9297" t="s">
        <v>28327</v>
      </c>
      <c r="J9297" t="s">
        <v>36384</v>
      </c>
      <c r="L9297" t="s">
        <v>36385</v>
      </c>
      <c r="M9297" t="s">
        <v>36386</v>
      </c>
      <c r="P9297" t="s">
        <v>2050</v>
      </c>
      <c r="Y9297" t="s">
        <v>36387</v>
      </c>
    </row>
    <row r="9298" spans="1:25" x14ac:dyDescent="0.25">
      <c r="A9298" t="str">
        <f>"108272629887"</f>
        <v>108272629887</v>
      </c>
      <c r="B9298" t="s">
        <v>888</v>
      </c>
      <c r="C9298" t="s">
        <v>4712</v>
      </c>
      <c r="D9298" t="s">
        <v>36388</v>
      </c>
      <c r="E9298">
        <v>424004</v>
      </c>
      <c r="F9298" t="s">
        <v>1</v>
      </c>
      <c r="G9298" t="s">
        <v>2</v>
      </c>
      <c r="H9298" t="s">
        <v>229</v>
      </c>
      <c r="J9298" t="s">
        <v>36389</v>
      </c>
      <c r="Q9298" t="s">
        <v>36390</v>
      </c>
      <c r="Y9298" t="s">
        <v>237</v>
      </c>
    </row>
    <row r="9299" spans="1:25" x14ac:dyDescent="0.25">
      <c r="A9299" t="str">
        <f>"108294808620"</f>
        <v>108294808620</v>
      </c>
      <c r="B9299" t="s">
        <v>1046</v>
      </c>
      <c r="C9299" t="s">
        <v>14179</v>
      </c>
      <c r="D9299" t="s">
        <v>36391</v>
      </c>
      <c r="F9299" t="s">
        <v>1</v>
      </c>
      <c r="G9299" t="s">
        <v>2</v>
      </c>
      <c r="H9299" t="s">
        <v>27403</v>
      </c>
      <c r="Y9299" t="s">
        <v>36392</v>
      </c>
    </row>
    <row r="9300" spans="1:25" x14ac:dyDescent="0.25">
      <c r="A9300" t="str">
        <f>"108301881920"</f>
        <v>108301881920</v>
      </c>
      <c r="B9300" t="s">
        <v>160</v>
      </c>
      <c r="C9300" t="s">
        <v>1666</v>
      </c>
      <c r="D9300" t="s">
        <v>36393</v>
      </c>
      <c r="E9300">
        <v>424007</v>
      </c>
      <c r="F9300" t="s">
        <v>1</v>
      </c>
      <c r="G9300" t="s">
        <v>2</v>
      </c>
      <c r="H9300" t="s">
        <v>7196</v>
      </c>
      <c r="I9300" t="s">
        <v>36394</v>
      </c>
      <c r="J9300" t="s">
        <v>36395</v>
      </c>
      <c r="P9300" t="s">
        <v>280</v>
      </c>
      <c r="Y9300" t="s">
        <v>8450</v>
      </c>
    </row>
    <row r="9301" spans="1:25" x14ac:dyDescent="0.25">
      <c r="A9301" t="str">
        <f>"108305630182"</f>
        <v>108305630182</v>
      </c>
      <c r="B9301" t="s">
        <v>25</v>
      </c>
      <c r="C9301" t="s">
        <v>59</v>
      </c>
      <c r="D9301" t="s">
        <v>18128</v>
      </c>
      <c r="E9301">
        <v>424007</v>
      </c>
      <c r="F9301" t="s">
        <v>1</v>
      </c>
      <c r="G9301" t="s">
        <v>2</v>
      </c>
      <c r="H9301" t="s">
        <v>1566</v>
      </c>
      <c r="J9301" t="s">
        <v>36396</v>
      </c>
      <c r="P9301" t="s">
        <v>330</v>
      </c>
      <c r="Y9301" t="s">
        <v>2882</v>
      </c>
    </row>
    <row r="9302" spans="1:25" x14ac:dyDescent="0.25">
      <c r="A9302" t="str">
        <f>"108311993589"</f>
        <v>108311993589</v>
      </c>
      <c r="B9302" t="s">
        <v>574</v>
      </c>
      <c r="C9302" t="s">
        <v>14269</v>
      </c>
      <c r="D9302" t="s">
        <v>21152</v>
      </c>
      <c r="E9302">
        <v>424003</v>
      </c>
      <c r="F9302" t="s">
        <v>1</v>
      </c>
      <c r="G9302" t="s">
        <v>2</v>
      </c>
      <c r="H9302" t="s">
        <v>16749</v>
      </c>
      <c r="Y9302" t="s">
        <v>36397</v>
      </c>
    </row>
    <row r="9303" spans="1:25" x14ac:dyDescent="0.25">
      <c r="A9303" t="str">
        <f>"108326514681"</f>
        <v>108326514681</v>
      </c>
      <c r="B9303" t="s">
        <v>654</v>
      </c>
      <c r="C9303" t="s">
        <v>36402</v>
      </c>
      <c r="D9303" t="s">
        <v>36398</v>
      </c>
      <c r="E9303">
        <v>424007</v>
      </c>
      <c r="F9303" t="s">
        <v>1</v>
      </c>
      <c r="G9303" t="s">
        <v>2</v>
      </c>
      <c r="H9303" t="s">
        <v>10252</v>
      </c>
      <c r="J9303" t="s">
        <v>36399</v>
      </c>
      <c r="L9303" t="s">
        <v>36400</v>
      </c>
      <c r="M9303" t="s">
        <v>36401</v>
      </c>
      <c r="P9303" t="s">
        <v>260</v>
      </c>
      <c r="Y9303" t="s">
        <v>10258</v>
      </c>
    </row>
    <row r="9304" spans="1:25" x14ac:dyDescent="0.25">
      <c r="A9304" t="str">
        <f>"108338159988"</f>
        <v>108338159988</v>
      </c>
      <c r="B9304" t="s">
        <v>1544</v>
      </c>
      <c r="C9304" t="s">
        <v>7974</v>
      </c>
      <c r="D9304" t="s">
        <v>22154</v>
      </c>
      <c r="E9304">
        <v>424002</v>
      </c>
      <c r="F9304" t="s">
        <v>1</v>
      </c>
      <c r="G9304" t="s">
        <v>2</v>
      </c>
      <c r="H9304" t="s">
        <v>11581</v>
      </c>
      <c r="Y9304" t="s">
        <v>36403</v>
      </c>
    </row>
    <row r="9305" spans="1:25" x14ac:dyDescent="0.25">
      <c r="A9305" t="str">
        <f>"108341278670"</f>
        <v>108341278670</v>
      </c>
      <c r="B9305" t="s">
        <v>1182</v>
      </c>
      <c r="C9305" t="s">
        <v>36405</v>
      </c>
      <c r="D9305" t="s">
        <v>36404</v>
      </c>
      <c r="E9305">
        <v>424039</v>
      </c>
      <c r="F9305" t="s">
        <v>1</v>
      </c>
      <c r="G9305" t="s">
        <v>2</v>
      </c>
      <c r="H9305" t="s">
        <v>7138</v>
      </c>
      <c r="Y9305" t="s">
        <v>36406</v>
      </c>
    </row>
    <row r="9306" spans="1:25" x14ac:dyDescent="0.25">
      <c r="A9306" t="str">
        <f>"108360169350"</f>
        <v>108360169350</v>
      </c>
      <c r="B9306" t="s">
        <v>574</v>
      </c>
      <c r="C9306" t="s">
        <v>21805</v>
      </c>
      <c r="D9306" t="s">
        <v>36407</v>
      </c>
      <c r="E9306">
        <v>424000</v>
      </c>
      <c r="F9306" t="s">
        <v>1</v>
      </c>
      <c r="G9306" t="s">
        <v>2</v>
      </c>
      <c r="H9306" t="s">
        <v>34149</v>
      </c>
      <c r="J9306" t="s">
        <v>36408</v>
      </c>
      <c r="P9306" t="s">
        <v>36409</v>
      </c>
      <c r="Y9306" t="s">
        <v>34150</v>
      </c>
    </row>
    <row r="9307" spans="1:25" x14ac:dyDescent="0.25">
      <c r="A9307" t="str">
        <f>"108373781115"</f>
        <v>108373781115</v>
      </c>
      <c r="B9307" t="s">
        <v>1352</v>
      </c>
      <c r="C9307" t="s">
        <v>1353</v>
      </c>
      <c r="D9307" t="s">
        <v>36410</v>
      </c>
      <c r="E9307">
        <v>424004</v>
      </c>
      <c r="F9307" t="s">
        <v>1</v>
      </c>
      <c r="G9307" t="s">
        <v>2</v>
      </c>
      <c r="H9307" t="s">
        <v>229</v>
      </c>
      <c r="J9307" t="s">
        <v>36411</v>
      </c>
      <c r="P9307" t="s">
        <v>36412</v>
      </c>
      <c r="Y9307" t="s">
        <v>237</v>
      </c>
    </row>
    <row r="9308" spans="1:25" x14ac:dyDescent="0.25">
      <c r="A9308" t="str">
        <f>"108434561583"</f>
        <v>108434561583</v>
      </c>
      <c r="B9308" t="s">
        <v>96</v>
      </c>
      <c r="C9308" t="s">
        <v>893</v>
      </c>
      <c r="D9308" t="s">
        <v>31712</v>
      </c>
      <c r="E9308">
        <v>424007</v>
      </c>
      <c r="F9308" t="s">
        <v>1</v>
      </c>
      <c r="G9308" t="s">
        <v>2</v>
      </c>
      <c r="H9308" t="s">
        <v>5178</v>
      </c>
      <c r="P9308" t="s">
        <v>2731</v>
      </c>
      <c r="Y9308" t="s">
        <v>36413</v>
      </c>
    </row>
    <row r="9309" spans="1:25" x14ac:dyDescent="0.25">
      <c r="A9309" t="str">
        <f>"108487296900"</f>
        <v>108487296900</v>
      </c>
      <c r="B9309" t="s">
        <v>574</v>
      </c>
      <c r="C9309" t="s">
        <v>24087</v>
      </c>
      <c r="D9309" t="s">
        <v>36414</v>
      </c>
      <c r="E9309">
        <v>424028</v>
      </c>
      <c r="F9309" t="s">
        <v>1</v>
      </c>
      <c r="G9309" t="s">
        <v>2</v>
      </c>
      <c r="H9309" t="s">
        <v>5034</v>
      </c>
      <c r="J9309" t="s">
        <v>31102</v>
      </c>
      <c r="P9309" t="s">
        <v>1027</v>
      </c>
      <c r="Y9309" t="s">
        <v>36415</v>
      </c>
    </row>
    <row r="9310" spans="1:25" x14ac:dyDescent="0.25">
      <c r="A9310" t="str">
        <f>"108535489694"</f>
        <v>108535489694</v>
      </c>
      <c r="B9310" t="s">
        <v>1573</v>
      </c>
      <c r="C9310" t="s">
        <v>1817</v>
      </c>
      <c r="D9310" t="s">
        <v>719</v>
      </c>
      <c r="E9310">
        <v>424028</v>
      </c>
      <c r="F9310" t="s">
        <v>1</v>
      </c>
      <c r="G9310" t="s">
        <v>2</v>
      </c>
      <c r="H9310" t="s">
        <v>15129</v>
      </c>
      <c r="Y9310" t="s">
        <v>36416</v>
      </c>
    </row>
    <row r="9311" spans="1:25" x14ac:dyDescent="0.25">
      <c r="A9311" t="str">
        <f>"108578271916"</f>
        <v>108578271916</v>
      </c>
      <c r="B9311" t="s">
        <v>160</v>
      </c>
      <c r="C9311" t="s">
        <v>2327</v>
      </c>
      <c r="D9311" t="s">
        <v>36417</v>
      </c>
      <c r="E9311">
        <v>424007</v>
      </c>
      <c r="F9311" t="s">
        <v>1</v>
      </c>
      <c r="G9311" t="s">
        <v>2</v>
      </c>
      <c r="H9311" t="s">
        <v>10607</v>
      </c>
      <c r="Y9311" t="s">
        <v>36418</v>
      </c>
    </row>
    <row r="9312" spans="1:25" x14ac:dyDescent="0.25">
      <c r="A9312" t="str">
        <f>"108582784573"</f>
        <v>108582784573</v>
      </c>
      <c r="B9312" t="s">
        <v>574</v>
      </c>
      <c r="C9312" t="s">
        <v>14652</v>
      </c>
      <c r="D9312" t="s">
        <v>24972</v>
      </c>
      <c r="E9312">
        <v>424038</v>
      </c>
      <c r="F9312" t="s">
        <v>1</v>
      </c>
      <c r="G9312" t="s">
        <v>2</v>
      </c>
      <c r="H9312" t="s">
        <v>36419</v>
      </c>
      <c r="Y9312" t="s">
        <v>35083</v>
      </c>
    </row>
    <row r="9313" spans="1:25" x14ac:dyDescent="0.25">
      <c r="A9313" t="str">
        <f>"108588123347"</f>
        <v>108588123347</v>
      </c>
      <c r="B9313" t="s">
        <v>1046</v>
      </c>
      <c r="C9313" t="s">
        <v>27404</v>
      </c>
      <c r="D9313" t="s">
        <v>36420</v>
      </c>
      <c r="F9313" t="s">
        <v>1</v>
      </c>
      <c r="G9313" t="s">
        <v>2</v>
      </c>
      <c r="H9313" t="s">
        <v>27403</v>
      </c>
      <c r="Y9313" t="s">
        <v>36421</v>
      </c>
    </row>
    <row r="9314" spans="1:25" x14ac:dyDescent="0.25">
      <c r="A9314" t="str">
        <f>"108600002987"</f>
        <v>108600002987</v>
      </c>
      <c r="B9314" t="s">
        <v>96</v>
      </c>
      <c r="C9314" t="s">
        <v>893</v>
      </c>
      <c r="D9314" t="s">
        <v>27329</v>
      </c>
      <c r="E9314">
        <v>424000</v>
      </c>
      <c r="F9314" t="s">
        <v>1</v>
      </c>
      <c r="G9314" t="s">
        <v>2</v>
      </c>
      <c r="H9314" t="s">
        <v>1531</v>
      </c>
      <c r="P9314" t="s">
        <v>941</v>
      </c>
      <c r="Y9314" t="s">
        <v>1707</v>
      </c>
    </row>
    <row r="9315" spans="1:25" x14ac:dyDescent="0.25">
      <c r="A9315" t="str">
        <f>"108644134174"</f>
        <v>108644134174</v>
      </c>
      <c r="B9315" t="s">
        <v>456</v>
      </c>
      <c r="C9315" t="s">
        <v>24964</v>
      </c>
      <c r="D9315" t="s">
        <v>36422</v>
      </c>
      <c r="E9315">
        <v>424002</v>
      </c>
      <c r="F9315" t="s">
        <v>1</v>
      </c>
      <c r="G9315" t="s">
        <v>2</v>
      </c>
      <c r="H9315" t="s">
        <v>16252</v>
      </c>
      <c r="I9315" t="s">
        <v>36423</v>
      </c>
      <c r="P9315" t="s">
        <v>330</v>
      </c>
      <c r="Y9315" t="s">
        <v>36424</v>
      </c>
    </row>
    <row r="9316" spans="1:25" x14ac:dyDescent="0.25">
      <c r="A9316" t="str">
        <f>"108650346500"</f>
        <v>108650346500</v>
      </c>
      <c r="B9316" t="s">
        <v>574</v>
      </c>
      <c r="C9316" t="s">
        <v>646</v>
      </c>
      <c r="D9316" t="s">
        <v>3057</v>
      </c>
      <c r="E9316">
        <v>424032</v>
      </c>
      <c r="F9316" t="s">
        <v>1</v>
      </c>
      <c r="G9316" t="s">
        <v>2</v>
      </c>
      <c r="H9316" t="s">
        <v>30668</v>
      </c>
      <c r="P9316" t="s">
        <v>60</v>
      </c>
      <c r="Y9316" t="s">
        <v>36425</v>
      </c>
    </row>
    <row r="9317" spans="1:25" x14ac:dyDescent="0.25">
      <c r="A9317" t="str">
        <f>"108665265462"</f>
        <v>108665265462</v>
      </c>
      <c r="B9317" t="s">
        <v>6478</v>
      </c>
      <c r="C9317" t="s">
        <v>36427</v>
      </c>
      <c r="D9317" t="s">
        <v>36426</v>
      </c>
      <c r="E9317">
        <v>424038</v>
      </c>
      <c r="F9317" t="s">
        <v>1</v>
      </c>
      <c r="G9317" t="s">
        <v>2</v>
      </c>
      <c r="H9317" t="s">
        <v>4399</v>
      </c>
      <c r="Y9317" t="s">
        <v>36428</v>
      </c>
    </row>
    <row r="9318" spans="1:25" x14ac:dyDescent="0.25">
      <c r="A9318" t="str">
        <f>"108668191354"</f>
        <v>108668191354</v>
      </c>
      <c r="B9318" t="s">
        <v>1046</v>
      </c>
      <c r="C9318" t="s">
        <v>2695</v>
      </c>
      <c r="D9318" t="s">
        <v>36429</v>
      </c>
      <c r="E9318">
        <v>424007</v>
      </c>
      <c r="F9318" t="s">
        <v>1</v>
      </c>
      <c r="G9318" t="s">
        <v>2</v>
      </c>
      <c r="H9318" t="s">
        <v>22705</v>
      </c>
      <c r="P9318" t="s">
        <v>330</v>
      </c>
      <c r="Y9318" t="s">
        <v>36430</v>
      </c>
    </row>
    <row r="9319" spans="1:25" x14ac:dyDescent="0.25">
      <c r="A9319" t="str">
        <f>"108681075757"</f>
        <v>108681075757</v>
      </c>
      <c r="B9319" t="s">
        <v>18</v>
      </c>
      <c r="C9319" t="s">
        <v>12289</v>
      </c>
      <c r="D9319" t="s">
        <v>36431</v>
      </c>
      <c r="E9319">
        <v>424039</v>
      </c>
      <c r="F9319" t="s">
        <v>1</v>
      </c>
      <c r="G9319" t="s">
        <v>2</v>
      </c>
      <c r="H9319" t="s">
        <v>5195</v>
      </c>
      <c r="Y9319" t="s">
        <v>36432</v>
      </c>
    </row>
    <row r="9320" spans="1:25" x14ac:dyDescent="0.25">
      <c r="A9320" t="str">
        <f>"108701198954"</f>
        <v>108701198954</v>
      </c>
      <c r="B9320" t="s">
        <v>624</v>
      </c>
      <c r="C9320" t="s">
        <v>36434</v>
      </c>
      <c r="D9320" t="s">
        <v>36433</v>
      </c>
      <c r="E9320">
        <v>424016</v>
      </c>
      <c r="F9320" t="s">
        <v>1</v>
      </c>
      <c r="G9320" t="s">
        <v>2</v>
      </c>
      <c r="H9320" t="s">
        <v>848</v>
      </c>
      <c r="I9320" t="s">
        <v>19313</v>
      </c>
      <c r="P9320" t="s">
        <v>152</v>
      </c>
      <c r="Y9320" t="s">
        <v>855</v>
      </c>
    </row>
    <row r="9321" spans="1:25" x14ac:dyDescent="0.25">
      <c r="A9321" t="str">
        <f>"108701816220"</f>
        <v>108701816220</v>
      </c>
      <c r="B9321" t="s">
        <v>530</v>
      </c>
      <c r="C9321" t="s">
        <v>23950</v>
      </c>
      <c r="D9321" t="s">
        <v>23950</v>
      </c>
      <c r="F9321" t="s">
        <v>1</v>
      </c>
      <c r="G9321" t="s">
        <v>2</v>
      </c>
      <c r="H9321" t="s">
        <v>36435</v>
      </c>
      <c r="Y9321" t="s">
        <v>36436</v>
      </c>
    </row>
    <row r="9322" spans="1:25" x14ac:dyDescent="0.25">
      <c r="A9322" t="str">
        <f>"108747322106"</f>
        <v>108747322106</v>
      </c>
      <c r="B9322" t="s">
        <v>397</v>
      </c>
      <c r="C9322" t="s">
        <v>34463</v>
      </c>
      <c r="D9322" t="s">
        <v>36437</v>
      </c>
      <c r="E9322">
        <v>424007</v>
      </c>
      <c r="F9322" t="s">
        <v>1</v>
      </c>
      <c r="G9322" t="s">
        <v>2</v>
      </c>
      <c r="H9322" t="s">
        <v>5281</v>
      </c>
      <c r="Y9322" t="s">
        <v>36438</v>
      </c>
    </row>
    <row r="9323" spans="1:25" x14ac:dyDescent="0.25">
      <c r="A9323" t="str">
        <f>"108748513926"</f>
        <v>108748513926</v>
      </c>
      <c r="B9323" t="s">
        <v>2601</v>
      </c>
      <c r="C9323" t="s">
        <v>25512</v>
      </c>
      <c r="D9323" t="s">
        <v>31971</v>
      </c>
      <c r="E9323">
        <v>424031</v>
      </c>
      <c r="F9323" t="s">
        <v>1</v>
      </c>
      <c r="G9323" t="s">
        <v>2</v>
      </c>
      <c r="H9323" t="s">
        <v>3018</v>
      </c>
      <c r="J9323" t="s">
        <v>26382</v>
      </c>
      <c r="L9323" t="s">
        <v>36439</v>
      </c>
      <c r="M9323" t="s">
        <v>36440</v>
      </c>
      <c r="P9323" t="s">
        <v>144</v>
      </c>
      <c r="Q9323" t="s">
        <v>36441</v>
      </c>
      <c r="V9323" t="s">
        <v>36442</v>
      </c>
      <c r="Y9323" t="s">
        <v>36443</v>
      </c>
    </row>
    <row r="9324" spans="1:25" x14ac:dyDescent="0.25">
      <c r="A9324" t="str">
        <f>"108765913342"</f>
        <v>108765913342</v>
      </c>
      <c r="B9324" t="s">
        <v>371</v>
      </c>
      <c r="C9324" t="s">
        <v>36448</v>
      </c>
      <c r="D9324" t="s">
        <v>36444</v>
      </c>
      <c r="E9324">
        <v>424031</v>
      </c>
      <c r="F9324" t="s">
        <v>1</v>
      </c>
      <c r="G9324" t="s">
        <v>2</v>
      </c>
      <c r="H9324" t="s">
        <v>2018</v>
      </c>
      <c r="I9324" t="s">
        <v>36445</v>
      </c>
      <c r="L9324" t="s">
        <v>36446</v>
      </c>
      <c r="M9324" t="s">
        <v>36447</v>
      </c>
      <c r="P9324" t="s">
        <v>27</v>
      </c>
      <c r="Y9324" t="s">
        <v>2131</v>
      </c>
    </row>
    <row r="9325" spans="1:25" x14ac:dyDescent="0.25">
      <c r="A9325" t="str">
        <f>"108766604468"</f>
        <v>108766604468</v>
      </c>
      <c r="B9325" t="s">
        <v>32</v>
      </c>
      <c r="C9325" t="s">
        <v>12657</v>
      </c>
      <c r="D9325" t="s">
        <v>36449</v>
      </c>
      <c r="E9325">
        <v>424020</v>
      </c>
      <c r="F9325" t="s">
        <v>1</v>
      </c>
      <c r="G9325" t="s">
        <v>2</v>
      </c>
      <c r="H9325" t="s">
        <v>5634</v>
      </c>
      <c r="J9325" t="s">
        <v>36450</v>
      </c>
      <c r="P9325" t="s">
        <v>133</v>
      </c>
      <c r="Y9325" t="s">
        <v>13710</v>
      </c>
    </row>
    <row r="9326" spans="1:25" x14ac:dyDescent="0.25">
      <c r="A9326" t="str">
        <f>"108775154414"</f>
        <v>108775154414</v>
      </c>
      <c r="B9326" t="s">
        <v>1152</v>
      </c>
      <c r="C9326" t="s">
        <v>1152</v>
      </c>
      <c r="D9326" t="s">
        <v>36451</v>
      </c>
      <c r="E9326">
        <v>424000</v>
      </c>
      <c r="F9326" t="s">
        <v>1</v>
      </c>
      <c r="G9326" t="s">
        <v>2</v>
      </c>
      <c r="H9326" t="s">
        <v>1531</v>
      </c>
      <c r="Y9326" t="s">
        <v>1707</v>
      </c>
    </row>
    <row r="9327" spans="1:25" x14ac:dyDescent="0.25">
      <c r="A9327" t="str">
        <f>"108810183687"</f>
        <v>108810183687</v>
      </c>
      <c r="B9327" t="s">
        <v>284</v>
      </c>
      <c r="C9327" t="s">
        <v>2462</v>
      </c>
      <c r="D9327" t="s">
        <v>36452</v>
      </c>
      <c r="E9327">
        <v>424006</v>
      </c>
      <c r="F9327" t="s">
        <v>1</v>
      </c>
      <c r="G9327" t="s">
        <v>2</v>
      </c>
      <c r="H9327" t="s">
        <v>2966</v>
      </c>
      <c r="J9327" t="s">
        <v>36453</v>
      </c>
      <c r="P9327" t="s">
        <v>16507</v>
      </c>
      <c r="Y9327" t="s">
        <v>2970</v>
      </c>
    </row>
    <row r="9328" spans="1:25" x14ac:dyDescent="0.25">
      <c r="A9328" t="str">
        <f>"108826174643"</f>
        <v>108826174643</v>
      </c>
      <c r="B9328" t="s">
        <v>930</v>
      </c>
      <c r="C9328" t="s">
        <v>36456</v>
      </c>
      <c r="D9328" t="s">
        <v>36454</v>
      </c>
      <c r="E9328">
        <v>424008</v>
      </c>
      <c r="F9328" t="s">
        <v>1</v>
      </c>
      <c r="G9328" t="s">
        <v>2</v>
      </c>
      <c r="H9328" t="s">
        <v>3812</v>
      </c>
      <c r="I9328" t="s">
        <v>36455</v>
      </c>
      <c r="P9328" t="s">
        <v>2438</v>
      </c>
      <c r="Q9328" t="s">
        <v>36457</v>
      </c>
      <c r="Y9328" t="s">
        <v>36458</v>
      </c>
    </row>
    <row r="9329" spans="1:25" x14ac:dyDescent="0.25">
      <c r="A9329" t="str">
        <f>"108828250505"</f>
        <v>108828250505</v>
      </c>
      <c r="B9329" t="s">
        <v>319</v>
      </c>
      <c r="C9329" t="s">
        <v>320</v>
      </c>
      <c r="D9329" t="s">
        <v>36459</v>
      </c>
      <c r="E9329">
        <v>424016</v>
      </c>
      <c r="F9329" t="s">
        <v>1</v>
      </c>
      <c r="G9329" t="s">
        <v>2</v>
      </c>
      <c r="H9329" t="s">
        <v>673</v>
      </c>
      <c r="L9329" t="s">
        <v>2559</v>
      </c>
      <c r="M9329" t="s">
        <v>10600</v>
      </c>
      <c r="P9329" t="s">
        <v>2561</v>
      </c>
      <c r="Y9329" t="s">
        <v>1072</v>
      </c>
    </row>
    <row r="9330" spans="1:25" x14ac:dyDescent="0.25">
      <c r="A9330" t="str">
        <f>"108838143219"</f>
        <v>108838143219</v>
      </c>
      <c r="B9330" t="s">
        <v>3544</v>
      </c>
      <c r="C9330" t="s">
        <v>11303</v>
      </c>
      <c r="D9330" t="s">
        <v>36460</v>
      </c>
      <c r="E9330">
        <v>424008</v>
      </c>
      <c r="F9330" t="s">
        <v>1</v>
      </c>
      <c r="G9330" t="s">
        <v>2</v>
      </c>
      <c r="H9330" t="s">
        <v>1012</v>
      </c>
      <c r="I9330" t="s">
        <v>36461</v>
      </c>
      <c r="L9330" t="s">
        <v>36462</v>
      </c>
      <c r="M9330" t="s">
        <v>36463</v>
      </c>
      <c r="P9330" t="s">
        <v>260</v>
      </c>
      <c r="Y9330" t="s">
        <v>1016</v>
      </c>
    </row>
    <row r="9331" spans="1:25" x14ac:dyDescent="0.25">
      <c r="A9331" t="str">
        <f>"108853669990"</f>
        <v>108853669990</v>
      </c>
      <c r="B9331" t="s">
        <v>96</v>
      </c>
      <c r="C9331" t="s">
        <v>8578</v>
      </c>
      <c r="D9331" t="s">
        <v>29469</v>
      </c>
      <c r="E9331">
        <v>424000</v>
      </c>
      <c r="F9331" t="s">
        <v>1</v>
      </c>
      <c r="G9331" t="s">
        <v>2</v>
      </c>
      <c r="H9331" t="s">
        <v>1473</v>
      </c>
      <c r="P9331" t="s">
        <v>144</v>
      </c>
      <c r="Y9331" t="s">
        <v>36464</v>
      </c>
    </row>
    <row r="9332" spans="1:25" x14ac:dyDescent="0.25">
      <c r="A9332" t="str">
        <f>"108859740588"</f>
        <v>108859740588</v>
      </c>
      <c r="B9332" t="s">
        <v>188</v>
      </c>
      <c r="C9332" t="s">
        <v>23982</v>
      </c>
      <c r="D9332" t="s">
        <v>23982</v>
      </c>
      <c r="E9332">
        <v>424006</v>
      </c>
      <c r="F9332" t="s">
        <v>1</v>
      </c>
      <c r="G9332" t="s">
        <v>2</v>
      </c>
      <c r="H9332" t="s">
        <v>32734</v>
      </c>
      <c r="Y9332" t="s">
        <v>36465</v>
      </c>
    </row>
    <row r="9333" spans="1:25" x14ac:dyDescent="0.25">
      <c r="A9333" t="str">
        <f>"108880953691"</f>
        <v>108880953691</v>
      </c>
      <c r="B9333" t="s">
        <v>530</v>
      </c>
      <c r="C9333" t="s">
        <v>10576</v>
      </c>
      <c r="D9333" t="s">
        <v>34578</v>
      </c>
      <c r="E9333">
        <v>424005</v>
      </c>
      <c r="F9333" t="s">
        <v>1</v>
      </c>
      <c r="G9333" t="s">
        <v>2</v>
      </c>
      <c r="H9333" t="s">
        <v>36466</v>
      </c>
      <c r="Y9333" t="s">
        <v>36467</v>
      </c>
    </row>
    <row r="9334" spans="1:25" x14ac:dyDescent="0.25">
      <c r="A9334" t="str">
        <f>"108883108900"</f>
        <v>108883108900</v>
      </c>
      <c r="B9334" t="s">
        <v>3700</v>
      </c>
      <c r="C9334" t="s">
        <v>4023</v>
      </c>
      <c r="D9334" t="s">
        <v>36468</v>
      </c>
      <c r="E9334">
        <v>424020</v>
      </c>
      <c r="F9334" t="s">
        <v>1</v>
      </c>
      <c r="G9334" t="s">
        <v>2</v>
      </c>
      <c r="H9334" t="s">
        <v>802</v>
      </c>
      <c r="Y9334" t="s">
        <v>36469</v>
      </c>
    </row>
    <row r="9335" spans="1:25" x14ac:dyDescent="0.25">
      <c r="A9335" t="str">
        <f>"108887799578"</f>
        <v>108887799578</v>
      </c>
      <c r="B9335" t="s">
        <v>123</v>
      </c>
      <c r="C9335" t="s">
        <v>15445</v>
      </c>
      <c r="D9335" t="s">
        <v>27179</v>
      </c>
      <c r="E9335">
        <v>424038</v>
      </c>
      <c r="F9335" t="s">
        <v>1</v>
      </c>
      <c r="G9335" t="s">
        <v>2</v>
      </c>
      <c r="H9335" t="s">
        <v>386</v>
      </c>
      <c r="I9335" t="s">
        <v>36470</v>
      </c>
      <c r="L9335" t="s">
        <v>23221</v>
      </c>
      <c r="M9335" t="s">
        <v>36471</v>
      </c>
      <c r="P9335" t="s">
        <v>8372</v>
      </c>
      <c r="Q9335" t="s">
        <v>36472</v>
      </c>
      <c r="V9335" t="s">
        <v>36473</v>
      </c>
      <c r="Y9335" t="s">
        <v>36474</v>
      </c>
    </row>
    <row r="9336" spans="1:25" x14ac:dyDescent="0.25">
      <c r="A9336" t="str">
        <f>"108895850430"</f>
        <v>108895850430</v>
      </c>
      <c r="B9336" t="s">
        <v>32</v>
      </c>
      <c r="C9336" t="s">
        <v>12657</v>
      </c>
      <c r="D9336" t="s">
        <v>29860</v>
      </c>
      <c r="E9336">
        <v>424036</v>
      </c>
      <c r="F9336" t="s">
        <v>1</v>
      </c>
      <c r="G9336" t="s">
        <v>2</v>
      </c>
      <c r="H9336" t="s">
        <v>375</v>
      </c>
      <c r="Y9336" t="s">
        <v>384</v>
      </c>
    </row>
    <row r="9337" spans="1:25" x14ac:dyDescent="0.25">
      <c r="A9337" t="str">
        <f>"108896863958"</f>
        <v>108896863958</v>
      </c>
      <c r="B9337" t="s">
        <v>176</v>
      </c>
      <c r="C9337" t="s">
        <v>250</v>
      </c>
      <c r="D9337" t="s">
        <v>36475</v>
      </c>
      <c r="E9337">
        <v>424000</v>
      </c>
      <c r="F9337" t="s">
        <v>1</v>
      </c>
      <c r="G9337" t="s">
        <v>2</v>
      </c>
      <c r="H9337" t="s">
        <v>1473</v>
      </c>
      <c r="P9337" t="s">
        <v>941</v>
      </c>
      <c r="Y9337" t="s">
        <v>31021</v>
      </c>
    </row>
    <row r="9338" spans="1:25" x14ac:dyDescent="0.25">
      <c r="A9338" t="str">
        <f>"108897661902"</f>
        <v>108897661902</v>
      </c>
      <c r="B9338" t="s">
        <v>1573</v>
      </c>
      <c r="C9338" t="s">
        <v>36477</v>
      </c>
      <c r="D9338" t="s">
        <v>36476</v>
      </c>
      <c r="E9338">
        <v>424006</v>
      </c>
      <c r="F9338" t="s">
        <v>1</v>
      </c>
      <c r="G9338" t="s">
        <v>2</v>
      </c>
      <c r="H9338" t="s">
        <v>692</v>
      </c>
      <c r="P9338" t="s">
        <v>16184</v>
      </c>
      <c r="Y9338" t="s">
        <v>36478</v>
      </c>
    </row>
    <row r="9339" spans="1:25" x14ac:dyDescent="0.25">
      <c r="A9339" t="str">
        <f>"108926460763"</f>
        <v>108926460763</v>
      </c>
      <c r="B9339" t="s">
        <v>96</v>
      </c>
      <c r="C9339" t="s">
        <v>893</v>
      </c>
      <c r="D9339" t="s">
        <v>36479</v>
      </c>
      <c r="E9339">
        <v>424002</v>
      </c>
      <c r="F9339" t="s">
        <v>1</v>
      </c>
      <c r="G9339" t="s">
        <v>2</v>
      </c>
      <c r="H9339" t="s">
        <v>744</v>
      </c>
      <c r="P9339" t="s">
        <v>748</v>
      </c>
      <c r="Y9339" t="s">
        <v>749</v>
      </c>
    </row>
    <row r="9340" spans="1:25" x14ac:dyDescent="0.25">
      <c r="A9340" t="str">
        <f>"108955069037"</f>
        <v>108955069037</v>
      </c>
      <c r="B9340" t="s">
        <v>738</v>
      </c>
      <c r="C9340" t="s">
        <v>36481</v>
      </c>
      <c r="D9340" t="s">
        <v>36480</v>
      </c>
      <c r="E9340">
        <v>424006</v>
      </c>
      <c r="F9340" t="s">
        <v>1</v>
      </c>
      <c r="G9340" t="s">
        <v>2</v>
      </c>
      <c r="H9340" t="s">
        <v>6133</v>
      </c>
      <c r="Y9340" t="s">
        <v>36482</v>
      </c>
    </row>
    <row r="9341" spans="1:25" x14ac:dyDescent="0.25">
      <c r="A9341" t="str">
        <f>"108982604834"</f>
        <v>108982604834</v>
      </c>
      <c r="B9341" t="s">
        <v>32</v>
      </c>
      <c r="C9341" t="s">
        <v>182</v>
      </c>
      <c r="D9341" t="s">
        <v>36483</v>
      </c>
      <c r="E9341">
        <v>424003</v>
      </c>
      <c r="F9341" t="s">
        <v>1</v>
      </c>
      <c r="G9341" t="s">
        <v>2</v>
      </c>
      <c r="H9341" t="s">
        <v>3158</v>
      </c>
      <c r="J9341" t="s">
        <v>36484</v>
      </c>
      <c r="P9341" t="s">
        <v>23594</v>
      </c>
      <c r="Y9341" t="s">
        <v>6780</v>
      </c>
    </row>
    <row r="9342" spans="1:25" x14ac:dyDescent="0.25">
      <c r="A9342" t="str">
        <f>"109010469060"</f>
        <v>109010469060</v>
      </c>
      <c r="B9342" t="s">
        <v>3544</v>
      </c>
      <c r="C9342" t="s">
        <v>36486</v>
      </c>
      <c r="D9342" t="s">
        <v>36485</v>
      </c>
      <c r="E9342">
        <v>424038</v>
      </c>
      <c r="F9342" t="s">
        <v>1</v>
      </c>
      <c r="G9342" t="s">
        <v>2</v>
      </c>
      <c r="H9342" t="s">
        <v>1366</v>
      </c>
      <c r="Y9342" t="s">
        <v>36487</v>
      </c>
    </row>
    <row r="9343" spans="1:25" x14ac:dyDescent="0.25">
      <c r="A9343" t="str">
        <f>"109010809942"</f>
        <v>109010809942</v>
      </c>
      <c r="B9343" t="s">
        <v>1152</v>
      </c>
      <c r="C9343" t="s">
        <v>1153</v>
      </c>
      <c r="D9343" t="s">
        <v>10280</v>
      </c>
      <c r="E9343">
        <v>424000</v>
      </c>
      <c r="F9343" t="s">
        <v>1</v>
      </c>
      <c r="G9343" t="s">
        <v>2</v>
      </c>
      <c r="H9343" t="s">
        <v>92</v>
      </c>
      <c r="I9343" t="s">
        <v>22092</v>
      </c>
      <c r="M9343" t="s">
        <v>10284</v>
      </c>
      <c r="P9343" t="s">
        <v>98</v>
      </c>
      <c r="Q9343" t="s">
        <v>10286</v>
      </c>
      <c r="R9343" t="s">
        <v>10287</v>
      </c>
      <c r="S9343" t="s">
        <v>10288</v>
      </c>
      <c r="T9343" t="s">
        <v>10289</v>
      </c>
      <c r="U9343" t="s">
        <v>10290</v>
      </c>
      <c r="V9343" t="s">
        <v>10291</v>
      </c>
      <c r="Y9343" t="s">
        <v>36488</v>
      </c>
    </row>
    <row r="9344" spans="1:25" x14ac:dyDescent="0.25">
      <c r="A9344" t="str">
        <f>"109056261558"</f>
        <v>109056261558</v>
      </c>
      <c r="B9344" t="s">
        <v>117</v>
      </c>
      <c r="C9344" t="s">
        <v>873</v>
      </c>
      <c r="D9344" t="s">
        <v>873</v>
      </c>
      <c r="F9344" t="s">
        <v>1</v>
      </c>
      <c r="G9344" t="s">
        <v>2</v>
      </c>
      <c r="H9344" t="s">
        <v>25642</v>
      </c>
      <c r="Y9344" t="s">
        <v>36489</v>
      </c>
    </row>
    <row r="9345" spans="1:25" x14ac:dyDescent="0.25">
      <c r="A9345" t="str">
        <f>"109071292987"</f>
        <v>109071292987</v>
      </c>
      <c r="B9345" t="s">
        <v>1230</v>
      </c>
      <c r="C9345" t="s">
        <v>2526</v>
      </c>
      <c r="D9345" t="s">
        <v>36490</v>
      </c>
      <c r="E9345">
        <v>424031</v>
      </c>
      <c r="F9345" t="s">
        <v>1</v>
      </c>
      <c r="G9345" t="s">
        <v>2</v>
      </c>
      <c r="H9345" t="s">
        <v>8799</v>
      </c>
      <c r="Y9345" t="s">
        <v>20938</v>
      </c>
    </row>
    <row r="9346" spans="1:25" x14ac:dyDescent="0.25">
      <c r="A9346" t="str">
        <f>"109083519029"</f>
        <v>109083519029</v>
      </c>
      <c r="B9346" t="s">
        <v>96</v>
      </c>
      <c r="C9346" t="s">
        <v>36495</v>
      </c>
      <c r="D9346" t="s">
        <v>36491</v>
      </c>
      <c r="E9346">
        <v>424038</v>
      </c>
      <c r="F9346" t="s">
        <v>1</v>
      </c>
      <c r="G9346" t="s">
        <v>2</v>
      </c>
      <c r="H9346" t="s">
        <v>7597</v>
      </c>
      <c r="I9346" t="s">
        <v>36492</v>
      </c>
      <c r="L9346" t="s">
        <v>36493</v>
      </c>
      <c r="M9346" t="s">
        <v>36494</v>
      </c>
      <c r="P9346" t="s">
        <v>1642</v>
      </c>
      <c r="Q9346" t="s">
        <v>36496</v>
      </c>
      <c r="T9346" t="s">
        <v>36497</v>
      </c>
      <c r="V9346" t="s">
        <v>36498</v>
      </c>
      <c r="Y9346" t="s">
        <v>36499</v>
      </c>
    </row>
    <row r="9347" spans="1:25" x14ac:dyDescent="0.25">
      <c r="A9347" t="str">
        <f>"109103960252"</f>
        <v>109103960252</v>
      </c>
      <c r="B9347" t="s">
        <v>188</v>
      </c>
      <c r="C9347" t="s">
        <v>8311</v>
      </c>
      <c r="D9347" t="s">
        <v>36500</v>
      </c>
      <c r="E9347">
        <v>424037</v>
      </c>
      <c r="F9347" t="s">
        <v>1</v>
      </c>
      <c r="G9347" t="s">
        <v>2</v>
      </c>
      <c r="H9347" t="s">
        <v>2680</v>
      </c>
      <c r="I9347" t="s">
        <v>36501</v>
      </c>
      <c r="L9347" t="s">
        <v>36502</v>
      </c>
      <c r="M9347" t="s">
        <v>36503</v>
      </c>
      <c r="P9347" t="s">
        <v>340</v>
      </c>
      <c r="Q9347" t="s">
        <v>36504</v>
      </c>
      <c r="R9347" t="s">
        <v>36505</v>
      </c>
      <c r="T9347" t="s">
        <v>36506</v>
      </c>
      <c r="V9347" t="s">
        <v>36507</v>
      </c>
      <c r="Y9347" t="s">
        <v>22281</v>
      </c>
    </row>
    <row r="9348" spans="1:25" x14ac:dyDescent="0.25">
      <c r="A9348" t="str">
        <f>"109114382245"</f>
        <v>109114382245</v>
      </c>
      <c r="B9348" t="s">
        <v>284</v>
      </c>
      <c r="C9348" t="s">
        <v>27632</v>
      </c>
      <c r="D9348" t="s">
        <v>36508</v>
      </c>
      <c r="F9348" t="s">
        <v>1</v>
      </c>
      <c r="G9348" t="s">
        <v>2</v>
      </c>
      <c r="H9348" t="s">
        <v>4915</v>
      </c>
      <c r="Y9348" t="s">
        <v>36509</v>
      </c>
    </row>
    <row r="9349" spans="1:25" x14ac:dyDescent="0.25">
      <c r="A9349" t="str">
        <f>"109128612077"</f>
        <v>109128612077</v>
      </c>
      <c r="B9349" t="s">
        <v>32</v>
      </c>
      <c r="C9349" t="s">
        <v>182</v>
      </c>
      <c r="D9349" t="s">
        <v>36510</v>
      </c>
      <c r="E9349">
        <v>424000</v>
      </c>
      <c r="F9349" t="s">
        <v>1</v>
      </c>
      <c r="G9349" t="s">
        <v>2</v>
      </c>
      <c r="H9349" t="s">
        <v>1746</v>
      </c>
      <c r="Y9349" t="s">
        <v>36511</v>
      </c>
    </row>
    <row r="9350" spans="1:25" x14ac:dyDescent="0.25">
      <c r="A9350" t="str">
        <f>"109150967298"</f>
        <v>109150967298</v>
      </c>
      <c r="B9350" t="s">
        <v>3544</v>
      </c>
      <c r="C9350" t="s">
        <v>11303</v>
      </c>
      <c r="D9350" t="s">
        <v>36512</v>
      </c>
      <c r="E9350">
        <v>424002</v>
      </c>
      <c r="F9350" t="s">
        <v>1</v>
      </c>
      <c r="G9350" t="s">
        <v>2</v>
      </c>
      <c r="H9350" t="s">
        <v>662</v>
      </c>
      <c r="Y9350" t="s">
        <v>36513</v>
      </c>
    </row>
    <row r="9351" spans="1:25" x14ac:dyDescent="0.25">
      <c r="A9351" t="str">
        <f>"109158945331"</f>
        <v>109158945331</v>
      </c>
      <c r="B9351" t="s">
        <v>624</v>
      </c>
      <c r="C9351" t="s">
        <v>1637</v>
      </c>
      <c r="D9351" t="s">
        <v>36514</v>
      </c>
      <c r="E9351">
        <v>424006</v>
      </c>
      <c r="F9351" t="s">
        <v>1</v>
      </c>
      <c r="G9351" t="s">
        <v>2</v>
      </c>
      <c r="H9351" t="s">
        <v>36515</v>
      </c>
      <c r="J9351" t="s">
        <v>36516</v>
      </c>
      <c r="P9351" t="s">
        <v>330</v>
      </c>
      <c r="Y9351" t="s">
        <v>36517</v>
      </c>
    </row>
    <row r="9352" spans="1:25" x14ac:dyDescent="0.25">
      <c r="A9352" t="str">
        <f>"109167191551"</f>
        <v>109167191551</v>
      </c>
      <c r="B9352" t="s">
        <v>319</v>
      </c>
      <c r="C9352" t="s">
        <v>320</v>
      </c>
      <c r="D9352" t="s">
        <v>32261</v>
      </c>
      <c r="E9352">
        <v>424019</v>
      </c>
      <c r="F9352" t="s">
        <v>1</v>
      </c>
      <c r="G9352" t="s">
        <v>2</v>
      </c>
      <c r="H9352" t="s">
        <v>30407</v>
      </c>
      <c r="I9352" t="s">
        <v>36518</v>
      </c>
      <c r="L9352" t="s">
        <v>2559</v>
      </c>
      <c r="M9352" t="s">
        <v>17901</v>
      </c>
      <c r="P9352" t="s">
        <v>10486</v>
      </c>
      <c r="Y9352" t="s">
        <v>30409</v>
      </c>
    </row>
    <row r="9353" spans="1:25" x14ac:dyDescent="0.25">
      <c r="A9353" t="str">
        <f>"109181203616"</f>
        <v>109181203616</v>
      </c>
      <c r="B9353" t="s">
        <v>1352</v>
      </c>
      <c r="C9353" t="s">
        <v>1353</v>
      </c>
      <c r="D9353" t="s">
        <v>36519</v>
      </c>
      <c r="E9353">
        <v>424033</v>
      </c>
      <c r="F9353" t="s">
        <v>1</v>
      </c>
      <c r="G9353" t="s">
        <v>2</v>
      </c>
      <c r="H9353" t="s">
        <v>6875</v>
      </c>
      <c r="Y9353" t="s">
        <v>36520</v>
      </c>
    </row>
    <row r="9354" spans="1:25" x14ac:dyDescent="0.25">
      <c r="A9354" t="str">
        <f>"109204178448"</f>
        <v>109204178448</v>
      </c>
      <c r="B9354" t="s">
        <v>224</v>
      </c>
      <c r="C9354" t="s">
        <v>4931</v>
      </c>
      <c r="D9354" t="s">
        <v>36521</v>
      </c>
      <c r="E9354">
        <v>424006</v>
      </c>
      <c r="F9354" t="s">
        <v>1</v>
      </c>
      <c r="G9354" t="s">
        <v>2</v>
      </c>
      <c r="H9354" t="s">
        <v>4628</v>
      </c>
      <c r="Y9354" t="s">
        <v>6884</v>
      </c>
    </row>
    <row r="9355" spans="1:25" x14ac:dyDescent="0.25">
      <c r="A9355" t="str">
        <f>"109211038585"</f>
        <v>109211038585</v>
      </c>
      <c r="B9355" t="s">
        <v>530</v>
      </c>
      <c r="C9355" t="s">
        <v>23950</v>
      </c>
      <c r="D9355" t="s">
        <v>23950</v>
      </c>
      <c r="F9355" t="s">
        <v>1</v>
      </c>
      <c r="G9355" t="s">
        <v>2</v>
      </c>
      <c r="H9355" t="s">
        <v>7547</v>
      </c>
      <c r="Y9355" t="s">
        <v>36522</v>
      </c>
    </row>
    <row r="9356" spans="1:25" x14ac:dyDescent="0.25">
      <c r="A9356" t="str">
        <f>"109251530105"</f>
        <v>109251530105</v>
      </c>
      <c r="B9356" t="s">
        <v>1758</v>
      </c>
      <c r="C9356" t="s">
        <v>36526</v>
      </c>
      <c r="D9356" t="s">
        <v>36523</v>
      </c>
      <c r="E9356">
        <v>424002</v>
      </c>
      <c r="F9356" t="s">
        <v>1</v>
      </c>
      <c r="G9356" t="s">
        <v>2</v>
      </c>
      <c r="H9356" t="s">
        <v>9138</v>
      </c>
      <c r="J9356" t="s">
        <v>36524</v>
      </c>
      <c r="L9356" t="s">
        <v>16920</v>
      </c>
      <c r="M9356" t="s">
        <v>36525</v>
      </c>
      <c r="P9356" t="s">
        <v>18341</v>
      </c>
      <c r="Y9356" t="s">
        <v>9141</v>
      </c>
    </row>
    <row r="9357" spans="1:25" x14ac:dyDescent="0.25">
      <c r="A9357" t="str">
        <f>"109296163037"</f>
        <v>109296163037</v>
      </c>
      <c r="B9357" t="s">
        <v>348</v>
      </c>
      <c r="C9357" t="s">
        <v>30209</v>
      </c>
      <c r="D9357" t="s">
        <v>36527</v>
      </c>
      <c r="F9357" t="s">
        <v>1</v>
      </c>
      <c r="G9357" t="s">
        <v>2</v>
      </c>
      <c r="H9357" t="s">
        <v>2586</v>
      </c>
      <c r="I9357" t="s">
        <v>27469</v>
      </c>
      <c r="J9357" t="s">
        <v>36528</v>
      </c>
      <c r="L9357" t="s">
        <v>36529</v>
      </c>
      <c r="M9357" t="s">
        <v>36530</v>
      </c>
      <c r="P9357" t="s">
        <v>471</v>
      </c>
      <c r="Y9357" t="s">
        <v>23342</v>
      </c>
    </row>
    <row r="9358" spans="1:25" x14ac:dyDescent="0.25">
      <c r="A9358" t="str">
        <f>"109312541002"</f>
        <v>109312541002</v>
      </c>
      <c r="B9358" t="s">
        <v>1544</v>
      </c>
      <c r="C9358" t="s">
        <v>36536</v>
      </c>
      <c r="D9358" t="s">
        <v>36531</v>
      </c>
      <c r="E9358">
        <v>424020</v>
      </c>
      <c r="F9358" t="s">
        <v>1</v>
      </c>
      <c r="G9358" t="s">
        <v>2</v>
      </c>
      <c r="H9358" t="s">
        <v>18899</v>
      </c>
      <c r="I9358" t="s">
        <v>36532</v>
      </c>
      <c r="J9358" t="s">
        <v>36533</v>
      </c>
      <c r="L9358" t="s">
        <v>36534</v>
      </c>
      <c r="M9358" t="s">
        <v>36535</v>
      </c>
      <c r="P9358" t="s">
        <v>1642</v>
      </c>
      <c r="Q9358" t="s">
        <v>36537</v>
      </c>
      <c r="Y9358" t="s">
        <v>36538</v>
      </c>
    </row>
    <row r="9359" spans="1:25" x14ac:dyDescent="0.25">
      <c r="A9359" t="str">
        <f>"109323421774"</f>
        <v>109323421774</v>
      </c>
      <c r="B9359" t="s">
        <v>176</v>
      </c>
      <c r="C9359" t="s">
        <v>2838</v>
      </c>
      <c r="D9359" t="s">
        <v>36539</v>
      </c>
      <c r="E9359">
        <v>424002</v>
      </c>
      <c r="F9359" t="s">
        <v>1</v>
      </c>
      <c r="G9359" t="s">
        <v>2</v>
      </c>
      <c r="H9359" t="s">
        <v>3864</v>
      </c>
      <c r="I9359" t="s">
        <v>36540</v>
      </c>
      <c r="P9359" t="s">
        <v>144</v>
      </c>
      <c r="Y9359" t="s">
        <v>3867</v>
      </c>
    </row>
    <row r="9360" spans="1:25" x14ac:dyDescent="0.25">
      <c r="A9360" t="str">
        <f>"109386399124"</f>
        <v>109386399124</v>
      </c>
      <c r="B9360" t="s">
        <v>96</v>
      </c>
      <c r="C9360" t="s">
        <v>3621</v>
      </c>
      <c r="D9360" t="s">
        <v>4950</v>
      </c>
      <c r="E9360">
        <v>424000</v>
      </c>
      <c r="F9360" t="s">
        <v>1</v>
      </c>
      <c r="G9360" t="s">
        <v>2</v>
      </c>
      <c r="H9360" t="s">
        <v>1473</v>
      </c>
      <c r="P9360" t="s">
        <v>941</v>
      </c>
      <c r="Y9360" t="s">
        <v>4067</v>
      </c>
    </row>
    <row r="9361" spans="1:25" x14ac:dyDescent="0.25">
      <c r="A9361" t="str">
        <f>"109423003086"</f>
        <v>109423003086</v>
      </c>
      <c r="B9361" t="s">
        <v>319</v>
      </c>
      <c r="C9361" t="s">
        <v>320</v>
      </c>
      <c r="D9361" t="s">
        <v>320</v>
      </c>
      <c r="E9361">
        <v>424037</v>
      </c>
      <c r="F9361" t="s">
        <v>1</v>
      </c>
      <c r="G9361" t="s">
        <v>2</v>
      </c>
      <c r="H9361" t="s">
        <v>20142</v>
      </c>
      <c r="Y9361" t="s">
        <v>36541</v>
      </c>
    </row>
    <row r="9362" spans="1:25" x14ac:dyDescent="0.25">
      <c r="A9362" t="str">
        <f>"109447647189"</f>
        <v>109447647189</v>
      </c>
      <c r="B9362" t="s">
        <v>574</v>
      </c>
      <c r="C9362" t="s">
        <v>646</v>
      </c>
      <c r="D9362" t="s">
        <v>36542</v>
      </c>
      <c r="E9362">
        <v>424038</v>
      </c>
      <c r="F9362" t="s">
        <v>1</v>
      </c>
      <c r="G9362" t="s">
        <v>2</v>
      </c>
      <c r="H9362" t="s">
        <v>36543</v>
      </c>
      <c r="J9362" t="s">
        <v>31102</v>
      </c>
      <c r="P9362" t="s">
        <v>1027</v>
      </c>
      <c r="Y9362" t="s">
        <v>36544</v>
      </c>
    </row>
    <row r="9363" spans="1:25" x14ac:dyDescent="0.25">
      <c r="A9363" t="str">
        <f>"109451558348"</f>
        <v>109451558348</v>
      </c>
      <c r="B9363" t="s">
        <v>24468</v>
      </c>
      <c r="C9363" t="s">
        <v>24469</v>
      </c>
      <c r="D9363" t="s">
        <v>36545</v>
      </c>
      <c r="E9363">
        <v>424000</v>
      </c>
      <c r="F9363" t="s">
        <v>1</v>
      </c>
      <c r="G9363" t="s">
        <v>2</v>
      </c>
      <c r="H9363" t="s">
        <v>28208</v>
      </c>
      <c r="J9363" t="s">
        <v>36546</v>
      </c>
      <c r="P9363" t="s">
        <v>36547</v>
      </c>
      <c r="Y9363" t="s">
        <v>28209</v>
      </c>
    </row>
    <row r="9364" spans="1:25" x14ac:dyDescent="0.25">
      <c r="A9364" t="str">
        <f>"109454831433"</f>
        <v>109454831433</v>
      </c>
      <c r="B9364" t="s">
        <v>930</v>
      </c>
      <c r="C9364" t="s">
        <v>36549</v>
      </c>
      <c r="D9364" t="s">
        <v>36548</v>
      </c>
      <c r="F9364" t="s">
        <v>1</v>
      </c>
      <c r="G9364" t="s">
        <v>2</v>
      </c>
      <c r="H9364" t="s">
        <v>12610</v>
      </c>
      <c r="Y9364" t="s">
        <v>36550</v>
      </c>
    </row>
    <row r="9365" spans="1:25" x14ac:dyDescent="0.25">
      <c r="A9365" t="str">
        <f>"109457064847"</f>
        <v>109457064847</v>
      </c>
      <c r="B9365" t="s">
        <v>574</v>
      </c>
      <c r="C9365" t="s">
        <v>21805</v>
      </c>
      <c r="D9365" t="s">
        <v>24214</v>
      </c>
      <c r="E9365">
        <v>424006</v>
      </c>
      <c r="F9365" t="s">
        <v>1</v>
      </c>
      <c r="G9365" t="s">
        <v>2</v>
      </c>
      <c r="H9365" t="s">
        <v>2775</v>
      </c>
      <c r="J9365" t="s">
        <v>24215</v>
      </c>
      <c r="P9365" t="s">
        <v>3060</v>
      </c>
      <c r="Y9365" t="s">
        <v>2779</v>
      </c>
    </row>
    <row r="9366" spans="1:25" x14ac:dyDescent="0.25">
      <c r="A9366" t="str">
        <f>"109500304827"</f>
        <v>109500304827</v>
      </c>
      <c r="B9366" t="s">
        <v>1544</v>
      </c>
      <c r="C9366" t="s">
        <v>15598</v>
      </c>
      <c r="D9366" t="s">
        <v>36551</v>
      </c>
      <c r="E9366">
        <v>424031</v>
      </c>
      <c r="F9366" t="s">
        <v>1</v>
      </c>
      <c r="G9366" t="s">
        <v>2</v>
      </c>
      <c r="H9366" t="s">
        <v>239</v>
      </c>
      <c r="P9366" t="s">
        <v>36552</v>
      </c>
      <c r="Y9366" t="s">
        <v>36553</v>
      </c>
    </row>
    <row r="9367" spans="1:25" x14ac:dyDescent="0.25">
      <c r="A9367" t="str">
        <f>"109527017294"</f>
        <v>109527017294</v>
      </c>
      <c r="B9367" t="s">
        <v>888</v>
      </c>
      <c r="C9367" t="s">
        <v>4712</v>
      </c>
      <c r="D9367" t="s">
        <v>36554</v>
      </c>
      <c r="E9367">
        <v>424007</v>
      </c>
      <c r="F9367" t="s">
        <v>1</v>
      </c>
      <c r="G9367" t="s">
        <v>2</v>
      </c>
      <c r="H9367" t="s">
        <v>1319</v>
      </c>
      <c r="I9367" t="s">
        <v>36555</v>
      </c>
      <c r="P9367" t="s">
        <v>36556</v>
      </c>
      <c r="Y9367" t="s">
        <v>18331</v>
      </c>
    </row>
    <row r="9368" spans="1:25" x14ac:dyDescent="0.25">
      <c r="A9368" t="str">
        <f>"109537331747"</f>
        <v>109537331747</v>
      </c>
      <c r="B9368" t="s">
        <v>284</v>
      </c>
      <c r="C9368" t="s">
        <v>2462</v>
      </c>
      <c r="D9368" t="s">
        <v>13274</v>
      </c>
      <c r="F9368" t="s">
        <v>1</v>
      </c>
      <c r="G9368" t="s">
        <v>2</v>
      </c>
      <c r="H9368" t="s">
        <v>3984</v>
      </c>
      <c r="I9368" t="s">
        <v>36557</v>
      </c>
      <c r="P9368" t="s">
        <v>20</v>
      </c>
      <c r="Y9368" t="s">
        <v>4409</v>
      </c>
    </row>
    <row r="9369" spans="1:25" x14ac:dyDescent="0.25">
      <c r="A9369" t="str">
        <f>"109597971509"</f>
        <v>109597971509</v>
      </c>
      <c r="B9369" t="s">
        <v>1053</v>
      </c>
      <c r="C9369" t="s">
        <v>36559</v>
      </c>
      <c r="D9369" t="s">
        <v>21843</v>
      </c>
      <c r="E9369">
        <v>424005</v>
      </c>
      <c r="F9369" t="s">
        <v>1</v>
      </c>
      <c r="G9369" t="s">
        <v>2</v>
      </c>
      <c r="H9369" t="s">
        <v>6843</v>
      </c>
      <c r="J9369" t="s">
        <v>36558</v>
      </c>
      <c r="P9369" t="s">
        <v>330</v>
      </c>
      <c r="Y9369" t="s">
        <v>6846</v>
      </c>
    </row>
    <row r="9370" spans="1:25" x14ac:dyDescent="0.25">
      <c r="A9370" t="str">
        <f>"109602339695"</f>
        <v>109602339695</v>
      </c>
      <c r="B9370" t="s">
        <v>233</v>
      </c>
      <c r="C9370" t="s">
        <v>34636</v>
      </c>
      <c r="D9370" t="s">
        <v>23546</v>
      </c>
      <c r="E9370">
        <v>424038</v>
      </c>
      <c r="F9370" t="s">
        <v>1</v>
      </c>
      <c r="G9370" t="s">
        <v>2</v>
      </c>
      <c r="H9370" t="s">
        <v>1366</v>
      </c>
      <c r="Y9370" t="s">
        <v>36560</v>
      </c>
    </row>
    <row r="9371" spans="1:25" x14ac:dyDescent="0.25">
      <c r="A9371" t="str">
        <f>"109615597867"</f>
        <v>109615597867</v>
      </c>
      <c r="B9371" t="s">
        <v>348</v>
      </c>
      <c r="C9371" t="s">
        <v>35242</v>
      </c>
      <c r="D9371" t="s">
        <v>36561</v>
      </c>
      <c r="E9371">
        <v>424032</v>
      </c>
      <c r="F9371" t="s">
        <v>1</v>
      </c>
      <c r="G9371" t="s">
        <v>2</v>
      </c>
      <c r="H9371" t="s">
        <v>5699</v>
      </c>
      <c r="J9371" t="s">
        <v>26327</v>
      </c>
      <c r="M9371" t="s">
        <v>35241</v>
      </c>
      <c r="P9371" t="s">
        <v>1404</v>
      </c>
      <c r="Y9371" t="s">
        <v>5709</v>
      </c>
    </row>
    <row r="9372" spans="1:25" x14ac:dyDescent="0.25">
      <c r="A9372" t="str">
        <f>"109616654530"</f>
        <v>109616654530</v>
      </c>
      <c r="B9372" t="s">
        <v>388</v>
      </c>
      <c r="C9372" t="s">
        <v>4731</v>
      </c>
      <c r="D9372" t="s">
        <v>36562</v>
      </c>
      <c r="F9372" t="s">
        <v>1</v>
      </c>
      <c r="G9372" t="s">
        <v>2</v>
      </c>
      <c r="H9372" t="s">
        <v>36563</v>
      </c>
      <c r="J9372" t="s">
        <v>36564</v>
      </c>
      <c r="Y9372" t="s">
        <v>10013</v>
      </c>
    </row>
    <row r="9373" spans="1:25" x14ac:dyDescent="0.25">
      <c r="A9373" t="str">
        <f>"109624993339"</f>
        <v>109624993339</v>
      </c>
      <c r="B9373" t="s">
        <v>123</v>
      </c>
      <c r="C9373" t="s">
        <v>10232</v>
      </c>
      <c r="D9373" t="s">
        <v>13770</v>
      </c>
      <c r="E9373">
        <v>424007</v>
      </c>
      <c r="F9373" t="s">
        <v>1</v>
      </c>
      <c r="G9373" t="s">
        <v>2</v>
      </c>
      <c r="H9373" t="s">
        <v>950</v>
      </c>
      <c r="I9373" t="s">
        <v>36565</v>
      </c>
      <c r="L9373" t="s">
        <v>36566</v>
      </c>
      <c r="M9373" t="s">
        <v>36567</v>
      </c>
      <c r="P9373" t="s">
        <v>1760</v>
      </c>
      <c r="Q9373" t="s">
        <v>36568</v>
      </c>
      <c r="Y9373" t="s">
        <v>953</v>
      </c>
    </row>
    <row r="9374" spans="1:25" x14ac:dyDescent="0.25">
      <c r="A9374" t="str">
        <f>"109661808513"</f>
        <v>109661808513</v>
      </c>
      <c r="B9374" t="s">
        <v>88</v>
      </c>
      <c r="C9374" t="s">
        <v>36571</v>
      </c>
      <c r="D9374" t="s">
        <v>36569</v>
      </c>
      <c r="E9374">
        <v>424006</v>
      </c>
      <c r="F9374" t="s">
        <v>1</v>
      </c>
      <c r="G9374" t="s">
        <v>2</v>
      </c>
      <c r="H9374" t="s">
        <v>2012</v>
      </c>
      <c r="J9374" t="s">
        <v>36570</v>
      </c>
      <c r="P9374" t="s">
        <v>280</v>
      </c>
      <c r="Q9374" t="s">
        <v>36572</v>
      </c>
      <c r="V9374" t="s">
        <v>36573</v>
      </c>
      <c r="Y9374" t="s">
        <v>36574</v>
      </c>
    </row>
    <row r="9375" spans="1:25" x14ac:dyDescent="0.25">
      <c r="A9375" t="str">
        <f>"109689114365"</f>
        <v>109689114365</v>
      </c>
      <c r="B9375" t="s">
        <v>930</v>
      </c>
      <c r="C9375" t="s">
        <v>1096</v>
      </c>
      <c r="D9375" t="s">
        <v>36575</v>
      </c>
      <c r="E9375">
        <v>424032</v>
      </c>
      <c r="F9375" t="s">
        <v>1</v>
      </c>
      <c r="G9375" t="s">
        <v>2</v>
      </c>
      <c r="H9375" t="s">
        <v>36576</v>
      </c>
      <c r="J9375" t="s">
        <v>36577</v>
      </c>
      <c r="P9375" t="s">
        <v>799</v>
      </c>
      <c r="Y9375" t="s">
        <v>36578</v>
      </c>
    </row>
    <row r="9376" spans="1:25" x14ac:dyDescent="0.25">
      <c r="A9376" t="str">
        <f>"109696355718"</f>
        <v>109696355718</v>
      </c>
      <c r="B9376" t="s">
        <v>574</v>
      </c>
      <c r="C9376" t="s">
        <v>646</v>
      </c>
      <c r="D9376" t="s">
        <v>36579</v>
      </c>
      <c r="F9376" t="s">
        <v>1</v>
      </c>
      <c r="G9376" t="s">
        <v>2</v>
      </c>
      <c r="H9376" t="s">
        <v>28470</v>
      </c>
      <c r="Y9376" t="s">
        <v>36580</v>
      </c>
    </row>
    <row r="9377" spans="1:25" x14ac:dyDescent="0.25">
      <c r="A9377" t="str">
        <f>"109713911754"</f>
        <v>109713911754</v>
      </c>
      <c r="B9377" t="s">
        <v>2361</v>
      </c>
      <c r="C9377" t="s">
        <v>2361</v>
      </c>
      <c r="D9377" t="s">
        <v>36581</v>
      </c>
      <c r="E9377">
        <v>424006</v>
      </c>
      <c r="F9377" t="s">
        <v>1</v>
      </c>
      <c r="G9377" t="s">
        <v>2</v>
      </c>
      <c r="H9377" t="s">
        <v>3436</v>
      </c>
      <c r="L9377" t="s">
        <v>5848</v>
      </c>
      <c r="M9377" t="s">
        <v>5849</v>
      </c>
      <c r="Y9377" t="s">
        <v>3442</v>
      </c>
    </row>
    <row r="9378" spans="1:25" x14ac:dyDescent="0.25">
      <c r="A9378" t="str">
        <f>"109756829653"</f>
        <v>109756829653</v>
      </c>
      <c r="B9378" t="s">
        <v>1352</v>
      </c>
      <c r="C9378" t="s">
        <v>1353</v>
      </c>
      <c r="D9378" t="s">
        <v>36582</v>
      </c>
      <c r="E9378">
        <v>424003</v>
      </c>
      <c r="F9378" t="s">
        <v>1</v>
      </c>
      <c r="G9378" t="s">
        <v>2</v>
      </c>
      <c r="H9378" t="s">
        <v>5311</v>
      </c>
      <c r="I9378" t="s">
        <v>1570</v>
      </c>
      <c r="L9378" t="s">
        <v>36583</v>
      </c>
      <c r="M9378" t="s">
        <v>1572</v>
      </c>
      <c r="P9378" t="s">
        <v>12317</v>
      </c>
      <c r="Q9378" t="s">
        <v>1575</v>
      </c>
      <c r="R9378" t="s">
        <v>1576</v>
      </c>
      <c r="S9378" t="s">
        <v>36584</v>
      </c>
      <c r="T9378" t="s">
        <v>36585</v>
      </c>
      <c r="V9378" t="s">
        <v>1578</v>
      </c>
      <c r="Y9378" t="s">
        <v>36586</v>
      </c>
    </row>
    <row r="9379" spans="1:25" x14ac:dyDescent="0.25">
      <c r="A9379" t="str">
        <f>"109758223279"</f>
        <v>109758223279</v>
      </c>
      <c r="B9379" t="s">
        <v>1573</v>
      </c>
      <c r="C9379" t="s">
        <v>1817</v>
      </c>
      <c r="D9379" t="s">
        <v>24505</v>
      </c>
      <c r="E9379">
        <v>424006</v>
      </c>
      <c r="F9379" t="s">
        <v>1</v>
      </c>
      <c r="G9379" t="s">
        <v>2</v>
      </c>
      <c r="H9379" t="s">
        <v>15013</v>
      </c>
      <c r="Y9379" t="s">
        <v>36587</v>
      </c>
    </row>
    <row r="9380" spans="1:25" x14ac:dyDescent="0.25">
      <c r="A9380" t="str">
        <f>"109758356702"</f>
        <v>109758356702</v>
      </c>
      <c r="B9380" t="s">
        <v>96</v>
      </c>
      <c r="C9380" t="s">
        <v>659</v>
      </c>
      <c r="D9380" t="s">
        <v>36588</v>
      </c>
      <c r="E9380">
        <v>424918</v>
      </c>
      <c r="F9380" t="s">
        <v>1</v>
      </c>
      <c r="G9380" t="s">
        <v>2</v>
      </c>
      <c r="H9380" t="s">
        <v>629</v>
      </c>
      <c r="L9380" t="s">
        <v>36589</v>
      </c>
      <c r="M9380" t="s">
        <v>36590</v>
      </c>
      <c r="P9380" t="s">
        <v>630</v>
      </c>
      <c r="Y9380" t="s">
        <v>36591</v>
      </c>
    </row>
    <row r="9381" spans="1:25" x14ac:dyDescent="0.25">
      <c r="A9381" t="str">
        <f>"109793049209"</f>
        <v>109793049209</v>
      </c>
      <c r="B9381" t="s">
        <v>888</v>
      </c>
      <c r="C9381" t="s">
        <v>7389</v>
      </c>
      <c r="D9381" t="s">
        <v>36592</v>
      </c>
      <c r="E9381">
        <v>424028</v>
      </c>
      <c r="F9381" t="s">
        <v>1</v>
      </c>
      <c r="G9381" t="s">
        <v>2</v>
      </c>
      <c r="H9381" t="s">
        <v>3628</v>
      </c>
      <c r="Y9381" t="s">
        <v>36593</v>
      </c>
    </row>
    <row r="9382" spans="1:25" x14ac:dyDescent="0.25">
      <c r="A9382" t="str">
        <f>"109793181264"</f>
        <v>109793181264</v>
      </c>
      <c r="B9382" t="s">
        <v>18</v>
      </c>
      <c r="C9382" t="s">
        <v>8641</v>
      </c>
      <c r="D9382" t="s">
        <v>36594</v>
      </c>
      <c r="E9382">
        <v>424005</v>
      </c>
      <c r="F9382" t="s">
        <v>1</v>
      </c>
      <c r="G9382" t="s">
        <v>2</v>
      </c>
      <c r="H9382" t="s">
        <v>1310</v>
      </c>
      <c r="I9382" t="s">
        <v>36595</v>
      </c>
      <c r="L9382" t="s">
        <v>18997</v>
      </c>
      <c r="M9382" t="s">
        <v>18998</v>
      </c>
      <c r="P9382" t="s">
        <v>8663</v>
      </c>
      <c r="Q9382" t="s">
        <v>19417</v>
      </c>
      <c r="V9382" t="s">
        <v>36596</v>
      </c>
      <c r="Y9382" t="s">
        <v>36597</v>
      </c>
    </row>
    <row r="9383" spans="1:25" x14ac:dyDescent="0.25">
      <c r="A9383" t="str">
        <f>"109797901284"</f>
        <v>109797901284</v>
      </c>
      <c r="B9383" t="s">
        <v>18</v>
      </c>
      <c r="C9383" t="s">
        <v>36600</v>
      </c>
      <c r="D9383" t="s">
        <v>4041</v>
      </c>
      <c r="E9383">
        <v>424002</v>
      </c>
      <c r="F9383" t="s">
        <v>1</v>
      </c>
      <c r="G9383" t="s">
        <v>2</v>
      </c>
      <c r="H9383" t="s">
        <v>6502</v>
      </c>
      <c r="I9383" t="s">
        <v>36598</v>
      </c>
      <c r="J9383" t="s">
        <v>36599</v>
      </c>
      <c r="P9383" t="s">
        <v>152</v>
      </c>
      <c r="Y9383" t="s">
        <v>36601</v>
      </c>
    </row>
    <row r="9384" spans="1:25" x14ac:dyDescent="0.25">
      <c r="A9384" t="str">
        <f>"109804698126"</f>
        <v>109804698126</v>
      </c>
      <c r="B9384" t="s">
        <v>574</v>
      </c>
      <c r="C9384" t="s">
        <v>646</v>
      </c>
      <c r="D9384" t="s">
        <v>35107</v>
      </c>
      <c r="E9384">
        <v>424036</v>
      </c>
      <c r="F9384" t="s">
        <v>1</v>
      </c>
      <c r="G9384" t="s">
        <v>2</v>
      </c>
      <c r="H9384" t="s">
        <v>12554</v>
      </c>
      <c r="P9384" t="s">
        <v>1027</v>
      </c>
      <c r="Y9384" t="s">
        <v>36602</v>
      </c>
    </row>
    <row r="9385" spans="1:25" x14ac:dyDescent="0.25">
      <c r="A9385" t="str">
        <f>"109817271980"</f>
        <v>109817271980</v>
      </c>
      <c r="B9385" t="s">
        <v>4888</v>
      </c>
      <c r="C9385" t="s">
        <v>4889</v>
      </c>
      <c r="D9385" t="s">
        <v>36603</v>
      </c>
      <c r="E9385">
        <v>424004</v>
      </c>
      <c r="F9385" t="s">
        <v>1</v>
      </c>
      <c r="G9385" t="s">
        <v>2</v>
      </c>
      <c r="H9385" t="s">
        <v>351</v>
      </c>
      <c r="J9385" t="s">
        <v>15745</v>
      </c>
      <c r="L9385" t="s">
        <v>36604</v>
      </c>
      <c r="P9385" t="s">
        <v>799</v>
      </c>
      <c r="Y9385" t="s">
        <v>354</v>
      </c>
    </row>
    <row r="9386" spans="1:25" x14ac:dyDescent="0.25">
      <c r="A9386" t="str">
        <f>"109831046381"</f>
        <v>109831046381</v>
      </c>
      <c r="B9386" t="s">
        <v>96</v>
      </c>
      <c r="C9386" t="s">
        <v>893</v>
      </c>
      <c r="D9386" t="s">
        <v>36605</v>
      </c>
      <c r="E9386">
        <v>424000</v>
      </c>
      <c r="F9386" t="s">
        <v>1</v>
      </c>
      <c r="G9386" t="s">
        <v>2</v>
      </c>
      <c r="H9386" t="s">
        <v>1531</v>
      </c>
      <c r="P9386" t="s">
        <v>941</v>
      </c>
      <c r="Y9386" t="s">
        <v>1707</v>
      </c>
    </row>
    <row r="9387" spans="1:25" x14ac:dyDescent="0.25">
      <c r="A9387" t="str">
        <f>"109834318446"</f>
        <v>109834318446</v>
      </c>
      <c r="B9387" t="s">
        <v>80</v>
      </c>
      <c r="C9387" t="s">
        <v>3295</v>
      </c>
      <c r="D9387" t="s">
        <v>36606</v>
      </c>
      <c r="E9387">
        <v>424003</v>
      </c>
      <c r="F9387" t="s">
        <v>1</v>
      </c>
      <c r="G9387" t="s">
        <v>2</v>
      </c>
      <c r="H9387" t="s">
        <v>1042</v>
      </c>
      <c r="Y9387" t="s">
        <v>36607</v>
      </c>
    </row>
    <row r="9388" spans="1:25" x14ac:dyDescent="0.25">
      <c r="A9388" t="str">
        <f>"109873680399"</f>
        <v>109873680399</v>
      </c>
      <c r="B9388" t="s">
        <v>574</v>
      </c>
      <c r="C9388" t="s">
        <v>14652</v>
      </c>
      <c r="D9388" t="s">
        <v>36608</v>
      </c>
      <c r="E9388">
        <v>424019</v>
      </c>
      <c r="F9388" t="s">
        <v>1</v>
      </c>
      <c r="G9388" t="s">
        <v>2</v>
      </c>
      <c r="H9388" t="s">
        <v>12105</v>
      </c>
      <c r="Y9388" t="s">
        <v>36609</v>
      </c>
    </row>
    <row r="9389" spans="1:25" x14ac:dyDescent="0.25">
      <c r="A9389" t="str">
        <f>"109889704035"</f>
        <v>109889704035</v>
      </c>
      <c r="B9389" t="s">
        <v>25</v>
      </c>
      <c r="C9389" t="s">
        <v>20320</v>
      </c>
      <c r="D9389" t="s">
        <v>36610</v>
      </c>
      <c r="E9389">
        <v>424031</v>
      </c>
      <c r="F9389" t="s">
        <v>1</v>
      </c>
      <c r="G9389" t="s">
        <v>2</v>
      </c>
      <c r="H9389" t="s">
        <v>36611</v>
      </c>
      <c r="Y9389" t="s">
        <v>36612</v>
      </c>
    </row>
    <row r="9390" spans="1:25" x14ac:dyDescent="0.25">
      <c r="A9390" t="str">
        <f>"109905653413"</f>
        <v>109905653413</v>
      </c>
      <c r="B9390" t="s">
        <v>519</v>
      </c>
      <c r="C9390" t="s">
        <v>26843</v>
      </c>
      <c r="D9390" t="s">
        <v>36613</v>
      </c>
      <c r="E9390">
        <v>424038</v>
      </c>
      <c r="F9390" t="s">
        <v>1</v>
      </c>
      <c r="G9390" t="s">
        <v>2</v>
      </c>
      <c r="H9390" t="s">
        <v>546</v>
      </c>
      <c r="Y9390" t="s">
        <v>36614</v>
      </c>
    </row>
    <row r="9391" spans="1:25" x14ac:dyDescent="0.25">
      <c r="A9391" t="str">
        <f>"109963079830"</f>
        <v>109963079830</v>
      </c>
      <c r="B9391" t="s">
        <v>67</v>
      </c>
      <c r="C9391" t="s">
        <v>269</v>
      </c>
      <c r="D9391" t="s">
        <v>30461</v>
      </c>
      <c r="E9391">
        <v>424002</v>
      </c>
      <c r="F9391" t="s">
        <v>1</v>
      </c>
      <c r="G9391" t="s">
        <v>2</v>
      </c>
      <c r="H9391" t="s">
        <v>3068</v>
      </c>
      <c r="I9391" t="s">
        <v>30462</v>
      </c>
      <c r="L9391" t="s">
        <v>36615</v>
      </c>
      <c r="M9391" t="s">
        <v>36616</v>
      </c>
      <c r="P9391" t="s">
        <v>1027</v>
      </c>
      <c r="Q9391" t="s">
        <v>36617</v>
      </c>
      <c r="T9391" t="s">
        <v>36618</v>
      </c>
      <c r="V9391" t="s">
        <v>36619</v>
      </c>
      <c r="Y9391" t="s">
        <v>20005</v>
      </c>
    </row>
    <row r="9392" spans="1:25" x14ac:dyDescent="0.25">
      <c r="A9392" t="str">
        <f>"109967717173"</f>
        <v>109967717173</v>
      </c>
      <c r="B9392" t="s">
        <v>574</v>
      </c>
      <c r="C9392" t="s">
        <v>36621</v>
      </c>
      <c r="D9392" t="s">
        <v>36620</v>
      </c>
      <c r="E9392">
        <v>424033</v>
      </c>
      <c r="F9392" t="s">
        <v>1</v>
      </c>
      <c r="G9392" t="s">
        <v>2</v>
      </c>
      <c r="H9392" t="s">
        <v>1383</v>
      </c>
      <c r="P9392" t="s">
        <v>8994</v>
      </c>
      <c r="Y9392" t="s">
        <v>36622</v>
      </c>
    </row>
    <row r="9393" spans="1:25" x14ac:dyDescent="0.25">
      <c r="A9393" t="str">
        <f>"109984028915"</f>
        <v>109984028915</v>
      </c>
      <c r="B9393" t="s">
        <v>574</v>
      </c>
      <c r="C9393" t="s">
        <v>646</v>
      </c>
      <c r="D9393" t="s">
        <v>4221</v>
      </c>
      <c r="E9393">
        <v>424033</v>
      </c>
      <c r="F9393" t="s">
        <v>1</v>
      </c>
      <c r="G9393" t="s">
        <v>2</v>
      </c>
      <c r="H9393" t="s">
        <v>10720</v>
      </c>
      <c r="Y9393" t="s">
        <v>36623</v>
      </c>
    </row>
    <row r="9394" spans="1:25" x14ac:dyDescent="0.25">
      <c r="A9394" t="str">
        <f>"110026857445"</f>
        <v>110026857445</v>
      </c>
      <c r="B9394" t="s">
        <v>574</v>
      </c>
      <c r="C9394" t="s">
        <v>23462</v>
      </c>
      <c r="D9394" t="s">
        <v>36624</v>
      </c>
      <c r="E9394">
        <v>424037</v>
      </c>
      <c r="F9394" t="s">
        <v>1</v>
      </c>
      <c r="G9394" t="s">
        <v>2</v>
      </c>
      <c r="H9394" t="s">
        <v>1849</v>
      </c>
      <c r="Y9394" t="s">
        <v>12620</v>
      </c>
    </row>
    <row r="9395" spans="1:25" x14ac:dyDescent="0.25">
      <c r="A9395" t="str">
        <f>"110040567173"</f>
        <v>110040567173</v>
      </c>
      <c r="B9395" t="s">
        <v>32</v>
      </c>
      <c r="C9395" t="s">
        <v>40</v>
      </c>
      <c r="D9395" t="s">
        <v>36625</v>
      </c>
      <c r="E9395">
        <v>424006</v>
      </c>
      <c r="F9395" t="s">
        <v>1</v>
      </c>
      <c r="G9395" t="s">
        <v>2</v>
      </c>
      <c r="H9395" t="s">
        <v>3436</v>
      </c>
      <c r="P9395" t="s">
        <v>36626</v>
      </c>
      <c r="Y9395" t="s">
        <v>36627</v>
      </c>
    </row>
    <row r="9396" spans="1:25" x14ac:dyDescent="0.25">
      <c r="A9396" t="str">
        <f>"110054073800"</f>
        <v>110054073800</v>
      </c>
      <c r="B9396" t="s">
        <v>1758</v>
      </c>
      <c r="C9396" t="s">
        <v>8089</v>
      </c>
      <c r="D9396" t="s">
        <v>36628</v>
      </c>
      <c r="F9396" t="s">
        <v>1</v>
      </c>
      <c r="G9396" t="s">
        <v>2</v>
      </c>
      <c r="H9396" t="s">
        <v>8464</v>
      </c>
      <c r="J9396" t="s">
        <v>36629</v>
      </c>
      <c r="P9396" t="s">
        <v>1760</v>
      </c>
      <c r="Y9396" t="s">
        <v>36630</v>
      </c>
    </row>
    <row r="9397" spans="1:25" x14ac:dyDescent="0.25">
      <c r="A9397" t="str">
        <f>"110063673678"</f>
        <v>110063673678</v>
      </c>
      <c r="B9397" t="s">
        <v>2846</v>
      </c>
      <c r="C9397" t="s">
        <v>11032</v>
      </c>
      <c r="D9397" t="s">
        <v>36631</v>
      </c>
      <c r="E9397">
        <v>424038</v>
      </c>
      <c r="F9397" t="s">
        <v>1</v>
      </c>
      <c r="G9397" t="s">
        <v>2</v>
      </c>
      <c r="H9397" t="s">
        <v>9865</v>
      </c>
      <c r="Y9397" t="s">
        <v>9870</v>
      </c>
    </row>
    <row r="9398" spans="1:25" x14ac:dyDescent="0.25">
      <c r="A9398" t="str">
        <f>"110090002510"</f>
        <v>110090002510</v>
      </c>
      <c r="B9398" t="s">
        <v>574</v>
      </c>
      <c r="C9398" t="s">
        <v>14269</v>
      </c>
      <c r="D9398" t="s">
        <v>21152</v>
      </c>
      <c r="E9398">
        <v>424036</v>
      </c>
      <c r="F9398" t="s">
        <v>1</v>
      </c>
      <c r="G9398" t="s">
        <v>2</v>
      </c>
      <c r="H9398" t="s">
        <v>36632</v>
      </c>
      <c r="Y9398" t="s">
        <v>36633</v>
      </c>
    </row>
    <row r="9399" spans="1:25" x14ac:dyDescent="0.25">
      <c r="A9399" t="str">
        <f>"110234095638"</f>
        <v>110234095638</v>
      </c>
      <c r="B9399" t="s">
        <v>1352</v>
      </c>
      <c r="C9399" t="s">
        <v>1353</v>
      </c>
      <c r="D9399" t="s">
        <v>36634</v>
      </c>
      <c r="E9399">
        <v>424020</v>
      </c>
      <c r="F9399" t="s">
        <v>1</v>
      </c>
      <c r="G9399" t="s">
        <v>2</v>
      </c>
      <c r="H9399" t="s">
        <v>23</v>
      </c>
      <c r="Y9399" t="s">
        <v>36635</v>
      </c>
    </row>
    <row r="9400" spans="1:25" x14ac:dyDescent="0.25">
      <c r="A9400" t="str">
        <f>"110291509587"</f>
        <v>110291509587</v>
      </c>
      <c r="B9400" t="s">
        <v>2818</v>
      </c>
      <c r="C9400" t="s">
        <v>32965</v>
      </c>
      <c r="D9400" t="s">
        <v>32965</v>
      </c>
      <c r="F9400" t="s">
        <v>1</v>
      </c>
      <c r="G9400" t="s">
        <v>2</v>
      </c>
      <c r="H9400" t="s">
        <v>7547</v>
      </c>
      <c r="Y9400" t="s">
        <v>36636</v>
      </c>
    </row>
    <row r="9401" spans="1:25" x14ac:dyDescent="0.25">
      <c r="A9401" t="str">
        <f>"110333987808"</f>
        <v>110333987808</v>
      </c>
      <c r="B9401" t="s">
        <v>32</v>
      </c>
      <c r="C9401" t="s">
        <v>777</v>
      </c>
      <c r="D9401" t="s">
        <v>182</v>
      </c>
      <c r="E9401">
        <v>424030</v>
      </c>
      <c r="F9401" t="s">
        <v>1</v>
      </c>
      <c r="G9401" t="s">
        <v>2</v>
      </c>
      <c r="H9401" t="s">
        <v>10204</v>
      </c>
      <c r="P9401" t="s">
        <v>36637</v>
      </c>
      <c r="Y9401" t="s">
        <v>36638</v>
      </c>
    </row>
    <row r="9402" spans="1:25" x14ac:dyDescent="0.25">
      <c r="A9402" t="str">
        <f>"110337796882"</f>
        <v>110337796882</v>
      </c>
      <c r="B9402" t="s">
        <v>7</v>
      </c>
      <c r="C9402" t="s">
        <v>15083</v>
      </c>
      <c r="D9402" t="s">
        <v>36639</v>
      </c>
      <c r="E9402">
        <v>424016</v>
      </c>
      <c r="F9402" t="s">
        <v>1</v>
      </c>
      <c r="G9402" t="s">
        <v>2</v>
      </c>
      <c r="H9402" t="s">
        <v>2637</v>
      </c>
      <c r="I9402" t="s">
        <v>36640</v>
      </c>
      <c r="Y9402" t="s">
        <v>2641</v>
      </c>
    </row>
    <row r="9403" spans="1:25" x14ac:dyDescent="0.25">
      <c r="A9403" t="str">
        <f>"110374688204"</f>
        <v>110374688204</v>
      </c>
      <c r="B9403" t="s">
        <v>188</v>
      </c>
      <c r="C9403" t="s">
        <v>8311</v>
      </c>
      <c r="D9403" t="s">
        <v>21640</v>
      </c>
      <c r="E9403">
        <v>424019</v>
      </c>
      <c r="F9403" t="s">
        <v>1</v>
      </c>
      <c r="G9403" t="s">
        <v>2</v>
      </c>
      <c r="H9403" t="s">
        <v>20692</v>
      </c>
      <c r="Y9403" t="s">
        <v>36641</v>
      </c>
    </row>
    <row r="9404" spans="1:25" x14ac:dyDescent="0.25">
      <c r="A9404" t="str">
        <f>"110420698457"</f>
        <v>110420698457</v>
      </c>
      <c r="B9404" t="s">
        <v>841</v>
      </c>
      <c r="C9404" t="s">
        <v>25954</v>
      </c>
      <c r="D9404" t="s">
        <v>24312</v>
      </c>
      <c r="E9404">
        <v>424000</v>
      </c>
      <c r="F9404" t="s">
        <v>1</v>
      </c>
      <c r="G9404" t="s">
        <v>2</v>
      </c>
      <c r="H9404" t="s">
        <v>2671</v>
      </c>
      <c r="P9404" t="s">
        <v>11446</v>
      </c>
      <c r="Q9404" t="s">
        <v>36642</v>
      </c>
      <c r="Y9404" t="s">
        <v>11447</v>
      </c>
    </row>
    <row r="9405" spans="1:25" x14ac:dyDescent="0.25">
      <c r="A9405" t="str">
        <f>"110458140226"</f>
        <v>110458140226</v>
      </c>
      <c r="B9405" t="s">
        <v>96</v>
      </c>
      <c r="C9405" t="s">
        <v>695</v>
      </c>
      <c r="D9405" t="s">
        <v>36643</v>
      </c>
      <c r="E9405">
        <v>424019</v>
      </c>
      <c r="F9405" t="s">
        <v>1</v>
      </c>
      <c r="G9405" t="s">
        <v>2</v>
      </c>
      <c r="H9405" t="s">
        <v>9271</v>
      </c>
      <c r="I9405" t="s">
        <v>36644</v>
      </c>
      <c r="P9405" t="s">
        <v>330</v>
      </c>
      <c r="Y9405" t="s">
        <v>14680</v>
      </c>
    </row>
    <row r="9406" spans="1:25" x14ac:dyDescent="0.25">
      <c r="A9406" t="str">
        <f>"110472547911"</f>
        <v>110472547911</v>
      </c>
      <c r="B9406" t="s">
        <v>18</v>
      </c>
      <c r="C9406" t="s">
        <v>36650</v>
      </c>
      <c r="D9406" t="s">
        <v>36645</v>
      </c>
      <c r="E9406">
        <v>424006</v>
      </c>
      <c r="F9406" t="s">
        <v>1</v>
      </c>
      <c r="G9406" t="s">
        <v>2</v>
      </c>
      <c r="H9406" t="s">
        <v>36646</v>
      </c>
      <c r="J9406" t="s">
        <v>36647</v>
      </c>
      <c r="L9406" t="s">
        <v>36648</v>
      </c>
      <c r="M9406" t="s">
        <v>36649</v>
      </c>
      <c r="P9406" t="s">
        <v>260</v>
      </c>
      <c r="V9406" t="s">
        <v>36651</v>
      </c>
      <c r="Y9406" t="s">
        <v>36652</v>
      </c>
    </row>
    <row r="9407" spans="1:25" x14ac:dyDescent="0.25">
      <c r="A9407" t="str">
        <f>"110536964373"</f>
        <v>110536964373</v>
      </c>
      <c r="B9407" t="s">
        <v>8011</v>
      </c>
      <c r="C9407" t="s">
        <v>36655</v>
      </c>
      <c r="D9407" t="s">
        <v>36653</v>
      </c>
      <c r="F9407" t="s">
        <v>1</v>
      </c>
      <c r="G9407" t="s">
        <v>2</v>
      </c>
      <c r="H9407" t="s">
        <v>2401</v>
      </c>
      <c r="J9407" t="s">
        <v>36654</v>
      </c>
      <c r="L9407" t="s">
        <v>1925</v>
      </c>
      <c r="M9407" t="s">
        <v>25280</v>
      </c>
      <c r="P9407" t="s">
        <v>21891</v>
      </c>
      <c r="Y9407" t="s">
        <v>36656</v>
      </c>
    </row>
    <row r="9408" spans="1:25" x14ac:dyDescent="0.25">
      <c r="A9408" t="str">
        <f>"110551274426"</f>
        <v>110551274426</v>
      </c>
      <c r="B9408" t="s">
        <v>687</v>
      </c>
      <c r="C9408" t="s">
        <v>36662</v>
      </c>
      <c r="D9408" t="s">
        <v>36657</v>
      </c>
      <c r="E9408">
        <v>424036</v>
      </c>
      <c r="F9408" t="s">
        <v>1</v>
      </c>
      <c r="G9408" t="s">
        <v>2</v>
      </c>
      <c r="H9408" t="s">
        <v>6072</v>
      </c>
      <c r="I9408" t="s">
        <v>36658</v>
      </c>
      <c r="J9408" t="s">
        <v>36659</v>
      </c>
      <c r="L9408" t="s">
        <v>36660</v>
      </c>
      <c r="M9408" t="s">
        <v>36661</v>
      </c>
      <c r="P9408" t="s">
        <v>330</v>
      </c>
      <c r="Q9408" t="s">
        <v>36663</v>
      </c>
      <c r="V9408" t="s">
        <v>36664</v>
      </c>
      <c r="Y9408" t="s">
        <v>17197</v>
      </c>
    </row>
    <row r="9409" spans="1:25" x14ac:dyDescent="0.25">
      <c r="A9409" t="str">
        <f>"110593666350"</f>
        <v>110593666350</v>
      </c>
      <c r="B9409" t="s">
        <v>530</v>
      </c>
      <c r="C9409" t="s">
        <v>23950</v>
      </c>
      <c r="D9409" t="s">
        <v>23950</v>
      </c>
      <c r="E9409">
        <v>424037</v>
      </c>
      <c r="F9409" t="s">
        <v>1</v>
      </c>
      <c r="G9409" t="s">
        <v>2</v>
      </c>
      <c r="H9409" t="s">
        <v>2680</v>
      </c>
      <c r="Y9409" t="s">
        <v>36665</v>
      </c>
    </row>
    <row r="9410" spans="1:25" x14ac:dyDescent="0.25">
      <c r="A9410" t="str">
        <f>"110596563941"</f>
        <v>110596563941</v>
      </c>
      <c r="B9410" t="s">
        <v>18</v>
      </c>
      <c r="C9410" t="s">
        <v>36670</v>
      </c>
      <c r="D9410" t="s">
        <v>36666</v>
      </c>
      <c r="E9410">
        <v>424000</v>
      </c>
      <c r="F9410" t="s">
        <v>1</v>
      </c>
      <c r="G9410" t="s">
        <v>2</v>
      </c>
      <c r="H9410" t="s">
        <v>1473</v>
      </c>
      <c r="J9410" t="s">
        <v>36667</v>
      </c>
      <c r="L9410" t="s">
        <v>36668</v>
      </c>
      <c r="M9410" t="s">
        <v>36669</v>
      </c>
      <c r="P9410" t="s">
        <v>36671</v>
      </c>
      <c r="Q9410" t="s">
        <v>36672</v>
      </c>
      <c r="Y9410" t="s">
        <v>4067</v>
      </c>
    </row>
    <row r="9411" spans="1:25" x14ac:dyDescent="0.25">
      <c r="A9411" t="str">
        <f>"110603170733"</f>
        <v>110603170733</v>
      </c>
      <c r="B9411" t="s">
        <v>48</v>
      </c>
      <c r="C9411" t="s">
        <v>22163</v>
      </c>
      <c r="D9411" t="s">
        <v>36673</v>
      </c>
      <c r="E9411">
        <v>424020</v>
      </c>
      <c r="F9411" t="s">
        <v>1</v>
      </c>
      <c r="G9411" t="s">
        <v>2</v>
      </c>
      <c r="H9411" t="s">
        <v>2766</v>
      </c>
      <c r="J9411" t="s">
        <v>36674</v>
      </c>
      <c r="P9411" t="s">
        <v>2738</v>
      </c>
      <c r="Q9411" t="s">
        <v>36675</v>
      </c>
      <c r="Y9411" t="s">
        <v>36676</v>
      </c>
    </row>
    <row r="9412" spans="1:25" x14ac:dyDescent="0.25">
      <c r="A9412" t="str">
        <f>"110605368566"</f>
        <v>110605368566</v>
      </c>
      <c r="B9412" t="s">
        <v>1611</v>
      </c>
      <c r="C9412" t="s">
        <v>3218</v>
      </c>
      <c r="D9412" t="s">
        <v>36677</v>
      </c>
      <c r="E9412">
        <v>424037</v>
      </c>
      <c r="F9412" t="s">
        <v>1</v>
      </c>
      <c r="G9412" t="s">
        <v>2</v>
      </c>
      <c r="H9412" t="s">
        <v>15407</v>
      </c>
      <c r="I9412" t="s">
        <v>36678</v>
      </c>
      <c r="L9412" t="s">
        <v>3217</v>
      </c>
      <c r="P9412" t="s">
        <v>330</v>
      </c>
      <c r="Y9412" t="s">
        <v>4724</v>
      </c>
    </row>
    <row r="9413" spans="1:25" x14ac:dyDescent="0.25">
      <c r="A9413" t="str">
        <f>"110666755851"</f>
        <v>110666755851</v>
      </c>
      <c r="B9413" t="s">
        <v>1046</v>
      </c>
      <c r="C9413" t="s">
        <v>22946</v>
      </c>
      <c r="D9413" t="s">
        <v>22946</v>
      </c>
      <c r="E9413">
        <v>424004</v>
      </c>
      <c r="F9413" t="s">
        <v>1</v>
      </c>
      <c r="G9413" t="s">
        <v>2</v>
      </c>
      <c r="H9413" t="s">
        <v>36679</v>
      </c>
      <c r="Y9413" t="s">
        <v>36680</v>
      </c>
    </row>
    <row r="9414" spans="1:25" x14ac:dyDescent="0.25">
      <c r="A9414" t="str">
        <f>"110685263219"</f>
        <v>110685263219</v>
      </c>
      <c r="B9414" t="s">
        <v>790</v>
      </c>
      <c r="C9414" t="s">
        <v>4583</v>
      </c>
      <c r="D9414" t="s">
        <v>36681</v>
      </c>
      <c r="E9414">
        <v>424002</v>
      </c>
      <c r="F9414" t="s">
        <v>1</v>
      </c>
      <c r="G9414" t="s">
        <v>2</v>
      </c>
      <c r="H9414" t="s">
        <v>3604</v>
      </c>
      <c r="I9414" t="s">
        <v>36682</v>
      </c>
      <c r="P9414" t="s">
        <v>1679</v>
      </c>
      <c r="Y9414" t="s">
        <v>36683</v>
      </c>
    </row>
    <row r="9415" spans="1:25" x14ac:dyDescent="0.25">
      <c r="A9415" t="str">
        <f>"110734699961"</f>
        <v>110734699961</v>
      </c>
      <c r="B9415" t="s">
        <v>530</v>
      </c>
      <c r="C9415" t="s">
        <v>23950</v>
      </c>
      <c r="D9415" t="s">
        <v>23950</v>
      </c>
      <c r="E9415">
        <v>424039</v>
      </c>
      <c r="F9415" t="s">
        <v>1</v>
      </c>
      <c r="G9415" t="s">
        <v>2</v>
      </c>
      <c r="H9415" t="s">
        <v>13455</v>
      </c>
      <c r="Y9415" t="s">
        <v>36684</v>
      </c>
    </row>
    <row r="9416" spans="1:25" x14ac:dyDescent="0.25">
      <c r="A9416" t="str">
        <f>"110765605185"</f>
        <v>110765605185</v>
      </c>
      <c r="B9416" t="s">
        <v>687</v>
      </c>
      <c r="C9416" t="s">
        <v>36690</v>
      </c>
      <c r="D9416" t="s">
        <v>36685</v>
      </c>
      <c r="E9416">
        <v>424007</v>
      </c>
      <c r="F9416" t="s">
        <v>1</v>
      </c>
      <c r="G9416" t="s">
        <v>2</v>
      </c>
      <c r="H9416" t="s">
        <v>36686</v>
      </c>
      <c r="I9416" t="s">
        <v>36687</v>
      </c>
      <c r="L9416" t="s">
        <v>36688</v>
      </c>
      <c r="M9416" t="s">
        <v>36689</v>
      </c>
      <c r="P9416" t="s">
        <v>390</v>
      </c>
      <c r="Y9416" t="s">
        <v>7595</v>
      </c>
    </row>
    <row r="9417" spans="1:25" x14ac:dyDescent="0.25">
      <c r="A9417" t="str">
        <f>"110834963058"</f>
        <v>110834963058</v>
      </c>
      <c r="B9417" t="s">
        <v>462</v>
      </c>
      <c r="C9417" t="s">
        <v>1140</v>
      </c>
      <c r="D9417" t="s">
        <v>36691</v>
      </c>
      <c r="E9417">
        <v>424006</v>
      </c>
      <c r="F9417" t="s">
        <v>1</v>
      </c>
      <c r="G9417" t="s">
        <v>2</v>
      </c>
      <c r="H9417" t="s">
        <v>478</v>
      </c>
      <c r="P9417" t="s">
        <v>2280</v>
      </c>
      <c r="Y9417" t="s">
        <v>926</v>
      </c>
    </row>
    <row r="9418" spans="1:25" x14ac:dyDescent="0.25">
      <c r="A9418" t="str">
        <f>"110852189034"</f>
        <v>110852189034</v>
      </c>
      <c r="B9418" t="s">
        <v>379</v>
      </c>
      <c r="C9418" t="s">
        <v>766</v>
      </c>
      <c r="D9418" t="s">
        <v>28425</v>
      </c>
      <c r="E9418">
        <v>424000</v>
      </c>
      <c r="F9418" t="s">
        <v>1</v>
      </c>
      <c r="G9418" t="s">
        <v>2</v>
      </c>
      <c r="H9418" t="s">
        <v>17190</v>
      </c>
      <c r="I9418" t="s">
        <v>28426</v>
      </c>
      <c r="M9418" t="s">
        <v>28427</v>
      </c>
      <c r="P9418" t="s">
        <v>2050</v>
      </c>
      <c r="Q9418" t="s">
        <v>28428</v>
      </c>
      <c r="V9418" t="s">
        <v>28429</v>
      </c>
      <c r="Y9418" t="s">
        <v>36692</v>
      </c>
    </row>
    <row r="9419" spans="1:25" x14ac:dyDescent="0.25">
      <c r="A9419" t="str">
        <f>"110862709893"</f>
        <v>110862709893</v>
      </c>
      <c r="B9419" t="s">
        <v>574</v>
      </c>
      <c r="C9419" t="s">
        <v>646</v>
      </c>
      <c r="D9419" t="s">
        <v>4221</v>
      </c>
      <c r="E9419">
        <v>424031</v>
      </c>
      <c r="F9419" t="s">
        <v>1</v>
      </c>
      <c r="G9419" t="s">
        <v>2</v>
      </c>
      <c r="H9419" t="s">
        <v>36693</v>
      </c>
      <c r="P9419" t="s">
        <v>32099</v>
      </c>
      <c r="Y9419" t="s">
        <v>36694</v>
      </c>
    </row>
    <row r="9420" spans="1:25" x14ac:dyDescent="0.25">
      <c r="A9420" t="str">
        <f>"110868028214"</f>
        <v>110868028214</v>
      </c>
      <c r="B9420" t="s">
        <v>1352</v>
      </c>
      <c r="C9420" t="s">
        <v>1353</v>
      </c>
      <c r="D9420" t="s">
        <v>24040</v>
      </c>
      <c r="E9420">
        <v>424006</v>
      </c>
      <c r="F9420" t="s">
        <v>1</v>
      </c>
      <c r="G9420" t="s">
        <v>2</v>
      </c>
      <c r="H9420" t="s">
        <v>4821</v>
      </c>
      <c r="M9420" t="s">
        <v>36695</v>
      </c>
      <c r="P9420" t="s">
        <v>390</v>
      </c>
      <c r="Y9420" t="s">
        <v>36696</v>
      </c>
    </row>
    <row r="9421" spans="1:25" x14ac:dyDescent="0.25">
      <c r="A9421" t="str">
        <f>"110887515590"</f>
        <v>110887515590</v>
      </c>
      <c r="B9421" t="s">
        <v>1475</v>
      </c>
      <c r="C9421" t="s">
        <v>1476</v>
      </c>
      <c r="D9421" t="s">
        <v>36697</v>
      </c>
      <c r="E9421">
        <v>424002</v>
      </c>
      <c r="F9421" t="s">
        <v>1</v>
      </c>
      <c r="G9421" t="s">
        <v>2</v>
      </c>
      <c r="H9421" t="s">
        <v>3864</v>
      </c>
      <c r="P9421" t="s">
        <v>2738</v>
      </c>
      <c r="Y9421" t="s">
        <v>36698</v>
      </c>
    </row>
    <row r="9422" spans="1:25" x14ac:dyDescent="0.25">
      <c r="A9422" t="str">
        <f>"110908268061"</f>
        <v>110908268061</v>
      </c>
      <c r="B9422" t="s">
        <v>519</v>
      </c>
      <c r="C9422" t="s">
        <v>36701</v>
      </c>
      <c r="D9422" t="s">
        <v>36699</v>
      </c>
      <c r="E9422">
        <v>424031</v>
      </c>
      <c r="F9422" t="s">
        <v>1</v>
      </c>
      <c r="G9422" t="s">
        <v>2</v>
      </c>
      <c r="H9422" t="s">
        <v>4622</v>
      </c>
      <c r="I9422" t="s">
        <v>36700</v>
      </c>
      <c r="P9422" t="s">
        <v>17179</v>
      </c>
      <c r="Y9422" t="s">
        <v>36702</v>
      </c>
    </row>
    <row r="9423" spans="1:25" x14ac:dyDescent="0.25">
      <c r="A9423" t="str">
        <f>"110916483372"</f>
        <v>110916483372</v>
      </c>
      <c r="B9423" t="s">
        <v>1053</v>
      </c>
      <c r="C9423" t="s">
        <v>1799</v>
      </c>
      <c r="D9423" t="s">
        <v>36703</v>
      </c>
      <c r="F9423" t="s">
        <v>1</v>
      </c>
      <c r="G9423" t="s">
        <v>2</v>
      </c>
      <c r="H9423" t="s">
        <v>8610</v>
      </c>
      <c r="J9423" t="s">
        <v>36704</v>
      </c>
      <c r="Y9423" t="s">
        <v>36705</v>
      </c>
    </row>
    <row r="9424" spans="1:25" x14ac:dyDescent="0.25">
      <c r="A9424" t="str">
        <f>"110963111634"</f>
        <v>110963111634</v>
      </c>
      <c r="B9424" t="s">
        <v>1152</v>
      </c>
      <c r="C9424" t="s">
        <v>1153</v>
      </c>
      <c r="D9424" t="s">
        <v>10280</v>
      </c>
      <c r="E9424">
        <v>424004</v>
      </c>
      <c r="F9424" t="s">
        <v>1</v>
      </c>
      <c r="G9424" t="s">
        <v>2</v>
      </c>
      <c r="H9424" t="s">
        <v>3266</v>
      </c>
      <c r="I9424" t="s">
        <v>22092</v>
      </c>
      <c r="M9424" t="s">
        <v>10284</v>
      </c>
      <c r="Q9424" t="s">
        <v>10286</v>
      </c>
      <c r="R9424" t="s">
        <v>10287</v>
      </c>
      <c r="S9424" t="s">
        <v>10288</v>
      </c>
      <c r="T9424" t="s">
        <v>10289</v>
      </c>
      <c r="U9424" t="s">
        <v>10290</v>
      </c>
      <c r="V9424" t="s">
        <v>10291</v>
      </c>
      <c r="Y9424" t="s">
        <v>36706</v>
      </c>
    </row>
    <row r="9425" spans="1:25" x14ac:dyDescent="0.25">
      <c r="A9425" t="str">
        <f>"110975147777"</f>
        <v>110975147777</v>
      </c>
      <c r="B9425" t="s">
        <v>530</v>
      </c>
      <c r="C9425" t="s">
        <v>23950</v>
      </c>
      <c r="D9425" t="s">
        <v>23950</v>
      </c>
      <c r="F9425" t="s">
        <v>1</v>
      </c>
      <c r="G9425" t="s">
        <v>2</v>
      </c>
      <c r="H9425" t="s">
        <v>36707</v>
      </c>
      <c r="Y9425" t="s">
        <v>36708</v>
      </c>
    </row>
    <row r="9426" spans="1:25" x14ac:dyDescent="0.25">
      <c r="A9426" t="str">
        <f>"111003487024"</f>
        <v>111003487024</v>
      </c>
      <c r="B9426" t="s">
        <v>32</v>
      </c>
      <c r="C9426" t="s">
        <v>36710</v>
      </c>
      <c r="D9426" t="s">
        <v>36709</v>
      </c>
      <c r="E9426">
        <v>424006</v>
      </c>
      <c r="F9426" t="s">
        <v>1</v>
      </c>
      <c r="G9426" t="s">
        <v>2</v>
      </c>
      <c r="H9426" t="s">
        <v>1890</v>
      </c>
      <c r="Y9426" t="s">
        <v>1893</v>
      </c>
    </row>
    <row r="9427" spans="1:25" x14ac:dyDescent="0.25">
      <c r="A9427" t="str">
        <f>"111023562129"</f>
        <v>111023562129</v>
      </c>
      <c r="B9427" t="s">
        <v>930</v>
      </c>
      <c r="C9427" t="s">
        <v>36712</v>
      </c>
      <c r="D9427" t="s">
        <v>32298</v>
      </c>
      <c r="E9427">
        <v>424004</v>
      </c>
      <c r="F9427" t="s">
        <v>1</v>
      </c>
      <c r="G9427" t="s">
        <v>2</v>
      </c>
      <c r="H9427" t="s">
        <v>7224</v>
      </c>
      <c r="I9427" t="s">
        <v>36711</v>
      </c>
      <c r="P9427" t="s">
        <v>27</v>
      </c>
      <c r="Q9427" t="s">
        <v>32301</v>
      </c>
      <c r="R9427" t="s">
        <v>32302</v>
      </c>
      <c r="T9427" t="s">
        <v>36713</v>
      </c>
      <c r="V9427" t="s">
        <v>36714</v>
      </c>
      <c r="Y9427" t="s">
        <v>11992</v>
      </c>
    </row>
    <row r="9428" spans="1:25" x14ac:dyDescent="0.25">
      <c r="A9428" t="str">
        <f>"111036959620"</f>
        <v>111036959620</v>
      </c>
      <c r="B9428" t="s">
        <v>1046</v>
      </c>
      <c r="C9428" t="s">
        <v>22946</v>
      </c>
      <c r="D9428" t="s">
        <v>22946</v>
      </c>
      <c r="E9428">
        <v>424002</v>
      </c>
      <c r="F9428" t="s">
        <v>1</v>
      </c>
      <c r="G9428" t="s">
        <v>2</v>
      </c>
      <c r="H9428" t="s">
        <v>23778</v>
      </c>
      <c r="Y9428" t="s">
        <v>36715</v>
      </c>
    </row>
    <row r="9429" spans="1:25" x14ac:dyDescent="0.25">
      <c r="A9429" t="str">
        <f>"111107665974"</f>
        <v>111107665974</v>
      </c>
      <c r="B9429" t="s">
        <v>1611</v>
      </c>
      <c r="C9429" t="s">
        <v>36717</v>
      </c>
      <c r="D9429" t="s">
        <v>36716</v>
      </c>
      <c r="E9429">
        <v>424031</v>
      </c>
      <c r="F9429" t="s">
        <v>1</v>
      </c>
      <c r="G9429" t="s">
        <v>2</v>
      </c>
      <c r="H9429" t="s">
        <v>20058</v>
      </c>
      <c r="Y9429" t="s">
        <v>20062</v>
      </c>
    </row>
    <row r="9430" spans="1:25" x14ac:dyDescent="0.25">
      <c r="A9430" t="str">
        <f>"111125037329"</f>
        <v>111125037329</v>
      </c>
      <c r="B9430" t="s">
        <v>1078</v>
      </c>
      <c r="C9430" t="s">
        <v>25481</v>
      </c>
      <c r="D9430" t="s">
        <v>36718</v>
      </c>
      <c r="E9430">
        <v>424019</v>
      </c>
      <c r="F9430" t="s">
        <v>1</v>
      </c>
      <c r="G9430" t="s">
        <v>2</v>
      </c>
      <c r="H9430" t="s">
        <v>1801</v>
      </c>
      <c r="Y9430" t="s">
        <v>1804</v>
      </c>
    </row>
    <row r="9431" spans="1:25" x14ac:dyDescent="0.25">
      <c r="A9431" t="str">
        <f>"111171708538"</f>
        <v>111171708538</v>
      </c>
      <c r="B9431" t="s">
        <v>1611</v>
      </c>
      <c r="C9431" t="s">
        <v>2214</v>
      </c>
      <c r="D9431" t="s">
        <v>36719</v>
      </c>
      <c r="E9431">
        <v>424033</v>
      </c>
      <c r="F9431" t="s">
        <v>1</v>
      </c>
      <c r="G9431" t="s">
        <v>2</v>
      </c>
      <c r="H9431" t="s">
        <v>2995</v>
      </c>
      <c r="I9431" t="s">
        <v>36720</v>
      </c>
      <c r="L9431" t="s">
        <v>24300</v>
      </c>
      <c r="M9431" t="s">
        <v>14898</v>
      </c>
      <c r="P9431" t="s">
        <v>36721</v>
      </c>
      <c r="Y9431" t="s">
        <v>36722</v>
      </c>
    </row>
    <row r="9432" spans="1:25" x14ac:dyDescent="0.25">
      <c r="A9432" t="str">
        <f>"111173314942"</f>
        <v>111173314942</v>
      </c>
      <c r="B9432" t="s">
        <v>176</v>
      </c>
      <c r="C9432" t="s">
        <v>9433</v>
      </c>
      <c r="D9432" t="s">
        <v>36723</v>
      </c>
      <c r="E9432">
        <v>424016</v>
      </c>
      <c r="F9432" t="s">
        <v>1</v>
      </c>
      <c r="G9432" t="s">
        <v>2</v>
      </c>
      <c r="H9432" t="s">
        <v>36724</v>
      </c>
      <c r="J9432" t="s">
        <v>36725</v>
      </c>
      <c r="P9432" t="s">
        <v>330</v>
      </c>
      <c r="Y9432" t="s">
        <v>36726</v>
      </c>
    </row>
    <row r="9433" spans="1:25" x14ac:dyDescent="0.25">
      <c r="A9433" t="str">
        <f>"111197708375"</f>
        <v>111197708375</v>
      </c>
      <c r="B9433" t="s">
        <v>96</v>
      </c>
      <c r="C9433" t="s">
        <v>26416</v>
      </c>
      <c r="D9433" t="s">
        <v>13039</v>
      </c>
      <c r="E9433">
        <v>424000</v>
      </c>
      <c r="F9433" t="s">
        <v>1</v>
      </c>
      <c r="G9433" t="s">
        <v>2</v>
      </c>
      <c r="H9433" t="s">
        <v>1473</v>
      </c>
      <c r="P9433" t="s">
        <v>941</v>
      </c>
      <c r="Y9433" t="s">
        <v>36727</v>
      </c>
    </row>
    <row r="9434" spans="1:25" x14ac:dyDescent="0.25">
      <c r="A9434" t="str">
        <f>"111215225449"</f>
        <v>111215225449</v>
      </c>
      <c r="B9434" t="s">
        <v>18</v>
      </c>
      <c r="C9434" t="s">
        <v>17164</v>
      </c>
      <c r="D9434" t="s">
        <v>36728</v>
      </c>
      <c r="E9434">
        <v>424006</v>
      </c>
      <c r="F9434" t="s">
        <v>1</v>
      </c>
      <c r="G9434" t="s">
        <v>2</v>
      </c>
      <c r="H9434" t="s">
        <v>1436</v>
      </c>
      <c r="Y9434" t="s">
        <v>1443</v>
      </c>
    </row>
    <row r="9435" spans="1:25" x14ac:dyDescent="0.25">
      <c r="A9435" t="str">
        <f>"111216726687"</f>
        <v>111216726687</v>
      </c>
      <c r="B9435" t="s">
        <v>1343</v>
      </c>
      <c r="C9435" t="s">
        <v>13544</v>
      </c>
      <c r="D9435" t="s">
        <v>36729</v>
      </c>
      <c r="E9435">
        <v>424007</v>
      </c>
      <c r="F9435" t="s">
        <v>1</v>
      </c>
      <c r="G9435" t="s">
        <v>2</v>
      </c>
      <c r="H9435" t="s">
        <v>5178</v>
      </c>
      <c r="P9435" t="s">
        <v>2731</v>
      </c>
      <c r="Y9435" t="s">
        <v>36730</v>
      </c>
    </row>
    <row r="9436" spans="1:25" x14ac:dyDescent="0.25">
      <c r="A9436" t="str">
        <f>"111228001068"</f>
        <v>111228001068</v>
      </c>
      <c r="B9436" t="s">
        <v>18</v>
      </c>
      <c r="C9436" t="s">
        <v>36733</v>
      </c>
      <c r="D9436" t="s">
        <v>36731</v>
      </c>
      <c r="F9436" t="s">
        <v>1</v>
      </c>
      <c r="G9436" t="s">
        <v>2</v>
      </c>
      <c r="H9436" t="s">
        <v>138</v>
      </c>
      <c r="I9436" t="s">
        <v>36732</v>
      </c>
      <c r="L9436" t="s">
        <v>14202</v>
      </c>
      <c r="P9436" t="s">
        <v>144</v>
      </c>
      <c r="Q9436" t="s">
        <v>14204</v>
      </c>
      <c r="Y9436" t="s">
        <v>146</v>
      </c>
    </row>
    <row r="9437" spans="1:25" x14ac:dyDescent="0.25">
      <c r="A9437" t="str">
        <f>"111228720684"</f>
        <v>111228720684</v>
      </c>
      <c r="B9437" t="s">
        <v>7</v>
      </c>
      <c r="C9437" t="s">
        <v>5268</v>
      </c>
      <c r="D9437" t="s">
        <v>36734</v>
      </c>
      <c r="F9437" t="s">
        <v>1</v>
      </c>
      <c r="G9437" t="s">
        <v>2</v>
      </c>
      <c r="H9437" t="s">
        <v>36735</v>
      </c>
      <c r="I9437" t="s">
        <v>4045</v>
      </c>
      <c r="P9437" t="s">
        <v>36736</v>
      </c>
      <c r="Y9437" t="s">
        <v>36737</v>
      </c>
    </row>
    <row r="9438" spans="1:25" x14ac:dyDescent="0.25">
      <c r="A9438" t="str">
        <f>"111232131161"</f>
        <v>111232131161</v>
      </c>
      <c r="B9438" t="s">
        <v>1222</v>
      </c>
      <c r="C9438" t="s">
        <v>22628</v>
      </c>
      <c r="D9438" t="s">
        <v>36738</v>
      </c>
      <c r="E9438">
        <v>424026</v>
      </c>
      <c r="F9438" t="s">
        <v>1</v>
      </c>
      <c r="G9438" t="s">
        <v>2</v>
      </c>
      <c r="H9438" t="s">
        <v>6415</v>
      </c>
      <c r="J9438" t="s">
        <v>36739</v>
      </c>
      <c r="P9438" t="s">
        <v>21401</v>
      </c>
      <c r="Q9438" t="s">
        <v>36740</v>
      </c>
      <c r="Y9438" t="s">
        <v>36741</v>
      </c>
    </row>
    <row r="9439" spans="1:25" x14ac:dyDescent="0.25">
      <c r="A9439" t="str">
        <f>"111259841981"</f>
        <v>111259841981</v>
      </c>
      <c r="B9439" t="s">
        <v>32</v>
      </c>
      <c r="C9439" t="s">
        <v>182</v>
      </c>
      <c r="D9439" t="s">
        <v>36742</v>
      </c>
      <c r="E9439">
        <v>424031</v>
      </c>
      <c r="F9439" t="s">
        <v>1</v>
      </c>
      <c r="G9439" t="s">
        <v>2</v>
      </c>
      <c r="H9439" t="s">
        <v>239</v>
      </c>
      <c r="J9439" t="s">
        <v>36743</v>
      </c>
      <c r="Y9439" t="s">
        <v>246</v>
      </c>
    </row>
    <row r="9440" spans="1:25" x14ac:dyDescent="0.25">
      <c r="A9440" t="str">
        <f>"111269063377"</f>
        <v>111269063377</v>
      </c>
      <c r="B9440" t="s">
        <v>1046</v>
      </c>
      <c r="C9440" t="s">
        <v>27404</v>
      </c>
      <c r="D9440" t="s">
        <v>36744</v>
      </c>
      <c r="F9440" t="s">
        <v>1</v>
      </c>
      <c r="G9440" t="s">
        <v>2</v>
      </c>
      <c r="H9440" t="s">
        <v>27403</v>
      </c>
      <c r="Y9440" t="s">
        <v>36745</v>
      </c>
    </row>
    <row r="9441" spans="1:25" x14ac:dyDescent="0.25">
      <c r="A9441" t="str">
        <f>"111270539591"</f>
        <v>111270539591</v>
      </c>
      <c r="B9441" t="s">
        <v>574</v>
      </c>
      <c r="C9441" t="s">
        <v>22533</v>
      </c>
      <c r="D9441" t="s">
        <v>3057</v>
      </c>
      <c r="E9441">
        <v>424039</v>
      </c>
      <c r="F9441" t="s">
        <v>1</v>
      </c>
      <c r="G9441" t="s">
        <v>2</v>
      </c>
      <c r="H9441" t="s">
        <v>15233</v>
      </c>
      <c r="P9441" t="s">
        <v>216</v>
      </c>
      <c r="Y9441" t="s">
        <v>36746</v>
      </c>
    </row>
    <row r="9442" spans="1:25" x14ac:dyDescent="0.25">
      <c r="A9442" t="str">
        <f>"111296799978"</f>
        <v>111296799978</v>
      </c>
      <c r="B9442" t="s">
        <v>930</v>
      </c>
      <c r="C9442" t="s">
        <v>1096</v>
      </c>
      <c r="D9442" t="s">
        <v>36747</v>
      </c>
      <c r="F9442" t="s">
        <v>1</v>
      </c>
      <c r="G9442" t="s">
        <v>2</v>
      </c>
      <c r="H9442" t="s">
        <v>1109</v>
      </c>
      <c r="Y9442" t="s">
        <v>36748</v>
      </c>
    </row>
    <row r="9443" spans="1:25" x14ac:dyDescent="0.25">
      <c r="A9443" t="str">
        <f>"111299887898"</f>
        <v>111299887898</v>
      </c>
      <c r="B9443" t="s">
        <v>8011</v>
      </c>
      <c r="C9443" t="s">
        <v>36655</v>
      </c>
      <c r="D9443" t="s">
        <v>36749</v>
      </c>
      <c r="F9443" t="s">
        <v>1</v>
      </c>
      <c r="G9443" t="s">
        <v>2</v>
      </c>
      <c r="H9443" t="s">
        <v>16696</v>
      </c>
      <c r="Y9443" t="s">
        <v>34173</v>
      </c>
    </row>
    <row r="9444" spans="1:25" x14ac:dyDescent="0.25">
      <c r="A9444" t="str">
        <f>"111321712863"</f>
        <v>111321712863</v>
      </c>
      <c r="B9444" t="s">
        <v>2846</v>
      </c>
      <c r="C9444" t="s">
        <v>36751</v>
      </c>
      <c r="D9444" t="s">
        <v>36750</v>
      </c>
      <c r="F9444" t="s">
        <v>1</v>
      </c>
      <c r="G9444" t="s">
        <v>2</v>
      </c>
      <c r="H9444" t="s">
        <v>16696</v>
      </c>
      <c r="P9444" t="s">
        <v>13355</v>
      </c>
      <c r="Y9444" t="s">
        <v>36752</v>
      </c>
    </row>
    <row r="9445" spans="1:25" x14ac:dyDescent="0.25">
      <c r="A9445" t="str">
        <f>"111365853223"</f>
        <v>111365853223</v>
      </c>
      <c r="B9445" t="s">
        <v>553</v>
      </c>
      <c r="C9445" t="s">
        <v>554</v>
      </c>
      <c r="D9445" t="s">
        <v>36753</v>
      </c>
      <c r="E9445">
        <v>424007</v>
      </c>
      <c r="F9445" t="s">
        <v>1</v>
      </c>
      <c r="G9445" t="s">
        <v>2</v>
      </c>
      <c r="H9445" t="s">
        <v>220</v>
      </c>
      <c r="I9445" t="s">
        <v>36754</v>
      </c>
      <c r="P9445" t="s">
        <v>20</v>
      </c>
      <c r="Y9445" t="s">
        <v>227</v>
      </c>
    </row>
    <row r="9446" spans="1:25" x14ac:dyDescent="0.25">
      <c r="A9446" t="str">
        <f>"111396607163"</f>
        <v>111396607163</v>
      </c>
      <c r="B9446" t="s">
        <v>117</v>
      </c>
      <c r="C9446" t="s">
        <v>118</v>
      </c>
      <c r="D9446" t="s">
        <v>36755</v>
      </c>
      <c r="F9446" t="s">
        <v>1</v>
      </c>
      <c r="G9446" t="s">
        <v>2</v>
      </c>
      <c r="H9446" t="s">
        <v>7547</v>
      </c>
      <c r="Y9446" t="s">
        <v>36756</v>
      </c>
    </row>
    <row r="9447" spans="1:25" x14ac:dyDescent="0.25">
      <c r="A9447" t="str">
        <f>"111405266603"</f>
        <v>111405266603</v>
      </c>
      <c r="B9447" t="s">
        <v>1323</v>
      </c>
      <c r="C9447" t="s">
        <v>36757</v>
      </c>
      <c r="D9447" t="s">
        <v>28627</v>
      </c>
      <c r="E9447">
        <v>424000</v>
      </c>
      <c r="F9447" t="s">
        <v>1</v>
      </c>
      <c r="G9447" t="s">
        <v>2</v>
      </c>
      <c r="H9447" t="s">
        <v>4462</v>
      </c>
      <c r="Y9447" t="s">
        <v>36758</v>
      </c>
    </row>
    <row r="9448" spans="1:25" x14ac:dyDescent="0.25">
      <c r="A9448" t="str">
        <f>"111451613753"</f>
        <v>111451613753</v>
      </c>
      <c r="B9448" t="s">
        <v>1152</v>
      </c>
      <c r="C9448" t="s">
        <v>1153</v>
      </c>
      <c r="D9448" t="s">
        <v>24071</v>
      </c>
      <c r="E9448">
        <v>424008</v>
      </c>
      <c r="F9448" t="s">
        <v>1</v>
      </c>
      <c r="G9448" t="s">
        <v>2</v>
      </c>
      <c r="H9448" t="s">
        <v>25607</v>
      </c>
      <c r="Y9448" t="s">
        <v>36759</v>
      </c>
    </row>
    <row r="9449" spans="1:25" x14ac:dyDescent="0.25">
      <c r="A9449" t="str">
        <f>"111481317079"</f>
        <v>111481317079</v>
      </c>
      <c r="B9449" t="s">
        <v>3200</v>
      </c>
      <c r="C9449" t="s">
        <v>18948</v>
      </c>
      <c r="D9449" t="s">
        <v>36760</v>
      </c>
      <c r="E9449">
        <v>424031</v>
      </c>
      <c r="F9449" t="s">
        <v>1</v>
      </c>
      <c r="G9449" t="s">
        <v>2</v>
      </c>
      <c r="H9449" t="s">
        <v>812</v>
      </c>
      <c r="I9449" t="s">
        <v>36761</v>
      </c>
      <c r="L9449" t="s">
        <v>36762</v>
      </c>
      <c r="M9449" t="s">
        <v>36763</v>
      </c>
      <c r="P9449" t="s">
        <v>36764</v>
      </c>
      <c r="Y9449" t="s">
        <v>36765</v>
      </c>
    </row>
    <row r="9450" spans="1:25" x14ac:dyDescent="0.25">
      <c r="A9450" t="str">
        <f>"111503303334"</f>
        <v>111503303334</v>
      </c>
      <c r="B9450" t="s">
        <v>123</v>
      </c>
      <c r="C9450" t="s">
        <v>424</v>
      </c>
      <c r="D9450" t="s">
        <v>36766</v>
      </c>
      <c r="E9450">
        <v>424007</v>
      </c>
      <c r="F9450" t="s">
        <v>1</v>
      </c>
      <c r="G9450" t="s">
        <v>2</v>
      </c>
      <c r="H9450" t="s">
        <v>10411</v>
      </c>
      <c r="J9450" t="s">
        <v>36767</v>
      </c>
      <c r="Q9450" t="s">
        <v>36768</v>
      </c>
      <c r="Y9450" t="s">
        <v>10413</v>
      </c>
    </row>
    <row r="9451" spans="1:25" x14ac:dyDescent="0.25">
      <c r="A9451" t="str">
        <f>"111505851320"</f>
        <v>111505851320</v>
      </c>
      <c r="B9451" t="s">
        <v>88</v>
      </c>
      <c r="C9451" t="s">
        <v>36772</v>
      </c>
      <c r="D9451" t="s">
        <v>36769</v>
      </c>
      <c r="E9451">
        <v>424016</v>
      </c>
      <c r="F9451" t="s">
        <v>1</v>
      </c>
      <c r="G9451" t="s">
        <v>2</v>
      </c>
      <c r="H9451" t="s">
        <v>4568</v>
      </c>
      <c r="I9451" t="s">
        <v>36770</v>
      </c>
      <c r="M9451" t="s">
        <v>36771</v>
      </c>
      <c r="P9451" t="s">
        <v>27</v>
      </c>
      <c r="Y9451" t="s">
        <v>4574</v>
      </c>
    </row>
    <row r="9452" spans="1:25" x14ac:dyDescent="0.25">
      <c r="A9452" t="str">
        <f>"111556338097"</f>
        <v>111556338097</v>
      </c>
      <c r="B9452" t="s">
        <v>3544</v>
      </c>
      <c r="C9452" t="s">
        <v>11303</v>
      </c>
      <c r="D9452" t="s">
        <v>36773</v>
      </c>
      <c r="E9452">
        <v>424006</v>
      </c>
      <c r="F9452" t="s">
        <v>1</v>
      </c>
      <c r="G9452" t="s">
        <v>2</v>
      </c>
      <c r="H9452" t="s">
        <v>2007</v>
      </c>
      <c r="Y9452" t="s">
        <v>36774</v>
      </c>
    </row>
    <row r="9453" spans="1:25" x14ac:dyDescent="0.25">
      <c r="A9453" t="str">
        <f>"111586846724"</f>
        <v>111586846724</v>
      </c>
      <c r="B9453" t="s">
        <v>703</v>
      </c>
      <c r="C9453" t="s">
        <v>3518</v>
      </c>
      <c r="D9453" t="s">
        <v>36775</v>
      </c>
      <c r="F9453" t="s">
        <v>1</v>
      </c>
      <c r="G9453" t="s">
        <v>2</v>
      </c>
      <c r="H9453" t="s">
        <v>20904</v>
      </c>
      <c r="J9453" t="s">
        <v>36776</v>
      </c>
      <c r="M9453" t="s">
        <v>36777</v>
      </c>
      <c r="P9453" t="s">
        <v>312</v>
      </c>
      <c r="Y9453" t="s">
        <v>36778</v>
      </c>
    </row>
    <row r="9454" spans="1:25" x14ac:dyDescent="0.25">
      <c r="A9454" t="str">
        <f>"111595655307"</f>
        <v>111595655307</v>
      </c>
      <c r="B9454" t="s">
        <v>530</v>
      </c>
      <c r="C9454" t="s">
        <v>23950</v>
      </c>
      <c r="D9454" t="s">
        <v>23950</v>
      </c>
      <c r="F9454" t="s">
        <v>1</v>
      </c>
      <c r="G9454" t="s">
        <v>2</v>
      </c>
      <c r="H9454" t="s">
        <v>35077</v>
      </c>
      <c r="Y9454" t="s">
        <v>36779</v>
      </c>
    </row>
    <row r="9455" spans="1:25" x14ac:dyDescent="0.25">
      <c r="A9455" t="str">
        <f>"111606206637"</f>
        <v>111606206637</v>
      </c>
      <c r="B9455" t="s">
        <v>624</v>
      </c>
      <c r="C9455" t="s">
        <v>2640</v>
      </c>
      <c r="D9455" t="s">
        <v>36780</v>
      </c>
      <c r="E9455">
        <v>424000</v>
      </c>
      <c r="F9455" t="s">
        <v>1</v>
      </c>
      <c r="G9455" t="s">
        <v>2</v>
      </c>
      <c r="H9455" t="s">
        <v>36781</v>
      </c>
      <c r="Y9455" t="s">
        <v>172</v>
      </c>
    </row>
    <row r="9456" spans="1:25" x14ac:dyDescent="0.25">
      <c r="A9456" t="str">
        <f>"111678807272"</f>
        <v>111678807272</v>
      </c>
      <c r="B9456" t="s">
        <v>1604</v>
      </c>
      <c r="C9456" t="s">
        <v>2271</v>
      </c>
      <c r="D9456" t="s">
        <v>36782</v>
      </c>
      <c r="E9456">
        <v>424007</v>
      </c>
      <c r="F9456" t="s">
        <v>1</v>
      </c>
      <c r="G9456" t="s">
        <v>2</v>
      </c>
      <c r="H9456" t="s">
        <v>18582</v>
      </c>
      <c r="I9456" t="s">
        <v>36783</v>
      </c>
      <c r="P9456" t="s">
        <v>11831</v>
      </c>
      <c r="Y9456" t="s">
        <v>36784</v>
      </c>
    </row>
    <row r="9457" spans="1:25" x14ac:dyDescent="0.25">
      <c r="A9457" t="str">
        <f>"111714846122"</f>
        <v>111714846122</v>
      </c>
      <c r="B9457" t="s">
        <v>930</v>
      </c>
      <c r="C9457" t="s">
        <v>1096</v>
      </c>
      <c r="D9457" t="s">
        <v>36785</v>
      </c>
      <c r="E9457">
        <v>424037</v>
      </c>
      <c r="F9457" t="s">
        <v>1</v>
      </c>
      <c r="G9457" t="s">
        <v>2</v>
      </c>
      <c r="H9457" t="s">
        <v>3765</v>
      </c>
      <c r="I9457" t="s">
        <v>36786</v>
      </c>
      <c r="P9457" t="s">
        <v>1020</v>
      </c>
      <c r="Y9457" t="s">
        <v>36787</v>
      </c>
    </row>
    <row r="9458" spans="1:25" x14ac:dyDescent="0.25">
      <c r="A9458" t="str">
        <f>"111717462860"</f>
        <v>111717462860</v>
      </c>
      <c r="B9458" t="s">
        <v>18</v>
      </c>
      <c r="C9458" t="s">
        <v>143</v>
      </c>
      <c r="D9458" t="s">
        <v>36788</v>
      </c>
      <c r="E9458">
        <v>424039</v>
      </c>
      <c r="F9458" t="s">
        <v>1</v>
      </c>
      <c r="G9458" t="s">
        <v>2</v>
      </c>
      <c r="H9458" t="s">
        <v>5827</v>
      </c>
      <c r="I9458" t="s">
        <v>36789</v>
      </c>
      <c r="M9458" t="s">
        <v>36790</v>
      </c>
      <c r="P9458" t="s">
        <v>36791</v>
      </c>
      <c r="Q9458" t="s">
        <v>36792</v>
      </c>
      <c r="Y9458" t="s">
        <v>36793</v>
      </c>
    </row>
    <row r="9459" spans="1:25" x14ac:dyDescent="0.25">
      <c r="A9459" t="str">
        <f>"111726861737"</f>
        <v>111726861737</v>
      </c>
      <c r="B9459" t="s">
        <v>469</v>
      </c>
      <c r="C9459" t="s">
        <v>36798</v>
      </c>
      <c r="D9459" t="s">
        <v>36794</v>
      </c>
      <c r="E9459">
        <v>424000</v>
      </c>
      <c r="F9459" t="s">
        <v>1</v>
      </c>
      <c r="G9459" t="s">
        <v>2</v>
      </c>
      <c r="H9459" t="s">
        <v>36795</v>
      </c>
      <c r="L9459" t="s">
        <v>36796</v>
      </c>
      <c r="M9459" t="s">
        <v>36797</v>
      </c>
      <c r="Y9459" t="s">
        <v>28566</v>
      </c>
    </row>
    <row r="9460" spans="1:25" x14ac:dyDescent="0.25">
      <c r="A9460" t="str">
        <f>"111741202899"</f>
        <v>111741202899</v>
      </c>
      <c r="B9460" t="s">
        <v>1846</v>
      </c>
      <c r="C9460" t="s">
        <v>1846</v>
      </c>
      <c r="D9460" t="s">
        <v>36799</v>
      </c>
      <c r="E9460">
        <v>424007</v>
      </c>
      <c r="F9460" t="s">
        <v>1</v>
      </c>
      <c r="G9460" t="s">
        <v>2</v>
      </c>
      <c r="H9460" t="s">
        <v>36800</v>
      </c>
      <c r="J9460" t="s">
        <v>36801</v>
      </c>
      <c r="L9460" t="s">
        <v>36802</v>
      </c>
      <c r="M9460" t="s">
        <v>36803</v>
      </c>
      <c r="P9460" t="s">
        <v>216</v>
      </c>
      <c r="Y9460" t="s">
        <v>36804</v>
      </c>
    </row>
    <row r="9461" spans="1:25" x14ac:dyDescent="0.25">
      <c r="A9461" t="str">
        <f>"111780349779"</f>
        <v>111780349779</v>
      </c>
      <c r="B9461" t="s">
        <v>530</v>
      </c>
      <c r="C9461" t="s">
        <v>23950</v>
      </c>
      <c r="D9461" t="s">
        <v>23950</v>
      </c>
      <c r="F9461" t="s">
        <v>1</v>
      </c>
      <c r="G9461" t="s">
        <v>2</v>
      </c>
      <c r="H9461" t="s">
        <v>36805</v>
      </c>
      <c r="Y9461" t="s">
        <v>36806</v>
      </c>
    </row>
    <row r="9462" spans="1:25" x14ac:dyDescent="0.25">
      <c r="A9462" t="str">
        <f>"111782600291"</f>
        <v>111782600291</v>
      </c>
      <c r="B9462" t="s">
        <v>519</v>
      </c>
      <c r="C9462" t="s">
        <v>36810</v>
      </c>
      <c r="D9462" t="s">
        <v>36807</v>
      </c>
      <c r="E9462">
        <v>424003</v>
      </c>
      <c r="F9462" t="s">
        <v>1</v>
      </c>
      <c r="G9462" t="s">
        <v>2</v>
      </c>
      <c r="H9462" t="s">
        <v>38</v>
      </c>
      <c r="I9462" t="s">
        <v>36808</v>
      </c>
      <c r="L9462" t="s">
        <v>36809</v>
      </c>
      <c r="P9462" t="s">
        <v>330</v>
      </c>
      <c r="Q9462" t="s">
        <v>36811</v>
      </c>
      <c r="U9462" t="s">
        <v>36812</v>
      </c>
      <c r="V9462" t="s">
        <v>36813</v>
      </c>
      <c r="Y9462" t="s">
        <v>8462</v>
      </c>
    </row>
    <row r="9463" spans="1:25" x14ac:dyDescent="0.25">
      <c r="A9463" t="str">
        <f>"111798196561"</f>
        <v>111798196561</v>
      </c>
      <c r="B9463" t="s">
        <v>574</v>
      </c>
      <c r="C9463" t="s">
        <v>646</v>
      </c>
      <c r="D9463" t="s">
        <v>28302</v>
      </c>
      <c r="E9463">
        <v>424000</v>
      </c>
      <c r="F9463" t="s">
        <v>1</v>
      </c>
      <c r="G9463" t="s">
        <v>2</v>
      </c>
      <c r="H9463" t="s">
        <v>7628</v>
      </c>
      <c r="Y9463" t="s">
        <v>8052</v>
      </c>
    </row>
    <row r="9464" spans="1:25" x14ac:dyDescent="0.25">
      <c r="A9464" t="str">
        <f>"111842276535"</f>
        <v>111842276535</v>
      </c>
      <c r="B9464" t="s">
        <v>930</v>
      </c>
      <c r="C9464" t="s">
        <v>1096</v>
      </c>
      <c r="D9464" t="s">
        <v>35251</v>
      </c>
      <c r="E9464">
        <v>424037</v>
      </c>
      <c r="F9464" t="s">
        <v>1</v>
      </c>
      <c r="G9464" t="s">
        <v>2</v>
      </c>
      <c r="H9464" t="s">
        <v>36814</v>
      </c>
      <c r="Y9464" t="s">
        <v>36815</v>
      </c>
    </row>
    <row r="9465" spans="1:25" x14ac:dyDescent="0.25">
      <c r="A9465" t="str">
        <f>"111873692326"</f>
        <v>111873692326</v>
      </c>
      <c r="B9465" t="s">
        <v>96</v>
      </c>
      <c r="C9465" t="s">
        <v>25084</v>
      </c>
      <c r="D9465" t="s">
        <v>21572</v>
      </c>
      <c r="E9465">
        <v>424033</v>
      </c>
      <c r="F9465" t="s">
        <v>1</v>
      </c>
      <c r="G9465" t="s">
        <v>2</v>
      </c>
      <c r="H9465" t="s">
        <v>2597</v>
      </c>
      <c r="Y9465" t="s">
        <v>36816</v>
      </c>
    </row>
    <row r="9466" spans="1:25" x14ac:dyDescent="0.25">
      <c r="A9466" t="str">
        <f>"111891937975"</f>
        <v>111891937975</v>
      </c>
      <c r="B9466" t="s">
        <v>25</v>
      </c>
      <c r="C9466" t="s">
        <v>59</v>
      </c>
      <c r="D9466" t="s">
        <v>36817</v>
      </c>
      <c r="E9466">
        <v>424008</v>
      </c>
      <c r="F9466" t="s">
        <v>1</v>
      </c>
      <c r="G9466" t="s">
        <v>2</v>
      </c>
      <c r="H9466" t="s">
        <v>1031</v>
      </c>
      <c r="Y9466" t="s">
        <v>5039</v>
      </c>
    </row>
    <row r="9467" spans="1:25" x14ac:dyDescent="0.25">
      <c r="A9467" t="str">
        <f>"111916764436"</f>
        <v>111916764436</v>
      </c>
      <c r="B9467" t="s">
        <v>160</v>
      </c>
      <c r="C9467" t="s">
        <v>2479</v>
      </c>
      <c r="D9467" t="s">
        <v>36818</v>
      </c>
      <c r="E9467">
        <v>424030</v>
      </c>
      <c r="F9467" t="s">
        <v>1</v>
      </c>
      <c r="G9467" t="s">
        <v>2</v>
      </c>
      <c r="H9467" t="s">
        <v>10204</v>
      </c>
      <c r="Y9467" t="s">
        <v>36819</v>
      </c>
    </row>
    <row r="9468" spans="1:25" x14ac:dyDescent="0.25">
      <c r="A9468" t="str">
        <f>"111916932969"</f>
        <v>111916932969</v>
      </c>
      <c r="B9468" t="s">
        <v>1078</v>
      </c>
      <c r="C9468" t="s">
        <v>36824</v>
      </c>
      <c r="D9468" t="s">
        <v>36820</v>
      </c>
      <c r="E9468">
        <v>424003</v>
      </c>
      <c r="F9468" t="s">
        <v>1</v>
      </c>
      <c r="G9468" t="s">
        <v>2</v>
      </c>
      <c r="H9468" t="s">
        <v>26580</v>
      </c>
      <c r="I9468" t="s">
        <v>36821</v>
      </c>
      <c r="J9468" t="s">
        <v>36822</v>
      </c>
      <c r="L9468" t="s">
        <v>31685</v>
      </c>
      <c r="M9468" t="s">
        <v>36823</v>
      </c>
      <c r="P9468" t="s">
        <v>1027</v>
      </c>
      <c r="Q9468" t="s">
        <v>36825</v>
      </c>
      <c r="Y9468" t="s">
        <v>26582</v>
      </c>
    </row>
    <row r="9469" spans="1:25" x14ac:dyDescent="0.25">
      <c r="A9469" t="str">
        <f>"111939621017"</f>
        <v>111939621017</v>
      </c>
      <c r="B9469" t="s">
        <v>1078</v>
      </c>
      <c r="C9469" t="s">
        <v>26548</v>
      </c>
      <c r="D9469" t="s">
        <v>27913</v>
      </c>
      <c r="E9469">
        <v>424007</v>
      </c>
      <c r="F9469" t="s">
        <v>1</v>
      </c>
      <c r="G9469" t="s">
        <v>2</v>
      </c>
      <c r="H9469" t="s">
        <v>23667</v>
      </c>
      <c r="Y9469" t="s">
        <v>23669</v>
      </c>
    </row>
    <row r="9470" spans="1:25" x14ac:dyDescent="0.25">
      <c r="A9470" t="str">
        <f>"111947047897"</f>
        <v>111947047897</v>
      </c>
      <c r="B9470" t="s">
        <v>151</v>
      </c>
      <c r="C9470" t="s">
        <v>151</v>
      </c>
      <c r="D9470" t="s">
        <v>36826</v>
      </c>
      <c r="E9470">
        <v>424000</v>
      </c>
      <c r="F9470" t="s">
        <v>1</v>
      </c>
      <c r="G9470" t="s">
        <v>2</v>
      </c>
      <c r="H9470" t="s">
        <v>937</v>
      </c>
      <c r="I9470" t="s">
        <v>36827</v>
      </c>
      <c r="L9470" t="s">
        <v>36828</v>
      </c>
      <c r="M9470" t="s">
        <v>36829</v>
      </c>
      <c r="P9470" t="s">
        <v>5689</v>
      </c>
      <c r="Q9470" t="s">
        <v>36830</v>
      </c>
      <c r="Y9470" t="s">
        <v>36831</v>
      </c>
    </row>
    <row r="9471" spans="1:25" x14ac:dyDescent="0.25">
      <c r="A9471" t="str">
        <f>"111984581893"</f>
        <v>111984581893</v>
      </c>
      <c r="B9471" t="s">
        <v>290</v>
      </c>
      <c r="C9471" t="s">
        <v>11603</v>
      </c>
      <c r="D9471" t="s">
        <v>36832</v>
      </c>
      <c r="E9471">
        <v>424038</v>
      </c>
      <c r="F9471" t="s">
        <v>1</v>
      </c>
      <c r="G9471" t="s">
        <v>2</v>
      </c>
      <c r="H9471" t="s">
        <v>7597</v>
      </c>
      <c r="P9471" t="s">
        <v>1642</v>
      </c>
      <c r="Y9471" t="s">
        <v>36833</v>
      </c>
    </row>
    <row r="9472" spans="1:25" x14ac:dyDescent="0.25">
      <c r="A9472" t="str">
        <f>"112004639344"</f>
        <v>112004639344</v>
      </c>
      <c r="B9472" t="s">
        <v>1046</v>
      </c>
      <c r="C9472" t="s">
        <v>22946</v>
      </c>
      <c r="D9472" t="s">
        <v>22946</v>
      </c>
      <c r="E9472">
        <v>424030</v>
      </c>
      <c r="F9472" t="s">
        <v>1</v>
      </c>
      <c r="G9472" t="s">
        <v>2</v>
      </c>
      <c r="H9472" t="s">
        <v>36834</v>
      </c>
      <c r="Y9472" t="s">
        <v>36835</v>
      </c>
    </row>
    <row r="9473" spans="1:25" x14ac:dyDescent="0.25">
      <c r="A9473" t="str">
        <f>"112020881536"</f>
        <v>112020881536</v>
      </c>
      <c r="B9473" t="s">
        <v>2601</v>
      </c>
      <c r="C9473" t="s">
        <v>36838</v>
      </c>
      <c r="D9473" t="s">
        <v>36836</v>
      </c>
      <c r="E9473">
        <v>424006</v>
      </c>
      <c r="F9473" t="s">
        <v>1</v>
      </c>
      <c r="G9473" t="s">
        <v>2</v>
      </c>
      <c r="H9473" t="s">
        <v>30817</v>
      </c>
      <c r="I9473" t="s">
        <v>36837</v>
      </c>
      <c r="P9473" t="s">
        <v>144</v>
      </c>
      <c r="Q9473" t="s">
        <v>36839</v>
      </c>
      <c r="V9473" t="s">
        <v>36840</v>
      </c>
      <c r="Y9473" t="s">
        <v>36841</v>
      </c>
    </row>
    <row r="9474" spans="1:25" x14ac:dyDescent="0.25">
      <c r="A9474" t="str">
        <f>"112036327606"</f>
        <v>112036327606</v>
      </c>
      <c r="B9474" t="s">
        <v>96</v>
      </c>
      <c r="C9474" t="s">
        <v>695</v>
      </c>
      <c r="D9474" t="s">
        <v>24312</v>
      </c>
      <c r="E9474">
        <v>424007</v>
      </c>
      <c r="F9474" t="s">
        <v>1</v>
      </c>
      <c r="G9474" t="s">
        <v>2</v>
      </c>
      <c r="H9474" t="s">
        <v>5178</v>
      </c>
      <c r="J9474" t="s">
        <v>24465</v>
      </c>
      <c r="P9474" t="s">
        <v>2731</v>
      </c>
      <c r="Y9474" t="s">
        <v>36842</v>
      </c>
    </row>
    <row r="9475" spans="1:25" x14ac:dyDescent="0.25">
      <c r="A9475" t="str">
        <f>"112039778981"</f>
        <v>112039778981</v>
      </c>
      <c r="B9475" t="s">
        <v>1617</v>
      </c>
      <c r="C9475" t="s">
        <v>21001</v>
      </c>
      <c r="D9475" t="s">
        <v>20999</v>
      </c>
      <c r="E9475">
        <v>424033</v>
      </c>
      <c r="F9475" t="s">
        <v>1</v>
      </c>
      <c r="G9475" t="s">
        <v>2</v>
      </c>
      <c r="H9475" t="s">
        <v>9700</v>
      </c>
      <c r="P9475" t="s">
        <v>4998</v>
      </c>
      <c r="Y9475" t="s">
        <v>36843</v>
      </c>
    </row>
    <row r="9476" spans="1:25" x14ac:dyDescent="0.25">
      <c r="A9476" t="str">
        <f>"112075381969"</f>
        <v>112075381969</v>
      </c>
      <c r="B9476" t="s">
        <v>18</v>
      </c>
      <c r="C9476" t="s">
        <v>36847</v>
      </c>
      <c r="D9476" t="s">
        <v>36844</v>
      </c>
      <c r="E9476">
        <v>424006</v>
      </c>
      <c r="F9476" t="s">
        <v>1</v>
      </c>
      <c r="G9476" t="s">
        <v>2</v>
      </c>
      <c r="H9476" t="s">
        <v>4078</v>
      </c>
      <c r="J9476" t="s">
        <v>26699</v>
      </c>
      <c r="L9476" t="s">
        <v>36845</v>
      </c>
      <c r="M9476" t="s">
        <v>36846</v>
      </c>
      <c r="P9476" t="s">
        <v>2457</v>
      </c>
      <c r="Y9476" t="s">
        <v>4080</v>
      </c>
    </row>
    <row r="9477" spans="1:25" x14ac:dyDescent="0.25">
      <c r="A9477" t="str">
        <f>"112091714846"</f>
        <v>112091714846</v>
      </c>
      <c r="B9477" t="s">
        <v>123</v>
      </c>
      <c r="C9477" t="s">
        <v>196</v>
      </c>
      <c r="D9477" t="s">
        <v>36848</v>
      </c>
      <c r="E9477">
        <v>424038</v>
      </c>
      <c r="F9477" t="s">
        <v>1</v>
      </c>
      <c r="G9477" t="s">
        <v>2</v>
      </c>
      <c r="H9477" t="s">
        <v>1366</v>
      </c>
      <c r="P9477" t="s">
        <v>98</v>
      </c>
      <c r="Y9477" t="s">
        <v>36849</v>
      </c>
    </row>
    <row r="9478" spans="1:25" x14ac:dyDescent="0.25">
      <c r="A9478" t="str">
        <f>"112098713312"</f>
        <v>112098713312</v>
      </c>
      <c r="B9478" t="s">
        <v>2104</v>
      </c>
      <c r="C9478" t="s">
        <v>21175</v>
      </c>
      <c r="D9478" t="s">
        <v>36850</v>
      </c>
      <c r="E9478">
        <v>424039</v>
      </c>
      <c r="F9478" t="s">
        <v>1</v>
      </c>
      <c r="G9478" t="s">
        <v>2</v>
      </c>
      <c r="H9478" t="s">
        <v>5827</v>
      </c>
      <c r="J9478" t="s">
        <v>36851</v>
      </c>
      <c r="Q9478" t="s">
        <v>36852</v>
      </c>
      <c r="Y9478" t="s">
        <v>27950</v>
      </c>
    </row>
    <row r="9479" spans="1:25" x14ac:dyDescent="0.25">
      <c r="A9479" t="str">
        <f>"112119686111"</f>
        <v>112119686111</v>
      </c>
      <c r="B9479" t="s">
        <v>88</v>
      </c>
      <c r="C9479" t="s">
        <v>36855</v>
      </c>
      <c r="D9479" t="s">
        <v>36853</v>
      </c>
      <c r="E9479">
        <v>424003</v>
      </c>
      <c r="F9479" t="s">
        <v>1</v>
      </c>
      <c r="G9479" t="s">
        <v>2</v>
      </c>
      <c r="H9479" t="s">
        <v>14928</v>
      </c>
      <c r="I9479" t="s">
        <v>36854</v>
      </c>
      <c r="P9479" t="s">
        <v>112</v>
      </c>
      <c r="Y9479" t="s">
        <v>36856</v>
      </c>
    </row>
    <row r="9480" spans="1:25" x14ac:dyDescent="0.25">
      <c r="A9480" t="str">
        <f>"112132731605"</f>
        <v>112132731605</v>
      </c>
      <c r="B9480" t="s">
        <v>379</v>
      </c>
      <c r="C9480" t="s">
        <v>380</v>
      </c>
      <c r="D9480" t="s">
        <v>8393</v>
      </c>
      <c r="E9480">
        <v>424031</v>
      </c>
      <c r="F9480" t="s">
        <v>1</v>
      </c>
      <c r="G9480" t="s">
        <v>2</v>
      </c>
      <c r="H9480" t="s">
        <v>9156</v>
      </c>
      <c r="I9480" t="s">
        <v>36857</v>
      </c>
      <c r="L9480" t="s">
        <v>8395</v>
      </c>
      <c r="M9480" t="s">
        <v>8396</v>
      </c>
      <c r="P9480" t="s">
        <v>5871</v>
      </c>
      <c r="Q9480" t="s">
        <v>8412</v>
      </c>
      <c r="R9480" t="s">
        <v>8399</v>
      </c>
      <c r="S9480" t="s">
        <v>8400</v>
      </c>
      <c r="T9480" t="s">
        <v>8401</v>
      </c>
      <c r="Y9480" t="s">
        <v>18288</v>
      </c>
    </row>
    <row r="9481" spans="1:25" x14ac:dyDescent="0.25">
      <c r="A9481" t="str">
        <f>"112134431001"</f>
        <v>112134431001</v>
      </c>
      <c r="B9481" t="s">
        <v>25</v>
      </c>
      <c r="C9481" t="s">
        <v>59</v>
      </c>
      <c r="D9481" t="s">
        <v>36858</v>
      </c>
      <c r="E9481">
        <v>424000</v>
      </c>
      <c r="F9481" t="s">
        <v>1</v>
      </c>
      <c r="G9481" t="s">
        <v>2</v>
      </c>
      <c r="H9481" t="s">
        <v>2206</v>
      </c>
      <c r="I9481" t="s">
        <v>36859</v>
      </c>
      <c r="Q9481" t="s">
        <v>36860</v>
      </c>
      <c r="Y9481" t="s">
        <v>2210</v>
      </c>
    </row>
    <row r="9482" spans="1:25" x14ac:dyDescent="0.25">
      <c r="A9482" t="str">
        <f>"112158288819"</f>
        <v>112158288819</v>
      </c>
      <c r="B9482" t="s">
        <v>379</v>
      </c>
      <c r="C9482" t="s">
        <v>36862</v>
      </c>
      <c r="D9482" t="s">
        <v>11181</v>
      </c>
      <c r="E9482">
        <v>424002</v>
      </c>
      <c r="F9482" t="s">
        <v>1</v>
      </c>
      <c r="G9482" t="s">
        <v>2</v>
      </c>
      <c r="H9482" t="s">
        <v>6656</v>
      </c>
      <c r="L9482" t="s">
        <v>36861</v>
      </c>
      <c r="M9482" t="s">
        <v>5668</v>
      </c>
      <c r="Y9482" t="s">
        <v>36863</v>
      </c>
    </row>
    <row r="9483" spans="1:25" x14ac:dyDescent="0.25">
      <c r="A9483" t="str">
        <f>"112170734526"</f>
        <v>112170734526</v>
      </c>
      <c r="B9483" t="s">
        <v>3908</v>
      </c>
      <c r="C9483" t="s">
        <v>3918</v>
      </c>
      <c r="D9483" t="s">
        <v>36864</v>
      </c>
      <c r="E9483">
        <v>424019</v>
      </c>
      <c r="F9483" t="s">
        <v>1</v>
      </c>
      <c r="G9483" t="s">
        <v>2</v>
      </c>
      <c r="H9483" t="s">
        <v>36865</v>
      </c>
      <c r="J9483" t="s">
        <v>36866</v>
      </c>
      <c r="P9483" t="s">
        <v>330</v>
      </c>
      <c r="Y9483" t="s">
        <v>36867</v>
      </c>
    </row>
    <row r="9484" spans="1:25" x14ac:dyDescent="0.25">
      <c r="A9484" t="str">
        <f>"112195738719"</f>
        <v>112195738719</v>
      </c>
      <c r="B9484" t="s">
        <v>553</v>
      </c>
      <c r="C9484" t="s">
        <v>18107</v>
      </c>
      <c r="D9484" t="s">
        <v>36868</v>
      </c>
      <c r="E9484">
        <v>424033</v>
      </c>
      <c r="F9484" t="s">
        <v>1</v>
      </c>
      <c r="G9484" t="s">
        <v>2</v>
      </c>
      <c r="H9484" t="s">
        <v>25842</v>
      </c>
      <c r="I9484" t="s">
        <v>36869</v>
      </c>
      <c r="P9484" t="s">
        <v>27</v>
      </c>
      <c r="Y9484" t="s">
        <v>25846</v>
      </c>
    </row>
    <row r="9485" spans="1:25" x14ac:dyDescent="0.25">
      <c r="A9485" t="str">
        <f>"112237749070"</f>
        <v>112237749070</v>
      </c>
      <c r="B9485" t="s">
        <v>703</v>
      </c>
      <c r="C9485" t="s">
        <v>2129</v>
      </c>
      <c r="D9485" t="s">
        <v>36870</v>
      </c>
      <c r="F9485" t="s">
        <v>1</v>
      </c>
      <c r="G9485" t="s">
        <v>2</v>
      </c>
      <c r="H9485" t="s">
        <v>1508</v>
      </c>
      <c r="I9485" t="s">
        <v>36871</v>
      </c>
      <c r="K9485" t="s">
        <v>36872</v>
      </c>
      <c r="L9485" t="s">
        <v>36873</v>
      </c>
      <c r="M9485" t="s">
        <v>36874</v>
      </c>
      <c r="P9485" t="s">
        <v>6467</v>
      </c>
      <c r="Y9485" t="s">
        <v>10196</v>
      </c>
    </row>
    <row r="9486" spans="1:25" x14ac:dyDescent="0.25">
      <c r="A9486" t="str">
        <f>"112252508090"</f>
        <v>112252508090</v>
      </c>
      <c r="B9486" t="s">
        <v>790</v>
      </c>
      <c r="C9486" t="s">
        <v>36878</v>
      </c>
      <c r="D9486" t="s">
        <v>36875</v>
      </c>
      <c r="E9486">
        <v>424002</v>
      </c>
      <c r="F9486" t="s">
        <v>1</v>
      </c>
      <c r="G9486" t="s">
        <v>2</v>
      </c>
      <c r="H9486" t="s">
        <v>1395</v>
      </c>
      <c r="I9486" t="s">
        <v>36876</v>
      </c>
      <c r="M9486" t="s">
        <v>36877</v>
      </c>
      <c r="P9486" t="s">
        <v>1107</v>
      </c>
      <c r="Q9486" t="s">
        <v>36879</v>
      </c>
      <c r="Y9486" t="s">
        <v>36880</v>
      </c>
    </row>
    <row r="9487" spans="1:25" x14ac:dyDescent="0.25">
      <c r="A9487" t="str">
        <f>"112330462187"</f>
        <v>112330462187</v>
      </c>
      <c r="B9487" t="s">
        <v>2104</v>
      </c>
      <c r="C9487" t="s">
        <v>13387</v>
      </c>
      <c r="D9487" t="s">
        <v>36881</v>
      </c>
      <c r="E9487">
        <v>424032</v>
      </c>
      <c r="F9487" t="s">
        <v>1</v>
      </c>
      <c r="G9487" t="s">
        <v>2</v>
      </c>
      <c r="H9487" t="s">
        <v>6280</v>
      </c>
      <c r="Y9487" t="s">
        <v>36882</v>
      </c>
    </row>
    <row r="9488" spans="1:25" x14ac:dyDescent="0.25">
      <c r="A9488" t="str">
        <f>"112343603255"</f>
        <v>112343603255</v>
      </c>
      <c r="B9488" t="s">
        <v>1152</v>
      </c>
      <c r="C9488" t="s">
        <v>36884</v>
      </c>
      <c r="D9488" t="s">
        <v>36883</v>
      </c>
      <c r="F9488" t="s">
        <v>1</v>
      </c>
      <c r="G9488" t="s">
        <v>2</v>
      </c>
      <c r="H9488" t="s">
        <v>7547</v>
      </c>
      <c r="Y9488" t="s">
        <v>36885</v>
      </c>
    </row>
    <row r="9489" spans="1:25" x14ac:dyDescent="0.25">
      <c r="A9489" t="str">
        <f>"112378641453"</f>
        <v>112378641453</v>
      </c>
      <c r="B9489" t="s">
        <v>654</v>
      </c>
      <c r="C9489" t="s">
        <v>14448</v>
      </c>
      <c r="D9489" t="s">
        <v>36886</v>
      </c>
      <c r="E9489">
        <v>424005</v>
      </c>
      <c r="F9489" t="s">
        <v>1</v>
      </c>
      <c r="G9489" t="s">
        <v>2</v>
      </c>
      <c r="H9489" t="s">
        <v>1298</v>
      </c>
      <c r="Y9489" t="s">
        <v>1301</v>
      </c>
    </row>
    <row r="9490" spans="1:25" x14ac:dyDescent="0.25">
      <c r="A9490" t="str">
        <f>"112404839038"</f>
        <v>112404839038</v>
      </c>
      <c r="B9490" t="s">
        <v>7</v>
      </c>
      <c r="C9490" t="s">
        <v>36888</v>
      </c>
      <c r="D9490" t="s">
        <v>36887</v>
      </c>
      <c r="E9490">
        <v>424038</v>
      </c>
      <c r="F9490" t="s">
        <v>1</v>
      </c>
      <c r="G9490" t="s">
        <v>2</v>
      </c>
      <c r="H9490" t="s">
        <v>6550</v>
      </c>
      <c r="Y9490" t="s">
        <v>6552</v>
      </c>
    </row>
    <row r="9491" spans="1:25" x14ac:dyDescent="0.25">
      <c r="A9491" t="str">
        <f>"112411695437"</f>
        <v>112411695437</v>
      </c>
      <c r="B9491" t="s">
        <v>18</v>
      </c>
      <c r="C9491" t="s">
        <v>143</v>
      </c>
      <c r="D9491" t="s">
        <v>36889</v>
      </c>
      <c r="E9491">
        <v>424006</v>
      </c>
      <c r="F9491" t="s">
        <v>1</v>
      </c>
      <c r="G9491" t="s">
        <v>2</v>
      </c>
      <c r="H9491" t="s">
        <v>13596</v>
      </c>
      <c r="I9491" t="s">
        <v>36890</v>
      </c>
      <c r="J9491" t="s">
        <v>18569</v>
      </c>
      <c r="L9491" t="s">
        <v>18570</v>
      </c>
      <c r="M9491" t="s">
        <v>18571</v>
      </c>
      <c r="Y9491" t="s">
        <v>36891</v>
      </c>
    </row>
    <row r="9492" spans="1:25" x14ac:dyDescent="0.25">
      <c r="A9492" t="str">
        <f>"112418945518"</f>
        <v>112418945518</v>
      </c>
      <c r="B9492" t="s">
        <v>25</v>
      </c>
      <c r="C9492" t="s">
        <v>15801</v>
      </c>
      <c r="D9492" t="s">
        <v>9011</v>
      </c>
      <c r="F9492" t="s">
        <v>1</v>
      </c>
      <c r="G9492" t="s">
        <v>2</v>
      </c>
      <c r="H9492" t="s">
        <v>7547</v>
      </c>
      <c r="Y9492" t="s">
        <v>36892</v>
      </c>
    </row>
    <row r="9493" spans="1:25" x14ac:dyDescent="0.25">
      <c r="A9493" t="str">
        <f>"112455172818"</f>
        <v>112455172818</v>
      </c>
      <c r="B9493" t="s">
        <v>687</v>
      </c>
      <c r="C9493" t="s">
        <v>36897</v>
      </c>
      <c r="D9493" t="s">
        <v>36893</v>
      </c>
      <c r="E9493">
        <v>424033</v>
      </c>
      <c r="F9493" t="s">
        <v>1</v>
      </c>
      <c r="G9493" t="s">
        <v>2</v>
      </c>
      <c r="H9493" t="s">
        <v>4225</v>
      </c>
      <c r="J9493" t="s">
        <v>36894</v>
      </c>
      <c r="L9493" t="s">
        <v>36895</v>
      </c>
      <c r="M9493" t="s">
        <v>36896</v>
      </c>
      <c r="P9493" t="s">
        <v>36898</v>
      </c>
      <c r="Y9493" t="s">
        <v>36899</v>
      </c>
    </row>
    <row r="9494" spans="1:25" x14ac:dyDescent="0.25">
      <c r="A9494" t="str">
        <f>"112458796499"</f>
        <v>112458796499</v>
      </c>
      <c r="B9494" t="s">
        <v>1611</v>
      </c>
      <c r="C9494" t="s">
        <v>11688</v>
      </c>
      <c r="D9494" t="s">
        <v>36900</v>
      </c>
      <c r="E9494">
        <v>424005</v>
      </c>
      <c r="F9494" t="s">
        <v>1</v>
      </c>
      <c r="G9494" t="s">
        <v>2</v>
      </c>
      <c r="H9494" t="s">
        <v>5429</v>
      </c>
      <c r="Y9494" t="s">
        <v>36901</v>
      </c>
    </row>
    <row r="9495" spans="1:25" x14ac:dyDescent="0.25">
      <c r="A9495" t="str">
        <f>"112468821486"</f>
        <v>112468821486</v>
      </c>
      <c r="B9495" t="s">
        <v>96</v>
      </c>
      <c r="C9495" t="s">
        <v>2285</v>
      </c>
      <c r="D9495" t="s">
        <v>30723</v>
      </c>
      <c r="E9495">
        <v>424038</v>
      </c>
      <c r="F9495" t="s">
        <v>1</v>
      </c>
      <c r="G9495" t="s">
        <v>2</v>
      </c>
      <c r="H9495" t="s">
        <v>2614</v>
      </c>
      <c r="Y9495" t="s">
        <v>2617</v>
      </c>
    </row>
    <row r="9496" spans="1:25" x14ac:dyDescent="0.25">
      <c r="A9496" t="str">
        <f>"112471467996"</f>
        <v>112471467996</v>
      </c>
      <c r="B9496" t="s">
        <v>574</v>
      </c>
      <c r="C9496" t="s">
        <v>23462</v>
      </c>
      <c r="D9496" t="s">
        <v>36902</v>
      </c>
      <c r="E9496">
        <v>424028</v>
      </c>
      <c r="F9496" t="s">
        <v>1</v>
      </c>
      <c r="G9496" t="s">
        <v>2</v>
      </c>
      <c r="H9496" t="s">
        <v>24503</v>
      </c>
      <c r="Y9496" t="s">
        <v>36903</v>
      </c>
    </row>
    <row r="9497" spans="1:25" x14ac:dyDescent="0.25">
      <c r="A9497" t="str">
        <f>"112475398122"</f>
        <v>112475398122</v>
      </c>
      <c r="B9497" t="s">
        <v>233</v>
      </c>
      <c r="C9497" t="s">
        <v>14003</v>
      </c>
      <c r="D9497" t="s">
        <v>22154</v>
      </c>
      <c r="E9497">
        <v>424028</v>
      </c>
      <c r="F9497" t="s">
        <v>1</v>
      </c>
      <c r="G9497" t="s">
        <v>2</v>
      </c>
      <c r="H9497" t="s">
        <v>3359</v>
      </c>
      <c r="Y9497" t="s">
        <v>36904</v>
      </c>
    </row>
    <row r="9498" spans="1:25" x14ac:dyDescent="0.25">
      <c r="A9498" t="str">
        <f>"112501513290"</f>
        <v>112501513290</v>
      </c>
      <c r="B9498" t="s">
        <v>1544</v>
      </c>
      <c r="C9498" t="s">
        <v>15598</v>
      </c>
      <c r="D9498" t="s">
        <v>23165</v>
      </c>
      <c r="E9498">
        <v>424039</v>
      </c>
      <c r="F9498" t="s">
        <v>1</v>
      </c>
      <c r="G9498" t="s">
        <v>2</v>
      </c>
      <c r="H9498" t="s">
        <v>34313</v>
      </c>
      <c r="Y9498" t="s">
        <v>36905</v>
      </c>
    </row>
    <row r="9499" spans="1:25" x14ac:dyDescent="0.25">
      <c r="A9499" t="str">
        <f>"112606726759"</f>
        <v>112606726759</v>
      </c>
      <c r="B9499" t="s">
        <v>456</v>
      </c>
      <c r="C9499" t="s">
        <v>1522</v>
      </c>
      <c r="D9499" t="s">
        <v>36906</v>
      </c>
      <c r="E9499">
        <v>424020</v>
      </c>
      <c r="F9499" t="s">
        <v>1</v>
      </c>
      <c r="G9499" t="s">
        <v>2</v>
      </c>
      <c r="H9499" t="s">
        <v>23</v>
      </c>
      <c r="I9499" t="s">
        <v>36907</v>
      </c>
      <c r="L9499" t="s">
        <v>36908</v>
      </c>
      <c r="M9499" t="s">
        <v>36909</v>
      </c>
      <c r="P9499" t="s">
        <v>2951</v>
      </c>
      <c r="Q9499" t="s">
        <v>36910</v>
      </c>
      <c r="T9499" t="s">
        <v>36911</v>
      </c>
      <c r="U9499" t="s">
        <v>36912</v>
      </c>
      <c r="V9499" t="s">
        <v>36913</v>
      </c>
      <c r="Y9499" t="s">
        <v>26334</v>
      </c>
    </row>
    <row r="9500" spans="1:25" x14ac:dyDescent="0.25">
      <c r="A9500" t="str">
        <f>"112607649636"</f>
        <v>112607649636</v>
      </c>
      <c r="B9500" t="s">
        <v>703</v>
      </c>
      <c r="C9500" t="s">
        <v>8018</v>
      </c>
      <c r="D9500" t="s">
        <v>36914</v>
      </c>
      <c r="E9500">
        <v>424016</v>
      </c>
      <c r="F9500" t="s">
        <v>1</v>
      </c>
      <c r="G9500" t="s">
        <v>2</v>
      </c>
      <c r="H9500" t="s">
        <v>8350</v>
      </c>
      <c r="I9500" t="s">
        <v>36915</v>
      </c>
      <c r="L9500" t="s">
        <v>36916</v>
      </c>
      <c r="M9500" t="s">
        <v>36917</v>
      </c>
      <c r="P9500" t="s">
        <v>152</v>
      </c>
      <c r="Q9500" t="s">
        <v>36918</v>
      </c>
      <c r="Y9500" t="s">
        <v>19273</v>
      </c>
    </row>
    <row r="9501" spans="1:25" x14ac:dyDescent="0.25">
      <c r="A9501" t="str">
        <f>"112639477604"</f>
        <v>112639477604</v>
      </c>
      <c r="B9501" t="s">
        <v>530</v>
      </c>
      <c r="C9501" t="s">
        <v>23950</v>
      </c>
      <c r="D9501" t="s">
        <v>23950</v>
      </c>
      <c r="F9501" t="s">
        <v>1</v>
      </c>
      <c r="G9501" t="s">
        <v>2</v>
      </c>
      <c r="H9501" t="s">
        <v>31829</v>
      </c>
      <c r="Y9501" t="s">
        <v>36919</v>
      </c>
    </row>
    <row r="9502" spans="1:25" x14ac:dyDescent="0.25">
      <c r="A9502" t="str">
        <f>"112641043741"</f>
        <v>112641043741</v>
      </c>
      <c r="B9502" t="s">
        <v>3200</v>
      </c>
      <c r="C9502" t="s">
        <v>18948</v>
      </c>
      <c r="D9502" t="s">
        <v>3265</v>
      </c>
      <c r="E9502">
        <v>424004</v>
      </c>
      <c r="F9502" t="s">
        <v>1</v>
      </c>
      <c r="G9502" t="s">
        <v>2</v>
      </c>
      <c r="H9502" t="s">
        <v>3266</v>
      </c>
      <c r="Y9502" t="s">
        <v>36920</v>
      </c>
    </row>
    <row r="9503" spans="1:25" x14ac:dyDescent="0.25">
      <c r="A9503" t="str">
        <f>"112683750921"</f>
        <v>112683750921</v>
      </c>
      <c r="B9503" t="s">
        <v>224</v>
      </c>
      <c r="C9503" t="s">
        <v>36924</v>
      </c>
      <c r="D9503" t="s">
        <v>36921</v>
      </c>
      <c r="E9503">
        <v>424006</v>
      </c>
      <c r="F9503" t="s">
        <v>1</v>
      </c>
      <c r="G9503" t="s">
        <v>2</v>
      </c>
      <c r="H9503" t="s">
        <v>2012</v>
      </c>
      <c r="I9503" t="s">
        <v>36922</v>
      </c>
      <c r="M9503" t="s">
        <v>36923</v>
      </c>
      <c r="P9503" t="s">
        <v>1027</v>
      </c>
      <c r="Y9503" t="s">
        <v>2016</v>
      </c>
    </row>
    <row r="9504" spans="1:25" x14ac:dyDescent="0.25">
      <c r="A9504" t="str">
        <f>"112694455790"</f>
        <v>112694455790</v>
      </c>
      <c r="B9504" t="s">
        <v>1604</v>
      </c>
      <c r="C9504" t="s">
        <v>36926</v>
      </c>
      <c r="D9504" t="s">
        <v>36925</v>
      </c>
      <c r="E9504">
        <v>424000</v>
      </c>
      <c r="F9504" t="s">
        <v>1</v>
      </c>
      <c r="G9504" t="s">
        <v>2</v>
      </c>
      <c r="H9504" t="s">
        <v>1531</v>
      </c>
      <c r="Y9504" t="s">
        <v>1707</v>
      </c>
    </row>
    <row r="9505" spans="1:25" x14ac:dyDescent="0.25">
      <c r="A9505" t="str">
        <f>"112731904994"</f>
        <v>112731904994</v>
      </c>
      <c r="B9505" t="s">
        <v>25</v>
      </c>
      <c r="C9505" t="s">
        <v>59</v>
      </c>
      <c r="D9505" t="s">
        <v>36927</v>
      </c>
      <c r="E9505">
        <v>424000</v>
      </c>
      <c r="F9505" t="s">
        <v>1</v>
      </c>
      <c r="G9505" t="s">
        <v>2</v>
      </c>
      <c r="H9505" t="s">
        <v>4648</v>
      </c>
      <c r="I9505" t="s">
        <v>36928</v>
      </c>
      <c r="P9505" t="s">
        <v>152</v>
      </c>
      <c r="Y9505" t="s">
        <v>4649</v>
      </c>
    </row>
    <row r="9506" spans="1:25" x14ac:dyDescent="0.25">
      <c r="A9506" t="str">
        <f>"112741783861"</f>
        <v>112741783861</v>
      </c>
      <c r="B9506" t="s">
        <v>379</v>
      </c>
      <c r="C9506" t="s">
        <v>766</v>
      </c>
      <c r="D9506" t="s">
        <v>34760</v>
      </c>
      <c r="E9506">
        <v>424019</v>
      </c>
      <c r="F9506" t="s">
        <v>1</v>
      </c>
      <c r="G9506" t="s">
        <v>2</v>
      </c>
      <c r="H9506" t="s">
        <v>1801</v>
      </c>
      <c r="P9506" t="s">
        <v>1027</v>
      </c>
      <c r="Y9506" t="s">
        <v>36929</v>
      </c>
    </row>
    <row r="9507" spans="1:25" x14ac:dyDescent="0.25">
      <c r="A9507" t="str">
        <f>"112742998651"</f>
        <v>112742998651</v>
      </c>
      <c r="B9507" t="s">
        <v>319</v>
      </c>
      <c r="C9507" t="s">
        <v>320</v>
      </c>
      <c r="D9507" t="s">
        <v>36773</v>
      </c>
      <c r="E9507">
        <v>424037</v>
      </c>
      <c r="F9507" t="s">
        <v>1</v>
      </c>
      <c r="G9507" t="s">
        <v>2</v>
      </c>
      <c r="H9507" t="s">
        <v>10692</v>
      </c>
      <c r="L9507" t="s">
        <v>7276</v>
      </c>
      <c r="M9507" t="s">
        <v>7277</v>
      </c>
      <c r="Y9507" t="s">
        <v>10694</v>
      </c>
    </row>
    <row r="9508" spans="1:25" x14ac:dyDescent="0.25">
      <c r="A9508" t="str">
        <f>"112792474510"</f>
        <v>112792474510</v>
      </c>
      <c r="B9508" t="s">
        <v>319</v>
      </c>
      <c r="C9508" t="s">
        <v>320</v>
      </c>
      <c r="D9508" t="s">
        <v>36930</v>
      </c>
      <c r="E9508">
        <v>424019</v>
      </c>
      <c r="F9508" t="s">
        <v>1</v>
      </c>
      <c r="G9508" t="s">
        <v>2</v>
      </c>
      <c r="H9508" t="s">
        <v>30407</v>
      </c>
      <c r="I9508" t="s">
        <v>36518</v>
      </c>
      <c r="P9508" t="s">
        <v>36083</v>
      </c>
      <c r="Y9508" t="s">
        <v>30409</v>
      </c>
    </row>
    <row r="9509" spans="1:25" x14ac:dyDescent="0.25">
      <c r="A9509" t="str">
        <f>"112802114968"</f>
        <v>112802114968</v>
      </c>
      <c r="B9509" t="s">
        <v>1222</v>
      </c>
      <c r="C9509" t="s">
        <v>12417</v>
      </c>
      <c r="D9509" t="s">
        <v>36931</v>
      </c>
      <c r="E9509">
        <v>424039</v>
      </c>
      <c r="F9509" t="s">
        <v>1</v>
      </c>
      <c r="G9509" t="s">
        <v>2</v>
      </c>
      <c r="H9509" t="s">
        <v>20272</v>
      </c>
      <c r="Y9509" t="s">
        <v>36932</v>
      </c>
    </row>
    <row r="9510" spans="1:25" x14ac:dyDescent="0.25">
      <c r="A9510" t="str">
        <f>"112843375006"</f>
        <v>112843375006</v>
      </c>
      <c r="B9510" t="s">
        <v>96</v>
      </c>
      <c r="C9510" t="s">
        <v>24042</v>
      </c>
      <c r="D9510" t="s">
        <v>24042</v>
      </c>
      <c r="E9510">
        <v>424000</v>
      </c>
      <c r="F9510" t="s">
        <v>1</v>
      </c>
      <c r="G9510" t="s">
        <v>2</v>
      </c>
      <c r="H9510" t="s">
        <v>164</v>
      </c>
      <c r="Y9510" t="s">
        <v>172</v>
      </c>
    </row>
    <row r="9511" spans="1:25" x14ac:dyDescent="0.25">
      <c r="A9511" t="str">
        <f>"112864513198"</f>
        <v>112864513198</v>
      </c>
      <c r="B9511" t="s">
        <v>96</v>
      </c>
      <c r="C9511" t="s">
        <v>24042</v>
      </c>
      <c r="D9511" t="s">
        <v>24127</v>
      </c>
      <c r="E9511">
        <v>424038</v>
      </c>
      <c r="F9511" t="s">
        <v>1</v>
      </c>
      <c r="G9511" t="s">
        <v>2</v>
      </c>
      <c r="H9511" t="s">
        <v>15751</v>
      </c>
      <c r="Y9511" t="s">
        <v>36933</v>
      </c>
    </row>
    <row r="9512" spans="1:25" x14ac:dyDescent="0.25">
      <c r="A9512" t="str">
        <f>"112933291586"</f>
        <v>112933291586</v>
      </c>
      <c r="B9512" t="s">
        <v>96</v>
      </c>
      <c r="C9512" t="s">
        <v>2285</v>
      </c>
      <c r="D9512" t="s">
        <v>36934</v>
      </c>
      <c r="E9512">
        <v>424918</v>
      </c>
      <c r="F9512" t="s">
        <v>1</v>
      </c>
      <c r="G9512" t="s">
        <v>2</v>
      </c>
      <c r="H9512" t="s">
        <v>629</v>
      </c>
      <c r="J9512" t="s">
        <v>36935</v>
      </c>
      <c r="P9512" t="s">
        <v>630</v>
      </c>
      <c r="Y9512" t="s">
        <v>36936</v>
      </c>
    </row>
    <row r="9513" spans="1:25" x14ac:dyDescent="0.25">
      <c r="A9513" t="str">
        <f>"112950607852"</f>
        <v>112950607852</v>
      </c>
      <c r="B9513" t="s">
        <v>430</v>
      </c>
      <c r="C9513" t="s">
        <v>940</v>
      </c>
      <c r="D9513" t="s">
        <v>36937</v>
      </c>
      <c r="E9513">
        <v>424033</v>
      </c>
      <c r="F9513" t="s">
        <v>1</v>
      </c>
      <c r="G9513" t="s">
        <v>2</v>
      </c>
      <c r="H9513" t="s">
        <v>1341</v>
      </c>
      <c r="P9513" t="s">
        <v>133</v>
      </c>
      <c r="T9513" t="s">
        <v>36938</v>
      </c>
      <c r="Y9513" t="s">
        <v>36939</v>
      </c>
    </row>
    <row r="9514" spans="1:25" x14ac:dyDescent="0.25">
      <c r="A9514" t="str">
        <f>"112960341221"</f>
        <v>112960341221</v>
      </c>
      <c r="B9514" t="s">
        <v>447</v>
      </c>
      <c r="C9514" t="s">
        <v>448</v>
      </c>
      <c r="D9514" t="s">
        <v>36940</v>
      </c>
      <c r="E9514">
        <v>424016</v>
      </c>
      <c r="F9514" t="s">
        <v>1</v>
      </c>
      <c r="G9514" t="s">
        <v>2</v>
      </c>
      <c r="H9514" t="s">
        <v>2637</v>
      </c>
      <c r="L9514" t="s">
        <v>2127</v>
      </c>
      <c r="M9514" t="s">
        <v>36941</v>
      </c>
      <c r="Y9514" t="s">
        <v>36942</v>
      </c>
    </row>
    <row r="9515" spans="1:25" x14ac:dyDescent="0.25">
      <c r="A9515" t="str">
        <f>"113000681939"</f>
        <v>113000681939</v>
      </c>
      <c r="B9515" t="s">
        <v>1152</v>
      </c>
      <c r="C9515" t="s">
        <v>1153</v>
      </c>
      <c r="D9515" t="s">
        <v>10280</v>
      </c>
      <c r="F9515" t="s">
        <v>1</v>
      </c>
      <c r="G9515" t="s">
        <v>2</v>
      </c>
      <c r="H9515" t="s">
        <v>23274</v>
      </c>
      <c r="I9515" t="s">
        <v>22092</v>
      </c>
      <c r="M9515" t="s">
        <v>10284</v>
      </c>
      <c r="Q9515" t="s">
        <v>10286</v>
      </c>
      <c r="R9515" t="s">
        <v>10287</v>
      </c>
      <c r="S9515" t="s">
        <v>10288</v>
      </c>
      <c r="T9515" t="s">
        <v>10289</v>
      </c>
      <c r="U9515" t="s">
        <v>10290</v>
      </c>
      <c r="V9515" t="s">
        <v>10291</v>
      </c>
      <c r="Y9515" t="s">
        <v>23279</v>
      </c>
    </row>
    <row r="9516" spans="1:25" x14ac:dyDescent="0.25">
      <c r="A9516" t="str">
        <f>"113016064194"</f>
        <v>113016064194</v>
      </c>
      <c r="B9516" t="s">
        <v>123</v>
      </c>
      <c r="C9516" t="s">
        <v>18438</v>
      </c>
      <c r="D9516" t="s">
        <v>36943</v>
      </c>
      <c r="E9516">
        <v>424037</v>
      </c>
      <c r="F9516" t="s">
        <v>1</v>
      </c>
      <c r="G9516" t="s">
        <v>2</v>
      </c>
      <c r="H9516" t="s">
        <v>2235</v>
      </c>
      <c r="Y9516" t="s">
        <v>36944</v>
      </c>
    </row>
    <row r="9517" spans="1:25" x14ac:dyDescent="0.25">
      <c r="A9517" t="str">
        <f>"113026759606"</f>
        <v>113026759606</v>
      </c>
      <c r="B9517" t="s">
        <v>160</v>
      </c>
      <c r="C9517" t="s">
        <v>36948</v>
      </c>
      <c r="D9517" t="s">
        <v>1297</v>
      </c>
      <c r="E9517">
        <v>424000</v>
      </c>
      <c r="F9517" t="s">
        <v>1</v>
      </c>
      <c r="G9517" t="s">
        <v>2</v>
      </c>
      <c r="H9517" t="s">
        <v>837</v>
      </c>
      <c r="I9517" t="s">
        <v>36945</v>
      </c>
      <c r="L9517" t="s">
        <v>36946</v>
      </c>
      <c r="M9517" t="s">
        <v>36947</v>
      </c>
      <c r="Y9517" t="s">
        <v>2964</v>
      </c>
    </row>
    <row r="9518" spans="1:25" x14ac:dyDescent="0.25">
      <c r="A9518" t="str">
        <f>"113060401214"</f>
        <v>113060401214</v>
      </c>
      <c r="B9518" t="s">
        <v>176</v>
      </c>
      <c r="C9518" t="s">
        <v>279</v>
      </c>
      <c r="D9518" t="s">
        <v>279</v>
      </c>
      <c r="E9518">
        <v>424004</v>
      </c>
      <c r="F9518" t="s">
        <v>1</v>
      </c>
      <c r="G9518" t="s">
        <v>2</v>
      </c>
      <c r="H9518" t="s">
        <v>22133</v>
      </c>
      <c r="Y9518" t="s">
        <v>36949</v>
      </c>
    </row>
    <row r="9519" spans="1:25" x14ac:dyDescent="0.25">
      <c r="A9519" t="str">
        <f>"113067217943"</f>
        <v>113067217943</v>
      </c>
      <c r="B9519" t="s">
        <v>3200</v>
      </c>
      <c r="C9519" t="s">
        <v>18948</v>
      </c>
      <c r="D9519" t="s">
        <v>36950</v>
      </c>
      <c r="E9519">
        <v>424000</v>
      </c>
      <c r="F9519" t="s">
        <v>1</v>
      </c>
      <c r="G9519" t="s">
        <v>2</v>
      </c>
      <c r="H9519" t="s">
        <v>2202</v>
      </c>
      <c r="Y9519" t="s">
        <v>36951</v>
      </c>
    </row>
    <row r="9520" spans="1:25" x14ac:dyDescent="0.25">
      <c r="A9520" t="str">
        <f>"113102144745"</f>
        <v>113102144745</v>
      </c>
      <c r="B9520" t="s">
        <v>1152</v>
      </c>
      <c r="C9520" t="s">
        <v>1385</v>
      </c>
      <c r="D9520" t="s">
        <v>1385</v>
      </c>
      <c r="E9520">
        <v>424028</v>
      </c>
      <c r="F9520" t="s">
        <v>1</v>
      </c>
      <c r="G9520" t="s">
        <v>2</v>
      </c>
      <c r="H9520" t="s">
        <v>1969</v>
      </c>
      <c r="Y9520" t="s">
        <v>36952</v>
      </c>
    </row>
    <row r="9521" spans="1:25" x14ac:dyDescent="0.25">
      <c r="A9521" t="str">
        <f>"113138956097"</f>
        <v>113138956097</v>
      </c>
      <c r="B9521" t="s">
        <v>2790</v>
      </c>
      <c r="C9521" t="s">
        <v>3528</v>
      </c>
      <c r="D9521" t="s">
        <v>36953</v>
      </c>
      <c r="E9521">
        <v>424000</v>
      </c>
      <c r="F9521" t="s">
        <v>1</v>
      </c>
      <c r="G9521" t="s">
        <v>2</v>
      </c>
      <c r="H9521" t="s">
        <v>13410</v>
      </c>
      <c r="Y9521" t="s">
        <v>36954</v>
      </c>
    </row>
    <row r="9522" spans="1:25" x14ac:dyDescent="0.25">
      <c r="A9522" t="str">
        <f>"113175396995"</f>
        <v>113175396995</v>
      </c>
      <c r="B9522" t="s">
        <v>96</v>
      </c>
      <c r="C9522" t="s">
        <v>893</v>
      </c>
      <c r="D9522" t="s">
        <v>36955</v>
      </c>
      <c r="E9522">
        <v>424038</v>
      </c>
      <c r="F9522" t="s">
        <v>1</v>
      </c>
      <c r="G9522" t="s">
        <v>2</v>
      </c>
      <c r="H9522" t="s">
        <v>7597</v>
      </c>
      <c r="P9522" t="s">
        <v>1642</v>
      </c>
      <c r="Y9522" t="s">
        <v>36956</v>
      </c>
    </row>
    <row r="9523" spans="1:25" x14ac:dyDescent="0.25">
      <c r="A9523" t="str">
        <f>"113234685201"</f>
        <v>113234685201</v>
      </c>
      <c r="B9523" t="s">
        <v>88</v>
      </c>
      <c r="C9523" t="s">
        <v>6066</v>
      </c>
      <c r="D9523" t="s">
        <v>36957</v>
      </c>
      <c r="E9523">
        <v>424006</v>
      </c>
      <c r="F9523" t="s">
        <v>1</v>
      </c>
      <c r="G9523" t="s">
        <v>2</v>
      </c>
      <c r="H9523" t="s">
        <v>5846</v>
      </c>
      <c r="Y9523" t="s">
        <v>17495</v>
      </c>
    </row>
    <row r="9524" spans="1:25" x14ac:dyDescent="0.25">
      <c r="A9524" t="str">
        <f>"113235555636"</f>
        <v>113235555636</v>
      </c>
      <c r="B9524" t="s">
        <v>1323</v>
      </c>
      <c r="C9524" t="s">
        <v>1324</v>
      </c>
      <c r="D9524" t="s">
        <v>36958</v>
      </c>
      <c r="E9524">
        <v>424031</v>
      </c>
      <c r="F9524" t="s">
        <v>1</v>
      </c>
      <c r="G9524" t="s">
        <v>2</v>
      </c>
      <c r="H9524" t="s">
        <v>18205</v>
      </c>
      <c r="I9524" t="s">
        <v>36959</v>
      </c>
      <c r="P9524" t="s">
        <v>20</v>
      </c>
      <c r="Y9524" t="s">
        <v>36960</v>
      </c>
    </row>
    <row r="9525" spans="1:25" x14ac:dyDescent="0.25">
      <c r="A9525" t="str">
        <f>"113248775316"</f>
        <v>113248775316</v>
      </c>
      <c r="B9525" t="s">
        <v>117</v>
      </c>
      <c r="C9525" t="s">
        <v>118</v>
      </c>
      <c r="D9525" t="s">
        <v>36961</v>
      </c>
      <c r="F9525" t="s">
        <v>1</v>
      </c>
      <c r="G9525" t="s">
        <v>2</v>
      </c>
      <c r="H9525" t="s">
        <v>27612</v>
      </c>
      <c r="Y9525" t="s">
        <v>36962</v>
      </c>
    </row>
    <row r="9526" spans="1:25" x14ac:dyDescent="0.25">
      <c r="A9526" t="str">
        <f>"113270308143"</f>
        <v>113270308143</v>
      </c>
      <c r="B9526" t="s">
        <v>640</v>
      </c>
      <c r="C9526" t="s">
        <v>663</v>
      </c>
      <c r="D9526" t="s">
        <v>36963</v>
      </c>
      <c r="E9526">
        <v>424002</v>
      </c>
      <c r="F9526" t="s">
        <v>1</v>
      </c>
      <c r="G9526" t="s">
        <v>2</v>
      </c>
      <c r="H9526" t="s">
        <v>14288</v>
      </c>
      <c r="J9526" t="s">
        <v>36964</v>
      </c>
      <c r="P9526" t="s">
        <v>36965</v>
      </c>
      <c r="Y9526" t="s">
        <v>14292</v>
      </c>
    </row>
    <row r="9527" spans="1:25" x14ac:dyDescent="0.25">
      <c r="A9527" t="str">
        <f>"113276016795"</f>
        <v>113276016795</v>
      </c>
      <c r="B9527" t="s">
        <v>3700</v>
      </c>
      <c r="C9527" t="s">
        <v>4023</v>
      </c>
      <c r="D9527" t="s">
        <v>13082</v>
      </c>
      <c r="E9527">
        <v>424038</v>
      </c>
      <c r="F9527" t="s">
        <v>1</v>
      </c>
      <c r="G9527" t="s">
        <v>2</v>
      </c>
      <c r="H9527" t="s">
        <v>16988</v>
      </c>
      <c r="P9527" t="s">
        <v>1404</v>
      </c>
      <c r="Y9527" t="s">
        <v>21440</v>
      </c>
    </row>
    <row r="9528" spans="1:25" x14ac:dyDescent="0.25">
      <c r="A9528" t="str">
        <f>"113296119302"</f>
        <v>113296119302</v>
      </c>
      <c r="B9528" t="s">
        <v>1222</v>
      </c>
      <c r="C9528" t="s">
        <v>36969</v>
      </c>
      <c r="D9528" t="s">
        <v>36966</v>
      </c>
      <c r="E9528">
        <v>424005</v>
      </c>
      <c r="F9528" t="s">
        <v>1</v>
      </c>
      <c r="G9528" t="s">
        <v>2</v>
      </c>
      <c r="H9528" t="s">
        <v>25885</v>
      </c>
      <c r="J9528" t="s">
        <v>36967</v>
      </c>
      <c r="L9528" t="s">
        <v>8198</v>
      </c>
      <c r="M9528" t="s">
        <v>36968</v>
      </c>
      <c r="P9528" t="s">
        <v>330</v>
      </c>
      <c r="Q9528" t="s">
        <v>36970</v>
      </c>
      <c r="V9528" t="s">
        <v>36971</v>
      </c>
      <c r="Y9528" t="s">
        <v>25888</v>
      </c>
    </row>
    <row r="9529" spans="1:25" x14ac:dyDescent="0.25">
      <c r="A9529" t="str">
        <f>"113324780858"</f>
        <v>113324780858</v>
      </c>
      <c r="B9529" t="s">
        <v>397</v>
      </c>
      <c r="C9529" t="s">
        <v>36977</v>
      </c>
      <c r="D9529" t="s">
        <v>36972</v>
      </c>
      <c r="F9529" t="s">
        <v>1</v>
      </c>
      <c r="G9529" t="s">
        <v>2</v>
      </c>
      <c r="H9529" t="s">
        <v>7547</v>
      </c>
      <c r="I9529" t="s">
        <v>36973</v>
      </c>
      <c r="J9529" t="s">
        <v>36974</v>
      </c>
      <c r="L9529" t="s">
        <v>36975</v>
      </c>
      <c r="M9529" t="s">
        <v>36976</v>
      </c>
      <c r="P9529" t="s">
        <v>2979</v>
      </c>
      <c r="Q9529" t="s">
        <v>36978</v>
      </c>
      <c r="R9529" t="s">
        <v>36979</v>
      </c>
      <c r="S9529" t="s">
        <v>36980</v>
      </c>
      <c r="T9529" t="s">
        <v>36981</v>
      </c>
      <c r="V9529" t="s">
        <v>36982</v>
      </c>
      <c r="Y9529" t="s">
        <v>36983</v>
      </c>
    </row>
    <row r="9530" spans="1:25" x14ac:dyDescent="0.25">
      <c r="A9530" t="str">
        <f>"113348693217"</f>
        <v>113348693217</v>
      </c>
      <c r="B9530" t="s">
        <v>574</v>
      </c>
      <c r="C9530" t="s">
        <v>36986</v>
      </c>
      <c r="D9530" t="s">
        <v>36984</v>
      </c>
      <c r="E9530">
        <v>424028</v>
      </c>
      <c r="F9530" t="s">
        <v>1</v>
      </c>
      <c r="G9530" t="s">
        <v>2</v>
      </c>
      <c r="H9530" t="s">
        <v>36985</v>
      </c>
      <c r="Y9530" t="s">
        <v>36987</v>
      </c>
    </row>
    <row r="9531" spans="1:25" x14ac:dyDescent="0.25">
      <c r="A9531" t="str">
        <f>"113402894390"</f>
        <v>113402894390</v>
      </c>
      <c r="B9531" t="s">
        <v>1475</v>
      </c>
      <c r="C9531" t="s">
        <v>4005</v>
      </c>
      <c r="D9531" t="s">
        <v>29794</v>
      </c>
      <c r="E9531">
        <v>424000</v>
      </c>
      <c r="F9531" t="s">
        <v>1</v>
      </c>
      <c r="G9531" t="s">
        <v>2</v>
      </c>
      <c r="H9531" t="s">
        <v>28565</v>
      </c>
      <c r="Y9531" t="s">
        <v>36988</v>
      </c>
    </row>
    <row r="9532" spans="1:25" x14ac:dyDescent="0.25">
      <c r="A9532" t="str">
        <f>"113423469068"</f>
        <v>113423469068</v>
      </c>
      <c r="B9532" t="s">
        <v>624</v>
      </c>
      <c r="C9532" t="s">
        <v>1637</v>
      </c>
      <c r="D9532" t="s">
        <v>36989</v>
      </c>
      <c r="E9532">
        <v>424030</v>
      </c>
      <c r="F9532" t="s">
        <v>1</v>
      </c>
      <c r="G9532" t="s">
        <v>2</v>
      </c>
      <c r="H9532" t="s">
        <v>30857</v>
      </c>
      <c r="J9532" t="s">
        <v>30858</v>
      </c>
      <c r="P9532" t="s">
        <v>2280</v>
      </c>
      <c r="Y9532" t="s">
        <v>30860</v>
      </c>
    </row>
    <row r="9533" spans="1:25" x14ac:dyDescent="0.25">
      <c r="A9533" t="str">
        <f>"113434633247"</f>
        <v>113434633247</v>
      </c>
      <c r="B9533" t="s">
        <v>18</v>
      </c>
      <c r="C9533" t="s">
        <v>2593</v>
      </c>
      <c r="D9533" t="s">
        <v>36990</v>
      </c>
      <c r="E9533">
        <v>424032</v>
      </c>
      <c r="F9533" t="s">
        <v>1</v>
      </c>
      <c r="G9533" t="s">
        <v>2</v>
      </c>
      <c r="H9533" t="s">
        <v>5699</v>
      </c>
      <c r="I9533" t="s">
        <v>36991</v>
      </c>
      <c r="J9533" t="s">
        <v>36992</v>
      </c>
      <c r="Q9533" t="s">
        <v>36993</v>
      </c>
      <c r="Y9533" t="s">
        <v>5709</v>
      </c>
    </row>
    <row r="9534" spans="1:25" x14ac:dyDescent="0.25">
      <c r="A9534" t="str">
        <f>"113435181597"</f>
        <v>113435181597</v>
      </c>
      <c r="B9534" t="s">
        <v>290</v>
      </c>
      <c r="C9534" t="s">
        <v>36996</v>
      </c>
      <c r="D9534" t="s">
        <v>36994</v>
      </c>
      <c r="E9534">
        <v>424002</v>
      </c>
      <c r="F9534" t="s">
        <v>1</v>
      </c>
      <c r="G9534" t="s">
        <v>2</v>
      </c>
      <c r="H9534" t="s">
        <v>8832</v>
      </c>
      <c r="J9534" t="s">
        <v>36995</v>
      </c>
      <c r="P9534" t="s">
        <v>7436</v>
      </c>
      <c r="Y9534" t="s">
        <v>36997</v>
      </c>
    </row>
    <row r="9535" spans="1:25" x14ac:dyDescent="0.25">
      <c r="A9535" t="str">
        <f>"113469058949"</f>
        <v>113469058949</v>
      </c>
      <c r="B9535" t="s">
        <v>96</v>
      </c>
      <c r="C9535" t="s">
        <v>695</v>
      </c>
      <c r="D9535" t="s">
        <v>36998</v>
      </c>
      <c r="F9535" t="s">
        <v>1</v>
      </c>
      <c r="G9535" t="s">
        <v>2</v>
      </c>
      <c r="H9535" t="s">
        <v>16051</v>
      </c>
      <c r="Y9535" t="s">
        <v>36999</v>
      </c>
    </row>
    <row r="9536" spans="1:25" x14ac:dyDescent="0.25">
      <c r="A9536" t="str">
        <f>"113524541746"</f>
        <v>113524541746</v>
      </c>
      <c r="B9536" t="s">
        <v>96</v>
      </c>
      <c r="C9536" t="s">
        <v>16462</v>
      </c>
      <c r="D9536" t="s">
        <v>29718</v>
      </c>
      <c r="E9536">
        <v>424000</v>
      </c>
      <c r="F9536" t="s">
        <v>1</v>
      </c>
      <c r="G9536" t="s">
        <v>2</v>
      </c>
      <c r="H9536" t="s">
        <v>1531</v>
      </c>
      <c r="Y9536" t="s">
        <v>37000</v>
      </c>
    </row>
    <row r="9537" spans="1:25" x14ac:dyDescent="0.25">
      <c r="A9537" t="str">
        <f>"113530629531"</f>
        <v>113530629531</v>
      </c>
      <c r="B9537" t="s">
        <v>530</v>
      </c>
      <c r="C9537" t="s">
        <v>23950</v>
      </c>
      <c r="D9537" t="s">
        <v>23950</v>
      </c>
      <c r="F9537" t="s">
        <v>1</v>
      </c>
      <c r="G9537" t="s">
        <v>2</v>
      </c>
      <c r="H9537" t="s">
        <v>5721</v>
      </c>
      <c r="Y9537" t="s">
        <v>37001</v>
      </c>
    </row>
    <row r="9538" spans="1:25" x14ac:dyDescent="0.25">
      <c r="A9538" t="str">
        <f>"113537210167"</f>
        <v>113537210167</v>
      </c>
      <c r="B9538" t="s">
        <v>462</v>
      </c>
      <c r="C9538" t="s">
        <v>1140</v>
      </c>
      <c r="D9538" t="s">
        <v>37002</v>
      </c>
      <c r="E9538">
        <v>424037</v>
      </c>
      <c r="F9538" t="s">
        <v>1</v>
      </c>
      <c r="G9538" t="s">
        <v>2</v>
      </c>
      <c r="H9538" t="s">
        <v>37003</v>
      </c>
      <c r="Y9538" t="s">
        <v>37004</v>
      </c>
    </row>
    <row r="9539" spans="1:25" x14ac:dyDescent="0.25">
      <c r="A9539" t="str">
        <f>"113576115729"</f>
        <v>113576115729</v>
      </c>
      <c r="B9539" t="s">
        <v>738</v>
      </c>
      <c r="C9539" t="s">
        <v>37009</v>
      </c>
      <c r="D9539" t="s">
        <v>37005</v>
      </c>
      <c r="E9539">
        <v>424002</v>
      </c>
      <c r="F9539" t="s">
        <v>1</v>
      </c>
      <c r="G9539" t="s">
        <v>2</v>
      </c>
      <c r="H9539" t="s">
        <v>13843</v>
      </c>
      <c r="J9539" t="s">
        <v>37006</v>
      </c>
      <c r="L9539" t="s">
        <v>37007</v>
      </c>
      <c r="M9539" t="s">
        <v>37008</v>
      </c>
      <c r="P9539" t="s">
        <v>1760</v>
      </c>
      <c r="V9539" t="s">
        <v>37010</v>
      </c>
      <c r="Y9539" t="s">
        <v>37011</v>
      </c>
    </row>
    <row r="9540" spans="1:25" x14ac:dyDescent="0.25">
      <c r="A9540" t="str">
        <f>"113580992599"</f>
        <v>113580992599</v>
      </c>
      <c r="B9540" t="s">
        <v>290</v>
      </c>
      <c r="C9540" t="s">
        <v>2722</v>
      </c>
      <c r="D9540" t="s">
        <v>21094</v>
      </c>
      <c r="E9540">
        <v>424008</v>
      </c>
      <c r="F9540" t="s">
        <v>1</v>
      </c>
      <c r="G9540" t="s">
        <v>2</v>
      </c>
      <c r="H9540" t="s">
        <v>37012</v>
      </c>
      <c r="P9540" t="s">
        <v>330</v>
      </c>
      <c r="Y9540" t="s">
        <v>37013</v>
      </c>
    </row>
    <row r="9541" spans="1:25" x14ac:dyDescent="0.25">
      <c r="A9541" t="str">
        <f>"113594814994"</f>
        <v>113594814994</v>
      </c>
      <c r="B9541" t="s">
        <v>408</v>
      </c>
      <c r="C9541" t="s">
        <v>25792</v>
      </c>
      <c r="D9541" t="s">
        <v>25790</v>
      </c>
      <c r="F9541" t="s">
        <v>1</v>
      </c>
      <c r="G9541" t="s">
        <v>2</v>
      </c>
      <c r="H9541" t="s">
        <v>26511</v>
      </c>
      <c r="Y9541" t="s">
        <v>37014</v>
      </c>
    </row>
    <row r="9542" spans="1:25" x14ac:dyDescent="0.25">
      <c r="A9542" t="str">
        <f>"113607817942"</f>
        <v>113607817942</v>
      </c>
      <c r="B9542" t="s">
        <v>96</v>
      </c>
      <c r="C9542" t="s">
        <v>659</v>
      </c>
      <c r="D9542" t="s">
        <v>37015</v>
      </c>
      <c r="E9542">
        <v>424002</v>
      </c>
      <c r="F9542" t="s">
        <v>1</v>
      </c>
      <c r="G9542" t="s">
        <v>2</v>
      </c>
      <c r="H9542" t="s">
        <v>3864</v>
      </c>
      <c r="P9542" t="s">
        <v>98</v>
      </c>
      <c r="Y9542" t="s">
        <v>3867</v>
      </c>
    </row>
    <row r="9543" spans="1:25" x14ac:dyDescent="0.25">
      <c r="A9543" t="str">
        <f>"113616109545"</f>
        <v>113616109545</v>
      </c>
      <c r="B9543" t="s">
        <v>176</v>
      </c>
      <c r="C9543" t="s">
        <v>566</v>
      </c>
      <c r="D9543" t="s">
        <v>37016</v>
      </c>
      <c r="E9543">
        <v>424006</v>
      </c>
      <c r="F9543" t="s">
        <v>1</v>
      </c>
      <c r="G9543" t="s">
        <v>2</v>
      </c>
      <c r="H9543" t="s">
        <v>5006</v>
      </c>
      <c r="I9543" t="s">
        <v>37017</v>
      </c>
      <c r="J9543" t="s">
        <v>37018</v>
      </c>
      <c r="L9543" t="s">
        <v>37019</v>
      </c>
      <c r="P9543" t="s">
        <v>330</v>
      </c>
      <c r="Q9543" t="s">
        <v>37020</v>
      </c>
      <c r="Y9543" t="s">
        <v>37021</v>
      </c>
    </row>
    <row r="9544" spans="1:25" x14ac:dyDescent="0.25">
      <c r="A9544" t="str">
        <f>"113646623145"</f>
        <v>113646623145</v>
      </c>
      <c r="B9544" t="s">
        <v>96</v>
      </c>
      <c r="C9544" t="s">
        <v>893</v>
      </c>
      <c r="D9544" t="s">
        <v>37022</v>
      </c>
      <c r="E9544">
        <v>424007</v>
      </c>
      <c r="F9544" t="s">
        <v>1</v>
      </c>
      <c r="G9544" t="s">
        <v>2</v>
      </c>
      <c r="H9544" t="s">
        <v>5178</v>
      </c>
      <c r="P9544" t="s">
        <v>2731</v>
      </c>
      <c r="Y9544" t="s">
        <v>37023</v>
      </c>
    </row>
    <row r="9545" spans="1:25" x14ac:dyDescent="0.25">
      <c r="A9545" t="str">
        <f>"113655064278"</f>
        <v>113655064278</v>
      </c>
      <c r="B9545" t="s">
        <v>530</v>
      </c>
      <c r="C9545" t="s">
        <v>531</v>
      </c>
      <c r="D9545" t="s">
        <v>34578</v>
      </c>
      <c r="E9545">
        <v>424008</v>
      </c>
      <c r="F9545" t="s">
        <v>1</v>
      </c>
      <c r="G9545" t="s">
        <v>2</v>
      </c>
      <c r="H9545" t="s">
        <v>37024</v>
      </c>
      <c r="I9545" t="s">
        <v>37025</v>
      </c>
      <c r="P9545" t="s">
        <v>37026</v>
      </c>
      <c r="Y9545" t="s">
        <v>37027</v>
      </c>
    </row>
    <row r="9546" spans="1:25" x14ac:dyDescent="0.25">
      <c r="A9546" t="str">
        <f>"113674251079"</f>
        <v>113674251079</v>
      </c>
      <c r="B9546" t="s">
        <v>18</v>
      </c>
      <c r="C9546" t="s">
        <v>143</v>
      </c>
      <c r="D9546" t="s">
        <v>37028</v>
      </c>
      <c r="E9546">
        <v>424007</v>
      </c>
      <c r="F9546" t="s">
        <v>1</v>
      </c>
      <c r="G9546" t="s">
        <v>2</v>
      </c>
      <c r="H9546" t="s">
        <v>5450</v>
      </c>
      <c r="L9546" t="s">
        <v>22986</v>
      </c>
      <c r="M9546" t="s">
        <v>22987</v>
      </c>
      <c r="P9546" t="s">
        <v>2979</v>
      </c>
      <c r="Y9546" t="s">
        <v>37029</v>
      </c>
    </row>
    <row r="9547" spans="1:25" x14ac:dyDescent="0.25">
      <c r="A9547" t="str">
        <f>"113675641707"</f>
        <v>113675641707</v>
      </c>
      <c r="B9547" t="s">
        <v>1617</v>
      </c>
      <c r="C9547" t="s">
        <v>21001</v>
      </c>
      <c r="D9547" t="s">
        <v>20999</v>
      </c>
      <c r="E9547">
        <v>424019</v>
      </c>
      <c r="F9547" t="s">
        <v>1</v>
      </c>
      <c r="G9547" t="s">
        <v>2</v>
      </c>
      <c r="H9547" t="s">
        <v>37030</v>
      </c>
      <c r="Y9547" t="s">
        <v>14680</v>
      </c>
    </row>
    <row r="9548" spans="1:25" x14ac:dyDescent="0.25">
      <c r="A9548" t="str">
        <f>"113675804905"</f>
        <v>113675804905</v>
      </c>
      <c r="B9548" t="s">
        <v>430</v>
      </c>
      <c r="C9548" t="s">
        <v>940</v>
      </c>
      <c r="D9548" t="s">
        <v>37031</v>
      </c>
      <c r="E9548">
        <v>424000</v>
      </c>
      <c r="F9548" t="s">
        <v>1</v>
      </c>
      <c r="G9548" t="s">
        <v>2</v>
      </c>
      <c r="H9548" t="s">
        <v>837</v>
      </c>
      <c r="M9548" t="s">
        <v>37032</v>
      </c>
      <c r="Y9548" t="s">
        <v>37033</v>
      </c>
    </row>
    <row r="9549" spans="1:25" x14ac:dyDescent="0.25">
      <c r="A9549" t="str">
        <f>"113743612982"</f>
        <v>113743612982</v>
      </c>
      <c r="B9549" t="s">
        <v>1152</v>
      </c>
      <c r="C9549" t="s">
        <v>1152</v>
      </c>
      <c r="D9549" t="s">
        <v>37034</v>
      </c>
      <c r="E9549">
        <v>424004</v>
      </c>
      <c r="F9549" t="s">
        <v>1</v>
      </c>
      <c r="G9549" t="s">
        <v>2</v>
      </c>
      <c r="H9549" t="s">
        <v>37035</v>
      </c>
      <c r="J9549" t="s">
        <v>37036</v>
      </c>
      <c r="P9549" t="s">
        <v>330</v>
      </c>
      <c r="Y9549" t="s">
        <v>37037</v>
      </c>
    </row>
    <row r="9550" spans="1:25" x14ac:dyDescent="0.25">
      <c r="A9550" t="str">
        <f>"113773712254"</f>
        <v>113773712254</v>
      </c>
      <c r="B9550" t="s">
        <v>1611</v>
      </c>
      <c r="C9550" t="s">
        <v>11688</v>
      </c>
      <c r="D9550" t="s">
        <v>37038</v>
      </c>
      <c r="E9550">
        <v>424004</v>
      </c>
      <c r="F9550" t="s">
        <v>1</v>
      </c>
      <c r="G9550" t="s">
        <v>2</v>
      </c>
      <c r="H9550" t="s">
        <v>20233</v>
      </c>
      <c r="Y9550" t="s">
        <v>37039</v>
      </c>
    </row>
    <row r="9551" spans="1:25" x14ac:dyDescent="0.25">
      <c r="A9551" t="str">
        <f>"113786605700"</f>
        <v>113786605700</v>
      </c>
      <c r="B9551" t="s">
        <v>18</v>
      </c>
      <c r="C9551" t="s">
        <v>8846</v>
      </c>
      <c r="D9551" t="s">
        <v>37040</v>
      </c>
      <c r="E9551">
        <v>424033</v>
      </c>
      <c r="F9551" t="s">
        <v>1</v>
      </c>
      <c r="G9551" t="s">
        <v>2</v>
      </c>
      <c r="H9551" t="s">
        <v>16703</v>
      </c>
      <c r="I9551" t="s">
        <v>37041</v>
      </c>
      <c r="J9551" t="s">
        <v>37042</v>
      </c>
      <c r="L9551" t="s">
        <v>37043</v>
      </c>
      <c r="M9551" t="s">
        <v>37044</v>
      </c>
      <c r="P9551" t="s">
        <v>399</v>
      </c>
      <c r="Y9551" t="s">
        <v>37045</v>
      </c>
    </row>
    <row r="9552" spans="1:25" x14ac:dyDescent="0.25">
      <c r="A9552" t="str">
        <f>"113796726708"</f>
        <v>113796726708</v>
      </c>
      <c r="B9552" t="s">
        <v>930</v>
      </c>
      <c r="C9552" t="s">
        <v>37050</v>
      </c>
      <c r="D9552" t="s">
        <v>37046</v>
      </c>
      <c r="F9552" t="s">
        <v>1</v>
      </c>
      <c r="G9552" t="s">
        <v>2</v>
      </c>
      <c r="H9552" t="s">
        <v>29412</v>
      </c>
      <c r="I9552" t="s">
        <v>37047</v>
      </c>
      <c r="J9552" t="s">
        <v>37048</v>
      </c>
      <c r="L9552" t="s">
        <v>33332</v>
      </c>
      <c r="M9552" t="s">
        <v>37049</v>
      </c>
      <c r="P9552" t="s">
        <v>9776</v>
      </c>
      <c r="Q9552" t="s">
        <v>37051</v>
      </c>
      <c r="V9552" t="s">
        <v>37052</v>
      </c>
      <c r="Y9552" t="s">
        <v>37053</v>
      </c>
    </row>
    <row r="9553" spans="1:25" x14ac:dyDescent="0.25">
      <c r="A9553" t="str">
        <f>"113811278291"</f>
        <v>113811278291</v>
      </c>
      <c r="B9553" t="s">
        <v>703</v>
      </c>
      <c r="C9553" t="s">
        <v>2129</v>
      </c>
      <c r="D9553" t="s">
        <v>37054</v>
      </c>
      <c r="F9553" t="s">
        <v>1</v>
      </c>
      <c r="G9553" t="s">
        <v>2</v>
      </c>
      <c r="H9553" t="s">
        <v>26431</v>
      </c>
      <c r="Y9553" t="s">
        <v>26439</v>
      </c>
    </row>
    <row r="9554" spans="1:25" x14ac:dyDescent="0.25">
      <c r="A9554" t="str">
        <f>"113816737108"</f>
        <v>113816737108</v>
      </c>
      <c r="B9554" t="s">
        <v>654</v>
      </c>
      <c r="C9554" t="s">
        <v>21243</v>
      </c>
      <c r="D9554" t="s">
        <v>26243</v>
      </c>
      <c r="E9554">
        <v>424006</v>
      </c>
      <c r="F9554" t="s">
        <v>1</v>
      </c>
      <c r="G9554" t="s">
        <v>2</v>
      </c>
      <c r="H9554" t="s">
        <v>4880</v>
      </c>
      <c r="J9554" t="s">
        <v>26244</v>
      </c>
      <c r="P9554" t="s">
        <v>3690</v>
      </c>
      <c r="Y9554" t="s">
        <v>37055</v>
      </c>
    </row>
    <row r="9555" spans="1:25" x14ac:dyDescent="0.25">
      <c r="A9555" t="str">
        <f>"113849091828"</f>
        <v>113849091828</v>
      </c>
      <c r="B9555" t="s">
        <v>519</v>
      </c>
      <c r="C9555" t="s">
        <v>25702</v>
      </c>
      <c r="D9555" t="s">
        <v>37056</v>
      </c>
      <c r="E9555">
        <v>424003</v>
      </c>
      <c r="F9555" t="s">
        <v>1</v>
      </c>
      <c r="G9555" t="s">
        <v>2</v>
      </c>
      <c r="H9555" t="s">
        <v>645</v>
      </c>
      <c r="Y9555" t="s">
        <v>31015</v>
      </c>
    </row>
    <row r="9556" spans="1:25" x14ac:dyDescent="0.25">
      <c r="A9556" t="str">
        <f>"113889083760"</f>
        <v>113889083760</v>
      </c>
      <c r="B9556" t="s">
        <v>519</v>
      </c>
      <c r="C9556" t="s">
        <v>37062</v>
      </c>
      <c r="D9556" t="s">
        <v>37057</v>
      </c>
      <c r="F9556" t="s">
        <v>1</v>
      </c>
      <c r="G9556" t="s">
        <v>2</v>
      </c>
      <c r="H9556" t="s">
        <v>24976</v>
      </c>
      <c r="I9556" t="s">
        <v>37058</v>
      </c>
      <c r="J9556" t="s">
        <v>37059</v>
      </c>
      <c r="L9556" t="s">
        <v>37060</v>
      </c>
      <c r="M9556" t="s">
        <v>37061</v>
      </c>
      <c r="P9556" t="s">
        <v>216</v>
      </c>
      <c r="Q9556" t="s">
        <v>37063</v>
      </c>
      <c r="V9556" t="s">
        <v>37064</v>
      </c>
      <c r="Y9556" t="s">
        <v>37065</v>
      </c>
    </row>
    <row r="9557" spans="1:25" x14ac:dyDescent="0.25">
      <c r="A9557" t="str">
        <f>"113919678925"</f>
        <v>113919678925</v>
      </c>
      <c r="B9557" t="s">
        <v>1078</v>
      </c>
      <c r="C9557" t="s">
        <v>27113</v>
      </c>
      <c r="D9557" t="s">
        <v>37066</v>
      </c>
      <c r="E9557">
        <v>424000</v>
      </c>
      <c r="F9557" t="s">
        <v>1</v>
      </c>
      <c r="G9557" t="s">
        <v>2</v>
      </c>
      <c r="H9557" t="s">
        <v>7709</v>
      </c>
      <c r="J9557" t="s">
        <v>37067</v>
      </c>
      <c r="P9557" t="s">
        <v>2738</v>
      </c>
      <c r="Q9557" t="s">
        <v>37068</v>
      </c>
      <c r="Y9557" t="s">
        <v>37069</v>
      </c>
    </row>
    <row r="9558" spans="1:25" x14ac:dyDescent="0.25">
      <c r="A9558" t="str">
        <f>"113934209409"</f>
        <v>113934209409</v>
      </c>
      <c r="B9558" t="s">
        <v>1152</v>
      </c>
      <c r="C9558" t="s">
        <v>1152</v>
      </c>
      <c r="D9558" t="s">
        <v>22550</v>
      </c>
      <c r="E9558">
        <v>424004</v>
      </c>
      <c r="F9558" t="s">
        <v>1</v>
      </c>
      <c r="G9558" t="s">
        <v>2</v>
      </c>
      <c r="H9558" t="s">
        <v>3266</v>
      </c>
      <c r="I9558" t="s">
        <v>37070</v>
      </c>
      <c r="J9558" t="s">
        <v>37071</v>
      </c>
      <c r="P9558" t="s">
        <v>23807</v>
      </c>
      <c r="Y9558" t="s">
        <v>16843</v>
      </c>
    </row>
    <row r="9559" spans="1:25" x14ac:dyDescent="0.25">
      <c r="A9559" t="str">
        <f>"113937597305"</f>
        <v>113937597305</v>
      </c>
      <c r="B9559" t="s">
        <v>352</v>
      </c>
      <c r="C9559" t="s">
        <v>37074</v>
      </c>
      <c r="D9559" t="s">
        <v>37072</v>
      </c>
      <c r="E9559">
        <v>424007</v>
      </c>
      <c r="F9559" t="s">
        <v>1</v>
      </c>
      <c r="G9559" t="s">
        <v>2</v>
      </c>
      <c r="H9559" t="s">
        <v>499</v>
      </c>
      <c r="I9559" t="s">
        <v>8659</v>
      </c>
      <c r="L9559" t="s">
        <v>6275</v>
      </c>
      <c r="M9559" t="s">
        <v>37073</v>
      </c>
      <c r="P9559" t="s">
        <v>10632</v>
      </c>
      <c r="Y9559" t="s">
        <v>1598</v>
      </c>
    </row>
    <row r="9560" spans="1:25" x14ac:dyDescent="0.25">
      <c r="A9560" t="str">
        <f>"113947445767"</f>
        <v>113947445767</v>
      </c>
      <c r="B9560" t="s">
        <v>462</v>
      </c>
      <c r="C9560" t="s">
        <v>5618</v>
      </c>
      <c r="D9560" t="s">
        <v>37075</v>
      </c>
      <c r="E9560">
        <v>424033</v>
      </c>
      <c r="F9560" t="s">
        <v>1</v>
      </c>
      <c r="G9560" t="s">
        <v>2</v>
      </c>
      <c r="H9560" t="s">
        <v>10720</v>
      </c>
      <c r="I9560" t="s">
        <v>37076</v>
      </c>
      <c r="L9560" t="s">
        <v>37077</v>
      </c>
      <c r="M9560" t="s">
        <v>37078</v>
      </c>
      <c r="P9560" t="s">
        <v>2050</v>
      </c>
      <c r="Y9560" t="s">
        <v>10723</v>
      </c>
    </row>
    <row r="9561" spans="1:25" x14ac:dyDescent="0.25">
      <c r="A9561" t="str">
        <f>"113957651967"</f>
        <v>113957651967</v>
      </c>
      <c r="B9561" t="s">
        <v>88</v>
      </c>
      <c r="C9561" t="s">
        <v>23421</v>
      </c>
      <c r="D9561" t="s">
        <v>37079</v>
      </c>
      <c r="E9561">
        <v>424000</v>
      </c>
      <c r="F9561" t="s">
        <v>1</v>
      </c>
      <c r="G9561" t="s">
        <v>2</v>
      </c>
      <c r="H9561" t="s">
        <v>3454</v>
      </c>
      <c r="J9561" t="s">
        <v>37080</v>
      </c>
      <c r="P9561" t="s">
        <v>23807</v>
      </c>
      <c r="Q9561" t="s">
        <v>37081</v>
      </c>
      <c r="Y9561" t="s">
        <v>37082</v>
      </c>
    </row>
    <row r="9562" spans="1:25" x14ac:dyDescent="0.25">
      <c r="A9562" t="str">
        <f>"113957781551"</f>
        <v>113957781551</v>
      </c>
      <c r="B9562" t="s">
        <v>160</v>
      </c>
      <c r="C9562" t="s">
        <v>9976</v>
      </c>
      <c r="D9562" t="s">
        <v>37083</v>
      </c>
      <c r="E9562">
        <v>424039</v>
      </c>
      <c r="F9562" t="s">
        <v>1</v>
      </c>
      <c r="G9562" t="s">
        <v>2</v>
      </c>
      <c r="H9562" t="s">
        <v>37084</v>
      </c>
      <c r="J9562" t="s">
        <v>37085</v>
      </c>
      <c r="P9562" t="s">
        <v>280</v>
      </c>
      <c r="Y9562" t="s">
        <v>37086</v>
      </c>
    </row>
    <row r="9563" spans="1:25" x14ac:dyDescent="0.25">
      <c r="A9563" t="str">
        <f>"114100202261"</f>
        <v>114100202261</v>
      </c>
      <c r="B9563" t="s">
        <v>160</v>
      </c>
      <c r="C9563" t="s">
        <v>1666</v>
      </c>
      <c r="D9563" t="s">
        <v>37087</v>
      </c>
      <c r="E9563">
        <v>424006</v>
      </c>
      <c r="F9563" t="s">
        <v>1</v>
      </c>
      <c r="G9563" t="s">
        <v>2</v>
      </c>
      <c r="H9563" t="s">
        <v>14598</v>
      </c>
      <c r="I9563" t="s">
        <v>37088</v>
      </c>
      <c r="P9563" t="s">
        <v>20</v>
      </c>
      <c r="Y9563" t="s">
        <v>14599</v>
      </c>
    </row>
    <row r="9564" spans="1:25" x14ac:dyDescent="0.25">
      <c r="A9564" t="str">
        <f>"114121447483"</f>
        <v>114121447483</v>
      </c>
      <c r="B9564" t="s">
        <v>654</v>
      </c>
      <c r="C9564" t="s">
        <v>37093</v>
      </c>
      <c r="D9564" t="s">
        <v>37089</v>
      </c>
      <c r="F9564" t="s">
        <v>1</v>
      </c>
      <c r="G9564" t="s">
        <v>2</v>
      </c>
      <c r="H9564" t="s">
        <v>27894</v>
      </c>
      <c r="I9564" t="s">
        <v>37090</v>
      </c>
      <c r="L9564" t="s">
        <v>37091</v>
      </c>
      <c r="M9564" t="s">
        <v>37092</v>
      </c>
      <c r="P9564" t="s">
        <v>260</v>
      </c>
      <c r="Q9564" t="s">
        <v>37094</v>
      </c>
      <c r="Y9564" t="s">
        <v>37095</v>
      </c>
    </row>
    <row r="9565" spans="1:25" x14ac:dyDescent="0.25">
      <c r="A9565" t="str">
        <f>"114156699376"</f>
        <v>114156699376</v>
      </c>
      <c r="B9565" t="s">
        <v>530</v>
      </c>
      <c r="C9565" t="s">
        <v>23950</v>
      </c>
      <c r="D9565" t="s">
        <v>23950</v>
      </c>
      <c r="F9565" t="s">
        <v>1</v>
      </c>
      <c r="G9565" t="s">
        <v>2</v>
      </c>
      <c r="H9565" t="s">
        <v>37096</v>
      </c>
      <c r="Y9565" t="s">
        <v>37097</v>
      </c>
    </row>
    <row r="9566" spans="1:25" x14ac:dyDescent="0.25">
      <c r="A9566" t="str">
        <f>"114209793252"</f>
        <v>114209793252</v>
      </c>
      <c r="B9566" t="s">
        <v>3008</v>
      </c>
      <c r="C9566" t="s">
        <v>15744</v>
      </c>
      <c r="D9566" t="s">
        <v>37098</v>
      </c>
      <c r="E9566">
        <v>424040</v>
      </c>
      <c r="F9566" t="s">
        <v>1</v>
      </c>
      <c r="G9566" t="s">
        <v>2</v>
      </c>
      <c r="H9566" t="s">
        <v>7989</v>
      </c>
      <c r="I9566" t="s">
        <v>37099</v>
      </c>
      <c r="P9566" t="s">
        <v>7436</v>
      </c>
      <c r="Y9566" t="s">
        <v>11906</v>
      </c>
    </row>
    <row r="9567" spans="1:25" x14ac:dyDescent="0.25">
      <c r="A9567" t="str">
        <f>"114212656244"</f>
        <v>114212656244</v>
      </c>
      <c r="B9567" t="s">
        <v>738</v>
      </c>
      <c r="C9567" t="s">
        <v>739</v>
      </c>
      <c r="D9567" t="s">
        <v>37100</v>
      </c>
      <c r="E9567">
        <v>424913</v>
      </c>
      <c r="F9567" t="s">
        <v>1</v>
      </c>
      <c r="G9567" t="s">
        <v>2</v>
      </c>
      <c r="H9567" t="s">
        <v>35506</v>
      </c>
      <c r="I9567" t="s">
        <v>35507</v>
      </c>
      <c r="M9567" t="s">
        <v>37101</v>
      </c>
      <c r="P9567" t="s">
        <v>37102</v>
      </c>
      <c r="Y9567" t="s">
        <v>37103</v>
      </c>
    </row>
    <row r="9568" spans="1:25" x14ac:dyDescent="0.25">
      <c r="A9568" t="str">
        <f>"114245466114"</f>
        <v>114245466114</v>
      </c>
      <c r="B9568" t="s">
        <v>519</v>
      </c>
      <c r="C9568" t="s">
        <v>37108</v>
      </c>
      <c r="D9568" t="s">
        <v>37104</v>
      </c>
      <c r="E9568">
        <v>424037</v>
      </c>
      <c r="F9568" t="s">
        <v>1</v>
      </c>
      <c r="G9568" t="s">
        <v>2</v>
      </c>
      <c r="H9568" t="s">
        <v>1116</v>
      </c>
      <c r="J9568" t="s">
        <v>37105</v>
      </c>
      <c r="L9568" t="s">
        <v>37106</v>
      </c>
      <c r="M9568" t="s">
        <v>37107</v>
      </c>
      <c r="P9568" t="s">
        <v>37109</v>
      </c>
      <c r="Q9568" t="s">
        <v>37110</v>
      </c>
      <c r="Y9568" t="s">
        <v>11769</v>
      </c>
    </row>
    <row r="9569" spans="1:25" x14ac:dyDescent="0.25">
      <c r="A9569" t="str">
        <f>"114247056751"</f>
        <v>114247056751</v>
      </c>
      <c r="B9569" t="s">
        <v>96</v>
      </c>
      <c r="C9569" t="s">
        <v>893</v>
      </c>
      <c r="D9569" t="s">
        <v>37111</v>
      </c>
      <c r="E9569">
        <v>424039</v>
      </c>
      <c r="F9569" t="s">
        <v>1</v>
      </c>
      <c r="G9569" t="s">
        <v>2</v>
      </c>
      <c r="H9569" t="s">
        <v>5827</v>
      </c>
      <c r="Y9569" t="s">
        <v>23921</v>
      </c>
    </row>
    <row r="9570" spans="1:25" x14ac:dyDescent="0.25">
      <c r="A9570" t="str">
        <f>"114267287927"</f>
        <v>114267287927</v>
      </c>
      <c r="B9570" t="s">
        <v>18</v>
      </c>
      <c r="C9570" t="s">
        <v>4522</v>
      </c>
      <c r="D9570" t="s">
        <v>24854</v>
      </c>
      <c r="E9570">
        <v>424038</v>
      </c>
      <c r="F9570" t="s">
        <v>1</v>
      </c>
      <c r="G9570" t="s">
        <v>2</v>
      </c>
      <c r="H9570" t="s">
        <v>10681</v>
      </c>
      <c r="Y9570" t="s">
        <v>37112</v>
      </c>
    </row>
    <row r="9571" spans="1:25" x14ac:dyDescent="0.25">
      <c r="A9571" t="str">
        <f>"114269952197"</f>
        <v>114269952197</v>
      </c>
      <c r="B9571" t="s">
        <v>67</v>
      </c>
      <c r="C9571" t="s">
        <v>269</v>
      </c>
      <c r="D9571" t="s">
        <v>8747</v>
      </c>
      <c r="E9571">
        <v>424002</v>
      </c>
      <c r="F9571" t="s">
        <v>1</v>
      </c>
      <c r="G9571" t="s">
        <v>2</v>
      </c>
      <c r="H9571" t="s">
        <v>296</v>
      </c>
      <c r="Y9571" t="s">
        <v>37113</v>
      </c>
    </row>
    <row r="9572" spans="1:25" x14ac:dyDescent="0.25">
      <c r="A9572" t="str">
        <f>"114308616551"</f>
        <v>114308616551</v>
      </c>
      <c r="B9572" t="s">
        <v>7</v>
      </c>
      <c r="C9572" t="s">
        <v>1205</v>
      </c>
      <c r="D9572" t="s">
        <v>37114</v>
      </c>
      <c r="E9572">
        <v>424020</v>
      </c>
      <c r="F9572" t="s">
        <v>1</v>
      </c>
      <c r="G9572" t="s">
        <v>2</v>
      </c>
      <c r="H9572" t="s">
        <v>23</v>
      </c>
      <c r="I9572" t="s">
        <v>37115</v>
      </c>
      <c r="M9572" t="s">
        <v>37116</v>
      </c>
      <c r="P9572" t="s">
        <v>330</v>
      </c>
      <c r="Y9572" t="s">
        <v>6162</v>
      </c>
    </row>
    <row r="9573" spans="1:25" x14ac:dyDescent="0.25">
      <c r="A9573" t="str">
        <f>"114322228536"</f>
        <v>114322228536</v>
      </c>
      <c r="B9573" t="s">
        <v>462</v>
      </c>
      <c r="C9573" t="s">
        <v>14170</v>
      </c>
      <c r="D9573" t="s">
        <v>37117</v>
      </c>
      <c r="E9573">
        <v>424007</v>
      </c>
      <c r="F9573" t="s">
        <v>1</v>
      </c>
      <c r="G9573" t="s">
        <v>2</v>
      </c>
      <c r="H9573" t="s">
        <v>1319</v>
      </c>
      <c r="I9573" t="s">
        <v>37118</v>
      </c>
      <c r="L9573" t="s">
        <v>37119</v>
      </c>
      <c r="P9573" t="s">
        <v>216</v>
      </c>
      <c r="Y9573" t="s">
        <v>37120</v>
      </c>
    </row>
    <row r="9574" spans="1:25" x14ac:dyDescent="0.25">
      <c r="A9574" t="str">
        <f>"114437088799"</f>
        <v>114437088799</v>
      </c>
      <c r="B9574" t="s">
        <v>574</v>
      </c>
      <c r="C9574" t="s">
        <v>37122</v>
      </c>
      <c r="D9574" t="s">
        <v>37121</v>
      </c>
      <c r="E9574">
        <v>424007</v>
      </c>
      <c r="F9574" t="s">
        <v>1</v>
      </c>
      <c r="G9574" t="s">
        <v>2</v>
      </c>
      <c r="H9574" t="s">
        <v>26051</v>
      </c>
      <c r="Y9574" t="s">
        <v>37123</v>
      </c>
    </row>
    <row r="9575" spans="1:25" x14ac:dyDescent="0.25">
      <c r="A9575" t="str">
        <f>"114446333026"</f>
        <v>114446333026</v>
      </c>
      <c r="B9575" t="s">
        <v>188</v>
      </c>
      <c r="C9575" t="s">
        <v>23982</v>
      </c>
      <c r="D9575" t="s">
        <v>23982</v>
      </c>
      <c r="E9575">
        <v>424000</v>
      </c>
      <c r="F9575" t="s">
        <v>1</v>
      </c>
      <c r="G9575" t="s">
        <v>2</v>
      </c>
      <c r="H9575" t="s">
        <v>11438</v>
      </c>
      <c r="Y9575" t="s">
        <v>37124</v>
      </c>
    </row>
    <row r="9576" spans="1:25" x14ac:dyDescent="0.25">
      <c r="A9576" t="str">
        <f>"114473566233"</f>
        <v>114473566233</v>
      </c>
      <c r="B9576" t="s">
        <v>4084</v>
      </c>
      <c r="C9576" t="s">
        <v>28282</v>
      </c>
      <c r="D9576" t="s">
        <v>28461</v>
      </c>
      <c r="E9576">
        <v>424036</v>
      </c>
      <c r="F9576" t="s">
        <v>1</v>
      </c>
      <c r="G9576" t="s">
        <v>2</v>
      </c>
      <c r="H9576" t="s">
        <v>5294</v>
      </c>
      <c r="Y9576" t="s">
        <v>10139</v>
      </c>
    </row>
    <row r="9577" spans="1:25" x14ac:dyDescent="0.25">
      <c r="A9577" t="str">
        <f>"114478427125"</f>
        <v>114478427125</v>
      </c>
      <c r="B9577" t="s">
        <v>96</v>
      </c>
      <c r="C9577" t="s">
        <v>659</v>
      </c>
      <c r="D9577" t="s">
        <v>37125</v>
      </c>
      <c r="E9577">
        <v>424000</v>
      </c>
      <c r="F9577" t="s">
        <v>1</v>
      </c>
      <c r="G9577" t="s">
        <v>2</v>
      </c>
      <c r="H9577" t="s">
        <v>6578</v>
      </c>
      <c r="Y9577" t="s">
        <v>37126</v>
      </c>
    </row>
    <row r="9578" spans="1:25" x14ac:dyDescent="0.25">
      <c r="A9578" t="str">
        <f>"114478854019"</f>
        <v>114478854019</v>
      </c>
      <c r="B9578" t="s">
        <v>624</v>
      </c>
      <c r="C9578" t="s">
        <v>1637</v>
      </c>
      <c r="D9578" t="s">
        <v>37127</v>
      </c>
      <c r="E9578">
        <v>424032</v>
      </c>
      <c r="F9578" t="s">
        <v>1</v>
      </c>
      <c r="G9578" t="s">
        <v>2</v>
      </c>
      <c r="H9578" t="s">
        <v>11296</v>
      </c>
      <c r="I9578" t="s">
        <v>37128</v>
      </c>
      <c r="P9578" t="s">
        <v>152</v>
      </c>
      <c r="Y9578" t="s">
        <v>11299</v>
      </c>
    </row>
    <row r="9579" spans="1:25" x14ac:dyDescent="0.25">
      <c r="A9579" t="str">
        <f>"114481383376"</f>
        <v>114481383376</v>
      </c>
      <c r="B9579" t="s">
        <v>18</v>
      </c>
      <c r="C9579" t="s">
        <v>37131</v>
      </c>
      <c r="D9579" t="s">
        <v>37129</v>
      </c>
      <c r="E9579">
        <v>424006</v>
      </c>
      <c r="F9579" t="s">
        <v>1</v>
      </c>
      <c r="G9579" t="s">
        <v>2</v>
      </c>
      <c r="H9579" t="s">
        <v>24780</v>
      </c>
      <c r="I9579" t="s">
        <v>37130</v>
      </c>
      <c r="M9579" t="s">
        <v>3849</v>
      </c>
      <c r="P9579" t="s">
        <v>280</v>
      </c>
      <c r="Y9579" t="s">
        <v>24785</v>
      </c>
    </row>
    <row r="9580" spans="1:25" x14ac:dyDescent="0.25">
      <c r="A9580" t="str">
        <f>"114528945168"</f>
        <v>114528945168</v>
      </c>
      <c r="B9580" t="s">
        <v>18</v>
      </c>
      <c r="C9580" t="s">
        <v>2593</v>
      </c>
      <c r="D9580" t="s">
        <v>37132</v>
      </c>
      <c r="E9580">
        <v>424019</v>
      </c>
      <c r="F9580" t="s">
        <v>1</v>
      </c>
      <c r="G9580" t="s">
        <v>2</v>
      </c>
      <c r="H9580" t="s">
        <v>7785</v>
      </c>
      <c r="J9580" t="s">
        <v>37133</v>
      </c>
      <c r="P9580" t="s">
        <v>27</v>
      </c>
      <c r="Y9580" t="s">
        <v>25001</v>
      </c>
    </row>
    <row r="9581" spans="1:25" x14ac:dyDescent="0.25">
      <c r="A9581" t="str">
        <f>"114578078501"</f>
        <v>114578078501</v>
      </c>
      <c r="B9581" t="s">
        <v>319</v>
      </c>
      <c r="C9581" t="s">
        <v>320</v>
      </c>
      <c r="D9581" t="s">
        <v>37134</v>
      </c>
      <c r="E9581">
        <v>424020</v>
      </c>
      <c r="F9581" t="s">
        <v>1</v>
      </c>
      <c r="G9581" t="s">
        <v>2</v>
      </c>
      <c r="H9581" t="s">
        <v>17694</v>
      </c>
      <c r="Y9581" t="s">
        <v>37135</v>
      </c>
    </row>
    <row r="9582" spans="1:25" x14ac:dyDescent="0.25">
      <c r="A9582" t="str">
        <f>"114583742818"</f>
        <v>114583742818</v>
      </c>
      <c r="B9582" t="s">
        <v>352</v>
      </c>
      <c r="C9582" t="s">
        <v>353</v>
      </c>
      <c r="D9582" t="s">
        <v>37136</v>
      </c>
      <c r="E9582">
        <v>424007</v>
      </c>
      <c r="F9582" t="s">
        <v>1</v>
      </c>
      <c r="G9582" t="s">
        <v>2</v>
      </c>
      <c r="H9582" t="s">
        <v>356</v>
      </c>
      <c r="J9582" t="s">
        <v>37137</v>
      </c>
      <c r="L9582" t="s">
        <v>37138</v>
      </c>
      <c r="M9582" t="s">
        <v>37139</v>
      </c>
      <c r="P9582" t="s">
        <v>37140</v>
      </c>
      <c r="Q9582" t="s">
        <v>363</v>
      </c>
      <c r="V9582" t="s">
        <v>37141</v>
      </c>
      <c r="Y9582" t="s">
        <v>13825</v>
      </c>
    </row>
    <row r="9583" spans="1:25" x14ac:dyDescent="0.25">
      <c r="A9583" t="str">
        <f>"114590873498"</f>
        <v>114590873498</v>
      </c>
      <c r="B9583" t="s">
        <v>530</v>
      </c>
      <c r="C9583" t="s">
        <v>23950</v>
      </c>
      <c r="D9583" t="s">
        <v>23950</v>
      </c>
      <c r="F9583" t="s">
        <v>1</v>
      </c>
      <c r="G9583" t="s">
        <v>2</v>
      </c>
      <c r="H9583" t="s">
        <v>37142</v>
      </c>
      <c r="Y9583" t="s">
        <v>37143</v>
      </c>
    </row>
    <row r="9584" spans="1:25" x14ac:dyDescent="0.25">
      <c r="A9584" t="str">
        <f>"114609679591"</f>
        <v>114609679591</v>
      </c>
      <c r="B9584" t="s">
        <v>18</v>
      </c>
      <c r="C9584" t="s">
        <v>4522</v>
      </c>
      <c r="D9584" t="s">
        <v>37144</v>
      </c>
      <c r="F9584" t="s">
        <v>1</v>
      </c>
      <c r="G9584" t="s">
        <v>2</v>
      </c>
      <c r="H9584" t="s">
        <v>3984</v>
      </c>
      <c r="Y9584" t="s">
        <v>37145</v>
      </c>
    </row>
    <row r="9585" spans="1:25" x14ac:dyDescent="0.25">
      <c r="A9585" t="str">
        <f>"114625982685"</f>
        <v>114625982685</v>
      </c>
      <c r="B9585" t="s">
        <v>1573</v>
      </c>
      <c r="C9585" t="s">
        <v>37149</v>
      </c>
      <c r="D9585" t="s">
        <v>37146</v>
      </c>
      <c r="E9585">
        <v>424031</v>
      </c>
      <c r="F9585" t="s">
        <v>1</v>
      </c>
      <c r="G9585" t="s">
        <v>2</v>
      </c>
      <c r="H9585" t="s">
        <v>8799</v>
      </c>
      <c r="I9585" t="s">
        <v>37147</v>
      </c>
      <c r="K9585" t="s">
        <v>37148</v>
      </c>
      <c r="P9585" t="s">
        <v>20</v>
      </c>
      <c r="Y9585" t="s">
        <v>37150</v>
      </c>
    </row>
    <row r="9586" spans="1:25" x14ac:dyDescent="0.25">
      <c r="A9586" t="str">
        <f>"114629625882"</f>
        <v>114629625882</v>
      </c>
      <c r="B9586" t="s">
        <v>3544</v>
      </c>
      <c r="C9586" t="s">
        <v>11303</v>
      </c>
      <c r="D9586" t="s">
        <v>37151</v>
      </c>
      <c r="E9586">
        <v>424038</v>
      </c>
      <c r="F9586" t="s">
        <v>1</v>
      </c>
      <c r="G9586" t="s">
        <v>2</v>
      </c>
      <c r="H9586" t="s">
        <v>5779</v>
      </c>
      <c r="P9586" t="s">
        <v>280</v>
      </c>
      <c r="Y9586" t="s">
        <v>37152</v>
      </c>
    </row>
    <row r="9587" spans="1:25" x14ac:dyDescent="0.25">
      <c r="A9587" t="str">
        <f>"114645913439"</f>
        <v>114645913439</v>
      </c>
      <c r="B9587" t="s">
        <v>319</v>
      </c>
      <c r="C9587" t="s">
        <v>320</v>
      </c>
      <c r="D9587" t="s">
        <v>37153</v>
      </c>
      <c r="E9587">
        <v>424006</v>
      </c>
      <c r="F9587" t="s">
        <v>1</v>
      </c>
      <c r="G9587" t="s">
        <v>2</v>
      </c>
      <c r="H9587" t="s">
        <v>2042</v>
      </c>
      <c r="J9587" t="s">
        <v>37154</v>
      </c>
      <c r="P9587" t="s">
        <v>27709</v>
      </c>
      <c r="Y9587" t="s">
        <v>24827</v>
      </c>
    </row>
    <row r="9588" spans="1:25" x14ac:dyDescent="0.25">
      <c r="A9588" t="str">
        <f>"114650796257"</f>
        <v>114650796257</v>
      </c>
      <c r="B9588" t="s">
        <v>738</v>
      </c>
      <c r="C9588" t="s">
        <v>35568</v>
      </c>
      <c r="D9588" t="s">
        <v>37155</v>
      </c>
      <c r="F9588" t="s">
        <v>1</v>
      </c>
      <c r="G9588" t="s">
        <v>2</v>
      </c>
      <c r="H9588" t="s">
        <v>6026</v>
      </c>
      <c r="I9588" t="s">
        <v>37156</v>
      </c>
      <c r="J9588" t="s">
        <v>37157</v>
      </c>
      <c r="P9588" t="s">
        <v>458</v>
      </c>
      <c r="Q9588" t="s">
        <v>37158</v>
      </c>
      <c r="Y9588" t="s">
        <v>21228</v>
      </c>
    </row>
    <row r="9589" spans="1:25" x14ac:dyDescent="0.25">
      <c r="A9589" t="str">
        <f>"114674373655"</f>
        <v>114674373655</v>
      </c>
      <c r="B9589" t="s">
        <v>117</v>
      </c>
      <c r="C9589" t="s">
        <v>873</v>
      </c>
      <c r="D9589" t="s">
        <v>873</v>
      </c>
      <c r="F9589" t="s">
        <v>1</v>
      </c>
      <c r="G9589" t="s">
        <v>2</v>
      </c>
      <c r="H9589" t="s">
        <v>27567</v>
      </c>
      <c r="Y9589" t="s">
        <v>37159</v>
      </c>
    </row>
    <row r="9590" spans="1:25" x14ac:dyDescent="0.25">
      <c r="A9590" t="str">
        <f>"114725493944"</f>
        <v>114725493944</v>
      </c>
      <c r="B9590" t="s">
        <v>96</v>
      </c>
      <c r="C9590" t="s">
        <v>893</v>
      </c>
      <c r="D9590" t="s">
        <v>36102</v>
      </c>
      <c r="E9590">
        <v>424000</v>
      </c>
      <c r="F9590" t="s">
        <v>1</v>
      </c>
      <c r="G9590" t="s">
        <v>2</v>
      </c>
      <c r="H9590" t="s">
        <v>31391</v>
      </c>
      <c r="Y9590" t="s">
        <v>37160</v>
      </c>
    </row>
    <row r="9591" spans="1:25" x14ac:dyDescent="0.25">
      <c r="A9591" t="str">
        <f>"114738990731"</f>
        <v>114738990731</v>
      </c>
      <c r="B9591" t="s">
        <v>930</v>
      </c>
      <c r="C9591" t="s">
        <v>10263</v>
      </c>
      <c r="D9591" t="s">
        <v>37161</v>
      </c>
      <c r="F9591" t="s">
        <v>1</v>
      </c>
      <c r="G9591" t="s">
        <v>2</v>
      </c>
      <c r="H9591" t="s">
        <v>1428</v>
      </c>
      <c r="Y9591" t="s">
        <v>37162</v>
      </c>
    </row>
    <row r="9592" spans="1:25" x14ac:dyDescent="0.25">
      <c r="A9592" t="str">
        <f>"114769733505"</f>
        <v>114769733505</v>
      </c>
      <c r="B9592" t="s">
        <v>348</v>
      </c>
      <c r="C9592" t="s">
        <v>7354</v>
      </c>
      <c r="D9592" t="s">
        <v>37163</v>
      </c>
      <c r="E9592">
        <v>424000</v>
      </c>
      <c r="F9592" t="s">
        <v>1</v>
      </c>
      <c r="G9592" t="s">
        <v>2</v>
      </c>
      <c r="H9592" t="s">
        <v>10305</v>
      </c>
      <c r="I9592" t="s">
        <v>37164</v>
      </c>
      <c r="L9592" t="s">
        <v>37165</v>
      </c>
      <c r="M9592" t="s">
        <v>37166</v>
      </c>
      <c r="P9592" t="s">
        <v>5829</v>
      </c>
      <c r="Q9592" t="s">
        <v>37167</v>
      </c>
      <c r="V9592" t="s">
        <v>37168</v>
      </c>
      <c r="Y9592" t="s">
        <v>37169</v>
      </c>
    </row>
    <row r="9593" spans="1:25" x14ac:dyDescent="0.25">
      <c r="A9593" t="str">
        <f>"114789406455"</f>
        <v>114789406455</v>
      </c>
      <c r="B9593" t="s">
        <v>574</v>
      </c>
      <c r="C9593" t="s">
        <v>37172</v>
      </c>
      <c r="D9593" t="s">
        <v>37170</v>
      </c>
      <c r="E9593">
        <v>424038</v>
      </c>
      <c r="F9593" t="s">
        <v>1</v>
      </c>
      <c r="G9593" t="s">
        <v>2</v>
      </c>
      <c r="H9593" t="s">
        <v>7597</v>
      </c>
      <c r="L9593" t="s">
        <v>37171</v>
      </c>
      <c r="P9593" t="s">
        <v>1642</v>
      </c>
      <c r="Q9593" t="s">
        <v>37173</v>
      </c>
      <c r="Y9593" t="s">
        <v>27558</v>
      </c>
    </row>
    <row r="9594" spans="1:25" x14ac:dyDescent="0.25">
      <c r="A9594" t="str">
        <f>"114845017807"</f>
        <v>114845017807</v>
      </c>
      <c r="B9594" t="s">
        <v>348</v>
      </c>
      <c r="C9594" t="s">
        <v>9150</v>
      </c>
      <c r="D9594" t="s">
        <v>37174</v>
      </c>
      <c r="E9594">
        <v>424004</v>
      </c>
      <c r="F9594" t="s">
        <v>1</v>
      </c>
      <c r="G9594" t="s">
        <v>2</v>
      </c>
      <c r="H9594" t="s">
        <v>2133</v>
      </c>
      <c r="I9594" t="s">
        <v>37175</v>
      </c>
      <c r="L9594" t="s">
        <v>37176</v>
      </c>
      <c r="M9594" t="s">
        <v>37177</v>
      </c>
      <c r="P9594" t="s">
        <v>37178</v>
      </c>
      <c r="Q9594" t="s">
        <v>37179</v>
      </c>
      <c r="R9594" t="s">
        <v>37180</v>
      </c>
      <c r="T9594" t="s">
        <v>37181</v>
      </c>
      <c r="U9594" t="s">
        <v>37182</v>
      </c>
      <c r="V9594" t="s">
        <v>37183</v>
      </c>
      <c r="Y9594" t="s">
        <v>2137</v>
      </c>
    </row>
    <row r="9595" spans="1:25" x14ac:dyDescent="0.25">
      <c r="A9595" t="str">
        <f>"114866264111"</f>
        <v>114866264111</v>
      </c>
      <c r="B9595" t="s">
        <v>574</v>
      </c>
      <c r="C9595" t="s">
        <v>22533</v>
      </c>
      <c r="D9595" t="s">
        <v>9802</v>
      </c>
      <c r="E9595">
        <v>424032</v>
      </c>
      <c r="F9595" t="s">
        <v>1</v>
      </c>
      <c r="G9595" t="s">
        <v>2</v>
      </c>
      <c r="H9595" t="s">
        <v>2250</v>
      </c>
      <c r="P9595" t="s">
        <v>23446</v>
      </c>
      <c r="Y9595" t="s">
        <v>37184</v>
      </c>
    </row>
    <row r="9596" spans="1:25" x14ac:dyDescent="0.25">
      <c r="A9596" t="str">
        <f>"114870112950"</f>
        <v>114870112950</v>
      </c>
      <c r="B9596" t="s">
        <v>530</v>
      </c>
      <c r="C9596" t="s">
        <v>23950</v>
      </c>
      <c r="D9596" t="s">
        <v>23950</v>
      </c>
      <c r="F9596" t="s">
        <v>1</v>
      </c>
      <c r="G9596" t="s">
        <v>2</v>
      </c>
      <c r="H9596" t="s">
        <v>35021</v>
      </c>
      <c r="Y9596" t="s">
        <v>37185</v>
      </c>
    </row>
    <row r="9597" spans="1:25" x14ac:dyDescent="0.25">
      <c r="A9597" t="str">
        <f>"114905270417"</f>
        <v>114905270417</v>
      </c>
      <c r="B9597" t="s">
        <v>80</v>
      </c>
      <c r="C9597" t="s">
        <v>37188</v>
      </c>
      <c r="D9597" t="s">
        <v>37186</v>
      </c>
      <c r="E9597">
        <v>424019</v>
      </c>
      <c r="F9597" t="s">
        <v>1</v>
      </c>
      <c r="G9597" t="s">
        <v>2</v>
      </c>
      <c r="H9597" t="s">
        <v>12135</v>
      </c>
      <c r="I9597" t="s">
        <v>37187</v>
      </c>
      <c r="P9597" t="s">
        <v>330</v>
      </c>
      <c r="Y9597" t="s">
        <v>37189</v>
      </c>
    </row>
    <row r="9598" spans="1:25" x14ac:dyDescent="0.25">
      <c r="A9598" t="str">
        <f>"114939459547"</f>
        <v>114939459547</v>
      </c>
      <c r="B9598" t="s">
        <v>290</v>
      </c>
      <c r="C9598" t="s">
        <v>11603</v>
      </c>
      <c r="D9598" t="s">
        <v>37190</v>
      </c>
      <c r="E9598">
        <v>424007</v>
      </c>
      <c r="F9598" t="s">
        <v>1</v>
      </c>
      <c r="G9598" t="s">
        <v>2</v>
      </c>
      <c r="H9598" t="s">
        <v>5281</v>
      </c>
      <c r="J9598" t="s">
        <v>37191</v>
      </c>
      <c r="P9598" t="s">
        <v>330</v>
      </c>
      <c r="Y9598" t="s">
        <v>37192</v>
      </c>
    </row>
    <row r="9599" spans="1:25" x14ac:dyDescent="0.25">
      <c r="A9599" t="str">
        <f>"114939827756"</f>
        <v>114939827756</v>
      </c>
      <c r="B9599" t="s">
        <v>574</v>
      </c>
      <c r="C9599" t="s">
        <v>24933</v>
      </c>
      <c r="D9599" t="s">
        <v>37193</v>
      </c>
      <c r="E9599">
        <v>424031</v>
      </c>
      <c r="F9599" t="s">
        <v>1</v>
      </c>
      <c r="G9599" t="s">
        <v>2</v>
      </c>
      <c r="H9599" t="s">
        <v>34672</v>
      </c>
      <c r="Y9599" t="s">
        <v>37194</v>
      </c>
    </row>
    <row r="9600" spans="1:25" x14ac:dyDescent="0.25">
      <c r="A9600" t="str">
        <f>"114947008383"</f>
        <v>114947008383</v>
      </c>
      <c r="B9600" t="s">
        <v>790</v>
      </c>
      <c r="C9600" t="s">
        <v>5283</v>
      </c>
      <c r="D9600" t="s">
        <v>37195</v>
      </c>
      <c r="E9600">
        <v>424000</v>
      </c>
      <c r="F9600" t="s">
        <v>1</v>
      </c>
      <c r="G9600" t="s">
        <v>2</v>
      </c>
      <c r="H9600" t="s">
        <v>12303</v>
      </c>
      <c r="I9600" t="s">
        <v>37196</v>
      </c>
      <c r="P9600" t="s">
        <v>245</v>
      </c>
      <c r="Y9600" t="s">
        <v>37197</v>
      </c>
    </row>
    <row r="9601" spans="1:25" x14ac:dyDescent="0.25">
      <c r="A9601" t="str">
        <f>"114955477063"</f>
        <v>114955477063</v>
      </c>
      <c r="B9601" t="s">
        <v>930</v>
      </c>
      <c r="C9601" t="s">
        <v>37201</v>
      </c>
      <c r="D9601" t="s">
        <v>37198</v>
      </c>
      <c r="E9601">
        <v>424026</v>
      </c>
      <c r="F9601" t="s">
        <v>1</v>
      </c>
      <c r="G9601" t="s">
        <v>2</v>
      </c>
      <c r="H9601" t="s">
        <v>37199</v>
      </c>
      <c r="I9601" t="s">
        <v>37200</v>
      </c>
      <c r="P9601" t="s">
        <v>216</v>
      </c>
      <c r="Y9601" t="s">
        <v>35741</v>
      </c>
    </row>
    <row r="9602" spans="1:25" x14ac:dyDescent="0.25">
      <c r="A9602" t="str">
        <f>"114970902127"</f>
        <v>114970902127</v>
      </c>
      <c r="B9602" t="s">
        <v>703</v>
      </c>
      <c r="C9602" t="s">
        <v>10967</v>
      </c>
      <c r="D9602" t="s">
        <v>37202</v>
      </c>
      <c r="F9602" t="s">
        <v>1</v>
      </c>
      <c r="G9602" t="s">
        <v>2</v>
      </c>
      <c r="H9602" t="s">
        <v>3430</v>
      </c>
      <c r="I9602" t="s">
        <v>37203</v>
      </c>
      <c r="J9602" t="s">
        <v>37204</v>
      </c>
      <c r="M9602" t="s">
        <v>37205</v>
      </c>
      <c r="P9602" t="s">
        <v>216</v>
      </c>
      <c r="Y9602" t="s">
        <v>37206</v>
      </c>
    </row>
    <row r="9603" spans="1:25" x14ac:dyDescent="0.25">
      <c r="A9603" t="str">
        <f>"114989605017"</f>
        <v>114989605017</v>
      </c>
      <c r="B9603" t="s">
        <v>96</v>
      </c>
      <c r="C9603" t="s">
        <v>695</v>
      </c>
      <c r="D9603" t="s">
        <v>37207</v>
      </c>
      <c r="E9603">
        <v>424033</v>
      </c>
      <c r="F9603" t="s">
        <v>1</v>
      </c>
      <c r="G9603" t="s">
        <v>2</v>
      </c>
      <c r="H9603" t="s">
        <v>4244</v>
      </c>
      <c r="Y9603" t="s">
        <v>11374</v>
      </c>
    </row>
    <row r="9604" spans="1:25" x14ac:dyDescent="0.25">
      <c r="A9604" t="str">
        <f>"115034202147"</f>
        <v>115034202147</v>
      </c>
      <c r="B9604" t="s">
        <v>5840</v>
      </c>
      <c r="C9604" t="s">
        <v>37212</v>
      </c>
      <c r="D9604" t="s">
        <v>37208</v>
      </c>
      <c r="E9604">
        <v>424007</v>
      </c>
      <c r="F9604" t="s">
        <v>1</v>
      </c>
      <c r="G9604" t="s">
        <v>2</v>
      </c>
      <c r="H9604" t="s">
        <v>1085</v>
      </c>
      <c r="I9604" t="s">
        <v>5836</v>
      </c>
      <c r="J9604" t="s">
        <v>37209</v>
      </c>
      <c r="L9604" t="s">
        <v>37210</v>
      </c>
      <c r="M9604" t="s">
        <v>37211</v>
      </c>
      <c r="Y9604" t="s">
        <v>1412</v>
      </c>
    </row>
    <row r="9605" spans="1:25" x14ac:dyDescent="0.25">
      <c r="A9605" t="str">
        <f>"115052816102"</f>
        <v>115052816102</v>
      </c>
      <c r="B9605" t="s">
        <v>3008</v>
      </c>
      <c r="C9605" t="s">
        <v>15744</v>
      </c>
      <c r="D9605" t="s">
        <v>37213</v>
      </c>
      <c r="E9605">
        <v>424020</v>
      </c>
      <c r="F9605" t="s">
        <v>1</v>
      </c>
      <c r="G9605" t="s">
        <v>2</v>
      </c>
      <c r="H9605" t="s">
        <v>1837</v>
      </c>
      <c r="I9605" t="s">
        <v>37214</v>
      </c>
      <c r="J9605" t="s">
        <v>37215</v>
      </c>
      <c r="L9605" t="s">
        <v>37216</v>
      </c>
      <c r="M9605" t="s">
        <v>37217</v>
      </c>
      <c r="P9605" t="s">
        <v>799</v>
      </c>
      <c r="Y9605" t="s">
        <v>1842</v>
      </c>
    </row>
    <row r="9606" spans="1:25" x14ac:dyDescent="0.25">
      <c r="A9606" t="str">
        <f>"115056685921"</f>
        <v>115056685921</v>
      </c>
      <c r="B9606" t="s">
        <v>530</v>
      </c>
      <c r="C9606" t="s">
        <v>23950</v>
      </c>
      <c r="D9606" t="s">
        <v>23950</v>
      </c>
      <c r="F9606" t="s">
        <v>1</v>
      </c>
      <c r="G9606" t="s">
        <v>2</v>
      </c>
      <c r="H9606" t="s">
        <v>37218</v>
      </c>
      <c r="Y9606" t="s">
        <v>37219</v>
      </c>
    </row>
    <row r="9607" spans="1:25" x14ac:dyDescent="0.25">
      <c r="A9607" t="str">
        <f>"115057133953"</f>
        <v>115057133953</v>
      </c>
      <c r="B9607" t="s">
        <v>67</v>
      </c>
      <c r="C9607" t="s">
        <v>269</v>
      </c>
      <c r="D9607" t="s">
        <v>37220</v>
      </c>
      <c r="E9607">
        <v>424002</v>
      </c>
      <c r="F9607" t="s">
        <v>1</v>
      </c>
      <c r="G9607" t="s">
        <v>2</v>
      </c>
      <c r="H9607" t="s">
        <v>6397</v>
      </c>
      <c r="Y9607" t="s">
        <v>37221</v>
      </c>
    </row>
    <row r="9608" spans="1:25" x14ac:dyDescent="0.25">
      <c r="A9608" t="str">
        <f>"115067816378"</f>
        <v>115067816378</v>
      </c>
      <c r="B9608" t="s">
        <v>1315</v>
      </c>
      <c r="C9608" t="s">
        <v>37226</v>
      </c>
      <c r="D9608" t="s">
        <v>37222</v>
      </c>
      <c r="E9608">
        <v>424007</v>
      </c>
      <c r="F9608" t="s">
        <v>1</v>
      </c>
      <c r="G9608" t="s">
        <v>2</v>
      </c>
      <c r="H9608" t="s">
        <v>220</v>
      </c>
      <c r="I9608" t="s">
        <v>37223</v>
      </c>
      <c r="L9608" t="s">
        <v>37224</v>
      </c>
      <c r="M9608" t="s">
        <v>37225</v>
      </c>
      <c r="P9608" t="s">
        <v>584</v>
      </c>
      <c r="Y9608" t="s">
        <v>37227</v>
      </c>
    </row>
    <row r="9609" spans="1:25" x14ac:dyDescent="0.25">
      <c r="A9609" t="str">
        <f>"115072841081"</f>
        <v>115072841081</v>
      </c>
      <c r="B9609" t="s">
        <v>352</v>
      </c>
      <c r="C9609" t="s">
        <v>37230</v>
      </c>
      <c r="D9609" t="s">
        <v>37228</v>
      </c>
      <c r="E9609">
        <v>424031</v>
      </c>
      <c r="F9609" t="s">
        <v>1</v>
      </c>
      <c r="G9609" t="s">
        <v>2</v>
      </c>
      <c r="H9609" t="s">
        <v>5386</v>
      </c>
      <c r="I9609" t="s">
        <v>37229</v>
      </c>
      <c r="P9609" t="s">
        <v>696</v>
      </c>
      <c r="Y9609" t="s">
        <v>37231</v>
      </c>
    </row>
    <row r="9610" spans="1:25" x14ac:dyDescent="0.25">
      <c r="A9610" t="str">
        <f>"115118365498"</f>
        <v>115118365498</v>
      </c>
      <c r="B9610" t="s">
        <v>519</v>
      </c>
      <c r="C9610" t="s">
        <v>23996</v>
      </c>
      <c r="D9610" t="s">
        <v>3470</v>
      </c>
      <c r="E9610">
        <v>424000</v>
      </c>
      <c r="F9610" t="s">
        <v>1</v>
      </c>
      <c r="G9610" t="s">
        <v>2</v>
      </c>
      <c r="H9610" t="s">
        <v>37232</v>
      </c>
      <c r="J9610" t="s">
        <v>37233</v>
      </c>
      <c r="P9610" t="s">
        <v>98</v>
      </c>
      <c r="Y9610" t="s">
        <v>37234</v>
      </c>
    </row>
    <row r="9611" spans="1:25" x14ac:dyDescent="0.25">
      <c r="A9611" t="str">
        <f>"115127318541"</f>
        <v>115127318541</v>
      </c>
      <c r="B9611" t="s">
        <v>1352</v>
      </c>
      <c r="C9611" t="s">
        <v>1353</v>
      </c>
      <c r="D9611" t="s">
        <v>37235</v>
      </c>
      <c r="E9611">
        <v>424005</v>
      </c>
      <c r="F9611" t="s">
        <v>1</v>
      </c>
      <c r="G9611" t="s">
        <v>2</v>
      </c>
      <c r="H9611" t="s">
        <v>1298</v>
      </c>
      <c r="Y9611" t="s">
        <v>1301</v>
      </c>
    </row>
    <row r="9612" spans="1:25" x14ac:dyDescent="0.25">
      <c r="A9612" t="str">
        <f>"115156465577"</f>
        <v>115156465577</v>
      </c>
      <c r="B9612" t="s">
        <v>96</v>
      </c>
      <c r="C9612" t="s">
        <v>659</v>
      </c>
      <c r="D9612" t="s">
        <v>37236</v>
      </c>
      <c r="E9612">
        <v>424918</v>
      </c>
      <c r="F9612" t="s">
        <v>1</v>
      </c>
      <c r="G9612" t="s">
        <v>2</v>
      </c>
      <c r="H9612" t="s">
        <v>629</v>
      </c>
      <c r="P9612" t="s">
        <v>630</v>
      </c>
      <c r="Y9612" t="s">
        <v>37237</v>
      </c>
    </row>
    <row r="9613" spans="1:25" x14ac:dyDescent="0.25">
      <c r="A9613" t="str">
        <f>"115211081866"</f>
        <v>115211081866</v>
      </c>
      <c r="B9613" t="s">
        <v>1552</v>
      </c>
      <c r="C9613" t="s">
        <v>36317</v>
      </c>
      <c r="D9613" t="s">
        <v>11283</v>
      </c>
      <c r="F9613" t="s">
        <v>1</v>
      </c>
      <c r="G9613" t="s">
        <v>2</v>
      </c>
      <c r="H9613" t="s">
        <v>8464</v>
      </c>
      <c r="I9613" t="s">
        <v>37238</v>
      </c>
      <c r="P9613" t="s">
        <v>696</v>
      </c>
      <c r="Y9613" t="s">
        <v>35124</v>
      </c>
    </row>
    <row r="9614" spans="1:25" x14ac:dyDescent="0.25">
      <c r="A9614" t="str">
        <f>"115253969614"</f>
        <v>115253969614</v>
      </c>
      <c r="B9614" t="s">
        <v>32</v>
      </c>
      <c r="C9614" t="s">
        <v>13642</v>
      </c>
      <c r="D9614" t="s">
        <v>37239</v>
      </c>
      <c r="E9614">
        <v>424000</v>
      </c>
      <c r="F9614" t="s">
        <v>1</v>
      </c>
      <c r="G9614" t="s">
        <v>2</v>
      </c>
      <c r="H9614" t="s">
        <v>6578</v>
      </c>
      <c r="J9614" t="s">
        <v>37240</v>
      </c>
      <c r="P9614" t="s">
        <v>98</v>
      </c>
      <c r="Y9614" t="s">
        <v>9940</v>
      </c>
    </row>
    <row r="9615" spans="1:25" x14ac:dyDescent="0.25">
      <c r="A9615" t="str">
        <f>"115260798302"</f>
        <v>115260798302</v>
      </c>
      <c r="B9615" t="s">
        <v>1611</v>
      </c>
      <c r="C9615" t="s">
        <v>4172</v>
      </c>
      <c r="D9615" t="s">
        <v>37241</v>
      </c>
      <c r="E9615">
        <v>424006</v>
      </c>
      <c r="F9615" t="s">
        <v>1</v>
      </c>
      <c r="G9615" t="s">
        <v>2</v>
      </c>
      <c r="H9615" t="s">
        <v>37242</v>
      </c>
      <c r="I9615" t="s">
        <v>37243</v>
      </c>
      <c r="L9615" t="s">
        <v>16332</v>
      </c>
      <c r="M9615" t="s">
        <v>16333</v>
      </c>
      <c r="P9615" t="s">
        <v>15446</v>
      </c>
      <c r="Y9615" t="s">
        <v>37244</v>
      </c>
    </row>
    <row r="9616" spans="1:25" x14ac:dyDescent="0.25">
      <c r="A9616" t="str">
        <f>"115284099555"</f>
        <v>115284099555</v>
      </c>
      <c r="B9616" t="s">
        <v>1046</v>
      </c>
      <c r="C9616" t="s">
        <v>37247</v>
      </c>
      <c r="D9616" t="s">
        <v>37245</v>
      </c>
      <c r="E9616">
        <v>424033</v>
      </c>
      <c r="F9616" t="s">
        <v>1</v>
      </c>
      <c r="G9616" t="s">
        <v>2</v>
      </c>
      <c r="H9616" t="s">
        <v>5492</v>
      </c>
      <c r="J9616" t="s">
        <v>37246</v>
      </c>
      <c r="P9616" t="s">
        <v>1642</v>
      </c>
      <c r="Y9616" t="s">
        <v>6576</v>
      </c>
    </row>
    <row r="9617" spans="1:25" x14ac:dyDescent="0.25">
      <c r="A9617" t="str">
        <f>"115284237044"</f>
        <v>115284237044</v>
      </c>
      <c r="B9617" t="s">
        <v>2062</v>
      </c>
      <c r="C9617" t="s">
        <v>3293</v>
      </c>
      <c r="D9617" t="s">
        <v>37248</v>
      </c>
      <c r="E9617">
        <v>424006</v>
      </c>
      <c r="F9617" t="s">
        <v>1</v>
      </c>
      <c r="G9617" t="s">
        <v>2</v>
      </c>
      <c r="H9617" t="s">
        <v>2966</v>
      </c>
      <c r="I9617" t="s">
        <v>37249</v>
      </c>
      <c r="L9617" t="s">
        <v>37250</v>
      </c>
      <c r="M9617" t="s">
        <v>37251</v>
      </c>
      <c r="P9617" t="s">
        <v>260</v>
      </c>
      <c r="Q9617" t="s">
        <v>37252</v>
      </c>
      <c r="Y9617" t="s">
        <v>2970</v>
      </c>
    </row>
    <row r="9618" spans="1:25" x14ac:dyDescent="0.25">
      <c r="A9618" t="str">
        <f>"115290911728"</f>
        <v>115290911728</v>
      </c>
      <c r="B9618" t="s">
        <v>1152</v>
      </c>
      <c r="C9618" t="s">
        <v>1385</v>
      </c>
      <c r="D9618" t="s">
        <v>37253</v>
      </c>
      <c r="F9618" t="s">
        <v>1</v>
      </c>
      <c r="G9618" t="s">
        <v>2</v>
      </c>
      <c r="H9618" t="s">
        <v>16696</v>
      </c>
      <c r="Y9618" t="s">
        <v>34173</v>
      </c>
    </row>
    <row r="9619" spans="1:25" x14ac:dyDescent="0.25">
      <c r="A9619" t="str">
        <f>"115295142689"</f>
        <v>115295142689</v>
      </c>
      <c r="B9619" t="s">
        <v>2790</v>
      </c>
      <c r="C9619" t="s">
        <v>37255</v>
      </c>
      <c r="D9619" t="s">
        <v>37254</v>
      </c>
      <c r="E9619">
        <v>424031</v>
      </c>
      <c r="F9619" t="s">
        <v>1</v>
      </c>
      <c r="G9619" t="s">
        <v>2</v>
      </c>
      <c r="H9619" t="s">
        <v>1273</v>
      </c>
      <c r="Y9619" t="s">
        <v>37256</v>
      </c>
    </row>
    <row r="9620" spans="1:25" x14ac:dyDescent="0.25">
      <c r="A9620" t="str">
        <f>"115316514050"</f>
        <v>115316514050</v>
      </c>
      <c r="B9620" t="s">
        <v>3544</v>
      </c>
      <c r="C9620" t="s">
        <v>36486</v>
      </c>
      <c r="D9620" t="s">
        <v>37257</v>
      </c>
      <c r="E9620">
        <v>424030</v>
      </c>
      <c r="F9620" t="s">
        <v>1</v>
      </c>
      <c r="G9620" t="s">
        <v>2</v>
      </c>
      <c r="H9620" t="s">
        <v>440</v>
      </c>
      <c r="Y9620" t="s">
        <v>37258</v>
      </c>
    </row>
    <row r="9621" spans="1:25" x14ac:dyDescent="0.25">
      <c r="A9621" t="str">
        <f>"115318427687"</f>
        <v>115318427687</v>
      </c>
      <c r="B9621" t="s">
        <v>738</v>
      </c>
      <c r="C9621" t="s">
        <v>739</v>
      </c>
      <c r="D9621" t="s">
        <v>37259</v>
      </c>
      <c r="E9621">
        <v>424000</v>
      </c>
      <c r="F9621" t="s">
        <v>1</v>
      </c>
      <c r="G9621" t="s">
        <v>2</v>
      </c>
      <c r="H9621" t="s">
        <v>92</v>
      </c>
      <c r="J9621" t="s">
        <v>37260</v>
      </c>
      <c r="P9621" t="s">
        <v>2738</v>
      </c>
      <c r="Q9621" t="s">
        <v>37261</v>
      </c>
      <c r="Y9621" t="s">
        <v>28397</v>
      </c>
    </row>
    <row r="9622" spans="1:25" x14ac:dyDescent="0.25">
      <c r="A9622" t="str">
        <f>"115318829069"</f>
        <v>115318829069</v>
      </c>
      <c r="B9622" t="s">
        <v>930</v>
      </c>
      <c r="C9622" t="s">
        <v>37264</v>
      </c>
      <c r="D9622" t="s">
        <v>37262</v>
      </c>
      <c r="F9622" t="s">
        <v>1</v>
      </c>
      <c r="G9622" t="s">
        <v>2</v>
      </c>
      <c r="H9622" t="s">
        <v>3430</v>
      </c>
      <c r="I9622" t="s">
        <v>37263</v>
      </c>
      <c r="Q9622" t="s">
        <v>12615</v>
      </c>
      <c r="Y9622" t="s">
        <v>3434</v>
      </c>
    </row>
    <row r="9623" spans="1:25" x14ac:dyDescent="0.25">
      <c r="A9623" t="str">
        <f>"115322232332"</f>
        <v>115322232332</v>
      </c>
      <c r="B9623" t="s">
        <v>290</v>
      </c>
      <c r="C9623" t="s">
        <v>37266</v>
      </c>
      <c r="D9623" t="s">
        <v>7972</v>
      </c>
      <c r="E9623">
        <v>424038</v>
      </c>
      <c r="F9623" t="s">
        <v>1</v>
      </c>
      <c r="G9623" t="s">
        <v>2</v>
      </c>
      <c r="H9623" t="s">
        <v>7597</v>
      </c>
      <c r="I9623" t="s">
        <v>37265</v>
      </c>
      <c r="P9623" t="s">
        <v>1642</v>
      </c>
      <c r="Q9623" t="s">
        <v>37267</v>
      </c>
      <c r="Y9623" t="s">
        <v>37268</v>
      </c>
    </row>
    <row r="9624" spans="1:25" x14ac:dyDescent="0.25">
      <c r="A9624" t="str">
        <f>"115366641557"</f>
        <v>115366641557</v>
      </c>
      <c r="B9624" t="s">
        <v>176</v>
      </c>
      <c r="C9624" t="s">
        <v>250</v>
      </c>
      <c r="D9624" t="s">
        <v>37269</v>
      </c>
      <c r="E9624">
        <v>424000</v>
      </c>
      <c r="F9624" t="s">
        <v>1</v>
      </c>
      <c r="G9624" t="s">
        <v>2</v>
      </c>
      <c r="H9624" t="s">
        <v>3749</v>
      </c>
      <c r="I9624" t="s">
        <v>37270</v>
      </c>
      <c r="L9624" t="s">
        <v>4589</v>
      </c>
      <c r="M9624" t="s">
        <v>4590</v>
      </c>
      <c r="P9624" t="s">
        <v>340</v>
      </c>
      <c r="Y9624" t="s">
        <v>37271</v>
      </c>
    </row>
    <row r="9625" spans="1:25" x14ac:dyDescent="0.25">
      <c r="A9625" t="str">
        <f>"115414864454"</f>
        <v>115414864454</v>
      </c>
      <c r="B9625" t="s">
        <v>5840</v>
      </c>
      <c r="C9625" t="s">
        <v>23837</v>
      </c>
      <c r="D9625" t="s">
        <v>37272</v>
      </c>
      <c r="E9625">
        <v>424008</v>
      </c>
      <c r="F9625" t="s">
        <v>1</v>
      </c>
      <c r="G9625" t="s">
        <v>2</v>
      </c>
      <c r="H9625" t="s">
        <v>18483</v>
      </c>
      <c r="P9625" t="s">
        <v>16418</v>
      </c>
      <c r="Y9625" t="s">
        <v>18485</v>
      </c>
    </row>
    <row r="9626" spans="1:25" x14ac:dyDescent="0.25">
      <c r="A9626" t="str">
        <f>"115415253506"</f>
        <v>115415253506</v>
      </c>
      <c r="B9626" t="s">
        <v>574</v>
      </c>
      <c r="C9626" t="s">
        <v>29849</v>
      </c>
      <c r="D9626" t="s">
        <v>4221</v>
      </c>
      <c r="E9626">
        <v>424039</v>
      </c>
      <c r="F9626" t="s">
        <v>1</v>
      </c>
      <c r="G9626" t="s">
        <v>2</v>
      </c>
      <c r="H9626" t="s">
        <v>5827</v>
      </c>
      <c r="Y9626" t="s">
        <v>37273</v>
      </c>
    </row>
    <row r="9627" spans="1:25" x14ac:dyDescent="0.25">
      <c r="A9627" t="str">
        <f>"115450404277"</f>
        <v>115450404277</v>
      </c>
      <c r="B9627" t="s">
        <v>1573</v>
      </c>
      <c r="C9627" t="s">
        <v>37276</v>
      </c>
      <c r="D9627" t="s">
        <v>37274</v>
      </c>
      <c r="E9627">
        <v>424006</v>
      </c>
      <c r="F9627" t="s">
        <v>1</v>
      </c>
      <c r="G9627" t="s">
        <v>2</v>
      </c>
      <c r="H9627" t="s">
        <v>2775</v>
      </c>
      <c r="I9627" t="s">
        <v>37275</v>
      </c>
      <c r="P9627" t="s">
        <v>31443</v>
      </c>
      <c r="Y9627" t="s">
        <v>2779</v>
      </c>
    </row>
    <row r="9628" spans="1:25" x14ac:dyDescent="0.25">
      <c r="A9628" t="str">
        <f>"115494346555"</f>
        <v>115494346555</v>
      </c>
      <c r="B9628" t="s">
        <v>574</v>
      </c>
      <c r="C9628" t="s">
        <v>23462</v>
      </c>
      <c r="D9628" t="s">
        <v>27898</v>
      </c>
      <c r="F9628" t="s">
        <v>1</v>
      </c>
      <c r="G9628" t="s">
        <v>2</v>
      </c>
      <c r="H9628" t="s">
        <v>16696</v>
      </c>
      <c r="P9628" t="s">
        <v>37277</v>
      </c>
      <c r="Y9628" t="s">
        <v>37278</v>
      </c>
    </row>
    <row r="9629" spans="1:25" x14ac:dyDescent="0.25">
      <c r="A9629" t="str">
        <f>"115509449493"</f>
        <v>115509449493</v>
      </c>
      <c r="B9629" t="s">
        <v>88</v>
      </c>
      <c r="C9629" t="s">
        <v>6066</v>
      </c>
      <c r="D9629" t="s">
        <v>25323</v>
      </c>
      <c r="E9629">
        <v>424002</v>
      </c>
      <c r="F9629" t="s">
        <v>1</v>
      </c>
      <c r="G9629" t="s">
        <v>2</v>
      </c>
      <c r="H9629" t="s">
        <v>3864</v>
      </c>
      <c r="Y9629" t="s">
        <v>3867</v>
      </c>
    </row>
    <row r="9630" spans="1:25" x14ac:dyDescent="0.25">
      <c r="A9630" t="str">
        <f>"115524324333"</f>
        <v>115524324333</v>
      </c>
      <c r="B9630" t="s">
        <v>3700</v>
      </c>
      <c r="C9630" t="s">
        <v>37283</v>
      </c>
      <c r="D9630" t="s">
        <v>37279</v>
      </c>
      <c r="E9630">
        <v>424008</v>
      </c>
      <c r="F9630" t="s">
        <v>1</v>
      </c>
      <c r="G9630" t="s">
        <v>2</v>
      </c>
      <c r="H9630" t="s">
        <v>6584</v>
      </c>
      <c r="I9630" t="s">
        <v>37280</v>
      </c>
      <c r="L9630" t="s">
        <v>37281</v>
      </c>
      <c r="M9630" t="s">
        <v>37282</v>
      </c>
      <c r="P9630" t="s">
        <v>1760</v>
      </c>
      <c r="Q9630" t="s">
        <v>37284</v>
      </c>
      <c r="T9630" t="s">
        <v>37285</v>
      </c>
      <c r="V9630" t="s">
        <v>37286</v>
      </c>
      <c r="Y9630" t="s">
        <v>37287</v>
      </c>
    </row>
    <row r="9631" spans="1:25" x14ac:dyDescent="0.25">
      <c r="A9631" t="str">
        <f>"115526370640"</f>
        <v>115526370640</v>
      </c>
      <c r="B9631" t="s">
        <v>530</v>
      </c>
      <c r="C9631" t="s">
        <v>10576</v>
      </c>
      <c r="D9631" t="s">
        <v>37288</v>
      </c>
      <c r="E9631">
        <v>424020</v>
      </c>
      <c r="F9631" t="s">
        <v>1</v>
      </c>
      <c r="G9631" t="s">
        <v>2</v>
      </c>
      <c r="H9631" t="s">
        <v>1837</v>
      </c>
      <c r="I9631" t="s">
        <v>37289</v>
      </c>
      <c r="L9631" t="s">
        <v>37290</v>
      </c>
      <c r="M9631" t="s">
        <v>37291</v>
      </c>
      <c r="P9631" t="s">
        <v>260</v>
      </c>
      <c r="Y9631" t="s">
        <v>1842</v>
      </c>
    </row>
    <row r="9632" spans="1:25" x14ac:dyDescent="0.25">
      <c r="A9632" t="str">
        <f>"115539143730"</f>
        <v>115539143730</v>
      </c>
      <c r="B9632" t="s">
        <v>408</v>
      </c>
      <c r="C9632" t="s">
        <v>25792</v>
      </c>
      <c r="D9632" t="s">
        <v>25790</v>
      </c>
      <c r="F9632" t="s">
        <v>1</v>
      </c>
      <c r="G9632" t="s">
        <v>2</v>
      </c>
      <c r="H9632" t="s">
        <v>37292</v>
      </c>
      <c r="P9632" t="s">
        <v>11204</v>
      </c>
      <c r="Y9632" t="s">
        <v>37293</v>
      </c>
    </row>
    <row r="9633" spans="1:25" x14ac:dyDescent="0.25">
      <c r="A9633" t="str">
        <f>"115559136341"</f>
        <v>115559136341</v>
      </c>
      <c r="B9633" t="s">
        <v>574</v>
      </c>
      <c r="C9633" t="s">
        <v>646</v>
      </c>
      <c r="D9633" t="s">
        <v>10573</v>
      </c>
      <c r="E9633">
        <v>424004</v>
      </c>
      <c r="F9633" t="s">
        <v>1</v>
      </c>
      <c r="G9633" t="s">
        <v>2</v>
      </c>
      <c r="H9633" t="s">
        <v>1880</v>
      </c>
      <c r="Y9633" t="s">
        <v>22328</v>
      </c>
    </row>
    <row r="9634" spans="1:25" x14ac:dyDescent="0.25">
      <c r="A9634" t="str">
        <f>"115610546170"</f>
        <v>115610546170</v>
      </c>
      <c r="B9634" t="s">
        <v>96</v>
      </c>
      <c r="C9634" t="s">
        <v>659</v>
      </c>
      <c r="D9634" t="s">
        <v>31305</v>
      </c>
      <c r="E9634">
        <v>424004</v>
      </c>
      <c r="F9634" t="s">
        <v>1</v>
      </c>
      <c r="G9634" t="s">
        <v>2</v>
      </c>
      <c r="H9634" t="s">
        <v>3266</v>
      </c>
      <c r="Y9634" t="s">
        <v>16843</v>
      </c>
    </row>
    <row r="9635" spans="1:25" x14ac:dyDescent="0.25">
      <c r="A9635" t="str">
        <f>"115652954491"</f>
        <v>115652954491</v>
      </c>
      <c r="B9635" t="s">
        <v>1475</v>
      </c>
      <c r="C9635" t="s">
        <v>1476</v>
      </c>
      <c r="D9635" t="s">
        <v>37294</v>
      </c>
      <c r="E9635">
        <v>424006</v>
      </c>
      <c r="F9635" t="s">
        <v>1</v>
      </c>
      <c r="G9635" t="s">
        <v>2</v>
      </c>
      <c r="H9635" t="s">
        <v>3330</v>
      </c>
      <c r="P9635" t="s">
        <v>3333</v>
      </c>
      <c r="Y9635" t="s">
        <v>37295</v>
      </c>
    </row>
    <row r="9636" spans="1:25" x14ac:dyDescent="0.25">
      <c r="A9636" t="str">
        <f>"115656317052"</f>
        <v>115656317052</v>
      </c>
      <c r="B9636" t="s">
        <v>96</v>
      </c>
      <c r="C9636" t="s">
        <v>24441</v>
      </c>
      <c r="D9636" t="s">
        <v>21819</v>
      </c>
      <c r="E9636">
        <v>424033</v>
      </c>
      <c r="F9636" t="s">
        <v>1</v>
      </c>
      <c r="G9636" t="s">
        <v>2</v>
      </c>
      <c r="H9636" t="s">
        <v>2597</v>
      </c>
      <c r="I9636" t="s">
        <v>21820</v>
      </c>
      <c r="L9636" t="s">
        <v>21821</v>
      </c>
      <c r="M9636" t="s">
        <v>37296</v>
      </c>
      <c r="P9636" t="s">
        <v>2738</v>
      </c>
      <c r="Q9636" t="s">
        <v>21823</v>
      </c>
      <c r="V9636" t="s">
        <v>21824</v>
      </c>
      <c r="Y9636" t="s">
        <v>2718</v>
      </c>
    </row>
    <row r="9637" spans="1:25" x14ac:dyDescent="0.25">
      <c r="A9637" t="str">
        <f>"115688651926"</f>
        <v>115688651926</v>
      </c>
      <c r="B9637" t="s">
        <v>25</v>
      </c>
      <c r="C9637" t="s">
        <v>24938</v>
      </c>
      <c r="D9637" t="s">
        <v>37297</v>
      </c>
      <c r="E9637">
        <v>424038</v>
      </c>
      <c r="F9637" t="s">
        <v>1</v>
      </c>
      <c r="G9637" t="s">
        <v>2</v>
      </c>
      <c r="H9637" t="s">
        <v>30196</v>
      </c>
      <c r="Y9637" t="s">
        <v>37298</v>
      </c>
    </row>
    <row r="9638" spans="1:25" x14ac:dyDescent="0.25">
      <c r="A9638" t="str">
        <f>"115714033080"</f>
        <v>115714033080</v>
      </c>
      <c r="B9638" t="s">
        <v>930</v>
      </c>
      <c r="C9638" t="s">
        <v>1096</v>
      </c>
      <c r="D9638" t="s">
        <v>37299</v>
      </c>
      <c r="E9638">
        <v>424038</v>
      </c>
      <c r="F9638" t="s">
        <v>1</v>
      </c>
      <c r="G9638" t="s">
        <v>2</v>
      </c>
      <c r="H9638" t="s">
        <v>1366</v>
      </c>
      <c r="J9638" t="s">
        <v>37300</v>
      </c>
      <c r="M9638" t="s">
        <v>37301</v>
      </c>
      <c r="P9638" t="s">
        <v>1020</v>
      </c>
      <c r="Y9638" t="s">
        <v>37302</v>
      </c>
    </row>
    <row r="9639" spans="1:25" x14ac:dyDescent="0.25">
      <c r="A9639" t="str">
        <f>"115739968973"</f>
        <v>115739968973</v>
      </c>
      <c r="B9639" t="s">
        <v>738</v>
      </c>
      <c r="C9639" t="s">
        <v>37303</v>
      </c>
      <c r="D9639" t="s">
        <v>23015</v>
      </c>
      <c r="F9639" t="s">
        <v>1</v>
      </c>
      <c r="G9639" t="s">
        <v>2</v>
      </c>
      <c r="H9639" t="s">
        <v>12610</v>
      </c>
      <c r="P9639" t="s">
        <v>14807</v>
      </c>
      <c r="Y9639" t="s">
        <v>37304</v>
      </c>
    </row>
    <row r="9640" spans="1:25" x14ac:dyDescent="0.25">
      <c r="A9640" t="str">
        <f>"115769471150"</f>
        <v>115769471150</v>
      </c>
      <c r="B9640" t="s">
        <v>1352</v>
      </c>
      <c r="C9640" t="s">
        <v>1353</v>
      </c>
      <c r="D9640" t="s">
        <v>37305</v>
      </c>
      <c r="E9640">
        <v>424007</v>
      </c>
      <c r="F9640" t="s">
        <v>1</v>
      </c>
      <c r="G9640" t="s">
        <v>2</v>
      </c>
      <c r="H9640" t="s">
        <v>5281</v>
      </c>
      <c r="Y9640" t="s">
        <v>16121</v>
      </c>
    </row>
    <row r="9641" spans="1:25" x14ac:dyDescent="0.25">
      <c r="A9641" t="str">
        <f>"115775626793"</f>
        <v>115775626793</v>
      </c>
      <c r="B9641" t="s">
        <v>290</v>
      </c>
      <c r="C9641" t="s">
        <v>290</v>
      </c>
      <c r="D9641" t="s">
        <v>290</v>
      </c>
      <c r="E9641">
        <v>424006</v>
      </c>
      <c r="F9641" t="s">
        <v>1</v>
      </c>
      <c r="G9641" t="s">
        <v>2</v>
      </c>
      <c r="H9641" t="s">
        <v>2042</v>
      </c>
      <c r="Y9641" t="s">
        <v>37306</v>
      </c>
    </row>
    <row r="9642" spans="1:25" x14ac:dyDescent="0.25">
      <c r="A9642" t="str">
        <f>"115789295384"</f>
        <v>115789295384</v>
      </c>
      <c r="B9642" t="s">
        <v>7312</v>
      </c>
      <c r="C9642" t="s">
        <v>37311</v>
      </c>
      <c r="D9642" t="s">
        <v>37307</v>
      </c>
      <c r="E9642">
        <v>424006</v>
      </c>
      <c r="F9642" t="s">
        <v>1</v>
      </c>
      <c r="G9642" t="s">
        <v>2</v>
      </c>
      <c r="H9642" t="s">
        <v>24257</v>
      </c>
      <c r="J9642" t="s">
        <v>37308</v>
      </c>
      <c r="L9642" t="s">
        <v>37309</v>
      </c>
      <c r="M9642" t="s">
        <v>37310</v>
      </c>
      <c r="P9642" t="s">
        <v>37312</v>
      </c>
      <c r="Y9642" t="s">
        <v>24260</v>
      </c>
    </row>
    <row r="9643" spans="1:25" x14ac:dyDescent="0.25">
      <c r="A9643" t="str">
        <f>"115829070425"</f>
        <v>115829070425</v>
      </c>
      <c r="B9643" t="s">
        <v>3652</v>
      </c>
      <c r="C9643" t="s">
        <v>37317</v>
      </c>
      <c r="D9643" t="s">
        <v>37313</v>
      </c>
      <c r="E9643">
        <v>424005</v>
      </c>
      <c r="F9643" t="s">
        <v>1</v>
      </c>
      <c r="G9643" t="s">
        <v>2</v>
      </c>
      <c r="H9643" t="s">
        <v>13</v>
      </c>
      <c r="J9643" t="s">
        <v>37314</v>
      </c>
      <c r="L9643" t="s">
        <v>37315</v>
      </c>
      <c r="M9643" t="s">
        <v>37316</v>
      </c>
      <c r="Y9643" t="s">
        <v>32397</v>
      </c>
    </row>
    <row r="9644" spans="1:25" x14ac:dyDescent="0.25">
      <c r="A9644" t="str">
        <f>"115873580529"</f>
        <v>115873580529</v>
      </c>
      <c r="B9644" t="s">
        <v>574</v>
      </c>
      <c r="C9644" t="s">
        <v>6061</v>
      </c>
      <c r="D9644" t="s">
        <v>8759</v>
      </c>
      <c r="E9644">
        <v>424003</v>
      </c>
      <c r="F9644" t="s">
        <v>1</v>
      </c>
      <c r="G9644" t="s">
        <v>2</v>
      </c>
      <c r="H9644" t="s">
        <v>16749</v>
      </c>
      <c r="Y9644" t="s">
        <v>37318</v>
      </c>
    </row>
    <row r="9645" spans="1:25" x14ac:dyDescent="0.25">
      <c r="A9645" t="str">
        <f>"115874465411"</f>
        <v>115874465411</v>
      </c>
      <c r="B9645" t="s">
        <v>574</v>
      </c>
      <c r="C9645" t="s">
        <v>24952</v>
      </c>
      <c r="D9645" t="s">
        <v>24951</v>
      </c>
      <c r="F9645" t="s">
        <v>1</v>
      </c>
      <c r="G9645" t="s">
        <v>2</v>
      </c>
      <c r="H9645" t="s">
        <v>34114</v>
      </c>
      <c r="M9645" t="s">
        <v>37319</v>
      </c>
      <c r="Y9645" t="s">
        <v>37320</v>
      </c>
    </row>
    <row r="9646" spans="1:25" x14ac:dyDescent="0.25">
      <c r="A9646" t="str">
        <f>"115930356531"</f>
        <v>115930356531</v>
      </c>
      <c r="B9646" t="s">
        <v>1315</v>
      </c>
      <c r="C9646" t="s">
        <v>4274</v>
      </c>
      <c r="D9646" t="s">
        <v>37321</v>
      </c>
      <c r="E9646">
        <v>424007</v>
      </c>
      <c r="F9646" t="s">
        <v>1</v>
      </c>
      <c r="G9646" t="s">
        <v>2</v>
      </c>
      <c r="H9646" t="s">
        <v>4213</v>
      </c>
      <c r="Y9646" t="s">
        <v>37322</v>
      </c>
    </row>
    <row r="9647" spans="1:25" x14ac:dyDescent="0.25">
      <c r="A9647" t="str">
        <f>"115966068628"</f>
        <v>115966068628</v>
      </c>
      <c r="B9647" t="s">
        <v>18</v>
      </c>
      <c r="C9647" t="s">
        <v>4522</v>
      </c>
      <c r="D9647" t="s">
        <v>9548</v>
      </c>
      <c r="F9647" t="s">
        <v>1</v>
      </c>
      <c r="G9647" t="s">
        <v>2</v>
      </c>
      <c r="H9647" t="s">
        <v>37323</v>
      </c>
      <c r="L9647" t="s">
        <v>37324</v>
      </c>
      <c r="Y9647" t="s">
        <v>37325</v>
      </c>
    </row>
    <row r="9648" spans="1:25" x14ac:dyDescent="0.25">
      <c r="A9648" t="str">
        <f>"115978974238"</f>
        <v>115978974238</v>
      </c>
      <c r="B9648" t="s">
        <v>188</v>
      </c>
      <c r="C9648" t="s">
        <v>23982</v>
      </c>
      <c r="D9648" t="s">
        <v>23982</v>
      </c>
      <c r="E9648">
        <v>424033</v>
      </c>
      <c r="F9648" t="s">
        <v>1</v>
      </c>
      <c r="G9648" t="s">
        <v>2</v>
      </c>
      <c r="H9648" t="s">
        <v>12529</v>
      </c>
      <c r="Y9648" t="s">
        <v>37326</v>
      </c>
    </row>
    <row r="9649" spans="1:25" x14ac:dyDescent="0.25">
      <c r="A9649" t="str">
        <f>"116030555136"</f>
        <v>116030555136</v>
      </c>
      <c r="B9649" t="s">
        <v>530</v>
      </c>
      <c r="C9649" t="s">
        <v>10576</v>
      </c>
      <c r="D9649" t="s">
        <v>37327</v>
      </c>
      <c r="E9649">
        <v>424000</v>
      </c>
      <c r="F9649" t="s">
        <v>1</v>
      </c>
      <c r="G9649" t="s">
        <v>2</v>
      </c>
      <c r="H9649" t="s">
        <v>837</v>
      </c>
      <c r="I9649" t="s">
        <v>37328</v>
      </c>
      <c r="P9649" t="s">
        <v>280</v>
      </c>
      <c r="Y9649" t="s">
        <v>2964</v>
      </c>
    </row>
    <row r="9650" spans="1:25" x14ac:dyDescent="0.25">
      <c r="A9650" t="str">
        <f>"116060120916"</f>
        <v>116060120916</v>
      </c>
      <c r="B9650" t="s">
        <v>1573</v>
      </c>
      <c r="C9650" t="s">
        <v>1817</v>
      </c>
      <c r="D9650" t="s">
        <v>36582</v>
      </c>
      <c r="E9650">
        <v>424002</v>
      </c>
      <c r="F9650" t="s">
        <v>1</v>
      </c>
      <c r="G9650" t="s">
        <v>2</v>
      </c>
      <c r="H9650" t="s">
        <v>11581</v>
      </c>
      <c r="Y9650" t="s">
        <v>37329</v>
      </c>
    </row>
    <row r="9651" spans="1:25" x14ac:dyDescent="0.25">
      <c r="A9651" t="str">
        <f>"116061955593"</f>
        <v>116061955593</v>
      </c>
      <c r="B9651" t="s">
        <v>176</v>
      </c>
      <c r="C9651" t="s">
        <v>2838</v>
      </c>
      <c r="D9651" t="s">
        <v>31839</v>
      </c>
      <c r="E9651">
        <v>424019</v>
      </c>
      <c r="F9651" t="s">
        <v>1</v>
      </c>
      <c r="G9651" t="s">
        <v>2</v>
      </c>
      <c r="H9651" t="s">
        <v>7785</v>
      </c>
      <c r="J9651" t="s">
        <v>37330</v>
      </c>
      <c r="P9651" t="s">
        <v>98</v>
      </c>
      <c r="Y9651" t="s">
        <v>37331</v>
      </c>
    </row>
    <row r="9652" spans="1:25" x14ac:dyDescent="0.25">
      <c r="A9652" t="str">
        <f>"116069094326"</f>
        <v>116069094326</v>
      </c>
      <c r="B9652" t="s">
        <v>328</v>
      </c>
      <c r="C9652" t="s">
        <v>1920</v>
      </c>
      <c r="D9652" t="s">
        <v>21367</v>
      </c>
      <c r="E9652">
        <v>424003</v>
      </c>
      <c r="F9652" t="s">
        <v>1</v>
      </c>
      <c r="G9652" t="s">
        <v>2</v>
      </c>
      <c r="H9652" t="s">
        <v>6759</v>
      </c>
      <c r="Y9652" t="s">
        <v>37332</v>
      </c>
    </row>
    <row r="9653" spans="1:25" x14ac:dyDescent="0.25">
      <c r="A9653" t="str">
        <f>"116071188318"</f>
        <v>116071188318</v>
      </c>
      <c r="B9653" t="s">
        <v>32</v>
      </c>
      <c r="C9653" t="s">
        <v>15493</v>
      </c>
      <c r="D9653" t="s">
        <v>37333</v>
      </c>
      <c r="E9653">
        <v>424002</v>
      </c>
      <c r="F9653" t="s">
        <v>1</v>
      </c>
      <c r="G9653" t="s">
        <v>2</v>
      </c>
      <c r="H9653" t="s">
        <v>6656</v>
      </c>
      <c r="I9653" t="s">
        <v>37334</v>
      </c>
      <c r="P9653" t="s">
        <v>2315</v>
      </c>
      <c r="V9653" t="s">
        <v>37335</v>
      </c>
      <c r="Y9653" t="s">
        <v>11652</v>
      </c>
    </row>
    <row r="9654" spans="1:25" x14ac:dyDescent="0.25">
      <c r="A9654" t="str">
        <f>"116095748478"</f>
        <v>116095748478</v>
      </c>
      <c r="B9654" t="s">
        <v>18</v>
      </c>
      <c r="C9654" t="s">
        <v>143</v>
      </c>
      <c r="D9654" t="s">
        <v>27480</v>
      </c>
      <c r="E9654">
        <v>424003</v>
      </c>
      <c r="F9654" t="s">
        <v>1</v>
      </c>
      <c r="G9654" t="s">
        <v>2</v>
      </c>
      <c r="H9654" t="s">
        <v>22543</v>
      </c>
      <c r="I9654" t="s">
        <v>37336</v>
      </c>
      <c r="L9654" t="s">
        <v>37337</v>
      </c>
      <c r="M9654" t="s">
        <v>25241</v>
      </c>
      <c r="P9654" t="s">
        <v>2050</v>
      </c>
      <c r="Y9654" t="s">
        <v>28118</v>
      </c>
    </row>
    <row r="9655" spans="1:25" x14ac:dyDescent="0.25">
      <c r="A9655" t="str">
        <f>"116117328924"</f>
        <v>116117328924</v>
      </c>
      <c r="B9655" t="s">
        <v>3544</v>
      </c>
      <c r="C9655" t="s">
        <v>11303</v>
      </c>
      <c r="D9655" t="s">
        <v>37338</v>
      </c>
      <c r="E9655">
        <v>424000</v>
      </c>
      <c r="F9655" t="s">
        <v>1</v>
      </c>
      <c r="G9655" t="s">
        <v>2</v>
      </c>
      <c r="H9655" t="s">
        <v>14610</v>
      </c>
      <c r="Y9655" t="s">
        <v>37339</v>
      </c>
    </row>
    <row r="9656" spans="1:25" x14ac:dyDescent="0.25">
      <c r="A9656" t="str">
        <f>"116137235518"</f>
        <v>116137235518</v>
      </c>
      <c r="B9656" t="s">
        <v>574</v>
      </c>
      <c r="C9656" t="s">
        <v>646</v>
      </c>
      <c r="D9656" t="s">
        <v>14041</v>
      </c>
      <c r="F9656" t="s">
        <v>1</v>
      </c>
      <c r="G9656" t="s">
        <v>2</v>
      </c>
      <c r="H9656" t="s">
        <v>37340</v>
      </c>
      <c r="P9656" t="s">
        <v>330</v>
      </c>
      <c r="Y9656" t="s">
        <v>37341</v>
      </c>
    </row>
    <row r="9657" spans="1:25" x14ac:dyDescent="0.25">
      <c r="A9657" t="str">
        <f>"116196542233"</f>
        <v>116196542233</v>
      </c>
      <c r="B9657" t="s">
        <v>176</v>
      </c>
      <c r="C9657" t="s">
        <v>566</v>
      </c>
      <c r="D9657" t="s">
        <v>37342</v>
      </c>
      <c r="E9657">
        <v>424003</v>
      </c>
      <c r="F9657" t="s">
        <v>1</v>
      </c>
      <c r="G9657" t="s">
        <v>2</v>
      </c>
      <c r="H9657" t="s">
        <v>27658</v>
      </c>
      <c r="I9657" t="s">
        <v>37343</v>
      </c>
      <c r="J9657" t="s">
        <v>37344</v>
      </c>
      <c r="L9657" t="s">
        <v>37345</v>
      </c>
      <c r="M9657" t="s">
        <v>37346</v>
      </c>
      <c r="P9657" t="s">
        <v>330</v>
      </c>
      <c r="Y9657" t="s">
        <v>37347</v>
      </c>
    </row>
    <row r="9658" spans="1:25" x14ac:dyDescent="0.25">
      <c r="A9658" t="str">
        <f>"116211085489"</f>
        <v>116211085489</v>
      </c>
      <c r="B9658" t="s">
        <v>430</v>
      </c>
      <c r="C9658" t="s">
        <v>37354</v>
      </c>
      <c r="D9658" t="s">
        <v>37348</v>
      </c>
      <c r="F9658" t="s">
        <v>1</v>
      </c>
      <c r="G9658" t="s">
        <v>2</v>
      </c>
      <c r="H9658" t="s">
        <v>37349</v>
      </c>
      <c r="I9658" t="s">
        <v>37350</v>
      </c>
      <c r="J9658" t="s">
        <v>37351</v>
      </c>
      <c r="L9658" t="s">
        <v>37352</v>
      </c>
      <c r="M9658" t="s">
        <v>37353</v>
      </c>
      <c r="P9658" t="s">
        <v>60</v>
      </c>
      <c r="Y9658" t="s">
        <v>37355</v>
      </c>
    </row>
    <row r="9659" spans="1:25" x14ac:dyDescent="0.25">
      <c r="A9659" t="str">
        <f>"116252230223"</f>
        <v>116252230223</v>
      </c>
      <c r="B9659" t="s">
        <v>18</v>
      </c>
      <c r="C9659" t="s">
        <v>37360</v>
      </c>
      <c r="D9659" t="s">
        <v>37356</v>
      </c>
      <c r="E9659">
        <v>424016</v>
      </c>
      <c r="F9659" t="s">
        <v>1</v>
      </c>
      <c r="G9659" t="s">
        <v>2</v>
      </c>
      <c r="H9659" t="s">
        <v>5202</v>
      </c>
      <c r="I9659" t="s">
        <v>37357</v>
      </c>
      <c r="L9659" t="s">
        <v>37358</v>
      </c>
      <c r="M9659" t="s">
        <v>37359</v>
      </c>
      <c r="P9659" t="s">
        <v>280</v>
      </c>
      <c r="Y9659" t="s">
        <v>5210</v>
      </c>
    </row>
    <row r="9660" spans="1:25" x14ac:dyDescent="0.25">
      <c r="A9660" t="str">
        <f>"116276817787"</f>
        <v>116276817787</v>
      </c>
      <c r="B9660" t="s">
        <v>640</v>
      </c>
      <c r="C9660" t="s">
        <v>663</v>
      </c>
      <c r="D9660" t="s">
        <v>37361</v>
      </c>
      <c r="E9660">
        <v>424003</v>
      </c>
      <c r="F9660" t="s">
        <v>1</v>
      </c>
      <c r="G9660" t="s">
        <v>2</v>
      </c>
      <c r="H9660" t="s">
        <v>1725</v>
      </c>
      <c r="Y9660" t="s">
        <v>3296</v>
      </c>
    </row>
    <row r="9661" spans="1:25" x14ac:dyDescent="0.25">
      <c r="A9661" t="str">
        <f>"116288388747"</f>
        <v>116288388747</v>
      </c>
      <c r="B9661" t="s">
        <v>738</v>
      </c>
      <c r="C9661" t="s">
        <v>739</v>
      </c>
      <c r="D9661" t="s">
        <v>37362</v>
      </c>
      <c r="F9661" t="s">
        <v>1</v>
      </c>
      <c r="G9661" t="s">
        <v>2</v>
      </c>
      <c r="H9661" t="s">
        <v>8989</v>
      </c>
      <c r="I9661" t="s">
        <v>37363</v>
      </c>
      <c r="P9661" t="s">
        <v>410</v>
      </c>
      <c r="Y9661" t="s">
        <v>37364</v>
      </c>
    </row>
    <row r="9662" spans="1:25" x14ac:dyDescent="0.25">
      <c r="A9662" t="str">
        <f>"116334468891"</f>
        <v>116334468891</v>
      </c>
      <c r="B9662" t="s">
        <v>32</v>
      </c>
      <c r="C9662" t="s">
        <v>182</v>
      </c>
      <c r="D9662" t="s">
        <v>37365</v>
      </c>
      <c r="F9662" t="s">
        <v>1</v>
      </c>
      <c r="G9662" t="s">
        <v>2</v>
      </c>
      <c r="H9662" t="s">
        <v>37366</v>
      </c>
      <c r="J9662" t="s">
        <v>37367</v>
      </c>
      <c r="P9662" t="s">
        <v>4831</v>
      </c>
      <c r="Y9662" t="s">
        <v>32183</v>
      </c>
    </row>
    <row r="9663" spans="1:25" x14ac:dyDescent="0.25">
      <c r="A9663" t="str">
        <f>"116367798481"</f>
        <v>116367798481</v>
      </c>
      <c r="B9663" t="s">
        <v>1343</v>
      </c>
      <c r="C9663" t="s">
        <v>13544</v>
      </c>
      <c r="D9663" t="s">
        <v>37368</v>
      </c>
      <c r="E9663">
        <v>424918</v>
      </c>
      <c r="F9663" t="s">
        <v>1</v>
      </c>
      <c r="G9663" t="s">
        <v>2</v>
      </c>
      <c r="H9663" t="s">
        <v>629</v>
      </c>
      <c r="P9663" t="s">
        <v>630</v>
      </c>
      <c r="Y9663" t="s">
        <v>1744</v>
      </c>
    </row>
    <row r="9664" spans="1:25" x14ac:dyDescent="0.25">
      <c r="A9664" t="str">
        <f>"116379485428"</f>
        <v>116379485428</v>
      </c>
      <c r="B9664" t="s">
        <v>284</v>
      </c>
      <c r="C9664" t="s">
        <v>27632</v>
      </c>
      <c r="D9664" t="s">
        <v>37369</v>
      </c>
      <c r="F9664" t="s">
        <v>1</v>
      </c>
      <c r="G9664" t="s">
        <v>2</v>
      </c>
      <c r="H9664" t="s">
        <v>7547</v>
      </c>
      <c r="Y9664" t="s">
        <v>37370</v>
      </c>
    </row>
    <row r="9665" spans="1:25" x14ac:dyDescent="0.25">
      <c r="A9665" t="str">
        <f>"116425389876"</f>
        <v>116425389876</v>
      </c>
      <c r="B9665" t="s">
        <v>32</v>
      </c>
      <c r="C9665" t="s">
        <v>37373</v>
      </c>
      <c r="D9665" t="s">
        <v>37371</v>
      </c>
      <c r="F9665" t="s">
        <v>1</v>
      </c>
      <c r="G9665" t="s">
        <v>2</v>
      </c>
      <c r="H9665" t="s">
        <v>26431</v>
      </c>
      <c r="J9665" t="s">
        <v>37372</v>
      </c>
      <c r="P9665" t="s">
        <v>14515</v>
      </c>
      <c r="Q9665" t="s">
        <v>37374</v>
      </c>
      <c r="Y9665" t="s">
        <v>37375</v>
      </c>
    </row>
    <row r="9666" spans="1:25" x14ac:dyDescent="0.25">
      <c r="A9666" t="str">
        <f>"116426588205"</f>
        <v>116426588205</v>
      </c>
      <c r="B9666" t="s">
        <v>32</v>
      </c>
      <c r="C9666" t="s">
        <v>37378</v>
      </c>
      <c r="D9666" t="s">
        <v>37376</v>
      </c>
      <c r="F9666" t="s">
        <v>1</v>
      </c>
      <c r="G9666" t="s">
        <v>2</v>
      </c>
      <c r="H9666" t="s">
        <v>35931</v>
      </c>
      <c r="J9666" t="s">
        <v>37377</v>
      </c>
      <c r="P9666" t="s">
        <v>37379</v>
      </c>
      <c r="Q9666" t="s">
        <v>37380</v>
      </c>
      <c r="V9666" t="s">
        <v>37381</v>
      </c>
      <c r="Y9666" t="s">
        <v>37382</v>
      </c>
    </row>
    <row r="9667" spans="1:25" x14ac:dyDescent="0.25">
      <c r="A9667" t="str">
        <f>"116485790036"</f>
        <v>116485790036</v>
      </c>
      <c r="B9667" t="s">
        <v>1053</v>
      </c>
      <c r="C9667" t="s">
        <v>1927</v>
      </c>
      <c r="D9667" t="s">
        <v>37383</v>
      </c>
      <c r="E9667">
        <v>424002</v>
      </c>
      <c r="F9667" t="s">
        <v>1</v>
      </c>
      <c r="G9667" t="s">
        <v>2</v>
      </c>
      <c r="H9667" t="s">
        <v>6656</v>
      </c>
      <c r="P9667" t="s">
        <v>1160</v>
      </c>
      <c r="Y9667" t="s">
        <v>37384</v>
      </c>
    </row>
    <row r="9668" spans="1:25" x14ac:dyDescent="0.25">
      <c r="A9668" t="str">
        <f>"116487134910"</f>
        <v>116487134910</v>
      </c>
      <c r="B9668" t="s">
        <v>319</v>
      </c>
      <c r="C9668" t="s">
        <v>7198</v>
      </c>
      <c r="D9668" t="s">
        <v>37385</v>
      </c>
      <c r="E9668">
        <v>424016</v>
      </c>
      <c r="F9668" t="s">
        <v>1</v>
      </c>
      <c r="G9668" t="s">
        <v>2</v>
      </c>
      <c r="H9668" t="s">
        <v>37386</v>
      </c>
      <c r="I9668" t="s">
        <v>36640</v>
      </c>
      <c r="P9668" t="s">
        <v>9</v>
      </c>
      <c r="Y9668" t="s">
        <v>37387</v>
      </c>
    </row>
    <row r="9669" spans="1:25" x14ac:dyDescent="0.25">
      <c r="A9669" t="str">
        <f>"116523842134"</f>
        <v>116523842134</v>
      </c>
      <c r="B9669" t="s">
        <v>224</v>
      </c>
      <c r="C9669" t="s">
        <v>15639</v>
      </c>
      <c r="D9669" t="s">
        <v>37388</v>
      </c>
      <c r="E9669">
        <v>424006</v>
      </c>
      <c r="F9669" t="s">
        <v>1</v>
      </c>
      <c r="G9669" t="s">
        <v>2</v>
      </c>
      <c r="H9669" t="s">
        <v>36646</v>
      </c>
      <c r="I9669" t="s">
        <v>37389</v>
      </c>
      <c r="L9669" t="s">
        <v>23849</v>
      </c>
      <c r="M9669" t="s">
        <v>37390</v>
      </c>
      <c r="P9669" t="s">
        <v>216</v>
      </c>
      <c r="Y9669" t="s">
        <v>36652</v>
      </c>
    </row>
    <row r="9670" spans="1:25" x14ac:dyDescent="0.25">
      <c r="A9670" t="str">
        <f>"116611696601"</f>
        <v>116611696601</v>
      </c>
      <c r="B9670" t="s">
        <v>284</v>
      </c>
      <c r="C9670" t="s">
        <v>27632</v>
      </c>
      <c r="D9670" t="s">
        <v>37391</v>
      </c>
      <c r="F9670" t="s">
        <v>1</v>
      </c>
      <c r="G9670" t="s">
        <v>2</v>
      </c>
      <c r="H9670" t="s">
        <v>7547</v>
      </c>
      <c r="Y9670" t="s">
        <v>37392</v>
      </c>
    </row>
    <row r="9671" spans="1:25" x14ac:dyDescent="0.25">
      <c r="A9671" t="str">
        <f>"116629107059"</f>
        <v>116629107059</v>
      </c>
      <c r="B9671" t="s">
        <v>469</v>
      </c>
      <c r="C9671" t="s">
        <v>24886</v>
      </c>
      <c r="D9671" t="s">
        <v>37393</v>
      </c>
      <c r="E9671">
        <v>424000</v>
      </c>
      <c r="F9671" t="s">
        <v>1</v>
      </c>
      <c r="G9671" t="s">
        <v>2</v>
      </c>
      <c r="H9671" t="s">
        <v>4427</v>
      </c>
      <c r="I9671" t="s">
        <v>37394</v>
      </c>
      <c r="L9671" t="s">
        <v>4294</v>
      </c>
      <c r="M9671" t="s">
        <v>37395</v>
      </c>
      <c r="P9671" t="s">
        <v>37396</v>
      </c>
      <c r="Y9671" t="s">
        <v>4431</v>
      </c>
    </row>
    <row r="9672" spans="1:25" x14ac:dyDescent="0.25">
      <c r="A9672" t="str">
        <f>"116685120886"</f>
        <v>116685120886</v>
      </c>
      <c r="B9672" t="s">
        <v>1053</v>
      </c>
      <c r="C9672" t="s">
        <v>1927</v>
      </c>
      <c r="D9672" t="s">
        <v>37397</v>
      </c>
      <c r="E9672">
        <v>424008</v>
      </c>
      <c r="F9672" t="s">
        <v>1</v>
      </c>
      <c r="G9672" t="s">
        <v>2</v>
      </c>
      <c r="H9672" t="s">
        <v>26431</v>
      </c>
      <c r="L9672" t="s">
        <v>9116</v>
      </c>
      <c r="M9672" t="s">
        <v>37398</v>
      </c>
      <c r="Y9672" t="s">
        <v>37399</v>
      </c>
    </row>
    <row r="9673" spans="1:25" x14ac:dyDescent="0.25">
      <c r="A9673" t="str">
        <f>"116721375607"</f>
        <v>116721375607</v>
      </c>
      <c r="B9673" t="s">
        <v>32</v>
      </c>
      <c r="C9673" t="s">
        <v>40</v>
      </c>
      <c r="D9673" t="s">
        <v>37400</v>
      </c>
      <c r="E9673">
        <v>424028</v>
      </c>
      <c r="F9673" t="s">
        <v>1</v>
      </c>
      <c r="G9673" t="s">
        <v>2</v>
      </c>
      <c r="H9673" t="s">
        <v>2388</v>
      </c>
      <c r="J9673" t="s">
        <v>37401</v>
      </c>
      <c r="Y9673" t="s">
        <v>37402</v>
      </c>
    </row>
    <row r="9674" spans="1:25" x14ac:dyDescent="0.25">
      <c r="A9674" t="str">
        <f>"116723467344"</f>
        <v>116723467344</v>
      </c>
      <c r="B9674" t="s">
        <v>32</v>
      </c>
      <c r="C9674" t="s">
        <v>20137</v>
      </c>
      <c r="D9674" t="s">
        <v>37403</v>
      </c>
      <c r="E9674">
        <v>424002</v>
      </c>
      <c r="F9674" t="s">
        <v>1</v>
      </c>
      <c r="G9674" t="s">
        <v>2</v>
      </c>
      <c r="H9674" t="s">
        <v>57</v>
      </c>
      <c r="I9674" t="s">
        <v>37404</v>
      </c>
      <c r="P9674" t="s">
        <v>980</v>
      </c>
      <c r="Q9674" t="s">
        <v>37405</v>
      </c>
      <c r="Y9674" t="s">
        <v>37406</v>
      </c>
    </row>
    <row r="9675" spans="1:25" x14ac:dyDescent="0.25">
      <c r="A9675" t="str">
        <f>"116734218880"</f>
        <v>116734218880</v>
      </c>
      <c r="B9675" t="s">
        <v>18</v>
      </c>
      <c r="C9675" t="s">
        <v>37409</v>
      </c>
      <c r="D9675" t="s">
        <v>37407</v>
      </c>
      <c r="E9675">
        <v>424006</v>
      </c>
      <c r="F9675" t="s">
        <v>1</v>
      </c>
      <c r="G9675" t="s">
        <v>2</v>
      </c>
      <c r="H9675" t="s">
        <v>37408</v>
      </c>
      <c r="Y9675" t="s">
        <v>37410</v>
      </c>
    </row>
    <row r="9676" spans="1:25" x14ac:dyDescent="0.25">
      <c r="A9676" t="str">
        <f>"116744508051"</f>
        <v>116744508051</v>
      </c>
      <c r="B9676" t="s">
        <v>7312</v>
      </c>
      <c r="C9676" t="s">
        <v>19097</v>
      </c>
      <c r="D9676" t="s">
        <v>37411</v>
      </c>
      <c r="E9676">
        <v>424028</v>
      </c>
      <c r="F9676" t="s">
        <v>1</v>
      </c>
      <c r="G9676" t="s">
        <v>2</v>
      </c>
      <c r="H9676" t="s">
        <v>24503</v>
      </c>
      <c r="Y9676" t="s">
        <v>37412</v>
      </c>
    </row>
    <row r="9677" spans="1:25" x14ac:dyDescent="0.25">
      <c r="A9677" t="str">
        <f>"116753213380"</f>
        <v>116753213380</v>
      </c>
      <c r="B9677" t="s">
        <v>574</v>
      </c>
      <c r="C9677" t="s">
        <v>646</v>
      </c>
      <c r="D9677" t="s">
        <v>4221</v>
      </c>
      <c r="E9677">
        <v>424020</v>
      </c>
      <c r="F9677" t="s">
        <v>1</v>
      </c>
      <c r="G9677" t="s">
        <v>2</v>
      </c>
      <c r="H9677" t="s">
        <v>36368</v>
      </c>
      <c r="P9677" t="s">
        <v>4006</v>
      </c>
      <c r="Y9677" t="s">
        <v>37413</v>
      </c>
    </row>
    <row r="9678" spans="1:25" x14ac:dyDescent="0.25">
      <c r="A9678" t="str">
        <f>"116766605653"</f>
        <v>116766605653</v>
      </c>
      <c r="B9678" t="s">
        <v>12698</v>
      </c>
      <c r="C9678" t="s">
        <v>12699</v>
      </c>
      <c r="D9678" t="s">
        <v>37414</v>
      </c>
      <c r="E9678">
        <v>424038</v>
      </c>
      <c r="F9678" t="s">
        <v>1</v>
      </c>
      <c r="G9678" t="s">
        <v>2</v>
      </c>
      <c r="H9678" t="s">
        <v>2741</v>
      </c>
      <c r="P9678" t="s">
        <v>7980</v>
      </c>
      <c r="Y9678" t="s">
        <v>37415</v>
      </c>
    </row>
    <row r="9679" spans="1:25" x14ac:dyDescent="0.25">
      <c r="A9679" t="str">
        <f>"116813497149"</f>
        <v>116813497149</v>
      </c>
      <c r="B9679" t="s">
        <v>1544</v>
      </c>
      <c r="C9679" t="s">
        <v>24552</v>
      </c>
      <c r="D9679" t="s">
        <v>37416</v>
      </c>
      <c r="E9679">
        <v>424031</v>
      </c>
      <c r="F9679" t="s">
        <v>1</v>
      </c>
      <c r="G9679" t="s">
        <v>2</v>
      </c>
      <c r="H9679" t="s">
        <v>239</v>
      </c>
      <c r="P9679" t="s">
        <v>27857</v>
      </c>
      <c r="V9679" t="s">
        <v>37417</v>
      </c>
      <c r="Y9679" t="s">
        <v>37418</v>
      </c>
    </row>
    <row r="9680" spans="1:25" x14ac:dyDescent="0.25">
      <c r="A9680" t="str">
        <f>"116855424558"</f>
        <v>116855424558</v>
      </c>
      <c r="B9680" t="s">
        <v>1152</v>
      </c>
      <c r="C9680" t="s">
        <v>2222</v>
      </c>
      <c r="D9680" t="s">
        <v>4535</v>
      </c>
      <c r="E9680">
        <v>424033</v>
      </c>
      <c r="F9680" t="s">
        <v>1</v>
      </c>
      <c r="G9680" t="s">
        <v>2</v>
      </c>
      <c r="H9680" t="s">
        <v>2597</v>
      </c>
      <c r="P9680" t="s">
        <v>1760</v>
      </c>
      <c r="Q9680" t="s">
        <v>37419</v>
      </c>
      <c r="Y9680" t="s">
        <v>2718</v>
      </c>
    </row>
    <row r="9681" spans="1:25" x14ac:dyDescent="0.25">
      <c r="A9681" t="str">
        <f>"116857194793"</f>
        <v>116857194793</v>
      </c>
      <c r="B9681" t="s">
        <v>482</v>
      </c>
      <c r="C9681" t="s">
        <v>37424</v>
      </c>
      <c r="D9681" t="s">
        <v>37420</v>
      </c>
      <c r="E9681">
        <v>424004</v>
      </c>
      <c r="F9681" t="s">
        <v>1</v>
      </c>
      <c r="G9681" t="s">
        <v>2</v>
      </c>
      <c r="H9681" t="s">
        <v>13630</v>
      </c>
      <c r="I9681" t="s">
        <v>37421</v>
      </c>
      <c r="K9681" t="s">
        <v>37422</v>
      </c>
      <c r="L9681" t="s">
        <v>37423</v>
      </c>
      <c r="P9681" t="s">
        <v>27</v>
      </c>
      <c r="Q9681" t="s">
        <v>37425</v>
      </c>
      <c r="Y9681" t="s">
        <v>37426</v>
      </c>
    </row>
    <row r="9682" spans="1:25" x14ac:dyDescent="0.25">
      <c r="A9682" t="str">
        <f>"116862297210"</f>
        <v>116862297210</v>
      </c>
      <c r="B9682" t="s">
        <v>530</v>
      </c>
      <c r="C9682" t="s">
        <v>23950</v>
      </c>
      <c r="D9682" t="s">
        <v>23950</v>
      </c>
      <c r="F9682" t="s">
        <v>1</v>
      </c>
      <c r="G9682" t="s">
        <v>2</v>
      </c>
      <c r="H9682" t="s">
        <v>32502</v>
      </c>
      <c r="Y9682" t="s">
        <v>37427</v>
      </c>
    </row>
    <row r="9683" spans="1:25" x14ac:dyDescent="0.25">
      <c r="A9683" t="str">
        <f>"116869386483"</f>
        <v>116869386483</v>
      </c>
      <c r="B9683" t="s">
        <v>348</v>
      </c>
      <c r="C9683" t="s">
        <v>12108</v>
      </c>
      <c r="D9683" t="s">
        <v>23240</v>
      </c>
      <c r="F9683" t="s">
        <v>1</v>
      </c>
      <c r="G9683" t="s">
        <v>2</v>
      </c>
      <c r="H9683" t="s">
        <v>138</v>
      </c>
      <c r="I9683" t="s">
        <v>23241</v>
      </c>
      <c r="L9683" t="s">
        <v>23242</v>
      </c>
      <c r="M9683" t="s">
        <v>23243</v>
      </c>
      <c r="P9683" t="s">
        <v>144</v>
      </c>
      <c r="Y9683" t="s">
        <v>146</v>
      </c>
    </row>
    <row r="9684" spans="1:25" x14ac:dyDescent="0.25">
      <c r="A9684" t="str">
        <f>"116902626668"</f>
        <v>116902626668</v>
      </c>
      <c r="B9684" t="s">
        <v>16429</v>
      </c>
      <c r="C9684" t="s">
        <v>16430</v>
      </c>
      <c r="D9684" t="s">
        <v>37428</v>
      </c>
      <c r="E9684">
        <v>424000</v>
      </c>
      <c r="F9684" t="s">
        <v>1</v>
      </c>
      <c r="G9684" t="s">
        <v>2</v>
      </c>
      <c r="H9684" t="s">
        <v>1531</v>
      </c>
      <c r="Y9684" t="s">
        <v>1707</v>
      </c>
    </row>
    <row r="9685" spans="1:25" x14ac:dyDescent="0.25">
      <c r="A9685" t="str">
        <f>"116926803948"</f>
        <v>116926803948</v>
      </c>
      <c r="B9685" t="s">
        <v>24124</v>
      </c>
      <c r="C9685" t="s">
        <v>24125</v>
      </c>
      <c r="D9685" t="s">
        <v>21574</v>
      </c>
      <c r="E9685">
        <v>424008</v>
      </c>
      <c r="F9685" t="s">
        <v>1</v>
      </c>
      <c r="G9685" t="s">
        <v>2</v>
      </c>
      <c r="H9685" t="s">
        <v>1383</v>
      </c>
      <c r="J9685" t="s">
        <v>37429</v>
      </c>
      <c r="Q9685" t="s">
        <v>37430</v>
      </c>
      <c r="Y9685" t="s">
        <v>1387</v>
      </c>
    </row>
    <row r="9686" spans="1:25" x14ac:dyDescent="0.25">
      <c r="A9686" t="str">
        <f>"116933880519"</f>
        <v>116933880519</v>
      </c>
      <c r="B9686" t="s">
        <v>1152</v>
      </c>
      <c r="C9686" t="s">
        <v>1152</v>
      </c>
      <c r="D9686" t="s">
        <v>37431</v>
      </c>
      <c r="E9686">
        <v>424000</v>
      </c>
      <c r="F9686" t="s">
        <v>1</v>
      </c>
      <c r="G9686" t="s">
        <v>2</v>
      </c>
      <c r="H9686" t="s">
        <v>1531</v>
      </c>
      <c r="Y9686" t="s">
        <v>37432</v>
      </c>
    </row>
    <row r="9687" spans="1:25" x14ac:dyDescent="0.25">
      <c r="A9687" t="str">
        <f>"116975172198"</f>
        <v>116975172198</v>
      </c>
      <c r="B9687" t="s">
        <v>18</v>
      </c>
      <c r="C9687" t="s">
        <v>13796</v>
      </c>
      <c r="D9687" t="s">
        <v>37433</v>
      </c>
      <c r="E9687">
        <v>424031</v>
      </c>
      <c r="F9687" t="s">
        <v>1</v>
      </c>
      <c r="G9687" t="s">
        <v>2</v>
      </c>
      <c r="H9687" t="s">
        <v>239</v>
      </c>
      <c r="I9687" t="s">
        <v>37434</v>
      </c>
      <c r="P9687" t="s">
        <v>799</v>
      </c>
      <c r="Y9687" t="s">
        <v>246</v>
      </c>
    </row>
    <row r="9688" spans="1:25" x14ac:dyDescent="0.25">
      <c r="A9688" t="str">
        <f>"117000036729"</f>
        <v>117000036729</v>
      </c>
      <c r="B9688" t="s">
        <v>3652</v>
      </c>
      <c r="C9688" t="s">
        <v>37439</v>
      </c>
      <c r="D9688" t="s">
        <v>37435</v>
      </c>
      <c r="F9688" t="s">
        <v>1</v>
      </c>
      <c r="G9688" t="s">
        <v>2</v>
      </c>
      <c r="H9688" t="s">
        <v>1508</v>
      </c>
      <c r="J9688" t="s">
        <v>37436</v>
      </c>
      <c r="L9688" t="s">
        <v>37437</v>
      </c>
      <c r="M9688" t="s">
        <v>37438</v>
      </c>
      <c r="P9688" t="s">
        <v>696</v>
      </c>
      <c r="Q9688" t="s">
        <v>37440</v>
      </c>
      <c r="Y9688" t="s">
        <v>37441</v>
      </c>
    </row>
    <row r="9689" spans="1:25" x14ac:dyDescent="0.25">
      <c r="A9689" t="str">
        <f>"117087637226"</f>
        <v>117087637226</v>
      </c>
      <c r="B9689" t="s">
        <v>519</v>
      </c>
      <c r="C9689" t="s">
        <v>37444</v>
      </c>
      <c r="D9689" t="s">
        <v>37442</v>
      </c>
      <c r="E9689">
        <v>424036</v>
      </c>
      <c r="F9689" t="s">
        <v>1</v>
      </c>
      <c r="G9689" t="s">
        <v>2</v>
      </c>
      <c r="H9689" t="s">
        <v>24169</v>
      </c>
      <c r="J9689" t="s">
        <v>37443</v>
      </c>
      <c r="P9689" t="s">
        <v>13898</v>
      </c>
      <c r="V9689" t="s">
        <v>37445</v>
      </c>
      <c r="Y9689" t="s">
        <v>37446</v>
      </c>
    </row>
    <row r="9690" spans="1:25" x14ac:dyDescent="0.25">
      <c r="A9690" t="str">
        <f>"117093607109"</f>
        <v>117093607109</v>
      </c>
      <c r="B9690" t="s">
        <v>18</v>
      </c>
      <c r="C9690" t="s">
        <v>4522</v>
      </c>
      <c r="D9690" t="s">
        <v>4522</v>
      </c>
      <c r="E9690">
        <v>424031</v>
      </c>
      <c r="F9690" t="s">
        <v>1</v>
      </c>
      <c r="G9690" t="s">
        <v>2</v>
      </c>
      <c r="H9690" t="s">
        <v>16588</v>
      </c>
      <c r="P9690" t="s">
        <v>1120</v>
      </c>
      <c r="Y9690" t="s">
        <v>37447</v>
      </c>
    </row>
    <row r="9691" spans="1:25" x14ac:dyDescent="0.25">
      <c r="A9691" t="str">
        <f>"117106591737"</f>
        <v>117106591737</v>
      </c>
      <c r="B9691" t="s">
        <v>1046</v>
      </c>
      <c r="C9691" t="s">
        <v>22946</v>
      </c>
      <c r="D9691" t="s">
        <v>22946</v>
      </c>
      <c r="E9691">
        <v>424028</v>
      </c>
      <c r="F9691" t="s">
        <v>1</v>
      </c>
      <c r="G9691" t="s">
        <v>2</v>
      </c>
      <c r="H9691" t="s">
        <v>37448</v>
      </c>
      <c r="Y9691" t="s">
        <v>37449</v>
      </c>
    </row>
    <row r="9692" spans="1:25" x14ac:dyDescent="0.25">
      <c r="A9692" t="str">
        <f>"117162660103"</f>
        <v>117162660103</v>
      </c>
      <c r="B9692" t="s">
        <v>25</v>
      </c>
      <c r="C9692" t="s">
        <v>20320</v>
      </c>
      <c r="D9692" t="s">
        <v>37450</v>
      </c>
      <c r="F9692" t="s">
        <v>1</v>
      </c>
      <c r="G9692" t="s">
        <v>2</v>
      </c>
      <c r="H9692" t="s">
        <v>37451</v>
      </c>
      <c r="Y9692" t="s">
        <v>37452</v>
      </c>
    </row>
    <row r="9693" spans="1:25" x14ac:dyDescent="0.25">
      <c r="A9693" t="str">
        <f>"117193282826"</f>
        <v>117193282826</v>
      </c>
      <c r="B9693" t="s">
        <v>462</v>
      </c>
      <c r="C9693" t="s">
        <v>13123</v>
      </c>
      <c r="D9693" t="s">
        <v>37453</v>
      </c>
      <c r="E9693">
        <v>424001</v>
      </c>
      <c r="F9693" t="s">
        <v>1</v>
      </c>
      <c r="G9693" t="s">
        <v>2</v>
      </c>
      <c r="H9693" t="s">
        <v>919</v>
      </c>
      <c r="I9693" t="s">
        <v>37454</v>
      </c>
      <c r="P9693" t="s">
        <v>20</v>
      </c>
      <c r="Y9693" t="s">
        <v>1750</v>
      </c>
    </row>
    <row r="9694" spans="1:25" x14ac:dyDescent="0.25">
      <c r="A9694" t="str">
        <f>"117215783025"</f>
        <v>117215783025</v>
      </c>
      <c r="B9694" t="s">
        <v>738</v>
      </c>
      <c r="C9694" t="s">
        <v>13603</v>
      </c>
      <c r="D9694" t="s">
        <v>37455</v>
      </c>
      <c r="E9694">
        <v>424037</v>
      </c>
      <c r="F9694" t="s">
        <v>1</v>
      </c>
      <c r="G9694" t="s">
        <v>2</v>
      </c>
      <c r="H9694" t="s">
        <v>3765</v>
      </c>
      <c r="T9694" t="s">
        <v>37456</v>
      </c>
      <c r="Y9694" t="s">
        <v>37457</v>
      </c>
    </row>
    <row r="9695" spans="1:25" x14ac:dyDescent="0.25">
      <c r="A9695" t="str">
        <f>"117263000030"</f>
        <v>117263000030</v>
      </c>
      <c r="B9695" t="s">
        <v>224</v>
      </c>
      <c r="C9695" t="s">
        <v>3240</v>
      </c>
      <c r="D9695" t="s">
        <v>37458</v>
      </c>
      <c r="E9695">
        <v>424007</v>
      </c>
      <c r="F9695" t="s">
        <v>1</v>
      </c>
      <c r="G9695" t="s">
        <v>2</v>
      </c>
      <c r="H9695" t="s">
        <v>1085</v>
      </c>
      <c r="I9695" t="s">
        <v>37459</v>
      </c>
      <c r="L9695" t="s">
        <v>2127</v>
      </c>
      <c r="M9695" t="s">
        <v>37460</v>
      </c>
      <c r="P9695" t="s">
        <v>5575</v>
      </c>
      <c r="Y9695" t="s">
        <v>1412</v>
      </c>
    </row>
    <row r="9696" spans="1:25" x14ac:dyDescent="0.25">
      <c r="A9696" t="str">
        <f>"117268527336"</f>
        <v>117268527336</v>
      </c>
      <c r="B9696" t="s">
        <v>348</v>
      </c>
      <c r="C9696" t="s">
        <v>8460</v>
      </c>
      <c r="D9696" t="s">
        <v>37461</v>
      </c>
      <c r="F9696" t="s">
        <v>1</v>
      </c>
      <c r="G9696" t="s">
        <v>2</v>
      </c>
      <c r="H9696" t="s">
        <v>138</v>
      </c>
      <c r="I9696" t="s">
        <v>37462</v>
      </c>
      <c r="P9696" t="s">
        <v>144</v>
      </c>
      <c r="Y9696" t="s">
        <v>146</v>
      </c>
    </row>
    <row r="9697" spans="1:25" x14ac:dyDescent="0.25">
      <c r="A9697" t="str">
        <f>"117327482884"</f>
        <v>117327482884</v>
      </c>
      <c r="B9697" t="s">
        <v>188</v>
      </c>
      <c r="C9697" t="s">
        <v>37466</v>
      </c>
      <c r="D9697" t="s">
        <v>37463</v>
      </c>
      <c r="E9697">
        <v>424002</v>
      </c>
      <c r="F9697" t="s">
        <v>1</v>
      </c>
      <c r="G9697" t="s">
        <v>2</v>
      </c>
      <c r="H9697" t="s">
        <v>570</v>
      </c>
      <c r="J9697" t="s">
        <v>37464</v>
      </c>
      <c r="M9697" t="s">
        <v>37465</v>
      </c>
      <c r="P9697" t="s">
        <v>133</v>
      </c>
      <c r="Y9697" t="s">
        <v>18782</v>
      </c>
    </row>
    <row r="9698" spans="1:25" x14ac:dyDescent="0.25">
      <c r="A9698" t="str">
        <f>"117442182255"</f>
        <v>117442182255</v>
      </c>
      <c r="B9698" t="s">
        <v>2818</v>
      </c>
      <c r="C9698" t="s">
        <v>6466</v>
      </c>
      <c r="D9698" t="s">
        <v>37467</v>
      </c>
      <c r="E9698">
        <v>424004</v>
      </c>
      <c r="F9698" t="s">
        <v>1</v>
      </c>
      <c r="G9698" t="s">
        <v>2</v>
      </c>
      <c r="H9698" t="s">
        <v>186</v>
      </c>
      <c r="I9698" t="s">
        <v>37468</v>
      </c>
      <c r="J9698" t="s">
        <v>37469</v>
      </c>
      <c r="M9698" t="s">
        <v>37470</v>
      </c>
      <c r="P9698" t="s">
        <v>37471</v>
      </c>
      <c r="Y9698" t="s">
        <v>190</v>
      </c>
    </row>
    <row r="9699" spans="1:25" x14ac:dyDescent="0.25">
      <c r="A9699" t="str">
        <f>"117442442557"</f>
        <v>117442442557</v>
      </c>
      <c r="B9699" t="s">
        <v>930</v>
      </c>
      <c r="C9699" t="s">
        <v>13865</v>
      </c>
      <c r="D9699" t="s">
        <v>1094</v>
      </c>
      <c r="E9699">
        <v>424037</v>
      </c>
      <c r="F9699" t="s">
        <v>1</v>
      </c>
      <c r="G9699" t="s">
        <v>2</v>
      </c>
      <c r="H9699" t="s">
        <v>37472</v>
      </c>
      <c r="Y9699" t="s">
        <v>37473</v>
      </c>
    </row>
    <row r="9700" spans="1:25" x14ac:dyDescent="0.25">
      <c r="A9700" t="str">
        <f>"117475475362"</f>
        <v>117475475362</v>
      </c>
      <c r="B9700" t="s">
        <v>1617</v>
      </c>
      <c r="C9700" t="s">
        <v>21001</v>
      </c>
      <c r="D9700" t="s">
        <v>20999</v>
      </c>
      <c r="E9700">
        <v>424031</v>
      </c>
      <c r="F9700" t="s">
        <v>1</v>
      </c>
      <c r="G9700" t="s">
        <v>2</v>
      </c>
      <c r="H9700" t="s">
        <v>37474</v>
      </c>
      <c r="P9700" t="s">
        <v>37475</v>
      </c>
      <c r="Y9700" t="s">
        <v>30045</v>
      </c>
    </row>
    <row r="9701" spans="1:25" x14ac:dyDescent="0.25">
      <c r="A9701" t="str">
        <f>"117536108660"</f>
        <v>117536108660</v>
      </c>
      <c r="B9701" t="s">
        <v>1152</v>
      </c>
      <c r="C9701" t="s">
        <v>1385</v>
      </c>
      <c r="D9701" t="s">
        <v>1385</v>
      </c>
      <c r="E9701">
        <v>424038</v>
      </c>
      <c r="F9701" t="s">
        <v>1</v>
      </c>
      <c r="G9701" t="s">
        <v>2</v>
      </c>
      <c r="H9701" t="s">
        <v>16024</v>
      </c>
      <c r="J9701" t="s">
        <v>37476</v>
      </c>
      <c r="P9701" t="s">
        <v>1420</v>
      </c>
      <c r="Y9701" t="s">
        <v>37477</v>
      </c>
    </row>
    <row r="9702" spans="1:25" x14ac:dyDescent="0.25">
      <c r="A9702" t="str">
        <f>"117585285517"</f>
        <v>117585285517</v>
      </c>
      <c r="B9702" t="s">
        <v>530</v>
      </c>
      <c r="C9702" t="s">
        <v>23950</v>
      </c>
      <c r="D9702" t="s">
        <v>23950</v>
      </c>
      <c r="F9702" t="s">
        <v>1</v>
      </c>
      <c r="G9702" t="s">
        <v>2</v>
      </c>
      <c r="H9702" t="s">
        <v>37478</v>
      </c>
      <c r="Y9702" t="s">
        <v>37479</v>
      </c>
    </row>
    <row r="9703" spans="1:25" x14ac:dyDescent="0.25">
      <c r="A9703" t="str">
        <f>"117591420871"</f>
        <v>117591420871</v>
      </c>
      <c r="B9703" t="s">
        <v>1573</v>
      </c>
      <c r="C9703" t="s">
        <v>37482</v>
      </c>
      <c r="D9703" t="s">
        <v>37480</v>
      </c>
      <c r="E9703">
        <v>424003</v>
      </c>
      <c r="F9703" t="s">
        <v>1</v>
      </c>
      <c r="G9703" t="s">
        <v>2</v>
      </c>
      <c r="H9703" t="s">
        <v>4546</v>
      </c>
      <c r="I9703" t="s">
        <v>25807</v>
      </c>
      <c r="J9703" t="s">
        <v>37481</v>
      </c>
      <c r="P9703" t="s">
        <v>2050</v>
      </c>
      <c r="Q9703" t="s">
        <v>37483</v>
      </c>
      <c r="Y9703" t="s">
        <v>37484</v>
      </c>
    </row>
    <row r="9704" spans="1:25" x14ac:dyDescent="0.25">
      <c r="A9704" t="str">
        <f>"117596475194"</f>
        <v>117596475194</v>
      </c>
      <c r="B9704" t="s">
        <v>1315</v>
      </c>
      <c r="C9704" t="s">
        <v>4274</v>
      </c>
      <c r="D9704" t="s">
        <v>13452</v>
      </c>
      <c r="F9704" t="s">
        <v>1</v>
      </c>
      <c r="G9704" t="s">
        <v>2</v>
      </c>
      <c r="H9704" t="s">
        <v>7547</v>
      </c>
      <c r="Y9704" t="s">
        <v>37485</v>
      </c>
    </row>
    <row r="9705" spans="1:25" x14ac:dyDescent="0.25">
      <c r="A9705" t="str">
        <f>"117609550098"</f>
        <v>117609550098</v>
      </c>
      <c r="B9705" t="s">
        <v>841</v>
      </c>
      <c r="C9705" t="s">
        <v>11986</v>
      </c>
      <c r="D9705" t="s">
        <v>37486</v>
      </c>
      <c r="E9705">
        <v>424006</v>
      </c>
      <c r="F9705" t="s">
        <v>1</v>
      </c>
      <c r="G9705" t="s">
        <v>2</v>
      </c>
      <c r="H9705" t="s">
        <v>2525</v>
      </c>
      <c r="Y9705" t="s">
        <v>2527</v>
      </c>
    </row>
    <row r="9706" spans="1:25" x14ac:dyDescent="0.25">
      <c r="A9706" t="str">
        <f>"117644285718"</f>
        <v>117644285718</v>
      </c>
      <c r="B9706" t="s">
        <v>290</v>
      </c>
      <c r="C9706" t="s">
        <v>290</v>
      </c>
      <c r="D9706" t="s">
        <v>24306</v>
      </c>
      <c r="E9706">
        <v>424006</v>
      </c>
      <c r="F9706" t="s">
        <v>1</v>
      </c>
      <c r="G9706" t="s">
        <v>2</v>
      </c>
      <c r="H9706" t="s">
        <v>9355</v>
      </c>
      <c r="Y9706" t="s">
        <v>37487</v>
      </c>
    </row>
    <row r="9707" spans="1:25" x14ac:dyDescent="0.25">
      <c r="A9707" t="str">
        <f>"117670243648"</f>
        <v>117670243648</v>
      </c>
      <c r="B9707" t="s">
        <v>2104</v>
      </c>
      <c r="C9707" t="s">
        <v>13387</v>
      </c>
      <c r="D9707" t="s">
        <v>30242</v>
      </c>
      <c r="E9707">
        <v>424006</v>
      </c>
      <c r="F9707" t="s">
        <v>1</v>
      </c>
      <c r="G9707" t="s">
        <v>2</v>
      </c>
      <c r="H9707" t="s">
        <v>34168</v>
      </c>
      <c r="Y9707" t="s">
        <v>37488</v>
      </c>
    </row>
    <row r="9708" spans="1:25" x14ac:dyDescent="0.25">
      <c r="A9708" t="str">
        <f>"117677491224"</f>
        <v>117677491224</v>
      </c>
      <c r="B9708" t="s">
        <v>430</v>
      </c>
      <c r="C9708" t="s">
        <v>612</v>
      </c>
      <c r="D9708" t="s">
        <v>29416</v>
      </c>
      <c r="E9708">
        <v>424007</v>
      </c>
      <c r="F9708" t="s">
        <v>1</v>
      </c>
      <c r="G9708" t="s">
        <v>2</v>
      </c>
      <c r="H9708" t="s">
        <v>23983</v>
      </c>
      <c r="I9708" t="s">
        <v>22990</v>
      </c>
      <c r="Q9708" t="s">
        <v>22992</v>
      </c>
      <c r="Y9708" t="s">
        <v>37489</v>
      </c>
    </row>
    <row r="9709" spans="1:25" x14ac:dyDescent="0.25">
      <c r="A9709" t="str">
        <f>"117689581500"</f>
        <v>117689581500</v>
      </c>
      <c r="B9709" t="s">
        <v>1611</v>
      </c>
      <c r="C9709" t="s">
        <v>6872</v>
      </c>
      <c r="D9709" t="s">
        <v>37490</v>
      </c>
      <c r="E9709">
        <v>424006</v>
      </c>
      <c r="F9709" t="s">
        <v>1</v>
      </c>
      <c r="G9709" t="s">
        <v>2</v>
      </c>
      <c r="H9709" t="s">
        <v>23605</v>
      </c>
      <c r="I9709" t="s">
        <v>37491</v>
      </c>
      <c r="M9709" t="s">
        <v>37492</v>
      </c>
      <c r="P9709" t="s">
        <v>4765</v>
      </c>
      <c r="Y9709" t="s">
        <v>23608</v>
      </c>
    </row>
    <row r="9710" spans="1:25" x14ac:dyDescent="0.25">
      <c r="A9710" t="str">
        <f>"117709248111"</f>
        <v>117709248111</v>
      </c>
      <c r="B9710" t="s">
        <v>67</v>
      </c>
      <c r="C9710" t="s">
        <v>832</v>
      </c>
      <c r="D9710" t="s">
        <v>5698</v>
      </c>
      <c r="F9710" t="s">
        <v>1</v>
      </c>
      <c r="G9710" t="s">
        <v>2</v>
      </c>
      <c r="H9710" t="s">
        <v>2628</v>
      </c>
      <c r="I9710" t="s">
        <v>37493</v>
      </c>
      <c r="L9710" t="s">
        <v>5701</v>
      </c>
      <c r="M9710" t="s">
        <v>32315</v>
      </c>
      <c r="P9710" t="s">
        <v>37494</v>
      </c>
      <c r="Q9710" t="s">
        <v>5704</v>
      </c>
      <c r="R9710" t="s">
        <v>5705</v>
      </c>
      <c r="T9710" t="s">
        <v>37495</v>
      </c>
      <c r="U9710" t="s">
        <v>5707</v>
      </c>
      <c r="V9710" t="s">
        <v>5708</v>
      </c>
      <c r="Y9710" t="s">
        <v>12552</v>
      </c>
    </row>
    <row r="9711" spans="1:25" x14ac:dyDescent="0.25">
      <c r="A9711" t="str">
        <f>"117712821499"</f>
        <v>117712821499</v>
      </c>
      <c r="B9711" t="s">
        <v>574</v>
      </c>
      <c r="C9711" t="s">
        <v>14269</v>
      </c>
      <c r="D9711" t="s">
        <v>37496</v>
      </c>
      <c r="E9711">
        <v>424003</v>
      </c>
      <c r="F9711" t="s">
        <v>1</v>
      </c>
      <c r="G9711" t="s">
        <v>2</v>
      </c>
      <c r="H9711" t="s">
        <v>16749</v>
      </c>
      <c r="P9711" t="s">
        <v>37497</v>
      </c>
      <c r="Y9711" t="s">
        <v>37498</v>
      </c>
    </row>
    <row r="9712" spans="1:25" x14ac:dyDescent="0.25">
      <c r="A9712" t="str">
        <f>"117744898519"</f>
        <v>117744898519</v>
      </c>
      <c r="B9712" t="s">
        <v>1046</v>
      </c>
      <c r="C9712" t="s">
        <v>22946</v>
      </c>
      <c r="D9712" t="s">
        <v>37499</v>
      </c>
      <c r="F9712" t="s">
        <v>1</v>
      </c>
      <c r="G9712" t="s">
        <v>2</v>
      </c>
      <c r="H9712" t="s">
        <v>37500</v>
      </c>
      <c r="Y9712" t="s">
        <v>37501</v>
      </c>
    </row>
    <row r="9713" spans="1:25" x14ac:dyDescent="0.25">
      <c r="A9713" t="str">
        <f>"117773667511"</f>
        <v>117773667511</v>
      </c>
      <c r="B9713" t="s">
        <v>300</v>
      </c>
      <c r="C9713" t="s">
        <v>8910</v>
      </c>
      <c r="D9713" t="s">
        <v>37502</v>
      </c>
      <c r="E9713">
        <v>424008</v>
      </c>
      <c r="F9713" t="s">
        <v>1</v>
      </c>
      <c r="G9713" t="s">
        <v>2</v>
      </c>
      <c r="H9713" t="s">
        <v>37503</v>
      </c>
      <c r="I9713" t="s">
        <v>37504</v>
      </c>
      <c r="L9713" t="s">
        <v>26433</v>
      </c>
      <c r="M9713" t="s">
        <v>37505</v>
      </c>
      <c r="P9713" t="s">
        <v>330</v>
      </c>
      <c r="Q9713" t="s">
        <v>37506</v>
      </c>
      <c r="T9713" t="s">
        <v>37507</v>
      </c>
      <c r="Y9713" t="s">
        <v>37508</v>
      </c>
    </row>
    <row r="9714" spans="1:25" x14ac:dyDescent="0.25">
      <c r="A9714" t="str">
        <f>"117781107187"</f>
        <v>117781107187</v>
      </c>
      <c r="B9714" t="s">
        <v>6609</v>
      </c>
      <c r="C9714" t="s">
        <v>37512</v>
      </c>
      <c r="D9714" t="s">
        <v>37509</v>
      </c>
      <c r="E9714">
        <v>424016</v>
      </c>
      <c r="F9714" t="s">
        <v>1</v>
      </c>
      <c r="G9714" t="s">
        <v>2</v>
      </c>
      <c r="H9714" t="s">
        <v>37510</v>
      </c>
      <c r="J9714" t="s">
        <v>37511</v>
      </c>
      <c r="P9714" t="s">
        <v>5580</v>
      </c>
      <c r="Y9714" t="s">
        <v>37513</v>
      </c>
    </row>
    <row r="9715" spans="1:25" x14ac:dyDescent="0.25">
      <c r="A9715" t="str">
        <f>"117788748801"</f>
        <v>117788748801</v>
      </c>
      <c r="B9715" t="s">
        <v>430</v>
      </c>
      <c r="C9715" t="s">
        <v>37516</v>
      </c>
      <c r="D9715" t="s">
        <v>37514</v>
      </c>
      <c r="E9715">
        <v>424020</v>
      </c>
      <c r="F9715" t="s">
        <v>1</v>
      </c>
      <c r="G9715" t="s">
        <v>2</v>
      </c>
      <c r="H9715" t="s">
        <v>8643</v>
      </c>
      <c r="J9715" t="s">
        <v>37515</v>
      </c>
      <c r="P9715" t="s">
        <v>37517</v>
      </c>
      <c r="V9715" t="s">
        <v>37518</v>
      </c>
      <c r="Y9715" t="s">
        <v>37519</v>
      </c>
    </row>
    <row r="9716" spans="1:25" x14ac:dyDescent="0.25">
      <c r="A9716" t="str">
        <f>"117903555498"</f>
        <v>117903555498</v>
      </c>
      <c r="B9716" t="s">
        <v>25</v>
      </c>
      <c r="C9716" t="s">
        <v>32030</v>
      </c>
      <c r="D9716" t="s">
        <v>32028</v>
      </c>
      <c r="E9716">
        <v>424000</v>
      </c>
      <c r="F9716" t="s">
        <v>1</v>
      </c>
      <c r="G9716" t="s">
        <v>2</v>
      </c>
      <c r="H9716" t="s">
        <v>3570</v>
      </c>
      <c r="I9716" t="s">
        <v>32029</v>
      </c>
      <c r="Y9716" t="s">
        <v>6301</v>
      </c>
    </row>
    <row r="9717" spans="1:25" x14ac:dyDescent="0.25">
      <c r="A9717" t="str">
        <f>"117939243971"</f>
        <v>117939243971</v>
      </c>
      <c r="B9717" t="s">
        <v>482</v>
      </c>
      <c r="C9717" t="s">
        <v>483</v>
      </c>
      <c r="D9717" t="s">
        <v>37520</v>
      </c>
      <c r="E9717">
        <v>424000</v>
      </c>
      <c r="F9717" t="s">
        <v>1</v>
      </c>
      <c r="G9717" t="s">
        <v>2</v>
      </c>
      <c r="H9717" t="s">
        <v>7452</v>
      </c>
      <c r="I9717" t="s">
        <v>37521</v>
      </c>
      <c r="L9717" t="s">
        <v>3153</v>
      </c>
      <c r="Q9717" t="s">
        <v>37522</v>
      </c>
      <c r="Y9717" t="s">
        <v>37523</v>
      </c>
    </row>
    <row r="9718" spans="1:25" x14ac:dyDescent="0.25">
      <c r="A9718" t="str">
        <f>"117962925844"</f>
        <v>117962925844</v>
      </c>
      <c r="B9718" t="s">
        <v>530</v>
      </c>
      <c r="C9718" t="s">
        <v>23950</v>
      </c>
      <c r="D9718" t="s">
        <v>23950</v>
      </c>
      <c r="F9718" t="s">
        <v>1</v>
      </c>
      <c r="G9718" t="s">
        <v>2</v>
      </c>
      <c r="H9718" t="s">
        <v>27308</v>
      </c>
      <c r="Y9718" t="s">
        <v>37524</v>
      </c>
    </row>
    <row r="9719" spans="1:25" x14ac:dyDescent="0.25">
      <c r="A9719" t="str">
        <f>"117979372281"</f>
        <v>117979372281</v>
      </c>
      <c r="B9719" t="s">
        <v>32</v>
      </c>
      <c r="C9719" t="s">
        <v>5809</v>
      </c>
      <c r="D9719" t="s">
        <v>40</v>
      </c>
      <c r="E9719">
        <v>424003</v>
      </c>
      <c r="F9719" t="s">
        <v>1</v>
      </c>
      <c r="G9719" t="s">
        <v>2</v>
      </c>
      <c r="H9719" t="s">
        <v>16749</v>
      </c>
      <c r="I9719" t="s">
        <v>37525</v>
      </c>
      <c r="P9719" t="s">
        <v>3333</v>
      </c>
      <c r="Y9719" t="s">
        <v>37526</v>
      </c>
    </row>
    <row r="9720" spans="1:25" x14ac:dyDescent="0.25">
      <c r="A9720" t="str">
        <f>"118009943420"</f>
        <v>118009943420</v>
      </c>
      <c r="B9720" t="s">
        <v>290</v>
      </c>
      <c r="C9720" t="s">
        <v>5937</v>
      </c>
      <c r="D9720" t="s">
        <v>37527</v>
      </c>
      <c r="E9720">
        <v>424000</v>
      </c>
      <c r="F9720" t="s">
        <v>1</v>
      </c>
      <c r="G9720" t="s">
        <v>2</v>
      </c>
      <c r="H9720" t="s">
        <v>37528</v>
      </c>
      <c r="I9720" t="s">
        <v>37529</v>
      </c>
      <c r="M9720" t="s">
        <v>37530</v>
      </c>
      <c r="P9720" t="s">
        <v>21363</v>
      </c>
      <c r="Q9720" t="s">
        <v>37531</v>
      </c>
      <c r="V9720" t="s">
        <v>37532</v>
      </c>
      <c r="Y9720" t="s">
        <v>37533</v>
      </c>
    </row>
    <row r="9721" spans="1:25" x14ac:dyDescent="0.25">
      <c r="A9721" t="str">
        <f>"118012373498"</f>
        <v>118012373498</v>
      </c>
      <c r="B9721" t="s">
        <v>530</v>
      </c>
      <c r="C9721" t="s">
        <v>23950</v>
      </c>
      <c r="D9721" t="s">
        <v>23950</v>
      </c>
      <c r="F9721" t="s">
        <v>1</v>
      </c>
      <c r="G9721" t="s">
        <v>2</v>
      </c>
      <c r="H9721" t="s">
        <v>37142</v>
      </c>
      <c r="Y9721" t="s">
        <v>37534</v>
      </c>
    </row>
    <row r="9722" spans="1:25" x14ac:dyDescent="0.25">
      <c r="A9722" t="str">
        <f>"118026039307"</f>
        <v>118026039307</v>
      </c>
      <c r="B9722" t="s">
        <v>151</v>
      </c>
      <c r="C9722" t="s">
        <v>151</v>
      </c>
      <c r="D9722" t="s">
        <v>37535</v>
      </c>
      <c r="E9722">
        <v>424037</v>
      </c>
      <c r="F9722" t="s">
        <v>1</v>
      </c>
      <c r="G9722" t="s">
        <v>2</v>
      </c>
      <c r="H9722" t="s">
        <v>2781</v>
      </c>
      <c r="I9722" t="s">
        <v>37536</v>
      </c>
      <c r="P9722" t="s">
        <v>869</v>
      </c>
      <c r="Y9722" t="s">
        <v>5868</v>
      </c>
    </row>
    <row r="9723" spans="1:25" x14ac:dyDescent="0.25">
      <c r="A9723" t="str">
        <f>"118058112391"</f>
        <v>118058112391</v>
      </c>
      <c r="B9723" t="s">
        <v>574</v>
      </c>
      <c r="C9723" t="s">
        <v>646</v>
      </c>
      <c r="D9723" t="s">
        <v>37537</v>
      </c>
      <c r="E9723">
        <v>424019</v>
      </c>
      <c r="F9723" t="s">
        <v>1</v>
      </c>
      <c r="G9723" t="s">
        <v>2</v>
      </c>
      <c r="H9723" t="s">
        <v>37538</v>
      </c>
      <c r="Y9723" t="s">
        <v>37539</v>
      </c>
    </row>
    <row r="9724" spans="1:25" x14ac:dyDescent="0.25">
      <c r="A9724" t="str">
        <f>"118066987068"</f>
        <v>118066987068</v>
      </c>
      <c r="B9724" t="s">
        <v>1061</v>
      </c>
      <c r="C9724" t="s">
        <v>26953</v>
      </c>
      <c r="D9724" t="s">
        <v>37540</v>
      </c>
      <c r="F9724" t="s">
        <v>1</v>
      </c>
      <c r="G9724" t="s">
        <v>2</v>
      </c>
      <c r="H9724" t="s">
        <v>37541</v>
      </c>
      <c r="Y9724" t="s">
        <v>37542</v>
      </c>
    </row>
    <row r="9725" spans="1:25" x14ac:dyDescent="0.25">
      <c r="A9725" t="str">
        <f>"118119298046"</f>
        <v>118119298046</v>
      </c>
      <c r="B9725" t="s">
        <v>2104</v>
      </c>
      <c r="C9725" t="s">
        <v>13387</v>
      </c>
      <c r="D9725" t="s">
        <v>15417</v>
      </c>
      <c r="E9725">
        <v>424019</v>
      </c>
      <c r="F9725" t="s">
        <v>1</v>
      </c>
      <c r="G9725" t="s">
        <v>2</v>
      </c>
      <c r="H9725" t="s">
        <v>29596</v>
      </c>
      <c r="P9725" t="s">
        <v>2457</v>
      </c>
      <c r="Y9725" t="s">
        <v>37543</v>
      </c>
    </row>
    <row r="9726" spans="1:25" x14ac:dyDescent="0.25">
      <c r="A9726" t="str">
        <f>"118123882218"</f>
        <v>118123882218</v>
      </c>
      <c r="B9726" t="s">
        <v>1391</v>
      </c>
      <c r="C9726" t="s">
        <v>23730</v>
      </c>
      <c r="D9726" t="s">
        <v>37544</v>
      </c>
      <c r="F9726" t="s">
        <v>1</v>
      </c>
      <c r="G9726" t="s">
        <v>2</v>
      </c>
      <c r="H9726" t="s">
        <v>15700</v>
      </c>
      <c r="J9726" t="s">
        <v>37545</v>
      </c>
      <c r="L9726" t="s">
        <v>37546</v>
      </c>
      <c r="M9726" t="s">
        <v>37547</v>
      </c>
      <c r="P9726" t="s">
        <v>280</v>
      </c>
      <c r="Y9726" t="s">
        <v>18394</v>
      </c>
    </row>
    <row r="9727" spans="1:25" x14ac:dyDescent="0.25">
      <c r="A9727" t="str">
        <f>"118174508448"</f>
        <v>118174508448</v>
      </c>
      <c r="B9727" t="s">
        <v>738</v>
      </c>
      <c r="C9727" t="s">
        <v>35568</v>
      </c>
      <c r="D9727" t="s">
        <v>37548</v>
      </c>
      <c r="F9727" t="s">
        <v>1</v>
      </c>
      <c r="G9727" t="s">
        <v>2</v>
      </c>
      <c r="H9727" t="s">
        <v>714</v>
      </c>
      <c r="J9727" t="s">
        <v>37549</v>
      </c>
      <c r="L9727" t="s">
        <v>37550</v>
      </c>
      <c r="M9727" t="s">
        <v>37551</v>
      </c>
      <c r="P9727" t="s">
        <v>2580</v>
      </c>
      <c r="Q9727" t="s">
        <v>37552</v>
      </c>
      <c r="Y9727" t="s">
        <v>37553</v>
      </c>
    </row>
    <row r="9728" spans="1:25" x14ac:dyDescent="0.25">
      <c r="A9728" t="str">
        <f>"118180004993"</f>
        <v>118180004993</v>
      </c>
      <c r="B9728" t="s">
        <v>18</v>
      </c>
      <c r="C9728" t="s">
        <v>37557</v>
      </c>
      <c r="D9728" t="s">
        <v>37554</v>
      </c>
      <c r="E9728">
        <v>424006</v>
      </c>
      <c r="F9728" t="s">
        <v>1</v>
      </c>
      <c r="G9728" t="s">
        <v>2</v>
      </c>
      <c r="H9728" t="s">
        <v>4346</v>
      </c>
      <c r="J9728" t="s">
        <v>37555</v>
      </c>
      <c r="M9728" t="s">
        <v>37556</v>
      </c>
      <c r="P9728" t="s">
        <v>1420</v>
      </c>
      <c r="Q9728" t="s">
        <v>37558</v>
      </c>
      <c r="V9728" t="s">
        <v>37559</v>
      </c>
      <c r="Y9728" t="s">
        <v>26396</v>
      </c>
    </row>
    <row r="9729" spans="1:25" x14ac:dyDescent="0.25">
      <c r="A9729" t="str">
        <f>"118193214412"</f>
        <v>118193214412</v>
      </c>
      <c r="B9729" t="s">
        <v>1729</v>
      </c>
      <c r="C9729" t="s">
        <v>37562</v>
      </c>
      <c r="D9729" t="s">
        <v>37560</v>
      </c>
      <c r="E9729">
        <v>424002</v>
      </c>
      <c r="F9729" t="s">
        <v>1</v>
      </c>
      <c r="G9729" t="s">
        <v>2</v>
      </c>
      <c r="H9729" t="s">
        <v>21554</v>
      </c>
      <c r="I9729" t="s">
        <v>37561</v>
      </c>
      <c r="P9729" t="s">
        <v>37563</v>
      </c>
      <c r="Y9729" t="s">
        <v>37564</v>
      </c>
    </row>
    <row r="9730" spans="1:25" x14ac:dyDescent="0.25">
      <c r="A9730" t="str">
        <f>"118202110301"</f>
        <v>118202110301</v>
      </c>
      <c r="B9730" t="s">
        <v>18</v>
      </c>
      <c r="C9730" t="s">
        <v>37569</v>
      </c>
      <c r="D9730" t="s">
        <v>37565</v>
      </c>
      <c r="E9730">
        <v>424003</v>
      </c>
      <c r="F9730" t="s">
        <v>1</v>
      </c>
      <c r="G9730" t="s">
        <v>2</v>
      </c>
      <c r="H9730" t="s">
        <v>20364</v>
      </c>
      <c r="I9730" t="s">
        <v>37566</v>
      </c>
      <c r="J9730" t="s">
        <v>37567</v>
      </c>
      <c r="L9730" t="s">
        <v>37568</v>
      </c>
      <c r="Q9730" t="s">
        <v>37570</v>
      </c>
      <c r="Y9730" t="s">
        <v>20367</v>
      </c>
    </row>
    <row r="9731" spans="1:25" x14ac:dyDescent="0.25">
      <c r="A9731" t="str">
        <f>"118202715333"</f>
        <v>118202715333</v>
      </c>
      <c r="B9731" t="s">
        <v>1544</v>
      </c>
      <c r="C9731" t="s">
        <v>3596</v>
      </c>
      <c r="D9731" t="s">
        <v>37571</v>
      </c>
      <c r="E9731">
        <v>424003</v>
      </c>
      <c r="F9731" t="s">
        <v>1</v>
      </c>
      <c r="G9731" t="s">
        <v>2</v>
      </c>
      <c r="H9731" t="s">
        <v>775</v>
      </c>
      <c r="Y9731" t="s">
        <v>6686</v>
      </c>
    </row>
    <row r="9732" spans="1:25" x14ac:dyDescent="0.25">
      <c r="A9732" t="str">
        <f>"118250074799"</f>
        <v>118250074799</v>
      </c>
      <c r="B9732" t="s">
        <v>930</v>
      </c>
      <c r="C9732" t="s">
        <v>37575</v>
      </c>
      <c r="D9732" t="s">
        <v>23698</v>
      </c>
      <c r="E9732">
        <v>424037</v>
      </c>
      <c r="F9732" t="s">
        <v>1</v>
      </c>
      <c r="G9732" t="s">
        <v>2</v>
      </c>
      <c r="H9732" t="s">
        <v>1116</v>
      </c>
      <c r="J9732" t="s">
        <v>37572</v>
      </c>
      <c r="L9732" t="s">
        <v>37573</v>
      </c>
      <c r="M9732" t="s">
        <v>37574</v>
      </c>
      <c r="P9732" t="s">
        <v>2738</v>
      </c>
      <c r="Q9732" t="s">
        <v>37576</v>
      </c>
      <c r="V9732" t="s">
        <v>37577</v>
      </c>
      <c r="Y9732" t="s">
        <v>37578</v>
      </c>
    </row>
    <row r="9733" spans="1:25" x14ac:dyDescent="0.25">
      <c r="A9733" t="str">
        <f>"118262998481"</f>
        <v>118262998481</v>
      </c>
      <c r="B9733" t="s">
        <v>32</v>
      </c>
      <c r="C9733" t="s">
        <v>182</v>
      </c>
      <c r="D9733" t="s">
        <v>37579</v>
      </c>
      <c r="E9733">
        <v>424019</v>
      </c>
      <c r="F9733" t="s">
        <v>1</v>
      </c>
      <c r="G9733" t="s">
        <v>2</v>
      </c>
      <c r="H9733" t="s">
        <v>23956</v>
      </c>
      <c r="J9733" t="s">
        <v>37580</v>
      </c>
      <c r="P9733" t="s">
        <v>2738</v>
      </c>
      <c r="Y9733" t="s">
        <v>34864</v>
      </c>
    </row>
    <row r="9734" spans="1:25" x14ac:dyDescent="0.25">
      <c r="A9734" t="str">
        <f>"118334623059"</f>
        <v>118334623059</v>
      </c>
      <c r="B9734" t="s">
        <v>1152</v>
      </c>
      <c r="C9734" t="s">
        <v>1385</v>
      </c>
      <c r="D9734" t="s">
        <v>1385</v>
      </c>
      <c r="E9734">
        <v>424038</v>
      </c>
      <c r="F9734" t="s">
        <v>1</v>
      </c>
      <c r="G9734" t="s">
        <v>2</v>
      </c>
      <c r="H9734" t="s">
        <v>7518</v>
      </c>
      <c r="Y9734" t="s">
        <v>37581</v>
      </c>
    </row>
    <row r="9735" spans="1:25" x14ac:dyDescent="0.25">
      <c r="A9735" t="str">
        <f>"118365036328"</f>
        <v>118365036328</v>
      </c>
      <c r="B9735" t="s">
        <v>1152</v>
      </c>
      <c r="C9735" t="s">
        <v>1153</v>
      </c>
      <c r="D9735" t="s">
        <v>24071</v>
      </c>
      <c r="E9735">
        <v>424006</v>
      </c>
      <c r="F9735" t="s">
        <v>1</v>
      </c>
      <c r="G9735" t="s">
        <v>2</v>
      </c>
      <c r="H9735" t="s">
        <v>1890</v>
      </c>
      <c r="P9735" t="s">
        <v>10285</v>
      </c>
      <c r="Y9735" t="s">
        <v>37582</v>
      </c>
    </row>
    <row r="9736" spans="1:25" x14ac:dyDescent="0.25">
      <c r="A9736" t="str">
        <f>"118365046173"</f>
        <v>118365046173</v>
      </c>
      <c r="B9736" t="s">
        <v>67</v>
      </c>
      <c r="C9736" t="s">
        <v>27252</v>
      </c>
      <c r="D9736" t="s">
        <v>1153</v>
      </c>
      <c r="E9736">
        <v>424037</v>
      </c>
      <c r="F9736" t="s">
        <v>1</v>
      </c>
      <c r="G9736" t="s">
        <v>2</v>
      </c>
      <c r="H9736" t="s">
        <v>30702</v>
      </c>
      <c r="Y9736" t="s">
        <v>37583</v>
      </c>
    </row>
    <row r="9737" spans="1:25" x14ac:dyDescent="0.25">
      <c r="A9737" t="str">
        <f>"118386219947"</f>
        <v>118386219947</v>
      </c>
      <c r="B9737" t="s">
        <v>574</v>
      </c>
      <c r="C9737" t="s">
        <v>646</v>
      </c>
      <c r="D9737" t="s">
        <v>37584</v>
      </c>
      <c r="E9737">
        <v>424032</v>
      </c>
      <c r="F9737" t="s">
        <v>1</v>
      </c>
      <c r="G9737" t="s">
        <v>2</v>
      </c>
      <c r="H9737" t="s">
        <v>37585</v>
      </c>
      <c r="P9737" t="s">
        <v>37586</v>
      </c>
      <c r="Y9737" t="s">
        <v>37587</v>
      </c>
    </row>
    <row r="9738" spans="1:25" x14ac:dyDescent="0.25">
      <c r="A9738" t="str">
        <f>"118388679772"</f>
        <v>118388679772</v>
      </c>
      <c r="B9738" t="s">
        <v>25</v>
      </c>
      <c r="C9738" t="s">
        <v>20320</v>
      </c>
      <c r="D9738" t="s">
        <v>37588</v>
      </c>
      <c r="E9738">
        <v>424020</v>
      </c>
      <c r="F9738" t="s">
        <v>1</v>
      </c>
      <c r="G9738" t="s">
        <v>2</v>
      </c>
      <c r="H9738" t="s">
        <v>35724</v>
      </c>
      <c r="Y9738" t="s">
        <v>37589</v>
      </c>
    </row>
    <row r="9739" spans="1:25" x14ac:dyDescent="0.25">
      <c r="A9739" t="str">
        <f>"118399313150"</f>
        <v>118399313150</v>
      </c>
      <c r="B9739" t="s">
        <v>2864</v>
      </c>
      <c r="C9739" t="s">
        <v>37591</v>
      </c>
      <c r="D9739" t="s">
        <v>37590</v>
      </c>
      <c r="E9739">
        <v>424039</v>
      </c>
      <c r="F9739" t="s">
        <v>1</v>
      </c>
      <c r="G9739" t="s">
        <v>2</v>
      </c>
      <c r="H9739" t="s">
        <v>2218</v>
      </c>
      <c r="Y9739" t="s">
        <v>37592</v>
      </c>
    </row>
    <row r="9740" spans="1:25" x14ac:dyDescent="0.25">
      <c r="A9740" t="str">
        <f>"118447333268"</f>
        <v>118447333268</v>
      </c>
      <c r="B9740" t="s">
        <v>2104</v>
      </c>
      <c r="C9740" t="s">
        <v>37597</v>
      </c>
      <c r="D9740" t="s">
        <v>37593</v>
      </c>
      <c r="E9740">
        <v>424002</v>
      </c>
      <c r="F9740" t="s">
        <v>1</v>
      </c>
      <c r="G9740" t="s">
        <v>2</v>
      </c>
      <c r="H9740" t="s">
        <v>4001</v>
      </c>
      <c r="I9740" t="s">
        <v>37594</v>
      </c>
      <c r="J9740" t="s">
        <v>37595</v>
      </c>
      <c r="M9740" t="s">
        <v>37596</v>
      </c>
      <c r="P9740" t="s">
        <v>37598</v>
      </c>
      <c r="Y9740" t="s">
        <v>25034</v>
      </c>
    </row>
    <row r="9741" spans="1:25" x14ac:dyDescent="0.25">
      <c r="A9741" t="str">
        <f>"118464370182"</f>
        <v>118464370182</v>
      </c>
      <c r="B9741" t="s">
        <v>348</v>
      </c>
      <c r="C9741" t="s">
        <v>1854</v>
      </c>
      <c r="D9741" t="s">
        <v>37599</v>
      </c>
      <c r="E9741">
        <v>424030</v>
      </c>
      <c r="F9741" t="s">
        <v>1</v>
      </c>
      <c r="G9741" t="s">
        <v>2</v>
      </c>
      <c r="H9741" t="s">
        <v>37600</v>
      </c>
      <c r="I9741" t="s">
        <v>37601</v>
      </c>
      <c r="J9741" t="s">
        <v>37602</v>
      </c>
      <c r="L9741" t="s">
        <v>37603</v>
      </c>
      <c r="M9741" t="s">
        <v>37604</v>
      </c>
      <c r="P9741" t="s">
        <v>98</v>
      </c>
      <c r="Y9741" t="s">
        <v>37605</v>
      </c>
    </row>
    <row r="9742" spans="1:25" x14ac:dyDescent="0.25">
      <c r="A9742" t="str">
        <f>"118466514085"</f>
        <v>118466514085</v>
      </c>
      <c r="B9742" t="s">
        <v>1544</v>
      </c>
      <c r="C9742" t="s">
        <v>13112</v>
      </c>
      <c r="D9742" t="s">
        <v>37606</v>
      </c>
      <c r="E9742">
        <v>424000</v>
      </c>
      <c r="F9742" t="s">
        <v>1</v>
      </c>
      <c r="G9742" t="s">
        <v>2</v>
      </c>
      <c r="H9742" t="s">
        <v>34149</v>
      </c>
      <c r="J9742" t="s">
        <v>37607</v>
      </c>
      <c r="P9742" t="s">
        <v>37608</v>
      </c>
      <c r="V9742" t="s">
        <v>37609</v>
      </c>
      <c r="Y9742" t="s">
        <v>37610</v>
      </c>
    </row>
    <row r="9743" spans="1:25" x14ac:dyDescent="0.25">
      <c r="A9743" t="str">
        <f>"118524984070"</f>
        <v>118524984070</v>
      </c>
      <c r="B9743" t="s">
        <v>930</v>
      </c>
      <c r="C9743" t="s">
        <v>9679</v>
      </c>
      <c r="D9743" t="s">
        <v>1094</v>
      </c>
      <c r="E9743">
        <v>424026</v>
      </c>
      <c r="F9743" t="s">
        <v>1</v>
      </c>
      <c r="G9743" t="s">
        <v>2</v>
      </c>
      <c r="H9743" t="s">
        <v>12899</v>
      </c>
      <c r="J9743" t="s">
        <v>37611</v>
      </c>
      <c r="L9743" t="s">
        <v>37612</v>
      </c>
      <c r="P9743" t="s">
        <v>696</v>
      </c>
      <c r="Q9743" t="s">
        <v>37613</v>
      </c>
      <c r="Y9743" t="s">
        <v>37614</v>
      </c>
    </row>
    <row r="9744" spans="1:25" x14ac:dyDescent="0.25">
      <c r="A9744" t="str">
        <f>"118543805010"</f>
        <v>118543805010</v>
      </c>
      <c r="B9744" t="s">
        <v>25</v>
      </c>
      <c r="C9744" t="s">
        <v>20320</v>
      </c>
      <c r="D9744" t="s">
        <v>37615</v>
      </c>
      <c r="E9744">
        <v>424033</v>
      </c>
      <c r="F9744" t="s">
        <v>1</v>
      </c>
      <c r="G9744" t="s">
        <v>2</v>
      </c>
      <c r="H9744" t="s">
        <v>20318</v>
      </c>
      <c r="Y9744" t="s">
        <v>37616</v>
      </c>
    </row>
    <row r="9745" spans="1:25" x14ac:dyDescent="0.25">
      <c r="A9745" t="str">
        <f>"118545302650"</f>
        <v>118545302650</v>
      </c>
      <c r="B9745" t="s">
        <v>1573</v>
      </c>
      <c r="C9745" t="s">
        <v>1817</v>
      </c>
      <c r="D9745" t="s">
        <v>37617</v>
      </c>
      <c r="E9745">
        <v>424020</v>
      </c>
      <c r="F9745" t="s">
        <v>1</v>
      </c>
      <c r="G9745" t="s">
        <v>2</v>
      </c>
      <c r="H9745" t="s">
        <v>19901</v>
      </c>
      <c r="P9745" t="s">
        <v>2079</v>
      </c>
      <c r="Y9745" t="s">
        <v>37618</v>
      </c>
    </row>
    <row r="9746" spans="1:25" x14ac:dyDescent="0.25">
      <c r="A9746" t="str">
        <f>"118552107871"</f>
        <v>118552107871</v>
      </c>
      <c r="B9746" t="s">
        <v>290</v>
      </c>
      <c r="C9746" t="s">
        <v>37621</v>
      </c>
      <c r="D9746" t="s">
        <v>37619</v>
      </c>
      <c r="E9746">
        <v>424031</v>
      </c>
      <c r="F9746" t="s">
        <v>1</v>
      </c>
      <c r="G9746" t="s">
        <v>2</v>
      </c>
      <c r="H9746" t="s">
        <v>106</v>
      </c>
      <c r="I9746" t="s">
        <v>37620</v>
      </c>
      <c r="P9746" t="s">
        <v>60</v>
      </c>
      <c r="V9746" t="s">
        <v>37622</v>
      </c>
      <c r="Y9746" t="s">
        <v>37623</v>
      </c>
    </row>
    <row r="9747" spans="1:25" x14ac:dyDescent="0.25">
      <c r="A9747" t="str">
        <f>"118583215253"</f>
        <v>118583215253</v>
      </c>
      <c r="B9747" t="s">
        <v>2818</v>
      </c>
      <c r="C9747" t="s">
        <v>9274</v>
      </c>
      <c r="D9747" t="s">
        <v>37624</v>
      </c>
      <c r="F9747" t="s">
        <v>1</v>
      </c>
      <c r="G9747" t="s">
        <v>2</v>
      </c>
      <c r="H9747" t="s">
        <v>8275</v>
      </c>
      <c r="I9747" t="s">
        <v>37625</v>
      </c>
      <c r="M9747" t="s">
        <v>37626</v>
      </c>
      <c r="P9747" t="s">
        <v>5871</v>
      </c>
      <c r="Y9747" t="s">
        <v>37627</v>
      </c>
    </row>
    <row r="9748" spans="1:25" x14ac:dyDescent="0.25">
      <c r="A9748" t="str">
        <f>"118603299021"</f>
        <v>118603299021</v>
      </c>
      <c r="B9748" t="s">
        <v>1152</v>
      </c>
      <c r="C9748" t="s">
        <v>1153</v>
      </c>
      <c r="D9748" t="s">
        <v>37628</v>
      </c>
      <c r="E9748">
        <v>424031</v>
      </c>
      <c r="F9748" t="s">
        <v>1</v>
      </c>
      <c r="G9748" t="s">
        <v>2</v>
      </c>
      <c r="H9748" t="s">
        <v>7118</v>
      </c>
      <c r="Y9748" t="s">
        <v>7120</v>
      </c>
    </row>
    <row r="9749" spans="1:25" x14ac:dyDescent="0.25">
      <c r="A9749" t="str">
        <f>"118605909746"</f>
        <v>118605909746</v>
      </c>
      <c r="B9749" t="s">
        <v>430</v>
      </c>
      <c r="C9749" t="s">
        <v>940</v>
      </c>
      <c r="D9749" t="s">
        <v>2278</v>
      </c>
      <c r="E9749">
        <v>424031</v>
      </c>
      <c r="F9749" t="s">
        <v>1</v>
      </c>
      <c r="G9749" t="s">
        <v>2</v>
      </c>
      <c r="H9749" t="s">
        <v>1524</v>
      </c>
      <c r="I9749" t="s">
        <v>2279</v>
      </c>
      <c r="J9749" t="s">
        <v>37629</v>
      </c>
      <c r="P9749" t="s">
        <v>133</v>
      </c>
      <c r="Y9749" t="s">
        <v>5358</v>
      </c>
    </row>
    <row r="9750" spans="1:25" x14ac:dyDescent="0.25">
      <c r="A9750" t="str">
        <f>"118627095694"</f>
        <v>118627095694</v>
      </c>
      <c r="B9750" t="s">
        <v>1053</v>
      </c>
      <c r="C9750" t="s">
        <v>37631</v>
      </c>
      <c r="D9750" t="s">
        <v>37630</v>
      </c>
      <c r="E9750">
        <v>424026</v>
      </c>
      <c r="F9750" t="s">
        <v>1</v>
      </c>
      <c r="G9750" t="s">
        <v>2</v>
      </c>
      <c r="H9750" t="s">
        <v>6415</v>
      </c>
      <c r="Y9750" t="s">
        <v>6422</v>
      </c>
    </row>
    <row r="9751" spans="1:25" x14ac:dyDescent="0.25">
      <c r="A9751" t="str">
        <f>"118628864776"</f>
        <v>118628864776</v>
      </c>
      <c r="B9751" t="s">
        <v>790</v>
      </c>
      <c r="C9751" t="s">
        <v>2049</v>
      </c>
      <c r="D9751" t="s">
        <v>37632</v>
      </c>
      <c r="F9751" t="s">
        <v>1</v>
      </c>
      <c r="G9751" t="s">
        <v>2</v>
      </c>
      <c r="H9751" t="s">
        <v>30483</v>
      </c>
      <c r="I9751" t="s">
        <v>37633</v>
      </c>
      <c r="L9751" t="s">
        <v>37634</v>
      </c>
      <c r="M9751" t="s">
        <v>37635</v>
      </c>
      <c r="P9751" t="s">
        <v>9</v>
      </c>
      <c r="Y9751" t="s">
        <v>37636</v>
      </c>
    </row>
    <row r="9752" spans="1:25" x14ac:dyDescent="0.25">
      <c r="A9752" t="str">
        <f>"118652859635"</f>
        <v>118652859635</v>
      </c>
      <c r="B9752" t="s">
        <v>352</v>
      </c>
      <c r="C9752" t="s">
        <v>37640</v>
      </c>
      <c r="D9752" t="s">
        <v>37637</v>
      </c>
      <c r="E9752">
        <v>424006</v>
      </c>
      <c r="F9752" t="s">
        <v>1</v>
      </c>
      <c r="G9752" t="s">
        <v>2</v>
      </c>
      <c r="H9752" t="s">
        <v>1436</v>
      </c>
      <c r="I9752" t="s">
        <v>37638</v>
      </c>
      <c r="J9752" t="s">
        <v>37639</v>
      </c>
      <c r="L9752" t="s">
        <v>8818</v>
      </c>
      <c r="P9752" t="s">
        <v>2296</v>
      </c>
      <c r="Y9752" t="s">
        <v>1443</v>
      </c>
    </row>
    <row r="9753" spans="1:25" x14ac:dyDescent="0.25">
      <c r="A9753" t="str">
        <f>"118683438844"</f>
        <v>118683438844</v>
      </c>
      <c r="B9753" t="s">
        <v>25</v>
      </c>
      <c r="C9753" t="s">
        <v>24938</v>
      </c>
      <c r="D9753" t="s">
        <v>37641</v>
      </c>
      <c r="E9753">
        <v>424007</v>
      </c>
      <c r="F9753" t="s">
        <v>1</v>
      </c>
      <c r="G9753" t="s">
        <v>2</v>
      </c>
      <c r="H9753" t="s">
        <v>37642</v>
      </c>
      <c r="I9753" t="s">
        <v>37643</v>
      </c>
      <c r="M9753" t="s">
        <v>37644</v>
      </c>
      <c r="Y9753" t="s">
        <v>37645</v>
      </c>
    </row>
    <row r="9754" spans="1:25" x14ac:dyDescent="0.25">
      <c r="A9754" t="str">
        <f>"118696178979"</f>
        <v>118696178979</v>
      </c>
      <c r="B9754" t="s">
        <v>117</v>
      </c>
      <c r="C9754" t="s">
        <v>118</v>
      </c>
      <c r="D9754" t="s">
        <v>28707</v>
      </c>
      <c r="F9754" t="s">
        <v>1</v>
      </c>
      <c r="G9754" t="s">
        <v>2</v>
      </c>
      <c r="H9754" t="s">
        <v>28451</v>
      </c>
      <c r="Y9754" t="s">
        <v>37646</v>
      </c>
    </row>
    <row r="9755" spans="1:25" x14ac:dyDescent="0.25">
      <c r="A9755" t="str">
        <f>"118697772260"</f>
        <v>118697772260</v>
      </c>
      <c r="B9755" t="s">
        <v>25</v>
      </c>
      <c r="C9755" t="s">
        <v>20320</v>
      </c>
      <c r="D9755" t="s">
        <v>37647</v>
      </c>
      <c r="E9755">
        <v>424039</v>
      </c>
      <c r="F9755" t="s">
        <v>1</v>
      </c>
      <c r="G9755" t="s">
        <v>2</v>
      </c>
      <c r="H9755" t="s">
        <v>37648</v>
      </c>
      <c r="Y9755" t="s">
        <v>37649</v>
      </c>
    </row>
    <row r="9756" spans="1:25" x14ac:dyDescent="0.25">
      <c r="A9756" t="str">
        <f>"118711776264"</f>
        <v>118711776264</v>
      </c>
      <c r="B9756" t="s">
        <v>1053</v>
      </c>
      <c r="C9756" t="s">
        <v>16884</v>
      </c>
      <c r="D9756" t="s">
        <v>19436</v>
      </c>
      <c r="E9756">
        <v>424004</v>
      </c>
      <c r="F9756" t="s">
        <v>1</v>
      </c>
      <c r="G9756" t="s">
        <v>2</v>
      </c>
      <c r="H9756" t="s">
        <v>8326</v>
      </c>
      <c r="I9756" t="s">
        <v>19437</v>
      </c>
      <c r="P9756" t="s">
        <v>37650</v>
      </c>
      <c r="Y9756" t="s">
        <v>37651</v>
      </c>
    </row>
    <row r="9757" spans="1:25" x14ac:dyDescent="0.25">
      <c r="A9757" t="str">
        <f>"118730984620"</f>
        <v>118730984620</v>
      </c>
      <c r="B9757" t="s">
        <v>18</v>
      </c>
      <c r="C9757" t="s">
        <v>37657</v>
      </c>
      <c r="D9757" t="s">
        <v>37652</v>
      </c>
      <c r="F9757" t="s">
        <v>1</v>
      </c>
      <c r="G9757" t="s">
        <v>2</v>
      </c>
      <c r="H9757" t="s">
        <v>37653</v>
      </c>
      <c r="J9757" t="s">
        <v>37654</v>
      </c>
      <c r="L9757" t="s">
        <v>37655</v>
      </c>
      <c r="M9757" t="s">
        <v>37656</v>
      </c>
      <c r="P9757" t="s">
        <v>10212</v>
      </c>
      <c r="Y9757" t="s">
        <v>37658</v>
      </c>
    </row>
    <row r="9758" spans="1:25" x14ac:dyDescent="0.25">
      <c r="A9758" t="str">
        <f>"118735672140"</f>
        <v>118735672140</v>
      </c>
      <c r="B9758" t="s">
        <v>640</v>
      </c>
      <c r="C9758" t="s">
        <v>28140</v>
      </c>
      <c r="D9758" t="s">
        <v>37659</v>
      </c>
      <c r="E9758">
        <v>424003</v>
      </c>
      <c r="F9758" t="s">
        <v>1</v>
      </c>
      <c r="G9758" t="s">
        <v>2</v>
      </c>
      <c r="H9758" t="s">
        <v>2465</v>
      </c>
      <c r="J9758" t="s">
        <v>37660</v>
      </c>
      <c r="P9758" t="s">
        <v>37661</v>
      </c>
      <c r="Q9758" t="s">
        <v>37662</v>
      </c>
      <c r="Y9758" t="s">
        <v>2469</v>
      </c>
    </row>
    <row r="9759" spans="1:25" x14ac:dyDescent="0.25">
      <c r="A9759" t="str">
        <f>"118752669035"</f>
        <v>118752669035</v>
      </c>
      <c r="B9759" t="s">
        <v>123</v>
      </c>
      <c r="C9759" t="s">
        <v>424</v>
      </c>
      <c r="D9759" t="s">
        <v>37663</v>
      </c>
      <c r="E9759">
        <v>424030</v>
      </c>
      <c r="F9759" t="s">
        <v>1</v>
      </c>
      <c r="G9759" t="s">
        <v>2</v>
      </c>
      <c r="H9759" t="s">
        <v>37664</v>
      </c>
      <c r="I9759" t="s">
        <v>37665</v>
      </c>
      <c r="L9759" t="s">
        <v>37666</v>
      </c>
      <c r="M9759" t="s">
        <v>37667</v>
      </c>
      <c r="P9759" t="s">
        <v>425</v>
      </c>
      <c r="Y9759" t="s">
        <v>37668</v>
      </c>
    </row>
    <row r="9760" spans="1:25" x14ac:dyDescent="0.25">
      <c r="A9760" t="str">
        <f>"118775576904"</f>
        <v>118775576904</v>
      </c>
      <c r="B9760" t="s">
        <v>1152</v>
      </c>
      <c r="C9760" t="s">
        <v>37672</v>
      </c>
      <c r="D9760" t="s">
        <v>37669</v>
      </c>
      <c r="E9760">
        <v>424038</v>
      </c>
      <c r="F9760" t="s">
        <v>1</v>
      </c>
      <c r="G9760" t="s">
        <v>2</v>
      </c>
      <c r="H9760" t="s">
        <v>6550</v>
      </c>
      <c r="I9760" t="s">
        <v>37670</v>
      </c>
      <c r="J9760" t="s">
        <v>37671</v>
      </c>
      <c r="P9760" t="s">
        <v>330</v>
      </c>
      <c r="Y9760" t="s">
        <v>37673</v>
      </c>
    </row>
    <row r="9761" spans="1:25" x14ac:dyDescent="0.25">
      <c r="A9761" t="str">
        <f>"118794142149"</f>
        <v>118794142149</v>
      </c>
      <c r="B9761" t="s">
        <v>456</v>
      </c>
      <c r="C9761" t="s">
        <v>37678</v>
      </c>
      <c r="D9761" t="s">
        <v>37674</v>
      </c>
      <c r="E9761">
        <v>424004</v>
      </c>
      <c r="F9761" t="s">
        <v>1</v>
      </c>
      <c r="G9761" t="s">
        <v>2</v>
      </c>
      <c r="H9761" t="s">
        <v>186</v>
      </c>
      <c r="J9761" t="s">
        <v>37675</v>
      </c>
      <c r="L9761" t="s">
        <v>37676</v>
      </c>
      <c r="M9761" t="s">
        <v>37677</v>
      </c>
      <c r="Y9761" t="s">
        <v>190</v>
      </c>
    </row>
    <row r="9762" spans="1:25" x14ac:dyDescent="0.25">
      <c r="A9762" t="str">
        <f>"118801527652"</f>
        <v>118801527652</v>
      </c>
      <c r="B9762" t="s">
        <v>80</v>
      </c>
      <c r="C9762" t="s">
        <v>10516</v>
      </c>
      <c r="D9762" t="s">
        <v>37679</v>
      </c>
      <c r="E9762">
        <v>424030</v>
      </c>
      <c r="F9762" t="s">
        <v>1</v>
      </c>
      <c r="G9762" t="s">
        <v>2</v>
      </c>
      <c r="H9762" t="s">
        <v>440</v>
      </c>
      <c r="J9762" t="s">
        <v>37680</v>
      </c>
      <c r="P9762" t="s">
        <v>37681</v>
      </c>
      <c r="Q9762" t="s">
        <v>37682</v>
      </c>
      <c r="Y9762" t="s">
        <v>37683</v>
      </c>
    </row>
    <row r="9763" spans="1:25" x14ac:dyDescent="0.25">
      <c r="A9763" t="str">
        <f>"118851887913"</f>
        <v>118851887913</v>
      </c>
      <c r="B9763" t="s">
        <v>88</v>
      </c>
      <c r="C9763" t="s">
        <v>21830</v>
      </c>
      <c r="D9763" t="s">
        <v>24488</v>
      </c>
      <c r="E9763">
        <v>424037</v>
      </c>
      <c r="F9763" t="s">
        <v>1</v>
      </c>
      <c r="G9763" t="s">
        <v>2</v>
      </c>
      <c r="H9763" t="s">
        <v>12646</v>
      </c>
      <c r="Y9763" t="s">
        <v>37684</v>
      </c>
    </row>
    <row r="9764" spans="1:25" x14ac:dyDescent="0.25">
      <c r="A9764" t="str">
        <f>"118855889305"</f>
        <v>118855889305</v>
      </c>
      <c r="B9764" t="s">
        <v>224</v>
      </c>
      <c r="C9764" t="s">
        <v>3240</v>
      </c>
      <c r="D9764" t="s">
        <v>25385</v>
      </c>
      <c r="E9764">
        <v>424002</v>
      </c>
      <c r="F9764" t="s">
        <v>1</v>
      </c>
      <c r="G9764" t="s">
        <v>2</v>
      </c>
      <c r="H9764" t="s">
        <v>11341</v>
      </c>
      <c r="Y9764" t="s">
        <v>37685</v>
      </c>
    </row>
    <row r="9765" spans="1:25" x14ac:dyDescent="0.25">
      <c r="A9765" t="str">
        <f>"118873348957"</f>
        <v>118873348957</v>
      </c>
      <c r="B9765" t="s">
        <v>430</v>
      </c>
      <c r="C9765" t="s">
        <v>16178</v>
      </c>
      <c r="D9765" t="s">
        <v>37686</v>
      </c>
      <c r="E9765">
        <v>424007</v>
      </c>
      <c r="F9765" t="s">
        <v>1</v>
      </c>
      <c r="G9765" t="s">
        <v>2</v>
      </c>
      <c r="H9765" t="s">
        <v>2168</v>
      </c>
      <c r="P9765" t="s">
        <v>13505</v>
      </c>
      <c r="Y9765" t="s">
        <v>2172</v>
      </c>
    </row>
    <row r="9766" spans="1:25" x14ac:dyDescent="0.25">
      <c r="A9766" t="str">
        <f>"118892520430"</f>
        <v>118892520430</v>
      </c>
      <c r="B9766" t="s">
        <v>18</v>
      </c>
      <c r="C9766" t="s">
        <v>37691</v>
      </c>
      <c r="D9766" t="s">
        <v>37687</v>
      </c>
      <c r="E9766">
        <v>424004</v>
      </c>
      <c r="F9766" t="s">
        <v>1</v>
      </c>
      <c r="G9766" t="s">
        <v>2</v>
      </c>
      <c r="H9766" t="s">
        <v>5197</v>
      </c>
      <c r="I9766" t="s">
        <v>37688</v>
      </c>
      <c r="J9766" t="s">
        <v>37689</v>
      </c>
      <c r="M9766" t="s">
        <v>37690</v>
      </c>
      <c r="P9766" t="s">
        <v>4848</v>
      </c>
      <c r="Q9766" t="s">
        <v>37692</v>
      </c>
      <c r="Y9766" t="s">
        <v>37693</v>
      </c>
    </row>
    <row r="9767" spans="1:25" x14ac:dyDescent="0.25">
      <c r="A9767" t="str">
        <f>"118917992674"</f>
        <v>118917992674</v>
      </c>
      <c r="B9767" t="s">
        <v>574</v>
      </c>
      <c r="C9767" t="s">
        <v>14652</v>
      </c>
      <c r="D9767" t="s">
        <v>24972</v>
      </c>
      <c r="E9767">
        <v>424020</v>
      </c>
      <c r="F9767" t="s">
        <v>1</v>
      </c>
      <c r="G9767" t="s">
        <v>2</v>
      </c>
      <c r="H9767" t="s">
        <v>7738</v>
      </c>
      <c r="Y9767" t="s">
        <v>37694</v>
      </c>
    </row>
    <row r="9768" spans="1:25" x14ac:dyDescent="0.25">
      <c r="A9768" t="str">
        <f>"118922767756"</f>
        <v>118922767756</v>
      </c>
      <c r="B9768" t="s">
        <v>67</v>
      </c>
      <c r="C9768" t="s">
        <v>27252</v>
      </c>
      <c r="D9768" t="s">
        <v>10280</v>
      </c>
      <c r="E9768">
        <v>424037</v>
      </c>
      <c r="F9768" t="s">
        <v>1</v>
      </c>
      <c r="G9768" t="s">
        <v>2</v>
      </c>
      <c r="H9768" t="s">
        <v>3278</v>
      </c>
      <c r="Y9768" t="s">
        <v>37695</v>
      </c>
    </row>
    <row r="9769" spans="1:25" x14ac:dyDescent="0.25">
      <c r="A9769" t="str">
        <f>"118937073881"</f>
        <v>118937073881</v>
      </c>
      <c r="B9769" t="s">
        <v>188</v>
      </c>
      <c r="C9769" t="s">
        <v>8311</v>
      </c>
      <c r="D9769" t="s">
        <v>37696</v>
      </c>
      <c r="E9769">
        <v>424002</v>
      </c>
      <c r="F9769" t="s">
        <v>1</v>
      </c>
      <c r="G9769" t="s">
        <v>2</v>
      </c>
      <c r="H9769" t="s">
        <v>3604</v>
      </c>
      <c r="I9769" t="s">
        <v>37697</v>
      </c>
      <c r="L9769" t="s">
        <v>37698</v>
      </c>
      <c r="M9769" t="s">
        <v>37699</v>
      </c>
      <c r="P9769" t="s">
        <v>216</v>
      </c>
      <c r="Y9769" t="s">
        <v>8209</v>
      </c>
    </row>
    <row r="9770" spans="1:25" x14ac:dyDescent="0.25">
      <c r="A9770" t="str">
        <f>"118972337014"</f>
        <v>118972337014</v>
      </c>
      <c r="B9770" t="s">
        <v>18</v>
      </c>
      <c r="C9770" t="s">
        <v>964</v>
      </c>
      <c r="D9770" t="s">
        <v>21574</v>
      </c>
      <c r="F9770" t="s">
        <v>1</v>
      </c>
      <c r="G9770" t="s">
        <v>2</v>
      </c>
      <c r="H9770" t="s">
        <v>37653</v>
      </c>
      <c r="P9770" t="s">
        <v>10212</v>
      </c>
      <c r="Y9770" t="s">
        <v>37700</v>
      </c>
    </row>
    <row r="9771" spans="1:25" x14ac:dyDescent="0.25">
      <c r="A9771" t="str">
        <f>"118980797077"</f>
        <v>118980797077</v>
      </c>
      <c r="B9771" t="s">
        <v>930</v>
      </c>
      <c r="C9771" t="s">
        <v>1940</v>
      </c>
      <c r="D9771" t="s">
        <v>12609</v>
      </c>
      <c r="E9771">
        <v>424032</v>
      </c>
      <c r="F9771" t="s">
        <v>1</v>
      </c>
      <c r="G9771" t="s">
        <v>2</v>
      </c>
      <c r="H9771" t="s">
        <v>37701</v>
      </c>
      <c r="I9771" t="s">
        <v>37263</v>
      </c>
      <c r="P9771" t="s">
        <v>3263</v>
      </c>
      <c r="Y9771" t="s">
        <v>26485</v>
      </c>
    </row>
    <row r="9772" spans="1:25" x14ac:dyDescent="0.25">
      <c r="A9772" t="str">
        <f>"119015477161"</f>
        <v>119015477161</v>
      </c>
      <c r="B9772" t="s">
        <v>1343</v>
      </c>
      <c r="C9772" t="s">
        <v>17333</v>
      </c>
      <c r="D9772" t="s">
        <v>33669</v>
      </c>
      <c r="E9772">
        <v>424033</v>
      </c>
      <c r="F9772" t="s">
        <v>1</v>
      </c>
      <c r="G9772" t="s">
        <v>2</v>
      </c>
      <c r="H9772" t="s">
        <v>76</v>
      </c>
      <c r="Y9772" t="s">
        <v>37702</v>
      </c>
    </row>
    <row r="9773" spans="1:25" x14ac:dyDescent="0.25">
      <c r="A9773" t="str">
        <f>"119031988340"</f>
        <v>119031988340</v>
      </c>
      <c r="B9773" t="s">
        <v>469</v>
      </c>
      <c r="C9773" t="s">
        <v>15671</v>
      </c>
      <c r="D9773" t="s">
        <v>37703</v>
      </c>
      <c r="E9773">
        <v>424002</v>
      </c>
      <c r="F9773" t="s">
        <v>1</v>
      </c>
      <c r="G9773" t="s">
        <v>2</v>
      </c>
      <c r="H9773" t="s">
        <v>2164</v>
      </c>
      <c r="J9773" t="s">
        <v>37704</v>
      </c>
      <c r="P9773" t="s">
        <v>37705</v>
      </c>
      <c r="Q9773" t="s">
        <v>37706</v>
      </c>
      <c r="Y9773" t="s">
        <v>37707</v>
      </c>
    </row>
    <row r="9774" spans="1:25" x14ac:dyDescent="0.25">
      <c r="A9774" t="str">
        <f>"119041534211"</f>
        <v>119041534211</v>
      </c>
      <c r="B9774" t="s">
        <v>1152</v>
      </c>
      <c r="C9774" t="s">
        <v>1385</v>
      </c>
      <c r="D9774" t="s">
        <v>1385</v>
      </c>
      <c r="E9774">
        <v>424036</v>
      </c>
      <c r="F9774" t="s">
        <v>1</v>
      </c>
      <c r="G9774" t="s">
        <v>2</v>
      </c>
      <c r="H9774" t="s">
        <v>375</v>
      </c>
      <c r="I9774" t="s">
        <v>13326</v>
      </c>
      <c r="P9774" t="s">
        <v>13327</v>
      </c>
      <c r="Y9774" t="s">
        <v>384</v>
      </c>
    </row>
    <row r="9775" spans="1:25" x14ac:dyDescent="0.25">
      <c r="A9775" t="str">
        <f>"119046511207"</f>
        <v>119046511207</v>
      </c>
      <c r="B9775" t="s">
        <v>188</v>
      </c>
      <c r="C9775" t="s">
        <v>23982</v>
      </c>
      <c r="D9775" t="s">
        <v>23982</v>
      </c>
      <c r="E9775">
        <v>424028</v>
      </c>
      <c r="F9775" t="s">
        <v>1</v>
      </c>
      <c r="G9775" t="s">
        <v>2</v>
      </c>
      <c r="H9775" t="s">
        <v>20095</v>
      </c>
      <c r="Y9775" t="s">
        <v>37708</v>
      </c>
    </row>
    <row r="9776" spans="1:25" x14ac:dyDescent="0.25">
      <c r="A9776" t="str">
        <f>"119051407532"</f>
        <v>119051407532</v>
      </c>
      <c r="B9776" t="s">
        <v>1025</v>
      </c>
      <c r="C9776" t="s">
        <v>37712</v>
      </c>
      <c r="D9776" t="s">
        <v>37709</v>
      </c>
      <c r="E9776">
        <v>424004</v>
      </c>
      <c r="F9776" t="s">
        <v>1</v>
      </c>
      <c r="G9776" t="s">
        <v>2</v>
      </c>
      <c r="H9776" t="s">
        <v>37710</v>
      </c>
      <c r="J9776" t="s">
        <v>37711</v>
      </c>
      <c r="Y9776" t="s">
        <v>37713</v>
      </c>
    </row>
    <row r="9777" spans="1:25" x14ac:dyDescent="0.25">
      <c r="A9777" t="str">
        <f>"119068360559"</f>
        <v>119068360559</v>
      </c>
      <c r="B9777" t="s">
        <v>25</v>
      </c>
      <c r="C9777" t="s">
        <v>20320</v>
      </c>
      <c r="D9777" t="s">
        <v>37714</v>
      </c>
      <c r="F9777" t="s">
        <v>1</v>
      </c>
      <c r="G9777" t="s">
        <v>2</v>
      </c>
      <c r="H9777" t="s">
        <v>27421</v>
      </c>
      <c r="Y9777" t="s">
        <v>37715</v>
      </c>
    </row>
    <row r="9778" spans="1:25" x14ac:dyDescent="0.25">
      <c r="A9778" t="str">
        <f>"119072508298"</f>
        <v>119072508298</v>
      </c>
      <c r="B9778" t="s">
        <v>462</v>
      </c>
      <c r="C9778" t="s">
        <v>37720</v>
      </c>
      <c r="D9778" t="s">
        <v>37716</v>
      </c>
      <c r="E9778">
        <v>424004</v>
      </c>
      <c r="F9778" t="s">
        <v>1</v>
      </c>
      <c r="G9778" t="s">
        <v>2</v>
      </c>
      <c r="H9778" t="s">
        <v>186</v>
      </c>
      <c r="J9778" t="s">
        <v>37717</v>
      </c>
      <c r="L9778" t="s">
        <v>37718</v>
      </c>
      <c r="M9778" t="s">
        <v>37719</v>
      </c>
      <c r="P9778" t="s">
        <v>1679</v>
      </c>
      <c r="Q9778" t="s">
        <v>37721</v>
      </c>
      <c r="Y9778" t="s">
        <v>190</v>
      </c>
    </row>
    <row r="9779" spans="1:25" x14ac:dyDescent="0.25">
      <c r="A9779" t="str">
        <f>"119109894950"</f>
        <v>119109894950</v>
      </c>
      <c r="B9779" t="s">
        <v>96</v>
      </c>
      <c r="C9779" t="s">
        <v>695</v>
      </c>
      <c r="D9779" t="s">
        <v>5805</v>
      </c>
      <c r="E9779">
        <v>424039</v>
      </c>
      <c r="F9779" t="s">
        <v>1</v>
      </c>
      <c r="G9779" t="s">
        <v>2</v>
      </c>
      <c r="H9779" t="s">
        <v>17278</v>
      </c>
      <c r="Y9779" t="s">
        <v>37722</v>
      </c>
    </row>
    <row r="9780" spans="1:25" x14ac:dyDescent="0.25">
      <c r="A9780" t="str">
        <f>"119150232771"</f>
        <v>119150232771</v>
      </c>
      <c r="B9780" t="s">
        <v>574</v>
      </c>
      <c r="C9780" t="s">
        <v>952</v>
      </c>
      <c r="D9780" t="s">
        <v>37723</v>
      </c>
      <c r="F9780" t="s">
        <v>1</v>
      </c>
      <c r="G9780" t="s">
        <v>2</v>
      </c>
      <c r="H9780" t="s">
        <v>14305</v>
      </c>
      <c r="Y9780" t="s">
        <v>37724</v>
      </c>
    </row>
    <row r="9781" spans="1:25" x14ac:dyDescent="0.25">
      <c r="A9781" t="str">
        <f>"119190279841"</f>
        <v>119190279841</v>
      </c>
      <c r="B9781" t="s">
        <v>3200</v>
      </c>
      <c r="C9781" t="s">
        <v>18948</v>
      </c>
      <c r="D9781" t="s">
        <v>37725</v>
      </c>
      <c r="E9781">
        <v>424000</v>
      </c>
      <c r="F9781" t="s">
        <v>1</v>
      </c>
      <c r="G9781" t="s">
        <v>2</v>
      </c>
      <c r="H9781" t="s">
        <v>4255</v>
      </c>
      <c r="Y9781" t="s">
        <v>4256</v>
      </c>
    </row>
    <row r="9782" spans="1:25" x14ac:dyDescent="0.25">
      <c r="A9782" t="str">
        <f>"119199308796"</f>
        <v>119199308796</v>
      </c>
      <c r="B9782" t="s">
        <v>530</v>
      </c>
      <c r="C9782" t="s">
        <v>23950</v>
      </c>
      <c r="D9782" t="s">
        <v>23950</v>
      </c>
      <c r="E9782">
        <v>424038</v>
      </c>
      <c r="F9782" t="s">
        <v>1</v>
      </c>
      <c r="G9782" t="s">
        <v>2</v>
      </c>
      <c r="H9782" t="s">
        <v>546</v>
      </c>
      <c r="Y9782" t="s">
        <v>37726</v>
      </c>
    </row>
    <row r="9783" spans="1:25" x14ac:dyDescent="0.25">
      <c r="A9783" t="str">
        <f>"119224516201"</f>
        <v>119224516201</v>
      </c>
      <c r="B9783" t="s">
        <v>117</v>
      </c>
      <c r="C9783" t="s">
        <v>873</v>
      </c>
      <c r="D9783" t="s">
        <v>873</v>
      </c>
      <c r="E9783">
        <v>424028</v>
      </c>
      <c r="F9783" t="s">
        <v>1</v>
      </c>
      <c r="G9783" t="s">
        <v>2</v>
      </c>
      <c r="H9783" t="s">
        <v>13799</v>
      </c>
      <c r="Y9783" t="s">
        <v>37727</v>
      </c>
    </row>
    <row r="9784" spans="1:25" x14ac:dyDescent="0.25">
      <c r="A9784" t="str">
        <f>"119262225761"</f>
        <v>119262225761</v>
      </c>
      <c r="B9784" t="s">
        <v>1573</v>
      </c>
      <c r="C9784" t="s">
        <v>37732</v>
      </c>
      <c r="D9784" t="s">
        <v>37728</v>
      </c>
      <c r="E9784">
        <v>424000</v>
      </c>
      <c r="F9784" t="s">
        <v>1</v>
      </c>
      <c r="G9784" t="s">
        <v>2</v>
      </c>
      <c r="H9784" t="s">
        <v>1531</v>
      </c>
      <c r="I9784" t="s">
        <v>37729</v>
      </c>
      <c r="L9784" t="s">
        <v>37730</v>
      </c>
      <c r="M9784" t="s">
        <v>37731</v>
      </c>
      <c r="P9784" t="s">
        <v>1027</v>
      </c>
      <c r="Q9784" t="s">
        <v>37733</v>
      </c>
      <c r="R9784" t="s">
        <v>37734</v>
      </c>
      <c r="T9784" t="s">
        <v>37735</v>
      </c>
      <c r="U9784" t="s">
        <v>37736</v>
      </c>
      <c r="V9784" t="s">
        <v>37737</v>
      </c>
      <c r="Y9784" t="s">
        <v>37738</v>
      </c>
    </row>
    <row r="9785" spans="1:25" x14ac:dyDescent="0.25">
      <c r="A9785" t="str">
        <f>"119273440824"</f>
        <v>119273440824</v>
      </c>
      <c r="B9785" t="s">
        <v>930</v>
      </c>
      <c r="C9785" t="s">
        <v>37741</v>
      </c>
      <c r="D9785" t="s">
        <v>37739</v>
      </c>
      <c r="E9785">
        <v>424005</v>
      </c>
      <c r="F9785" t="s">
        <v>1</v>
      </c>
      <c r="G9785" t="s">
        <v>2</v>
      </c>
      <c r="H9785" t="s">
        <v>13</v>
      </c>
      <c r="J9785" t="s">
        <v>37740</v>
      </c>
      <c r="P9785" t="s">
        <v>410</v>
      </c>
      <c r="Q9785" t="s">
        <v>37742</v>
      </c>
      <c r="Y9785" t="s">
        <v>32397</v>
      </c>
    </row>
    <row r="9786" spans="1:25" x14ac:dyDescent="0.25">
      <c r="A9786" t="str">
        <f>"119283138020"</f>
        <v>119283138020</v>
      </c>
      <c r="B9786" t="s">
        <v>1611</v>
      </c>
      <c r="C9786" t="s">
        <v>29036</v>
      </c>
      <c r="D9786" t="s">
        <v>37743</v>
      </c>
      <c r="E9786">
        <v>424037</v>
      </c>
      <c r="F9786" t="s">
        <v>1</v>
      </c>
      <c r="G9786" t="s">
        <v>2</v>
      </c>
      <c r="H9786" t="s">
        <v>2381</v>
      </c>
      <c r="L9786" t="s">
        <v>581</v>
      </c>
      <c r="M9786" t="s">
        <v>37744</v>
      </c>
      <c r="Y9786" t="s">
        <v>29037</v>
      </c>
    </row>
    <row r="9787" spans="1:25" x14ac:dyDescent="0.25">
      <c r="A9787" t="str">
        <f>"119285770203"</f>
        <v>119285770203</v>
      </c>
      <c r="B9787" t="s">
        <v>1493</v>
      </c>
      <c r="C9787" t="s">
        <v>2355</v>
      </c>
      <c r="D9787" t="s">
        <v>37745</v>
      </c>
      <c r="F9787" t="s">
        <v>1</v>
      </c>
      <c r="G9787" t="s">
        <v>2</v>
      </c>
      <c r="H9787" t="s">
        <v>30342</v>
      </c>
      <c r="I9787" t="s">
        <v>37746</v>
      </c>
      <c r="J9787" t="s">
        <v>37747</v>
      </c>
      <c r="L9787" t="s">
        <v>37748</v>
      </c>
      <c r="M9787" t="s">
        <v>37749</v>
      </c>
      <c r="P9787" t="s">
        <v>280</v>
      </c>
      <c r="Y9787" t="s">
        <v>37750</v>
      </c>
    </row>
    <row r="9788" spans="1:25" x14ac:dyDescent="0.25">
      <c r="A9788" t="str">
        <f>"119295163561"</f>
        <v>119295163561</v>
      </c>
      <c r="B9788" t="s">
        <v>233</v>
      </c>
      <c r="C9788" t="s">
        <v>14003</v>
      </c>
      <c r="D9788" t="s">
        <v>22154</v>
      </c>
      <c r="E9788">
        <v>424033</v>
      </c>
      <c r="F9788" t="s">
        <v>1</v>
      </c>
      <c r="G9788" t="s">
        <v>2</v>
      </c>
      <c r="H9788" t="s">
        <v>1383</v>
      </c>
      <c r="Y9788" t="s">
        <v>37751</v>
      </c>
    </row>
    <row r="9789" spans="1:25" x14ac:dyDescent="0.25">
      <c r="A9789" t="str">
        <f>"119388654927"</f>
        <v>119388654927</v>
      </c>
      <c r="B9789" t="s">
        <v>574</v>
      </c>
      <c r="C9789" t="s">
        <v>37753</v>
      </c>
      <c r="D9789" t="s">
        <v>37752</v>
      </c>
      <c r="E9789">
        <v>424038</v>
      </c>
      <c r="F9789" t="s">
        <v>1</v>
      </c>
      <c r="G9789" t="s">
        <v>2</v>
      </c>
      <c r="H9789" t="s">
        <v>1366</v>
      </c>
      <c r="Y9789" t="s">
        <v>37754</v>
      </c>
    </row>
    <row r="9790" spans="1:25" x14ac:dyDescent="0.25">
      <c r="A9790" t="str">
        <f>"119519865826"</f>
        <v>119519865826</v>
      </c>
      <c r="B9790" t="s">
        <v>408</v>
      </c>
      <c r="C9790" t="s">
        <v>25792</v>
      </c>
      <c r="D9790" t="s">
        <v>25790</v>
      </c>
      <c r="F9790" t="s">
        <v>1</v>
      </c>
      <c r="G9790" t="s">
        <v>2</v>
      </c>
      <c r="H9790" t="s">
        <v>8610</v>
      </c>
      <c r="Y9790" t="s">
        <v>37755</v>
      </c>
    </row>
    <row r="9791" spans="1:25" x14ac:dyDescent="0.25">
      <c r="A9791" t="str">
        <f>"119550173120"</f>
        <v>119550173120</v>
      </c>
      <c r="B9791" t="s">
        <v>1343</v>
      </c>
      <c r="C9791" t="s">
        <v>5984</v>
      </c>
      <c r="D9791" t="s">
        <v>5308</v>
      </c>
      <c r="E9791">
        <v>424033</v>
      </c>
      <c r="F9791" t="s">
        <v>1</v>
      </c>
      <c r="G9791" t="s">
        <v>2</v>
      </c>
      <c r="H9791" t="s">
        <v>10720</v>
      </c>
      <c r="Y9791" t="s">
        <v>37756</v>
      </c>
    </row>
    <row r="9792" spans="1:25" x14ac:dyDescent="0.25">
      <c r="A9792" t="str">
        <f>"119578742004"</f>
        <v>119578742004</v>
      </c>
      <c r="B9792" t="s">
        <v>1544</v>
      </c>
      <c r="C9792" t="s">
        <v>24552</v>
      </c>
      <c r="D9792" t="s">
        <v>37757</v>
      </c>
      <c r="E9792">
        <v>424000</v>
      </c>
      <c r="F9792" t="s">
        <v>1</v>
      </c>
      <c r="G9792" t="s">
        <v>2</v>
      </c>
      <c r="H9792" t="s">
        <v>37758</v>
      </c>
      <c r="J9792" t="s">
        <v>37759</v>
      </c>
      <c r="P9792" t="s">
        <v>16170</v>
      </c>
      <c r="V9792" t="s">
        <v>37760</v>
      </c>
      <c r="Y9792" t="s">
        <v>37761</v>
      </c>
    </row>
    <row r="9793" spans="1:25" x14ac:dyDescent="0.25">
      <c r="A9793" t="str">
        <f>"119589598879"</f>
        <v>119589598879</v>
      </c>
      <c r="B9793" t="s">
        <v>574</v>
      </c>
      <c r="C9793" t="s">
        <v>27049</v>
      </c>
      <c r="D9793" t="s">
        <v>569</v>
      </c>
      <c r="E9793">
        <v>424037</v>
      </c>
      <c r="F9793" t="s">
        <v>1</v>
      </c>
      <c r="G9793" t="s">
        <v>2</v>
      </c>
      <c r="H9793" t="s">
        <v>37762</v>
      </c>
      <c r="I9793" t="s">
        <v>37763</v>
      </c>
      <c r="L9793" t="s">
        <v>572</v>
      </c>
      <c r="M9793" t="s">
        <v>573</v>
      </c>
      <c r="P9793" t="s">
        <v>410</v>
      </c>
      <c r="Y9793" t="s">
        <v>37764</v>
      </c>
    </row>
    <row r="9794" spans="1:25" x14ac:dyDescent="0.25">
      <c r="A9794" t="str">
        <f>"119698962389"</f>
        <v>119698962389</v>
      </c>
      <c r="B9794" t="s">
        <v>397</v>
      </c>
      <c r="C9794" t="s">
        <v>21932</v>
      </c>
      <c r="D9794" t="s">
        <v>33475</v>
      </c>
      <c r="F9794" t="s">
        <v>1</v>
      </c>
      <c r="G9794" t="s">
        <v>2</v>
      </c>
      <c r="H9794" t="s">
        <v>3525</v>
      </c>
      <c r="I9794" t="s">
        <v>37765</v>
      </c>
      <c r="P9794" t="s">
        <v>458</v>
      </c>
      <c r="Y9794" t="s">
        <v>4985</v>
      </c>
    </row>
    <row r="9795" spans="1:25" x14ac:dyDescent="0.25">
      <c r="A9795" t="str">
        <f>"119708422088"</f>
        <v>119708422088</v>
      </c>
      <c r="B9795" t="s">
        <v>117</v>
      </c>
      <c r="C9795" t="s">
        <v>873</v>
      </c>
      <c r="D9795" t="s">
        <v>873</v>
      </c>
      <c r="F9795" t="s">
        <v>1</v>
      </c>
      <c r="G9795" t="s">
        <v>2</v>
      </c>
      <c r="H9795" t="s">
        <v>33341</v>
      </c>
      <c r="Y9795" t="s">
        <v>37766</v>
      </c>
    </row>
    <row r="9796" spans="1:25" x14ac:dyDescent="0.25">
      <c r="A9796" t="str">
        <f>"119741158094"</f>
        <v>119741158094</v>
      </c>
      <c r="B9796" t="s">
        <v>32</v>
      </c>
      <c r="C9796" t="s">
        <v>40</v>
      </c>
      <c r="D9796" t="s">
        <v>37767</v>
      </c>
      <c r="E9796">
        <v>424000</v>
      </c>
      <c r="F9796" t="s">
        <v>1</v>
      </c>
      <c r="G9796" t="s">
        <v>2</v>
      </c>
      <c r="H9796" t="s">
        <v>404</v>
      </c>
      <c r="I9796" t="s">
        <v>14134</v>
      </c>
      <c r="P9796" t="s">
        <v>216</v>
      </c>
      <c r="Q9796" t="s">
        <v>37768</v>
      </c>
      <c r="V9796" t="s">
        <v>37769</v>
      </c>
      <c r="Y9796" t="s">
        <v>5477</v>
      </c>
    </row>
    <row r="9797" spans="1:25" x14ac:dyDescent="0.25">
      <c r="A9797" t="str">
        <f>"119833663359"</f>
        <v>119833663359</v>
      </c>
      <c r="B9797" t="s">
        <v>574</v>
      </c>
      <c r="C9797" t="s">
        <v>646</v>
      </c>
      <c r="D9797" t="s">
        <v>37770</v>
      </c>
      <c r="E9797">
        <v>424037</v>
      </c>
      <c r="F9797" t="s">
        <v>1</v>
      </c>
      <c r="G9797" t="s">
        <v>2</v>
      </c>
      <c r="H9797" t="s">
        <v>30702</v>
      </c>
      <c r="P9797" t="s">
        <v>330</v>
      </c>
      <c r="Y9797" t="s">
        <v>37771</v>
      </c>
    </row>
    <row r="9798" spans="1:25" x14ac:dyDescent="0.25">
      <c r="A9798" t="str">
        <f>"119908468150"</f>
        <v>119908468150</v>
      </c>
      <c r="B9798" t="s">
        <v>188</v>
      </c>
      <c r="C9798" t="s">
        <v>23982</v>
      </c>
      <c r="D9798" t="s">
        <v>23982</v>
      </c>
      <c r="E9798">
        <v>424005</v>
      </c>
      <c r="F9798" t="s">
        <v>1</v>
      </c>
      <c r="G9798" t="s">
        <v>2</v>
      </c>
      <c r="H9798" t="s">
        <v>8983</v>
      </c>
      <c r="Y9798" t="s">
        <v>37772</v>
      </c>
    </row>
    <row r="9799" spans="1:25" x14ac:dyDescent="0.25">
      <c r="A9799" t="str">
        <f>"119968721942"</f>
        <v>119968721942</v>
      </c>
      <c r="B9799" t="s">
        <v>18</v>
      </c>
      <c r="C9799" t="s">
        <v>37775</v>
      </c>
      <c r="D9799" t="s">
        <v>37773</v>
      </c>
      <c r="E9799">
        <v>424031</v>
      </c>
      <c r="F9799" t="s">
        <v>1</v>
      </c>
      <c r="G9799" t="s">
        <v>2</v>
      </c>
      <c r="H9799" t="s">
        <v>2353</v>
      </c>
      <c r="I9799" t="s">
        <v>37774</v>
      </c>
      <c r="P9799" t="s">
        <v>133</v>
      </c>
      <c r="Y9799" t="s">
        <v>37776</v>
      </c>
    </row>
    <row r="9800" spans="1:25" x14ac:dyDescent="0.25">
      <c r="A9800" t="str">
        <f>"119978997395"</f>
        <v>119978997395</v>
      </c>
      <c r="B9800" t="s">
        <v>67</v>
      </c>
      <c r="C9800" t="s">
        <v>832</v>
      </c>
      <c r="D9800" t="s">
        <v>24760</v>
      </c>
      <c r="E9800">
        <v>424003</v>
      </c>
      <c r="F9800" t="s">
        <v>1</v>
      </c>
      <c r="G9800" t="s">
        <v>2</v>
      </c>
      <c r="H9800" t="s">
        <v>1031</v>
      </c>
      <c r="I9800" t="s">
        <v>24761</v>
      </c>
      <c r="L9800" t="s">
        <v>37777</v>
      </c>
      <c r="M9800" t="s">
        <v>37778</v>
      </c>
      <c r="P9800" t="s">
        <v>27</v>
      </c>
      <c r="Q9800" t="s">
        <v>24764</v>
      </c>
      <c r="R9800" t="s">
        <v>24765</v>
      </c>
      <c r="S9800" t="s">
        <v>24766</v>
      </c>
      <c r="T9800" t="s">
        <v>24767</v>
      </c>
      <c r="U9800" t="s">
        <v>37779</v>
      </c>
      <c r="V9800" t="s">
        <v>24768</v>
      </c>
      <c r="Y9800" t="s">
        <v>37780</v>
      </c>
    </row>
    <row r="9801" spans="1:25" x14ac:dyDescent="0.25">
      <c r="A9801" t="str">
        <f>"119982972999"</f>
        <v>119982972999</v>
      </c>
      <c r="B9801" t="s">
        <v>96</v>
      </c>
      <c r="C9801" t="s">
        <v>7071</v>
      </c>
      <c r="D9801" t="s">
        <v>37781</v>
      </c>
      <c r="E9801">
        <v>424918</v>
      </c>
      <c r="F9801" t="s">
        <v>1</v>
      </c>
      <c r="G9801" t="s">
        <v>2</v>
      </c>
      <c r="H9801" t="s">
        <v>629</v>
      </c>
      <c r="P9801" t="s">
        <v>630</v>
      </c>
      <c r="Y9801" t="s">
        <v>37782</v>
      </c>
    </row>
    <row r="9802" spans="1:25" x14ac:dyDescent="0.25">
      <c r="A9802" t="str">
        <f>"119990908438"</f>
        <v>119990908438</v>
      </c>
      <c r="B9802" t="s">
        <v>574</v>
      </c>
      <c r="C9802" t="s">
        <v>646</v>
      </c>
      <c r="D9802" t="s">
        <v>4221</v>
      </c>
      <c r="F9802" t="s">
        <v>1</v>
      </c>
      <c r="G9802" t="s">
        <v>2</v>
      </c>
      <c r="H9802" t="s">
        <v>37783</v>
      </c>
      <c r="Y9802" t="s">
        <v>37784</v>
      </c>
    </row>
    <row r="9803" spans="1:25" x14ac:dyDescent="0.25">
      <c r="A9803" t="str">
        <f>"119997970539"</f>
        <v>119997970539</v>
      </c>
      <c r="B9803" t="s">
        <v>18</v>
      </c>
      <c r="C9803" t="s">
        <v>37788</v>
      </c>
      <c r="D9803" t="s">
        <v>37785</v>
      </c>
      <c r="E9803">
        <v>424036</v>
      </c>
      <c r="F9803" t="s">
        <v>1</v>
      </c>
      <c r="G9803" t="s">
        <v>2</v>
      </c>
      <c r="H9803" t="s">
        <v>2874</v>
      </c>
      <c r="I9803" t="s">
        <v>37786</v>
      </c>
      <c r="J9803" t="s">
        <v>37787</v>
      </c>
      <c r="P9803" t="s">
        <v>37789</v>
      </c>
      <c r="Q9803" t="s">
        <v>37790</v>
      </c>
      <c r="Y9803" t="s">
        <v>37791</v>
      </c>
    </row>
    <row r="9804" spans="1:25" x14ac:dyDescent="0.25">
      <c r="A9804" t="str">
        <f>"120030118665"</f>
        <v>120030118665</v>
      </c>
      <c r="B9804" t="s">
        <v>574</v>
      </c>
      <c r="C9804" t="s">
        <v>26901</v>
      </c>
      <c r="D9804" t="s">
        <v>14987</v>
      </c>
      <c r="E9804">
        <v>424003</v>
      </c>
      <c r="F9804" t="s">
        <v>1</v>
      </c>
      <c r="G9804" t="s">
        <v>2</v>
      </c>
      <c r="H9804" t="s">
        <v>7888</v>
      </c>
      <c r="Y9804" t="s">
        <v>37792</v>
      </c>
    </row>
    <row r="9805" spans="1:25" x14ac:dyDescent="0.25">
      <c r="A9805" t="str">
        <f>"120083325060"</f>
        <v>120083325060</v>
      </c>
      <c r="B9805" t="s">
        <v>3008</v>
      </c>
      <c r="C9805" t="s">
        <v>15744</v>
      </c>
      <c r="D9805" t="s">
        <v>37793</v>
      </c>
      <c r="E9805">
        <v>424004</v>
      </c>
      <c r="F9805" t="s">
        <v>1</v>
      </c>
      <c r="G9805" t="s">
        <v>2</v>
      </c>
      <c r="H9805" t="s">
        <v>351</v>
      </c>
      <c r="P9805" t="s">
        <v>280</v>
      </c>
      <c r="Y9805" t="s">
        <v>354</v>
      </c>
    </row>
    <row r="9806" spans="1:25" x14ac:dyDescent="0.25">
      <c r="A9806" t="str">
        <f>"120135801348"</f>
        <v>120135801348</v>
      </c>
      <c r="B9806" t="s">
        <v>18</v>
      </c>
      <c r="C9806" t="s">
        <v>12289</v>
      </c>
      <c r="D9806" t="s">
        <v>37794</v>
      </c>
      <c r="E9806">
        <v>424033</v>
      </c>
      <c r="F9806" t="s">
        <v>1</v>
      </c>
      <c r="G9806" t="s">
        <v>2</v>
      </c>
      <c r="H9806" t="s">
        <v>4300</v>
      </c>
      <c r="P9806" t="s">
        <v>15178</v>
      </c>
      <c r="Y9806" t="s">
        <v>37795</v>
      </c>
    </row>
    <row r="9807" spans="1:25" x14ac:dyDescent="0.25">
      <c r="A9807" t="str">
        <f>"120147110703"</f>
        <v>120147110703</v>
      </c>
      <c r="B9807" t="s">
        <v>841</v>
      </c>
      <c r="C9807" t="s">
        <v>31123</v>
      </c>
      <c r="D9807" t="s">
        <v>1340</v>
      </c>
      <c r="E9807">
        <v>424007</v>
      </c>
      <c r="F9807" t="s">
        <v>1</v>
      </c>
      <c r="G9807" t="s">
        <v>2</v>
      </c>
      <c r="H9807" t="s">
        <v>25707</v>
      </c>
      <c r="Y9807" t="s">
        <v>37796</v>
      </c>
    </row>
    <row r="9808" spans="1:25" x14ac:dyDescent="0.25">
      <c r="A9808" t="str">
        <f>"120148978523"</f>
        <v>120148978523</v>
      </c>
      <c r="B9808" t="s">
        <v>117</v>
      </c>
      <c r="C9808" t="s">
        <v>873</v>
      </c>
      <c r="D9808" t="s">
        <v>873</v>
      </c>
      <c r="E9808">
        <v>424006</v>
      </c>
      <c r="F9808" t="s">
        <v>1</v>
      </c>
      <c r="G9808" t="s">
        <v>2</v>
      </c>
      <c r="H9808" t="s">
        <v>4184</v>
      </c>
      <c r="Y9808" t="s">
        <v>37797</v>
      </c>
    </row>
    <row r="9809" spans="1:25" x14ac:dyDescent="0.25">
      <c r="A9809" t="str">
        <f>"120166941777"</f>
        <v>120166941777</v>
      </c>
      <c r="B9809" t="s">
        <v>2601</v>
      </c>
      <c r="C9809" t="s">
        <v>5375</v>
      </c>
      <c r="D9809" t="s">
        <v>37798</v>
      </c>
      <c r="E9809">
        <v>424007</v>
      </c>
      <c r="F9809" t="s">
        <v>1</v>
      </c>
      <c r="G9809" t="s">
        <v>2</v>
      </c>
      <c r="H9809" t="s">
        <v>22705</v>
      </c>
      <c r="P9809" t="s">
        <v>98</v>
      </c>
      <c r="V9809" t="s">
        <v>37799</v>
      </c>
      <c r="Y9809" t="s">
        <v>37800</v>
      </c>
    </row>
    <row r="9810" spans="1:25" x14ac:dyDescent="0.25">
      <c r="A9810" t="str">
        <f>"120202876411"</f>
        <v>120202876411</v>
      </c>
      <c r="B9810" t="s">
        <v>88</v>
      </c>
      <c r="C9810" t="s">
        <v>29119</v>
      </c>
      <c r="D9810" t="s">
        <v>37801</v>
      </c>
      <c r="E9810">
        <v>424006</v>
      </c>
      <c r="F9810" t="s">
        <v>1</v>
      </c>
      <c r="G9810" t="s">
        <v>2</v>
      </c>
      <c r="H9810" t="s">
        <v>478</v>
      </c>
      <c r="I9810" t="s">
        <v>37802</v>
      </c>
      <c r="L9810" t="s">
        <v>37803</v>
      </c>
      <c r="M9810" t="s">
        <v>37804</v>
      </c>
      <c r="P9810" t="s">
        <v>8911</v>
      </c>
      <c r="Y9810" t="s">
        <v>926</v>
      </c>
    </row>
    <row r="9811" spans="1:25" x14ac:dyDescent="0.25">
      <c r="A9811" t="str">
        <f>"120330658416"</f>
        <v>120330658416</v>
      </c>
      <c r="B9811" t="s">
        <v>284</v>
      </c>
      <c r="C9811" t="s">
        <v>37806</v>
      </c>
      <c r="D9811" t="s">
        <v>37805</v>
      </c>
      <c r="F9811" t="s">
        <v>1</v>
      </c>
      <c r="G9811" t="s">
        <v>2</v>
      </c>
      <c r="H9811" t="s">
        <v>27873</v>
      </c>
      <c r="Y9811" t="s">
        <v>37807</v>
      </c>
    </row>
    <row r="9812" spans="1:25" x14ac:dyDescent="0.25">
      <c r="A9812" t="str">
        <f>"120339573937"</f>
        <v>120339573937</v>
      </c>
      <c r="B9812" t="s">
        <v>703</v>
      </c>
      <c r="C9812" t="s">
        <v>14165</v>
      </c>
      <c r="D9812" t="s">
        <v>37808</v>
      </c>
      <c r="E9812">
        <v>424006</v>
      </c>
      <c r="F9812" t="s">
        <v>1</v>
      </c>
      <c r="G9812" t="s">
        <v>2</v>
      </c>
      <c r="H9812" t="s">
        <v>8622</v>
      </c>
      <c r="I9812" t="s">
        <v>37809</v>
      </c>
      <c r="L9812" t="s">
        <v>37810</v>
      </c>
      <c r="M9812" t="s">
        <v>37811</v>
      </c>
      <c r="P9812" t="s">
        <v>2580</v>
      </c>
      <c r="Q9812" t="s">
        <v>37812</v>
      </c>
      <c r="T9812" t="s">
        <v>37813</v>
      </c>
      <c r="U9812" t="s">
        <v>37814</v>
      </c>
      <c r="V9812" t="s">
        <v>37815</v>
      </c>
      <c r="Y9812" t="s">
        <v>8866</v>
      </c>
    </row>
    <row r="9813" spans="1:25" x14ac:dyDescent="0.25">
      <c r="A9813" t="str">
        <f>"120389503877"</f>
        <v>120389503877</v>
      </c>
      <c r="B9813" t="s">
        <v>1046</v>
      </c>
      <c r="C9813" t="s">
        <v>13439</v>
      </c>
      <c r="D9813" t="s">
        <v>37816</v>
      </c>
      <c r="E9813">
        <v>424032</v>
      </c>
      <c r="F9813" t="s">
        <v>1</v>
      </c>
      <c r="G9813" t="s">
        <v>2</v>
      </c>
      <c r="H9813" t="s">
        <v>7845</v>
      </c>
      <c r="I9813" t="s">
        <v>37817</v>
      </c>
      <c r="J9813" t="s">
        <v>37818</v>
      </c>
      <c r="P9813" t="s">
        <v>37819</v>
      </c>
      <c r="Y9813" t="s">
        <v>37820</v>
      </c>
    </row>
    <row r="9814" spans="1:25" x14ac:dyDescent="0.25">
      <c r="A9814" t="str">
        <f>"120389923054"</f>
        <v>120389923054</v>
      </c>
      <c r="B9814" t="s">
        <v>96</v>
      </c>
      <c r="C9814" t="s">
        <v>893</v>
      </c>
      <c r="D9814" t="s">
        <v>37821</v>
      </c>
      <c r="E9814">
        <v>424000</v>
      </c>
      <c r="F9814" t="s">
        <v>1</v>
      </c>
      <c r="G9814" t="s">
        <v>2</v>
      </c>
      <c r="H9814" t="s">
        <v>1473</v>
      </c>
      <c r="J9814" t="s">
        <v>37822</v>
      </c>
      <c r="P9814" t="s">
        <v>941</v>
      </c>
      <c r="Y9814" t="s">
        <v>4067</v>
      </c>
    </row>
    <row r="9815" spans="1:25" x14ac:dyDescent="0.25">
      <c r="A9815" t="str">
        <f>"120405554966"</f>
        <v>120405554966</v>
      </c>
      <c r="B9815" t="s">
        <v>930</v>
      </c>
      <c r="C9815" t="s">
        <v>24879</v>
      </c>
      <c r="D9815" t="s">
        <v>37823</v>
      </c>
      <c r="F9815" t="s">
        <v>1</v>
      </c>
      <c r="G9815" t="s">
        <v>2</v>
      </c>
      <c r="H9815" t="s">
        <v>25234</v>
      </c>
      <c r="J9815" t="s">
        <v>37824</v>
      </c>
      <c r="M9815" t="s">
        <v>37825</v>
      </c>
      <c r="P9815" t="s">
        <v>1270</v>
      </c>
      <c r="Y9815" t="s">
        <v>37826</v>
      </c>
    </row>
    <row r="9816" spans="1:25" x14ac:dyDescent="0.25">
      <c r="A9816" t="str">
        <f>"120414464874"</f>
        <v>120414464874</v>
      </c>
      <c r="B9816" t="s">
        <v>2178</v>
      </c>
      <c r="C9816" t="s">
        <v>3223</v>
      </c>
      <c r="D9816" t="s">
        <v>37827</v>
      </c>
      <c r="E9816">
        <v>424004</v>
      </c>
      <c r="F9816" t="s">
        <v>1</v>
      </c>
      <c r="G9816" t="s">
        <v>2</v>
      </c>
      <c r="H9816" t="s">
        <v>3183</v>
      </c>
      <c r="I9816" t="s">
        <v>37828</v>
      </c>
      <c r="P9816" t="s">
        <v>9</v>
      </c>
      <c r="Y9816" t="s">
        <v>37829</v>
      </c>
    </row>
    <row r="9817" spans="1:25" x14ac:dyDescent="0.25">
      <c r="A9817" t="str">
        <f>"120418483615"</f>
        <v>120418483615</v>
      </c>
      <c r="B9817" t="s">
        <v>123</v>
      </c>
      <c r="C9817" t="s">
        <v>196</v>
      </c>
      <c r="D9817" t="s">
        <v>37830</v>
      </c>
      <c r="F9817" t="s">
        <v>1</v>
      </c>
      <c r="G9817" t="s">
        <v>2</v>
      </c>
      <c r="H9817" t="s">
        <v>4857</v>
      </c>
      <c r="M9817" t="s">
        <v>37831</v>
      </c>
      <c r="P9817" t="s">
        <v>9533</v>
      </c>
      <c r="Y9817" t="s">
        <v>37832</v>
      </c>
    </row>
    <row r="9818" spans="1:25" x14ac:dyDescent="0.25">
      <c r="A9818" t="str">
        <f>"120440397660"</f>
        <v>120440397660</v>
      </c>
      <c r="B9818" t="s">
        <v>25</v>
      </c>
      <c r="C9818" t="s">
        <v>20320</v>
      </c>
      <c r="D9818" t="s">
        <v>37833</v>
      </c>
      <c r="F9818" t="s">
        <v>1</v>
      </c>
      <c r="G9818" t="s">
        <v>2</v>
      </c>
      <c r="H9818" t="s">
        <v>16051</v>
      </c>
      <c r="Y9818" t="s">
        <v>37834</v>
      </c>
    </row>
    <row r="9819" spans="1:25" x14ac:dyDescent="0.25">
      <c r="A9819" t="str">
        <f>"120468960340"</f>
        <v>120468960340</v>
      </c>
      <c r="B9819" t="s">
        <v>1046</v>
      </c>
      <c r="C9819" t="s">
        <v>37837</v>
      </c>
      <c r="D9819" t="s">
        <v>37835</v>
      </c>
      <c r="E9819">
        <v>424032</v>
      </c>
      <c r="F9819" t="s">
        <v>1</v>
      </c>
      <c r="G9819" t="s">
        <v>2</v>
      </c>
      <c r="H9819" t="s">
        <v>29920</v>
      </c>
      <c r="J9819" t="s">
        <v>37836</v>
      </c>
      <c r="P9819" t="s">
        <v>1642</v>
      </c>
      <c r="Q9819" t="s">
        <v>37838</v>
      </c>
      <c r="Y9819" t="s">
        <v>37839</v>
      </c>
    </row>
    <row r="9820" spans="1:25" x14ac:dyDescent="0.25">
      <c r="A9820" t="str">
        <f>"120495140629"</f>
        <v>120495140629</v>
      </c>
      <c r="B9820" t="s">
        <v>96</v>
      </c>
      <c r="C9820" t="s">
        <v>11891</v>
      </c>
      <c r="D9820" t="s">
        <v>37840</v>
      </c>
      <c r="E9820">
        <v>424918</v>
      </c>
      <c r="F9820" t="s">
        <v>1</v>
      </c>
      <c r="G9820" t="s">
        <v>2</v>
      </c>
      <c r="H9820" t="s">
        <v>629</v>
      </c>
      <c r="P9820" t="s">
        <v>630</v>
      </c>
      <c r="Y9820" t="s">
        <v>37841</v>
      </c>
    </row>
    <row r="9821" spans="1:25" x14ac:dyDescent="0.25">
      <c r="A9821" t="str">
        <f>"120504142015"</f>
        <v>120504142015</v>
      </c>
      <c r="B9821" t="s">
        <v>1362</v>
      </c>
      <c r="C9821" t="s">
        <v>8728</v>
      </c>
      <c r="D9821" t="s">
        <v>37842</v>
      </c>
      <c r="E9821">
        <v>424004</v>
      </c>
      <c r="F9821" t="s">
        <v>1</v>
      </c>
      <c r="G9821" t="s">
        <v>2</v>
      </c>
      <c r="H9821" t="s">
        <v>351</v>
      </c>
      <c r="I9821" t="s">
        <v>37843</v>
      </c>
      <c r="P9821" t="s">
        <v>869</v>
      </c>
      <c r="Y9821" t="s">
        <v>354</v>
      </c>
    </row>
    <row r="9822" spans="1:25" x14ac:dyDescent="0.25">
      <c r="A9822" t="str">
        <f>"120526367318"</f>
        <v>120526367318</v>
      </c>
      <c r="B9822" t="s">
        <v>18</v>
      </c>
      <c r="C9822" t="s">
        <v>37848</v>
      </c>
      <c r="D9822" t="s">
        <v>37844</v>
      </c>
      <c r="E9822">
        <v>424038</v>
      </c>
      <c r="F9822" t="s">
        <v>1</v>
      </c>
      <c r="G9822" t="s">
        <v>2</v>
      </c>
      <c r="H9822" t="s">
        <v>9930</v>
      </c>
      <c r="I9822" t="s">
        <v>37845</v>
      </c>
      <c r="L9822" t="s">
        <v>37846</v>
      </c>
      <c r="M9822" t="s">
        <v>37847</v>
      </c>
      <c r="P9822" t="s">
        <v>60</v>
      </c>
      <c r="Y9822" t="s">
        <v>37849</v>
      </c>
    </row>
    <row r="9823" spans="1:25" x14ac:dyDescent="0.25">
      <c r="A9823" t="str">
        <f>"120575579708"</f>
        <v>120575579708</v>
      </c>
      <c r="B9823" t="s">
        <v>930</v>
      </c>
      <c r="C9823" t="s">
        <v>11882</v>
      </c>
      <c r="D9823" t="s">
        <v>1094</v>
      </c>
      <c r="E9823">
        <v>424004</v>
      </c>
      <c r="F9823" t="s">
        <v>1</v>
      </c>
      <c r="G9823" t="s">
        <v>2</v>
      </c>
      <c r="H9823" t="s">
        <v>37850</v>
      </c>
      <c r="Y9823" t="s">
        <v>37851</v>
      </c>
    </row>
    <row r="9824" spans="1:25" x14ac:dyDescent="0.25">
      <c r="A9824" t="str">
        <f>"120615408290"</f>
        <v>120615408290</v>
      </c>
      <c r="B9824" t="s">
        <v>18</v>
      </c>
      <c r="C9824" t="s">
        <v>37856</v>
      </c>
      <c r="D9824" t="s">
        <v>37852</v>
      </c>
      <c r="F9824" t="s">
        <v>1</v>
      </c>
      <c r="G9824" t="s">
        <v>2</v>
      </c>
      <c r="H9824" t="s">
        <v>2770</v>
      </c>
      <c r="I9824" t="s">
        <v>37853</v>
      </c>
      <c r="L9824" t="s">
        <v>37854</v>
      </c>
      <c r="M9824" t="s">
        <v>37855</v>
      </c>
      <c r="P9824" t="s">
        <v>584</v>
      </c>
      <c r="T9824" t="s">
        <v>37857</v>
      </c>
      <c r="Y9824" t="s">
        <v>119</v>
      </c>
    </row>
    <row r="9825" spans="1:25" x14ac:dyDescent="0.25">
      <c r="A9825" t="str">
        <f>"120615667522"</f>
        <v>120615667522</v>
      </c>
      <c r="B9825" t="s">
        <v>176</v>
      </c>
      <c r="C9825" t="s">
        <v>279</v>
      </c>
      <c r="D9825" t="s">
        <v>37858</v>
      </c>
      <c r="E9825">
        <v>424002</v>
      </c>
      <c r="F9825" t="s">
        <v>1</v>
      </c>
      <c r="G9825" t="s">
        <v>2</v>
      </c>
      <c r="H9825" t="s">
        <v>13843</v>
      </c>
      <c r="L9825" t="s">
        <v>14566</v>
      </c>
      <c r="M9825" t="s">
        <v>35664</v>
      </c>
      <c r="P9825" t="s">
        <v>20</v>
      </c>
      <c r="Q9825" t="s">
        <v>37859</v>
      </c>
      <c r="Y9825" t="s">
        <v>37860</v>
      </c>
    </row>
    <row r="9826" spans="1:25" x14ac:dyDescent="0.25">
      <c r="A9826" t="str">
        <f>"120667579425"</f>
        <v>120667579425</v>
      </c>
      <c r="B9826" t="s">
        <v>530</v>
      </c>
      <c r="C9826" t="s">
        <v>23950</v>
      </c>
      <c r="D9826" t="s">
        <v>23950</v>
      </c>
      <c r="E9826">
        <v>424039</v>
      </c>
      <c r="F9826" t="s">
        <v>1</v>
      </c>
      <c r="G9826" t="s">
        <v>2</v>
      </c>
      <c r="H9826" t="s">
        <v>37861</v>
      </c>
      <c r="Y9826" t="s">
        <v>37862</v>
      </c>
    </row>
    <row r="9827" spans="1:25" x14ac:dyDescent="0.25">
      <c r="A9827" t="str">
        <f>"120684924465"</f>
        <v>120684924465</v>
      </c>
      <c r="B9827" t="s">
        <v>18</v>
      </c>
      <c r="C9827" t="s">
        <v>37863</v>
      </c>
      <c r="D9827" t="s">
        <v>6813</v>
      </c>
      <c r="E9827">
        <v>424004</v>
      </c>
      <c r="F9827" t="s">
        <v>1</v>
      </c>
      <c r="G9827" t="s">
        <v>2</v>
      </c>
      <c r="H9827" t="s">
        <v>2589</v>
      </c>
      <c r="Y9827" t="s">
        <v>37864</v>
      </c>
    </row>
    <row r="9828" spans="1:25" x14ac:dyDescent="0.25">
      <c r="A9828" t="str">
        <f>"120686915746"</f>
        <v>120686915746</v>
      </c>
      <c r="B9828" t="s">
        <v>574</v>
      </c>
      <c r="C9828" t="s">
        <v>23572</v>
      </c>
      <c r="D9828" t="s">
        <v>37865</v>
      </c>
      <c r="E9828">
        <v>424003</v>
      </c>
      <c r="F9828" t="s">
        <v>1</v>
      </c>
      <c r="G9828" t="s">
        <v>2</v>
      </c>
      <c r="H9828" t="s">
        <v>4546</v>
      </c>
      <c r="Y9828" t="s">
        <v>37866</v>
      </c>
    </row>
    <row r="9829" spans="1:25" x14ac:dyDescent="0.25">
      <c r="A9829" t="str">
        <f>"120723057712"</f>
        <v>120723057712</v>
      </c>
      <c r="B9829" t="s">
        <v>703</v>
      </c>
      <c r="C9829" t="s">
        <v>2129</v>
      </c>
      <c r="D9829" t="s">
        <v>37867</v>
      </c>
      <c r="F9829" t="s">
        <v>1</v>
      </c>
      <c r="G9829" t="s">
        <v>2</v>
      </c>
      <c r="H9829" t="s">
        <v>4315</v>
      </c>
      <c r="I9829" t="s">
        <v>37868</v>
      </c>
      <c r="P9829" t="s">
        <v>280</v>
      </c>
      <c r="Y9829" t="s">
        <v>4319</v>
      </c>
    </row>
    <row r="9830" spans="1:25" x14ac:dyDescent="0.25">
      <c r="A9830" t="str">
        <f>"120830710332"</f>
        <v>120830710332</v>
      </c>
      <c r="B9830" t="s">
        <v>123</v>
      </c>
      <c r="C9830" t="s">
        <v>424</v>
      </c>
      <c r="D9830" t="s">
        <v>37869</v>
      </c>
      <c r="E9830">
        <v>424007</v>
      </c>
      <c r="F9830" t="s">
        <v>1</v>
      </c>
      <c r="G9830" t="s">
        <v>2</v>
      </c>
      <c r="H9830" t="s">
        <v>37870</v>
      </c>
      <c r="J9830" t="s">
        <v>37871</v>
      </c>
      <c r="P9830" t="s">
        <v>4998</v>
      </c>
      <c r="Y9830" t="s">
        <v>37872</v>
      </c>
    </row>
    <row r="9831" spans="1:25" x14ac:dyDescent="0.25">
      <c r="A9831" t="str">
        <f>"120841360633"</f>
        <v>120841360633</v>
      </c>
      <c r="B9831" t="s">
        <v>1222</v>
      </c>
      <c r="C9831" t="s">
        <v>2114</v>
      </c>
      <c r="D9831" t="s">
        <v>22058</v>
      </c>
      <c r="F9831" t="s">
        <v>1</v>
      </c>
      <c r="G9831" t="s">
        <v>2</v>
      </c>
      <c r="H9831" t="s">
        <v>10984</v>
      </c>
      <c r="J9831" t="s">
        <v>22059</v>
      </c>
      <c r="P9831" t="s">
        <v>330</v>
      </c>
      <c r="Y9831" t="s">
        <v>10988</v>
      </c>
    </row>
    <row r="9832" spans="1:25" x14ac:dyDescent="0.25">
      <c r="A9832" t="str">
        <f>"120894437243"</f>
        <v>120894437243</v>
      </c>
      <c r="B9832" t="s">
        <v>96</v>
      </c>
      <c r="C9832" t="s">
        <v>2285</v>
      </c>
      <c r="D9832" t="s">
        <v>3470</v>
      </c>
      <c r="E9832">
        <v>424918</v>
      </c>
      <c r="F9832" t="s">
        <v>1</v>
      </c>
      <c r="G9832" t="s">
        <v>2</v>
      </c>
      <c r="H9832" t="s">
        <v>629</v>
      </c>
      <c r="P9832" t="s">
        <v>630</v>
      </c>
      <c r="Y9832" t="s">
        <v>1744</v>
      </c>
    </row>
    <row r="9833" spans="1:25" x14ac:dyDescent="0.25">
      <c r="A9833" t="str">
        <f>"120894711037"</f>
        <v>120894711037</v>
      </c>
      <c r="B9833" t="s">
        <v>1053</v>
      </c>
      <c r="C9833" t="s">
        <v>1927</v>
      </c>
      <c r="D9833" t="s">
        <v>37873</v>
      </c>
      <c r="E9833">
        <v>424002</v>
      </c>
      <c r="F9833" t="s">
        <v>1</v>
      </c>
      <c r="G9833" t="s">
        <v>2</v>
      </c>
      <c r="H9833" t="s">
        <v>37874</v>
      </c>
      <c r="I9833" t="s">
        <v>31989</v>
      </c>
      <c r="M9833" t="s">
        <v>37875</v>
      </c>
      <c r="P9833" t="s">
        <v>27</v>
      </c>
      <c r="Y9833" t="s">
        <v>37876</v>
      </c>
    </row>
    <row r="9834" spans="1:25" x14ac:dyDescent="0.25">
      <c r="A9834" t="str">
        <f>"120926504395"</f>
        <v>120926504395</v>
      </c>
      <c r="B9834" t="s">
        <v>151</v>
      </c>
      <c r="C9834" t="s">
        <v>37881</v>
      </c>
      <c r="D9834" t="s">
        <v>37877</v>
      </c>
      <c r="E9834">
        <v>424007</v>
      </c>
      <c r="F9834" t="s">
        <v>1</v>
      </c>
      <c r="G9834" t="s">
        <v>2</v>
      </c>
      <c r="H9834" t="s">
        <v>4869</v>
      </c>
      <c r="J9834" t="s">
        <v>37878</v>
      </c>
      <c r="L9834" t="s">
        <v>37879</v>
      </c>
      <c r="M9834" t="s">
        <v>37880</v>
      </c>
      <c r="P9834" t="s">
        <v>133</v>
      </c>
      <c r="Y9834" t="s">
        <v>4872</v>
      </c>
    </row>
    <row r="9835" spans="1:25" x14ac:dyDescent="0.25">
      <c r="A9835" t="str">
        <f>"120951842211"</f>
        <v>120951842211</v>
      </c>
      <c r="B9835" t="s">
        <v>96</v>
      </c>
      <c r="C9835" t="s">
        <v>893</v>
      </c>
      <c r="D9835" t="s">
        <v>21790</v>
      </c>
      <c r="E9835">
        <v>424003</v>
      </c>
      <c r="F9835" t="s">
        <v>1</v>
      </c>
      <c r="G9835" t="s">
        <v>2</v>
      </c>
      <c r="H9835" t="s">
        <v>7888</v>
      </c>
      <c r="P9835" t="s">
        <v>1404</v>
      </c>
      <c r="Y9835" t="s">
        <v>33934</v>
      </c>
    </row>
    <row r="9836" spans="1:25" x14ac:dyDescent="0.25">
      <c r="A9836" t="str">
        <f>"121000871980"</f>
        <v>121000871980</v>
      </c>
      <c r="B9836" t="s">
        <v>10383</v>
      </c>
      <c r="C9836" t="s">
        <v>24146</v>
      </c>
      <c r="D9836" t="s">
        <v>24146</v>
      </c>
      <c r="E9836">
        <v>424004</v>
      </c>
      <c r="F9836" t="s">
        <v>1</v>
      </c>
      <c r="G9836" t="s">
        <v>2</v>
      </c>
      <c r="H9836" t="s">
        <v>25965</v>
      </c>
      <c r="Y9836" t="s">
        <v>37882</v>
      </c>
    </row>
    <row r="9837" spans="1:25" x14ac:dyDescent="0.25">
      <c r="A9837" t="str">
        <f>"121019768261"</f>
        <v>121019768261</v>
      </c>
      <c r="B9837" t="s">
        <v>151</v>
      </c>
      <c r="C9837" t="s">
        <v>151</v>
      </c>
      <c r="D9837" t="s">
        <v>37883</v>
      </c>
      <c r="E9837">
        <v>424000</v>
      </c>
      <c r="F9837" t="s">
        <v>1</v>
      </c>
      <c r="G9837" t="s">
        <v>2</v>
      </c>
      <c r="H9837" t="s">
        <v>1531</v>
      </c>
      <c r="I9837" t="s">
        <v>37884</v>
      </c>
      <c r="L9837" t="s">
        <v>37885</v>
      </c>
      <c r="M9837" t="s">
        <v>37886</v>
      </c>
      <c r="P9837" t="s">
        <v>37887</v>
      </c>
      <c r="Q9837" t="s">
        <v>37888</v>
      </c>
      <c r="R9837" t="s">
        <v>37889</v>
      </c>
      <c r="T9837" t="s">
        <v>37890</v>
      </c>
      <c r="U9837" t="s">
        <v>37891</v>
      </c>
      <c r="V9837" t="s">
        <v>37892</v>
      </c>
      <c r="Y9837" t="s">
        <v>37893</v>
      </c>
    </row>
    <row r="9838" spans="1:25" x14ac:dyDescent="0.25">
      <c r="A9838" t="str">
        <f>"121024815446"</f>
        <v>121024815446</v>
      </c>
      <c r="B9838" t="s">
        <v>96</v>
      </c>
      <c r="C9838" t="s">
        <v>37896</v>
      </c>
      <c r="D9838" t="s">
        <v>37894</v>
      </c>
      <c r="E9838">
        <v>424000</v>
      </c>
      <c r="F9838" t="s">
        <v>1</v>
      </c>
      <c r="G9838" t="s">
        <v>2</v>
      </c>
      <c r="H9838" t="s">
        <v>3483</v>
      </c>
      <c r="J9838" t="s">
        <v>37895</v>
      </c>
      <c r="V9838" t="s">
        <v>37897</v>
      </c>
      <c r="Y9838" t="s">
        <v>37898</v>
      </c>
    </row>
    <row r="9839" spans="1:25" x14ac:dyDescent="0.25">
      <c r="A9839" t="str">
        <f>"121056964706"</f>
        <v>121056964706</v>
      </c>
      <c r="B9839" t="s">
        <v>25</v>
      </c>
      <c r="C9839" t="s">
        <v>24938</v>
      </c>
      <c r="D9839" t="s">
        <v>37899</v>
      </c>
      <c r="E9839">
        <v>424003</v>
      </c>
      <c r="F9839" t="s">
        <v>1</v>
      </c>
      <c r="G9839" t="s">
        <v>2</v>
      </c>
      <c r="H9839" t="s">
        <v>25731</v>
      </c>
      <c r="I9839" t="s">
        <v>24022</v>
      </c>
      <c r="L9839" t="s">
        <v>37900</v>
      </c>
      <c r="M9839" t="s">
        <v>37901</v>
      </c>
      <c r="Y9839" t="s">
        <v>37902</v>
      </c>
    </row>
    <row r="9840" spans="1:25" x14ac:dyDescent="0.25">
      <c r="A9840" t="str">
        <f>"121062783705"</f>
        <v>121062783705</v>
      </c>
      <c r="B9840" t="s">
        <v>319</v>
      </c>
      <c r="C9840" t="s">
        <v>320</v>
      </c>
      <c r="D9840" t="s">
        <v>36459</v>
      </c>
      <c r="F9840" t="s">
        <v>1</v>
      </c>
      <c r="G9840" t="s">
        <v>2</v>
      </c>
      <c r="H9840" t="s">
        <v>19666</v>
      </c>
      <c r="J9840" t="s">
        <v>37903</v>
      </c>
      <c r="L9840" t="s">
        <v>2559</v>
      </c>
      <c r="M9840" t="s">
        <v>17901</v>
      </c>
      <c r="P9840" t="s">
        <v>37904</v>
      </c>
      <c r="Y9840" t="s">
        <v>20114</v>
      </c>
    </row>
    <row r="9841" spans="1:25" x14ac:dyDescent="0.25">
      <c r="A9841" t="str">
        <f>"121106236127"</f>
        <v>121106236127</v>
      </c>
      <c r="B9841" t="s">
        <v>352</v>
      </c>
      <c r="C9841" t="s">
        <v>37907</v>
      </c>
      <c r="D9841" t="s">
        <v>37905</v>
      </c>
      <c r="E9841">
        <v>424002</v>
      </c>
      <c r="F9841" t="s">
        <v>1</v>
      </c>
      <c r="G9841" t="s">
        <v>2</v>
      </c>
      <c r="H9841" t="s">
        <v>5692</v>
      </c>
      <c r="J9841" t="s">
        <v>37906</v>
      </c>
      <c r="P9841" t="s">
        <v>260</v>
      </c>
      <c r="Y9841" t="s">
        <v>11243</v>
      </c>
    </row>
    <row r="9842" spans="1:25" x14ac:dyDescent="0.25">
      <c r="A9842" t="str">
        <f>"121123122032"</f>
        <v>121123122032</v>
      </c>
      <c r="B9842" t="s">
        <v>328</v>
      </c>
      <c r="C9842" t="s">
        <v>1920</v>
      </c>
      <c r="D9842" t="s">
        <v>37908</v>
      </c>
      <c r="E9842">
        <v>424004</v>
      </c>
      <c r="F9842" t="s">
        <v>1</v>
      </c>
      <c r="G9842" t="s">
        <v>2</v>
      </c>
      <c r="H9842" t="s">
        <v>186</v>
      </c>
      <c r="I9842" t="s">
        <v>37909</v>
      </c>
      <c r="P9842" t="s">
        <v>20</v>
      </c>
      <c r="Y9842" t="s">
        <v>190</v>
      </c>
    </row>
    <row r="9843" spans="1:25" x14ac:dyDescent="0.25">
      <c r="A9843" t="str">
        <f>"121167176916"</f>
        <v>121167176916</v>
      </c>
      <c r="B9843" t="s">
        <v>482</v>
      </c>
      <c r="C9843" t="s">
        <v>483</v>
      </c>
      <c r="D9843" t="s">
        <v>37910</v>
      </c>
      <c r="E9843">
        <v>424028</v>
      </c>
      <c r="F9843" t="s">
        <v>1</v>
      </c>
      <c r="G9843" t="s">
        <v>2</v>
      </c>
      <c r="H9843" t="s">
        <v>1447</v>
      </c>
      <c r="I9843" t="s">
        <v>1448</v>
      </c>
      <c r="L9843" t="s">
        <v>1450</v>
      </c>
      <c r="M9843" t="s">
        <v>37911</v>
      </c>
      <c r="P9843" t="s">
        <v>27</v>
      </c>
      <c r="Q9843" t="s">
        <v>37912</v>
      </c>
      <c r="T9843" t="s">
        <v>37913</v>
      </c>
      <c r="Y9843" t="s">
        <v>37914</v>
      </c>
    </row>
    <row r="9844" spans="1:25" x14ac:dyDescent="0.25">
      <c r="A9844" t="str">
        <f>"121185013354"</f>
        <v>121185013354</v>
      </c>
      <c r="B9844" t="s">
        <v>1152</v>
      </c>
      <c r="C9844" t="s">
        <v>20846</v>
      </c>
      <c r="D9844" t="s">
        <v>37915</v>
      </c>
      <c r="E9844">
        <v>424028</v>
      </c>
      <c r="F9844" t="s">
        <v>1</v>
      </c>
      <c r="G9844" t="s">
        <v>2</v>
      </c>
      <c r="H9844" t="s">
        <v>7204</v>
      </c>
      <c r="I9844" t="s">
        <v>37916</v>
      </c>
      <c r="P9844" t="s">
        <v>2572</v>
      </c>
      <c r="Y9844" t="s">
        <v>37917</v>
      </c>
    </row>
    <row r="9845" spans="1:25" x14ac:dyDescent="0.25">
      <c r="A9845" t="str">
        <f>"121206402049"</f>
        <v>121206402049</v>
      </c>
      <c r="B9845" t="s">
        <v>1152</v>
      </c>
      <c r="C9845" t="s">
        <v>1153</v>
      </c>
      <c r="D9845" t="s">
        <v>24071</v>
      </c>
      <c r="E9845">
        <v>424002</v>
      </c>
      <c r="F9845" t="s">
        <v>1</v>
      </c>
      <c r="G9845" t="s">
        <v>2</v>
      </c>
      <c r="H9845" t="s">
        <v>11581</v>
      </c>
      <c r="Y9845" t="s">
        <v>37918</v>
      </c>
    </row>
    <row r="9846" spans="1:25" x14ac:dyDescent="0.25">
      <c r="A9846" t="str">
        <f>"121272706605"</f>
        <v>121272706605</v>
      </c>
      <c r="B9846" t="s">
        <v>1544</v>
      </c>
      <c r="C9846" t="s">
        <v>15598</v>
      </c>
      <c r="D9846" t="s">
        <v>15812</v>
      </c>
      <c r="E9846">
        <v>424004</v>
      </c>
      <c r="F9846" t="s">
        <v>1</v>
      </c>
      <c r="G9846" t="s">
        <v>2</v>
      </c>
      <c r="H9846" t="s">
        <v>351</v>
      </c>
      <c r="Y9846" t="s">
        <v>37919</v>
      </c>
    </row>
    <row r="9847" spans="1:25" x14ac:dyDescent="0.25">
      <c r="A9847" t="str">
        <f>"121319098199"</f>
        <v>121319098199</v>
      </c>
      <c r="B9847" t="s">
        <v>3573</v>
      </c>
      <c r="C9847" t="s">
        <v>3644</v>
      </c>
      <c r="D9847" t="s">
        <v>37920</v>
      </c>
      <c r="E9847">
        <v>424008</v>
      </c>
      <c r="F9847" t="s">
        <v>1</v>
      </c>
      <c r="G9847" t="s">
        <v>2</v>
      </c>
      <c r="H9847" t="s">
        <v>1012</v>
      </c>
      <c r="L9847" t="s">
        <v>37921</v>
      </c>
      <c r="M9847" t="s">
        <v>37922</v>
      </c>
      <c r="Y9847" t="s">
        <v>1016</v>
      </c>
    </row>
    <row r="9848" spans="1:25" x14ac:dyDescent="0.25">
      <c r="A9848" t="str">
        <f>"121361084132"</f>
        <v>121361084132</v>
      </c>
      <c r="B9848" t="s">
        <v>530</v>
      </c>
      <c r="C9848" t="s">
        <v>23950</v>
      </c>
      <c r="D9848" t="s">
        <v>23950</v>
      </c>
      <c r="E9848">
        <v>424007</v>
      </c>
      <c r="F9848" t="s">
        <v>1</v>
      </c>
      <c r="G9848" t="s">
        <v>2</v>
      </c>
      <c r="H9848" t="s">
        <v>37923</v>
      </c>
      <c r="Y9848" t="s">
        <v>37924</v>
      </c>
    </row>
    <row r="9849" spans="1:25" x14ac:dyDescent="0.25">
      <c r="A9849" t="str">
        <f>"121366443672"</f>
        <v>121366443672</v>
      </c>
      <c r="B9849" t="s">
        <v>1573</v>
      </c>
      <c r="C9849" t="s">
        <v>37926</v>
      </c>
      <c r="D9849" t="s">
        <v>37925</v>
      </c>
      <c r="E9849">
        <v>424028</v>
      </c>
      <c r="F9849" t="s">
        <v>1</v>
      </c>
      <c r="G9849" t="s">
        <v>2</v>
      </c>
      <c r="H9849" t="s">
        <v>3359</v>
      </c>
      <c r="Y9849" t="s">
        <v>37927</v>
      </c>
    </row>
    <row r="9850" spans="1:25" x14ac:dyDescent="0.25">
      <c r="A9850" t="str">
        <f>"121371994726"</f>
        <v>121371994726</v>
      </c>
      <c r="B9850" t="s">
        <v>456</v>
      </c>
      <c r="C9850" t="s">
        <v>37933</v>
      </c>
      <c r="D9850" t="s">
        <v>37928</v>
      </c>
      <c r="F9850" t="s">
        <v>1</v>
      </c>
      <c r="G9850" t="s">
        <v>2</v>
      </c>
      <c r="H9850" t="s">
        <v>138</v>
      </c>
      <c r="I9850" t="s">
        <v>37929</v>
      </c>
      <c r="J9850" t="s">
        <v>37930</v>
      </c>
      <c r="L9850" t="s">
        <v>37931</v>
      </c>
      <c r="M9850" t="s">
        <v>37932</v>
      </c>
      <c r="P9850" t="s">
        <v>1027</v>
      </c>
      <c r="Q9850" t="s">
        <v>37934</v>
      </c>
      <c r="R9850" t="s">
        <v>37935</v>
      </c>
      <c r="T9850" t="s">
        <v>37936</v>
      </c>
      <c r="V9850" t="s">
        <v>37937</v>
      </c>
      <c r="Y9850" t="s">
        <v>146</v>
      </c>
    </row>
    <row r="9851" spans="1:25" x14ac:dyDescent="0.25">
      <c r="A9851" t="str">
        <f>"121388627084"</f>
        <v>121388627084</v>
      </c>
      <c r="B9851" t="s">
        <v>96</v>
      </c>
      <c r="C9851" t="s">
        <v>893</v>
      </c>
      <c r="D9851" t="s">
        <v>37938</v>
      </c>
      <c r="E9851">
        <v>424918</v>
      </c>
      <c r="F9851" t="s">
        <v>1</v>
      </c>
      <c r="G9851" t="s">
        <v>2</v>
      </c>
      <c r="H9851" t="s">
        <v>629</v>
      </c>
      <c r="P9851" t="s">
        <v>630</v>
      </c>
      <c r="Y9851" t="s">
        <v>37939</v>
      </c>
    </row>
    <row r="9852" spans="1:25" x14ac:dyDescent="0.25">
      <c r="A9852" t="str">
        <f>"121397022399"</f>
        <v>121397022399</v>
      </c>
      <c r="B9852" t="s">
        <v>530</v>
      </c>
      <c r="C9852" t="s">
        <v>23950</v>
      </c>
      <c r="D9852" t="s">
        <v>23950</v>
      </c>
      <c r="F9852" t="s">
        <v>1</v>
      </c>
      <c r="G9852" t="s">
        <v>2</v>
      </c>
      <c r="H9852" t="s">
        <v>32004</v>
      </c>
      <c r="Y9852" t="s">
        <v>37940</v>
      </c>
    </row>
    <row r="9853" spans="1:25" x14ac:dyDescent="0.25">
      <c r="A9853" t="str">
        <f>"121398201586"</f>
        <v>121398201586</v>
      </c>
      <c r="B9853" t="s">
        <v>703</v>
      </c>
      <c r="C9853" t="s">
        <v>3518</v>
      </c>
      <c r="D9853" t="s">
        <v>37941</v>
      </c>
      <c r="E9853">
        <v>424008</v>
      </c>
      <c r="F9853" t="s">
        <v>1</v>
      </c>
      <c r="G9853" t="s">
        <v>2</v>
      </c>
      <c r="H9853" t="s">
        <v>37942</v>
      </c>
      <c r="I9853" t="s">
        <v>37943</v>
      </c>
      <c r="P9853" t="s">
        <v>280</v>
      </c>
      <c r="Y9853" t="s">
        <v>37944</v>
      </c>
    </row>
    <row r="9854" spans="1:25" x14ac:dyDescent="0.25">
      <c r="A9854" t="str">
        <f>"121412198283"</f>
        <v>121412198283</v>
      </c>
      <c r="B9854" t="s">
        <v>188</v>
      </c>
      <c r="C9854" t="s">
        <v>37949</v>
      </c>
      <c r="D9854" t="s">
        <v>37945</v>
      </c>
      <c r="E9854">
        <v>424006</v>
      </c>
      <c r="F9854" t="s">
        <v>1</v>
      </c>
      <c r="G9854" t="s">
        <v>2</v>
      </c>
      <c r="H9854" t="s">
        <v>19055</v>
      </c>
      <c r="I9854" t="s">
        <v>37946</v>
      </c>
      <c r="L9854" t="s">
        <v>37947</v>
      </c>
      <c r="M9854" t="s">
        <v>37948</v>
      </c>
      <c r="P9854" t="s">
        <v>5892</v>
      </c>
      <c r="Q9854" t="s">
        <v>37950</v>
      </c>
      <c r="R9854" t="s">
        <v>37951</v>
      </c>
      <c r="T9854" t="s">
        <v>37952</v>
      </c>
      <c r="U9854" t="s">
        <v>37953</v>
      </c>
      <c r="V9854" t="s">
        <v>37954</v>
      </c>
      <c r="Y9854" t="s">
        <v>37955</v>
      </c>
    </row>
    <row r="9855" spans="1:25" x14ac:dyDescent="0.25">
      <c r="A9855" t="str">
        <f>"121471459870"</f>
        <v>121471459870</v>
      </c>
      <c r="B9855" t="s">
        <v>67</v>
      </c>
      <c r="C9855" t="s">
        <v>269</v>
      </c>
      <c r="D9855" t="s">
        <v>62</v>
      </c>
      <c r="E9855">
        <v>424039</v>
      </c>
      <c r="F9855" t="s">
        <v>1</v>
      </c>
      <c r="G9855" t="s">
        <v>2</v>
      </c>
      <c r="H9855" t="s">
        <v>63</v>
      </c>
      <c r="Y9855" t="s">
        <v>37956</v>
      </c>
    </row>
    <row r="9856" spans="1:25" x14ac:dyDescent="0.25">
      <c r="A9856" t="str">
        <f>"121509199931"</f>
        <v>121509199931</v>
      </c>
      <c r="B9856" t="s">
        <v>123</v>
      </c>
      <c r="C9856" t="s">
        <v>10769</v>
      </c>
      <c r="D9856" t="s">
        <v>37957</v>
      </c>
      <c r="E9856">
        <v>424033</v>
      </c>
      <c r="F9856" t="s">
        <v>1</v>
      </c>
      <c r="G9856" t="s">
        <v>2</v>
      </c>
      <c r="H9856" t="s">
        <v>3984</v>
      </c>
      <c r="I9856" t="s">
        <v>14620</v>
      </c>
      <c r="Y9856" t="s">
        <v>4409</v>
      </c>
    </row>
    <row r="9857" spans="1:25" x14ac:dyDescent="0.25">
      <c r="A9857" t="str">
        <f>"121536915348"</f>
        <v>121536915348</v>
      </c>
      <c r="B9857" t="s">
        <v>574</v>
      </c>
      <c r="C9857" t="s">
        <v>21020</v>
      </c>
      <c r="D9857" t="s">
        <v>25486</v>
      </c>
      <c r="E9857">
        <v>424003</v>
      </c>
      <c r="F9857" t="s">
        <v>1</v>
      </c>
      <c r="G9857" t="s">
        <v>2</v>
      </c>
      <c r="H9857" t="s">
        <v>21660</v>
      </c>
      <c r="Y9857" t="s">
        <v>37958</v>
      </c>
    </row>
    <row r="9858" spans="1:25" x14ac:dyDescent="0.25">
      <c r="A9858" t="str">
        <f>"121560492458"</f>
        <v>121560492458</v>
      </c>
      <c r="B9858" t="s">
        <v>2062</v>
      </c>
      <c r="C9858" t="s">
        <v>2063</v>
      </c>
      <c r="D9858" t="s">
        <v>37959</v>
      </c>
      <c r="E9858">
        <v>424031</v>
      </c>
      <c r="F9858" t="s">
        <v>1</v>
      </c>
      <c r="G9858" t="s">
        <v>2</v>
      </c>
      <c r="H9858" t="s">
        <v>239</v>
      </c>
      <c r="J9858" t="s">
        <v>37960</v>
      </c>
      <c r="L9858" t="s">
        <v>37961</v>
      </c>
      <c r="M9858" t="s">
        <v>37962</v>
      </c>
      <c r="P9858" t="s">
        <v>37963</v>
      </c>
      <c r="T9858" t="s">
        <v>37964</v>
      </c>
      <c r="Y9858" t="s">
        <v>37965</v>
      </c>
    </row>
    <row r="9859" spans="1:25" x14ac:dyDescent="0.25">
      <c r="A9859" t="str">
        <f>"121564942738"</f>
        <v>121564942738</v>
      </c>
      <c r="B9859" t="s">
        <v>703</v>
      </c>
      <c r="C9859" t="s">
        <v>37970</v>
      </c>
      <c r="D9859" t="s">
        <v>37966</v>
      </c>
      <c r="E9859">
        <v>424019</v>
      </c>
      <c r="F9859" t="s">
        <v>1</v>
      </c>
      <c r="G9859" t="s">
        <v>2</v>
      </c>
      <c r="H9859" t="s">
        <v>20084</v>
      </c>
      <c r="I9859" t="s">
        <v>37967</v>
      </c>
      <c r="J9859" t="s">
        <v>37968</v>
      </c>
      <c r="M9859" t="s">
        <v>37969</v>
      </c>
      <c r="P9859" t="s">
        <v>27</v>
      </c>
      <c r="Q9859" t="s">
        <v>37971</v>
      </c>
      <c r="Y9859" t="s">
        <v>37972</v>
      </c>
    </row>
    <row r="9860" spans="1:25" x14ac:dyDescent="0.25">
      <c r="A9860" t="str">
        <f>"121649059444"</f>
        <v>121649059444</v>
      </c>
      <c r="B9860" t="s">
        <v>25664</v>
      </c>
      <c r="C9860" t="s">
        <v>6901</v>
      </c>
      <c r="D9860" t="s">
        <v>37973</v>
      </c>
      <c r="E9860">
        <v>424006</v>
      </c>
      <c r="F9860" t="s">
        <v>1</v>
      </c>
      <c r="G9860" t="s">
        <v>2</v>
      </c>
      <c r="H9860" t="s">
        <v>3736</v>
      </c>
      <c r="Y9860" t="s">
        <v>37974</v>
      </c>
    </row>
    <row r="9861" spans="1:25" x14ac:dyDescent="0.25">
      <c r="A9861" t="str">
        <f>"121694833981"</f>
        <v>121694833981</v>
      </c>
      <c r="B9861" t="s">
        <v>1544</v>
      </c>
      <c r="C9861" t="s">
        <v>7974</v>
      </c>
      <c r="D9861" t="s">
        <v>37975</v>
      </c>
      <c r="E9861">
        <v>424030</v>
      </c>
      <c r="F9861" t="s">
        <v>1</v>
      </c>
      <c r="G9861" t="s">
        <v>2</v>
      </c>
      <c r="H9861" t="s">
        <v>37976</v>
      </c>
      <c r="J9861" t="s">
        <v>37977</v>
      </c>
      <c r="P9861" t="s">
        <v>3734</v>
      </c>
      <c r="Y9861" t="s">
        <v>32681</v>
      </c>
    </row>
    <row r="9862" spans="1:25" x14ac:dyDescent="0.25">
      <c r="A9862" t="str">
        <f>"121697076462"</f>
        <v>121697076462</v>
      </c>
      <c r="B9862" t="s">
        <v>176</v>
      </c>
      <c r="C9862" t="s">
        <v>250</v>
      </c>
      <c r="D9862" t="s">
        <v>37978</v>
      </c>
      <c r="E9862">
        <v>424004</v>
      </c>
      <c r="F9862" t="s">
        <v>1</v>
      </c>
      <c r="G9862" t="s">
        <v>2</v>
      </c>
      <c r="H9862" t="s">
        <v>23761</v>
      </c>
      <c r="I9862" t="s">
        <v>37979</v>
      </c>
      <c r="P9862" t="s">
        <v>37980</v>
      </c>
      <c r="Q9862" t="s">
        <v>37981</v>
      </c>
      <c r="Y9862" t="s">
        <v>37982</v>
      </c>
    </row>
    <row r="9863" spans="1:25" x14ac:dyDescent="0.25">
      <c r="A9863" t="str">
        <f>"121697924967"</f>
        <v>121697924967</v>
      </c>
      <c r="B9863" t="s">
        <v>2601</v>
      </c>
      <c r="C9863" t="s">
        <v>5375</v>
      </c>
      <c r="D9863" t="s">
        <v>7437</v>
      </c>
      <c r="E9863">
        <v>424007</v>
      </c>
      <c r="F9863" t="s">
        <v>1</v>
      </c>
      <c r="G9863" t="s">
        <v>2</v>
      </c>
      <c r="H9863" t="s">
        <v>5178</v>
      </c>
      <c r="P9863" t="s">
        <v>2731</v>
      </c>
      <c r="Y9863" t="s">
        <v>37983</v>
      </c>
    </row>
    <row r="9864" spans="1:25" x14ac:dyDescent="0.25">
      <c r="A9864" t="str">
        <f>"121774889261"</f>
        <v>121774889261</v>
      </c>
      <c r="B9864" t="s">
        <v>88</v>
      </c>
      <c r="C9864" t="s">
        <v>37985</v>
      </c>
      <c r="D9864" t="s">
        <v>37984</v>
      </c>
      <c r="E9864">
        <v>424000</v>
      </c>
      <c r="F9864" t="s">
        <v>1</v>
      </c>
      <c r="G9864" t="s">
        <v>2</v>
      </c>
      <c r="H9864" t="s">
        <v>1473</v>
      </c>
      <c r="P9864" t="s">
        <v>1760</v>
      </c>
      <c r="Y9864" t="s">
        <v>37986</v>
      </c>
    </row>
    <row r="9865" spans="1:25" x14ac:dyDescent="0.25">
      <c r="A9865" t="str">
        <f>"121866928436"</f>
        <v>121866928436</v>
      </c>
      <c r="B9865" t="s">
        <v>1573</v>
      </c>
      <c r="C9865" t="s">
        <v>1817</v>
      </c>
      <c r="D9865" t="s">
        <v>24854</v>
      </c>
      <c r="E9865">
        <v>424033</v>
      </c>
      <c r="F9865" t="s">
        <v>1</v>
      </c>
      <c r="G9865" t="s">
        <v>2</v>
      </c>
      <c r="H9865" t="s">
        <v>16703</v>
      </c>
      <c r="Y9865" t="s">
        <v>37987</v>
      </c>
    </row>
    <row r="9866" spans="1:25" x14ac:dyDescent="0.25">
      <c r="A9866" t="str">
        <f>"121875180483"</f>
        <v>121875180483</v>
      </c>
      <c r="B9866" t="s">
        <v>1152</v>
      </c>
      <c r="C9866" t="s">
        <v>8523</v>
      </c>
      <c r="D9866" t="s">
        <v>37988</v>
      </c>
      <c r="E9866">
        <v>424003</v>
      </c>
      <c r="F9866" t="s">
        <v>1</v>
      </c>
      <c r="G9866" t="s">
        <v>2</v>
      </c>
      <c r="H9866" t="s">
        <v>16294</v>
      </c>
      <c r="J9866" t="s">
        <v>37989</v>
      </c>
      <c r="P9866" t="s">
        <v>2738</v>
      </c>
      <c r="Y9866" t="s">
        <v>37990</v>
      </c>
    </row>
    <row r="9867" spans="1:25" x14ac:dyDescent="0.25">
      <c r="A9867" t="str">
        <f>"121892569909"</f>
        <v>121892569909</v>
      </c>
      <c r="B9867" t="s">
        <v>930</v>
      </c>
      <c r="C9867" t="s">
        <v>28791</v>
      </c>
      <c r="D9867" t="s">
        <v>37991</v>
      </c>
      <c r="E9867">
        <v>424006</v>
      </c>
      <c r="F9867" t="s">
        <v>1</v>
      </c>
      <c r="G9867" t="s">
        <v>2</v>
      </c>
      <c r="H9867" t="s">
        <v>37992</v>
      </c>
      <c r="I9867" t="s">
        <v>37993</v>
      </c>
      <c r="J9867" t="s">
        <v>37994</v>
      </c>
      <c r="L9867" t="s">
        <v>37995</v>
      </c>
      <c r="M9867" t="s">
        <v>37996</v>
      </c>
      <c r="P9867" t="s">
        <v>2050</v>
      </c>
      <c r="Q9867" t="s">
        <v>37997</v>
      </c>
      <c r="V9867" t="s">
        <v>37998</v>
      </c>
      <c r="Y9867" t="s">
        <v>37999</v>
      </c>
    </row>
    <row r="9868" spans="1:25" x14ac:dyDescent="0.25">
      <c r="A9868" t="str">
        <f>"121912616753"</f>
        <v>121912616753</v>
      </c>
      <c r="B9868" t="s">
        <v>224</v>
      </c>
      <c r="C9868" t="s">
        <v>4397</v>
      </c>
      <c r="D9868" t="s">
        <v>38000</v>
      </c>
      <c r="E9868">
        <v>424028</v>
      </c>
      <c r="F9868" t="s">
        <v>1</v>
      </c>
      <c r="G9868" t="s">
        <v>2</v>
      </c>
      <c r="H9868" t="s">
        <v>38001</v>
      </c>
      <c r="Y9868" t="s">
        <v>38002</v>
      </c>
    </row>
    <row r="9869" spans="1:25" x14ac:dyDescent="0.25">
      <c r="A9869" t="str">
        <f>"122006782821"</f>
        <v>122006782821</v>
      </c>
      <c r="B9869" t="s">
        <v>654</v>
      </c>
      <c r="C9869" t="s">
        <v>14448</v>
      </c>
      <c r="D9869" t="s">
        <v>38003</v>
      </c>
      <c r="E9869">
        <v>424031</v>
      </c>
      <c r="F9869" t="s">
        <v>1</v>
      </c>
      <c r="G9869" t="s">
        <v>2</v>
      </c>
      <c r="H9869" t="s">
        <v>5151</v>
      </c>
      <c r="Y9869" t="s">
        <v>10009</v>
      </c>
    </row>
    <row r="9870" spans="1:25" x14ac:dyDescent="0.25">
      <c r="A9870" t="str">
        <f>"122052907568"</f>
        <v>122052907568</v>
      </c>
      <c r="B9870" t="s">
        <v>462</v>
      </c>
      <c r="C9870" t="s">
        <v>5618</v>
      </c>
      <c r="D9870" t="s">
        <v>1017</v>
      </c>
      <c r="E9870">
        <v>424007</v>
      </c>
      <c r="F9870" t="s">
        <v>1</v>
      </c>
      <c r="G9870" t="s">
        <v>2</v>
      </c>
      <c r="H9870" t="s">
        <v>20014</v>
      </c>
      <c r="Y9870" t="s">
        <v>38004</v>
      </c>
    </row>
    <row r="9871" spans="1:25" x14ac:dyDescent="0.25">
      <c r="A9871" t="str">
        <f>"122070169597"</f>
        <v>122070169597</v>
      </c>
      <c r="B9871" t="s">
        <v>348</v>
      </c>
      <c r="C9871" t="s">
        <v>38007</v>
      </c>
      <c r="D9871" t="s">
        <v>4419</v>
      </c>
      <c r="E9871">
        <v>424006</v>
      </c>
      <c r="F9871" t="s">
        <v>1</v>
      </c>
      <c r="G9871" t="s">
        <v>2</v>
      </c>
      <c r="H9871" t="s">
        <v>2012</v>
      </c>
      <c r="I9871" t="s">
        <v>38005</v>
      </c>
      <c r="L9871" t="s">
        <v>22889</v>
      </c>
      <c r="M9871" t="s">
        <v>38006</v>
      </c>
      <c r="P9871" t="s">
        <v>941</v>
      </c>
      <c r="Q9871" t="s">
        <v>38008</v>
      </c>
      <c r="R9871" t="s">
        <v>38009</v>
      </c>
      <c r="V9871" t="s">
        <v>38010</v>
      </c>
      <c r="Y9871" t="s">
        <v>38011</v>
      </c>
    </row>
    <row r="9872" spans="1:25" x14ac:dyDescent="0.25">
      <c r="A9872" t="str">
        <f>"122089840178"</f>
        <v>122089840178</v>
      </c>
      <c r="B9872" t="s">
        <v>738</v>
      </c>
      <c r="C9872" t="s">
        <v>1463</v>
      </c>
      <c r="D9872" t="s">
        <v>38012</v>
      </c>
      <c r="E9872">
        <v>424913</v>
      </c>
      <c r="F9872" t="s">
        <v>1</v>
      </c>
      <c r="G9872" t="s">
        <v>2</v>
      </c>
      <c r="H9872" t="s">
        <v>35506</v>
      </c>
      <c r="I9872" t="s">
        <v>38013</v>
      </c>
      <c r="L9872" t="s">
        <v>38014</v>
      </c>
      <c r="M9872" t="s">
        <v>38015</v>
      </c>
      <c r="P9872" t="s">
        <v>1000</v>
      </c>
      <c r="Y9872" t="s">
        <v>38016</v>
      </c>
    </row>
    <row r="9873" spans="1:25" x14ac:dyDescent="0.25">
      <c r="A9873" t="str">
        <f>"122109984749"</f>
        <v>122109984749</v>
      </c>
      <c r="B9873" t="s">
        <v>7</v>
      </c>
      <c r="C9873" t="s">
        <v>38017</v>
      </c>
      <c r="D9873" t="s">
        <v>38017</v>
      </c>
      <c r="E9873">
        <v>424004</v>
      </c>
      <c r="F9873" t="s">
        <v>1</v>
      </c>
      <c r="G9873" t="s">
        <v>2</v>
      </c>
      <c r="H9873" t="s">
        <v>351</v>
      </c>
      <c r="J9873" t="s">
        <v>34330</v>
      </c>
      <c r="P9873" t="s">
        <v>330</v>
      </c>
      <c r="Y9873" t="s">
        <v>354</v>
      </c>
    </row>
    <row r="9874" spans="1:25" x14ac:dyDescent="0.25">
      <c r="A9874" t="str">
        <f>"122181307802"</f>
        <v>122181307802</v>
      </c>
      <c r="B9874" t="s">
        <v>348</v>
      </c>
      <c r="C9874" t="s">
        <v>12184</v>
      </c>
      <c r="D9874" t="s">
        <v>37163</v>
      </c>
      <c r="E9874">
        <v>424033</v>
      </c>
      <c r="F9874" t="s">
        <v>1</v>
      </c>
      <c r="G9874" t="s">
        <v>2</v>
      </c>
      <c r="H9874" t="s">
        <v>4225</v>
      </c>
      <c r="I9874" t="s">
        <v>37164</v>
      </c>
      <c r="J9874" t="s">
        <v>38018</v>
      </c>
      <c r="L9874" t="s">
        <v>37165</v>
      </c>
      <c r="M9874" t="s">
        <v>37166</v>
      </c>
      <c r="P9874" t="s">
        <v>5829</v>
      </c>
      <c r="Q9874" t="s">
        <v>38019</v>
      </c>
      <c r="V9874" t="s">
        <v>37168</v>
      </c>
      <c r="Y9874" t="s">
        <v>38020</v>
      </c>
    </row>
    <row r="9875" spans="1:25" x14ac:dyDescent="0.25">
      <c r="A9875" t="str">
        <f>"122217074419"</f>
        <v>122217074419</v>
      </c>
      <c r="B9875" t="s">
        <v>80</v>
      </c>
      <c r="C9875" t="s">
        <v>3295</v>
      </c>
      <c r="D9875" t="s">
        <v>31430</v>
      </c>
      <c r="E9875">
        <v>424003</v>
      </c>
      <c r="F9875" t="s">
        <v>1</v>
      </c>
      <c r="G9875" t="s">
        <v>2</v>
      </c>
      <c r="H9875" t="s">
        <v>13303</v>
      </c>
      <c r="L9875" t="s">
        <v>38021</v>
      </c>
      <c r="M9875" t="s">
        <v>31432</v>
      </c>
      <c r="Y9875" t="s">
        <v>16968</v>
      </c>
    </row>
    <row r="9876" spans="1:25" x14ac:dyDescent="0.25">
      <c r="A9876" t="str">
        <f>"122236095617"</f>
        <v>122236095617</v>
      </c>
      <c r="B9876" t="s">
        <v>1352</v>
      </c>
      <c r="C9876" t="s">
        <v>1353</v>
      </c>
      <c r="D9876" t="s">
        <v>10388</v>
      </c>
      <c r="E9876">
        <v>424006</v>
      </c>
      <c r="F9876" t="s">
        <v>1</v>
      </c>
      <c r="G9876" t="s">
        <v>2</v>
      </c>
      <c r="H9876" t="s">
        <v>5846</v>
      </c>
      <c r="Y9876" t="s">
        <v>17495</v>
      </c>
    </row>
    <row r="9877" spans="1:25" x14ac:dyDescent="0.25">
      <c r="A9877" t="str">
        <f>"122253425346"</f>
        <v>122253425346</v>
      </c>
      <c r="B9877" t="s">
        <v>519</v>
      </c>
      <c r="C9877" t="s">
        <v>38025</v>
      </c>
      <c r="D9877" t="s">
        <v>38022</v>
      </c>
      <c r="E9877">
        <v>424003</v>
      </c>
      <c r="F9877" t="s">
        <v>1</v>
      </c>
      <c r="G9877" t="s">
        <v>2</v>
      </c>
      <c r="H9877" t="s">
        <v>5311</v>
      </c>
      <c r="J9877" t="s">
        <v>38023</v>
      </c>
      <c r="L9877" t="s">
        <v>38024</v>
      </c>
      <c r="P9877" t="s">
        <v>1270</v>
      </c>
      <c r="Q9877" t="s">
        <v>38026</v>
      </c>
      <c r="Y9877" t="s">
        <v>10521</v>
      </c>
    </row>
    <row r="9878" spans="1:25" x14ac:dyDescent="0.25">
      <c r="A9878" t="str">
        <f>"122304199026"</f>
        <v>122304199026</v>
      </c>
      <c r="B9878" t="s">
        <v>7</v>
      </c>
      <c r="C9878" t="s">
        <v>38029</v>
      </c>
      <c r="D9878" t="s">
        <v>2355</v>
      </c>
      <c r="E9878">
        <v>424000</v>
      </c>
      <c r="F9878" t="s">
        <v>1</v>
      </c>
      <c r="G9878" t="s">
        <v>2</v>
      </c>
      <c r="H9878" t="s">
        <v>1806</v>
      </c>
      <c r="J9878" t="s">
        <v>38027</v>
      </c>
      <c r="L9878" t="s">
        <v>38028</v>
      </c>
      <c r="P9878" t="s">
        <v>390</v>
      </c>
      <c r="Y9878" t="s">
        <v>38030</v>
      </c>
    </row>
    <row r="9879" spans="1:25" x14ac:dyDescent="0.25">
      <c r="A9879" t="str">
        <f>"122372992541"</f>
        <v>122372992541</v>
      </c>
      <c r="B9879" t="s">
        <v>8011</v>
      </c>
      <c r="C9879" t="s">
        <v>36655</v>
      </c>
      <c r="D9879" t="s">
        <v>38031</v>
      </c>
      <c r="E9879">
        <v>424039</v>
      </c>
      <c r="F9879" t="s">
        <v>1</v>
      </c>
      <c r="G9879" t="s">
        <v>2</v>
      </c>
      <c r="H9879" t="s">
        <v>2492</v>
      </c>
      <c r="Y9879" t="s">
        <v>38032</v>
      </c>
    </row>
    <row r="9880" spans="1:25" x14ac:dyDescent="0.25">
      <c r="A9880" t="str">
        <f>"122461754133"</f>
        <v>122461754133</v>
      </c>
      <c r="B9880" t="s">
        <v>1053</v>
      </c>
      <c r="C9880" t="s">
        <v>1927</v>
      </c>
      <c r="D9880" t="s">
        <v>38033</v>
      </c>
      <c r="E9880">
        <v>424038</v>
      </c>
      <c r="F9880" t="s">
        <v>1</v>
      </c>
      <c r="G9880" t="s">
        <v>2</v>
      </c>
      <c r="H9880" t="s">
        <v>2855</v>
      </c>
      <c r="Y9880" t="s">
        <v>8933</v>
      </c>
    </row>
    <row r="9881" spans="1:25" x14ac:dyDescent="0.25">
      <c r="A9881" t="str">
        <f>"122470633585"</f>
        <v>122470633585</v>
      </c>
      <c r="B9881" t="s">
        <v>176</v>
      </c>
      <c r="C9881" t="s">
        <v>566</v>
      </c>
      <c r="D9881" t="s">
        <v>6265</v>
      </c>
      <c r="E9881">
        <v>424006</v>
      </c>
      <c r="F9881" t="s">
        <v>1</v>
      </c>
      <c r="G9881" t="s">
        <v>2</v>
      </c>
      <c r="H9881" t="s">
        <v>393</v>
      </c>
      <c r="Y9881" t="s">
        <v>38034</v>
      </c>
    </row>
    <row r="9882" spans="1:25" x14ac:dyDescent="0.25">
      <c r="A9882" t="str">
        <f>"122495009904"</f>
        <v>122495009904</v>
      </c>
      <c r="B9882" t="s">
        <v>574</v>
      </c>
      <c r="C9882" t="s">
        <v>24405</v>
      </c>
      <c r="D9882" t="s">
        <v>32710</v>
      </c>
      <c r="E9882">
        <v>424037</v>
      </c>
      <c r="F9882" t="s">
        <v>1</v>
      </c>
      <c r="G9882" t="s">
        <v>2</v>
      </c>
      <c r="H9882" t="s">
        <v>1849</v>
      </c>
      <c r="Y9882" t="s">
        <v>38035</v>
      </c>
    </row>
    <row r="9883" spans="1:25" x14ac:dyDescent="0.25">
      <c r="A9883" t="str">
        <f>"122606767140"</f>
        <v>122606767140</v>
      </c>
      <c r="B9883" t="s">
        <v>1315</v>
      </c>
      <c r="C9883" t="s">
        <v>4274</v>
      </c>
      <c r="D9883" t="s">
        <v>38036</v>
      </c>
      <c r="E9883">
        <v>424007</v>
      </c>
      <c r="F9883" t="s">
        <v>1</v>
      </c>
      <c r="G9883" t="s">
        <v>2</v>
      </c>
      <c r="H9883" t="s">
        <v>38037</v>
      </c>
      <c r="Y9883" t="s">
        <v>38038</v>
      </c>
    </row>
    <row r="9884" spans="1:25" x14ac:dyDescent="0.25">
      <c r="A9884" t="str">
        <f>"122634557779"</f>
        <v>122634557779</v>
      </c>
      <c r="B9884" t="s">
        <v>1152</v>
      </c>
      <c r="C9884" t="s">
        <v>1152</v>
      </c>
      <c r="D9884" t="s">
        <v>1152</v>
      </c>
      <c r="E9884">
        <v>424006</v>
      </c>
      <c r="F9884" t="s">
        <v>1</v>
      </c>
      <c r="G9884" t="s">
        <v>2</v>
      </c>
      <c r="H9884" t="s">
        <v>38039</v>
      </c>
      <c r="Y9884" t="s">
        <v>38040</v>
      </c>
    </row>
    <row r="9885" spans="1:25" x14ac:dyDescent="0.25">
      <c r="A9885" t="str">
        <f>"122651966492"</f>
        <v>122651966492</v>
      </c>
      <c r="B9885" t="s">
        <v>1152</v>
      </c>
      <c r="C9885" t="s">
        <v>1385</v>
      </c>
      <c r="D9885" t="s">
        <v>1385</v>
      </c>
      <c r="E9885">
        <v>424004</v>
      </c>
      <c r="F9885" t="s">
        <v>1</v>
      </c>
      <c r="G9885" t="s">
        <v>2</v>
      </c>
      <c r="H9885" t="s">
        <v>186</v>
      </c>
      <c r="Y9885" t="s">
        <v>12062</v>
      </c>
    </row>
    <row r="9886" spans="1:25" x14ac:dyDescent="0.25">
      <c r="A9886" t="str">
        <f>"122747457274"</f>
        <v>122747457274</v>
      </c>
      <c r="B9886" t="s">
        <v>1573</v>
      </c>
      <c r="C9886" t="s">
        <v>1574</v>
      </c>
      <c r="D9886" t="s">
        <v>36582</v>
      </c>
      <c r="E9886">
        <v>424033</v>
      </c>
      <c r="F9886" t="s">
        <v>1</v>
      </c>
      <c r="G9886" t="s">
        <v>2</v>
      </c>
      <c r="H9886" t="s">
        <v>6875</v>
      </c>
      <c r="Y9886" t="s">
        <v>38041</v>
      </c>
    </row>
    <row r="9887" spans="1:25" x14ac:dyDescent="0.25">
      <c r="A9887" t="str">
        <f>"122751738434"</f>
        <v>122751738434</v>
      </c>
      <c r="B9887" t="s">
        <v>290</v>
      </c>
      <c r="C9887" t="s">
        <v>23328</v>
      </c>
      <c r="D9887" t="s">
        <v>38042</v>
      </c>
      <c r="E9887">
        <v>424033</v>
      </c>
      <c r="F9887" t="s">
        <v>1</v>
      </c>
      <c r="G9887" t="s">
        <v>2</v>
      </c>
      <c r="H9887" t="s">
        <v>27499</v>
      </c>
      <c r="J9887" t="s">
        <v>38043</v>
      </c>
      <c r="P9887" t="s">
        <v>7650</v>
      </c>
      <c r="Y9887" t="s">
        <v>38044</v>
      </c>
    </row>
    <row r="9888" spans="1:25" x14ac:dyDescent="0.25">
      <c r="A9888" t="str">
        <f>"122821229979"</f>
        <v>122821229979</v>
      </c>
      <c r="B9888" t="s">
        <v>352</v>
      </c>
      <c r="C9888" t="s">
        <v>38048</v>
      </c>
      <c r="D9888" t="s">
        <v>38045</v>
      </c>
      <c r="E9888">
        <v>424020</v>
      </c>
      <c r="F9888" t="s">
        <v>1</v>
      </c>
      <c r="G9888" t="s">
        <v>2</v>
      </c>
      <c r="H9888" t="s">
        <v>8643</v>
      </c>
      <c r="J9888" t="s">
        <v>38046</v>
      </c>
      <c r="M9888" t="s">
        <v>38047</v>
      </c>
      <c r="P9888" t="s">
        <v>1464</v>
      </c>
      <c r="Q9888" t="s">
        <v>38049</v>
      </c>
      <c r="R9888" t="s">
        <v>38050</v>
      </c>
      <c r="T9888" t="s">
        <v>38051</v>
      </c>
      <c r="V9888" t="s">
        <v>38052</v>
      </c>
      <c r="Y9888" t="s">
        <v>38053</v>
      </c>
    </row>
    <row r="9889" spans="1:25" x14ac:dyDescent="0.25">
      <c r="A9889" t="str">
        <f>"122922198929"</f>
        <v>122922198929</v>
      </c>
      <c r="B9889" t="s">
        <v>110</v>
      </c>
      <c r="C9889" t="s">
        <v>38056</v>
      </c>
      <c r="D9889" t="s">
        <v>17714</v>
      </c>
      <c r="E9889">
        <v>424002</v>
      </c>
      <c r="F9889" t="s">
        <v>1</v>
      </c>
      <c r="G9889" t="s">
        <v>2</v>
      </c>
      <c r="H9889" t="s">
        <v>1950</v>
      </c>
      <c r="I9889" t="s">
        <v>38054</v>
      </c>
      <c r="L9889" t="s">
        <v>17716</v>
      </c>
      <c r="M9889" t="s">
        <v>38055</v>
      </c>
      <c r="P9889" t="s">
        <v>17719</v>
      </c>
      <c r="Q9889" t="s">
        <v>17720</v>
      </c>
      <c r="Y9889" t="s">
        <v>10453</v>
      </c>
    </row>
    <row r="9890" spans="1:25" x14ac:dyDescent="0.25">
      <c r="A9890" t="str">
        <f>"122926109078"</f>
        <v>122926109078</v>
      </c>
      <c r="B9890" t="s">
        <v>797</v>
      </c>
      <c r="C9890" t="s">
        <v>38060</v>
      </c>
      <c r="D9890" t="s">
        <v>28741</v>
      </c>
      <c r="E9890">
        <v>424006</v>
      </c>
      <c r="F9890" t="s">
        <v>1</v>
      </c>
      <c r="G9890" t="s">
        <v>2</v>
      </c>
      <c r="H9890" t="s">
        <v>2775</v>
      </c>
      <c r="I9890" t="s">
        <v>38057</v>
      </c>
      <c r="J9890" t="s">
        <v>38058</v>
      </c>
      <c r="M9890" t="s">
        <v>38059</v>
      </c>
      <c r="P9890" t="s">
        <v>362</v>
      </c>
      <c r="Q9890" t="s">
        <v>38061</v>
      </c>
      <c r="R9890" t="s">
        <v>38062</v>
      </c>
      <c r="U9890" t="s">
        <v>38063</v>
      </c>
      <c r="V9890" t="s">
        <v>38064</v>
      </c>
      <c r="Y9890" t="s">
        <v>2779</v>
      </c>
    </row>
    <row r="9891" spans="1:25" x14ac:dyDescent="0.25">
      <c r="A9891" t="str">
        <f>"122958114690"</f>
        <v>122958114690</v>
      </c>
      <c r="B9891" t="s">
        <v>530</v>
      </c>
      <c r="C9891" t="s">
        <v>23950</v>
      </c>
      <c r="D9891" t="s">
        <v>23950</v>
      </c>
      <c r="F9891" t="s">
        <v>1</v>
      </c>
      <c r="G9891" t="s">
        <v>2</v>
      </c>
      <c r="H9891" t="s">
        <v>35008</v>
      </c>
      <c r="Y9891" t="s">
        <v>38065</v>
      </c>
    </row>
    <row r="9892" spans="1:25" x14ac:dyDescent="0.25">
      <c r="A9892" t="str">
        <f>"122962733094"</f>
        <v>122962733094</v>
      </c>
      <c r="B9892" t="s">
        <v>462</v>
      </c>
      <c r="C9892" t="s">
        <v>38071</v>
      </c>
      <c r="D9892" t="s">
        <v>38066</v>
      </c>
      <c r="E9892">
        <v>424030</v>
      </c>
      <c r="F9892" t="s">
        <v>1</v>
      </c>
      <c r="G9892" t="s">
        <v>2</v>
      </c>
      <c r="H9892" t="s">
        <v>38067</v>
      </c>
      <c r="I9892" t="s">
        <v>38068</v>
      </c>
      <c r="L9892" t="s">
        <v>38069</v>
      </c>
      <c r="M9892" t="s">
        <v>38070</v>
      </c>
      <c r="P9892" t="s">
        <v>869</v>
      </c>
      <c r="Y9892" t="s">
        <v>38072</v>
      </c>
    </row>
    <row r="9893" spans="1:25" x14ac:dyDescent="0.25">
      <c r="A9893" t="str">
        <f>"123000831821"</f>
        <v>123000831821</v>
      </c>
      <c r="B9893" t="s">
        <v>96</v>
      </c>
      <c r="C9893" t="s">
        <v>893</v>
      </c>
      <c r="D9893" t="s">
        <v>38073</v>
      </c>
      <c r="E9893">
        <v>424918</v>
      </c>
      <c r="F9893" t="s">
        <v>1</v>
      </c>
      <c r="G9893" t="s">
        <v>2</v>
      </c>
      <c r="H9893" t="s">
        <v>629</v>
      </c>
      <c r="P9893" t="s">
        <v>630</v>
      </c>
      <c r="Y9893" t="s">
        <v>1744</v>
      </c>
    </row>
    <row r="9894" spans="1:25" x14ac:dyDescent="0.25">
      <c r="A9894" t="str">
        <f>"123078391396"</f>
        <v>123078391396</v>
      </c>
      <c r="B9894" t="s">
        <v>117</v>
      </c>
      <c r="C9894" t="s">
        <v>873</v>
      </c>
      <c r="D9894" t="s">
        <v>873</v>
      </c>
      <c r="F9894" t="s">
        <v>1</v>
      </c>
      <c r="G9894" t="s">
        <v>2</v>
      </c>
      <c r="H9894" t="s">
        <v>7547</v>
      </c>
      <c r="Y9894" t="s">
        <v>38074</v>
      </c>
    </row>
    <row r="9895" spans="1:25" x14ac:dyDescent="0.25">
      <c r="A9895" t="str">
        <f>"123086032883"</f>
        <v>123086032883</v>
      </c>
      <c r="B9895" t="s">
        <v>430</v>
      </c>
      <c r="C9895" t="s">
        <v>11849</v>
      </c>
      <c r="D9895" t="s">
        <v>10135</v>
      </c>
      <c r="F9895" t="s">
        <v>1</v>
      </c>
      <c r="G9895" t="s">
        <v>2</v>
      </c>
      <c r="H9895" t="s">
        <v>16696</v>
      </c>
      <c r="I9895" t="s">
        <v>38075</v>
      </c>
      <c r="J9895" t="s">
        <v>38076</v>
      </c>
      <c r="P9895" t="s">
        <v>330</v>
      </c>
      <c r="Y9895" t="s">
        <v>38077</v>
      </c>
    </row>
    <row r="9896" spans="1:25" x14ac:dyDescent="0.25">
      <c r="A9896" t="str">
        <f>"123089744391"</f>
        <v>123089744391</v>
      </c>
      <c r="B9896" t="s">
        <v>1604</v>
      </c>
      <c r="C9896" t="s">
        <v>36926</v>
      </c>
      <c r="D9896" t="s">
        <v>2271</v>
      </c>
      <c r="E9896">
        <v>424019</v>
      </c>
      <c r="F9896" t="s">
        <v>1</v>
      </c>
      <c r="G9896" t="s">
        <v>2</v>
      </c>
      <c r="H9896" t="s">
        <v>15355</v>
      </c>
      <c r="I9896" t="s">
        <v>38078</v>
      </c>
      <c r="J9896" t="s">
        <v>38079</v>
      </c>
      <c r="L9896" t="s">
        <v>38080</v>
      </c>
      <c r="M9896" t="s">
        <v>38081</v>
      </c>
      <c r="P9896" t="s">
        <v>280</v>
      </c>
      <c r="Q9896" t="s">
        <v>38082</v>
      </c>
      <c r="T9896" t="s">
        <v>38083</v>
      </c>
      <c r="V9896" t="s">
        <v>38084</v>
      </c>
      <c r="Y9896" t="s">
        <v>15363</v>
      </c>
    </row>
    <row r="9897" spans="1:25" x14ac:dyDescent="0.25">
      <c r="A9897" t="str">
        <f>"123096978291"</f>
        <v>123096978291</v>
      </c>
      <c r="B9897" t="s">
        <v>96</v>
      </c>
      <c r="C9897" t="s">
        <v>659</v>
      </c>
      <c r="D9897" t="s">
        <v>38085</v>
      </c>
      <c r="E9897">
        <v>424000</v>
      </c>
      <c r="F9897" t="s">
        <v>1</v>
      </c>
      <c r="G9897" t="s">
        <v>2</v>
      </c>
      <c r="H9897" t="s">
        <v>7049</v>
      </c>
      <c r="Y9897" t="s">
        <v>38086</v>
      </c>
    </row>
    <row r="9898" spans="1:25" x14ac:dyDescent="0.25">
      <c r="A9898" t="str">
        <f>"123135103236"</f>
        <v>123135103236</v>
      </c>
      <c r="B9898" t="s">
        <v>96</v>
      </c>
      <c r="C9898" t="s">
        <v>8808</v>
      </c>
      <c r="D9898" t="s">
        <v>38087</v>
      </c>
      <c r="E9898">
        <v>424918</v>
      </c>
      <c r="F9898" t="s">
        <v>1</v>
      </c>
      <c r="G9898" t="s">
        <v>2</v>
      </c>
      <c r="H9898" t="s">
        <v>629</v>
      </c>
      <c r="P9898" t="s">
        <v>630</v>
      </c>
      <c r="Y9898" t="s">
        <v>8688</v>
      </c>
    </row>
    <row r="9899" spans="1:25" x14ac:dyDescent="0.25">
      <c r="A9899" t="str">
        <f>"123159380786"</f>
        <v>123159380786</v>
      </c>
      <c r="B9899" t="s">
        <v>430</v>
      </c>
      <c r="C9899" t="s">
        <v>940</v>
      </c>
      <c r="D9899" t="s">
        <v>38088</v>
      </c>
      <c r="E9899">
        <v>424028</v>
      </c>
      <c r="F9899" t="s">
        <v>1</v>
      </c>
      <c r="G9899" t="s">
        <v>2</v>
      </c>
      <c r="H9899" t="s">
        <v>24159</v>
      </c>
      <c r="J9899" t="s">
        <v>38089</v>
      </c>
      <c r="P9899" t="s">
        <v>98</v>
      </c>
      <c r="Y9899" t="s">
        <v>38090</v>
      </c>
    </row>
    <row r="9900" spans="1:25" x14ac:dyDescent="0.25">
      <c r="A9900" t="str">
        <f>"123174179142"</f>
        <v>123174179142</v>
      </c>
      <c r="B9900" t="s">
        <v>10383</v>
      </c>
      <c r="C9900" t="s">
        <v>24146</v>
      </c>
      <c r="D9900" t="s">
        <v>24146</v>
      </c>
      <c r="F9900" t="s">
        <v>1</v>
      </c>
      <c r="G9900" t="s">
        <v>2</v>
      </c>
      <c r="H9900" t="s">
        <v>7547</v>
      </c>
      <c r="Y9900" t="s">
        <v>38091</v>
      </c>
    </row>
    <row r="9901" spans="1:25" x14ac:dyDescent="0.25">
      <c r="A9901" t="str">
        <f>"123194285264"</f>
        <v>123194285264</v>
      </c>
      <c r="B9901" t="s">
        <v>88</v>
      </c>
      <c r="C9901" t="s">
        <v>38096</v>
      </c>
      <c r="D9901" t="s">
        <v>38092</v>
      </c>
      <c r="E9901">
        <v>424006</v>
      </c>
      <c r="F9901" t="s">
        <v>1</v>
      </c>
      <c r="G9901" t="s">
        <v>2</v>
      </c>
      <c r="H9901" t="s">
        <v>8622</v>
      </c>
      <c r="I9901" t="s">
        <v>38093</v>
      </c>
      <c r="L9901" t="s">
        <v>38094</v>
      </c>
      <c r="M9901" t="s">
        <v>38095</v>
      </c>
      <c r="P9901" t="s">
        <v>1404</v>
      </c>
      <c r="Y9901" t="s">
        <v>38097</v>
      </c>
    </row>
    <row r="9902" spans="1:25" x14ac:dyDescent="0.25">
      <c r="A9902" t="str">
        <f>"123222070084"</f>
        <v>123222070084</v>
      </c>
      <c r="B9902" t="s">
        <v>4084</v>
      </c>
      <c r="C9902" t="s">
        <v>7951</v>
      </c>
      <c r="D9902" t="s">
        <v>38098</v>
      </c>
      <c r="E9902">
        <v>424004</v>
      </c>
      <c r="F9902" t="s">
        <v>1</v>
      </c>
      <c r="G9902" t="s">
        <v>2</v>
      </c>
      <c r="H9902" t="s">
        <v>7947</v>
      </c>
      <c r="P9902" t="s">
        <v>799</v>
      </c>
      <c r="Y9902" t="s">
        <v>38099</v>
      </c>
    </row>
    <row r="9903" spans="1:25" x14ac:dyDescent="0.25">
      <c r="A9903" t="str">
        <f>"123247370705"</f>
        <v>123247370705</v>
      </c>
      <c r="B9903" t="s">
        <v>32</v>
      </c>
      <c r="C9903" t="s">
        <v>38104</v>
      </c>
      <c r="D9903" t="s">
        <v>38100</v>
      </c>
      <c r="E9903">
        <v>424038</v>
      </c>
      <c r="F9903" t="s">
        <v>1</v>
      </c>
      <c r="G9903" t="s">
        <v>2</v>
      </c>
      <c r="H9903" t="s">
        <v>19499</v>
      </c>
      <c r="J9903" t="s">
        <v>38101</v>
      </c>
      <c r="L9903" t="s">
        <v>38102</v>
      </c>
      <c r="M9903" t="s">
        <v>38103</v>
      </c>
      <c r="P9903" t="s">
        <v>144</v>
      </c>
      <c r="Q9903" t="s">
        <v>38105</v>
      </c>
      <c r="V9903" t="s">
        <v>38106</v>
      </c>
      <c r="Y9903" t="s">
        <v>38107</v>
      </c>
    </row>
    <row r="9904" spans="1:25" x14ac:dyDescent="0.25">
      <c r="A9904" t="str">
        <f>"123268908671"</f>
        <v>123268908671</v>
      </c>
      <c r="B9904" t="s">
        <v>96</v>
      </c>
      <c r="C9904" t="s">
        <v>38109</v>
      </c>
      <c r="D9904" t="s">
        <v>28716</v>
      </c>
      <c r="E9904">
        <v>424000</v>
      </c>
      <c r="F9904" t="s">
        <v>1</v>
      </c>
      <c r="G9904" t="s">
        <v>2</v>
      </c>
      <c r="H9904" t="s">
        <v>265</v>
      </c>
      <c r="J9904" t="s">
        <v>38108</v>
      </c>
      <c r="P9904" t="s">
        <v>133</v>
      </c>
      <c r="Y9904" t="s">
        <v>38110</v>
      </c>
    </row>
    <row r="9905" spans="1:25" x14ac:dyDescent="0.25">
      <c r="A9905" t="str">
        <f>"123327130627"</f>
        <v>123327130627</v>
      </c>
      <c r="B9905" t="s">
        <v>3200</v>
      </c>
      <c r="C9905" t="s">
        <v>18948</v>
      </c>
      <c r="D9905" t="s">
        <v>25805</v>
      </c>
      <c r="E9905">
        <v>424003</v>
      </c>
      <c r="F9905" t="s">
        <v>1</v>
      </c>
      <c r="G9905" t="s">
        <v>2</v>
      </c>
      <c r="H9905" t="s">
        <v>4546</v>
      </c>
      <c r="Y9905" t="s">
        <v>5427</v>
      </c>
    </row>
    <row r="9906" spans="1:25" x14ac:dyDescent="0.25">
      <c r="A9906" t="str">
        <f>"123336142802"</f>
        <v>123336142802</v>
      </c>
      <c r="B9906" t="s">
        <v>1343</v>
      </c>
      <c r="C9906" t="s">
        <v>13544</v>
      </c>
      <c r="D9906" t="s">
        <v>38111</v>
      </c>
      <c r="E9906">
        <v>424033</v>
      </c>
      <c r="F9906" t="s">
        <v>1</v>
      </c>
      <c r="G9906" t="s">
        <v>2</v>
      </c>
      <c r="H9906" t="s">
        <v>76</v>
      </c>
      <c r="J9906" t="s">
        <v>38112</v>
      </c>
      <c r="P9906" t="s">
        <v>941</v>
      </c>
      <c r="Y9906" t="s">
        <v>17629</v>
      </c>
    </row>
    <row r="9907" spans="1:25" x14ac:dyDescent="0.25">
      <c r="A9907" t="str">
        <f>"123336453377"</f>
        <v>123336453377</v>
      </c>
      <c r="B9907" t="s">
        <v>2104</v>
      </c>
      <c r="C9907" t="s">
        <v>2105</v>
      </c>
      <c r="D9907" t="s">
        <v>8187</v>
      </c>
      <c r="E9907">
        <v>424040</v>
      </c>
      <c r="F9907" t="s">
        <v>1</v>
      </c>
      <c r="G9907" t="s">
        <v>2</v>
      </c>
      <c r="H9907" t="s">
        <v>14424</v>
      </c>
      <c r="I9907" t="s">
        <v>8188</v>
      </c>
      <c r="L9907" t="s">
        <v>38113</v>
      </c>
      <c r="Q9907" t="s">
        <v>8192</v>
      </c>
      <c r="Y9907" t="s">
        <v>14428</v>
      </c>
    </row>
    <row r="9908" spans="1:25" x14ac:dyDescent="0.25">
      <c r="A9908" t="str">
        <f>"123350440788"</f>
        <v>123350440788</v>
      </c>
      <c r="B9908" t="s">
        <v>334</v>
      </c>
      <c r="C9908" t="s">
        <v>38117</v>
      </c>
      <c r="D9908" t="s">
        <v>38114</v>
      </c>
      <c r="E9908">
        <v>424033</v>
      </c>
      <c r="F9908" t="s">
        <v>1</v>
      </c>
      <c r="G9908" t="s">
        <v>2</v>
      </c>
      <c r="H9908" t="s">
        <v>1383</v>
      </c>
      <c r="J9908" t="s">
        <v>38115</v>
      </c>
      <c r="M9908" t="s">
        <v>38116</v>
      </c>
      <c r="P9908" t="s">
        <v>38118</v>
      </c>
      <c r="Q9908" t="s">
        <v>38119</v>
      </c>
      <c r="R9908" t="s">
        <v>38120</v>
      </c>
      <c r="Y9908" t="s">
        <v>1387</v>
      </c>
    </row>
    <row r="9909" spans="1:25" x14ac:dyDescent="0.25">
      <c r="A9909" t="str">
        <f>"123404697239"</f>
        <v>123404697239</v>
      </c>
      <c r="B9909" t="s">
        <v>32</v>
      </c>
      <c r="C9909" t="s">
        <v>40</v>
      </c>
      <c r="D9909" t="s">
        <v>38121</v>
      </c>
      <c r="E9909">
        <v>424008</v>
      </c>
      <c r="F9909" t="s">
        <v>1</v>
      </c>
      <c r="G9909" t="s">
        <v>2</v>
      </c>
      <c r="H9909" t="s">
        <v>1031</v>
      </c>
      <c r="I9909" t="s">
        <v>38122</v>
      </c>
      <c r="P9909" t="s">
        <v>410</v>
      </c>
      <c r="Y9909" t="s">
        <v>38123</v>
      </c>
    </row>
    <row r="9910" spans="1:25" x14ac:dyDescent="0.25">
      <c r="A9910" t="str">
        <f>"123413422136"</f>
        <v>123413422136</v>
      </c>
      <c r="B9910" t="s">
        <v>348</v>
      </c>
      <c r="C9910" t="s">
        <v>4366</v>
      </c>
      <c r="D9910" t="s">
        <v>21762</v>
      </c>
      <c r="E9910">
        <v>424039</v>
      </c>
      <c r="F9910" t="s">
        <v>1</v>
      </c>
      <c r="G9910" t="s">
        <v>2</v>
      </c>
      <c r="H9910" t="s">
        <v>8694</v>
      </c>
      <c r="J9910" t="s">
        <v>38124</v>
      </c>
      <c r="M9910" t="s">
        <v>38125</v>
      </c>
      <c r="P9910" t="s">
        <v>941</v>
      </c>
      <c r="Y9910" t="s">
        <v>12226</v>
      </c>
    </row>
    <row r="9911" spans="1:25" x14ac:dyDescent="0.25">
      <c r="A9911" t="str">
        <f>"123432433660"</f>
        <v>123432433660</v>
      </c>
      <c r="B9911" t="s">
        <v>1046</v>
      </c>
      <c r="C9911" t="s">
        <v>22946</v>
      </c>
      <c r="D9911" t="s">
        <v>22946</v>
      </c>
      <c r="E9911">
        <v>424005</v>
      </c>
      <c r="F9911" t="s">
        <v>1</v>
      </c>
      <c r="G9911" t="s">
        <v>2</v>
      </c>
      <c r="H9911" t="s">
        <v>24973</v>
      </c>
      <c r="Y9911" t="s">
        <v>38126</v>
      </c>
    </row>
    <row r="9912" spans="1:25" x14ac:dyDescent="0.25">
      <c r="A9912" t="str">
        <f>"123469005462"</f>
        <v>123469005462</v>
      </c>
      <c r="B9912" t="s">
        <v>1046</v>
      </c>
      <c r="C9912" t="s">
        <v>2695</v>
      </c>
      <c r="D9912" t="s">
        <v>38127</v>
      </c>
      <c r="E9912">
        <v>424004</v>
      </c>
      <c r="F9912" t="s">
        <v>1</v>
      </c>
      <c r="G9912" t="s">
        <v>2</v>
      </c>
      <c r="H9912" t="s">
        <v>17461</v>
      </c>
      <c r="I9912" t="s">
        <v>33537</v>
      </c>
      <c r="M9912" t="s">
        <v>38128</v>
      </c>
      <c r="Y9912" t="s">
        <v>20082</v>
      </c>
    </row>
    <row r="9913" spans="1:25" x14ac:dyDescent="0.25">
      <c r="A9913" t="str">
        <f>"123542450909"</f>
        <v>123542450909</v>
      </c>
      <c r="B9913" t="s">
        <v>96</v>
      </c>
      <c r="C9913" t="s">
        <v>14175</v>
      </c>
      <c r="D9913" t="s">
        <v>38129</v>
      </c>
      <c r="E9913">
        <v>424002</v>
      </c>
      <c r="F9913" t="s">
        <v>1</v>
      </c>
      <c r="G9913" t="s">
        <v>2</v>
      </c>
      <c r="H9913" t="s">
        <v>5806</v>
      </c>
      <c r="I9913" t="s">
        <v>38130</v>
      </c>
      <c r="P9913" t="s">
        <v>2315</v>
      </c>
      <c r="Y9913" t="s">
        <v>38131</v>
      </c>
    </row>
    <row r="9914" spans="1:25" x14ac:dyDescent="0.25">
      <c r="A9914" t="str">
        <f>"123546032391"</f>
        <v>123546032391</v>
      </c>
      <c r="B9914" t="s">
        <v>1268</v>
      </c>
      <c r="C9914" t="s">
        <v>4018</v>
      </c>
      <c r="D9914" t="s">
        <v>38132</v>
      </c>
      <c r="E9914">
        <v>424006</v>
      </c>
      <c r="F9914" t="s">
        <v>1</v>
      </c>
      <c r="G9914" t="s">
        <v>2</v>
      </c>
      <c r="H9914" t="s">
        <v>2966</v>
      </c>
      <c r="I9914" t="s">
        <v>20377</v>
      </c>
      <c r="P9914" t="s">
        <v>216</v>
      </c>
      <c r="Y9914" t="s">
        <v>2970</v>
      </c>
    </row>
    <row r="9915" spans="1:25" x14ac:dyDescent="0.25">
      <c r="A9915" t="str">
        <f>"123549051859"</f>
        <v>123549051859</v>
      </c>
      <c r="B9915" t="s">
        <v>352</v>
      </c>
      <c r="C9915" t="s">
        <v>3028</v>
      </c>
      <c r="D9915" t="s">
        <v>38133</v>
      </c>
      <c r="E9915">
        <v>424006</v>
      </c>
      <c r="F9915" t="s">
        <v>1</v>
      </c>
      <c r="G9915" t="s">
        <v>2</v>
      </c>
      <c r="H9915" t="s">
        <v>1436</v>
      </c>
      <c r="I9915" t="s">
        <v>38134</v>
      </c>
      <c r="P9915" t="s">
        <v>10713</v>
      </c>
      <c r="Y9915" t="s">
        <v>1443</v>
      </c>
    </row>
    <row r="9916" spans="1:25" x14ac:dyDescent="0.25">
      <c r="A9916" t="str">
        <f>"123595076129"</f>
        <v>123595076129</v>
      </c>
      <c r="B9916" t="s">
        <v>1352</v>
      </c>
      <c r="C9916" t="s">
        <v>1353</v>
      </c>
      <c r="D9916" t="s">
        <v>38135</v>
      </c>
      <c r="E9916">
        <v>424918</v>
      </c>
      <c r="F9916" t="s">
        <v>1</v>
      </c>
      <c r="G9916" t="s">
        <v>2</v>
      </c>
      <c r="H9916" t="s">
        <v>629</v>
      </c>
      <c r="P9916" t="s">
        <v>630</v>
      </c>
      <c r="Y9916" t="s">
        <v>38136</v>
      </c>
    </row>
    <row r="9917" spans="1:25" x14ac:dyDescent="0.25">
      <c r="A9917" t="str">
        <f>"123640147662"</f>
        <v>123640147662</v>
      </c>
      <c r="B9917" t="s">
        <v>18</v>
      </c>
      <c r="C9917" t="s">
        <v>38139</v>
      </c>
      <c r="D9917" t="s">
        <v>38137</v>
      </c>
      <c r="E9917">
        <v>424007</v>
      </c>
      <c r="F9917" t="s">
        <v>1</v>
      </c>
      <c r="G9917" t="s">
        <v>2</v>
      </c>
      <c r="H9917" t="s">
        <v>1566</v>
      </c>
      <c r="J9917" t="s">
        <v>38138</v>
      </c>
      <c r="Y9917" t="s">
        <v>2882</v>
      </c>
    </row>
    <row r="9918" spans="1:25" x14ac:dyDescent="0.25">
      <c r="A9918" t="str">
        <f>"123750608375"</f>
        <v>123750608375</v>
      </c>
      <c r="B9918" t="s">
        <v>96</v>
      </c>
      <c r="C9918" t="s">
        <v>20476</v>
      </c>
      <c r="D9918" t="s">
        <v>38140</v>
      </c>
      <c r="E9918">
        <v>424019</v>
      </c>
      <c r="F9918" t="s">
        <v>1</v>
      </c>
      <c r="G9918" t="s">
        <v>2</v>
      </c>
      <c r="H9918" t="s">
        <v>7785</v>
      </c>
      <c r="I9918" t="s">
        <v>38141</v>
      </c>
      <c r="J9918" t="s">
        <v>38142</v>
      </c>
      <c r="M9918" t="s">
        <v>38143</v>
      </c>
      <c r="P9918" t="s">
        <v>98</v>
      </c>
      <c r="Y9918" t="s">
        <v>38144</v>
      </c>
    </row>
    <row r="9919" spans="1:25" x14ac:dyDescent="0.25">
      <c r="A9919" t="str">
        <f>"123787403193"</f>
        <v>123787403193</v>
      </c>
      <c r="B9919" t="s">
        <v>96</v>
      </c>
      <c r="C9919" t="s">
        <v>12115</v>
      </c>
      <c r="D9919" t="s">
        <v>12115</v>
      </c>
      <c r="E9919">
        <v>424003</v>
      </c>
      <c r="F9919" t="s">
        <v>1</v>
      </c>
      <c r="G9919" t="s">
        <v>2</v>
      </c>
      <c r="H9919" t="s">
        <v>13438</v>
      </c>
      <c r="Y9919" t="s">
        <v>38145</v>
      </c>
    </row>
    <row r="9920" spans="1:25" x14ac:dyDescent="0.25">
      <c r="A9920" t="str">
        <f>"123800749801"</f>
        <v>123800749801</v>
      </c>
      <c r="B9920" t="s">
        <v>574</v>
      </c>
      <c r="C9920" t="s">
        <v>646</v>
      </c>
      <c r="D9920" t="s">
        <v>38146</v>
      </c>
      <c r="E9920">
        <v>424006</v>
      </c>
      <c r="F9920" t="s">
        <v>1</v>
      </c>
      <c r="G9920" t="s">
        <v>2</v>
      </c>
      <c r="H9920" t="s">
        <v>38147</v>
      </c>
      <c r="I9920" t="s">
        <v>38148</v>
      </c>
      <c r="Y9920" t="s">
        <v>38149</v>
      </c>
    </row>
    <row r="9921" spans="1:25" x14ac:dyDescent="0.25">
      <c r="A9921" t="str">
        <f>"123834216382"</f>
        <v>123834216382</v>
      </c>
      <c r="B9921" t="s">
        <v>530</v>
      </c>
      <c r="C9921" t="s">
        <v>23950</v>
      </c>
      <c r="D9921" t="s">
        <v>23950</v>
      </c>
      <c r="F9921" t="s">
        <v>1</v>
      </c>
      <c r="G9921" t="s">
        <v>2</v>
      </c>
      <c r="H9921" t="s">
        <v>24047</v>
      </c>
      <c r="Y9921" t="s">
        <v>38150</v>
      </c>
    </row>
    <row r="9922" spans="1:25" x14ac:dyDescent="0.25">
      <c r="A9922" t="str">
        <f>"123918085622"</f>
        <v>123918085622</v>
      </c>
      <c r="B9922" t="s">
        <v>123</v>
      </c>
      <c r="C9922" t="s">
        <v>10769</v>
      </c>
      <c r="D9922" t="s">
        <v>38151</v>
      </c>
      <c r="E9922">
        <v>424006</v>
      </c>
      <c r="F9922" t="s">
        <v>1</v>
      </c>
      <c r="G9922" t="s">
        <v>2</v>
      </c>
      <c r="H9922" t="s">
        <v>6451</v>
      </c>
      <c r="I9922" t="s">
        <v>38152</v>
      </c>
      <c r="J9922" t="s">
        <v>38153</v>
      </c>
      <c r="L9922" t="s">
        <v>38154</v>
      </c>
      <c r="M9922" t="s">
        <v>38155</v>
      </c>
      <c r="P9922" t="s">
        <v>14075</v>
      </c>
      <c r="Y9922" t="s">
        <v>6457</v>
      </c>
    </row>
    <row r="9923" spans="1:25" x14ac:dyDescent="0.25">
      <c r="A9923" t="str">
        <f>"123940864428"</f>
        <v>123940864428</v>
      </c>
      <c r="B9923" t="s">
        <v>1152</v>
      </c>
      <c r="C9923" t="s">
        <v>38159</v>
      </c>
      <c r="D9923" t="s">
        <v>38156</v>
      </c>
      <c r="F9923" t="s">
        <v>1</v>
      </c>
      <c r="G9923" t="s">
        <v>2</v>
      </c>
      <c r="H9923" t="s">
        <v>27421</v>
      </c>
      <c r="J9923" t="s">
        <v>38157</v>
      </c>
      <c r="M9923" t="s">
        <v>38158</v>
      </c>
      <c r="P9923" t="s">
        <v>330</v>
      </c>
      <c r="Y9923" t="s">
        <v>38160</v>
      </c>
    </row>
    <row r="9924" spans="1:25" x14ac:dyDescent="0.25">
      <c r="A9924" t="str">
        <f>"123957608245"</f>
        <v>123957608245</v>
      </c>
      <c r="B9924" t="s">
        <v>348</v>
      </c>
      <c r="C9924" t="s">
        <v>349</v>
      </c>
      <c r="D9924" t="s">
        <v>14131</v>
      </c>
      <c r="E9924">
        <v>424020</v>
      </c>
      <c r="F9924" t="s">
        <v>1</v>
      </c>
      <c r="G9924" t="s">
        <v>2</v>
      </c>
      <c r="H9924" t="s">
        <v>802</v>
      </c>
      <c r="Y9924" t="s">
        <v>38161</v>
      </c>
    </row>
    <row r="9925" spans="1:25" x14ac:dyDescent="0.25">
      <c r="A9925" t="str">
        <f>"123977646339"</f>
        <v>123977646339</v>
      </c>
      <c r="B9925" t="s">
        <v>3200</v>
      </c>
      <c r="C9925" t="s">
        <v>18948</v>
      </c>
      <c r="D9925" t="s">
        <v>37725</v>
      </c>
      <c r="E9925">
        <v>424007</v>
      </c>
      <c r="F9925" t="s">
        <v>1</v>
      </c>
      <c r="G9925" t="s">
        <v>2</v>
      </c>
      <c r="H9925" t="s">
        <v>5178</v>
      </c>
      <c r="P9925" t="s">
        <v>2731</v>
      </c>
      <c r="Y9925" t="s">
        <v>38162</v>
      </c>
    </row>
    <row r="9926" spans="1:25" x14ac:dyDescent="0.25">
      <c r="A9926" t="str">
        <f>"124036768930"</f>
        <v>124036768930</v>
      </c>
      <c r="B9926" t="s">
        <v>1299</v>
      </c>
      <c r="C9926" t="s">
        <v>1300</v>
      </c>
      <c r="D9926" t="s">
        <v>24709</v>
      </c>
      <c r="E9926">
        <v>424005</v>
      </c>
      <c r="F9926" t="s">
        <v>1</v>
      </c>
      <c r="G9926" t="s">
        <v>2</v>
      </c>
      <c r="H9926" t="s">
        <v>1310</v>
      </c>
      <c r="J9926" t="s">
        <v>38163</v>
      </c>
      <c r="L9926" t="s">
        <v>24712</v>
      </c>
      <c r="M9926" t="s">
        <v>24713</v>
      </c>
      <c r="P9926" t="s">
        <v>2839</v>
      </c>
      <c r="Y9926" t="s">
        <v>38164</v>
      </c>
    </row>
    <row r="9927" spans="1:25" x14ac:dyDescent="0.25">
      <c r="A9927" t="str">
        <f>"124043500357"</f>
        <v>124043500357</v>
      </c>
      <c r="B9927" t="s">
        <v>1053</v>
      </c>
      <c r="C9927" t="s">
        <v>5528</v>
      </c>
      <c r="D9927" t="s">
        <v>38165</v>
      </c>
      <c r="E9927">
        <v>424032</v>
      </c>
      <c r="F9927" t="s">
        <v>1</v>
      </c>
      <c r="G9927" t="s">
        <v>2</v>
      </c>
      <c r="H9927" t="s">
        <v>4204</v>
      </c>
      <c r="J9927" t="s">
        <v>38166</v>
      </c>
      <c r="L9927" t="s">
        <v>38167</v>
      </c>
      <c r="M9927" t="s">
        <v>38168</v>
      </c>
      <c r="P9927" t="s">
        <v>390</v>
      </c>
      <c r="Y9927" t="s">
        <v>38169</v>
      </c>
    </row>
    <row r="9928" spans="1:25" x14ac:dyDescent="0.25">
      <c r="A9928" t="str">
        <f>"124051275104"</f>
        <v>124051275104</v>
      </c>
      <c r="B9928" t="s">
        <v>123</v>
      </c>
      <c r="C9928" t="s">
        <v>424</v>
      </c>
      <c r="D9928" t="s">
        <v>2249</v>
      </c>
      <c r="E9928">
        <v>424000</v>
      </c>
      <c r="F9928" t="s">
        <v>1</v>
      </c>
      <c r="G9928" t="s">
        <v>2</v>
      </c>
      <c r="H9928" t="s">
        <v>38170</v>
      </c>
      <c r="I9928" t="s">
        <v>38171</v>
      </c>
      <c r="P9928" t="s">
        <v>425</v>
      </c>
      <c r="Y9928" t="s">
        <v>38172</v>
      </c>
    </row>
    <row r="9929" spans="1:25" x14ac:dyDescent="0.25">
      <c r="A9929" t="str">
        <f>"124058330815"</f>
        <v>124058330815</v>
      </c>
      <c r="B9929" t="s">
        <v>1046</v>
      </c>
      <c r="C9929" t="s">
        <v>37247</v>
      </c>
      <c r="D9929" t="s">
        <v>38173</v>
      </c>
      <c r="E9929">
        <v>424006</v>
      </c>
      <c r="F9929" t="s">
        <v>1</v>
      </c>
      <c r="G9929" t="s">
        <v>2</v>
      </c>
      <c r="H9929" t="s">
        <v>751</v>
      </c>
      <c r="J9929" t="s">
        <v>38174</v>
      </c>
      <c r="P9929" t="s">
        <v>312</v>
      </c>
      <c r="Q9929" t="s">
        <v>38175</v>
      </c>
      <c r="Y9929" t="s">
        <v>755</v>
      </c>
    </row>
    <row r="9930" spans="1:25" x14ac:dyDescent="0.25">
      <c r="A9930" t="str">
        <f>"124065649545"</f>
        <v>124065649545</v>
      </c>
      <c r="B9930" t="s">
        <v>1617</v>
      </c>
      <c r="C9930" t="s">
        <v>21001</v>
      </c>
      <c r="D9930" t="s">
        <v>38176</v>
      </c>
      <c r="E9930">
        <v>424003</v>
      </c>
      <c r="F9930" t="s">
        <v>1</v>
      </c>
      <c r="G9930" t="s">
        <v>2</v>
      </c>
      <c r="H9930" t="s">
        <v>38</v>
      </c>
      <c r="Y9930" t="s">
        <v>8462</v>
      </c>
    </row>
    <row r="9931" spans="1:25" x14ac:dyDescent="0.25">
      <c r="A9931" t="str">
        <f>"124097729387"</f>
        <v>124097729387</v>
      </c>
      <c r="B9931" t="s">
        <v>32</v>
      </c>
      <c r="C9931" t="s">
        <v>20137</v>
      </c>
      <c r="D9931" t="s">
        <v>38177</v>
      </c>
      <c r="E9931">
        <v>424006</v>
      </c>
      <c r="F9931" t="s">
        <v>1</v>
      </c>
      <c r="G9931" t="s">
        <v>2</v>
      </c>
      <c r="H9931" t="s">
        <v>6133</v>
      </c>
      <c r="J9931" t="s">
        <v>38178</v>
      </c>
      <c r="P9931" t="s">
        <v>2457</v>
      </c>
      <c r="Y9931" t="s">
        <v>24905</v>
      </c>
    </row>
    <row r="9932" spans="1:25" x14ac:dyDescent="0.25">
      <c r="A9932" t="str">
        <f>"124128882897"</f>
        <v>124128882897</v>
      </c>
      <c r="B9932" t="s">
        <v>1152</v>
      </c>
      <c r="C9932" t="s">
        <v>4682</v>
      </c>
      <c r="D9932" t="s">
        <v>25385</v>
      </c>
      <c r="E9932">
        <v>424000</v>
      </c>
      <c r="F9932" t="s">
        <v>1</v>
      </c>
      <c r="G9932" t="s">
        <v>2</v>
      </c>
      <c r="H9932" t="s">
        <v>1473</v>
      </c>
      <c r="P9932" t="s">
        <v>941</v>
      </c>
      <c r="Y9932" t="s">
        <v>38179</v>
      </c>
    </row>
    <row r="9933" spans="1:25" x14ac:dyDescent="0.25">
      <c r="A9933" t="str">
        <f>"124131222713"</f>
        <v>124131222713</v>
      </c>
      <c r="B9933" t="s">
        <v>3573</v>
      </c>
      <c r="C9933" t="s">
        <v>38182</v>
      </c>
      <c r="D9933" t="s">
        <v>38180</v>
      </c>
      <c r="E9933">
        <v>424004</v>
      </c>
      <c r="F9933" t="s">
        <v>1</v>
      </c>
      <c r="G9933" t="s">
        <v>2</v>
      </c>
      <c r="H9933" t="s">
        <v>351</v>
      </c>
      <c r="J9933" t="s">
        <v>38181</v>
      </c>
      <c r="P9933" t="s">
        <v>27</v>
      </c>
      <c r="Y9933" t="s">
        <v>354</v>
      </c>
    </row>
    <row r="9934" spans="1:25" x14ac:dyDescent="0.25">
      <c r="A9934" t="str">
        <f>"124139452104"</f>
        <v>124139452104</v>
      </c>
      <c r="B9934" t="s">
        <v>1046</v>
      </c>
      <c r="C9934" t="s">
        <v>3497</v>
      </c>
      <c r="D9934" t="s">
        <v>26410</v>
      </c>
      <c r="E9934">
        <v>424037</v>
      </c>
      <c r="F9934" t="s">
        <v>1</v>
      </c>
      <c r="G9934" t="s">
        <v>2</v>
      </c>
      <c r="H9934" t="s">
        <v>26411</v>
      </c>
      <c r="I9934" t="s">
        <v>38183</v>
      </c>
      <c r="J9934" t="s">
        <v>38184</v>
      </c>
      <c r="P9934" t="s">
        <v>330</v>
      </c>
      <c r="Q9934" t="s">
        <v>38185</v>
      </c>
      <c r="Y9934" t="s">
        <v>38186</v>
      </c>
    </row>
    <row r="9935" spans="1:25" x14ac:dyDescent="0.25">
      <c r="A9935" t="str">
        <f>"124169315745"</f>
        <v>124169315745</v>
      </c>
      <c r="B9935" t="s">
        <v>96</v>
      </c>
      <c r="C9935" t="s">
        <v>2285</v>
      </c>
      <c r="D9935" t="s">
        <v>38187</v>
      </c>
      <c r="E9935">
        <v>424036</v>
      </c>
      <c r="F9935" t="s">
        <v>1</v>
      </c>
      <c r="G9935" t="s">
        <v>2</v>
      </c>
      <c r="H9935" t="s">
        <v>5294</v>
      </c>
      <c r="Y9935" t="s">
        <v>10139</v>
      </c>
    </row>
    <row r="9936" spans="1:25" x14ac:dyDescent="0.25">
      <c r="A9936" t="str">
        <f>"124186223870"</f>
        <v>124186223870</v>
      </c>
      <c r="B9936" t="s">
        <v>930</v>
      </c>
      <c r="C9936" t="s">
        <v>10263</v>
      </c>
      <c r="D9936" t="s">
        <v>38188</v>
      </c>
      <c r="E9936">
        <v>424008</v>
      </c>
      <c r="F9936" t="s">
        <v>1</v>
      </c>
      <c r="G9936" t="s">
        <v>2</v>
      </c>
      <c r="H9936" t="s">
        <v>23146</v>
      </c>
      <c r="M9936" t="s">
        <v>38189</v>
      </c>
      <c r="P9936" t="s">
        <v>330</v>
      </c>
      <c r="Q9936" t="s">
        <v>38190</v>
      </c>
      <c r="Y9936" t="s">
        <v>38191</v>
      </c>
    </row>
    <row r="9937" spans="1:25" x14ac:dyDescent="0.25">
      <c r="A9937" t="str">
        <f>"124231246211"</f>
        <v>124231246211</v>
      </c>
      <c r="B9937" t="s">
        <v>797</v>
      </c>
      <c r="C9937" t="s">
        <v>31171</v>
      </c>
      <c r="D9937" t="s">
        <v>38192</v>
      </c>
      <c r="F9937" t="s">
        <v>1</v>
      </c>
      <c r="G9937" t="s">
        <v>2</v>
      </c>
      <c r="H9937" t="s">
        <v>28259</v>
      </c>
      <c r="Y9937" t="s">
        <v>38193</v>
      </c>
    </row>
    <row r="9938" spans="1:25" x14ac:dyDescent="0.25">
      <c r="A9938" t="str">
        <f>"124235986086"</f>
        <v>124235986086</v>
      </c>
      <c r="B9938" t="s">
        <v>640</v>
      </c>
      <c r="C9938" t="s">
        <v>28140</v>
      </c>
      <c r="D9938" t="s">
        <v>38194</v>
      </c>
      <c r="F9938" t="s">
        <v>1</v>
      </c>
      <c r="G9938" t="s">
        <v>2</v>
      </c>
      <c r="H9938" t="s">
        <v>27499</v>
      </c>
      <c r="Y9938" t="s">
        <v>38195</v>
      </c>
    </row>
    <row r="9939" spans="1:25" x14ac:dyDescent="0.25">
      <c r="A9939" t="str">
        <f>"124331881291"</f>
        <v>124331881291</v>
      </c>
      <c r="B9939" t="s">
        <v>574</v>
      </c>
      <c r="C9939" t="s">
        <v>646</v>
      </c>
      <c r="D9939" t="s">
        <v>38196</v>
      </c>
      <c r="E9939">
        <v>424028</v>
      </c>
      <c r="F9939" t="s">
        <v>1</v>
      </c>
      <c r="G9939" t="s">
        <v>2</v>
      </c>
      <c r="H9939" t="s">
        <v>31376</v>
      </c>
      <c r="I9939" t="s">
        <v>38197</v>
      </c>
      <c r="L9939" t="s">
        <v>38198</v>
      </c>
      <c r="M9939" t="s">
        <v>38199</v>
      </c>
      <c r="Y9939" t="s">
        <v>38200</v>
      </c>
    </row>
    <row r="9940" spans="1:25" x14ac:dyDescent="0.25">
      <c r="A9940" t="str">
        <f>"124346430859"</f>
        <v>124346430859</v>
      </c>
      <c r="B9940" t="s">
        <v>1061</v>
      </c>
      <c r="C9940" t="s">
        <v>26953</v>
      </c>
      <c r="D9940" t="s">
        <v>38201</v>
      </c>
      <c r="F9940" t="s">
        <v>1</v>
      </c>
      <c r="G9940" t="s">
        <v>2</v>
      </c>
      <c r="H9940" t="s">
        <v>38202</v>
      </c>
      <c r="Y9940" t="s">
        <v>38203</v>
      </c>
    </row>
    <row r="9941" spans="1:25" x14ac:dyDescent="0.25">
      <c r="A9941" t="str">
        <f>"124368043347"</f>
        <v>124368043347</v>
      </c>
      <c r="B9941" t="s">
        <v>96</v>
      </c>
      <c r="C9941" t="s">
        <v>3621</v>
      </c>
      <c r="D9941" t="s">
        <v>26502</v>
      </c>
      <c r="E9941">
        <v>424020</v>
      </c>
      <c r="F9941" t="s">
        <v>1</v>
      </c>
      <c r="G9941" t="s">
        <v>2</v>
      </c>
      <c r="H9941" t="s">
        <v>6262</v>
      </c>
      <c r="Y9941" t="s">
        <v>6264</v>
      </c>
    </row>
    <row r="9942" spans="1:25" x14ac:dyDescent="0.25">
      <c r="A9942" t="str">
        <f>"124383398344"</f>
        <v>124383398344</v>
      </c>
      <c r="B9942" t="s">
        <v>574</v>
      </c>
      <c r="C9942" t="s">
        <v>26901</v>
      </c>
      <c r="D9942" t="s">
        <v>38204</v>
      </c>
      <c r="E9942">
        <v>424004</v>
      </c>
      <c r="F9942" t="s">
        <v>1</v>
      </c>
      <c r="G9942" t="s">
        <v>2</v>
      </c>
      <c r="H9942" t="s">
        <v>1880</v>
      </c>
      <c r="Y9942" t="s">
        <v>38205</v>
      </c>
    </row>
    <row r="9943" spans="1:25" x14ac:dyDescent="0.25">
      <c r="A9943" t="str">
        <f>"124385520509"</f>
        <v>124385520509</v>
      </c>
      <c r="B9943" t="s">
        <v>1222</v>
      </c>
      <c r="C9943" t="s">
        <v>2114</v>
      </c>
      <c r="D9943" t="s">
        <v>38206</v>
      </c>
      <c r="E9943">
        <v>424028</v>
      </c>
      <c r="F9943" t="s">
        <v>1</v>
      </c>
      <c r="G9943" t="s">
        <v>2</v>
      </c>
      <c r="H9943" t="s">
        <v>1969</v>
      </c>
      <c r="I9943" t="s">
        <v>38207</v>
      </c>
      <c r="P9943" t="s">
        <v>1972</v>
      </c>
      <c r="Y9943" t="s">
        <v>38208</v>
      </c>
    </row>
    <row r="9944" spans="1:25" x14ac:dyDescent="0.25">
      <c r="A9944" t="str">
        <f>"124434762343"</f>
        <v>124434762343</v>
      </c>
      <c r="B9944" t="s">
        <v>32</v>
      </c>
      <c r="C9944" t="s">
        <v>38211</v>
      </c>
      <c r="D9944" t="s">
        <v>38209</v>
      </c>
      <c r="E9944">
        <v>424003</v>
      </c>
      <c r="F9944" t="s">
        <v>1</v>
      </c>
      <c r="G9944" t="s">
        <v>2</v>
      </c>
      <c r="H9944" t="s">
        <v>2465</v>
      </c>
      <c r="J9944" t="s">
        <v>38210</v>
      </c>
      <c r="P9944" t="s">
        <v>144</v>
      </c>
      <c r="Y9944" t="s">
        <v>38212</v>
      </c>
    </row>
    <row r="9945" spans="1:25" x14ac:dyDescent="0.25">
      <c r="A9945" t="str">
        <f>"124469927724"</f>
        <v>124469927724</v>
      </c>
      <c r="B9945" t="s">
        <v>117</v>
      </c>
      <c r="C9945" t="s">
        <v>118</v>
      </c>
      <c r="D9945" t="s">
        <v>38213</v>
      </c>
      <c r="F9945" t="s">
        <v>1</v>
      </c>
      <c r="G9945" t="s">
        <v>2</v>
      </c>
      <c r="H9945" t="s">
        <v>7547</v>
      </c>
      <c r="Y9945" t="s">
        <v>38214</v>
      </c>
    </row>
    <row r="9946" spans="1:25" x14ac:dyDescent="0.25">
      <c r="A9946" t="str">
        <f>"124492207197"</f>
        <v>124492207197</v>
      </c>
      <c r="B9946" t="s">
        <v>188</v>
      </c>
      <c r="C9946" t="s">
        <v>23982</v>
      </c>
      <c r="D9946" t="s">
        <v>23982</v>
      </c>
      <c r="E9946">
        <v>424003</v>
      </c>
      <c r="F9946" t="s">
        <v>1</v>
      </c>
      <c r="G9946" t="s">
        <v>2</v>
      </c>
      <c r="H9946" t="s">
        <v>28200</v>
      </c>
      <c r="Y9946" t="s">
        <v>38215</v>
      </c>
    </row>
    <row r="9947" spans="1:25" x14ac:dyDescent="0.25">
      <c r="A9947" t="str">
        <f>"124553959200"</f>
        <v>124553959200</v>
      </c>
      <c r="B9947" t="s">
        <v>930</v>
      </c>
      <c r="C9947" t="s">
        <v>11882</v>
      </c>
      <c r="D9947" t="s">
        <v>34389</v>
      </c>
      <c r="F9947" t="s">
        <v>1</v>
      </c>
      <c r="G9947" t="s">
        <v>2</v>
      </c>
      <c r="H9947" t="s">
        <v>1359</v>
      </c>
      <c r="I9947" t="s">
        <v>38216</v>
      </c>
      <c r="P9947" t="s">
        <v>133</v>
      </c>
      <c r="Y9947" t="s">
        <v>38217</v>
      </c>
    </row>
    <row r="9948" spans="1:25" x14ac:dyDescent="0.25">
      <c r="A9948" t="str">
        <f>"124608146484"</f>
        <v>124608146484</v>
      </c>
      <c r="B9948" t="s">
        <v>96</v>
      </c>
      <c r="C9948" t="s">
        <v>893</v>
      </c>
      <c r="D9948" t="s">
        <v>38218</v>
      </c>
      <c r="E9948">
        <v>424000</v>
      </c>
      <c r="F9948" t="s">
        <v>1</v>
      </c>
      <c r="G9948" t="s">
        <v>2</v>
      </c>
      <c r="H9948" t="s">
        <v>2671</v>
      </c>
      <c r="Y9948" t="s">
        <v>2674</v>
      </c>
    </row>
    <row r="9949" spans="1:25" x14ac:dyDescent="0.25">
      <c r="A9949" t="str">
        <f>"124609012399"</f>
        <v>124609012399</v>
      </c>
      <c r="B9949" t="s">
        <v>96</v>
      </c>
      <c r="C9949" t="s">
        <v>38224</v>
      </c>
      <c r="D9949" t="s">
        <v>38219</v>
      </c>
      <c r="E9949">
        <v>424007</v>
      </c>
      <c r="F9949" t="s">
        <v>1</v>
      </c>
      <c r="G9949" t="s">
        <v>2</v>
      </c>
      <c r="H9949" t="s">
        <v>7196</v>
      </c>
      <c r="I9949" t="s">
        <v>38220</v>
      </c>
      <c r="J9949" t="s">
        <v>38221</v>
      </c>
      <c r="L9949" t="s">
        <v>38222</v>
      </c>
      <c r="M9949" t="s">
        <v>38223</v>
      </c>
      <c r="P9949" t="s">
        <v>1760</v>
      </c>
      <c r="Q9949" t="s">
        <v>38225</v>
      </c>
      <c r="U9949" t="s">
        <v>38226</v>
      </c>
      <c r="V9949" t="s">
        <v>38227</v>
      </c>
      <c r="Y9949" t="s">
        <v>38228</v>
      </c>
    </row>
    <row r="9950" spans="1:25" x14ac:dyDescent="0.25">
      <c r="A9950" t="str">
        <f>"124624566686"</f>
        <v>124624566686</v>
      </c>
      <c r="B9950" t="s">
        <v>96</v>
      </c>
      <c r="C9950" t="s">
        <v>893</v>
      </c>
      <c r="D9950" t="s">
        <v>38229</v>
      </c>
      <c r="E9950">
        <v>424918</v>
      </c>
      <c r="F9950" t="s">
        <v>1</v>
      </c>
      <c r="G9950" t="s">
        <v>2</v>
      </c>
      <c r="H9950" t="s">
        <v>629</v>
      </c>
      <c r="P9950" t="s">
        <v>630</v>
      </c>
      <c r="Y9950" t="s">
        <v>38230</v>
      </c>
    </row>
    <row r="9951" spans="1:25" x14ac:dyDescent="0.25">
      <c r="A9951" t="str">
        <f>"124668003918"</f>
        <v>124668003918</v>
      </c>
      <c r="B9951" t="s">
        <v>574</v>
      </c>
      <c r="C9951" t="s">
        <v>23462</v>
      </c>
      <c r="D9951" t="s">
        <v>38231</v>
      </c>
      <c r="E9951">
        <v>424020</v>
      </c>
      <c r="F9951" t="s">
        <v>1</v>
      </c>
      <c r="G9951" t="s">
        <v>2</v>
      </c>
      <c r="H9951" t="s">
        <v>23</v>
      </c>
      <c r="Y9951" t="s">
        <v>38232</v>
      </c>
    </row>
    <row r="9952" spans="1:25" x14ac:dyDescent="0.25">
      <c r="A9952" t="str">
        <f>"124688986986"</f>
        <v>124688986986</v>
      </c>
      <c r="B9952" t="s">
        <v>430</v>
      </c>
      <c r="C9952" t="s">
        <v>612</v>
      </c>
      <c r="D9952" t="s">
        <v>38233</v>
      </c>
      <c r="E9952">
        <v>424006</v>
      </c>
      <c r="F9952" t="s">
        <v>1</v>
      </c>
      <c r="G9952" t="s">
        <v>2</v>
      </c>
      <c r="H9952" t="s">
        <v>32734</v>
      </c>
      <c r="I9952" t="s">
        <v>38234</v>
      </c>
      <c r="P9952" t="s">
        <v>38235</v>
      </c>
      <c r="Y9952" t="s">
        <v>38236</v>
      </c>
    </row>
    <row r="9953" spans="1:25" x14ac:dyDescent="0.25">
      <c r="A9953" t="str">
        <f>"124695837541"</f>
        <v>124695837541</v>
      </c>
      <c r="B9953" t="s">
        <v>188</v>
      </c>
      <c r="C9953" t="s">
        <v>24568</v>
      </c>
      <c r="D9953" t="s">
        <v>24568</v>
      </c>
      <c r="E9953">
        <v>424918</v>
      </c>
      <c r="F9953" t="s">
        <v>1</v>
      </c>
      <c r="G9953" t="s">
        <v>2</v>
      </c>
      <c r="H9953" t="s">
        <v>629</v>
      </c>
      <c r="P9953" t="s">
        <v>630</v>
      </c>
      <c r="Y9953" t="s">
        <v>38237</v>
      </c>
    </row>
    <row r="9954" spans="1:25" x14ac:dyDescent="0.25">
      <c r="A9954" t="str">
        <f>"124710695509"</f>
        <v>124710695509</v>
      </c>
      <c r="B9954" t="s">
        <v>18</v>
      </c>
      <c r="C9954" t="s">
        <v>38241</v>
      </c>
      <c r="D9954" t="s">
        <v>38238</v>
      </c>
      <c r="F9954" t="s">
        <v>1</v>
      </c>
      <c r="G9954" t="s">
        <v>2</v>
      </c>
      <c r="H9954" t="s">
        <v>38239</v>
      </c>
      <c r="M9954" t="s">
        <v>38240</v>
      </c>
      <c r="P9954" t="s">
        <v>38242</v>
      </c>
      <c r="Y9954" t="s">
        <v>38243</v>
      </c>
    </row>
    <row r="9955" spans="1:25" x14ac:dyDescent="0.25">
      <c r="A9955" t="str">
        <f>"124743846182"</f>
        <v>124743846182</v>
      </c>
      <c r="B9955" t="s">
        <v>18</v>
      </c>
      <c r="C9955" t="s">
        <v>38247</v>
      </c>
      <c r="D9955" t="s">
        <v>38244</v>
      </c>
      <c r="E9955">
        <v>424006</v>
      </c>
      <c r="F9955" t="s">
        <v>1</v>
      </c>
      <c r="G9955" t="s">
        <v>2</v>
      </c>
      <c r="H9955" t="s">
        <v>393</v>
      </c>
      <c r="I9955" t="s">
        <v>38245</v>
      </c>
      <c r="J9955" t="s">
        <v>38246</v>
      </c>
      <c r="P9955" t="s">
        <v>1420</v>
      </c>
      <c r="Y9955" t="s">
        <v>23160</v>
      </c>
    </row>
    <row r="9956" spans="1:25" x14ac:dyDescent="0.25">
      <c r="A9956" t="str">
        <f>"124793335463"</f>
        <v>124793335463</v>
      </c>
      <c r="B9956" t="s">
        <v>348</v>
      </c>
      <c r="C9956" t="s">
        <v>38250</v>
      </c>
      <c r="D9956" t="s">
        <v>38248</v>
      </c>
      <c r="F9956" t="s">
        <v>1</v>
      </c>
      <c r="G9956" t="s">
        <v>2</v>
      </c>
      <c r="H9956" t="s">
        <v>138</v>
      </c>
      <c r="J9956" t="s">
        <v>38249</v>
      </c>
      <c r="P9956" t="s">
        <v>144</v>
      </c>
      <c r="Q9956" t="s">
        <v>38251</v>
      </c>
      <c r="V9956" t="s">
        <v>38252</v>
      </c>
      <c r="Y9956" t="s">
        <v>146</v>
      </c>
    </row>
    <row r="9957" spans="1:25" x14ac:dyDescent="0.25">
      <c r="A9957" t="str">
        <f>"124794625012"</f>
        <v>124794625012</v>
      </c>
      <c r="B9957" t="s">
        <v>25</v>
      </c>
      <c r="C9957" t="s">
        <v>38257</v>
      </c>
      <c r="D9957" t="s">
        <v>38253</v>
      </c>
      <c r="F9957" t="s">
        <v>1</v>
      </c>
      <c r="G9957" t="s">
        <v>2</v>
      </c>
      <c r="H9957" t="s">
        <v>28327</v>
      </c>
      <c r="I9957" t="s">
        <v>38254</v>
      </c>
      <c r="L9957" t="s">
        <v>38255</v>
      </c>
      <c r="M9957" t="s">
        <v>38256</v>
      </c>
      <c r="Y9957" t="s">
        <v>38258</v>
      </c>
    </row>
    <row r="9958" spans="1:25" x14ac:dyDescent="0.25">
      <c r="A9958" t="str">
        <f>"124830405694"</f>
        <v>124830405694</v>
      </c>
      <c r="B9958" t="s">
        <v>160</v>
      </c>
      <c r="C9958" t="s">
        <v>9976</v>
      </c>
      <c r="D9958" t="s">
        <v>38259</v>
      </c>
      <c r="E9958">
        <v>424036</v>
      </c>
      <c r="F9958" t="s">
        <v>1</v>
      </c>
      <c r="G9958" t="s">
        <v>2</v>
      </c>
      <c r="H9958" t="s">
        <v>38260</v>
      </c>
      <c r="J9958" t="s">
        <v>38261</v>
      </c>
      <c r="P9958" t="s">
        <v>38262</v>
      </c>
      <c r="Y9958" t="s">
        <v>38263</v>
      </c>
    </row>
    <row r="9959" spans="1:25" x14ac:dyDescent="0.25">
      <c r="A9959" t="str">
        <f>"124840841902"</f>
        <v>124840841902</v>
      </c>
      <c r="B9959" t="s">
        <v>462</v>
      </c>
      <c r="C9959" t="s">
        <v>1140</v>
      </c>
      <c r="D9959" t="s">
        <v>38264</v>
      </c>
      <c r="E9959">
        <v>424006</v>
      </c>
      <c r="F9959" t="s">
        <v>1</v>
      </c>
      <c r="G9959" t="s">
        <v>2</v>
      </c>
      <c r="H9959" t="s">
        <v>2649</v>
      </c>
      <c r="Y9959" t="s">
        <v>38265</v>
      </c>
    </row>
    <row r="9960" spans="1:25" x14ac:dyDescent="0.25">
      <c r="A9960" t="str">
        <f>"124844987443"</f>
        <v>124844987443</v>
      </c>
      <c r="B9960" t="s">
        <v>1262</v>
      </c>
      <c r="C9960" t="s">
        <v>1263</v>
      </c>
      <c r="D9960" t="s">
        <v>38266</v>
      </c>
      <c r="E9960">
        <v>424028</v>
      </c>
      <c r="F9960" t="s">
        <v>1</v>
      </c>
      <c r="G9960" t="s">
        <v>2</v>
      </c>
      <c r="H9960" t="s">
        <v>2942</v>
      </c>
      <c r="I9960" t="s">
        <v>38267</v>
      </c>
      <c r="J9960" t="s">
        <v>38268</v>
      </c>
      <c r="L9960" t="s">
        <v>38269</v>
      </c>
      <c r="M9960" t="s">
        <v>38270</v>
      </c>
      <c r="P9960" t="s">
        <v>20</v>
      </c>
      <c r="Y9960" t="s">
        <v>2944</v>
      </c>
    </row>
    <row r="9961" spans="1:25" x14ac:dyDescent="0.25">
      <c r="A9961" t="str">
        <f>"124848520572"</f>
        <v>124848520572</v>
      </c>
      <c r="B9961" t="s">
        <v>18</v>
      </c>
      <c r="C9961" t="s">
        <v>38276</v>
      </c>
      <c r="D9961" t="s">
        <v>38271</v>
      </c>
      <c r="F9961" t="s">
        <v>1</v>
      </c>
      <c r="G9961" t="s">
        <v>2</v>
      </c>
      <c r="H9961" t="s">
        <v>684</v>
      </c>
      <c r="I9961" t="s">
        <v>38272</v>
      </c>
      <c r="J9961" t="s">
        <v>38273</v>
      </c>
      <c r="L9961" t="s">
        <v>38274</v>
      </c>
      <c r="M9961" t="s">
        <v>38275</v>
      </c>
      <c r="P9961" t="s">
        <v>280</v>
      </c>
      <c r="Q9961" t="s">
        <v>38277</v>
      </c>
      <c r="Y9961" t="s">
        <v>690</v>
      </c>
    </row>
    <row r="9962" spans="1:25" x14ac:dyDescent="0.25">
      <c r="A9962" t="str">
        <f>"124859554929"</f>
        <v>124859554929</v>
      </c>
      <c r="B9962" t="s">
        <v>110</v>
      </c>
      <c r="C9962" t="s">
        <v>38281</v>
      </c>
      <c r="D9962" t="s">
        <v>38278</v>
      </c>
      <c r="E9962">
        <v>424002</v>
      </c>
      <c r="F9962" t="s">
        <v>1</v>
      </c>
      <c r="G9962" t="s">
        <v>2</v>
      </c>
      <c r="H9962" t="s">
        <v>2338</v>
      </c>
      <c r="I9962" t="s">
        <v>38279</v>
      </c>
      <c r="L9962" t="s">
        <v>38280</v>
      </c>
      <c r="P9962" t="s">
        <v>2951</v>
      </c>
      <c r="Y9962" t="s">
        <v>38282</v>
      </c>
    </row>
    <row r="9963" spans="1:25" x14ac:dyDescent="0.25">
      <c r="A9963" t="str">
        <f>"124878859421"</f>
        <v>124878859421</v>
      </c>
      <c r="B9963" t="s">
        <v>930</v>
      </c>
      <c r="C9963" t="s">
        <v>1096</v>
      </c>
      <c r="D9963" t="s">
        <v>38283</v>
      </c>
      <c r="E9963">
        <v>424020</v>
      </c>
      <c r="F9963" t="s">
        <v>1</v>
      </c>
      <c r="G9963" t="s">
        <v>2</v>
      </c>
      <c r="H9963" t="s">
        <v>802</v>
      </c>
      <c r="Y9963" t="s">
        <v>38284</v>
      </c>
    </row>
    <row r="9964" spans="1:25" x14ac:dyDescent="0.25">
      <c r="A9964" t="str">
        <f>"124881099838"</f>
        <v>124881099838</v>
      </c>
      <c r="B9964" t="s">
        <v>930</v>
      </c>
      <c r="C9964" t="s">
        <v>1096</v>
      </c>
      <c r="D9964" t="s">
        <v>29820</v>
      </c>
      <c r="E9964">
        <v>424032</v>
      </c>
      <c r="F9964" t="s">
        <v>1</v>
      </c>
      <c r="G9964" t="s">
        <v>2</v>
      </c>
      <c r="H9964" t="s">
        <v>4808</v>
      </c>
      <c r="J9964" t="s">
        <v>38285</v>
      </c>
      <c r="Y9964" t="s">
        <v>4812</v>
      </c>
    </row>
    <row r="9965" spans="1:25" x14ac:dyDescent="0.25">
      <c r="A9965" t="str">
        <f>"124889144882"</f>
        <v>124889144882</v>
      </c>
      <c r="B9965" t="s">
        <v>388</v>
      </c>
      <c r="C9965" t="s">
        <v>7194</v>
      </c>
      <c r="D9965" t="s">
        <v>28207</v>
      </c>
      <c r="E9965">
        <v>424031</v>
      </c>
      <c r="F9965" t="s">
        <v>1</v>
      </c>
      <c r="G9965" t="s">
        <v>2</v>
      </c>
      <c r="H9965" t="s">
        <v>1524</v>
      </c>
      <c r="I9965" t="s">
        <v>23016</v>
      </c>
      <c r="J9965" t="s">
        <v>13794</v>
      </c>
      <c r="P9965" t="s">
        <v>2923</v>
      </c>
      <c r="Y9965" t="s">
        <v>5358</v>
      </c>
    </row>
    <row r="9966" spans="1:25" x14ac:dyDescent="0.25">
      <c r="A9966" t="str">
        <f>"124894494863"</f>
        <v>124894494863</v>
      </c>
      <c r="B9966" t="s">
        <v>654</v>
      </c>
      <c r="C9966" t="s">
        <v>11963</v>
      </c>
      <c r="D9966" t="s">
        <v>17654</v>
      </c>
      <c r="E9966">
        <v>424913</v>
      </c>
      <c r="F9966" t="s">
        <v>1</v>
      </c>
      <c r="G9966" t="s">
        <v>2</v>
      </c>
      <c r="H9966" t="s">
        <v>38286</v>
      </c>
      <c r="Y9966" t="s">
        <v>38287</v>
      </c>
    </row>
    <row r="9967" spans="1:25" x14ac:dyDescent="0.25">
      <c r="A9967" t="str">
        <f>"124921855988"</f>
        <v>124921855988</v>
      </c>
      <c r="B9967" t="s">
        <v>96</v>
      </c>
      <c r="C9967" t="s">
        <v>22202</v>
      </c>
      <c r="D9967" t="s">
        <v>21574</v>
      </c>
      <c r="E9967">
        <v>424000</v>
      </c>
      <c r="F9967" t="s">
        <v>1</v>
      </c>
      <c r="G9967" t="s">
        <v>2</v>
      </c>
      <c r="H9967" t="s">
        <v>3749</v>
      </c>
      <c r="Y9967" t="s">
        <v>38288</v>
      </c>
    </row>
    <row r="9968" spans="1:25" x14ac:dyDescent="0.25">
      <c r="A9968" t="str">
        <f>"124924140456"</f>
        <v>124924140456</v>
      </c>
      <c r="B9968" t="s">
        <v>80</v>
      </c>
      <c r="C9968" t="s">
        <v>38292</v>
      </c>
      <c r="D9968" t="s">
        <v>38289</v>
      </c>
      <c r="E9968">
        <v>424002</v>
      </c>
      <c r="F9968" t="s">
        <v>1</v>
      </c>
      <c r="G9968" t="s">
        <v>2</v>
      </c>
      <c r="H9968" t="s">
        <v>1886</v>
      </c>
      <c r="I9968" t="s">
        <v>38290</v>
      </c>
      <c r="L9968" t="s">
        <v>17242</v>
      </c>
      <c r="M9968" t="s">
        <v>38291</v>
      </c>
      <c r="P9968" t="s">
        <v>23339</v>
      </c>
      <c r="Y9968" t="s">
        <v>38293</v>
      </c>
    </row>
    <row r="9969" spans="1:25" x14ac:dyDescent="0.25">
      <c r="A9969" t="str">
        <f>"124928391808"</f>
        <v>124928391808</v>
      </c>
      <c r="B9969" t="s">
        <v>654</v>
      </c>
      <c r="C9969" t="s">
        <v>14448</v>
      </c>
      <c r="D9969" t="s">
        <v>4776</v>
      </c>
      <c r="E9969">
        <v>424038</v>
      </c>
      <c r="F9969" t="s">
        <v>1</v>
      </c>
      <c r="G9969" t="s">
        <v>2</v>
      </c>
      <c r="H9969" t="s">
        <v>12580</v>
      </c>
      <c r="Y9969" t="s">
        <v>12586</v>
      </c>
    </row>
    <row r="9970" spans="1:25" x14ac:dyDescent="0.25">
      <c r="A9970" t="str">
        <f>"124944641118"</f>
        <v>124944641118</v>
      </c>
      <c r="B9970" t="s">
        <v>88</v>
      </c>
      <c r="C9970" t="s">
        <v>38296</v>
      </c>
      <c r="D9970" t="s">
        <v>38294</v>
      </c>
      <c r="E9970">
        <v>424031</v>
      </c>
      <c r="F9970" t="s">
        <v>1</v>
      </c>
      <c r="G9970" t="s">
        <v>2</v>
      </c>
      <c r="H9970" t="s">
        <v>239</v>
      </c>
      <c r="J9970" t="s">
        <v>38295</v>
      </c>
      <c r="Q9970" t="s">
        <v>38297</v>
      </c>
      <c r="Y9970" t="s">
        <v>246</v>
      </c>
    </row>
    <row r="9971" spans="1:25" x14ac:dyDescent="0.25">
      <c r="A9971" t="str">
        <f>"124977358408"</f>
        <v>124977358408</v>
      </c>
      <c r="B9971" t="s">
        <v>888</v>
      </c>
      <c r="C9971" t="s">
        <v>7389</v>
      </c>
      <c r="D9971" t="s">
        <v>38298</v>
      </c>
      <c r="E9971">
        <v>424038</v>
      </c>
      <c r="F9971" t="s">
        <v>1</v>
      </c>
      <c r="G9971" t="s">
        <v>2</v>
      </c>
      <c r="H9971" t="s">
        <v>1862</v>
      </c>
      <c r="I9971" t="s">
        <v>38299</v>
      </c>
      <c r="L9971" t="s">
        <v>38300</v>
      </c>
      <c r="P9971" t="s">
        <v>1760</v>
      </c>
      <c r="Q9971" t="s">
        <v>38301</v>
      </c>
      <c r="Y9971" t="s">
        <v>38302</v>
      </c>
    </row>
    <row r="9972" spans="1:25" x14ac:dyDescent="0.25">
      <c r="A9972" t="str">
        <f>"125019788171"</f>
        <v>125019788171</v>
      </c>
      <c r="B9972" t="s">
        <v>18</v>
      </c>
      <c r="C9972" t="s">
        <v>143</v>
      </c>
      <c r="D9972" t="s">
        <v>38303</v>
      </c>
      <c r="F9972" t="s">
        <v>1</v>
      </c>
      <c r="G9972" t="s">
        <v>2</v>
      </c>
      <c r="H9972" t="s">
        <v>2586</v>
      </c>
      <c r="I9972" t="s">
        <v>38304</v>
      </c>
      <c r="J9972" t="s">
        <v>38305</v>
      </c>
      <c r="P9972" t="s">
        <v>471</v>
      </c>
      <c r="Y9972" t="s">
        <v>23342</v>
      </c>
    </row>
    <row r="9973" spans="1:25" x14ac:dyDescent="0.25">
      <c r="A9973" t="str">
        <f>"125038316551"</f>
        <v>125038316551</v>
      </c>
      <c r="B9973" t="s">
        <v>1053</v>
      </c>
      <c r="C9973" t="s">
        <v>14298</v>
      </c>
      <c r="D9973" t="s">
        <v>8759</v>
      </c>
      <c r="F9973" t="s">
        <v>1</v>
      </c>
      <c r="G9973" t="s">
        <v>2</v>
      </c>
      <c r="H9973" t="s">
        <v>30367</v>
      </c>
      <c r="Y9973" t="s">
        <v>38306</v>
      </c>
    </row>
    <row r="9974" spans="1:25" x14ac:dyDescent="0.25">
      <c r="A9974" t="str">
        <f>"125045747157"</f>
        <v>125045747157</v>
      </c>
      <c r="B9974" t="s">
        <v>96</v>
      </c>
      <c r="C9974" t="s">
        <v>38310</v>
      </c>
      <c r="D9974" t="s">
        <v>38307</v>
      </c>
      <c r="E9974">
        <v>424002</v>
      </c>
      <c r="F9974" t="s">
        <v>1</v>
      </c>
      <c r="G9974" t="s">
        <v>2</v>
      </c>
      <c r="H9974" t="s">
        <v>662</v>
      </c>
      <c r="J9974" t="s">
        <v>38308</v>
      </c>
      <c r="L9974" t="s">
        <v>38309</v>
      </c>
      <c r="P9974" t="s">
        <v>941</v>
      </c>
      <c r="V9974" t="s">
        <v>38311</v>
      </c>
      <c r="Y9974" t="s">
        <v>38312</v>
      </c>
    </row>
    <row r="9975" spans="1:25" x14ac:dyDescent="0.25">
      <c r="A9975" t="str">
        <f>"125060306476"</f>
        <v>125060306476</v>
      </c>
      <c r="B9975" t="s">
        <v>4888</v>
      </c>
      <c r="C9975" t="s">
        <v>4889</v>
      </c>
      <c r="D9975" t="s">
        <v>8542</v>
      </c>
      <c r="E9975">
        <v>424007</v>
      </c>
      <c r="F9975" t="s">
        <v>1</v>
      </c>
      <c r="G9975" t="s">
        <v>2</v>
      </c>
      <c r="H9975" t="s">
        <v>499</v>
      </c>
      <c r="I9975" t="s">
        <v>38313</v>
      </c>
      <c r="P9975" t="s">
        <v>1232</v>
      </c>
      <c r="Y9975" t="s">
        <v>1598</v>
      </c>
    </row>
    <row r="9976" spans="1:25" x14ac:dyDescent="0.25">
      <c r="A9976" t="str">
        <f>"125104694941"</f>
        <v>125104694941</v>
      </c>
      <c r="B9976" t="s">
        <v>2677</v>
      </c>
      <c r="C9976" t="s">
        <v>20731</v>
      </c>
      <c r="D9976" t="s">
        <v>38314</v>
      </c>
      <c r="E9976">
        <v>424002</v>
      </c>
      <c r="F9976" t="s">
        <v>1</v>
      </c>
      <c r="G9976" t="s">
        <v>2</v>
      </c>
      <c r="H9976" t="s">
        <v>10546</v>
      </c>
      <c r="J9976" t="s">
        <v>38315</v>
      </c>
      <c r="L9976" t="s">
        <v>5344</v>
      </c>
      <c r="Q9976" t="s">
        <v>5345</v>
      </c>
      <c r="Y9976" t="s">
        <v>23665</v>
      </c>
    </row>
    <row r="9977" spans="1:25" x14ac:dyDescent="0.25">
      <c r="A9977" t="str">
        <f>"125132832042"</f>
        <v>125132832042</v>
      </c>
      <c r="B9977" t="s">
        <v>1053</v>
      </c>
      <c r="C9977" t="s">
        <v>38317</v>
      </c>
      <c r="D9977" t="s">
        <v>38316</v>
      </c>
      <c r="E9977">
        <v>424006</v>
      </c>
      <c r="F9977" t="s">
        <v>1</v>
      </c>
      <c r="G9977" t="s">
        <v>2</v>
      </c>
      <c r="H9977" t="s">
        <v>2012</v>
      </c>
      <c r="Y9977" t="s">
        <v>2016</v>
      </c>
    </row>
    <row r="9978" spans="1:25" x14ac:dyDescent="0.25">
      <c r="A9978" t="str">
        <f>"125189797507"</f>
        <v>125189797507</v>
      </c>
      <c r="B9978" t="s">
        <v>1611</v>
      </c>
      <c r="C9978" t="s">
        <v>3218</v>
      </c>
      <c r="D9978" t="s">
        <v>38318</v>
      </c>
      <c r="E9978">
        <v>424005</v>
      </c>
      <c r="F9978" t="s">
        <v>1</v>
      </c>
      <c r="G9978" t="s">
        <v>2</v>
      </c>
      <c r="H9978" t="s">
        <v>5429</v>
      </c>
      <c r="I9978" t="s">
        <v>38319</v>
      </c>
      <c r="M9978" t="s">
        <v>38320</v>
      </c>
      <c r="P9978" t="s">
        <v>20</v>
      </c>
      <c r="Y9978" t="s">
        <v>5431</v>
      </c>
    </row>
    <row r="9979" spans="1:25" x14ac:dyDescent="0.25">
      <c r="A9979" t="str">
        <f>"125200881950"</f>
        <v>125200881950</v>
      </c>
      <c r="B9979" t="s">
        <v>482</v>
      </c>
      <c r="C9979" t="s">
        <v>38323</v>
      </c>
      <c r="D9979" t="s">
        <v>38321</v>
      </c>
      <c r="E9979">
        <v>424002</v>
      </c>
      <c r="F9979" t="s">
        <v>1</v>
      </c>
      <c r="G9979" t="s">
        <v>2</v>
      </c>
      <c r="H9979" t="s">
        <v>5596</v>
      </c>
      <c r="I9979" t="s">
        <v>38322</v>
      </c>
      <c r="P9979" t="s">
        <v>27</v>
      </c>
      <c r="Q9979" t="s">
        <v>38324</v>
      </c>
      <c r="Y9979" t="s">
        <v>38325</v>
      </c>
    </row>
    <row r="9980" spans="1:25" x14ac:dyDescent="0.25">
      <c r="A9980" t="str">
        <f>"125248955984"</f>
        <v>125248955984</v>
      </c>
      <c r="B9980" t="s">
        <v>25</v>
      </c>
      <c r="C9980" t="s">
        <v>20320</v>
      </c>
      <c r="D9980" t="s">
        <v>38326</v>
      </c>
      <c r="E9980">
        <v>424003</v>
      </c>
      <c r="F9980" t="s">
        <v>1</v>
      </c>
      <c r="G9980" t="s">
        <v>2</v>
      </c>
      <c r="H9980" t="s">
        <v>38327</v>
      </c>
      <c r="Y9980" t="s">
        <v>38328</v>
      </c>
    </row>
    <row r="9981" spans="1:25" x14ac:dyDescent="0.25">
      <c r="A9981" t="str">
        <f>"125311873426"</f>
        <v>125311873426</v>
      </c>
      <c r="B9981" t="s">
        <v>1573</v>
      </c>
      <c r="C9981" t="s">
        <v>38330</v>
      </c>
      <c r="D9981" t="s">
        <v>38329</v>
      </c>
      <c r="E9981">
        <v>424038</v>
      </c>
      <c r="F9981" t="s">
        <v>1</v>
      </c>
      <c r="G9981" t="s">
        <v>2</v>
      </c>
      <c r="H9981" t="s">
        <v>2614</v>
      </c>
      <c r="Y9981" t="s">
        <v>2617</v>
      </c>
    </row>
    <row r="9982" spans="1:25" x14ac:dyDescent="0.25">
      <c r="A9982" t="str">
        <f>"125317021031"</f>
        <v>125317021031</v>
      </c>
      <c r="B9982" t="s">
        <v>123</v>
      </c>
      <c r="C9982" t="s">
        <v>424</v>
      </c>
      <c r="D9982" t="s">
        <v>5772</v>
      </c>
      <c r="E9982">
        <v>424008</v>
      </c>
      <c r="F9982" t="s">
        <v>1</v>
      </c>
      <c r="G9982" t="s">
        <v>2</v>
      </c>
      <c r="H9982" t="s">
        <v>11060</v>
      </c>
      <c r="I9982" t="s">
        <v>5774</v>
      </c>
      <c r="P9982" t="s">
        <v>4998</v>
      </c>
      <c r="Q9982" t="s">
        <v>38331</v>
      </c>
      <c r="Y9982" t="s">
        <v>11964</v>
      </c>
    </row>
    <row r="9983" spans="1:25" x14ac:dyDescent="0.25">
      <c r="A9983" t="str">
        <f>"125342080686"</f>
        <v>125342080686</v>
      </c>
      <c r="B9983" t="s">
        <v>1729</v>
      </c>
      <c r="C9983" t="s">
        <v>1730</v>
      </c>
      <c r="D9983" t="s">
        <v>38332</v>
      </c>
      <c r="E9983">
        <v>424031</v>
      </c>
      <c r="F9983" t="s">
        <v>1</v>
      </c>
      <c r="G9983" t="s">
        <v>2</v>
      </c>
      <c r="H9983" t="s">
        <v>10141</v>
      </c>
      <c r="I9983" t="s">
        <v>38333</v>
      </c>
      <c r="P9983" t="s">
        <v>6400</v>
      </c>
      <c r="Y9983" t="s">
        <v>38334</v>
      </c>
    </row>
    <row r="9984" spans="1:25" x14ac:dyDescent="0.25">
      <c r="A9984" t="str">
        <f>"125348529342"</f>
        <v>125348529342</v>
      </c>
      <c r="B9984" t="s">
        <v>574</v>
      </c>
      <c r="C9984" t="s">
        <v>29091</v>
      </c>
      <c r="D9984" t="s">
        <v>24813</v>
      </c>
      <c r="E9984">
        <v>424007</v>
      </c>
      <c r="F9984" t="s">
        <v>1</v>
      </c>
      <c r="G9984" t="s">
        <v>2</v>
      </c>
      <c r="H9984" t="s">
        <v>23667</v>
      </c>
      <c r="Y9984" t="s">
        <v>38335</v>
      </c>
    </row>
    <row r="9985" spans="1:25" x14ac:dyDescent="0.25">
      <c r="A9985" t="str">
        <f>"125357759624"</f>
        <v>125357759624</v>
      </c>
      <c r="B9985" t="s">
        <v>176</v>
      </c>
      <c r="C9985" t="s">
        <v>27547</v>
      </c>
      <c r="D9985" t="s">
        <v>27545</v>
      </c>
      <c r="F9985" t="s">
        <v>1</v>
      </c>
      <c r="G9985" t="s">
        <v>2</v>
      </c>
      <c r="H9985" t="s">
        <v>38336</v>
      </c>
      <c r="Y9985" t="s">
        <v>38337</v>
      </c>
    </row>
    <row r="9986" spans="1:25" x14ac:dyDescent="0.25">
      <c r="A9986" t="str">
        <f>"125381976842"</f>
        <v>125381976842</v>
      </c>
      <c r="B9986" t="s">
        <v>2062</v>
      </c>
      <c r="C9986" t="s">
        <v>3293</v>
      </c>
      <c r="D9986" t="s">
        <v>3293</v>
      </c>
      <c r="F9986" t="s">
        <v>1</v>
      </c>
      <c r="G9986" t="s">
        <v>2</v>
      </c>
      <c r="H9986" t="s">
        <v>23969</v>
      </c>
      <c r="P9986" t="s">
        <v>31443</v>
      </c>
      <c r="Y9986" t="s">
        <v>38338</v>
      </c>
    </row>
    <row r="9987" spans="1:25" x14ac:dyDescent="0.25">
      <c r="A9987" t="str">
        <f>"125385322314"</f>
        <v>125385322314</v>
      </c>
      <c r="B9987" t="s">
        <v>176</v>
      </c>
      <c r="C9987" t="s">
        <v>177</v>
      </c>
      <c r="D9987" t="s">
        <v>15643</v>
      </c>
      <c r="E9987">
        <v>424019</v>
      </c>
      <c r="F9987" t="s">
        <v>1</v>
      </c>
      <c r="G9987" t="s">
        <v>2</v>
      </c>
      <c r="H9987" t="s">
        <v>16472</v>
      </c>
      <c r="Y9987" t="s">
        <v>38339</v>
      </c>
    </row>
    <row r="9988" spans="1:25" x14ac:dyDescent="0.25">
      <c r="A9988" t="str">
        <f>"125457113127"</f>
        <v>125457113127</v>
      </c>
      <c r="B9988" t="s">
        <v>574</v>
      </c>
      <c r="C9988" t="s">
        <v>646</v>
      </c>
      <c r="D9988" t="s">
        <v>26023</v>
      </c>
      <c r="E9988">
        <v>424005</v>
      </c>
      <c r="F9988" t="s">
        <v>1</v>
      </c>
      <c r="G9988" t="s">
        <v>2</v>
      </c>
      <c r="H9988" t="s">
        <v>3053</v>
      </c>
      <c r="P9988" t="s">
        <v>60</v>
      </c>
      <c r="Y9988" t="s">
        <v>38340</v>
      </c>
    </row>
    <row r="9989" spans="1:25" x14ac:dyDescent="0.25">
      <c r="A9989" t="str">
        <f>"125519233861"</f>
        <v>125519233861</v>
      </c>
      <c r="B9989" t="s">
        <v>1343</v>
      </c>
      <c r="C9989" t="s">
        <v>38343</v>
      </c>
      <c r="D9989" t="s">
        <v>38341</v>
      </c>
      <c r="E9989">
        <v>424000</v>
      </c>
      <c r="F9989" t="s">
        <v>1</v>
      </c>
      <c r="G9989" t="s">
        <v>2</v>
      </c>
      <c r="H9989" t="s">
        <v>265</v>
      </c>
      <c r="J9989" t="s">
        <v>38342</v>
      </c>
      <c r="P9989" t="s">
        <v>15510</v>
      </c>
      <c r="Q9989" t="s">
        <v>38344</v>
      </c>
      <c r="Y9989" t="s">
        <v>11205</v>
      </c>
    </row>
    <row r="9990" spans="1:25" x14ac:dyDescent="0.25">
      <c r="A9990" t="str">
        <f>"125533834042"</f>
        <v>125533834042</v>
      </c>
      <c r="B9990" t="s">
        <v>2601</v>
      </c>
      <c r="C9990" t="s">
        <v>5375</v>
      </c>
      <c r="D9990" t="s">
        <v>38345</v>
      </c>
      <c r="E9990">
        <v>424003</v>
      </c>
      <c r="F9990" t="s">
        <v>1</v>
      </c>
      <c r="G9990" t="s">
        <v>2</v>
      </c>
      <c r="H9990" t="s">
        <v>38346</v>
      </c>
      <c r="Y9990" t="s">
        <v>38347</v>
      </c>
    </row>
    <row r="9991" spans="1:25" x14ac:dyDescent="0.25">
      <c r="A9991" t="str">
        <f>"125555634855"</f>
        <v>125555634855</v>
      </c>
      <c r="B9991" t="s">
        <v>574</v>
      </c>
      <c r="C9991" t="s">
        <v>23520</v>
      </c>
      <c r="D9991" t="s">
        <v>29750</v>
      </c>
      <c r="E9991">
        <v>424016</v>
      </c>
      <c r="F9991" t="s">
        <v>1</v>
      </c>
      <c r="G9991" t="s">
        <v>2</v>
      </c>
      <c r="H9991" t="s">
        <v>18429</v>
      </c>
      <c r="Y9991" t="s">
        <v>29257</v>
      </c>
    </row>
    <row r="9992" spans="1:25" x14ac:dyDescent="0.25">
      <c r="A9992" t="str">
        <f>"125603367852"</f>
        <v>125603367852</v>
      </c>
      <c r="B9992" t="s">
        <v>462</v>
      </c>
      <c r="C9992" t="s">
        <v>5618</v>
      </c>
      <c r="D9992" t="s">
        <v>38348</v>
      </c>
      <c r="E9992">
        <v>424031</v>
      </c>
      <c r="F9992" t="s">
        <v>1</v>
      </c>
      <c r="G9992" t="s">
        <v>2</v>
      </c>
      <c r="H9992" t="s">
        <v>5386</v>
      </c>
      <c r="I9992" t="s">
        <v>38349</v>
      </c>
      <c r="P9992" t="s">
        <v>27</v>
      </c>
      <c r="Y9992" t="s">
        <v>38350</v>
      </c>
    </row>
    <row r="9993" spans="1:25" x14ac:dyDescent="0.25">
      <c r="A9993" t="str">
        <f>"125607547335"</f>
        <v>125607547335</v>
      </c>
      <c r="B9993" t="s">
        <v>80</v>
      </c>
      <c r="C9993" t="s">
        <v>2071</v>
      </c>
      <c r="D9993" t="s">
        <v>38351</v>
      </c>
      <c r="E9993">
        <v>424006</v>
      </c>
      <c r="F9993" t="s">
        <v>1</v>
      </c>
      <c r="G9993" t="s">
        <v>2</v>
      </c>
      <c r="H9993" t="s">
        <v>33102</v>
      </c>
      <c r="Y9993" t="s">
        <v>38352</v>
      </c>
    </row>
    <row r="9994" spans="1:25" x14ac:dyDescent="0.25">
      <c r="A9994" t="str">
        <f>"125611090661"</f>
        <v>125611090661</v>
      </c>
      <c r="B9994" t="s">
        <v>96</v>
      </c>
      <c r="C9994" t="s">
        <v>11891</v>
      </c>
      <c r="D9994" t="s">
        <v>38353</v>
      </c>
      <c r="E9994">
        <v>424918</v>
      </c>
      <c r="F9994" t="s">
        <v>1</v>
      </c>
      <c r="G9994" t="s">
        <v>2</v>
      </c>
      <c r="H9994" t="s">
        <v>629</v>
      </c>
      <c r="P9994" t="s">
        <v>630</v>
      </c>
      <c r="Y9994" t="s">
        <v>1744</v>
      </c>
    </row>
    <row r="9995" spans="1:25" x14ac:dyDescent="0.25">
      <c r="A9995" t="str">
        <f>"125659833255"</f>
        <v>125659833255</v>
      </c>
      <c r="B9995" t="s">
        <v>1544</v>
      </c>
      <c r="C9995" t="s">
        <v>7974</v>
      </c>
      <c r="D9995" t="s">
        <v>38354</v>
      </c>
      <c r="E9995">
        <v>424002</v>
      </c>
      <c r="F9995" t="s">
        <v>1</v>
      </c>
      <c r="G9995" t="s">
        <v>2</v>
      </c>
      <c r="H9995" t="s">
        <v>3877</v>
      </c>
      <c r="Q9995" t="s">
        <v>38355</v>
      </c>
      <c r="Y9995" t="s">
        <v>38356</v>
      </c>
    </row>
    <row r="9996" spans="1:25" x14ac:dyDescent="0.25">
      <c r="A9996" t="str">
        <f>"125735070705"</f>
        <v>125735070705</v>
      </c>
      <c r="B9996" t="s">
        <v>25</v>
      </c>
      <c r="C9996" t="s">
        <v>20320</v>
      </c>
      <c r="D9996" t="s">
        <v>38357</v>
      </c>
      <c r="E9996">
        <v>424020</v>
      </c>
      <c r="F9996" t="s">
        <v>1</v>
      </c>
      <c r="G9996" t="s">
        <v>2</v>
      </c>
      <c r="H9996" t="s">
        <v>38358</v>
      </c>
      <c r="Y9996" t="s">
        <v>38359</v>
      </c>
    </row>
    <row r="9997" spans="1:25" x14ac:dyDescent="0.25">
      <c r="A9997" t="str">
        <f>"125741477482"</f>
        <v>125741477482</v>
      </c>
      <c r="B9997" t="s">
        <v>1544</v>
      </c>
      <c r="C9997" t="s">
        <v>3596</v>
      </c>
      <c r="D9997" t="s">
        <v>38360</v>
      </c>
      <c r="E9997">
        <v>424918</v>
      </c>
      <c r="F9997" t="s">
        <v>1</v>
      </c>
      <c r="G9997" t="s">
        <v>2</v>
      </c>
      <c r="H9997" t="s">
        <v>629</v>
      </c>
      <c r="P9997" t="s">
        <v>630</v>
      </c>
      <c r="Y9997" t="s">
        <v>1744</v>
      </c>
    </row>
    <row r="9998" spans="1:25" x14ac:dyDescent="0.25">
      <c r="A9998" t="str">
        <f>"125746475303"</f>
        <v>125746475303</v>
      </c>
      <c r="B9998" t="s">
        <v>7</v>
      </c>
      <c r="C9998" t="s">
        <v>38363</v>
      </c>
      <c r="D9998" t="s">
        <v>38361</v>
      </c>
      <c r="E9998">
        <v>424004</v>
      </c>
      <c r="F9998" t="s">
        <v>1</v>
      </c>
      <c r="G9998" t="s">
        <v>2</v>
      </c>
      <c r="H9998" t="s">
        <v>5197</v>
      </c>
      <c r="I9998" t="s">
        <v>38362</v>
      </c>
      <c r="P9998" t="s">
        <v>20</v>
      </c>
      <c r="Y9998" t="s">
        <v>5200</v>
      </c>
    </row>
    <row r="9999" spans="1:25" x14ac:dyDescent="0.25">
      <c r="A9999" t="str">
        <f>"125746742093"</f>
        <v>125746742093</v>
      </c>
      <c r="B9999" t="s">
        <v>18</v>
      </c>
      <c r="C9999" t="s">
        <v>21140</v>
      </c>
      <c r="D9999" t="s">
        <v>38364</v>
      </c>
      <c r="E9999">
        <v>424006</v>
      </c>
      <c r="F9999" t="s">
        <v>1</v>
      </c>
      <c r="G9999" t="s">
        <v>2</v>
      </c>
      <c r="H9999" t="s">
        <v>751</v>
      </c>
      <c r="I9999" t="s">
        <v>38365</v>
      </c>
      <c r="L9999" t="s">
        <v>38366</v>
      </c>
      <c r="M9999" t="s">
        <v>38367</v>
      </c>
      <c r="P9999" t="s">
        <v>27</v>
      </c>
      <c r="Q9999" t="s">
        <v>38368</v>
      </c>
      <c r="Y9999" t="s">
        <v>38369</v>
      </c>
    </row>
    <row r="10000" spans="1:25" x14ac:dyDescent="0.25">
      <c r="A10000" t="str">
        <f>"125748159825"</f>
        <v>125748159825</v>
      </c>
      <c r="B10000" t="s">
        <v>530</v>
      </c>
      <c r="C10000" t="s">
        <v>23950</v>
      </c>
      <c r="D10000" t="s">
        <v>23950</v>
      </c>
      <c r="F10000" t="s">
        <v>1</v>
      </c>
      <c r="G10000" t="s">
        <v>2</v>
      </c>
      <c r="H10000" t="s">
        <v>7547</v>
      </c>
      <c r="Y10000" t="s">
        <v>38370</v>
      </c>
    </row>
    <row r="10001" spans="1:25" x14ac:dyDescent="0.25">
      <c r="A10001" t="str">
        <f>"125764802647"</f>
        <v>125764802647</v>
      </c>
      <c r="B10001" t="s">
        <v>7849</v>
      </c>
      <c r="C10001" t="s">
        <v>38375</v>
      </c>
      <c r="D10001" t="s">
        <v>38371</v>
      </c>
      <c r="E10001">
        <v>424000</v>
      </c>
      <c r="F10001" t="s">
        <v>1</v>
      </c>
      <c r="G10001" t="s">
        <v>2</v>
      </c>
      <c r="H10001" t="s">
        <v>937</v>
      </c>
      <c r="J10001" t="s">
        <v>38372</v>
      </c>
      <c r="L10001" t="s">
        <v>38373</v>
      </c>
      <c r="M10001" t="s">
        <v>38374</v>
      </c>
      <c r="P10001" t="s">
        <v>330</v>
      </c>
      <c r="Q10001" t="s">
        <v>38376</v>
      </c>
      <c r="V10001" t="s">
        <v>38377</v>
      </c>
      <c r="Y10001" t="s">
        <v>38378</v>
      </c>
    </row>
    <row r="10002" spans="1:25" x14ac:dyDescent="0.25">
      <c r="A10002" t="str">
        <f>"125769237573"</f>
        <v>125769237573</v>
      </c>
      <c r="B10002" t="s">
        <v>18</v>
      </c>
      <c r="C10002" t="s">
        <v>38381</v>
      </c>
      <c r="D10002" t="s">
        <v>36431</v>
      </c>
      <c r="E10002">
        <v>424037</v>
      </c>
      <c r="F10002" t="s">
        <v>1</v>
      </c>
      <c r="G10002" t="s">
        <v>2</v>
      </c>
      <c r="H10002" t="s">
        <v>3278</v>
      </c>
      <c r="I10002" t="s">
        <v>38379</v>
      </c>
      <c r="J10002" t="s">
        <v>38380</v>
      </c>
      <c r="P10002" t="s">
        <v>7390</v>
      </c>
      <c r="Y10002" t="s">
        <v>3283</v>
      </c>
    </row>
    <row r="10003" spans="1:25" x14ac:dyDescent="0.25">
      <c r="A10003" t="str">
        <f>"125798738302"</f>
        <v>125798738302</v>
      </c>
      <c r="B10003" t="s">
        <v>88</v>
      </c>
      <c r="C10003" t="s">
        <v>38384</v>
      </c>
      <c r="D10003" t="s">
        <v>38382</v>
      </c>
      <c r="E10003">
        <v>424918</v>
      </c>
      <c r="F10003" t="s">
        <v>1</v>
      </c>
      <c r="G10003" t="s">
        <v>2</v>
      </c>
      <c r="H10003" t="s">
        <v>629</v>
      </c>
      <c r="I10003" t="s">
        <v>38383</v>
      </c>
      <c r="K10003" t="s">
        <v>38383</v>
      </c>
      <c r="P10003" t="s">
        <v>144</v>
      </c>
      <c r="Y10003" t="s">
        <v>38385</v>
      </c>
    </row>
    <row r="10004" spans="1:25" x14ac:dyDescent="0.25">
      <c r="A10004" t="str">
        <f>"125823415772"</f>
        <v>125823415772</v>
      </c>
      <c r="B10004" t="s">
        <v>2601</v>
      </c>
      <c r="C10004" t="s">
        <v>38389</v>
      </c>
      <c r="D10004" t="s">
        <v>38386</v>
      </c>
      <c r="E10004">
        <v>424000</v>
      </c>
      <c r="F10004" t="s">
        <v>1</v>
      </c>
      <c r="G10004" t="s">
        <v>2</v>
      </c>
      <c r="H10004" t="s">
        <v>1531</v>
      </c>
      <c r="I10004" t="s">
        <v>38387</v>
      </c>
      <c r="M10004" t="s">
        <v>38388</v>
      </c>
      <c r="P10004" t="s">
        <v>1760</v>
      </c>
      <c r="Q10004" t="s">
        <v>38390</v>
      </c>
      <c r="Y10004" t="s">
        <v>38391</v>
      </c>
    </row>
    <row r="10005" spans="1:25" x14ac:dyDescent="0.25">
      <c r="A10005" t="str">
        <f>"125832738669"</f>
        <v>125832738669</v>
      </c>
      <c r="B10005" t="s">
        <v>574</v>
      </c>
      <c r="C10005" t="s">
        <v>952</v>
      </c>
      <c r="D10005" t="s">
        <v>12994</v>
      </c>
      <c r="E10005">
        <v>424006</v>
      </c>
      <c r="F10005" t="s">
        <v>1</v>
      </c>
      <c r="G10005" t="s">
        <v>2</v>
      </c>
      <c r="H10005" t="s">
        <v>38392</v>
      </c>
      <c r="Y10005" t="s">
        <v>26687</v>
      </c>
    </row>
    <row r="10006" spans="1:25" x14ac:dyDescent="0.25">
      <c r="A10006" t="str">
        <f>"125853975047"</f>
        <v>125853975047</v>
      </c>
      <c r="B10006" t="s">
        <v>654</v>
      </c>
      <c r="C10006" t="s">
        <v>14448</v>
      </c>
      <c r="D10006" t="s">
        <v>7437</v>
      </c>
      <c r="E10006">
        <v>424005</v>
      </c>
      <c r="F10006" t="s">
        <v>1</v>
      </c>
      <c r="G10006" t="s">
        <v>2</v>
      </c>
      <c r="H10006" t="s">
        <v>4965</v>
      </c>
      <c r="Y10006" t="s">
        <v>27373</v>
      </c>
    </row>
    <row r="10007" spans="1:25" x14ac:dyDescent="0.25">
      <c r="A10007" t="str">
        <f>"125869844135"</f>
        <v>125869844135</v>
      </c>
      <c r="B10007" t="s">
        <v>25</v>
      </c>
      <c r="C10007" t="s">
        <v>20320</v>
      </c>
      <c r="D10007" t="s">
        <v>38393</v>
      </c>
      <c r="F10007" t="s">
        <v>1</v>
      </c>
      <c r="G10007" t="s">
        <v>2</v>
      </c>
      <c r="H10007" t="s">
        <v>29203</v>
      </c>
      <c r="Y10007" t="s">
        <v>38394</v>
      </c>
    </row>
    <row r="10008" spans="1:25" x14ac:dyDescent="0.25">
      <c r="A10008" t="str">
        <f>"125901755124"</f>
        <v>125901755124</v>
      </c>
      <c r="B10008" t="s">
        <v>1343</v>
      </c>
      <c r="C10008" t="s">
        <v>5984</v>
      </c>
      <c r="D10008" t="s">
        <v>38395</v>
      </c>
      <c r="E10008">
        <v>424033</v>
      </c>
      <c r="F10008" t="s">
        <v>1</v>
      </c>
      <c r="G10008" t="s">
        <v>2</v>
      </c>
      <c r="H10008" t="s">
        <v>76</v>
      </c>
      <c r="Y10008" t="s">
        <v>17629</v>
      </c>
    </row>
    <row r="10009" spans="1:25" x14ac:dyDescent="0.25">
      <c r="A10009" t="str">
        <f>"125965025844"</f>
        <v>125965025844</v>
      </c>
      <c r="B10009" t="s">
        <v>334</v>
      </c>
      <c r="C10009" t="s">
        <v>2551</v>
      </c>
      <c r="D10009" t="s">
        <v>38396</v>
      </c>
      <c r="E10009">
        <v>424000</v>
      </c>
      <c r="F10009" t="s">
        <v>1</v>
      </c>
      <c r="G10009" t="s">
        <v>2</v>
      </c>
      <c r="H10009" t="s">
        <v>837</v>
      </c>
      <c r="I10009" t="s">
        <v>38397</v>
      </c>
      <c r="L10009" t="s">
        <v>38398</v>
      </c>
      <c r="P10009" t="s">
        <v>27</v>
      </c>
      <c r="Y10009" t="s">
        <v>7533</v>
      </c>
    </row>
    <row r="10010" spans="1:25" x14ac:dyDescent="0.25">
      <c r="A10010" t="str">
        <f>"125996732589"</f>
        <v>125996732589</v>
      </c>
      <c r="B10010" t="s">
        <v>1391</v>
      </c>
      <c r="C10010" t="s">
        <v>1392</v>
      </c>
      <c r="D10010" t="s">
        <v>38399</v>
      </c>
      <c r="F10010" t="s">
        <v>1</v>
      </c>
      <c r="G10010" t="s">
        <v>2</v>
      </c>
      <c r="H10010" t="s">
        <v>29412</v>
      </c>
      <c r="Y10010" t="s">
        <v>38400</v>
      </c>
    </row>
    <row r="10011" spans="1:25" x14ac:dyDescent="0.25">
      <c r="A10011" t="str">
        <f>"126003661896"</f>
        <v>126003661896</v>
      </c>
      <c r="B10011" t="s">
        <v>1046</v>
      </c>
      <c r="C10011" t="s">
        <v>22946</v>
      </c>
      <c r="D10011" t="s">
        <v>22946</v>
      </c>
      <c r="E10011">
        <v>424007</v>
      </c>
      <c r="F10011" t="s">
        <v>1</v>
      </c>
      <c r="G10011" t="s">
        <v>2</v>
      </c>
      <c r="H10011" t="s">
        <v>38401</v>
      </c>
      <c r="Y10011" t="s">
        <v>38402</v>
      </c>
    </row>
    <row r="10012" spans="1:25" x14ac:dyDescent="0.25">
      <c r="A10012" t="str">
        <f>"126009241174"</f>
        <v>126009241174</v>
      </c>
      <c r="B10012" t="s">
        <v>25</v>
      </c>
      <c r="C10012" t="s">
        <v>59</v>
      </c>
      <c r="D10012" t="s">
        <v>38403</v>
      </c>
      <c r="E10012">
        <v>424033</v>
      </c>
      <c r="F10012" t="s">
        <v>1</v>
      </c>
      <c r="G10012" t="s">
        <v>2</v>
      </c>
      <c r="H10012" t="s">
        <v>38404</v>
      </c>
      <c r="L10012" t="s">
        <v>38405</v>
      </c>
      <c r="M10012" t="s">
        <v>38406</v>
      </c>
      <c r="P10012" t="s">
        <v>2438</v>
      </c>
      <c r="Y10012" t="s">
        <v>30583</v>
      </c>
    </row>
    <row r="10013" spans="1:25" x14ac:dyDescent="0.25">
      <c r="A10013" t="str">
        <f>"126018450188"</f>
        <v>126018450188</v>
      </c>
      <c r="B10013" t="s">
        <v>348</v>
      </c>
      <c r="C10013" t="s">
        <v>21764</v>
      </c>
      <c r="D10013" t="s">
        <v>32914</v>
      </c>
      <c r="E10013">
        <v>424006</v>
      </c>
      <c r="F10013" t="s">
        <v>1</v>
      </c>
      <c r="G10013" t="s">
        <v>2</v>
      </c>
      <c r="H10013" t="s">
        <v>2012</v>
      </c>
      <c r="J10013" t="s">
        <v>38407</v>
      </c>
      <c r="P10013" t="s">
        <v>941</v>
      </c>
      <c r="Y10013" t="s">
        <v>2016</v>
      </c>
    </row>
    <row r="10014" spans="1:25" x14ac:dyDescent="0.25">
      <c r="A10014" t="str">
        <f>"126041143179"</f>
        <v>126041143179</v>
      </c>
      <c r="B10014" t="s">
        <v>1230</v>
      </c>
      <c r="C10014" t="s">
        <v>21029</v>
      </c>
      <c r="D10014" t="s">
        <v>38408</v>
      </c>
      <c r="F10014" t="s">
        <v>1</v>
      </c>
      <c r="G10014" t="s">
        <v>2</v>
      </c>
      <c r="H10014" t="s">
        <v>38409</v>
      </c>
      <c r="Y10014" t="s">
        <v>38410</v>
      </c>
    </row>
    <row r="10015" spans="1:25" x14ac:dyDescent="0.25">
      <c r="A10015" t="str">
        <f>"126059069755"</f>
        <v>126059069755</v>
      </c>
      <c r="B10015" t="s">
        <v>930</v>
      </c>
      <c r="C10015" t="s">
        <v>13865</v>
      </c>
      <c r="D10015" t="s">
        <v>38411</v>
      </c>
      <c r="E10015">
        <v>424006</v>
      </c>
      <c r="F10015" t="s">
        <v>1</v>
      </c>
      <c r="G10015" t="s">
        <v>2</v>
      </c>
      <c r="H10015" t="s">
        <v>38412</v>
      </c>
      <c r="I10015" t="s">
        <v>38413</v>
      </c>
      <c r="M10015" t="s">
        <v>38414</v>
      </c>
      <c r="P10015" t="s">
        <v>38415</v>
      </c>
      <c r="Y10015" t="s">
        <v>38416</v>
      </c>
    </row>
    <row r="10016" spans="1:25" x14ac:dyDescent="0.25">
      <c r="A10016" t="str">
        <f>"126068297073"</f>
        <v>126068297073</v>
      </c>
      <c r="B10016" t="s">
        <v>2104</v>
      </c>
      <c r="C10016" t="s">
        <v>2105</v>
      </c>
      <c r="D10016" t="s">
        <v>24033</v>
      </c>
      <c r="E10016">
        <v>424031</v>
      </c>
      <c r="F10016" t="s">
        <v>1</v>
      </c>
      <c r="G10016" t="s">
        <v>2</v>
      </c>
      <c r="H10016" t="s">
        <v>2353</v>
      </c>
      <c r="P10016" t="s">
        <v>2513</v>
      </c>
      <c r="Y10016" t="s">
        <v>38417</v>
      </c>
    </row>
    <row r="10017" spans="1:25" x14ac:dyDescent="0.25">
      <c r="A10017" t="str">
        <f>"126080668647"</f>
        <v>126080668647</v>
      </c>
      <c r="B10017" t="s">
        <v>32</v>
      </c>
      <c r="C10017" t="s">
        <v>182</v>
      </c>
      <c r="D10017" t="s">
        <v>37</v>
      </c>
      <c r="E10017">
        <v>424002</v>
      </c>
      <c r="F10017" t="s">
        <v>1</v>
      </c>
      <c r="G10017" t="s">
        <v>2</v>
      </c>
      <c r="H10017" t="s">
        <v>57</v>
      </c>
      <c r="P10017" t="s">
        <v>1270</v>
      </c>
      <c r="Y10017" t="s">
        <v>38418</v>
      </c>
    </row>
    <row r="10018" spans="1:25" x14ac:dyDescent="0.25">
      <c r="A10018" t="str">
        <f>"126090966697"</f>
        <v>126090966697</v>
      </c>
      <c r="B10018" t="s">
        <v>574</v>
      </c>
      <c r="C10018" t="s">
        <v>3332</v>
      </c>
      <c r="D10018" t="s">
        <v>15417</v>
      </c>
      <c r="E10018">
        <v>424038</v>
      </c>
      <c r="F10018" t="s">
        <v>1</v>
      </c>
      <c r="G10018" t="s">
        <v>2</v>
      </c>
      <c r="H10018" t="s">
        <v>30317</v>
      </c>
      <c r="I10018" t="s">
        <v>38419</v>
      </c>
      <c r="P10018" t="s">
        <v>8133</v>
      </c>
      <c r="Y10018" t="s">
        <v>38420</v>
      </c>
    </row>
    <row r="10019" spans="1:25" x14ac:dyDescent="0.25">
      <c r="A10019" t="str">
        <f>"126118264829"</f>
        <v>126118264829</v>
      </c>
      <c r="B10019" t="s">
        <v>96</v>
      </c>
      <c r="C10019" t="s">
        <v>893</v>
      </c>
      <c r="D10019" t="s">
        <v>38421</v>
      </c>
      <c r="E10019">
        <v>424007</v>
      </c>
      <c r="F10019" t="s">
        <v>1</v>
      </c>
      <c r="G10019" t="s">
        <v>2</v>
      </c>
      <c r="H10019" t="s">
        <v>2168</v>
      </c>
      <c r="Y10019" t="s">
        <v>2172</v>
      </c>
    </row>
    <row r="10020" spans="1:25" x14ac:dyDescent="0.25">
      <c r="A10020" t="str">
        <f>"126118411705"</f>
        <v>126118411705</v>
      </c>
      <c r="B10020" t="s">
        <v>1343</v>
      </c>
      <c r="C10020" t="s">
        <v>1344</v>
      </c>
      <c r="D10020" t="s">
        <v>12994</v>
      </c>
      <c r="E10020">
        <v>424033</v>
      </c>
      <c r="F10020" t="s">
        <v>1</v>
      </c>
      <c r="G10020" t="s">
        <v>2</v>
      </c>
      <c r="H10020" t="s">
        <v>76</v>
      </c>
      <c r="Y10020" t="s">
        <v>38422</v>
      </c>
    </row>
    <row r="10021" spans="1:25" x14ac:dyDescent="0.25">
      <c r="A10021" t="str">
        <f>"126182621847"</f>
        <v>126182621847</v>
      </c>
      <c r="B10021" t="s">
        <v>151</v>
      </c>
      <c r="C10021" t="s">
        <v>151</v>
      </c>
      <c r="D10021" t="s">
        <v>38423</v>
      </c>
      <c r="E10021">
        <v>424038</v>
      </c>
      <c r="F10021" t="s">
        <v>1</v>
      </c>
      <c r="G10021" t="s">
        <v>2</v>
      </c>
      <c r="H10021" t="s">
        <v>546</v>
      </c>
      <c r="I10021" t="s">
        <v>38424</v>
      </c>
      <c r="M10021" t="s">
        <v>38425</v>
      </c>
      <c r="P10021" t="s">
        <v>38426</v>
      </c>
      <c r="Q10021" t="s">
        <v>38427</v>
      </c>
      <c r="Y10021" t="s">
        <v>549</v>
      </c>
    </row>
    <row r="10022" spans="1:25" x14ac:dyDescent="0.25">
      <c r="A10022" t="str">
        <f>"126182917425"</f>
        <v>126182917425</v>
      </c>
      <c r="B10022" t="s">
        <v>574</v>
      </c>
      <c r="C10022" t="s">
        <v>23520</v>
      </c>
      <c r="D10022" t="s">
        <v>24426</v>
      </c>
      <c r="E10022">
        <v>424030</v>
      </c>
      <c r="F10022" t="s">
        <v>1</v>
      </c>
      <c r="G10022" t="s">
        <v>2</v>
      </c>
      <c r="H10022" t="s">
        <v>2834</v>
      </c>
      <c r="Y10022" t="s">
        <v>38428</v>
      </c>
    </row>
    <row r="10023" spans="1:25" x14ac:dyDescent="0.25">
      <c r="A10023" t="str">
        <f>"126196152764"</f>
        <v>126196152764</v>
      </c>
      <c r="B10023" t="s">
        <v>1152</v>
      </c>
      <c r="C10023" t="s">
        <v>2124</v>
      </c>
      <c r="D10023" t="s">
        <v>1385</v>
      </c>
      <c r="E10023">
        <v>424003</v>
      </c>
      <c r="F10023" t="s">
        <v>1</v>
      </c>
      <c r="G10023" t="s">
        <v>2</v>
      </c>
      <c r="H10023" t="s">
        <v>775</v>
      </c>
      <c r="I10023" t="s">
        <v>38429</v>
      </c>
      <c r="P10023" t="s">
        <v>4179</v>
      </c>
      <c r="Y10023" t="s">
        <v>6686</v>
      </c>
    </row>
    <row r="10024" spans="1:25" x14ac:dyDescent="0.25">
      <c r="A10024" t="str">
        <f>"126218811198"</f>
        <v>126218811198</v>
      </c>
      <c r="B10024" t="s">
        <v>176</v>
      </c>
      <c r="C10024" t="s">
        <v>250</v>
      </c>
      <c r="D10024" t="s">
        <v>38430</v>
      </c>
      <c r="E10024">
        <v>424031</v>
      </c>
      <c r="F10024" t="s">
        <v>1</v>
      </c>
      <c r="G10024" t="s">
        <v>2</v>
      </c>
      <c r="H10024" t="s">
        <v>2353</v>
      </c>
      <c r="Y10024" t="s">
        <v>2356</v>
      </c>
    </row>
    <row r="10025" spans="1:25" x14ac:dyDescent="0.25">
      <c r="A10025" t="str">
        <f>"126235792975"</f>
        <v>126235792975</v>
      </c>
      <c r="B10025" t="s">
        <v>96</v>
      </c>
      <c r="C10025" t="s">
        <v>893</v>
      </c>
      <c r="D10025" t="s">
        <v>38431</v>
      </c>
      <c r="E10025">
        <v>424002</v>
      </c>
      <c r="F10025" t="s">
        <v>1</v>
      </c>
      <c r="G10025" t="s">
        <v>2</v>
      </c>
      <c r="H10025" t="s">
        <v>662</v>
      </c>
      <c r="Y10025" t="s">
        <v>38432</v>
      </c>
    </row>
    <row r="10026" spans="1:25" x14ac:dyDescent="0.25">
      <c r="A10026" t="str">
        <f>"126301943994"</f>
        <v>126301943994</v>
      </c>
      <c r="B10026" t="s">
        <v>1046</v>
      </c>
      <c r="C10026" t="s">
        <v>22946</v>
      </c>
      <c r="D10026" t="s">
        <v>22946</v>
      </c>
      <c r="E10026">
        <v>424038</v>
      </c>
      <c r="F10026" t="s">
        <v>1</v>
      </c>
      <c r="G10026" t="s">
        <v>2</v>
      </c>
      <c r="H10026" t="s">
        <v>6550</v>
      </c>
      <c r="Y10026" t="s">
        <v>38433</v>
      </c>
    </row>
    <row r="10027" spans="1:25" x14ac:dyDescent="0.25">
      <c r="A10027" t="str">
        <f>"126343052921"</f>
        <v>126343052921</v>
      </c>
      <c r="B10027" t="s">
        <v>388</v>
      </c>
      <c r="C10027" t="s">
        <v>25472</v>
      </c>
      <c r="D10027" t="s">
        <v>38434</v>
      </c>
      <c r="E10027">
        <v>424006</v>
      </c>
      <c r="F10027" t="s">
        <v>1</v>
      </c>
      <c r="G10027" t="s">
        <v>2</v>
      </c>
      <c r="H10027" t="s">
        <v>5846</v>
      </c>
      <c r="Y10027" t="s">
        <v>17495</v>
      </c>
    </row>
    <row r="10028" spans="1:25" x14ac:dyDescent="0.25">
      <c r="A10028" t="str">
        <f>"126353240712"</f>
        <v>126353240712</v>
      </c>
      <c r="B10028" t="s">
        <v>96</v>
      </c>
      <c r="C10028" t="s">
        <v>3621</v>
      </c>
      <c r="D10028" t="s">
        <v>2111</v>
      </c>
      <c r="E10028">
        <v>424918</v>
      </c>
      <c r="F10028" t="s">
        <v>1</v>
      </c>
      <c r="G10028" t="s">
        <v>2</v>
      </c>
      <c r="H10028" t="s">
        <v>629</v>
      </c>
      <c r="P10028" t="s">
        <v>630</v>
      </c>
      <c r="Y10028" t="s">
        <v>38435</v>
      </c>
    </row>
    <row r="10029" spans="1:25" x14ac:dyDescent="0.25">
      <c r="A10029" t="str">
        <f>"126391723687"</f>
        <v>126391723687</v>
      </c>
      <c r="B10029" t="s">
        <v>18</v>
      </c>
      <c r="C10029" t="s">
        <v>38440</v>
      </c>
      <c r="D10029" t="s">
        <v>38436</v>
      </c>
      <c r="E10029">
        <v>424005</v>
      </c>
      <c r="F10029" t="s">
        <v>1</v>
      </c>
      <c r="G10029" t="s">
        <v>2</v>
      </c>
      <c r="H10029" t="s">
        <v>37653</v>
      </c>
      <c r="I10029" t="s">
        <v>38437</v>
      </c>
      <c r="L10029" t="s">
        <v>38438</v>
      </c>
      <c r="M10029" t="s">
        <v>38439</v>
      </c>
      <c r="Y10029" t="s">
        <v>38441</v>
      </c>
    </row>
    <row r="10030" spans="1:25" x14ac:dyDescent="0.25">
      <c r="A10030" t="str">
        <f>"126398212468"</f>
        <v>126398212468</v>
      </c>
      <c r="B10030" t="s">
        <v>352</v>
      </c>
      <c r="C10030" t="s">
        <v>353</v>
      </c>
      <c r="D10030" t="s">
        <v>38442</v>
      </c>
      <c r="E10030">
        <v>424002</v>
      </c>
      <c r="F10030" t="s">
        <v>1</v>
      </c>
      <c r="G10030" t="s">
        <v>2</v>
      </c>
      <c r="H10030" t="s">
        <v>38443</v>
      </c>
      <c r="Y10030" t="s">
        <v>38444</v>
      </c>
    </row>
    <row r="10031" spans="1:25" x14ac:dyDescent="0.25">
      <c r="A10031" t="str">
        <f>"126398869119"</f>
        <v>126398869119</v>
      </c>
      <c r="B10031" t="s">
        <v>1152</v>
      </c>
      <c r="C10031" t="s">
        <v>1153</v>
      </c>
      <c r="D10031" t="s">
        <v>10280</v>
      </c>
      <c r="E10031">
        <v>424039</v>
      </c>
      <c r="F10031" t="s">
        <v>1</v>
      </c>
      <c r="G10031" t="s">
        <v>2</v>
      </c>
      <c r="H10031" t="s">
        <v>17575</v>
      </c>
      <c r="I10031" t="s">
        <v>22092</v>
      </c>
      <c r="M10031" t="s">
        <v>10284</v>
      </c>
      <c r="Q10031" t="s">
        <v>10286</v>
      </c>
      <c r="R10031" t="s">
        <v>10287</v>
      </c>
      <c r="S10031" t="s">
        <v>10288</v>
      </c>
      <c r="T10031" t="s">
        <v>10289</v>
      </c>
      <c r="U10031" t="s">
        <v>10290</v>
      </c>
      <c r="V10031" t="s">
        <v>10291</v>
      </c>
      <c r="Y10031" t="s">
        <v>17577</v>
      </c>
    </row>
    <row r="10032" spans="1:25" x14ac:dyDescent="0.25">
      <c r="A10032" t="str">
        <f>"126405528135"</f>
        <v>126405528135</v>
      </c>
      <c r="B10032" t="s">
        <v>1352</v>
      </c>
      <c r="C10032" t="s">
        <v>1353</v>
      </c>
      <c r="D10032" t="s">
        <v>38445</v>
      </c>
      <c r="E10032">
        <v>424000</v>
      </c>
      <c r="F10032" t="s">
        <v>1</v>
      </c>
      <c r="G10032" t="s">
        <v>2</v>
      </c>
      <c r="H10032" t="s">
        <v>1473</v>
      </c>
      <c r="P10032" t="s">
        <v>941</v>
      </c>
      <c r="Y10032" t="s">
        <v>4067</v>
      </c>
    </row>
    <row r="10033" spans="1:25" x14ac:dyDescent="0.25">
      <c r="A10033" t="str">
        <f>"126446748671"</f>
        <v>126446748671</v>
      </c>
      <c r="B10033" t="s">
        <v>738</v>
      </c>
      <c r="C10033" t="s">
        <v>739</v>
      </c>
      <c r="D10033" t="s">
        <v>739</v>
      </c>
      <c r="E10033">
        <v>424000</v>
      </c>
      <c r="F10033" t="s">
        <v>1</v>
      </c>
      <c r="G10033" t="s">
        <v>2</v>
      </c>
      <c r="H10033" t="s">
        <v>1473</v>
      </c>
      <c r="J10033" t="s">
        <v>38446</v>
      </c>
      <c r="P10033" t="s">
        <v>1404</v>
      </c>
      <c r="Y10033" t="s">
        <v>4067</v>
      </c>
    </row>
    <row r="10034" spans="1:25" x14ac:dyDescent="0.25">
      <c r="A10034" t="str">
        <f>"126459248453"</f>
        <v>126459248453</v>
      </c>
      <c r="B10034" t="s">
        <v>3544</v>
      </c>
      <c r="C10034" t="s">
        <v>11303</v>
      </c>
      <c r="D10034" t="s">
        <v>6867</v>
      </c>
      <c r="E10034">
        <v>424038</v>
      </c>
      <c r="F10034" t="s">
        <v>1</v>
      </c>
      <c r="G10034" t="s">
        <v>2</v>
      </c>
      <c r="H10034" t="s">
        <v>14471</v>
      </c>
      <c r="P10034" t="s">
        <v>1941</v>
      </c>
      <c r="Y10034" t="s">
        <v>38447</v>
      </c>
    </row>
    <row r="10035" spans="1:25" x14ac:dyDescent="0.25">
      <c r="A10035" t="str">
        <f>"126471784518"</f>
        <v>126471784518</v>
      </c>
      <c r="B10035" t="s">
        <v>574</v>
      </c>
      <c r="C10035" t="s">
        <v>646</v>
      </c>
      <c r="D10035" t="s">
        <v>24036</v>
      </c>
      <c r="E10035">
        <v>424030</v>
      </c>
      <c r="F10035" t="s">
        <v>1</v>
      </c>
      <c r="G10035" t="s">
        <v>2</v>
      </c>
      <c r="H10035" t="s">
        <v>2834</v>
      </c>
      <c r="Y10035" t="s">
        <v>38448</v>
      </c>
    </row>
    <row r="10036" spans="1:25" x14ac:dyDescent="0.25">
      <c r="A10036" t="str">
        <f>"126546694706"</f>
        <v>126546694706</v>
      </c>
      <c r="B10036" t="s">
        <v>319</v>
      </c>
      <c r="C10036" t="s">
        <v>320</v>
      </c>
      <c r="D10036" t="s">
        <v>38449</v>
      </c>
      <c r="E10036">
        <v>424006</v>
      </c>
      <c r="F10036" t="s">
        <v>1</v>
      </c>
      <c r="G10036" t="s">
        <v>2</v>
      </c>
      <c r="H10036" t="s">
        <v>3436</v>
      </c>
      <c r="P10036" t="s">
        <v>2457</v>
      </c>
      <c r="Y10036" t="s">
        <v>38450</v>
      </c>
    </row>
    <row r="10037" spans="1:25" x14ac:dyDescent="0.25">
      <c r="A10037" t="str">
        <f>"126560862118"</f>
        <v>126560862118</v>
      </c>
      <c r="B10037" t="s">
        <v>96</v>
      </c>
      <c r="C10037" t="s">
        <v>695</v>
      </c>
      <c r="D10037" t="s">
        <v>38451</v>
      </c>
      <c r="E10037">
        <v>424030</v>
      </c>
      <c r="F10037" t="s">
        <v>1</v>
      </c>
      <c r="G10037" t="s">
        <v>2</v>
      </c>
      <c r="H10037" t="s">
        <v>12562</v>
      </c>
      <c r="J10037" t="s">
        <v>38452</v>
      </c>
      <c r="P10037" t="s">
        <v>941</v>
      </c>
      <c r="Y10037" t="s">
        <v>17595</v>
      </c>
    </row>
    <row r="10038" spans="1:25" x14ac:dyDescent="0.25">
      <c r="A10038" t="str">
        <f>"126580905775"</f>
        <v>126580905775</v>
      </c>
      <c r="B10038" t="s">
        <v>2062</v>
      </c>
      <c r="C10038" t="s">
        <v>35989</v>
      </c>
      <c r="D10038" t="s">
        <v>38453</v>
      </c>
      <c r="E10038">
        <v>424006</v>
      </c>
      <c r="F10038" t="s">
        <v>1</v>
      </c>
      <c r="G10038" t="s">
        <v>2</v>
      </c>
      <c r="H10038" t="s">
        <v>38454</v>
      </c>
      <c r="I10038" t="s">
        <v>38455</v>
      </c>
      <c r="P10038" t="s">
        <v>6236</v>
      </c>
      <c r="Y10038" t="s">
        <v>3523</v>
      </c>
    </row>
    <row r="10039" spans="1:25" x14ac:dyDescent="0.25">
      <c r="A10039" t="str">
        <f>"126597504911"</f>
        <v>126597504911</v>
      </c>
      <c r="B10039" t="s">
        <v>3544</v>
      </c>
      <c r="C10039" t="s">
        <v>21005</v>
      </c>
      <c r="D10039" t="s">
        <v>38456</v>
      </c>
      <c r="E10039">
        <v>424004</v>
      </c>
      <c r="F10039" t="s">
        <v>1</v>
      </c>
      <c r="G10039" t="s">
        <v>2</v>
      </c>
      <c r="H10039" t="s">
        <v>3840</v>
      </c>
      <c r="Y10039" t="s">
        <v>38457</v>
      </c>
    </row>
    <row r="10040" spans="1:25" x14ac:dyDescent="0.25">
      <c r="A10040" t="str">
        <f>"126603465765"</f>
        <v>126603465765</v>
      </c>
      <c r="B10040" t="s">
        <v>456</v>
      </c>
      <c r="C10040" t="s">
        <v>38460</v>
      </c>
      <c r="D10040" t="s">
        <v>38458</v>
      </c>
      <c r="E10040">
        <v>424032</v>
      </c>
      <c r="F10040" t="s">
        <v>1</v>
      </c>
      <c r="G10040" t="s">
        <v>2</v>
      </c>
      <c r="H10040" t="s">
        <v>4808</v>
      </c>
      <c r="M10040" t="s">
        <v>38459</v>
      </c>
      <c r="Y10040" t="s">
        <v>4812</v>
      </c>
    </row>
    <row r="10041" spans="1:25" x14ac:dyDescent="0.25">
      <c r="A10041" t="str">
        <f>"126608299976"</f>
        <v>126608299976</v>
      </c>
      <c r="B10041" t="s">
        <v>530</v>
      </c>
      <c r="C10041" t="s">
        <v>23950</v>
      </c>
      <c r="D10041" t="s">
        <v>23950</v>
      </c>
      <c r="F10041" t="s">
        <v>1</v>
      </c>
      <c r="G10041" t="s">
        <v>2</v>
      </c>
      <c r="H10041" t="s">
        <v>27340</v>
      </c>
      <c r="Y10041" t="s">
        <v>38461</v>
      </c>
    </row>
    <row r="10042" spans="1:25" x14ac:dyDescent="0.25">
      <c r="A10042" t="str">
        <f>"126627293925"</f>
        <v>126627293925</v>
      </c>
      <c r="B10042" t="s">
        <v>96</v>
      </c>
      <c r="C10042" t="s">
        <v>893</v>
      </c>
      <c r="D10042" t="s">
        <v>38462</v>
      </c>
      <c r="E10042">
        <v>424019</v>
      </c>
      <c r="F10042" t="s">
        <v>1</v>
      </c>
      <c r="G10042" t="s">
        <v>2</v>
      </c>
      <c r="H10042" t="s">
        <v>1801</v>
      </c>
      <c r="P10042" t="s">
        <v>112</v>
      </c>
      <c r="Y10042" t="s">
        <v>1804</v>
      </c>
    </row>
    <row r="10043" spans="1:25" x14ac:dyDescent="0.25">
      <c r="A10043" t="str">
        <f>"126629177975"</f>
        <v>126629177975</v>
      </c>
      <c r="B10043" t="s">
        <v>160</v>
      </c>
      <c r="C10043" t="s">
        <v>2479</v>
      </c>
      <c r="D10043" t="s">
        <v>38463</v>
      </c>
      <c r="F10043" t="s">
        <v>1</v>
      </c>
      <c r="G10043" t="s">
        <v>2</v>
      </c>
      <c r="H10043" t="s">
        <v>35021</v>
      </c>
      <c r="Y10043" t="s">
        <v>38464</v>
      </c>
    </row>
    <row r="10044" spans="1:25" x14ac:dyDescent="0.25">
      <c r="A10044" t="str">
        <f>"126637688087"</f>
        <v>126637688087</v>
      </c>
      <c r="B10044" t="s">
        <v>1475</v>
      </c>
      <c r="C10044" t="s">
        <v>1476</v>
      </c>
      <c r="D10044" t="s">
        <v>38465</v>
      </c>
      <c r="E10044">
        <v>424003</v>
      </c>
      <c r="F10044" t="s">
        <v>1</v>
      </c>
      <c r="G10044" t="s">
        <v>2</v>
      </c>
      <c r="H10044" t="s">
        <v>4546</v>
      </c>
      <c r="I10044" t="s">
        <v>38466</v>
      </c>
      <c r="P10044" t="s">
        <v>38467</v>
      </c>
      <c r="Y10044" t="s">
        <v>38468</v>
      </c>
    </row>
    <row r="10045" spans="1:25" x14ac:dyDescent="0.25">
      <c r="A10045" t="str">
        <f>"126655432162"</f>
        <v>126655432162</v>
      </c>
      <c r="B10045" t="s">
        <v>574</v>
      </c>
      <c r="C10045" t="s">
        <v>9802</v>
      </c>
      <c r="D10045" t="s">
        <v>14735</v>
      </c>
      <c r="E10045">
        <v>424039</v>
      </c>
      <c r="F10045" t="s">
        <v>1</v>
      </c>
      <c r="G10045" t="s">
        <v>2</v>
      </c>
      <c r="H10045" t="s">
        <v>23651</v>
      </c>
      <c r="Y10045" t="s">
        <v>38469</v>
      </c>
    </row>
    <row r="10046" spans="1:25" x14ac:dyDescent="0.25">
      <c r="A10046" t="str">
        <f>"126657862327"</f>
        <v>126657862327</v>
      </c>
      <c r="B10046" t="s">
        <v>530</v>
      </c>
      <c r="C10046" t="s">
        <v>23950</v>
      </c>
      <c r="D10046" t="s">
        <v>23950</v>
      </c>
      <c r="F10046" t="s">
        <v>1</v>
      </c>
      <c r="G10046" t="s">
        <v>2</v>
      </c>
      <c r="H10046" t="s">
        <v>27083</v>
      </c>
      <c r="Y10046" t="s">
        <v>38470</v>
      </c>
    </row>
    <row r="10047" spans="1:25" x14ac:dyDescent="0.25">
      <c r="A10047" t="str">
        <f>"126661818504"</f>
        <v>126661818504</v>
      </c>
      <c r="B10047" t="s">
        <v>18</v>
      </c>
      <c r="C10047" t="s">
        <v>38241</v>
      </c>
      <c r="D10047" t="s">
        <v>38471</v>
      </c>
      <c r="F10047" t="s">
        <v>1</v>
      </c>
      <c r="G10047" t="s">
        <v>2</v>
      </c>
      <c r="H10047" t="s">
        <v>38239</v>
      </c>
      <c r="J10047" t="s">
        <v>38472</v>
      </c>
      <c r="M10047" t="s">
        <v>38240</v>
      </c>
      <c r="P10047" t="s">
        <v>390</v>
      </c>
      <c r="Y10047" t="s">
        <v>38473</v>
      </c>
    </row>
    <row r="10048" spans="1:25" x14ac:dyDescent="0.25">
      <c r="A10048" t="str">
        <f>"126689903276"</f>
        <v>126689903276</v>
      </c>
      <c r="B10048" t="s">
        <v>1053</v>
      </c>
      <c r="C10048" t="s">
        <v>1927</v>
      </c>
      <c r="D10048" t="s">
        <v>13014</v>
      </c>
      <c r="E10048">
        <v>424004</v>
      </c>
      <c r="F10048" t="s">
        <v>1</v>
      </c>
      <c r="G10048" t="s">
        <v>2</v>
      </c>
      <c r="H10048" t="s">
        <v>7224</v>
      </c>
      <c r="I10048" t="s">
        <v>358</v>
      </c>
      <c r="L10048" t="s">
        <v>38474</v>
      </c>
      <c r="P10048" t="s">
        <v>280</v>
      </c>
      <c r="Y10048" t="s">
        <v>38475</v>
      </c>
    </row>
    <row r="10049" spans="1:25" x14ac:dyDescent="0.25">
      <c r="A10049" t="str">
        <f>"126693784919"</f>
        <v>126693784919</v>
      </c>
      <c r="B10049" t="s">
        <v>290</v>
      </c>
      <c r="C10049" t="s">
        <v>290</v>
      </c>
      <c r="D10049" t="s">
        <v>38476</v>
      </c>
      <c r="E10049">
        <v>424038</v>
      </c>
      <c r="F10049" t="s">
        <v>1</v>
      </c>
      <c r="G10049" t="s">
        <v>2</v>
      </c>
      <c r="H10049" t="s">
        <v>7597</v>
      </c>
      <c r="P10049" t="s">
        <v>1642</v>
      </c>
      <c r="Y10049" t="s">
        <v>38477</v>
      </c>
    </row>
    <row r="10050" spans="1:25" x14ac:dyDescent="0.25">
      <c r="A10050" t="str">
        <f>"126702229984"</f>
        <v>126702229984</v>
      </c>
      <c r="B10050" t="s">
        <v>379</v>
      </c>
      <c r="C10050" t="s">
        <v>766</v>
      </c>
      <c r="D10050" t="s">
        <v>38478</v>
      </c>
      <c r="E10050">
        <v>424007</v>
      </c>
      <c r="F10050" t="s">
        <v>1</v>
      </c>
      <c r="G10050" t="s">
        <v>2</v>
      </c>
      <c r="H10050" t="s">
        <v>5178</v>
      </c>
      <c r="L10050" t="s">
        <v>34474</v>
      </c>
      <c r="M10050" t="s">
        <v>21870</v>
      </c>
      <c r="P10050" t="s">
        <v>2731</v>
      </c>
      <c r="Y10050" t="s">
        <v>38479</v>
      </c>
    </row>
    <row r="10051" spans="1:25" x14ac:dyDescent="0.25">
      <c r="A10051" t="str">
        <f>"126718916882"</f>
        <v>126718916882</v>
      </c>
      <c r="B10051" t="s">
        <v>888</v>
      </c>
      <c r="C10051" t="s">
        <v>18803</v>
      </c>
      <c r="D10051" t="s">
        <v>38480</v>
      </c>
      <c r="E10051">
        <v>424000</v>
      </c>
      <c r="F10051" t="s">
        <v>1</v>
      </c>
      <c r="G10051" t="s">
        <v>2</v>
      </c>
      <c r="H10051" t="s">
        <v>2202</v>
      </c>
      <c r="Y10051" t="s">
        <v>38481</v>
      </c>
    </row>
    <row r="10052" spans="1:25" x14ac:dyDescent="0.25">
      <c r="A10052" t="str">
        <f>"126719066662"</f>
        <v>126719066662</v>
      </c>
      <c r="B10052" t="s">
        <v>25</v>
      </c>
      <c r="C10052" t="s">
        <v>20320</v>
      </c>
      <c r="D10052" t="s">
        <v>38482</v>
      </c>
      <c r="E10052">
        <v>424006</v>
      </c>
      <c r="F10052" t="s">
        <v>1</v>
      </c>
      <c r="G10052" t="s">
        <v>2</v>
      </c>
      <c r="H10052" t="s">
        <v>38483</v>
      </c>
      <c r="Y10052" t="s">
        <v>38484</v>
      </c>
    </row>
    <row r="10053" spans="1:25" x14ac:dyDescent="0.25">
      <c r="A10053" t="str">
        <f>"126730811415"</f>
        <v>126730811415</v>
      </c>
      <c r="B10053" t="s">
        <v>574</v>
      </c>
      <c r="C10053" t="s">
        <v>24922</v>
      </c>
      <c r="D10053" t="s">
        <v>33564</v>
      </c>
      <c r="E10053">
        <v>424033</v>
      </c>
      <c r="F10053" t="s">
        <v>1</v>
      </c>
      <c r="G10053" t="s">
        <v>2</v>
      </c>
      <c r="H10053" t="s">
        <v>2597</v>
      </c>
      <c r="Y10053" t="s">
        <v>2718</v>
      </c>
    </row>
    <row r="10054" spans="1:25" x14ac:dyDescent="0.25">
      <c r="A10054" t="str">
        <f>"126732939205"</f>
        <v>126732939205</v>
      </c>
      <c r="B10054" t="s">
        <v>447</v>
      </c>
      <c r="C10054" t="s">
        <v>38487</v>
      </c>
      <c r="D10054" t="s">
        <v>38485</v>
      </c>
      <c r="E10054">
        <v>424006</v>
      </c>
      <c r="F10054" t="s">
        <v>1</v>
      </c>
      <c r="G10054" t="s">
        <v>2</v>
      </c>
      <c r="H10054" t="s">
        <v>2775</v>
      </c>
      <c r="I10054" t="s">
        <v>38486</v>
      </c>
      <c r="P10054" t="s">
        <v>280</v>
      </c>
      <c r="Y10054" t="s">
        <v>38488</v>
      </c>
    </row>
    <row r="10055" spans="1:25" x14ac:dyDescent="0.25">
      <c r="A10055" t="str">
        <f>"126746082770"</f>
        <v>126746082770</v>
      </c>
      <c r="B10055" t="s">
        <v>574</v>
      </c>
      <c r="C10055" t="s">
        <v>32712</v>
      </c>
      <c r="D10055" t="s">
        <v>33606</v>
      </c>
      <c r="E10055">
        <v>424033</v>
      </c>
      <c r="F10055" t="s">
        <v>1</v>
      </c>
      <c r="G10055" t="s">
        <v>2</v>
      </c>
      <c r="H10055" t="s">
        <v>10720</v>
      </c>
      <c r="L10055" t="s">
        <v>32711</v>
      </c>
      <c r="Q10055" t="s">
        <v>26537</v>
      </c>
      <c r="Y10055" t="s">
        <v>38489</v>
      </c>
    </row>
    <row r="10056" spans="1:25" x14ac:dyDescent="0.25">
      <c r="A10056" t="str">
        <f>"126746652284"</f>
        <v>126746652284</v>
      </c>
      <c r="B10056" t="s">
        <v>2104</v>
      </c>
      <c r="C10056" t="s">
        <v>37597</v>
      </c>
      <c r="D10056" t="s">
        <v>38490</v>
      </c>
      <c r="E10056">
        <v>424000</v>
      </c>
      <c r="F10056" t="s">
        <v>1</v>
      </c>
      <c r="G10056" t="s">
        <v>2</v>
      </c>
      <c r="H10056" t="s">
        <v>3421</v>
      </c>
      <c r="I10056" t="s">
        <v>31620</v>
      </c>
      <c r="J10056" t="s">
        <v>38491</v>
      </c>
      <c r="P10056" t="s">
        <v>2513</v>
      </c>
      <c r="Q10056" t="s">
        <v>31622</v>
      </c>
      <c r="V10056" t="s">
        <v>38492</v>
      </c>
      <c r="Y10056" t="s">
        <v>38493</v>
      </c>
    </row>
    <row r="10057" spans="1:25" x14ac:dyDescent="0.25">
      <c r="A10057" t="str">
        <f>"126775141581"</f>
        <v>126775141581</v>
      </c>
      <c r="B10057" t="s">
        <v>388</v>
      </c>
      <c r="C10057" t="s">
        <v>38494</v>
      </c>
      <c r="D10057" t="s">
        <v>5385</v>
      </c>
      <c r="E10057">
        <v>424031</v>
      </c>
      <c r="F10057" t="s">
        <v>1</v>
      </c>
      <c r="G10057" t="s">
        <v>2</v>
      </c>
      <c r="H10057" t="s">
        <v>5386</v>
      </c>
      <c r="Y10057" t="s">
        <v>38495</v>
      </c>
    </row>
    <row r="10058" spans="1:25" x14ac:dyDescent="0.25">
      <c r="A10058" t="str">
        <f>"126776427076"</f>
        <v>126776427076</v>
      </c>
      <c r="B10058" t="s">
        <v>624</v>
      </c>
      <c r="C10058" t="s">
        <v>1637</v>
      </c>
      <c r="D10058" t="s">
        <v>38496</v>
      </c>
      <c r="F10058" t="s">
        <v>1</v>
      </c>
      <c r="G10058" t="s">
        <v>2</v>
      </c>
      <c r="H10058" t="s">
        <v>38497</v>
      </c>
      <c r="J10058" t="s">
        <v>38498</v>
      </c>
      <c r="P10058" t="s">
        <v>330</v>
      </c>
      <c r="Y10058" t="s">
        <v>3029</v>
      </c>
    </row>
    <row r="10059" spans="1:25" x14ac:dyDescent="0.25">
      <c r="A10059" t="str">
        <f>"126777242974"</f>
        <v>126777242974</v>
      </c>
      <c r="B10059" t="s">
        <v>290</v>
      </c>
      <c r="C10059" t="s">
        <v>23328</v>
      </c>
      <c r="D10059" t="s">
        <v>38499</v>
      </c>
      <c r="E10059">
        <v>424038</v>
      </c>
      <c r="F10059" t="s">
        <v>1</v>
      </c>
      <c r="G10059" t="s">
        <v>2</v>
      </c>
      <c r="H10059" t="s">
        <v>28558</v>
      </c>
      <c r="I10059" t="s">
        <v>38500</v>
      </c>
      <c r="L10059" t="s">
        <v>38501</v>
      </c>
      <c r="M10059" t="s">
        <v>38502</v>
      </c>
      <c r="P10059" t="s">
        <v>38503</v>
      </c>
      <c r="Q10059" t="s">
        <v>38504</v>
      </c>
      <c r="T10059" t="s">
        <v>38505</v>
      </c>
      <c r="Y10059" t="s">
        <v>38506</v>
      </c>
    </row>
    <row r="10060" spans="1:25" x14ac:dyDescent="0.25">
      <c r="A10060" t="str">
        <f>"126790019725"</f>
        <v>126790019725</v>
      </c>
      <c r="B10060" t="s">
        <v>67</v>
      </c>
      <c r="C10060" t="s">
        <v>832</v>
      </c>
      <c r="D10060" t="s">
        <v>8747</v>
      </c>
      <c r="E10060">
        <v>424032</v>
      </c>
      <c r="F10060" t="s">
        <v>1</v>
      </c>
      <c r="G10060" t="s">
        <v>2</v>
      </c>
      <c r="H10060" t="s">
        <v>38507</v>
      </c>
      <c r="Y10060" t="s">
        <v>38508</v>
      </c>
    </row>
    <row r="10061" spans="1:25" x14ac:dyDescent="0.25">
      <c r="A10061" t="str">
        <f>"126834663436"</f>
        <v>126834663436</v>
      </c>
      <c r="B10061" t="s">
        <v>456</v>
      </c>
      <c r="C10061" t="s">
        <v>38511</v>
      </c>
      <c r="D10061" t="s">
        <v>38509</v>
      </c>
      <c r="E10061">
        <v>424037</v>
      </c>
      <c r="F10061" t="s">
        <v>1</v>
      </c>
      <c r="G10061" t="s">
        <v>2</v>
      </c>
      <c r="H10061" t="s">
        <v>3115</v>
      </c>
      <c r="I10061" t="s">
        <v>38510</v>
      </c>
      <c r="Y10061" t="s">
        <v>3117</v>
      </c>
    </row>
    <row r="10062" spans="1:25" x14ac:dyDescent="0.25">
      <c r="A10062" t="str">
        <f>"126863360461"</f>
        <v>126863360461</v>
      </c>
      <c r="B10062" t="s">
        <v>96</v>
      </c>
      <c r="C10062" t="s">
        <v>695</v>
      </c>
      <c r="D10062" t="s">
        <v>38451</v>
      </c>
      <c r="E10062">
        <v>424038</v>
      </c>
      <c r="F10062" t="s">
        <v>1</v>
      </c>
      <c r="G10062" t="s">
        <v>2</v>
      </c>
      <c r="H10062" t="s">
        <v>14026</v>
      </c>
      <c r="J10062" t="s">
        <v>38512</v>
      </c>
      <c r="Y10062" t="s">
        <v>38513</v>
      </c>
    </row>
    <row r="10063" spans="1:25" x14ac:dyDescent="0.25">
      <c r="A10063" t="str">
        <f>"126879830711"</f>
        <v>126879830711</v>
      </c>
      <c r="B10063" t="s">
        <v>1053</v>
      </c>
      <c r="C10063" t="s">
        <v>38517</v>
      </c>
      <c r="D10063" t="s">
        <v>37356</v>
      </c>
      <c r="E10063">
        <v>424016</v>
      </c>
      <c r="F10063" t="s">
        <v>1</v>
      </c>
      <c r="G10063" t="s">
        <v>2</v>
      </c>
      <c r="H10063" t="s">
        <v>9191</v>
      </c>
      <c r="J10063" t="s">
        <v>38514</v>
      </c>
      <c r="L10063" t="s">
        <v>38515</v>
      </c>
      <c r="M10063" t="s">
        <v>38516</v>
      </c>
      <c r="P10063" t="s">
        <v>20</v>
      </c>
      <c r="Q10063" t="s">
        <v>38518</v>
      </c>
      <c r="Y10063" t="s">
        <v>38519</v>
      </c>
    </row>
    <row r="10064" spans="1:25" x14ac:dyDescent="0.25">
      <c r="A10064" t="str">
        <f>"126880551567"</f>
        <v>126880551567</v>
      </c>
      <c r="B10064" t="s">
        <v>348</v>
      </c>
      <c r="C10064" t="s">
        <v>35242</v>
      </c>
      <c r="D10064" t="s">
        <v>27848</v>
      </c>
      <c r="E10064">
        <v>424032</v>
      </c>
      <c r="F10064" t="s">
        <v>1</v>
      </c>
      <c r="G10064" t="s">
        <v>2</v>
      </c>
      <c r="H10064" t="s">
        <v>5699</v>
      </c>
      <c r="J10064" t="s">
        <v>26327</v>
      </c>
      <c r="M10064" t="s">
        <v>35241</v>
      </c>
      <c r="P10064" t="s">
        <v>1404</v>
      </c>
      <c r="Y10064" t="s">
        <v>5709</v>
      </c>
    </row>
    <row r="10065" spans="1:25" x14ac:dyDescent="0.25">
      <c r="A10065" t="str">
        <f>"126894002363"</f>
        <v>126894002363</v>
      </c>
      <c r="B10065" t="s">
        <v>1046</v>
      </c>
      <c r="C10065" t="s">
        <v>20384</v>
      </c>
      <c r="D10065" t="s">
        <v>38520</v>
      </c>
      <c r="E10065">
        <v>424038</v>
      </c>
      <c r="F10065" t="s">
        <v>1</v>
      </c>
      <c r="G10065" t="s">
        <v>2</v>
      </c>
      <c r="H10065" t="s">
        <v>7597</v>
      </c>
      <c r="J10065" t="s">
        <v>38521</v>
      </c>
      <c r="P10065" t="s">
        <v>1642</v>
      </c>
      <c r="Y10065" t="s">
        <v>16150</v>
      </c>
    </row>
    <row r="10066" spans="1:25" x14ac:dyDescent="0.25">
      <c r="A10066" t="str">
        <f>"126901325683"</f>
        <v>126901325683</v>
      </c>
      <c r="B10066" t="s">
        <v>574</v>
      </c>
      <c r="C10066" t="s">
        <v>24952</v>
      </c>
      <c r="D10066" t="s">
        <v>24951</v>
      </c>
      <c r="E10066">
        <v>424033</v>
      </c>
      <c r="F10066" t="s">
        <v>1</v>
      </c>
      <c r="G10066" t="s">
        <v>2</v>
      </c>
      <c r="H10066" t="s">
        <v>2597</v>
      </c>
      <c r="Y10066" t="s">
        <v>38522</v>
      </c>
    </row>
    <row r="10067" spans="1:25" x14ac:dyDescent="0.25">
      <c r="A10067" t="str">
        <f>"126956308892"</f>
        <v>126956308892</v>
      </c>
      <c r="B10067" t="s">
        <v>4888</v>
      </c>
      <c r="C10067" t="s">
        <v>38527</v>
      </c>
      <c r="D10067" t="s">
        <v>38523</v>
      </c>
      <c r="E10067">
        <v>424032</v>
      </c>
      <c r="F10067" t="s">
        <v>1</v>
      </c>
      <c r="G10067" t="s">
        <v>2</v>
      </c>
      <c r="H10067" t="s">
        <v>4808</v>
      </c>
      <c r="J10067" t="s">
        <v>38524</v>
      </c>
      <c r="L10067" t="s">
        <v>38525</v>
      </c>
      <c r="M10067" t="s">
        <v>38526</v>
      </c>
      <c r="P10067" t="s">
        <v>38528</v>
      </c>
      <c r="Y10067" t="s">
        <v>38529</v>
      </c>
    </row>
    <row r="10068" spans="1:25" x14ac:dyDescent="0.25">
      <c r="A10068" t="str">
        <f>"126973771154"</f>
        <v>126973771154</v>
      </c>
      <c r="B10068" t="s">
        <v>1053</v>
      </c>
      <c r="C10068" t="s">
        <v>1927</v>
      </c>
      <c r="D10068" t="s">
        <v>38530</v>
      </c>
      <c r="E10068">
        <v>424008</v>
      </c>
      <c r="F10068" t="s">
        <v>1</v>
      </c>
      <c r="G10068" t="s">
        <v>2</v>
      </c>
      <c r="H10068" t="s">
        <v>528</v>
      </c>
      <c r="I10068" t="s">
        <v>38531</v>
      </c>
      <c r="J10068" t="s">
        <v>38532</v>
      </c>
      <c r="P10068" t="s">
        <v>9</v>
      </c>
      <c r="Y10068" t="s">
        <v>6427</v>
      </c>
    </row>
    <row r="10069" spans="1:25" x14ac:dyDescent="0.25">
      <c r="A10069" t="str">
        <f>"126999044640"</f>
        <v>126999044640</v>
      </c>
      <c r="B10069" t="s">
        <v>430</v>
      </c>
      <c r="C10069" t="s">
        <v>612</v>
      </c>
      <c r="D10069" t="s">
        <v>38533</v>
      </c>
      <c r="E10069">
        <v>424036</v>
      </c>
      <c r="F10069" t="s">
        <v>1</v>
      </c>
      <c r="G10069" t="s">
        <v>2</v>
      </c>
      <c r="H10069" t="s">
        <v>12444</v>
      </c>
      <c r="I10069" t="s">
        <v>38534</v>
      </c>
      <c r="P10069" t="s">
        <v>216</v>
      </c>
      <c r="Y10069" t="s">
        <v>38535</v>
      </c>
    </row>
    <row r="10070" spans="1:25" x14ac:dyDescent="0.25">
      <c r="A10070" t="str">
        <f>"127008345061"</f>
        <v>127008345061</v>
      </c>
      <c r="B10070" t="s">
        <v>18</v>
      </c>
      <c r="C10070" t="s">
        <v>143</v>
      </c>
      <c r="D10070" t="s">
        <v>38536</v>
      </c>
      <c r="E10070">
        <v>424005</v>
      </c>
      <c r="F10070" t="s">
        <v>1</v>
      </c>
      <c r="G10070" t="s">
        <v>2</v>
      </c>
      <c r="H10070" t="s">
        <v>3042</v>
      </c>
      <c r="Y10070" t="s">
        <v>38537</v>
      </c>
    </row>
    <row r="10071" spans="1:25" x14ac:dyDescent="0.25">
      <c r="A10071" t="str">
        <f>"127016058105"</f>
        <v>127016058105</v>
      </c>
      <c r="B10071" t="s">
        <v>1544</v>
      </c>
      <c r="C10071" t="s">
        <v>15598</v>
      </c>
      <c r="D10071" t="s">
        <v>14703</v>
      </c>
      <c r="E10071">
        <v>424028</v>
      </c>
      <c r="F10071" t="s">
        <v>1</v>
      </c>
      <c r="G10071" t="s">
        <v>2</v>
      </c>
      <c r="H10071" t="s">
        <v>37448</v>
      </c>
      <c r="Y10071" t="s">
        <v>38538</v>
      </c>
    </row>
    <row r="10072" spans="1:25" x14ac:dyDescent="0.25">
      <c r="A10072" t="str">
        <f>"127047192308"</f>
        <v>127047192308</v>
      </c>
      <c r="B10072" t="s">
        <v>32</v>
      </c>
      <c r="C10072" t="s">
        <v>20137</v>
      </c>
      <c r="D10072" t="s">
        <v>38539</v>
      </c>
      <c r="E10072">
        <v>424039</v>
      </c>
      <c r="F10072" t="s">
        <v>1</v>
      </c>
      <c r="G10072" t="s">
        <v>2</v>
      </c>
      <c r="H10072" t="s">
        <v>5827</v>
      </c>
      <c r="J10072" t="s">
        <v>38540</v>
      </c>
      <c r="P10072" t="s">
        <v>38541</v>
      </c>
      <c r="Y10072" t="s">
        <v>23921</v>
      </c>
    </row>
    <row r="10073" spans="1:25" x14ac:dyDescent="0.25">
      <c r="A10073" t="str">
        <f>"127072705000"</f>
        <v>127072705000</v>
      </c>
      <c r="B10073" t="s">
        <v>530</v>
      </c>
      <c r="C10073" t="s">
        <v>23950</v>
      </c>
      <c r="D10073" t="s">
        <v>23950</v>
      </c>
      <c r="F10073" t="s">
        <v>1</v>
      </c>
      <c r="G10073" t="s">
        <v>2</v>
      </c>
      <c r="H10073" t="s">
        <v>38542</v>
      </c>
      <c r="Y10073" t="s">
        <v>38543</v>
      </c>
    </row>
    <row r="10074" spans="1:25" x14ac:dyDescent="0.25">
      <c r="A10074" t="str">
        <f>"127089699079"</f>
        <v>127089699079</v>
      </c>
      <c r="B10074" t="s">
        <v>703</v>
      </c>
      <c r="C10074" t="s">
        <v>19693</v>
      </c>
      <c r="D10074" t="s">
        <v>38544</v>
      </c>
      <c r="E10074">
        <v>424005</v>
      </c>
      <c r="F10074" t="s">
        <v>1</v>
      </c>
      <c r="G10074" t="s">
        <v>2</v>
      </c>
      <c r="H10074" t="s">
        <v>1310</v>
      </c>
      <c r="I10074" t="s">
        <v>38545</v>
      </c>
      <c r="J10074" t="s">
        <v>38546</v>
      </c>
      <c r="L10074" t="s">
        <v>38547</v>
      </c>
      <c r="M10074" t="s">
        <v>38548</v>
      </c>
      <c r="P10074" t="s">
        <v>216</v>
      </c>
      <c r="Q10074" t="s">
        <v>38549</v>
      </c>
      <c r="V10074" t="s">
        <v>38550</v>
      </c>
      <c r="Y10074" t="s">
        <v>3926</v>
      </c>
    </row>
    <row r="10075" spans="1:25" x14ac:dyDescent="0.25">
      <c r="A10075" t="str">
        <f>"127102314918"</f>
        <v>127102314918</v>
      </c>
      <c r="B10075" t="s">
        <v>1053</v>
      </c>
      <c r="C10075" t="s">
        <v>1927</v>
      </c>
      <c r="D10075" t="s">
        <v>38551</v>
      </c>
      <c r="E10075">
        <v>424007</v>
      </c>
      <c r="F10075" t="s">
        <v>1</v>
      </c>
      <c r="G10075" t="s">
        <v>2</v>
      </c>
      <c r="H10075" t="s">
        <v>819</v>
      </c>
      <c r="I10075" t="s">
        <v>38552</v>
      </c>
      <c r="P10075" t="s">
        <v>38553</v>
      </c>
      <c r="Y10075" t="s">
        <v>38554</v>
      </c>
    </row>
    <row r="10076" spans="1:25" x14ac:dyDescent="0.25">
      <c r="A10076" t="str">
        <f>"127122250130"</f>
        <v>127122250130</v>
      </c>
      <c r="B10076" t="s">
        <v>530</v>
      </c>
      <c r="C10076" t="s">
        <v>23950</v>
      </c>
      <c r="D10076" t="s">
        <v>23950</v>
      </c>
      <c r="F10076" t="s">
        <v>1</v>
      </c>
      <c r="G10076" t="s">
        <v>2</v>
      </c>
      <c r="H10076" t="s">
        <v>34563</v>
      </c>
      <c r="Y10076" t="s">
        <v>38555</v>
      </c>
    </row>
    <row r="10077" spans="1:25" x14ac:dyDescent="0.25">
      <c r="A10077" t="str">
        <f>"127132953245"</f>
        <v>127132953245</v>
      </c>
      <c r="B10077" t="s">
        <v>530</v>
      </c>
      <c r="C10077" t="s">
        <v>23950</v>
      </c>
      <c r="D10077" t="s">
        <v>23950</v>
      </c>
      <c r="F10077" t="s">
        <v>1</v>
      </c>
      <c r="G10077" t="s">
        <v>2</v>
      </c>
      <c r="H10077" t="s">
        <v>38556</v>
      </c>
      <c r="Y10077" t="s">
        <v>38557</v>
      </c>
    </row>
    <row r="10078" spans="1:25" x14ac:dyDescent="0.25">
      <c r="A10078" t="str">
        <f>"127149256254"</f>
        <v>127149256254</v>
      </c>
      <c r="B10078" t="s">
        <v>447</v>
      </c>
      <c r="C10078" t="s">
        <v>38559</v>
      </c>
      <c r="D10078" t="s">
        <v>38558</v>
      </c>
      <c r="E10078">
        <v>424006</v>
      </c>
      <c r="F10078" t="s">
        <v>1</v>
      </c>
      <c r="G10078" t="s">
        <v>2</v>
      </c>
      <c r="H10078" t="s">
        <v>20916</v>
      </c>
      <c r="Y10078" t="s">
        <v>38560</v>
      </c>
    </row>
    <row r="10079" spans="1:25" x14ac:dyDescent="0.25">
      <c r="A10079" t="str">
        <f>"127191290084"</f>
        <v>127191290084</v>
      </c>
      <c r="B10079" t="s">
        <v>456</v>
      </c>
      <c r="C10079" t="s">
        <v>2773</v>
      </c>
      <c r="D10079" t="s">
        <v>38561</v>
      </c>
      <c r="F10079" t="s">
        <v>1</v>
      </c>
      <c r="G10079" t="s">
        <v>2</v>
      </c>
      <c r="H10079" t="s">
        <v>26459</v>
      </c>
      <c r="I10079" t="s">
        <v>38562</v>
      </c>
      <c r="L10079" t="s">
        <v>38563</v>
      </c>
      <c r="M10079" t="s">
        <v>38564</v>
      </c>
      <c r="P10079" t="s">
        <v>2438</v>
      </c>
      <c r="Q10079" t="s">
        <v>38565</v>
      </c>
      <c r="R10079" t="s">
        <v>38566</v>
      </c>
      <c r="S10079" t="s">
        <v>38567</v>
      </c>
      <c r="T10079" t="s">
        <v>38568</v>
      </c>
      <c r="Y10079" t="s">
        <v>26463</v>
      </c>
    </row>
    <row r="10080" spans="1:25" x14ac:dyDescent="0.25">
      <c r="A10080" t="str">
        <f>"127213872884"</f>
        <v>127213872884</v>
      </c>
      <c r="B10080" t="s">
        <v>18</v>
      </c>
      <c r="C10080" t="s">
        <v>38573</v>
      </c>
      <c r="D10080" t="s">
        <v>38569</v>
      </c>
      <c r="F10080" t="s">
        <v>1</v>
      </c>
      <c r="G10080" t="s">
        <v>2</v>
      </c>
      <c r="H10080" t="s">
        <v>8464</v>
      </c>
      <c r="I10080" t="s">
        <v>38570</v>
      </c>
      <c r="L10080" t="s">
        <v>38571</v>
      </c>
      <c r="M10080" t="s">
        <v>38572</v>
      </c>
      <c r="P10080" t="s">
        <v>2438</v>
      </c>
      <c r="T10080" t="s">
        <v>38574</v>
      </c>
      <c r="U10080" t="s">
        <v>38575</v>
      </c>
      <c r="V10080" t="s">
        <v>38576</v>
      </c>
      <c r="Y10080" t="s">
        <v>38577</v>
      </c>
    </row>
    <row r="10081" spans="1:25" x14ac:dyDescent="0.25">
      <c r="A10081" t="str">
        <f>"127234110003"</f>
        <v>127234110003</v>
      </c>
      <c r="B10081" t="s">
        <v>18</v>
      </c>
      <c r="C10081" t="s">
        <v>4522</v>
      </c>
      <c r="D10081" t="s">
        <v>38578</v>
      </c>
      <c r="F10081" t="s">
        <v>1</v>
      </c>
      <c r="G10081" t="s">
        <v>2</v>
      </c>
      <c r="H10081" t="s">
        <v>24257</v>
      </c>
      <c r="I10081" t="s">
        <v>38579</v>
      </c>
      <c r="P10081" t="s">
        <v>3690</v>
      </c>
      <c r="Y10081" t="s">
        <v>24260</v>
      </c>
    </row>
    <row r="10082" spans="1:25" x14ac:dyDescent="0.25">
      <c r="A10082" t="str">
        <f>"127258718545"</f>
        <v>127258718545</v>
      </c>
      <c r="B10082" t="s">
        <v>530</v>
      </c>
      <c r="C10082" t="s">
        <v>23950</v>
      </c>
      <c r="D10082" t="s">
        <v>23950</v>
      </c>
      <c r="F10082" t="s">
        <v>1</v>
      </c>
      <c r="G10082" t="s">
        <v>2</v>
      </c>
      <c r="H10082" t="s">
        <v>7547</v>
      </c>
      <c r="Y10082" t="s">
        <v>38580</v>
      </c>
    </row>
    <row r="10083" spans="1:25" x14ac:dyDescent="0.25">
      <c r="A10083" t="str">
        <f>"127292669875"</f>
        <v>127292669875</v>
      </c>
      <c r="B10083" t="s">
        <v>160</v>
      </c>
      <c r="C10083" t="s">
        <v>2479</v>
      </c>
      <c r="D10083" t="s">
        <v>38581</v>
      </c>
      <c r="F10083" t="s">
        <v>1</v>
      </c>
      <c r="G10083" t="s">
        <v>2</v>
      </c>
      <c r="H10083" t="s">
        <v>35021</v>
      </c>
      <c r="Y10083" t="s">
        <v>38582</v>
      </c>
    </row>
    <row r="10084" spans="1:25" x14ac:dyDescent="0.25">
      <c r="A10084" t="str">
        <f>"127382262258"</f>
        <v>127382262258</v>
      </c>
      <c r="B10084" t="s">
        <v>224</v>
      </c>
      <c r="C10084" t="s">
        <v>815</v>
      </c>
      <c r="D10084" t="s">
        <v>13761</v>
      </c>
      <c r="E10084">
        <v>424008</v>
      </c>
      <c r="F10084" t="s">
        <v>1</v>
      </c>
      <c r="G10084" t="s">
        <v>2</v>
      </c>
      <c r="H10084" t="s">
        <v>2001</v>
      </c>
      <c r="P10084" t="s">
        <v>38583</v>
      </c>
      <c r="Y10084" t="s">
        <v>38584</v>
      </c>
    </row>
    <row r="10085" spans="1:25" x14ac:dyDescent="0.25">
      <c r="A10085" t="str">
        <f>"127407510756"</f>
        <v>127407510756</v>
      </c>
      <c r="B10085" t="s">
        <v>738</v>
      </c>
      <c r="C10085" t="s">
        <v>38590</v>
      </c>
      <c r="D10085" t="s">
        <v>38585</v>
      </c>
      <c r="E10085">
        <v>424000</v>
      </c>
      <c r="F10085" t="s">
        <v>1</v>
      </c>
      <c r="G10085" t="s">
        <v>2</v>
      </c>
      <c r="H10085" t="s">
        <v>404</v>
      </c>
      <c r="I10085" t="s">
        <v>38586</v>
      </c>
      <c r="J10085" t="s">
        <v>38587</v>
      </c>
      <c r="L10085" t="s">
        <v>38588</v>
      </c>
      <c r="M10085" t="s">
        <v>38589</v>
      </c>
      <c r="P10085" t="s">
        <v>3822</v>
      </c>
      <c r="Y10085" t="s">
        <v>38591</v>
      </c>
    </row>
    <row r="10086" spans="1:25" x14ac:dyDescent="0.25">
      <c r="A10086" t="str">
        <f>"127452598852"</f>
        <v>127452598852</v>
      </c>
      <c r="B10086" t="s">
        <v>1152</v>
      </c>
      <c r="C10086" t="s">
        <v>1153</v>
      </c>
      <c r="D10086" t="s">
        <v>10280</v>
      </c>
      <c r="F10086" t="s">
        <v>1</v>
      </c>
      <c r="G10086" t="s">
        <v>2</v>
      </c>
      <c r="H10086" t="s">
        <v>38592</v>
      </c>
      <c r="I10086" t="s">
        <v>22092</v>
      </c>
      <c r="M10086" t="s">
        <v>10284</v>
      </c>
      <c r="Q10086" t="s">
        <v>10286</v>
      </c>
      <c r="R10086" t="s">
        <v>10287</v>
      </c>
      <c r="S10086" t="s">
        <v>10288</v>
      </c>
      <c r="T10086" t="s">
        <v>10289</v>
      </c>
      <c r="U10086" t="s">
        <v>10290</v>
      </c>
      <c r="V10086" t="s">
        <v>10291</v>
      </c>
      <c r="Y10086" t="s">
        <v>38593</v>
      </c>
    </row>
    <row r="10087" spans="1:25" x14ac:dyDescent="0.25">
      <c r="A10087" t="str">
        <f>"127453532179"</f>
        <v>127453532179</v>
      </c>
      <c r="B10087" t="s">
        <v>123</v>
      </c>
      <c r="C10087" t="s">
        <v>731</v>
      </c>
      <c r="D10087" t="s">
        <v>38594</v>
      </c>
      <c r="E10087">
        <v>424033</v>
      </c>
      <c r="F10087" t="s">
        <v>1</v>
      </c>
      <c r="G10087" t="s">
        <v>2</v>
      </c>
      <c r="H10087" t="s">
        <v>29024</v>
      </c>
      <c r="I10087" t="s">
        <v>38595</v>
      </c>
      <c r="P10087" t="s">
        <v>425</v>
      </c>
      <c r="Y10087" t="s">
        <v>38596</v>
      </c>
    </row>
    <row r="10088" spans="1:25" x14ac:dyDescent="0.25">
      <c r="A10088" t="str">
        <f>"127464433047"</f>
        <v>127464433047</v>
      </c>
      <c r="B10088" t="s">
        <v>7849</v>
      </c>
      <c r="C10088" t="s">
        <v>10351</v>
      </c>
      <c r="D10088" t="s">
        <v>38597</v>
      </c>
      <c r="E10088">
        <v>424000</v>
      </c>
      <c r="F10088" t="s">
        <v>1</v>
      </c>
      <c r="G10088" t="s">
        <v>2</v>
      </c>
      <c r="H10088" t="s">
        <v>3454</v>
      </c>
      <c r="I10088" t="s">
        <v>38598</v>
      </c>
      <c r="L10088" t="s">
        <v>38599</v>
      </c>
      <c r="M10088" t="s">
        <v>38600</v>
      </c>
      <c r="P10088" t="s">
        <v>2513</v>
      </c>
      <c r="Q10088" t="s">
        <v>38601</v>
      </c>
      <c r="Y10088" t="s">
        <v>1634</v>
      </c>
    </row>
    <row r="10089" spans="1:25" x14ac:dyDescent="0.25">
      <c r="A10089" t="str">
        <f>"127464565882"</f>
        <v>127464565882</v>
      </c>
      <c r="B10089" t="s">
        <v>379</v>
      </c>
      <c r="C10089" t="s">
        <v>766</v>
      </c>
      <c r="D10089" t="s">
        <v>38602</v>
      </c>
      <c r="E10089">
        <v>424038</v>
      </c>
      <c r="F10089" t="s">
        <v>1</v>
      </c>
      <c r="G10089" t="s">
        <v>2</v>
      </c>
      <c r="H10089" t="s">
        <v>2614</v>
      </c>
      <c r="Y10089" t="s">
        <v>7651</v>
      </c>
    </row>
    <row r="10090" spans="1:25" x14ac:dyDescent="0.25">
      <c r="A10090" t="str">
        <f>"127467618045"</f>
        <v>127467618045</v>
      </c>
      <c r="B10090" t="s">
        <v>290</v>
      </c>
      <c r="C10090" t="s">
        <v>23328</v>
      </c>
      <c r="D10090" t="s">
        <v>19906</v>
      </c>
      <c r="E10090">
        <v>424038</v>
      </c>
      <c r="F10090" t="s">
        <v>1</v>
      </c>
      <c r="G10090" t="s">
        <v>2</v>
      </c>
      <c r="H10090" t="s">
        <v>7597</v>
      </c>
      <c r="L10090" t="s">
        <v>38603</v>
      </c>
      <c r="M10090" t="s">
        <v>38604</v>
      </c>
      <c r="P10090" t="s">
        <v>1642</v>
      </c>
      <c r="Q10090" t="s">
        <v>38605</v>
      </c>
      <c r="Y10090" t="s">
        <v>16150</v>
      </c>
    </row>
    <row r="10091" spans="1:25" x14ac:dyDescent="0.25">
      <c r="A10091" t="str">
        <f>"127477820234"</f>
        <v>127477820234</v>
      </c>
      <c r="B10091" t="s">
        <v>930</v>
      </c>
      <c r="C10091" t="s">
        <v>1096</v>
      </c>
      <c r="D10091" t="s">
        <v>12609</v>
      </c>
      <c r="F10091" t="s">
        <v>1</v>
      </c>
      <c r="G10091" t="s">
        <v>2</v>
      </c>
      <c r="H10091" t="s">
        <v>8989</v>
      </c>
      <c r="Y10091" t="s">
        <v>38606</v>
      </c>
    </row>
    <row r="10092" spans="1:25" x14ac:dyDescent="0.25">
      <c r="A10092" t="str">
        <f>"127487829716"</f>
        <v>127487829716</v>
      </c>
      <c r="B10092" t="s">
        <v>469</v>
      </c>
      <c r="C10092" t="s">
        <v>12479</v>
      </c>
      <c r="D10092" t="s">
        <v>20514</v>
      </c>
      <c r="E10092">
        <v>424004</v>
      </c>
      <c r="F10092" t="s">
        <v>1</v>
      </c>
      <c r="G10092" t="s">
        <v>2</v>
      </c>
      <c r="H10092" t="s">
        <v>1880</v>
      </c>
      <c r="I10092" t="s">
        <v>38607</v>
      </c>
      <c r="M10092" t="s">
        <v>20516</v>
      </c>
      <c r="P10092" t="s">
        <v>38608</v>
      </c>
      <c r="Y10092" t="s">
        <v>38609</v>
      </c>
    </row>
    <row r="10093" spans="1:25" x14ac:dyDescent="0.25">
      <c r="A10093" t="str">
        <f>"127504638270"</f>
        <v>127504638270</v>
      </c>
      <c r="B10093" t="s">
        <v>640</v>
      </c>
      <c r="C10093" t="s">
        <v>28140</v>
      </c>
      <c r="D10093" t="s">
        <v>38610</v>
      </c>
      <c r="E10093">
        <v>424006</v>
      </c>
      <c r="F10093" t="s">
        <v>1</v>
      </c>
      <c r="G10093" t="s">
        <v>2</v>
      </c>
      <c r="H10093" t="s">
        <v>1195</v>
      </c>
      <c r="J10093" t="s">
        <v>38611</v>
      </c>
      <c r="P10093" t="s">
        <v>1642</v>
      </c>
      <c r="Q10093" t="s">
        <v>38612</v>
      </c>
      <c r="Y10093" t="s">
        <v>38613</v>
      </c>
    </row>
    <row r="10094" spans="1:25" x14ac:dyDescent="0.25">
      <c r="A10094" t="str">
        <f>"127676526023"</f>
        <v>127676526023</v>
      </c>
      <c r="B10094" t="s">
        <v>430</v>
      </c>
      <c r="C10094" t="s">
        <v>612</v>
      </c>
      <c r="D10094" t="s">
        <v>38614</v>
      </c>
      <c r="E10094">
        <v>424019</v>
      </c>
      <c r="F10094" t="s">
        <v>1</v>
      </c>
      <c r="G10094" t="s">
        <v>2</v>
      </c>
      <c r="H10094" t="s">
        <v>20692</v>
      </c>
      <c r="I10094" t="s">
        <v>38615</v>
      </c>
      <c r="J10094" t="s">
        <v>38616</v>
      </c>
      <c r="P10094" t="s">
        <v>1505</v>
      </c>
      <c r="V10094" t="s">
        <v>38617</v>
      </c>
      <c r="Y10094" t="s">
        <v>38618</v>
      </c>
    </row>
    <row r="10095" spans="1:25" x14ac:dyDescent="0.25">
      <c r="A10095" t="str">
        <f>"127680602872"</f>
        <v>127680602872</v>
      </c>
      <c r="B10095" t="s">
        <v>3008</v>
      </c>
      <c r="C10095" t="s">
        <v>38621</v>
      </c>
      <c r="D10095" t="s">
        <v>38619</v>
      </c>
      <c r="E10095">
        <v>424037</v>
      </c>
      <c r="F10095" t="s">
        <v>1</v>
      </c>
      <c r="G10095" t="s">
        <v>2</v>
      </c>
      <c r="H10095" t="s">
        <v>13232</v>
      </c>
      <c r="J10095" t="s">
        <v>38620</v>
      </c>
      <c r="P10095" t="s">
        <v>2438</v>
      </c>
      <c r="Y10095" t="s">
        <v>13235</v>
      </c>
    </row>
    <row r="10096" spans="1:25" x14ac:dyDescent="0.25">
      <c r="A10096" t="str">
        <f>"127689494532"</f>
        <v>127689494532</v>
      </c>
      <c r="B10096" t="s">
        <v>88</v>
      </c>
      <c r="C10096" t="s">
        <v>6991</v>
      </c>
      <c r="D10096" t="s">
        <v>38622</v>
      </c>
      <c r="E10096">
        <v>424016</v>
      </c>
      <c r="F10096" t="s">
        <v>1</v>
      </c>
      <c r="G10096" t="s">
        <v>2</v>
      </c>
      <c r="H10096" t="s">
        <v>15991</v>
      </c>
      <c r="J10096" t="s">
        <v>38623</v>
      </c>
      <c r="P10096" t="s">
        <v>11801</v>
      </c>
      <c r="Q10096" t="s">
        <v>38624</v>
      </c>
      <c r="Y10096" t="s">
        <v>38625</v>
      </c>
    </row>
    <row r="10097" spans="1:25" x14ac:dyDescent="0.25">
      <c r="A10097" t="str">
        <f>"127693493928"</f>
        <v>127693493928</v>
      </c>
      <c r="B10097" t="s">
        <v>530</v>
      </c>
      <c r="C10097" t="s">
        <v>23950</v>
      </c>
      <c r="D10097" t="s">
        <v>23950</v>
      </c>
      <c r="E10097">
        <v>424003</v>
      </c>
      <c r="F10097" t="s">
        <v>1</v>
      </c>
      <c r="G10097" t="s">
        <v>2</v>
      </c>
      <c r="H10097" t="s">
        <v>775</v>
      </c>
      <c r="Y10097" t="s">
        <v>38626</v>
      </c>
    </row>
    <row r="10098" spans="1:25" x14ac:dyDescent="0.25">
      <c r="A10098" t="str">
        <f>"127740571152"</f>
        <v>127740571152</v>
      </c>
      <c r="B10098" t="s">
        <v>1352</v>
      </c>
      <c r="C10098" t="s">
        <v>1353</v>
      </c>
      <c r="D10098" t="s">
        <v>6723</v>
      </c>
      <c r="E10098">
        <v>424006</v>
      </c>
      <c r="F10098" t="s">
        <v>1</v>
      </c>
      <c r="G10098" t="s">
        <v>2</v>
      </c>
      <c r="H10098" t="s">
        <v>38627</v>
      </c>
      <c r="Y10098" t="s">
        <v>38628</v>
      </c>
    </row>
    <row r="10099" spans="1:25" x14ac:dyDescent="0.25">
      <c r="A10099" t="str">
        <f>"127864003573"</f>
        <v>127864003573</v>
      </c>
      <c r="B10099" t="s">
        <v>888</v>
      </c>
      <c r="C10099" t="s">
        <v>1947</v>
      </c>
      <c r="D10099" t="s">
        <v>38629</v>
      </c>
      <c r="E10099">
        <v>424003</v>
      </c>
      <c r="F10099" t="s">
        <v>1</v>
      </c>
      <c r="G10099" t="s">
        <v>2</v>
      </c>
      <c r="H10099" t="s">
        <v>38630</v>
      </c>
      <c r="I10099" t="s">
        <v>38631</v>
      </c>
      <c r="P10099" t="s">
        <v>20</v>
      </c>
      <c r="Y10099" t="s">
        <v>38632</v>
      </c>
    </row>
    <row r="10100" spans="1:25" x14ac:dyDescent="0.25">
      <c r="A10100" t="str">
        <f>"127903717145"</f>
        <v>127903717145</v>
      </c>
      <c r="B10100" t="s">
        <v>117</v>
      </c>
      <c r="C10100" t="s">
        <v>873</v>
      </c>
      <c r="D10100" t="s">
        <v>873</v>
      </c>
      <c r="F10100" t="s">
        <v>1</v>
      </c>
      <c r="G10100" t="s">
        <v>2</v>
      </c>
      <c r="H10100" t="s">
        <v>38633</v>
      </c>
      <c r="Y10100" t="s">
        <v>38634</v>
      </c>
    </row>
    <row r="10101" spans="1:25" x14ac:dyDescent="0.25">
      <c r="A10101" t="str">
        <f>"127947014160"</f>
        <v>127947014160</v>
      </c>
      <c r="B10101" t="s">
        <v>1544</v>
      </c>
      <c r="C10101" t="s">
        <v>7974</v>
      </c>
      <c r="D10101" t="s">
        <v>28272</v>
      </c>
      <c r="E10101">
        <v>424006</v>
      </c>
      <c r="F10101" t="s">
        <v>1</v>
      </c>
      <c r="G10101" t="s">
        <v>2</v>
      </c>
      <c r="H10101" t="s">
        <v>2441</v>
      </c>
      <c r="Y10101" t="s">
        <v>2447</v>
      </c>
    </row>
    <row r="10102" spans="1:25" x14ac:dyDescent="0.25">
      <c r="A10102" t="str">
        <f>"127960597579"</f>
        <v>127960597579</v>
      </c>
      <c r="B10102" t="s">
        <v>930</v>
      </c>
      <c r="C10102" t="s">
        <v>927</v>
      </c>
      <c r="D10102" t="s">
        <v>927</v>
      </c>
      <c r="F10102" t="s">
        <v>1</v>
      </c>
      <c r="G10102" t="s">
        <v>2</v>
      </c>
      <c r="H10102" t="s">
        <v>7547</v>
      </c>
      <c r="Y10102" t="s">
        <v>38635</v>
      </c>
    </row>
    <row r="10103" spans="1:25" x14ac:dyDescent="0.25">
      <c r="A10103" t="str">
        <f>"127972991877"</f>
        <v>127972991877</v>
      </c>
      <c r="B10103" t="s">
        <v>978</v>
      </c>
      <c r="C10103" t="s">
        <v>7625</v>
      </c>
      <c r="D10103" t="s">
        <v>38636</v>
      </c>
      <c r="E10103">
        <v>424002</v>
      </c>
      <c r="F10103" t="s">
        <v>1</v>
      </c>
      <c r="G10103" t="s">
        <v>2</v>
      </c>
      <c r="H10103" t="s">
        <v>1683</v>
      </c>
      <c r="I10103" t="s">
        <v>38637</v>
      </c>
      <c r="L10103" t="s">
        <v>46</v>
      </c>
      <c r="M10103" t="s">
        <v>38638</v>
      </c>
      <c r="P10103" t="s">
        <v>38639</v>
      </c>
      <c r="Q10103" t="s">
        <v>38640</v>
      </c>
      <c r="V10103" t="s">
        <v>38641</v>
      </c>
      <c r="Y10103" t="s">
        <v>34616</v>
      </c>
    </row>
    <row r="10104" spans="1:25" x14ac:dyDescent="0.25">
      <c r="A10104" t="str">
        <f>"128033141817"</f>
        <v>128033141817</v>
      </c>
      <c r="B10104" t="s">
        <v>716</v>
      </c>
      <c r="C10104" t="s">
        <v>38643</v>
      </c>
      <c r="D10104" t="s">
        <v>27741</v>
      </c>
      <c r="E10104">
        <v>424002</v>
      </c>
      <c r="F10104" t="s">
        <v>1</v>
      </c>
      <c r="G10104" t="s">
        <v>2</v>
      </c>
      <c r="H10104" t="s">
        <v>19633</v>
      </c>
      <c r="I10104" t="s">
        <v>38642</v>
      </c>
      <c r="P10104" t="s">
        <v>8597</v>
      </c>
      <c r="Y10104" t="s">
        <v>19638</v>
      </c>
    </row>
    <row r="10105" spans="1:25" x14ac:dyDescent="0.25">
      <c r="A10105" t="str">
        <f>"128039155531"</f>
        <v>128039155531</v>
      </c>
      <c r="B10105" t="s">
        <v>96</v>
      </c>
      <c r="C10105" t="s">
        <v>8479</v>
      </c>
      <c r="D10105" t="s">
        <v>27619</v>
      </c>
      <c r="E10105">
        <v>424006</v>
      </c>
      <c r="F10105" t="s">
        <v>1</v>
      </c>
      <c r="G10105" t="s">
        <v>2</v>
      </c>
      <c r="H10105" t="s">
        <v>5846</v>
      </c>
      <c r="Y10105" t="s">
        <v>17495</v>
      </c>
    </row>
    <row r="10106" spans="1:25" x14ac:dyDescent="0.25">
      <c r="A10106" t="str">
        <f>"128042314958"</f>
        <v>128042314958</v>
      </c>
      <c r="B10106" t="s">
        <v>96</v>
      </c>
      <c r="C10106" t="s">
        <v>38646</v>
      </c>
      <c r="D10106" t="s">
        <v>38644</v>
      </c>
      <c r="E10106">
        <v>424004</v>
      </c>
      <c r="F10106" t="s">
        <v>1</v>
      </c>
      <c r="G10106" t="s">
        <v>2</v>
      </c>
      <c r="H10106" t="s">
        <v>2589</v>
      </c>
      <c r="J10106" t="s">
        <v>38645</v>
      </c>
      <c r="P10106" t="s">
        <v>12988</v>
      </c>
      <c r="Y10106" t="s">
        <v>2595</v>
      </c>
    </row>
    <row r="10107" spans="1:25" x14ac:dyDescent="0.25">
      <c r="A10107" t="str">
        <f>"128106074875"</f>
        <v>128106074875</v>
      </c>
      <c r="B10107" t="s">
        <v>188</v>
      </c>
      <c r="C10107" t="s">
        <v>23982</v>
      </c>
      <c r="D10107" t="s">
        <v>23982</v>
      </c>
      <c r="E10107">
        <v>424006</v>
      </c>
      <c r="F10107" t="s">
        <v>1</v>
      </c>
      <c r="G10107" t="s">
        <v>2</v>
      </c>
      <c r="H10107" t="s">
        <v>38647</v>
      </c>
      <c r="Y10107" t="s">
        <v>38648</v>
      </c>
    </row>
    <row r="10108" spans="1:25" x14ac:dyDescent="0.25">
      <c r="A10108" t="str">
        <f>"128126428053"</f>
        <v>128126428053</v>
      </c>
      <c r="B10108" t="s">
        <v>703</v>
      </c>
      <c r="C10108" t="s">
        <v>7344</v>
      </c>
      <c r="D10108" t="s">
        <v>18515</v>
      </c>
      <c r="E10108">
        <v>424004</v>
      </c>
      <c r="F10108" t="s">
        <v>1</v>
      </c>
      <c r="G10108" t="s">
        <v>2</v>
      </c>
      <c r="H10108" t="s">
        <v>1880</v>
      </c>
      <c r="Y10108" t="s">
        <v>38649</v>
      </c>
    </row>
    <row r="10109" spans="1:25" x14ac:dyDescent="0.25">
      <c r="A10109" t="str">
        <f>"128169901188"</f>
        <v>128169901188</v>
      </c>
      <c r="B10109" t="s">
        <v>18</v>
      </c>
      <c r="C10109" t="s">
        <v>38653</v>
      </c>
      <c r="D10109" t="s">
        <v>38650</v>
      </c>
      <c r="E10109">
        <v>424007</v>
      </c>
      <c r="F10109" t="s">
        <v>1</v>
      </c>
      <c r="G10109" t="s">
        <v>2</v>
      </c>
      <c r="H10109" t="s">
        <v>18643</v>
      </c>
      <c r="I10109" t="s">
        <v>38651</v>
      </c>
      <c r="J10109" t="s">
        <v>38652</v>
      </c>
      <c r="P10109" t="s">
        <v>152</v>
      </c>
      <c r="Y10109" t="s">
        <v>18646</v>
      </c>
    </row>
    <row r="10110" spans="1:25" x14ac:dyDescent="0.25">
      <c r="A10110" t="str">
        <f>"128236666326"</f>
        <v>128236666326</v>
      </c>
      <c r="B10110" t="s">
        <v>574</v>
      </c>
      <c r="C10110" t="s">
        <v>646</v>
      </c>
      <c r="D10110" t="s">
        <v>38654</v>
      </c>
      <c r="E10110">
        <v>424039</v>
      </c>
      <c r="F10110" t="s">
        <v>1</v>
      </c>
      <c r="G10110" t="s">
        <v>2</v>
      </c>
      <c r="H10110" t="s">
        <v>38655</v>
      </c>
      <c r="P10110" t="s">
        <v>1505</v>
      </c>
      <c r="Y10110" t="s">
        <v>38656</v>
      </c>
    </row>
    <row r="10111" spans="1:25" x14ac:dyDescent="0.25">
      <c r="A10111" t="str">
        <f>"128241963530"</f>
        <v>128241963530</v>
      </c>
      <c r="B10111" t="s">
        <v>1046</v>
      </c>
      <c r="C10111" t="s">
        <v>22946</v>
      </c>
      <c r="D10111" t="s">
        <v>22946</v>
      </c>
      <c r="E10111">
        <v>424007</v>
      </c>
      <c r="F10111" t="s">
        <v>1</v>
      </c>
      <c r="G10111" t="s">
        <v>2</v>
      </c>
      <c r="H10111" t="s">
        <v>5647</v>
      </c>
      <c r="Y10111" t="s">
        <v>38657</v>
      </c>
    </row>
    <row r="10112" spans="1:25" x14ac:dyDescent="0.25">
      <c r="A10112" t="str">
        <f>"128253024457"</f>
        <v>128253024457</v>
      </c>
      <c r="B10112" t="s">
        <v>371</v>
      </c>
      <c r="C10112" t="s">
        <v>372</v>
      </c>
      <c r="D10112" t="s">
        <v>372</v>
      </c>
      <c r="E10112">
        <v>424031</v>
      </c>
      <c r="F10112" t="s">
        <v>1</v>
      </c>
      <c r="G10112" t="s">
        <v>2</v>
      </c>
      <c r="H10112" t="s">
        <v>239</v>
      </c>
      <c r="J10112" t="s">
        <v>27350</v>
      </c>
      <c r="L10112" t="s">
        <v>38658</v>
      </c>
      <c r="M10112" t="s">
        <v>38659</v>
      </c>
      <c r="P10112" t="s">
        <v>330</v>
      </c>
      <c r="Y10112" t="s">
        <v>246</v>
      </c>
    </row>
    <row r="10113" spans="1:25" x14ac:dyDescent="0.25">
      <c r="A10113" t="str">
        <f>"128271006470"</f>
        <v>128271006470</v>
      </c>
      <c r="B10113" t="s">
        <v>18</v>
      </c>
      <c r="C10113" t="s">
        <v>6222</v>
      </c>
      <c r="D10113" t="s">
        <v>38660</v>
      </c>
      <c r="E10113">
        <v>424020</v>
      </c>
      <c r="F10113" t="s">
        <v>1</v>
      </c>
      <c r="G10113" t="s">
        <v>2</v>
      </c>
      <c r="H10113" t="s">
        <v>1837</v>
      </c>
      <c r="Y10113" t="s">
        <v>38661</v>
      </c>
    </row>
    <row r="10114" spans="1:25" x14ac:dyDescent="0.25">
      <c r="A10114" t="str">
        <f>"128323225703"</f>
        <v>128323225703</v>
      </c>
      <c r="B10114" t="s">
        <v>18</v>
      </c>
      <c r="C10114" t="s">
        <v>38665</v>
      </c>
      <c r="D10114" t="s">
        <v>23156</v>
      </c>
      <c r="E10114">
        <v>424007</v>
      </c>
      <c r="F10114" t="s">
        <v>1</v>
      </c>
      <c r="G10114" t="s">
        <v>2</v>
      </c>
      <c r="H10114" t="s">
        <v>2609</v>
      </c>
      <c r="J10114" t="s">
        <v>38662</v>
      </c>
      <c r="L10114" t="s">
        <v>38663</v>
      </c>
      <c r="M10114" t="s">
        <v>38664</v>
      </c>
      <c r="P10114" t="s">
        <v>20</v>
      </c>
      <c r="Q10114" t="s">
        <v>38666</v>
      </c>
      <c r="Y10114" t="s">
        <v>38667</v>
      </c>
    </row>
    <row r="10115" spans="1:25" x14ac:dyDescent="0.25">
      <c r="A10115" t="str">
        <f>"128343535732"</f>
        <v>128343535732</v>
      </c>
      <c r="B10115" t="s">
        <v>1343</v>
      </c>
      <c r="C10115" t="s">
        <v>1344</v>
      </c>
      <c r="D10115" t="s">
        <v>20882</v>
      </c>
      <c r="E10115">
        <v>424020</v>
      </c>
      <c r="F10115" t="s">
        <v>1</v>
      </c>
      <c r="G10115" t="s">
        <v>2</v>
      </c>
      <c r="H10115" t="s">
        <v>23</v>
      </c>
      <c r="Y10115" t="s">
        <v>6162</v>
      </c>
    </row>
    <row r="10116" spans="1:25" x14ac:dyDescent="0.25">
      <c r="A10116" t="str">
        <f>"128378601236"</f>
        <v>128378601236</v>
      </c>
      <c r="B10116" t="s">
        <v>1025</v>
      </c>
      <c r="C10116" t="s">
        <v>1026</v>
      </c>
      <c r="D10116" t="s">
        <v>38668</v>
      </c>
      <c r="E10116">
        <v>424004</v>
      </c>
      <c r="F10116" t="s">
        <v>1</v>
      </c>
      <c r="G10116" t="s">
        <v>2</v>
      </c>
      <c r="H10116" t="s">
        <v>229</v>
      </c>
      <c r="J10116" t="s">
        <v>38669</v>
      </c>
      <c r="Y10116" t="s">
        <v>237</v>
      </c>
    </row>
    <row r="10117" spans="1:25" x14ac:dyDescent="0.25">
      <c r="A10117" t="str">
        <f>"128413108889"</f>
        <v>128413108889</v>
      </c>
      <c r="B10117" t="s">
        <v>530</v>
      </c>
      <c r="C10117" t="s">
        <v>23950</v>
      </c>
      <c r="D10117" t="s">
        <v>23950</v>
      </c>
      <c r="F10117" t="s">
        <v>1</v>
      </c>
      <c r="G10117" t="s">
        <v>2</v>
      </c>
      <c r="H10117" t="s">
        <v>38670</v>
      </c>
      <c r="Y10117" t="s">
        <v>38671</v>
      </c>
    </row>
    <row r="10118" spans="1:25" x14ac:dyDescent="0.25">
      <c r="A10118" t="str">
        <f>"128495841486"</f>
        <v>128495841486</v>
      </c>
      <c r="B10118" t="s">
        <v>574</v>
      </c>
      <c r="C10118" t="s">
        <v>646</v>
      </c>
      <c r="D10118" t="s">
        <v>38672</v>
      </c>
      <c r="E10118">
        <v>424006</v>
      </c>
      <c r="F10118" t="s">
        <v>1</v>
      </c>
      <c r="G10118" t="s">
        <v>2</v>
      </c>
      <c r="H10118" t="s">
        <v>6628</v>
      </c>
      <c r="Y10118" t="s">
        <v>38673</v>
      </c>
    </row>
    <row r="10119" spans="1:25" x14ac:dyDescent="0.25">
      <c r="A10119" t="str">
        <f>"128507490027"</f>
        <v>128507490027</v>
      </c>
      <c r="B10119" t="s">
        <v>290</v>
      </c>
      <c r="C10119" t="s">
        <v>290</v>
      </c>
      <c r="D10119" t="s">
        <v>24319</v>
      </c>
      <c r="E10119">
        <v>424006</v>
      </c>
      <c r="F10119" t="s">
        <v>1</v>
      </c>
      <c r="G10119" t="s">
        <v>2</v>
      </c>
      <c r="H10119" t="s">
        <v>13758</v>
      </c>
      <c r="I10119" t="s">
        <v>38674</v>
      </c>
      <c r="P10119" t="s">
        <v>7436</v>
      </c>
      <c r="Y10119" t="s">
        <v>38675</v>
      </c>
    </row>
    <row r="10120" spans="1:25" x14ac:dyDescent="0.25">
      <c r="A10120" t="str">
        <f>"128512663130"</f>
        <v>128512663130</v>
      </c>
      <c r="B10120" t="s">
        <v>1573</v>
      </c>
      <c r="C10120" t="s">
        <v>11019</v>
      </c>
      <c r="D10120" t="s">
        <v>38676</v>
      </c>
      <c r="E10120">
        <v>424006</v>
      </c>
      <c r="F10120" t="s">
        <v>1</v>
      </c>
      <c r="G10120" t="s">
        <v>2</v>
      </c>
      <c r="H10120" t="s">
        <v>2012</v>
      </c>
      <c r="I10120" t="s">
        <v>38677</v>
      </c>
      <c r="L10120" t="s">
        <v>17584</v>
      </c>
      <c r="M10120" t="s">
        <v>38678</v>
      </c>
      <c r="Y10120" t="s">
        <v>2016</v>
      </c>
    </row>
    <row r="10121" spans="1:25" x14ac:dyDescent="0.25">
      <c r="A10121" t="str">
        <f>"128532113887"</f>
        <v>128532113887</v>
      </c>
      <c r="B10121" t="s">
        <v>530</v>
      </c>
      <c r="C10121" t="s">
        <v>23950</v>
      </c>
      <c r="D10121" t="s">
        <v>23950</v>
      </c>
      <c r="F10121" t="s">
        <v>1</v>
      </c>
      <c r="G10121" t="s">
        <v>2</v>
      </c>
      <c r="H10121" t="s">
        <v>6444</v>
      </c>
      <c r="Y10121" t="s">
        <v>38679</v>
      </c>
    </row>
    <row r="10122" spans="1:25" x14ac:dyDescent="0.25">
      <c r="A10122" t="str">
        <f>"128551440039"</f>
        <v>128551440039</v>
      </c>
      <c r="B10122" t="s">
        <v>18</v>
      </c>
      <c r="C10122" t="s">
        <v>38683</v>
      </c>
      <c r="D10122" t="s">
        <v>38680</v>
      </c>
      <c r="E10122">
        <v>424028</v>
      </c>
      <c r="F10122" t="s">
        <v>1</v>
      </c>
      <c r="G10122" t="s">
        <v>2</v>
      </c>
      <c r="H10122" t="s">
        <v>518</v>
      </c>
      <c r="I10122" t="s">
        <v>38681</v>
      </c>
      <c r="L10122" t="s">
        <v>33332</v>
      </c>
      <c r="M10122" t="s">
        <v>38682</v>
      </c>
      <c r="P10122" t="s">
        <v>4671</v>
      </c>
      <c r="Q10122" t="s">
        <v>38684</v>
      </c>
      <c r="V10122" t="s">
        <v>38685</v>
      </c>
      <c r="Y10122" t="s">
        <v>521</v>
      </c>
    </row>
    <row r="10123" spans="1:25" x14ac:dyDescent="0.25">
      <c r="A10123" t="str">
        <f>"128564521434"</f>
        <v>128564521434</v>
      </c>
      <c r="B10123" t="s">
        <v>32</v>
      </c>
      <c r="C10123" t="s">
        <v>182</v>
      </c>
      <c r="D10123" t="s">
        <v>38686</v>
      </c>
      <c r="E10123">
        <v>424008</v>
      </c>
      <c r="F10123" t="s">
        <v>1</v>
      </c>
      <c r="G10123" t="s">
        <v>2</v>
      </c>
      <c r="H10123" t="s">
        <v>21230</v>
      </c>
      <c r="Y10123" t="s">
        <v>38687</v>
      </c>
    </row>
    <row r="10124" spans="1:25" x14ac:dyDescent="0.25">
      <c r="A10124" t="str">
        <f>"128583300570"</f>
        <v>128583300570</v>
      </c>
      <c r="B10124" t="s">
        <v>738</v>
      </c>
      <c r="C10124" t="s">
        <v>17323</v>
      </c>
      <c r="D10124" t="s">
        <v>33843</v>
      </c>
      <c r="E10124">
        <v>424032</v>
      </c>
      <c r="F10124" t="s">
        <v>1</v>
      </c>
      <c r="G10124" t="s">
        <v>2</v>
      </c>
      <c r="H10124" t="s">
        <v>17074</v>
      </c>
      <c r="J10124" t="s">
        <v>33844</v>
      </c>
      <c r="P10124" t="s">
        <v>2457</v>
      </c>
      <c r="Y10124" t="s">
        <v>20038</v>
      </c>
    </row>
    <row r="10125" spans="1:25" x14ac:dyDescent="0.25">
      <c r="A10125" t="str">
        <f>"128634683241"</f>
        <v>128634683241</v>
      </c>
      <c r="B10125" t="s">
        <v>1617</v>
      </c>
      <c r="C10125" t="s">
        <v>21001</v>
      </c>
      <c r="D10125" t="s">
        <v>20999</v>
      </c>
      <c r="E10125">
        <v>424033</v>
      </c>
      <c r="F10125" t="s">
        <v>1</v>
      </c>
      <c r="G10125" t="s">
        <v>2</v>
      </c>
      <c r="H10125" t="s">
        <v>38688</v>
      </c>
      <c r="Y10125" t="s">
        <v>38689</v>
      </c>
    </row>
    <row r="10126" spans="1:25" x14ac:dyDescent="0.25">
      <c r="A10126" t="str">
        <f>"128654623413"</f>
        <v>128654623413</v>
      </c>
      <c r="B10126" t="s">
        <v>176</v>
      </c>
      <c r="C10126" t="s">
        <v>279</v>
      </c>
      <c r="D10126" t="s">
        <v>38690</v>
      </c>
      <c r="E10126">
        <v>424006</v>
      </c>
      <c r="F10126" t="s">
        <v>1</v>
      </c>
      <c r="G10126" t="s">
        <v>2</v>
      </c>
      <c r="H10126" t="s">
        <v>34780</v>
      </c>
      <c r="I10126" t="s">
        <v>38691</v>
      </c>
      <c r="L10126" t="s">
        <v>2444</v>
      </c>
      <c r="M10126" t="s">
        <v>13412</v>
      </c>
      <c r="P10126" t="s">
        <v>330</v>
      </c>
      <c r="Y10126" t="s">
        <v>38692</v>
      </c>
    </row>
    <row r="10127" spans="1:25" x14ac:dyDescent="0.25">
      <c r="A10127" t="str">
        <f>"128659901969"</f>
        <v>128659901969</v>
      </c>
      <c r="B10127" t="s">
        <v>290</v>
      </c>
      <c r="C10127" t="s">
        <v>11114</v>
      </c>
      <c r="D10127" t="s">
        <v>38693</v>
      </c>
      <c r="E10127">
        <v>424028</v>
      </c>
      <c r="F10127" t="s">
        <v>1</v>
      </c>
      <c r="G10127" t="s">
        <v>2</v>
      </c>
      <c r="H10127" t="s">
        <v>28340</v>
      </c>
      <c r="Y10127" t="s">
        <v>38694</v>
      </c>
    </row>
    <row r="10128" spans="1:25" x14ac:dyDescent="0.25">
      <c r="A10128" t="str">
        <f>"128679704889"</f>
        <v>128679704889</v>
      </c>
      <c r="B10128" t="s">
        <v>151</v>
      </c>
      <c r="C10128" t="s">
        <v>1034</v>
      </c>
      <c r="D10128" t="s">
        <v>38695</v>
      </c>
      <c r="E10128">
        <v>424038</v>
      </c>
      <c r="F10128" t="s">
        <v>1</v>
      </c>
      <c r="G10128" t="s">
        <v>2</v>
      </c>
      <c r="H10128" t="s">
        <v>8196</v>
      </c>
      <c r="J10128" t="s">
        <v>38696</v>
      </c>
      <c r="P10128" t="s">
        <v>27</v>
      </c>
      <c r="Y10128" t="s">
        <v>38697</v>
      </c>
    </row>
    <row r="10129" spans="1:25" x14ac:dyDescent="0.25">
      <c r="A10129" t="str">
        <f>"128697178651"</f>
        <v>128697178651</v>
      </c>
      <c r="B10129" t="s">
        <v>123</v>
      </c>
      <c r="C10129" t="s">
        <v>424</v>
      </c>
      <c r="D10129" t="s">
        <v>38698</v>
      </c>
      <c r="E10129">
        <v>424003</v>
      </c>
      <c r="F10129" t="s">
        <v>1</v>
      </c>
      <c r="G10129" t="s">
        <v>2</v>
      </c>
      <c r="H10129" t="s">
        <v>5773</v>
      </c>
      <c r="Y10129" t="s">
        <v>38699</v>
      </c>
    </row>
    <row r="10130" spans="1:25" x14ac:dyDescent="0.25">
      <c r="A10130" t="str">
        <f>"128730458925"</f>
        <v>128730458925</v>
      </c>
      <c r="B10130" t="s">
        <v>176</v>
      </c>
      <c r="C10130" t="s">
        <v>4741</v>
      </c>
      <c r="D10130" t="s">
        <v>38700</v>
      </c>
      <c r="E10130">
        <v>424032</v>
      </c>
      <c r="F10130" t="s">
        <v>1</v>
      </c>
      <c r="G10130" t="s">
        <v>2</v>
      </c>
      <c r="H10130" t="s">
        <v>26780</v>
      </c>
      <c r="I10130" t="s">
        <v>38701</v>
      </c>
      <c r="P10130" t="s">
        <v>38702</v>
      </c>
      <c r="Y10130" t="s">
        <v>38703</v>
      </c>
    </row>
    <row r="10131" spans="1:25" x14ac:dyDescent="0.25">
      <c r="A10131" t="str">
        <f>"128759800340"</f>
        <v>128759800340</v>
      </c>
      <c r="B10131" t="s">
        <v>96</v>
      </c>
      <c r="C10131" t="s">
        <v>659</v>
      </c>
      <c r="D10131" t="s">
        <v>24557</v>
      </c>
      <c r="E10131">
        <v>424002</v>
      </c>
      <c r="F10131" t="s">
        <v>1</v>
      </c>
      <c r="G10131" t="s">
        <v>2</v>
      </c>
      <c r="H10131" t="s">
        <v>744</v>
      </c>
      <c r="P10131" t="s">
        <v>748</v>
      </c>
      <c r="Y10131" t="s">
        <v>749</v>
      </c>
    </row>
    <row r="10132" spans="1:25" x14ac:dyDescent="0.25">
      <c r="A10132" t="str">
        <f>"128854629053"</f>
        <v>128854629053</v>
      </c>
      <c r="B10132" t="s">
        <v>7</v>
      </c>
      <c r="C10132" t="s">
        <v>38363</v>
      </c>
      <c r="D10132" t="s">
        <v>8370</v>
      </c>
      <c r="E10132">
        <v>424020</v>
      </c>
      <c r="F10132" t="s">
        <v>1</v>
      </c>
      <c r="G10132" t="s">
        <v>2</v>
      </c>
      <c r="H10132" t="s">
        <v>21899</v>
      </c>
      <c r="I10132" t="s">
        <v>38704</v>
      </c>
      <c r="L10132" t="s">
        <v>38705</v>
      </c>
      <c r="M10132" t="s">
        <v>38706</v>
      </c>
      <c r="P10132" t="s">
        <v>390</v>
      </c>
      <c r="Y10132" t="s">
        <v>33462</v>
      </c>
    </row>
    <row r="10133" spans="1:25" x14ac:dyDescent="0.25">
      <c r="A10133" t="str">
        <f>"128892098311"</f>
        <v>128892098311</v>
      </c>
      <c r="B10133" t="s">
        <v>18</v>
      </c>
      <c r="C10133" t="s">
        <v>38711</v>
      </c>
      <c r="D10133" t="s">
        <v>38707</v>
      </c>
      <c r="E10133">
        <v>424006</v>
      </c>
      <c r="F10133" t="s">
        <v>1</v>
      </c>
      <c r="G10133" t="s">
        <v>2</v>
      </c>
      <c r="H10133" t="s">
        <v>2185</v>
      </c>
      <c r="I10133" t="s">
        <v>38708</v>
      </c>
      <c r="L10133" t="s">
        <v>38709</v>
      </c>
      <c r="M10133" t="s">
        <v>38710</v>
      </c>
      <c r="P10133" t="s">
        <v>27</v>
      </c>
      <c r="Q10133" t="s">
        <v>38712</v>
      </c>
      <c r="R10133" t="s">
        <v>38713</v>
      </c>
      <c r="S10133" t="s">
        <v>38714</v>
      </c>
      <c r="T10133" t="s">
        <v>38715</v>
      </c>
      <c r="U10133" t="s">
        <v>38716</v>
      </c>
      <c r="V10133" t="s">
        <v>38717</v>
      </c>
      <c r="Y10133" t="s">
        <v>2191</v>
      </c>
    </row>
    <row r="10134" spans="1:25" x14ac:dyDescent="0.25">
      <c r="A10134" t="str">
        <f>"128892800658"</f>
        <v>128892800658</v>
      </c>
      <c r="B10134" t="s">
        <v>233</v>
      </c>
      <c r="C10134" t="s">
        <v>1897</v>
      </c>
      <c r="D10134" t="s">
        <v>38718</v>
      </c>
      <c r="E10134">
        <v>424007</v>
      </c>
      <c r="F10134" t="s">
        <v>1</v>
      </c>
      <c r="G10134" t="s">
        <v>2</v>
      </c>
      <c r="H10134" t="s">
        <v>4666</v>
      </c>
      <c r="J10134" t="s">
        <v>38719</v>
      </c>
      <c r="P10134" t="s">
        <v>2050</v>
      </c>
      <c r="Y10134" t="s">
        <v>27814</v>
      </c>
    </row>
    <row r="10135" spans="1:25" x14ac:dyDescent="0.25">
      <c r="A10135" t="str">
        <f>"128897464472"</f>
        <v>128897464472</v>
      </c>
      <c r="B10135" t="s">
        <v>160</v>
      </c>
      <c r="C10135" t="s">
        <v>1666</v>
      </c>
      <c r="D10135" t="s">
        <v>38720</v>
      </c>
      <c r="E10135">
        <v>424007</v>
      </c>
      <c r="F10135" t="s">
        <v>1</v>
      </c>
      <c r="G10135" t="s">
        <v>2</v>
      </c>
      <c r="H10135" t="s">
        <v>499</v>
      </c>
      <c r="I10135" t="s">
        <v>38721</v>
      </c>
      <c r="L10135" t="s">
        <v>38722</v>
      </c>
      <c r="M10135" t="s">
        <v>38723</v>
      </c>
      <c r="P10135" t="s">
        <v>260</v>
      </c>
      <c r="Q10135" t="s">
        <v>38724</v>
      </c>
      <c r="Y10135" t="s">
        <v>1598</v>
      </c>
    </row>
    <row r="10136" spans="1:25" x14ac:dyDescent="0.25">
      <c r="A10136" t="str">
        <f>"128904763119"</f>
        <v>128904763119</v>
      </c>
      <c r="B10136" t="s">
        <v>96</v>
      </c>
      <c r="C10136" t="s">
        <v>38726</v>
      </c>
      <c r="D10136" t="s">
        <v>38725</v>
      </c>
      <c r="E10136">
        <v>424020</v>
      </c>
      <c r="F10136" t="s">
        <v>1</v>
      </c>
      <c r="G10136" t="s">
        <v>2</v>
      </c>
      <c r="H10136" t="s">
        <v>6262</v>
      </c>
      <c r="Y10136" t="s">
        <v>6264</v>
      </c>
    </row>
    <row r="10137" spans="1:25" x14ac:dyDescent="0.25">
      <c r="A10137" t="str">
        <f>"128919268177"</f>
        <v>128919268177</v>
      </c>
      <c r="B10137" t="s">
        <v>888</v>
      </c>
      <c r="C10137" t="s">
        <v>32801</v>
      </c>
      <c r="D10137" t="s">
        <v>38727</v>
      </c>
      <c r="E10137">
        <v>424007</v>
      </c>
      <c r="F10137" t="s">
        <v>1</v>
      </c>
      <c r="G10137" t="s">
        <v>2</v>
      </c>
      <c r="H10137" t="s">
        <v>4869</v>
      </c>
      <c r="J10137" t="s">
        <v>38728</v>
      </c>
      <c r="P10137" t="s">
        <v>27</v>
      </c>
      <c r="Y10137" t="s">
        <v>38729</v>
      </c>
    </row>
    <row r="10138" spans="1:25" x14ac:dyDescent="0.25">
      <c r="A10138" t="str">
        <f>"128988914421"</f>
        <v>128988914421</v>
      </c>
      <c r="B10138" t="s">
        <v>574</v>
      </c>
      <c r="C10138" t="s">
        <v>646</v>
      </c>
      <c r="D10138" t="s">
        <v>24115</v>
      </c>
      <c r="F10138" t="s">
        <v>1</v>
      </c>
      <c r="G10138" t="s">
        <v>2</v>
      </c>
      <c r="H10138" t="s">
        <v>21391</v>
      </c>
      <c r="Y10138" t="s">
        <v>38730</v>
      </c>
    </row>
    <row r="10139" spans="1:25" x14ac:dyDescent="0.25">
      <c r="A10139" t="str">
        <f>"128994447160"</f>
        <v>128994447160</v>
      </c>
      <c r="B10139" t="s">
        <v>290</v>
      </c>
      <c r="C10139" t="s">
        <v>38733</v>
      </c>
      <c r="D10139" t="s">
        <v>38731</v>
      </c>
      <c r="E10139">
        <v>424002</v>
      </c>
      <c r="F10139" t="s">
        <v>1</v>
      </c>
      <c r="G10139" t="s">
        <v>2</v>
      </c>
      <c r="H10139" t="s">
        <v>29165</v>
      </c>
      <c r="I10139" t="s">
        <v>38732</v>
      </c>
      <c r="P10139" t="s">
        <v>38734</v>
      </c>
      <c r="V10139" t="s">
        <v>38735</v>
      </c>
      <c r="Y10139" t="s">
        <v>38736</v>
      </c>
    </row>
    <row r="10140" spans="1:25" x14ac:dyDescent="0.25">
      <c r="A10140" t="str">
        <f>"129009970785"</f>
        <v>129009970785</v>
      </c>
      <c r="B10140" t="s">
        <v>519</v>
      </c>
      <c r="C10140" t="s">
        <v>38740</v>
      </c>
      <c r="D10140" t="s">
        <v>38737</v>
      </c>
      <c r="E10140">
        <v>424033</v>
      </c>
      <c r="F10140" t="s">
        <v>1</v>
      </c>
      <c r="G10140" t="s">
        <v>2</v>
      </c>
      <c r="H10140" t="s">
        <v>27672</v>
      </c>
      <c r="I10140" t="s">
        <v>38738</v>
      </c>
      <c r="L10140" t="s">
        <v>946</v>
      </c>
      <c r="M10140" t="s">
        <v>38739</v>
      </c>
      <c r="P10140" t="s">
        <v>425</v>
      </c>
      <c r="Y10140" t="s">
        <v>38741</v>
      </c>
    </row>
    <row r="10141" spans="1:25" x14ac:dyDescent="0.25">
      <c r="A10141" t="str">
        <f>"129021142384"</f>
        <v>129021142384</v>
      </c>
      <c r="B10141" t="s">
        <v>538</v>
      </c>
      <c r="C10141" t="s">
        <v>35282</v>
      </c>
      <c r="D10141" t="s">
        <v>38742</v>
      </c>
      <c r="E10141">
        <v>424007</v>
      </c>
      <c r="F10141" t="s">
        <v>1</v>
      </c>
      <c r="G10141" t="s">
        <v>2</v>
      </c>
      <c r="H10141" t="s">
        <v>283</v>
      </c>
      <c r="I10141" t="s">
        <v>38743</v>
      </c>
      <c r="P10141" t="s">
        <v>280</v>
      </c>
      <c r="Y10141" t="s">
        <v>286</v>
      </c>
    </row>
    <row r="10142" spans="1:25" x14ac:dyDescent="0.25">
      <c r="A10142" t="str">
        <f>"129099946516"</f>
        <v>129099946516</v>
      </c>
      <c r="B10142" t="s">
        <v>930</v>
      </c>
      <c r="C10142" t="s">
        <v>1096</v>
      </c>
      <c r="D10142" t="s">
        <v>1094</v>
      </c>
      <c r="E10142">
        <v>424007</v>
      </c>
      <c r="F10142" t="s">
        <v>1</v>
      </c>
      <c r="G10142" t="s">
        <v>2</v>
      </c>
      <c r="H10142" t="s">
        <v>34385</v>
      </c>
      <c r="Y10142" t="s">
        <v>38744</v>
      </c>
    </row>
    <row r="10143" spans="1:25" x14ac:dyDescent="0.25">
      <c r="A10143" t="str">
        <f>"129101394446"</f>
        <v>129101394446</v>
      </c>
      <c r="B10143" t="s">
        <v>96</v>
      </c>
      <c r="C10143" t="s">
        <v>695</v>
      </c>
      <c r="D10143" t="s">
        <v>38745</v>
      </c>
      <c r="E10143">
        <v>424000</v>
      </c>
      <c r="F10143" t="s">
        <v>1</v>
      </c>
      <c r="G10143" t="s">
        <v>2</v>
      </c>
      <c r="H10143" t="s">
        <v>1746</v>
      </c>
      <c r="Y10143" t="s">
        <v>38746</v>
      </c>
    </row>
    <row r="10144" spans="1:25" x14ac:dyDescent="0.25">
      <c r="A10144" t="str">
        <f>"129141576202"</f>
        <v>129141576202</v>
      </c>
      <c r="B10144" t="s">
        <v>7312</v>
      </c>
      <c r="C10144" t="s">
        <v>21136</v>
      </c>
      <c r="D10144" t="s">
        <v>38747</v>
      </c>
      <c r="E10144">
        <v>424016</v>
      </c>
      <c r="F10144" t="s">
        <v>1</v>
      </c>
      <c r="G10144" t="s">
        <v>2</v>
      </c>
      <c r="H10144" t="s">
        <v>12130</v>
      </c>
      <c r="I10144" t="s">
        <v>38748</v>
      </c>
      <c r="M10144" t="s">
        <v>38749</v>
      </c>
      <c r="P10144" t="s">
        <v>38750</v>
      </c>
      <c r="Y10144" t="s">
        <v>29781</v>
      </c>
    </row>
    <row r="10145" spans="1:25" x14ac:dyDescent="0.25">
      <c r="A10145" t="str">
        <f>"129149862010"</f>
        <v>129149862010</v>
      </c>
      <c r="B10145" t="s">
        <v>654</v>
      </c>
      <c r="C10145" t="s">
        <v>14448</v>
      </c>
      <c r="D10145" t="s">
        <v>38751</v>
      </c>
      <c r="E10145">
        <v>424020</v>
      </c>
      <c r="F10145" t="s">
        <v>1</v>
      </c>
      <c r="G10145" t="s">
        <v>2</v>
      </c>
      <c r="H10145" t="s">
        <v>2112</v>
      </c>
      <c r="Y10145" t="s">
        <v>38752</v>
      </c>
    </row>
    <row r="10146" spans="1:25" x14ac:dyDescent="0.25">
      <c r="A10146" t="str">
        <f>"129159716651"</f>
        <v>129159716651</v>
      </c>
      <c r="B10146" t="s">
        <v>3008</v>
      </c>
      <c r="C10146" t="s">
        <v>38753</v>
      </c>
      <c r="D10146" t="s">
        <v>13039</v>
      </c>
      <c r="E10146">
        <v>424003</v>
      </c>
      <c r="F10146" t="s">
        <v>1</v>
      </c>
      <c r="G10146" t="s">
        <v>2</v>
      </c>
      <c r="H10146" t="s">
        <v>5325</v>
      </c>
      <c r="P10146" t="s">
        <v>605</v>
      </c>
      <c r="Y10146" t="s">
        <v>38754</v>
      </c>
    </row>
    <row r="10147" spans="1:25" x14ac:dyDescent="0.25">
      <c r="A10147" t="str">
        <f>"129181822153"</f>
        <v>129181822153</v>
      </c>
      <c r="B10147" t="s">
        <v>96</v>
      </c>
      <c r="C10147" t="s">
        <v>893</v>
      </c>
      <c r="D10147" t="s">
        <v>38755</v>
      </c>
      <c r="E10147">
        <v>424918</v>
      </c>
      <c r="F10147" t="s">
        <v>1</v>
      </c>
      <c r="G10147" t="s">
        <v>2</v>
      </c>
      <c r="H10147" t="s">
        <v>629</v>
      </c>
      <c r="P10147" t="s">
        <v>630</v>
      </c>
      <c r="Y10147" t="s">
        <v>38756</v>
      </c>
    </row>
    <row r="10148" spans="1:25" x14ac:dyDescent="0.25">
      <c r="A10148" t="str">
        <f>"129224151617"</f>
        <v>129224151617</v>
      </c>
      <c r="B10148" t="s">
        <v>930</v>
      </c>
      <c r="C10148" t="s">
        <v>927</v>
      </c>
      <c r="D10148" t="s">
        <v>38757</v>
      </c>
      <c r="F10148" t="s">
        <v>1</v>
      </c>
      <c r="G10148" t="s">
        <v>2</v>
      </c>
      <c r="H10148" t="s">
        <v>38758</v>
      </c>
      <c r="I10148" t="s">
        <v>38759</v>
      </c>
      <c r="P10148" t="s">
        <v>216</v>
      </c>
      <c r="Y10148" t="s">
        <v>38760</v>
      </c>
    </row>
    <row r="10149" spans="1:25" x14ac:dyDescent="0.25">
      <c r="A10149" t="str">
        <f>"129270212953"</f>
        <v>129270212953</v>
      </c>
      <c r="B10149" t="s">
        <v>1046</v>
      </c>
      <c r="C10149" t="s">
        <v>22946</v>
      </c>
      <c r="D10149" t="s">
        <v>22946</v>
      </c>
      <c r="E10149">
        <v>424038</v>
      </c>
      <c r="F10149" t="s">
        <v>1</v>
      </c>
      <c r="G10149" t="s">
        <v>2</v>
      </c>
      <c r="H10149" t="s">
        <v>16808</v>
      </c>
      <c r="Y10149" t="s">
        <v>38761</v>
      </c>
    </row>
    <row r="10150" spans="1:25" x14ac:dyDescent="0.25">
      <c r="A10150" t="str">
        <f>"129288038276"</f>
        <v>129288038276</v>
      </c>
      <c r="B10150" t="s">
        <v>176</v>
      </c>
      <c r="C10150" t="s">
        <v>279</v>
      </c>
      <c r="D10150" t="s">
        <v>38762</v>
      </c>
      <c r="E10150">
        <v>424006</v>
      </c>
      <c r="F10150" t="s">
        <v>1</v>
      </c>
      <c r="G10150" t="s">
        <v>2</v>
      </c>
      <c r="H10150" t="s">
        <v>34780</v>
      </c>
      <c r="I10150" t="s">
        <v>38763</v>
      </c>
      <c r="P10150" t="s">
        <v>20</v>
      </c>
      <c r="Y10150" t="s">
        <v>38764</v>
      </c>
    </row>
    <row r="10151" spans="1:25" x14ac:dyDescent="0.25">
      <c r="A10151" t="str">
        <f>"129319479803"</f>
        <v>129319479803</v>
      </c>
      <c r="B10151" t="s">
        <v>930</v>
      </c>
      <c r="C10151" t="s">
        <v>11882</v>
      </c>
      <c r="D10151" t="s">
        <v>38765</v>
      </c>
      <c r="E10151">
        <v>424026</v>
      </c>
      <c r="F10151" t="s">
        <v>1</v>
      </c>
      <c r="G10151" t="s">
        <v>2</v>
      </c>
      <c r="H10151" t="s">
        <v>37199</v>
      </c>
      <c r="I10151" t="s">
        <v>38766</v>
      </c>
      <c r="P10151" t="s">
        <v>330</v>
      </c>
      <c r="Y10151" t="s">
        <v>35741</v>
      </c>
    </row>
    <row r="10152" spans="1:25" x14ac:dyDescent="0.25">
      <c r="A10152" t="str">
        <f>"129344804330"</f>
        <v>129344804330</v>
      </c>
      <c r="B10152" t="s">
        <v>1544</v>
      </c>
      <c r="C10152" t="s">
        <v>15598</v>
      </c>
      <c r="D10152" t="s">
        <v>5285</v>
      </c>
      <c r="E10152">
        <v>424019</v>
      </c>
      <c r="F10152" t="s">
        <v>1</v>
      </c>
      <c r="G10152" t="s">
        <v>2</v>
      </c>
      <c r="H10152" t="s">
        <v>21626</v>
      </c>
      <c r="Y10152" t="s">
        <v>38767</v>
      </c>
    </row>
    <row r="10153" spans="1:25" x14ac:dyDescent="0.25">
      <c r="A10153" t="str">
        <f>"129345946914"</f>
        <v>129345946914</v>
      </c>
      <c r="B10153" t="s">
        <v>32</v>
      </c>
      <c r="C10153" t="s">
        <v>25216</v>
      </c>
      <c r="D10153" t="s">
        <v>38768</v>
      </c>
      <c r="E10153">
        <v>424033</v>
      </c>
      <c r="F10153" t="s">
        <v>1</v>
      </c>
      <c r="G10153" t="s">
        <v>2</v>
      </c>
      <c r="H10153" t="s">
        <v>38404</v>
      </c>
      <c r="J10153" t="s">
        <v>38769</v>
      </c>
      <c r="M10153" t="s">
        <v>38770</v>
      </c>
      <c r="P10153" t="s">
        <v>2738</v>
      </c>
      <c r="Q10153" t="s">
        <v>38771</v>
      </c>
      <c r="V10153" t="s">
        <v>38772</v>
      </c>
      <c r="Y10153" t="s">
        <v>30583</v>
      </c>
    </row>
    <row r="10154" spans="1:25" x14ac:dyDescent="0.25">
      <c r="A10154" t="str">
        <f>"129348028551"</f>
        <v>129348028551</v>
      </c>
      <c r="B10154" t="s">
        <v>7</v>
      </c>
      <c r="C10154" t="s">
        <v>21467</v>
      </c>
      <c r="D10154" t="s">
        <v>38773</v>
      </c>
      <c r="E10154">
        <v>424032</v>
      </c>
      <c r="F10154" t="s">
        <v>1</v>
      </c>
      <c r="G10154" t="s">
        <v>2</v>
      </c>
      <c r="H10154" t="s">
        <v>32613</v>
      </c>
      <c r="J10154" t="s">
        <v>38774</v>
      </c>
      <c r="M10154" t="s">
        <v>38775</v>
      </c>
      <c r="Y10154" t="s">
        <v>38776</v>
      </c>
    </row>
    <row r="10155" spans="1:25" x14ac:dyDescent="0.25">
      <c r="A10155" t="str">
        <f>"129353616783"</f>
        <v>129353616783</v>
      </c>
      <c r="B10155" t="s">
        <v>348</v>
      </c>
      <c r="C10155" t="s">
        <v>38778</v>
      </c>
      <c r="D10155" t="s">
        <v>38777</v>
      </c>
      <c r="E10155">
        <v>424006</v>
      </c>
      <c r="F10155" t="s">
        <v>1</v>
      </c>
      <c r="G10155" t="s">
        <v>2</v>
      </c>
      <c r="H10155" t="s">
        <v>2012</v>
      </c>
      <c r="L10155" t="s">
        <v>4422</v>
      </c>
      <c r="M10155" t="s">
        <v>22890</v>
      </c>
      <c r="Y10155" t="s">
        <v>2016</v>
      </c>
    </row>
    <row r="10156" spans="1:25" x14ac:dyDescent="0.25">
      <c r="A10156" t="str">
        <f>"129378996134"</f>
        <v>129378996134</v>
      </c>
      <c r="B10156" t="s">
        <v>687</v>
      </c>
      <c r="C10156" t="s">
        <v>38782</v>
      </c>
      <c r="D10156" t="s">
        <v>38779</v>
      </c>
      <c r="E10156">
        <v>424039</v>
      </c>
      <c r="F10156" t="s">
        <v>1</v>
      </c>
      <c r="G10156" t="s">
        <v>2</v>
      </c>
      <c r="H10156" t="s">
        <v>38780</v>
      </c>
      <c r="I10156" t="s">
        <v>26883</v>
      </c>
      <c r="L10156" t="s">
        <v>38781</v>
      </c>
      <c r="P10156" t="s">
        <v>27</v>
      </c>
      <c r="Q10156" t="s">
        <v>38783</v>
      </c>
      <c r="Y10156" t="s">
        <v>26885</v>
      </c>
    </row>
    <row r="10157" spans="1:25" x14ac:dyDescent="0.25">
      <c r="A10157" t="str">
        <f>"129438768425"</f>
        <v>129438768425</v>
      </c>
      <c r="B10157" t="s">
        <v>3544</v>
      </c>
      <c r="C10157" t="s">
        <v>11303</v>
      </c>
      <c r="D10157" t="s">
        <v>38784</v>
      </c>
      <c r="E10157">
        <v>424033</v>
      </c>
      <c r="F10157" t="s">
        <v>1</v>
      </c>
      <c r="G10157" t="s">
        <v>2</v>
      </c>
      <c r="H10157" t="s">
        <v>6953</v>
      </c>
      <c r="L10157" t="s">
        <v>8245</v>
      </c>
      <c r="M10157" t="s">
        <v>38785</v>
      </c>
      <c r="P10157" t="s">
        <v>2839</v>
      </c>
      <c r="Y10157" t="s">
        <v>38786</v>
      </c>
    </row>
    <row r="10158" spans="1:25" x14ac:dyDescent="0.25">
      <c r="A10158" t="str">
        <f>"129445043861"</f>
        <v>129445043861</v>
      </c>
      <c r="B10158" t="s">
        <v>25</v>
      </c>
      <c r="C10158" t="s">
        <v>5241</v>
      </c>
      <c r="D10158" t="s">
        <v>7406</v>
      </c>
      <c r="E10158">
        <v>424006</v>
      </c>
      <c r="F10158" t="s">
        <v>1</v>
      </c>
      <c r="G10158" t="s">
        <v>2</v>
      </c>
      <c r="H10158" t="s">
        <v>38787</v>
      </c>
      <c r="L10158" t="s">
        <v>38788</v>
      </c>
      <c r="M10158" t="s">
        <v>38789</v>
      </c>
      <c r="Y10158" t="s">
        <v>459</v>
      </c>
    </row>
    <row r="10159" spans="1:25" x14ac:dyDescent="0.25">
      <c r="A10159" t="str">
        <f>"129450678293"</f>
        <v>129450678293</v>
      </c>
      <c r="B10159" t="s">
        <v>3544</v>
      </c>
      <c r="C10159" t="s">
        <v>11303</v>
      </c>
      <c r="D10159" t="s">
        <v>38790</v>
      </c>
      <c r="E10159">
        <v>424007</v>
      </c>
      <c r="F10159" t="s">
        <v>1</v>
      </c>
      <c r="G10159" t="s">
        <v>2</v>
      </c>
      <c r="H10159" t="s">
        <v>1085</v>
      </c>
      <c r="Y10159" t="s">
        <v>38791</v>
      </c>
    </row>
    <row r="10160" spans="1:25" x14ac:dyDescent="0.25">
      <c r="A10160" t="str">
        <f>"129457218520"</f>
        <v>129457218520</v>
      </c>
      <c r="B10160" t="s">
        <v>841</v>
      </c>
      <c r="C10160" t="s">
        <v>38793</v>
      </c>
      <c r="D10160" t="s">
        <v>38792</v>
      </c>
      <c r="E10160">
        <v>424000</v>
      </c>
      <c r="F10160" t="s">
        <v>1</v>
      </c>
      <c r="G10160" t="s">
        <v>2</v>
      </c>
      <c r="H10160" t="s">
        <v>30076</v>
      </c>
      <c r="P10160" t="s">
        <v>3456</v>
      </c>
      <c r="Y10160" t="s">
        <v>38794</v>
      </c>
    </row>
    <row r="10161" spans="1:25" x14ac:dyDescent="0.25">
      <c r="A10161" t="str">
        <f>"129539161226"</f>
        <v>129539161226</v>
      </c>
      <c r="B10161" t="s">
        <v>530</v>
      </c>
      <c r="C10161" t="s">
        <v>23950</v>
      </c>
      <c r="D10161" t="s">
        <v>23950</v>
      </c>
      <c r="F10161" t="s">
        <v>1</v>
      </c>
      <c r="G10161" t="s">
        <v>2</v>
      </c>
      <c r="H10161" t="s">
        <v>34563</v>
      </c>
      <c r="Y10161" t="s">
        <v>38795</v>
      </c>
    </row>
    <row r="10162" spans="1:25" x14ac:dyDescent="0.25">
      <c r="A10162" t="str">
        <f>"129541962708"</f>
        <v>129541962708</v>
      </c>
      <c r="B10162" t="s">
        <v>930</v>
      </c>
      <c r="C10162" t="s">
        <v>38799</v>
      </c>
      <c r="D10162" t="s">
        <v>38796</v>
      </c>
      <c r="E10162">
        <v>424028</v>
      </c>
      <c r="F10162" t="s">
        <v>1</v>
      </c>
      <c r="G10162" t="s">
        <v>2</v>
      </c>
      <c r="H10162" t="s">
        <v>13373</v>
      </c>
      <c r="J10162" t="s">
        <v>38797</v>
      </c>
      <c r="M10162" t="s">
        <v>38798</v>
      </c>
      <c r="P10162" t="s">
        <v>38800</v>
      </c>
      <c r="Y10162" t="s">
        <v>13379</v>
      </c>
    </row>
    <row r="10163" spans="1:25" x14ac:dyDescent="0.25">
      <c r="A10163" t="str">
        <f>"129561426655"</f>
        <v>129561426655</v>
      </c>
      <c r="B10163" t="s">
        <v>123</v>
      </c>
      <c r="C10163" t="s">
        <v>424</v>
      </c>
      <c r="D10163" t="s">
        <v>424</v>
      </c>
      <c r="E10163">
        <v>424007</v>
      </c>
      <c r="F10163" t="s">
        <v>1</v>
      </c>
      <c r="G10163" t="s">
        <v>2</v>
      </c>
      <c r="H10163" t="s">
        <v>16500</v>
      </c>
      <c r="Y10163" t="s">
        <v>38801</v>
      </c>
    </row>
    <row r="10164" spans="1:25" x14ac:dyDescent="0.25">
      <c r="A10164" t="str">
        <f>"129570924479"</f>
        <v>129570924479</v>
      </c>
      <c r="B10164" t="s">
        <v>290</v>
      </c>
      <c r="C10164" t="s">
        <v>290</v>
      </c>
      <c r="D10164" t="s">
        <v>38802</v>
      </c>
      <c r="E10164">
        <v>424031</v>
      </c>
      <c r="F10164" t="s">
        <v>1</v>
      </c>
      <c r="G10164" t="s">
        <v>2</v>
      </c>
      <c r="H10164" t="s">
        <v>1900</v>
      </c>
      <c r="I10164" t="s">
        <v>38803</v>
      </c>
      <c r="L10164" t="s">
        <v>38804</v>
      </c>
      <c r="M10164" t="s">
        <v>38805</v>
      </c>
      <c r="P10164" t="s">
        <v>26289</v>
      </c>
      <c r="Q10164" t="s">
        <v>38806</v>
      </c>
      <c r="V10164" t="s">
        <v>38807</v>
      </c>
      <c r="Y10164" t="s">
        <v>38808</v>
      </c>
    </row>
    <row r="10165" spans="1:25" x14ac:dyDescent="0.25">
      <c r="A10165" t="str">
        <f>"129583042340"</f>
        <v>129583042340</v>
      </c>
      <c r="B10165" t="s">
        <v>67</v>
      </c>
      <c r="C10165" t="s">
        <v>269</v>
      </c>
      <c r="D10165" t="s">
        <v>38809</v>
      </c>
      <c r="E10165">
        <v>424002</v>
      </c>
      <c r="F10165" t="s">
        <v>1</v>
      </c>
      <c r="G10165" t="s">
        <v>2</v>
      </c>
      <c r="H10165" t="s">
        <v>8677</v>
      </c>
      <c r="Y10165" t="s">
        <v>38810</v>
      </c>
    </row>
    <row r="10166" spans="1:25" x14ac:dyDescent="0.25">
      <c r="A10166" t="str">
        <f>"129591375699"</f>
        <v>129591375699</v>
      </c>
      <c r="B10166" t="s">
        <v>1053</v>
      </c>
      <c r="C10166" t="s">
        <v>38814</v>
      </c>
      <c r="D10166" t="s">
        <v>38811</v>
      </c>
      <c r="E10166">
        <v>424003</v>
      </c>
      <c r="F10166" t="s">
        <v>1</v>
      </c>
      <c r="G10166" t="s">
        <v>2</v>
      </c>
      <c r="H10166" t="s">
        <v>23765</v>
      </c>
      <c r="J10166" t="s">
        <v>38812</v>
      </c>
      <c r="L10166" t="s">
        <v>38813</v>
      </c>
      <c r="P10166" t="s">
        <v>10632</v>
      </c>
      <c r="Q10166" t="s">
        <v>38815</v>
      </c>
      <c r="Y10166" t="s">
        <v>35683</v>
      </c>
    </row>
    <row r="10167" spans="1:25" x14ac:dyDescent="0.25">
      <c r="A10167" t="str">
        <f>"129626539565"</f>
        <v>129626539565</v>
      </c>
      <c r="B10167" t="s">
        <v>574</v>
      </c>
      <c r="C10167" t="s">
        <v>952</v>
      </c>
      <c r="D10167" t="s">
        <v>28212</v>
      </c>
      <c r="F10167" t="s">
        <v>1</v>
      </c>
      <c r="G10167" t="s">
        <v>2</v>
      </c>
      <c r="H10167" t="s">
        <v>38816</v>
      </c>
      <c r="Y10167" t="s">
        <v>34173</v>
      </c>
    </row>
    <row r="10168" spans="1:25" x14ac:dyDescent="0.25">
      <c r="A10168" t="str">
        <f>"129660969114"</f>
        <v>129660969114</v>
      </c>
      <c r="B10168" t="s">
        <v>3544</v>
      </c>
      <c r="C10168" t="s">
        <v>11303</v>
      </c>
      <c r="D10168" t="s">
        <v>38817</v>
      </c>
      <c r="E10168">
        <v>424016</v>
      </c>
      <c r="F10168" t="s">
        <v>1</v>
      </c>
      <c r="G10168" t="s">
        <v>2</v>
      </c>
      <c r="H10168" t="s">
        <v>3344</v>
      </c>
      <c r="Y10168" t="s">
        <v>38818</v>
      </c>
    </row>
    <row r="10169" spans="1:25" x14ac:dyDescent="0.25">
      <c r="A10169" t="str">
        <f>"129672541472"</f>
        <v>129672541472</v>
      </c>
      <c r="B10169" t="s">
        <v>3700</v>
      </c>
      <c r="C10169" t="s">
        <v>4023</v>
      </c>
      <c r="D10169" t="s">
        <v>13082</v>
      </c>
      <c r="E10169">
        <v>424005</v>
      </c>
      <c r="F10169" t="s">
        <v>1</v>
      </c>
      <c r="G10169" t="s">
        <v>2</v>
      </c>
      <c r="H10169" t="s">
        <v>4965</v>
      </c>
      <c r="P10169" t="s">
        <v>38819</v>
      </c>
      <c r="Y10169" t="s">
        <v>27373</v>
      </c>
    </row>
    <row r="10170" spans="1:25" x14ac:dyDescent="0.25">
      <c r="A10170" t="str">
        <f>"129683011731"</f>
        <v>129683011731</v>
      </c>
      <c r="B10170" t="s">
        <v>1152</v>
      </c>
      <c r="C10170" t="s">
        <v>1153</v>
      </c>
      <c r="D10170" t="s">
        <v>10280</v>
      </c>
      <c r="E10170">
        <v>424000</v>
      </c>
      <c r="F10170" t="s">
        <v>1</v>
      </c>
      <c r="G10170" t="s">
        <v>2</v>
      </c>
      <c r="H10170" t="s">
        <v>265</v>
      </c>
      <c r="I10170" t="s">
        <v>22092</v>
      </c>
      <c r="M10170" t="s">
        <v>10284</v>
      </c>
      <c r="P10170" t="s">
        <v>410</v>
      </c>
      <c r="Q10170" t="s">
        <v>10286</v>
      </c>
      <c r="R10170" t="s">
        <v>10287</v>
      </c>
      <c r="S10170" t="s">
        <v>10288</v>
      </c>
      <c r="T10170" t="s">
        <v>10289</v>
      </c>
      <c r="U10170" t="s">
        <v>10290</v>
      </c>
      <c r="V10170" t="s">
        <v>10291</v>
      </c>
      <c r="Y10170" t="s">
        <v>11205</v>
      </c>
    </row>
    <row r="10171" spans="1:25" x14ac:dyDescent="0.25">
      <c r="A10171" t="str">
        <f>"129713721540"</f>
        <v>129713721540</v>
      </c>
      <c r="B10171" t="s">
        <v>1475</v>
      </c>
      <c r="C10171" t="s">
        <v>1476</v>
      </c>
      <c r="D10171" t="s">
        <v>26705</v>
      </c>
      <c r="E10171">
        <v>424019</v>
      </c>
      <c r="F10171" t="s">
        <v>1</v>
      </c>
      <c r="G10171" t="s">
        <v>2</v>
      </c>
      <c r="H10171" t="s">
        <v>7785</v>
      </c>
      <c r="I10171" t="s">
        <v>26706</v>
      </c>
      <c r="L10171" t="s">
        <v>26707</v>
      </c>
      <c r="M10171" t="s">
        <v>26708</v>
      </c>
      <c r="P10171" t="s">
        <v>98</v>
      </c>
      <c r="Y10171" t="s">
        <v>25001</v>
      </c>
    </row>
    <row r="10172" spans="1:25" x14ac:dyDescent="0.25">
      <c r="A10172" t="str">
        <f>"129722911159"</f>
        <v>129722911159</v>
      </c>
      <c r="B10172" t="s">
        <v>2601</v>
      </c>
      <c r="C10172" t="s">
        <v>26383</v>
      </c>
      <c r="D10172" t="s">
        <v>38820</v>
      </c>
      <c r="E10172">
        <v>424002</v>
      </c>
      <c r="F10172" t="s">
        <v>1</v>
      </c>
      <c r="G10172" t="s">
        <v>2</v>
      </c>
      <c r="H10172" t="s">
        <v>11341</v>
      </c>
      <c r="I10172" t="s">
        <v>38821</v>
      </c>
      <c r="P10172" t="s">
        <v>38822</v>
      </c>
      <c r="Y10172" t="s">
        <v>11344</v>
      </c>
    </row>
    <row r="10173" spans="1:25" x14ac:dyDescent="0.25">
      <c r="A10173" t="str">
        <f>"129826238058"</f>
        <v>129826238058</v>
      </c>
      <c r="B10173" t="s">
        <v>334</v>
      </c>
      <c r="C10173" t="s">
        <v>334</v>
      </c>
      <c r="D10173" t="s">
        <v>25231</v>
      </c>
      <c r="E10173">
        <v>424003</v>
      </c>
      <c r="F10173" t="s">
        <v>1</v>
      </c>
      <c r="G10173" t="s">
        <v>2</v>
      </c>
      <c r="H10173" t="s">
        <v>4546</v>
      </c>
      <c r="I10173" t="s">
        <v>38823</v>
      </c>
      <c r="Y10173" t="s">
        <v>5427</v>
      </c>
    </row>
    <row r="10174" spans="1:25" x14ac:dyDescent="0.25">
      <c r="A10174" t="str">
        <f>"129844026798"</f>
        <v>129844026798</v>
      </c>
      <c r="B10174" t="s">
        <v>2104</v>
      </c>
      <c r="C10174" t="s">
        <v>21175</v>
      </c>
      <c r="D10174" t="s">
        <v>38824</v>
      </c>
      <c r="E10174">
        <v>424031</v>
      </c>
      <c r="F10174" t="s">
        <v>1</v>
      </c>
      <c r="G10174" t="s">
        <v>2</v>
      </c>
      <c r="H10174" t="s">
        <v>1900</v>
      </c>
      <c r="Y10174" t="s">
        <v>38825</v>
      </c>
    </row>
    <row r="10175" spans="1:25" x14ac:dyDescent="0.25">
      <c r="A10175" t="str">
        <f>"129846460818"</f>
        <v>129846460818</v>
      </c>
      <c r="B10175" t="s">
        <v>319</v>
      </c>
      <c r="C10175" t="s">
        <v>320</v>
      </c>
      <c r="D10175" t="s">
        <v>28945</v>
      </c>
      <c r="E10175">
        <v>424028</v>
      </c>
      <c r="F10175" t="s">
        <v>1</v>
      </c>
      <c r="G10175" t="s">
        <v>2</v>
      </c>
      <c r="H10175" t="s">
        <v>27719</v>
      </c>
      <c r="I10175" t="s">
        <v>24130</v>
      </c>
      <c r="M10175" t="s">
        <v>38826</v>
      </c>
      <c r="P10175" t="s">
        <v>2457</v>
      </c>
      <c r="Y10175" t="s">
        <v>38827</v>
      </c>
    </row>
    <row r="10176" spans="1:25" x14ac:dyDescent="0.25">
      <c r="A10176" t="str">
        <f>"129853928440"</f>
        <v>129853928440</v>
      </c>
      <c r="B10176" t="s">
        <v>519</v>
      </c>
      <c r="C10176" t="s">
        <v>12412</v>
      </c>
      <c r="D10176" t="s">
        <v>38828</v>
      </c>
      <c r="E10176">
        <v>424037</v>
      </c>
      <c r="F10176" t="s">
        <v>1</v>
      </c>
      <c r="G10176" t="s">
        <v>2</v>
      </c>
      <c r="H10176" t="s">
        <v>3203</v>
      </c>
      <c r="P10176" t="s">
        <v>330</v>
      </c>
      <c r="Y10176" t="s">
        <v>38829</v>
      </c>
    </row>
    <row r="10177" spans="1:25" x14ac:dyDescent="0.25">
      <c r="A10177" t="str">
        <f>"129869927062"</f>
        <v>129869927062</v>
      </c>
      <c r="B10177" t="s">
        <v>96</v>
      </c>
      <c r="C10177" t="s">
        <v>893</v>
      </c>
      <c r="D10177" t="s">
        <v>38830</v>
      </c>
      <c r="E10177">
        <v>424002</v>
      </c>
      <c r="F10177" t="s">
        <v>1</v>
      </c>
      <c r="G10177" t="s">
        <v>2</v>
      </c>
      <c r="H10177" t="s">
        <v>744</v>
      </c>
      <c r="P10177" t="s">
        <v>748</v>
      </c>
      <c r="Y10177" t="s">
        <v>749</v>
      </c>
    </row>
    <row r="10178" spans="1:25" x14ac:dyDescent="0.25">
      <c r="A10178" t="str">
        <f>"129871776493"</f>
        <v>129871776493</v>
      </c>
      <c r="B10178" t="s">
        <v>4084</v>
      </c>
      <c r="C10178" t="s">
        <v>29553</v>
      </c>
      <c r="D10178" t="s">
        <v>38831</v>
      </c>
      <c r="E10178">
        <v>424004</v>
      </c>
      <c r="F10178" t="s">
        <v>1</v>
      </c>
      <c r="G10178" t="s">
        <v>2</v>
      </c>
      <c r="H10178" t="s">
        <v>38832</v>
      </c>
      <c r="I10178" t="s">
        <v>38833</v>
      </c>
      <c r="L10178" t="s">
        <v>38834</v>
      </c>
      <c r="M10178" t="s">
        <v>38835</v>
      </c>
      <c r="P10178" t="s">
        <v>20</v>
      </c>
      <c r="Q10178" t="s">
        <v>38836</v>
      </c>
      <c r="Y10178" t="s">
        <v>38837</v>
      </c>
    </row>
    <row r="10179" spans="1:25" x14ac:dyDescent="0.25">
      <c r="A10179" t="str">
        <f>"129881878316"</f>
        <v>129881878316</v>
      </c>
      <c r="B10179" t="s">
        <v>2601</v>
      </c>
      <c r="C10179" t="s">
        <v>36838</v>
      </c>
      <c r="D10179" t="s">
        <v>31971</v>
      </c>
      <c r="E10179">
        <v>424918</v>
      </c>
      <c r="F10179" t="s">
        <v>1</v>
      </c>
      <c r="G10179" t="s">
        <v>2</v>
      </c>
      <c r="H10179" t="s">
        <v>629</v>
      </c>
      <c r="I10179" t="s">
        <v>38838</v>
      </c>
      <c r="J10179" t="s">
        <v>38839</v>
      </c>
      <c r="L10179" t="s">
        <v>38840</v>
      </c>
      <c r="P10179" t="s">
        <v>630</v>
      </c>
      <c r="V10179" t="s">
        <v>38841</v>
      </c>
      <c r="Y10179" t="s">
        <v>1744</v>
      </c>
    </row>
    <row r="10180" spans="1:25" x14ac:dyDescent="0.25">
      <c r="A10180" t="str">
        <f>"129908733843"</f>
        <v>129908733843</v>
      </c>
      <c r="B10180" t="s">
        <v>348</v>
      </c>
      <c r="C10180" t="s">
        <v>4366</v>
      </c>
      <c r="D10180" t="s">
        <v>38842</v>
      </c>
      <c r="E10180">
        <v>424038</v>
      </c>
      <c r="F10180" t="s">
        <v>1</v>
      </c>
      <c r="G10180" t="s">
        <v>2</v>
      </c>
      <c r="H10180" t="s">
        <v>16183</v>
      </c>
      <c r="I10180" t="s">
        <v>7377</v>
      </c>
      <c r="J10180" t="s">
        <v>38843</v>
      </c>
      <c r="L10180" t="s">
        <v>7378</v>
      </c>
      <c r="M10180" t="s">
        <v>7379</v>
      </c>
      <c r="P10180" t="s">
        <v>1027</v>
      </c>
      <c r="Y10180" t="s">
        <v>38844</v>
      </c>
    </row>
    <row r="10181" spans="1:25" x14ac:dyDescent="0.25">
      <c r="A10181" t="str">
        <f>"129925814261"</f>
        <v>129925814261</v>
      </c>
      <c r="B10181" t="s">
        <v>687</v>
      </c>
      <c r="C10181" t="s">
        <v>38846</v>
      </c>
      <c r="D10181" t="s">
        <v>38845</v>
      </c>
      <c r="F10181" t="s">
        <v>1</v>
      </c>
      <c r="G10181" t="s">
        <v>2</v>
      </c>
      <c r="H10181" t="s">
        <v>18806</v>
      </c>
      <c r="Y10181" t="s">
        <v>38847</v>
      </c>
    </row>
    <row r="10182" spans="1:25" x14ac:dyDescent="0.25">
      <c r="A10182" t="str">
        <f>"129983118959"</f>
        <v>129983118959</v>
      </c>
      <c r="B10182" t="s">
        <v>530</v>
      </c>
      <c r="C10182" t="s">
        <v>23950</v>
      </c>
      <c r="D10182" t="s">
        <v>23950</v>
      </c>
      <c r="F10182" t="s">
        <v>1</v>
      </c>
      <c r="G10182" t="s">
        <v>2</v>
      </c>
      <c r="H10182" t="s">
        <v>27567</v>
      </c>
      <c r="Y10182" t="s">
        <v>38848</v>
      </c>
    </row>
    <row r="10183" spans="1:25" x14ac:dyDescent="0.25">
      <c r="A10183" t="str">
        <f>"129986240365"</f>
        <v>129986240365</v>
      </c>
      <c r="B10183" t="s">
        <v>574</v>
      </c>
      <c r="C10183" t="s">
        <v>24952</v>
      </c>
      <c r="D10183" t="s">
        <v>24951</v>
      </c>
      <c r="E10183">
        <v>424020</v>
      </c>
      <c r="F10183" t="s">
        <v>1</v>
      </c>
      <c r="G10183" t="s">
        <v>2</v>
      </c>
      <c r="H10183" t="s">
        <v>23</v>
      </c>
      <c r="Y10183" t="s">
        <v>38849</v>
      </c>
    </row>
    <row r="10184" spans="1:25" x14ac:dyDescent="0.25">
      <c r="A10184" t="str">
        <f>"130003480376"</f>
        <v>130003480376</v>
      </c>
      <c r="B10184" t="s">
        <v>574</v>
      </c>
      <c r="C10184" t="s">
        <v>9802</v>
      </c>
      <c r="D10184" t="s">
        <v>38850</v>
      </c>
      <c r="F10184" t="s">
        <v>1</v>
      </c>
      <c r="G10184" t="s">
        <v>2</v>
      </c>
      <c r="H10184" t="s">
        <v>4222</v>
      </c>
      <c r="Y10184" t="s">
        <v>38851</v>
      </c>
    </row>
    <row r="10185" spans="1:25" x14ac:dyDescent="0.25">
      <c r="A10185" t="str">
        <f>"130007713189"</f>
        <v>130007713189</v>
      </c>
      <c r="B10185" t="s">
        <v>687</v>
      </c>
      <c r="C10185" t="s">
        <v>19034</v>
      </c>
      <c r="D10185" t="s">
        <v>38852</v>
      </c>
      <c r="E10185">
        <v>424020</v>
      </c>
      <c r="F10185" t="s">
        <v>1</v>
      </c>
      <c r="G10185" t="s">
        <v>2</v>
      </c>
      <c r="H10185" t="s">
        <v>23</v>
      </c>
      <c r="I10185" t="s">
        <v>38853</v>
      </c>
      <c r="L10185" t="s">
        <v>38854</v>
      </c>
      <c r="M10185" t="s">
        <v>38855</v>
      </c>
      <c r="Q10185" t="s">
        <v>38856</v>
      </c>
      <c r="S10185" t="s">
        <v>38857</v>
      </c>
      <c r="V10185" t="s">
        <v>38858</v>
      </c>
      <c r="Y10185" t="s">
        <v>26334</v>
      </c>
    </row>
    <row r="10186" spans="1:25" x14ac:dyDescent="0.25">
      <c r="A10186" t="str">
        <f>"130023761919"</f>
        <v>130023761919</v>
      </c>
      <c r="B10186" t="s">
        <v>530</v>
      </c>
      <c r="C10186" t="s">
        <v>23950</v>
      </c>
      <c r="D10186" t="s">
        <v>23950</v>
      </c>
      <c r="F10186" t="s">
        <v>1</v>
      </c>
      <c r="G10186" t="s">
        <v>2</v>
      </c>
      <c r="H10186" t="s">
        <v>35957</v>
      </c>
      <c r="Y10186" t="s">
        <v>38859</v>
      </c>
    </row>
    <row r="10187" spans="1:25" x14ac:dyDescent="0.25">
      <c r="A10187" t="str">
        <f>"130056997942"</f>
        <v>130056997942</v>
      </c>
      <c r="B10187" t="s">
        <v>2104</v>
      </c>
      <c r="C10187" t="s">
        <v>13387</v>
      </c>
      <c r="D10187" t="s">
        <v>24033</v>
      </c>
      <c r="E10187">
        <v>424028</v>
      </c>
      <c r="F10187" t="s">
        <v>1</v>
      </c>
      <c r="G10187" t="s">
        <v>2</v>
      </c>
      <c r="H10187" t="s">
        <v>24503</v>
      </c>
      <c r="Y10187" t="s">
        <v>38860</v>
      </c>
    </row>
    <row r="10188" spans="1:25" x14ac:dyDescent="0.25">
      <c r="A10188" t="str">
        <f>"130076613083"</f>
        <v>130076613083</v>
      </c>
      <c r="B10188" t="s">
        <v>456</v>
      </c>
      <c r="C10188" t="s">
        <v>38864</v>
      </c>
      <c r="D10188" t="s">
        <v>38861</v>
      </c>
      <c r="E10188">
        <v>424004</v>
      </c>
      <c r="F10188" t="s">
        <v>1</v>
      </c>
      <c r="G10188" t="s">
        <v>2</v>
      </c>
      <c r="H10188" t="s">
        <v>3817</v>
      </c>
      <c r="I10188" t="s">
        <v>38862</v>
      </c>
      <c r="M10188" t="s">
        <v>38863</v>
      </c>
      <c r="P10188" t="s">
        <v>8504</v>
      </c>
      <c r="Y10188" t="s">
        <v>38865</v>
      </c>
    </row>
    <row r="10189" spans="1:25" x14ac:dyDescent="0.25">
      <c r="A10189" t="str">
        <f>"130083439684"</f>
        <v>130083439684</v>
      </c>
      <c r="B10189" t="s">
        <v>930</v>
      </c>
      <c r="C10189" t="s">
        <v>15966</v>
      </c>
      <c r="D10189" t="s">
        <v>15966</v>
      </c>
      <c r="F10189" t="s">
        <v>1</v>
      </c>
      <c r="G10189" t="s">
        <v>2</v>
      </c>
      <c r="H10189" t="s">
        <v>35008</v>
      </c>
      <c r="Y10189" t="s">
        <v>38866</v>
      </c>
    </row>
    <row r="10190" spans="1:25" x14ac:dyDescent="0.25">
      <c r="A10190" t="str">
        <f>"130101477052"</f>
        <v>130101477052</v>
      </c>
      <c r="B10190" t="s">
        <v>25</v>
      </c>
      <c r="C10190" t="s">
        <v>20320</v>
      </c>
      <c r="D10190" t="s">
        <v>38867</v>
      </c>
      <c r="E10190">
        <v>424008</v>
      </c>
      <c r="F10190" t="s">
        <v>1</v>
      </c>
      <c r="G10190" t="s">
        <v>2</v>
      </c>
      <c r="H10190" t="s">
        <v>33661</v>
      </c>
      <c r="Y10190" t="s">
        <v>38868</v>
      </c>
    </row>
    <row r="10191" spans="1:25" x14ac:dyDescent="0.25">
      <c r="A10191" t="str">
        <f>"130103835840"</f>
        <v>130103835840</v>
      </c>
      <c r="B10191" t="s">
        <v>1046</v>
      </c>
      <c r="C10191" t="s">
        <v>32452</v>
      </c>
      <c r="D10191" t="s">
        <v>28775</v>
      </c>
      <c r="E10191">
        <v>424038</v>
      </c>
      <c r="F10191" t="s">
        <v>1</v>
      </c>
      <c r="G10191" t="s">
        <v>2</v>
      </c>
      <c r="H10191" t="s">
        <v>7597</v>
      </c>
      <c r="Y10191" t="s">
        <v>16150</v>
      </c>
    </row>
    <row r="10192" spans="1:25" x14ac:dyDescent="0.25">
      <c r="A10192" t="str">
        <f>"130114440097"</f>
        <v>130114440097</v>
      </c>
      <c r="B10192" t="s">
        <v>5573</v>
      </c>
      <c r="C10192" t="s">
        <v>21453</v>
      </c>
      <c r="D10192" t="s">
        <v>38869</v>
      </c>
      <c r="E10192">
        <v>424000</v>
      </c>
      <c r="F10192" t="s">
        <v>1</v>
      </c>
      <c r="G10192" t="s">
        <v>2</v>
      </c>
      <c r="H10192" t="s">
        <v>1531</v>
      </c>
      <c r="Y10192" t="s">
        <v>1707</v>
      </c>
    </row>
    <row r="10193" spans="1:25" x14ac:dyDescent="0.25">
      <c r="A10193" t="str">
        <f>"130171674376"</f>
        <v>130171674376</v>
      </c>
      <c r="B10193" t="s">
        <v>8011</v>
      </c>
      <c r="C10193" t="s">
        <v>38871</v>
      </c>
      <c r="D10193" t="s">
        <v>38870</v>
      </c>
      <c r="E10193">
        <v>424019</v>
      </c>
      <c r="F10193" t="s">
        <v>1</v>
      </c>
      <c r="G10193" t="s">
        <v>2</v>
      </c>
      <c r="H10193" t="s">
        <v>12105</v>
      </c>
      <c r="Y10193" t="s">
        <v>38872</v>
      </c>
    </row>
    <row r="10194" spans="1:25" x14ac:dyDescent="0.25">
      <c r="A10194" t="str">
        <f>"130189244467"</f>
        <v>130189244467</v>
      </c>
      <c r="B10194" t="s">
        <v>530</v>
      </c>
      <c r="C10194" t="s">
        <v>23950</v>
      </c>
      <c r="D10194" t="s">
        <v>23950</v>
      </c>
      <c r="F10194" t="s">
        <v>1</v>
      </c>
      <c r="G10194" t="s">
        <v>2</v>
      </c>
      <c r="H10194" t="s">
        <v>25667</v>
      </c>
      <c r="Y10194" t="s">
        <v>38873</v>
      </c>
    </row>
    <row r="10195" spans="1:25" x14ac:dyDescent="0.25">
      <c r="A10195" t="str">
        <f>"130335848094"</f>
        <v>130335848094</v>
      </c>
      <c r="B10195" t="s">
        <v>574</v>
      </c>
      <c r="C10195" t="s">
        <v>646</v>
      </c>
      <c r="D10195" t="s">
        <v>30750</v>
      </c>
      <c r="E10195">
        <v>424006</v>
      </c>
      <c r="F10195" t="s">
        <v>1</v>
      </c>
      <c r="G10195" t="s">
        <v>2</v>
      </c>
      <c r="H10195" t="s">
        <v>5846</v>
      </c>
      <c r="P10195" t="s">
        <v>410</v>
      </c>
      <c r="Y10195" t="s">
        <v>17495</v>
      </c>
    </row>
    <row r="10196" spans="1:25" x14ac:dyDescent="0.25">
      <c r="A10196" t="str">
        <f>"130404774082"</f>
        <v>130404774082</v>
      </c>
      <c r="B10196" t="s">
        <v>18</v>
      </c>
      <c r="C10196" t="s">
        <v>4522</v>
      </c>
      <c r="D10196" t="s">
        <v>11433</v>
      </c>
      <c r="E10196">
        <v>424008</v>
      </c>
      <c r="F10196" t="s">
        <v>1</v>
      </c>
      <c r="G10196" t="s">
        <v>2</v>
      </c>
      <c r="H10196" t="s">
        <v>1012</v>
      </c>
      <c r="J10196" t="s">
        <v>38874</v>
      </c>
      <c r="P10196" t="s">
        <v>390</v>
      </c>
      <c r="Y10196" t="s">
        <v>1016</v>
      </c>
    </row>
    <row r="10197" spans="1:25" x14ac:dyDescent="0.25">
      <c r="A10197" t="str">
        <f>"130412911069"</f>
        <v>130412911069</v>
      </c>
      <c r="B10197" t="s">
        <v>1343</v>
      </c>
      <c r="C10197" t="s">
        <v>5984</v>
      </c>
      <c r="D10197" t="s">
        <v>38875</v>
      </c>
      <c r="E10197">
        <v>424000</v>
      </c>
      <c r="F10197" t="s">
        <v>1</v>
      </c>
      <c r="G10197" t="s">
        <v>2</v>
      </c>
      <c r="H10197" t="s">
        <v>1806</v>
      </c>
      <c r="J10197" t="s">
        <v>38876</v>
      </c>
      <c r="P10197" t="s">
        <v>941</v>
      </c>
      <c r="Y10197" t="s">
        <v>38877</v>
      </c>
    </row>
    <row r="10198" spans="1:25" x14ac:dyDescent="0.25">
      <c r="A10198" t="str">
        <f>"130419501409"</f>
        <v>130419501409</v>
      </c>
      <c r="B10198" t="s">
        <v>18</v>
      </c>
      <c r="C10198" t="s">
        <v>959</v>
      </c>
      <c r="D10198" t="s">
        <v>38878</v>
      </c>
      <c r="F10198" t="s">
        <v>1</v>
      </c>
      <c r="G10198" t="s">
        <v>2</v>
      </c>
      <c r="H10198" t="s">
        <v>18806</v>
      </c>
      <c r="Y10198" t="s">
        <v>38879</v>
      </c>
    </row>
    <row r="10199" spans="1:25" x14ac:dyDescent="0.25">
      <c r="A10199" t="str">
        <f>"130450022274"</f>
        <v>130450022274</v>
      </c>
      <c r="B10199" t="s">
        <v>530</v>
      </c>
      <c r="C10199" t="s">
        <v>23950</v>
      </c>
      <c r="D10199" t="s">
        <v>23950</v>
      </c>
      <c r="F10199" t="s">
        <v>1</v>
      </c>
      <c r="G10199" t="s">
        <v>2</v>
      </c>
      <c r="H10199" t="s">
        <v>38880</v>
      </c>
      <c r="Y10199" t="s">
        <v>38881</v>
      </c>
    </row>
    <row r="10200" spans="1:25" x14ac:dyDescent="0.25">
      <c r="A10200" t="str">
        <f>"130492448324"</f>
        <v>130492448324</v>
      </c>
      <c r="B10200" t="s">
        <v>96</v>
      </c>
      <c r="C10200" t="s">
        <v>695</v>
      </c>
      <c r="D10200" t="s">
        <v>38882</v>
      </c>
      <c r="E10200">
        <v>424000</v>
      </c>
      <c r="F10200" t="s">
        <v>1</v>
      </c>
      <c r="G10200" t="s">
        <v>2</v>
      </c>
      <c r="H10200" t="s">
        <v>30076</v>
      </c>
      <c r="I10200" t="s">
        <v>38883</v>
      </c>
      <c r="P10200" t="s">
        <v>3456</v>
      </c>
      <c r="Y10200" t="s">
        <v>38884</v>
      </c>
    </row>
    <row r="10201" spans="1:25" x14ac:dyDescent="0.25">
      <c r="A10201" t="str">
        <f>"130519414073"</f>
        <v>130519414073</v>
      </c>
      <c r="B10201" t="s">
        <v>7</v>
      </c>
      <c r="C10201" t="s">
        <v>8238</v>
      </c>
      <c r="D10201" t="s">
        <v>38885</v>
      </c>
      <c r="E10201">
        <v>424008</v>
      </c>
      <c r="F10201" t="s">
        <v>1</v>
      </c>
      <c r="G10201" t="s">
        <v>2</v>
      </c>
      <c r="H10201" t="s">
        <v>337</v>
      </c>
      <c r="J10201" t="s">
        <v>38886</v>
      </c>
      <c r="P10201" t="s">
        <v>260</v>
      </c>
      <c r="Y10201" t="s">
        <v>38887</v>
      </c>
    </row>
    <row r="10202" spans="1:25" x14ac:dyDescent="0.25">
      <c r="A10202" t="str">
        <f>"130530115877"</f>
        <v>130530115877</v>
      </c>
      <c r="B10202" t="s">
        <v>7</v>
      </c>
      <c r="C10202" t="s">
        <v>9893</v>
      </c>
      <c r="D10202" t="s">
        <v>38888</v>
      </c>
      <c r="E10202">
        <v>424007</v>
      </c>
      <c r="F10202" t="s">
        <v>1</v>
      </c>
      <c r="G10202" t="s">
        <v>2</v>
      </c>
      <c r="H10202" t="s">
        <v>38889</v>
      </c>
      <c r="Y10202" t="s">
        <v>38890</v>
      </c>
    </row>
    <row r="10203" spans="1:25" x14ac:dyDescent="0.25">
      <c r="A10203" t="str">
        <f>"130596658857"</f>
        <v>130596658857</v>
      </c>
      <c r="B10203" t="s">
        <v>319</v>
      </c>
      <c r="C10203" t="s">
        <v>30605</v>
      </c>
      <c r="D10203" t="s">
        <v>38891</v>
      </c>
      <c r="E10203">
        <v>424031</v>
      </c>
      <c r="F10203" t="s">
        <v>1</v>
      </c>
      <c r="G10203" t="s">
        <v>2</v>
      </c>
      <c r="H10203" t="s">
        <v>1524</v>
      </c>
      <c r="I10203" t="s">
        <v>38892</v>
      </c>
      <c r="J10203" t="s">
        <v>38893</v>
      </c>
      <c r="L10203" t="s">
        <v>38894</v>
      </c>
      <c r="M10203" t="s">
        <v>38895</v>
      </c>
      <c r="P10203" t="s">
        <v>31621</v>
      </c>
      <c r="Q10203" t="s">
        <v>38896</v>
      </c>
      <c r="T10203" t="s">
        <v>38897</v>
      </c>
      <c r="U10203" t="s">
        <v>38898</v>
      </c>
      <c r="V10203" t="s">
        <v>38899</v>
      </c>
      <c r="Y10203" t="s">
        <v>38900</v>
      </c>
    </row>
    <row r="10204" spans="1:25" x14ac:dyDescent="0.25">
      <c r="A10204" t="str">
        <f>"130620975375"</f>
        <v>130620975375</v>
      </c>
      <c r="B10204" t="s">
        <v>430</v>
      </c>
      <c r="C10204" t="s">
        <v>8739</v>
      </c>
      <c r="D10204" t="s">
        <v>38901</v>
      </c>
      <c r="E10204">
        <v>424019</v>
      </c>
      <c r="F10204" t="s">
        <v>1</v>
      </c>
      <c r="G10204" t="s">
        <v>2</v>
      </c>
      <c r="H10204" t="s">
        <v>12105</v>
      </c>
      <c r="Y10204" t="s">
        <v>38902</v>
      </c>
    </row>
    <row r="10205" spans="1:25" x14ac:dyDescent="0.25">
      <c r="A10205" t="str">
        <f>"130723519867"</f>
        <v>130723519867</v>
      </c>
      <c r="B10205" t="s">
        <v>456</v>
      </c>
      <c r="C10205" t="s">
        <v>38907</v>
      </c>
      <c r="D10205" t="s">
        <v>38903</v>
      </c>
      <c r="F10205" t="s">
        <v>1</v>
      </c>
      <c r="G10205" t="s">
        <v>2</v>
      </c>
      <c r="H10205" t="s">
        <v>13225</v>
      </c>
      <c r="J10205" t="s">
        <v>38904</v>
      </c>
      <c r="L10205" t="s">
        <v>38905</v>
      </c>
      <c r="M10205" t="s">
        <v>38906</v>
      </c>
      <c r="P10205" t="s">
        <v>38908</v>
      </c>
      <c r="Q10205" t="s">
        <v>38909</v>
      </c>
      <c r="R10205" t="s">
        <v>38910</v>
      </c>
      <c r="S10205" t="s">
        <v>38911</v>
      </c>
      <c r="Y10205" t="s">
        <v>23678</v>
      </c>
    </row>
    <row r="10206" spans="1:25" x14ac:dyDescent="0.25">
      <c r="A10206" t="str">
        <f>"130728114661"</f>
        <v>130728114661</v>
      </c>
      <c r="B10206" t="s">
        <v>462</v>
      </c>
      <c r="C10206" t="s">
        <v>1140</v>
      </c>
      <c r="D10206" t="s">
        <v>38912</v>
      </c>
      <c r="E10206">
        <v>424006</v>
      </c>
      <c r="F10206" t="s">
        <v>1</v>
      </c>
      <c r="G10206" t="s">
        <v>2</v>
      </c>
      <c r="H10206" t="s">
        <v>2649</v>
      </c>
      <c r="Y10206" t="s">
        <v>2654</v>
      </c>
    </row>
    <row r="10207" spans="1:25" x14ac:dyDescent="0.25">
      <c r="A10207" t="str">
        <f>"130862964206"</f>
        <v>130862964206</v>
      </c>
      <c r="B10207" t="s">
        <v>8011</v>
      </c>
      <c r="C10207" t="s">
        <v>38913</v>
      </c>
      <c r="D10207" t="s">
        <v>18317</v>
      </c>
      <c r="E10207">
        <v>424039</v>
      </c>
      <c r="F10207" t="s">
        <v>1</v>
      </c>
      <c r="G10207" t="s">
        <v>2</v>
      </c>
      <c r="H10207" t="s">
        <v>23651</v>
      </c>
      <c r="P10207" t="s">
        <v>362</v>
      </c>
      <c r="Y10207" t="s">
        <v>38914</v>
      </c>
    </row>
    <row r="10208" spans="1:25" x14ac:dyDescent="0.25">
      <c r="A10208" t="str">
        <f>"130863027408"</f>
        <v>130863027408</v>
      </c>
      <c r="B10208" t="s">
        <v>188</v>
      </c>
      <c r="C10208" t="s">
        <v>23982</v>
      </c>
      <c r="D10208" t="s">
        <v>23982</v>
      </c>
      <c r="F10208" t="s">
        <v>1</v>
      </c>
      <c r="G10208" t="s">
        <v>2</v>
      </c>
      <c r="H10208" t="s">
        <v>12450</v>
      </c>
      <c r="Y10208" t="s">
        <v>38915</v>
      </c>
    </row>
    <row r="10209" spans="1:25" x14ac:dyDescent="0.25">
      <c r="A10209" t="str">
        <f>"130869471451"</f>
        <v>130869471451</v>
      </c>
      <c r="B10209" t="s">
        <v>290</v>
      </c>
      <c r="C10209" t="s">
        <v>11603</v>
      </c>
      <c r="D10209" t="s">
        <v>38916</v>
      </c>
      <c r="E10209">
        <v>424000</v>
      </c>
      <c r="F10209" t="s">
        <v>1</v>
      </c>
      <c r="G10209" t="s">
        <v>2</v>
      </c>
      <c r="H10209" t="s">
        <v>2299</v>
      </c>
      <c r="Y10209" t="s">
        <v>35488</v>
      </c>
    </row>
    <row r="10210" spans="1:25" x14ac:dyDescent="0.25">
      <c r="A10210" t="str">
        <f>"130913321367"</f>
        <v>130913321367</v>
      </c>
      <c r="B10210" t="s">
        <v>188</v>
      </c>
      <c r="C10210" t="s">
        <v>38922</v>
      </c>
      <c r="D10210" t="s">
        <v>38917</v>
      </c>
      <c r="E10210">
        <v>424006</v>
      </c>
      <c r="F10210" t="s">
        <v>1</v>
      </c>
      <c r="G10210" t="s">
        <v>2</v>
      </c>
      <c r="H10210" t="s">
        <v>20415</v>
      </c>
      <c r="I10210" t="s">
        <v>38918</v>
      </c>
      <c r="J10210" t="s">
        <v>38919</v>
      </c>
      <c r="L10210" t="s">
        <v>38920</v>
      </c>
      <c r="M10210" t="s">
        <v>38921</v>
      </c>
      <c r="P10210" t="s">
        <v>390</v>
      </c>
      <c r="Y10210" t="s">
        <v>38923</v>
      </c>
    </row>
    <row r="10211" spans="1:25" x14ac:dyDescent="0.25">
      <c r="A10211" t="str">
        <f>"130924555821"</f>
        <v>130924555821</v>
      </c>
      <c r="B10211" t="s">
        <v>18</v>
      </c>
      <c r="C10211" t="s">
        <v>38926</v>
      </c>
      <c r="D10211" t="s">
        <v>38924</v>
      </c>
      <c r="E10211">
        <v>424004</v>
      </c>
      <c r="F10211" t="s">
        <v>1</v>
      </c>
      <c r="G10211" t="s">
        <v>2</v>
      </c>
      <c r="H10211" t="s">
        <v>229</v>
      </c>
      <c r="J10211" t="s">
        <v>38925</v>
      </c>
      <c r="P10211" t="s">
        <v>38927</v>
      </c>
      <c r="Q10211" t="s">
        <v>38928</v>
      </c>
      <c r="V10211" t="s">
        <v>38929</v>
      </c>
      <c r="Y10211" t="s">
        <v>237</v>
      </c>
    </row>
    <row r="10212" spans="1:25" x14ac:dyDescent="0.25">
      <c r="A10212" t="str">
        <f>"130944912165"</f>
        <v>130944912165</v>
      </c>
      <c r="B10212" t="s">
        <v>1544</v>
      </c>
      <c r="C10212" t="s">
        <v>7974</v>
      </c>
      <c r="D10212" t="s">
        <v>28272</v>
      </c>
      <c r="E10212">
        <v>424016</v>
      </c>
      <c r="F10212" t="s">
        <v>1</v>
      </c>
      <c r="G10212" t="s">
        <v>2</v>
      </c>
      <c r="H10212" t="s">
        <v>18429</v>
      </c>
      <c r="Y10212" t="s">
        <v>29257</v>
      </c>
    </row>
    <row r="10213" spans="1:25" x14ac:dyDescent="0.25">
      <c r="A10213" t="str">
        <f>"130950763015"</f>
        <v>130950763015</v>
      </c>
      <c r="B10213" t="s">
        <v>456</v>
      </c>
      <c r="C10213" t="s">
        <v>24964</v>
      </c>
      <c r="D10213" t="s">
        <v>38930</v>
      </c>
      <c r="E10213">
        <v>424019</v>
      </c>
      <c r="F10213" t="s">
        <v>1</v>
      </c>
      <c r="G10213" t="s">
        <v>2</v>
      </c>
      <c r="H10213" t="s">
        <v>7785</v>
      </c>
      <c r="J10213" t="s">
        <v>7900</v>
      </c>
      <c r="P10213" t="s">
        <v>98</v>
      </c>
      <c r="Y10213" t="s">
        <v>38931</v>
      </c>
    </row>
    <row r="10214" spans="1:25" x14ac:dyDescent="0.25">
      <c r="A10214" t="str">
        <f>"130962353189"</f>
        <v>130962353189</v>
      </c>
      <c r="B10214" t="s">
        <v>1323</v>
      </c>
      <c r="C10214" t="s">
        <v>36757</v>
      </c>
      <c r="D10214" t="s">
        <v>38932</v>
      </c>
      <c r="E10214">
        <v>424005</v>
      </c>
      <c r="F10214" t="s">
        <v>1</v>
      </c>
      <c r="G10214" t="s">
        <v>2</v>
      </c>
      <c r="H10214" t="s">
        <v>38933</v>
      </c>
      <c r="I10214" t="s">
        <v>38934</v>
      </c>
      <c r="P10214" t="s">
        <v>27</v>
      </c>
      <c r="Y10214" t="s">
        <v>33559</v>
      </c>
    </row>
    <row r="10215" spans="1:25" x14ac:dyDescent="0.25">
      <c r="A10215" t="str">
        <f>"130976817056"</f>
        <v>130976817056</v>
      </c>
      <c r="B10215" t="s">
        <v>290</v>
      </c>
      <c r="C10215" t="s">
        <v>11114</v>
      </c>
      <c r="D10215" t="s">
        <v>38935</v>
      </c>
      <c r="E10215">
        <v>424002</v>
      </c>
      <c r="F10215" t="s">
        <v>1</v>
      </c>
      <c r="G10215" t="s">
        <v>2</v>
      </c>
      <c r="H10215" t="s">
        <v>38936</v>
      </c>
      <c r="J10215" t="s">
        <v>38937</v>
      </c>
      <c r="P10215" t="s">
        <v>38938</v>
      </c>
      <c r="V10215" t="s">
        <v>38939</v>
      </c>
      <c r="Y10215" t="s">
        <v>38940</v>
      </c>
    </row>
    <row r="10216" spans="1:25" x14ac:dyDescent="0.25">
      <c r="A10216" t="str">
        <f>"130979372421"</f>
        <v>130979372421</v>
      </c>
      <c r="B10216" t="s">
        <v>176</v>
      </c>
      <c r="C10216" t="s">
        <v>250</v>
      </c>
      <c r="D10216" t="s">
        <v>31019</v>
      </c>
      <c r="E10216">
        <v>424000</v>
      </c>
      <c r="F10216" t="s">
        <v>1</v>
      </c>
      <c r="G10216" t="s">
        <v>2</v>
      </c>
      <c r="H10216" t="s">
        <v>1473</v>
      </c>
      <c r="P10216" t="s">
        <v>941</v>
      </c>
      <c r="Y10216" t="s">
        <v>38941</v>
      </c>
    </row>
    <row r="10217" spans="1:25" x14ac:dyDescent="0.25">
      <c r="A10217" t="str">
        <f>"131017155709"</f>
        <v>131017155709</v>
      </c>
      <c r="B10217" t="s">
        <v>738</v>
      </c>
      <c r="C10217" t="s">
        <v>739</v>
      </c>
      <c r="D10217" t="s">
        <v>21734</v>
      </c>
      <c r="F10217" t="s">
        <v>1</v>
      </c>
      <c r="G10217" t="s">
        <v>2</v>
      </c>
      <c r="H10217" t="s">
        <v>29987</v>
      </c>
      <c r="Y10217" t="s">
        <v>38942</v>
      </c>
    </row>
    <row r="10218" spans="1:25" x14ac:dyDescent="0.25">
      <c r="A10218" t="str">
        <f>"131041857705"</f>
        <v>131041857705</v>
      </c>
      <c r="B10218" t="s">
        <v>1053</v>
      </c>
      <c r="C10218" t="s">
        <v>38946</v>
      </c>
      <c r="D10218" t="s">
        <v>34743</v>
      </c>
      <c r="E10218">
        <v>424020</v>
      </c>
      <c r="F10218" t="s">
        <v>1</v>
      </c>
      <c r="G10218" t="s">
        <v>2</v>
      </c>
      <c r="H10218" t="s">
        <v>14474</v>
      </c>
      <c r="I10218" t="s">
        <v>38943</v>
      </c>
      <c r="L10218" t="s">
        <v>38944</v>
      </c>
      <c r="M10218" t="s">
        <v>38945</v>
      </c>
      <c r="P10218" t="s">
        <v>280</v>
      </c>
      <c r="Y10218" t="s">
        <v>38947</v>
      </c>
    </row>
    <row r="10219" spans="1:25" x14ac:dyDescent="0.25">
      <c r="A10219" t="str">
        <f>"131067286185"</f>
        <v>131067286185</v>
      </c>
      <c r="B10219" t="s">
        <v>18</v>
      </c>
      <c r="C10219" t="s">
        <v>38949</v>
      </c>
      <c r="D10219" t="s">
        <v>9999</v>
      </c>
      <c r="E10219">
        <v>424006</v>
      </c>
      <c r="F10219" t="s">
        <v>1</v>
      </c>
      <c r="G10219" t="s">
        <v>2</v>
      </c>
      <c r="H10219" t="s">
        <v>21713</v>
      </c>
      <c r="I10219" t="s">
        <v>38948</v>
      </c>
      <c r="P10219" t="s">
        <v>20</v>
      </c>
      <c r="Y10219" t="s">
        <v>38950</v>
      </c>
    </row>
    <row r="10220" spans="1:25" x14ac:dyDescent="0.25">
      <c r="A10220" t="str">
        <f>"131100670415"</f>
        <v>131100670415</v>
      </c>
      <c r="B10220" t="s">
        <v>703</v>
      </c>
      <c r="C10220" t="s">
        <v>2129</v>
      </c>
      <c r="D10220" t="s">
        <v>38951</v>
      </c>
      <c r="E10220">
        <v>424006</v>
      </c>
      <c r="F10220" t="s">
        <v>1</v>
      </c>
      <c r="G10220" t="s">
        <v>2</v>
      </c>
      <c r="H10220" t="s">
        <v>14949</v>
      </c>
      <c r="J10220" t="s">
        <v>17549</v>
      </c>
      <c r="P10220" t="s">
        <v>390</v>
      </c>
      <c r="Y10220" t="s">
        <v>13598</v>
      </c>
    </row>
    <row r="10221" spans="1:25" x14ac:dyDescent="0.25">
      <c r="A10221" t="str">
        <f>"131112790623"</f>
        <v>131112790623</v>
      </c>
      <c r="B10221" t="s">
        <v>530</v>
      </c>
      <c r="C10221" t="s">
        <v>23950</v>
      </c>
      <c r="D10221" t="s">
        <v>23950</v>
      </c>
      <c r="E10221">
        <v>424031</v>
      </c>
      <c r="F10221" t="s">
        <v>1</v>
      </c>
      <c r="G10221" t="s">
        <v>2</v>
      </c>
      <c r="H10221" t="s">
        <v>38952</v>
      </c>
      <c r="Y10221" t="s">
        <v>38953</v>
      </c>
    </row>
    <row r="10222" spans="1:25" x14ac:dyDescent="0.25">
      <c r="A10222" t="str">
        <f>"131177794191"</f>
        <v>131177794191</v>
      </c>
      <c r="B10222" t="s">
        <v>1315</v>
      </c>
      <c r="C10222" t="s">
        <v>4274</v>
      </c>
      <c r="D10222" t="s">
        <v>38954</v>
      </c>
      <c r="E10222">
        <v>424006</v>
      </c>
      <c r="F10222" t="s">
        <v>1</v>
      </c>
      <c r="G10222" t="s">
        <v>2</v>
      </c>
      <c r="H10222" t="s">
        <v>36250</v>
      </c>
      <c r="Y10222" t="s">
        <v>38955</v>
      </c>
    </row>
    <row r="10223" spans="1:25" x14ac:dyDescent="0.25">
      <c r="A10223" t="str">
        <f>"131196131049"</f>
        <v>131196131049</v>
      </c>
      <c r="B10223" t="s">
        <v>117</v>
      </c>
      <c r="C10223" t="s">
        <v>873</v>
      </c>
      <c r="D10223" t="s">
        <v>873</v>
      </c>
      <c r="F10223" t="s">
        <v>1</v>
      </c>
      <c r="G10223" t="s">
        <v>2</v>
      </c>
      <c r="H10223" t="s">
        <v>138</v>
      </c>
      <c r="P10223" t="s">
        <v>144</v>
      </c>
      <c r="Y10223" t="s">
        <v>38956</v>
      </c>
    </row>
    <row r="10224" spans="1:25" x14ac:dyDescent="0.25">
      <c r="A10224" t="str">
        <f>"131200236995"</f>
        <v>131200236995</v>
      </c>
      <c r="B10224" t="s">
        <v>319</v>
      </c>
      <c r="C10224" t="s">
        <v>320</v>
      </c>
      <c r="D10224" t="s">
        <v>2556</v>
      </c>
      <c r="E10224">
        <v>424016</v>
      </c>
      <c r="F10224" t="s">
        <v>1</v>
      </c>
      <c r="G10224" t="s">
        <v>2</v>
      </c>
      <c r="H10224" t="s">
        <v>18429</v>
      </c>
      <c r="I10224" t="s">
        <v>38957</v>
      </c>
      <c r="P10224" t="s">
        <v>2561</v>
      </c>
      <c r="Y10224" t="s">
        <v>38958</v>
      </c>
    </row>
    <row r="10225" spans="1:25" x14ac:dyDescent="0.25">
      <c r="A10225" t="str">
        <f>"131216103849"</f>
        <v>131216103849</v>
      </c>
      <c r="B10225" t="s">
        <v>96</v>
      </c>
      <c r="C10225" t="s">
        <v>2285</v>
      </c>
      <c r="D10225" t="s">
        <v>30723</v>
      </c>
      <c r="E10225">
        <v>424039</v>
      </c>
      <c r="F10225" t="s">
        <v>1</v>
      </c>
      <c r="G10225" t="s">
        <v>2</v>
      </c>
      <c r="H10225" t="s">
        <v>10036</v>
      </c>
      <c r="J10225" t="s">
        <v>38959</v>
      </c>
      <c r="P10225" t="s">
        <v>2731</v>
      </c>
      <c r="Y10225" t="s">
        <v>38960</v>
      </c>
    </row>
    <row r="10226" spans="1:25" x14ac:dyDescent="0.25">
      <c r="A10226" t="str">
        <f>"131228961659"</f>
        <v>131228961659</v>
      </c>
      <c r="B10226" t="s">
        <v>117</v>
      </c>
      <c r="C10226" t="s">
        <v>873</v>
      </c>
      <c r="D10226" t="s">
        <v>873</v>
      </c>
      <c r="F10226" t="s">
        <v>1</v>
      </c>
      <c r="G10226" t="s">
        <v>2</v>
      </c>
      <c r="H10226" t="s">
        <v>27815</v>
      </c>
      <c r="Y10226" t="s">
        <v>38961</v>
      </c>
    </row>
    <row r="10227" spans="1:25" x14ac:dyDescent="0.25">
      <c r="A10227" t="str">
        <f>"131229980182"</f>
        <v>131229980182</v>
      </c>
      <c r="B10227" t="s">
        <v>519</v>
      </c>
      <c r="C10227" t="s">
        <v>23996</v>
      </c>
      <c r="D10227" t="s">
        <v>23996</v>
      </c>
      <c r="E10227">
        <v>424031</v>
      </c>
      <c r="F10227" t="s">
        <v>1</v>
      </c>
      <c r="G10227" t="s">
        <v>2</v>
      </c>
      <c r="H10227" t="s">
        <v>239</v>
      </c>
      <c r="J10227" t="s">
        <v>38962</v>
      </c>
      <c r="P10227" t="s">
        <v>216</v>
      </c>
      <c r="Q10227" t="s">
        <v>38963</v>
      </c>
      <c r="Y10227" t="s">
        <v>246</v>
      </c>
    </row>
    <row r="10228" spans="1:25" x14ac:dyDescent="0.25">
      <c r="A10228" t="str">
        <f>"131277090682"</f>
        <v>131277090682</v>
      </c>
      <c r="B10228" t="s">
        <v>32</v>
      </c>
      <c r="C10228" t="s">
        <v>28973</v>
      </c>
      <c r="D10228" t="s">
        <v>38964</v>
      </c>
      <c r="E10228">
        <v>424004</v>
      </c>
      <c r="F10228" t="s">
        <v>1</v>
      </c>
      <c r="G10228" t="s">
        <v>2</v>
      </c>
      <c r="H10228" t="s">
        <v>186</v>
      </c>
      <c r="J10228" t="s">
        <v>38965</v>
      </c>
      <c r="Q10228" t="s">
        <v>38966</v>
      </c>
      <c r="Y10228" t="s">
        <v>190</v>
      </c>
    </row>
    <row r="10229" spans="1:25" x14ac:dyDescent="0.25">
      <c r="A10229" t="str">
        <f>"131311249349"</f>
        <v>131311249349</v>
      </c>
      <c r="B10229" t="s">
        <v>574</v>
      </c>
      <c r="C10229" t="s">
        <v>646</v>
      </c>
      <c r="D10229" t="s">
        <v>38967</v>
      </c>
      <c r="E10229">
        <v>424020</v>
      </c>
      <c r="F10229" t="s">
        <v>1</v>
      </c>
      <c r="G10229" t="s">
        <v>2</v>
      </c>
      <c r="H10229" t="s">
        <v>24402</v>
      </c>
      <c r="Y10229" t="s">
        <v>38968</v>
      </c>
    </row>
    <row r="10230" spans="1:25" x14ac:dyDescent="0.25">
      <c r="A10230" t="str">
        <f>"131313392680"</f>
        <v>131313392680</v>
      </c>
      <c r="B10230" t="s">
        <v>530</v>
      </c>
      <c r="C10230" t="s">
        <v>23950</v>
      </c>
      <c r="D10230" t="s">
        <v>23950</v>
      </c>
      <c r="E10230">
        <v>424019</v>
      </c>
      <c r="F10230" t="s">
        <v>1</v>
      </c>
      <c r="G10230" t="s">
        <v>2</v>
      </c>
      <c r="H10230" t="s">
        <v>38969</v>
      </c>
      <c r="Y10230" t="s">
        <v>38970</v>
      </c>
    </row>
    <row r="10231" spans="1:25" x14ac:dyDescent="0.25">
      <c r="A10231" t="str">
        <f>"131337833027"</f>
        <v>131337833027</v>
      </c>
      <c r="B10231" t="s">
        <v>388</v>
      </c>
      <c r="C10231" t="s">
        <v>4509</v>
      </c>
      <c r="D10231" t="s">
        <v>38971</v>
      </c>
      <c r="E10231">
        <v>424006</v>
      </c>
      <c r="F10231" t="s">
        <v>1</v>
      </c>
      <c r="G10231" t="s">
        <v>2</v>
      </c>
      <c r="H10231" t="s">
        <v>38627</v>
      </c>
      <c r="I10231" t="s">
        <v>38972</v>
      </c>
      <c r="P10231" t="s">
        <v>330</v>
      </c>
      <c r="Y10231" t="s">
        <v>38628</v>
      </c>
    </row>
    <row r="10232" spans="1:25" x14ac:dyDescent="0.25">
      <c r="A10232" t="str">
        <f>"131388809038"</f>
        <v>131388809038</v>
      </c>
      <c r="B10232" t="s">
        <v>519</v>
      </c>
      <c r="C10232" t="s">
        <v>27829</v>
      </c>
      <c r="D10232" t="s">
        <v>11808</v>
      </c>
      <c r="E10232">
        <v>424007</v>
      </c>
      <c r="F10232" t="s">
        <v>1</v>
      </c>
      <c r="G10232" t="s">
        <v>2</v>
      </c>
      <c r="H10232" t="s">
        <v>5647</v>
      </c>
      <c r="J10232" t="s">
        <v>27826</v>
      </c>
      <c r="L10232" t="s">
        <v>27827</v>
      </c>
      <c r="M10232" t="s">
        <v>27828</v>
      </c>
      <c r="P10232" t="s">
        <v>38973</v>
      </c>
      <c r="V10232" t="s">
        <v>27830</v>
      </c>
      <c r="Y10232" t="s">
        <v>38974</v>
      </c>
    </row>
    <row r="10233" spans="1:25" x14ac:dyDescent="0.25">
      <c r="A10233" t="str">
        <f>"131396582919"</f>
        <v>131396582919</v>
      </c>
      <c r="B10233" t="s">
        <v>1046</v>
      </c>
      <c r="C10233" t="s">
        <v>38977</v>
      </c>
      <c r="D10233" t="s">
        <v>38975</v>
      </c>
      <c r="E10233">
        <v>424000</v>
      </c>
      <c r="F10233" t="s">
        <v>1</v>
      </c>
      <c r="G10233" t="s">
        <v>2</v>
      </c>
      <c r="H10233" t="s">
        <v>4255</v>
      </c>
      <c r="I10233" t="s">
        <v>38976</v>
      </c>
      <c r="P10233" t="s">
        <v>1642</v>
      </c>
      <c r="Q10233" t="s">
        <v>38978</v>
      </c>
      <c r="Y10233" t="s">
        <v>9809</v>
      </c>
    </row>
    <row r="10234" spans="1:25" x14ac:dyDescent="0.25">
      <c r="A10234" t="str">
        <f>"131428707274"</f>
        <v>131428707274</v>
      </c>
      <c r="B10234" t="s">
        <v>687</v>
      </c>
      <c r="C10234" t="s">
        <v>5413</v>
      </c>
      <c r="D10234" t="s">
        <v>38979</v>
      </c>
      <c r="F10234" t="s">
        <v>1</v>
      </c>
      <c r="G10234" t="s">
        <v>2</v>
      </c>
      <c r="H10234" t="s">
        <v>13225</v>
      </c>
      <c r="Y10234" t="s">
        <v>38980</v>
      </c>
    </row>
    <row r="10235" spans="1:25" x14ac:dyDescent="0.25">
      <c r="A10235" t="str">
        <f>"131440673301"</f>
        <v>131440673301</v>
      </c>
      <c r="B10235" t="s">
        <v>379</v>
      </c>
      <c r="C10235" t="s">
        <v>2661</v>
      </c>
      <c r="D10235" t="s">
        <v>2661</v>
      </c>
      <c r="E10235">
        <v>424000</v>
      </c>
      <c r="F10235" t="s">
        <v>1</v>
      </c>
      <c r="G10235" t="s">
        <v>2</v>
      </c>
      <c r="H10235" t="s">
        <v>5615</v>
      </c>
      <c r="I10235" t="s">
        <v>25957</v>
      </c>
      <c r="J10235" t="s">
        <v>25958</v>
      </c>
      <c r="P10235" t="s">
        <v>2280</v>
      </c>
      <c r="Y10235" t="s">
        <v>5619</v>
      </c>
    </row>
    <row r="10236" spans="1:25" x14ac:dyDescent="0.25">
      <c r="A10236" t="str">
        <f>"131452026689"</f>
        <v>131452026689</v>
      </c>
      <c r="B10236" t="s">
        <v>1611</v>
      </c>
      <c r="C10236" t="s">
        <v>3218</v>
      </c>
      <c r="D10236" t="s">
        <v>38981</v>
      </c>
      <c r="E10236">
        <v>424005</v>
      </c>
      <c r="F10236" t="s">
        <v>1</v>
      </c>
      <c r="G10236" t="s">
        <v>2</v>
      </c>
      <c r="H10236" t="s">
        <v>11683</v>
      </c>
      <c r="Y10236" t="s">
        <v>38982</v>
      </c>
    </row>
    <row r="10237" spans="1:25" x14ac:dyDescent="0.25">
      <c r="A10237" t="str">
        <f>"131556793149"</f>
        <v>131556793149</v>
      </c>
      <c r="B10237" t="s">
        <v>18</v>
      </c>
      <c r="C10237" t="s">
        <v>4522</v>
      </c>
      <c r="D10237" t="s">
        <v>38983</v>
      </c>
      <c r="E10237">
        <v>424000</v>
      </c>
      <c r="F10237" t="s">
        <v>1</v>
      </c>
      <c r="G10237" t="s">
        <v>2</v>
      </c>
      <c r="H10237" t="s">
        <v>2671</v>
      </c>
      <c r="Y10237" t="s">
        <v>38984</v>
      </c>
    </row>
    <row r="10238" spans="1:25" x14ac:dyDescent="0.25">
      <c r="A10238" t="str">
        <f>"131571334096"</f>
        <v>131571334096</v>
      </c>
      <c r="B10238" t="s">
        <v>176</v>
      </c>
      <c r="C10238" t="s">
        <v>566</v>
      </c>
      <c r="D10238" t="s">
        <v>17198</v>
      </c>
      <c r="E10238">
        <v>424038</v>
      </c>
      <c r="F10238" t="s">
        <v>1</v>
      </c>
      <c r="G10238" t="s">
        <v>2</v>
      </c>
      <c r="H10238" t="s">
        <v>7597</v>
      </c>
      <c r="P10238" t="s">
        <v>1642</v>
      </c>
      <c r="Y10238" t="s">
        <v>38985</v>
      </c>
    </row>
    <row r="10239" spans="1:25" x14ac:dyDescent="0.25">
      <c r="A10239" t="str">
        <f>"131583210323"</f>
        <v>131583210323</v>
      </c>
      <c r="B10239" t="s">
        <v>88</v>
      </c>
      <c r="C10239" t="s">
        <v>19306</v>
      </c>
      <c r="D10239" t="s">
        <v>38986</v>
      </c>
      <c r="E10239">
        <v>424019</v>
      </c>
      <c r="F10239" t="s">
        <v>1</v>
      </c>
      <c r="G10239" t="s">
        <v>2</v>
      </c>
      <c r="H10239" t="s">
        <v>38987</v>
      </c>
      <c r="I10239" t="s">
        <v>38988</v>
      </c>
      <c r="K10239" t="s">
        <v>38989</v>
      </c>
      <c r="P10239" t="s">
        <v>20</v>
      </c>
      <c r="Y10239" t="s">
        <v>38990</v>
      </c>
    </row>
    <row r="10240" spans="1:25" x14ac:dyDescent="0.25">
      <c r="A10240" t="str">
        <f>"131586752797"</f>
        <v>131586752797</v>
      </c>
      <c r="B10240" t="s">
        <v>96</v>
      </c>
      <c r="C10240" t="s">
        <v>893</v>
      </c>
      <c r="D10240" t="s">
        <v>38991</v>
      </c>
      <c r="E10240">
        <v>424918</v>
      </c>
      <c r="F10240" t="s">
        <v>1</v>
      </c>
      <c r="G10240" t="s">
        <v>2</v>
      </c>
      <c r="H10240" t="s">
        <v>629</v>
      </c>
      <c r="P10240" t="s">
        <v>630</v>
      </c>
      <c r="Y10240" t="s">
        <v>38992</v>
      </c>
    </row>
    <row r="10241" spans="1:25" x14ac:dyDescent="0.25">
      <c r="A10241" t="str">
        <f>"131640430928"</f>
        <v>131640430928</v>
      </c>
      <c r="B10241" t="s">
        <v>1758</v>
      </c>
      <c r="C10241" t="s">
        <v>38996</v>
      </c>
      <c r="D10241" t="s">
        <v>38993</v>
      </c>
      <c r="E10241">
        <v>424033</v>
      </c>
      <c r="F10241" t="s">
        <v>1</v>
      </c>
      <c r="G10241" t="s">
        <v>2</v>
      </c>
      <c r="H10241" t="s">
        <v>4244</v>
      </c>
      <c r="I10241" t="s">
        <v>38994</v>
      </c>
      <c r="L10241" t="s">
        <v>38995</v>
      </c>
      <c r="P10241" t="s">
        <v>38997</v>
      </c>
      <c r="Q10241" t="s">
        <v>38998</v>
      </c>
      <c r="Y10241" t="s">
        <v>38999</v>
      </c>
    </row>
    <row r="10242" spans="1:25" x14ac:dyDescent="0.25">
      <c r="A10242" t="str">
        <f>"131691950531"</f>
        <v>131691950531</v>
      </c>
      <c r="B10242" t="s">
        <v>188</v>
      </c>
      <c r="C10242" t="s">
        <v>39004</v>
      </c>
      <c r="D10242" t="s">
        <v>39000</v>
      </c>
      <c r="E10242">
        <v>424031</v>
      </c>
      <c r="F10242" t="s">
        <v>1</v>
      </c>
      <c r="G10242" t="s">
        <v>2</v>
      </c>
      <c r="H10242" t="s">
        <v>239</v>
      </c>
      <c r="J10242" t="s">
        <v>39001</v>
      </c>
      <c r="L10242" t="s">
        <v>39002</v>
      </c>
      <c r="M10242" t="s">
        <v>39003</v>
      </c>
      <c r="P10242" t="s">
        <v>1306</v>
      </c>
      <c r="Q10242" t="s">
        <v>39005</v>
      </c>
      <c r="V10242" t="s">
        <v>39006</v>
      </c>
      <c r="Y10242" t="s">
        <v>39007</v>
      </c>
    </row>
    <row r="10243" spans="1:25" x14ac:dyDescent="0.25">
      <c r="A10243" t="str">
        <f>"131694367562"</f>
        <v>131694367562</v>
      </c>
      <c r="B10243" t="s">
        <v>462</v>
      </c>
      <c r="C10243" t="s">
        <v>5618</v>
      </c>
      <c r="D10243" t="s">
        <v>39008</v>
      </c>
      <c r="F10243" t="s">
        <v>1</v>
      </c>
      <c r="G10243" t="s">
        <v>2</v>
      </c>
      <c r="H10243" t="s">
        <v>2745</v>
      </c>
      <c r="J10243" t="s">
        <v>39009</v>
      </c>
      <c r="L10243" t="s">
        <v>39010</v>
      </c>
      <c r="M10243" t="s">
        <v>39011</v>
      </c>
      <c r="P10243" t="s">
        <v>27</v>
      </c>
      <c r="Y10243" t="s">
        <v>2751</v>
      </c>
    </row>
    <row r="10244" spans="1:25" x14ac:dyDescent="0.25">
      <c r="A10244" t="str">
        <f>"131737089042"</f>
        <v>131737089042</v>
      </c>
      <c r="B10244" t="s">
        <v>1046</v>
      </c>
      <c r="C10244" t="s">
        <v>20384</v>
      </c>
      <c r="D10244" t="s">
        <v>39012</v>
      </c>
      <c r="E10244">
        <v>424020</v>
      </c>
      <c r="F10244" t="s">
        <v>1</v>
      </c>
      <c r="G10244" t="s">
        <v>2</v>
      </c>
      <c r="H10244" t="s">
        <v>9442</v>
      </c>
      <c r="I10244" t="s">
        <v>39013</v>
      </c>
      <c r="Y10244" t="s">
        <v>9446</v>
      </c>
    </row>
    <row r="10245" spans="1:25" x14ac:dyDescent="0.25">
      <c r="A10245" t="str">
        <f>"131751710017"</f>
        <v>131751710017</v>
      </c>
      <c r="B10245" t="s">
        <v>1053</v>
      </c>
      <c r="C10245" t="s">
        <v>1799</v>
      </c>
      <c r="D10245" t="s">
        <v>39014</v>
      </c>
      <c r="E10245">
        <v>424006</v>
      </c>
      <c r="F10245" t="s">
        <v>1</v>
      </c>
      <c r="G10245" t="s">
        <v>2</v>
      </c>
      <c r="H10245" t="s">
        <v>1348</v>
      </c>
      <c r="I10245" t="s">
        <v>39015</v>
      </c>
      <c r="L10245" t="s">
        <v>39016</v>
      </c>
      <c r="M10245" t="s">
        <v>39017</v>
      </c>
      <c r="Y10245" t="s">
        <v>7609</v>
      </c>
    </row>
    <row r="10246" spans="1:25" x14ac:dyDescent="0.25">
      <c r="A10246" t="str">
        <f>"131769384462"</f>
        <v>131769384462</v>
      </c>
      <c r="B10246" t="s">
        <v>574</v>
      </c>
      <c r="C10246" t="s">
        <v>23462</v>
      </c>
      <c r="D10246" t="s">
        <v>27898</v>
      </c>
      <c r="E10246">
        <v>424028</v>
      </c>
      <c r="F10246" t="s">
        <v>1</v>
      </c>
      <c r="G10246" t="s">
        <v>2</v>
      </c>
      <c r="H10246" t="s">
        <v>1969</v>
      </c>
      <c r="Y10246" t="s">
        <v>39018</v>
      </c>
    </row>
    <row r="10247" spans="1:25" x14ac:dyDescent="0.25">
      <c r="A10247" t="str">
        <f>"131769959216"</f>
        <v>131769959216</v>
      </c>
      <c r="B10247" t="s">
        <v>67</v>
      </c>
      <c r="C10247" t="s">
        <v>27252</v>
      </c>
      <c r="D10247" t="s">
        <v>10280</v>
      </c>
      <c r="E10247">
        <v>424020</v>
      </c>
      <c r="F10247" t="s">
        <v>1</v>
      </c>
      <c r="G10247" t="s">
        <v>2</v>
      </c>
      <c r="H10247" t="s">
        <v>1997</v>
      </c>
      <c r="Y10247" t="s">
        <v>39019</v>
      </c>
    </row>
    <row r="10248" spans="1:25" x14ac:dyDescent="0.25">
      <c r="A10248" t="str">
        <f>"131781482152"</f>
        <v>131781482152</v>
      </c>
      <c r="B10248" t="s">
        <v>1352</v>
      </c>
      <c r="C10248" t="s">
        <v>1353</v>
      </c>
      <c r="D10248" t="s">
        <v>6723</v>
      </c>
      <c r="E10248">
        <v>424006</v>
      </c>
      <c r="F10248" t="s">
        <v>1</v>
      </c>
      <c r="G10248" t="s">
        <v>2</v>
      </c>
      <c r="H10248" t="s">
        <v>5846</v>
      </c>
      <c r="Y10248" t="s">
        <v>39020</v>
      </c>
    </row>
    <row r="10249" spans="1:25" x14ac:dyDescent="0.25">
      <c r="A10249" t="str">
        <f>"131842437651"</f>
        <v>131842437651</v>
      </c>
      <c r="B10249" t="s">
        <v>176</v>
      </c>
      <c r="C10249" t="s">
        <v>27547</v>
      </c>
      <c r="D10249" t="s">
        <v>27545</v>
      </c>
      <c r="F10249" t="s">
        <v>1</v>
      </c>
      <c r="G10249" t="s">
        <v>2</v>
      </c>
      <c r="H10249" t="s">
        <v>39021</v>
      </c>
      <c r="Y10249" t="s">
        <v>39022</v>
      </c>
    </row>
    <row r="10250" spans="1:25" x14ac:dyDescent="0.25">
      <c r="A10250" t="str">
        <f>"131889754419"</f>
        <v>131889754419</v>
      </c>
      <c r="B10250" t="s">
        <v>888</v>
      </c>
      <c r="C10250" t="s">
        <v>7389</v>
      </c>
      <c r="D10250" t="s">
        <v>39023</v>
      </c>
      <c r="F10250" t="s">
        <v>1</v>
      </c>
      <c r="G10250" t="s">
        <v>2</v>
      </c>
      <c r="H10250" t="s">
        <v>19499</v>
      </c>
      <c r="P10250" t="s">
        <v>144</v>
      </c>
      <c r="Y10250" t="s">
        <v>24185</v>
      </c>
    </row>
    <row r="10251" spans="1:25" x14ac:dyDescent="0.25">
      <c r="A10251" t="str">
        <f>"131901866411"</f>
        <v>131901866411</v>
      </c>
      <c r="B10251" t="s">
        <v>290</v>
      </c>
      <c r="C10251" t="s">
        <v>290</v>
      </c>
      <c r="D10251" t="s">
        <v>39024</v>
      </c>
      <c r="E10251">
        <v>424002</v>
      </c>
      <c r="F10251" t="s">
        <v>1</v>
      </c>
      <c r="G10251" t="s">
        <v>2</v>
      </c>
      <c r="H10251" t="s">
        <v>1946</v>
      </c>
      <c r="Y10251" t="s">
        <v>39025</v>
      </c>
    </row>
    <row r="10252" spans="1:25" x14ac:dyDescent="0.25">
      <c r="A10252" t="str">
        <f>"131930079988"</f>
        <v>131930079988</v>
      </c>
      <c r="B10252" t="s">
        <v>32</v>
      </c>
      <c r="C10252" t="s">
        <v>182</v>
      </c>
      <c r="D10252" t="s">
        <v>15659</v>
      </c>
      <c r="F10252" t="s">
        <v>1</v>
      </c>
      <c r="G10252" t="s">
        <v>2</v>
      </c>
      <c r="H10252" t="s">
        <v>138</v>
      </c>
      <c r="I10252" t="s">
        <v>39026</v>
      </c>
      <c r="P10252" t="s">
        <v>144</v>
      </c>
      <c r="Y10252" t="s">
        <v>146</v>
      </c>
    </row>
    <row r="10253" spans="1:25" x14ac:dyDescent="0.25">
      <c r="A10253" t="str">
        <f>"131971621878"</f>
        <v>131971621878</v>
      </c>
      <c r="B10253" t="s">
        <v>319</v>
      </c>
      <c r="C10253" t="s">
        <v>39031</v>
      </c>
      <c r="D10253" t="s">
        <v>39027</v>
      </c>
      <c r="E10253">
        <v>424000</v>
      </c>
      <c r="F10253" t="s">
        <v>1</v>
      </c>
      <c r="G10253" t="s">
        <v>2</v>
      </c>
      <c r="H10253" t="s">
        <v>1473</v>
      </c>
      <c r="J10253" t="s">
        <v>39028</v>
      </c>
      <c r="L10253" t="s">
        <v>39029</v>
      </c>
      <c r="M10253" t="s">
        <v>39030</v>
      </c>
      <c r="P10253" t="s">
        <v>941</v>
      </c>
      <c r="Q10253" t="s">
        <v>39032</v>
      </c>
      <c r="T10253" t="s">
        <v>39033</v>
      </c>
      <c r="Y10253" t="s">
        <v>4067</v>
      </c>
    </row>
    <row r="10254" spans="1:25" x14ac:dyDescent="0.25">
      <c r="A10254" t="str">
        <f>"132023586674"</f>
        <v>132023586674</v>
      </c>
      <c r="B10254" t="s">
        <v>2104</v>
      </c>
      <c r="C10254" t="s">
        <v>13387</v>
      </c>
      <c r="D10254" t="s">
        <v>31657</v>
      </c>
      <c r="E10254">
        <v>424038</v>
      </c>
      <c r="F10254" t="s">
        <v>1</v>
      </c>
      <c r="G10254" t="s">
        <v>2</v>
      </c>
      <c r="H10254" t="s">
        <v>14026</v>
      </c>
      <c r="Y10254" t="s">
        <v>39034</v>
      </c>
    </row>
    <row r="10255" spans="1:25" x14ac:dyDescent="0.25">
      <c r="A10255" t="str">
        <f>"132028546084"</f>
        <v>132028546084</v>
      </c>
      <c r="B10255" t="s">
        <v>3573</v>
      </c>
      <c r="C10255" t="s">
        <v>3644</v>
      </c>
      <c r="D10255" t="s">
        <v>13519</v>
      </c>
      <c r="E10255">
        <v>424020</v>
      </c>
      <c r="F10255" t="s">
        <v>1</v>
      </c>
      <c r="G10255" t="s">
        <v>2</v>
      </c>
      <c r="H10255" t="s">
        <v>10825</v>
      </c>
      <c r="I10255" t="s">
        <v>39035</v>
      </c>
      <c r="Y10255" t="s">
        <v>26856</v>
      </c>
    </row>
    <row r="10256" spans="1:25" x14ac:dyDescent="0.25">
      <c r="A10256" t="str">
        <f>"132034360147"</f>
        <v>132034360147</v>
      </c>
      <c r="B10256" t="s">
        <v>123</v>
      </c>
      <c r="C10256" t="s">
        <v>424</v>
      </c>
      <c r="D10256" t="s">
        <v>37514</v>
      </c>
      <c r="E10256">
        <v>424033</v>
      </c>
      <c r="F10256" t="s">
        <v>1</v>
      </c>
      <c r="G10256" t="s">
        <v>2</v>
      </c>
      <c r="H10256" t="s">
        <v>15428</v>
      </c>
      <c r="I10256" t="s">
        <v>39036</v>
      </c>
      <c r="P10256" t="s">
        <v>3039</v>
      </c>
      <c r="Y10256" t="s">
        <v>15430</v>
      </c>
    </row>
    <row r="10257" spans="1:25" x14ac:dyDescent="0.25">
      <c r="A10257" t="str">
        <f>"132055297438"</f>
        <v>132055297438</v>
      </c>
      <c r="B10257" t="s">
        <v>1573</v>
      </c>
      <c r="C10257" t="s">
        <v>39038</v>
      </c>
      <c r="D10257" t="s">
        <v>39037</v>
      </c>
      <c r="E10257">
        <v>424020</v>
      </c>
      <c r="F10257" t="s">
        <v>1</v>
      </c>
      <c r="G10257" t="s">
        <v>2</v>
      </c>
      <c r="H10257" t="s">
        <v>1997</v>
      </c>
      <c r="Y10257" t="s">
        <v>4383</v>
      </c>
    </row>
    <row r="10258" spans="1:25" x14ac:dyDescent="0.25">
      <c r="A10258" t="str">
        <f>"132060638785"</f>
        <v>132060638785</v>
      </c>
      <c r="B10258" t="s">
        <v>530</v>
      </c>
      <c r="C10258" t="s">
        <v>23950</v>
      </c>
      <c r="D10258" t="s">
        <v>23950</v>
      </c>
      <c r="F10258" t="s">
        <v>1</v>
      </c>
      <c r="G10258" t="s">
        <v>2</v>
      </c>
      <c r="H10258" t="s">
        <v>28650</v>
      </c>
      <c r="Y10258" t="s">
        <v>39039</v>
      </c>
    </row>
    <row r="10259" spans="1:25" x14ac:dyDescent="0.25">
      <c r="A10259" t="str">
        <f>"132061397567"</f>
        <v>132061397567</v>
      </c>
      <c r="B10259" t="s">
        <v>18</v>
      </c>
      <c r="C10259" t="s">
        <v>959</v>
      </c>
      <c r="D10259" t="s">
        <v>39040</v>
      </c>
      <c r="E10259">
        <v>424004</v>
      </c>
      <c r="F10259" t="s">
        <v>1</v>
      </c>
      <c r="G10259" t="s">
        <v>2</v>
      </c>
      <c r="H10259" t="s">
        <v>9044</v>
      </c>
      <c r="I10259" t="s">
        <v>39041</v>
      </c>
      <c r="P10259" t="s">
        <v>280</v>
      </c>
      <c r="Y10259" t="s">
        <v>9046</v>
      </c>
    </row>
    <row r="10260" spans="1:25" x14ac:dyDescent="0.25">
      <c r="A10260" t="str">
        <f>"132136024428"</f>
        <v>132136024428</v>
      </c>
      <c r="B10260" t="s">
        <v>624</v>
      </c>
      <c r="C10260" t="s">
        <v>36231</v>
      </c>
      <c r="D10260" t="s">
        <v>9348</v>
      </c>
      <c r="F10260" t="s">
        <v>1</v>
      </c>
      <c r="G10260" t="s">
        <v>2</v>
      </c>
      <c r="H10260" t="s">
        <v>23969</v>
      </c>
      <c r="I10260" t="s">
        <v>9349</v>
      </c>
      <c r="J10260" t="s">
        <v>9350</v>
      </c>
      <c r="L10260" t="s">
        <v>9351</v>
      </c>
      <c r="M10260" t="s">
        <v>39042</v>
      </c>
      <c r="P10260" t="s">
        <v>6236</v>
      </c>
      <c r="Y10260" t="s">
        <v>39043</v>
      </c>
    </row>
    <row r="10261" spans="1:25" x14ac:dyDescent="0.25">
      <c r="A10261" t="str">
        <f>"132165595307"</f>
        <v>132165595307</v>
      </c>
      <c r="B10261" t="s">
        <v>574</v>
      </c>
      <c r="C10261" t="s">
        <v>21805</v>
      </c>
      <c r="D10261" t="s">
        <v>14652</v>
      </c>
      <c r="E10261">
        <v>424000</v>
      </c>
      <c r="F10261" t="s">
        <v>1</v>
      </c>
      <c r="G10261" t="s">
        <v>2</v>
      </c>
      <c r="H10261" t="s">
        <v>1531</v>
      </c>
      <c r="Y10261" t="s">
        <v>39044</v>
      </c>
    </row>
    <row r="10262" spans="1:25" x14ac:dyDescent="0.25">
      <c r="A10262" t="str">
        <f>"132211238417"</f>
        <v>132211238417</v>
      </c>
      <c r="B10262" t="s">
        <v>530</v>
      </c>
      <c r="C10262" t="s">
        <v>23950</v>
      </c>
      <c r="D10262" t="s">
        <v>23950</v>
      </c>
      <c r="F10262" t="s">
        <v>1</v>
      </c>
      <c r="G10262" t="s">
        <v>2</v>
      </c>
      <c r="H10262" t="s">
        <v>25102</v>
      </c>
      <c r="Y10262" t="s">
        <v>39045</v>
      </c>
    </row>
    <row r="10263" spans="1:25" x14ac:dyDescent="0.25">
      <c r="A10263" t="str">
        <f>"132217846249"</f>
        <v>132217846249</v>
      </c>
      <c r="B10263" t="s">
        <v>96</v>
      </c>
      <c r="C10263" t="s">
        <v>695</v>
      </c>
      <c r="D10263" t="s">
        <v>24312</v>
      </c>
      <c r="E10263">
        <v>424006</v>
      </c>
      <c r="F10263" t="s">
        <v>1</v>
      </c>
      <c r="G10263" t="s">
        <v>2</v>
      </c>
      <c r="H10263" t="s">
        <v>14173</v>
      </c>
      <c r="I10263" t="s">
        <v>39046</v>
      </c>
      <c r="P10263" t="s">
        <v>112</v>
      </c>
      <c r="Y10263" t="s">
        <v>19686</v>
      </c>
    </row>
    <row r="10264" spans="1:25" x14ac:dyDescent="0.25">
      <c r="A10264" t="str">
        <f>"132251011539"</f>
        <v>132251011539</v>
      </c>
      <c r="B10264" t="s">
        <v>930</v>
      </c>
      <c r="C10264" t="s">
        <v>1096</v>
      </c>
      <c r="D10264" t="s">
        <v>39047</v>
      </c>
      <c r="E10264">
        <v>424028</v>
      </c>
      <c r="F10264" t="s">
        <v>1</v>
      </c>
      <c r="G10264" t="s">
        <v>2</v>
      </c>
      <c r="H10264" t="s">
        <v>39048</v>
      </c>
      <c r="I10264" t="s">
        <v>9824</v>
      </c>
      <c r="J10264" t="s">
        <v>9825</v>
      </c>
      <c r="P10264" t="s">
        <v>1160</v>
      </c>
      <c r="Y10264" t="s">
        <v>39049</v>
      </c>
    </row>
    <row r="10265" spans="1:25" x14ac:dyDescent="0.25">
      <c r="A10265" t="str">
        <f>"132251634107"</f>
        <v>132251634107</v>
      </c>
      <c r="B10265" t="s">
        <v>985</v>
      </c>
      <c r="C10265" t="s">
        <v>39051</v>
      </c>
      <c r="D10265" t="s">
        <v>39050</v>
      </c>
      <c r="E10265">
        <v>424031</v>
      </c>
      <c r="F10265" t="s">
        <v>1</v>
      </c>
      <c r="G10265" t="s">
        <v>2</v>
      </c>
      <c r="H10265" t="s">
        <v>16588</v>
      </c>
      <c r="Y10265" t="s">
        <v>39052</v>
      </c>
    </row>
    <row r="10266" spans="1:25" x14ac:dyDescent="0.25">
      <c r="A10266" t="str">
        <f>"132252125274"</f>
        <v>132252125274</v>
      </c>
      <c r="B10266" t="s">
        <v>25</v>
      </c>
      <c r="C10266" t="s">
        <v>20320</v>
      </c>
      <c r="D10266" t="s">
        <v>39053</v>
      </c>
      <c r="E10266">
        <v>424008</v>
      </c>
      <c r="F10266" t="s">
        <v>1</v>
      </c>
      <c r="G10266" t="s">
        <v>2</v>
      </c>
      <c r="H10266" t="s">
        <v>39054</v>
      </c>
      <c r="J10266" t="s">
        <v>39055</v>
      </c>
      <c r="P10266" t="s">
        <v>216</v>
      </c>
      <c r="V10266" t="s">
        <v>39056</v>
      </c>
      <c r="Y10266" t="s">
        <v>39057</v>
      </c>
    </row>
    <row r="10267" spans="1:25" x14ac:dyDescent="0.25">
      <c r="A10267" t="str">
        <f>"132267274962"</f>
        <v>132267274962</v>
      </c>
      <c r="B10267" t="s">
        <v>462</v>
      </c>
      <c r="C10267" t="s">
        <v>1140</v>
      </c>
      <c r="D10267" t="s">
        <v>30665</v>
      </c>
      <c r="E10267">
        <v>424008</v>
      </c>
      <c r="F10267" t="s">
        <v>1</v>
      </c>
      <c r="G10267" t="s">
        <v>2</v>
      </c>
      <c r="H10267" t="s">
        <v>528</v>
      </c>
      <c r="Y10267" t="s">
        <v>39058</v>
      </c>
    </row>
    <row r="10268" spans="1:25" x14ac:dyDescent="0.25">
      <c r="A10268" t="str">
        <f>"132268248362"</f>
        <v>132268248362</v>
      </c>
      <c r="B10268" t="s">
        <v>1343</v>
      </c>
      <c r="C10268" t="s">
        <v>13544</v>
      </c>
      <c r="D10268" t="s">
        <v>39059</v>
      </c>
      <c r="E10268">
        <v>424019</v>
      </c>
      <c r="F10268" t="s">
        <v>1</v>
      </c>
      <c r="G10268" t="s">
        <v>2</v>
      </c>
      <c r="H10268" t="s">
        <v>20692</v>
      </c>
      <c r="Y10268" t="s">
        <v>39060</v>
      </c>
    </row>
    <row r="10269" spans="1:25" x14ac:dyDescent="0.25">
      <c r="A10269" t="str">
        <f>"132296905637"</f>
        <v>132296905637</v>
      </c>
      <c r="B10269" t="s">
        <v>284</v>
      </c>
      <c r="C10269" t="s">
        <v>2462</v>
      </c>
      <c r="D10269" t="s">
        <v>39061</v>
      </c>
      <c r="E10269">
        <v>424007</v>
      </c>
      <c r="F10269" t="s">
        <v>1</v>
      </c>
      <c r="G10269" t="s">
        <v>2</v>
      </c>
      <c r="H10269" t="s">
        <v>39062</v>
      </c>
      <c r="Y10269" t="s">
        <v>33260</v>
      </c>
    </row>
    <row r="10270" spans="1:25" x14ac:dyDescent="0.25">
      <c r="A10270" t="str">
        <f>"132315902249"</f>
        <v>132315902249</v>
      </c>
      <c r="B10270" t="s">
        <v>930</v>
      </c>
      <c r="C10270" t="s">
        <v>15966</v>
      </c>
      <c r="D10270" t="s">
        <v>1094</v>
      </c>
      <c r="F10270" t="s">
        <v>1</v>
      </c>
      <c r="G10270" t="s">
        <v>2</v>
      </c>
      <c r="H10270" t="s">
        <v>37451</v>
      </c>
      <c r="J10270" t="s">
        <v>39063</v>
      </c>
      <c r="L10270" t="s">
        <v>39064</v>
      </c>
      <c r="M10270" t="s">
        <v>39065</v>
      </c>
      <c r="P10270" t="s">
        <v>34</v>
      </c>
      <c r="Y10270" t="s">
        <v>39066</v>
      </c>
    </row>
    <row r="10271" spans="1:25" x14ac:dyDescent="0.25">
      <c r="A10271" t="str">
        <f>"132345173345"</f>
        <v>132345173345</v>
      </c>
      <c r="B10271" t="s">
        <v>1262</v>
      </c>
      <c r="C10271" t="s">
        <v>3214</v>
      </c>
      <c r="D10271" t="s">
        <v>23541</v>
      </c>
      <c r="E10271">
        <v>424002</v>
      </c>
      <c r="F10271" t="s">
        <v>1</v>
      </c>
      <c r="G10271" t="s">
        <v>2</v>
      </c>
      <c r="H10271" t="s">
        <v>744</v>
      </c>
      <c r="P10271" t="s">
        <v>748</v>
      </c>
      <c r="Y10271" t="s">
        <v>749</v>
      </c>
    </row>
    <row r="10272" spans="1:25" x14ac:dyDescent="0.25">
      <c r="A10272" t="str">
        <f>"132349999418"</f>
        <v>132349999418</v>
      </c>
      <c r="B10272" t="s">
        <v>39072</v>
      </c>
      <c r="C10272" t="s">
        <v>39073</v>
      </c>
      <c r="D10272" t="s">
        <v>39067</v>
      </c>
      <c r="E10272">
        <v>424006</v>
      </c>
      <c r="F10272" t="s">
        <v>1</v>
      </c>
      <c r="G10272" t="s">
        <v>2</v>
      </c>
      <c r="H10272" t="s">
        <v>1436</v>
      </c>
      <c r="I10272" t="s">
        <v>39068</v>
      </c>
      <c r="J10272" t="s">
        <v>39069</v>
      </c>
      <c r="L10272" t="s">
        <v>39070</v>
      </c>
      <c r="M10272" t="s">
        <v>39071</v>
      </c>
      <c r="P10272" t="s">
        <v>152</v>
      </c>
      <c r="Q10272" t="s">
        <v>39074</v>
      </c>
      <c r="T10272" t="s">
        <v>39075</v>
      </c>
      <c r="U10272" t="s">
        <v>39076</v>
      </c>
      <c r="Y10272" t="s">
        <v>1443</v>
      </c>
    </row>
    <row r="10273" spans="1:25" x14ac:dyDescent="0.25">
      <c r="A10273" t="str">
        <f>"132351822686"</f>
        <v>132351822686</v>
      </c>
      <c r="B10273" t="s">
        <v>284</v>
      </c>
      <c r="C10273" t="s">
        <v>711</v>
      </c>
      <c r="D10273" t="s">
        <v>39077</v>
      </c>
      <c r="E10273">
        <v>424006</v>
      </c>
      <c r="F10273" t="s">
        <v>1</v>
      </c>
      <c r="G10273" t="s">
        <v>2</v>
      </c>
      <c r="H10273" t="s">
        <v>4628</v>
      </c>
      <c r="I10273" t="s">
        <v>39078</v>
      </c>
      <c r="P10273" t="s">
        <v>2280</v>
      </c>
      <c r="Y10273" t="s">
        <v>6884</v>
      </c>
    </row>
    <row r="10274" spans="1:25" x14ac:dyDescent="0.25">
      <c r="A10274" t="str">
        <f>"132369170163"</f>
        <v>132369170163</v>
      </c>
      <c r="B10274" t="s">
        <v>67</v>
      </c>
      <c r="C10274" t="s">
        <v>27252</v>
      </c>
      <c r="D10274" t="s">
        <v>10280</v>
      </c>
      <c r="E10274">
        <v>424038</v>
      </c>
      <c r="F10274" t="s">
        <v>1</v>
      </c>
      <c r="G10274" t="s">
        <v>2</v>
      </c>
      <c r="H10274" t="s">
        <v>9930</v>
      </c>
      <c r="Y10274" t="s">
        <v>39079</v>
      </c>
    </row>
    <row r="10275" spans="1:25" x14ac:dyDescent="0.25">
      <c r="A10275" t="str">
        <f>"132397469542"</f>
        <v>132397469542</v>
      </c>
      <c r="B10275" t="s">
        <v>3652</v>
      </c>
      <c r="C10275" t="s">
        <v>14101</v>
      </c>
      <c r="D10275" t="s">
        <v>39080</v>
      </c>
      <c r="E10275">
        <v>424016</v>
      </c>
      <c r="F10275" t="s">
        <v>1</v>
      </c>
      <c r="G10275" t="s">
        <v>2</v>
      </c>
      <c r="H10275" t="s">
        <v>18429</v>
      </c>
      <c r="J10275" t="s">
        <v>39081</v>
      </c>
      <c r="P10275" t="s">
        <v>39082</v>
      </c>
      <c r="Y10275" t="s">
        <v>34243</v>
      </c>
    </row>
    <row r="10276" spans="1:25" x14ac:dyDescent="0.25">
      <c r="A10276" t="str">
        <f>"132421858513"</f>
        <v>132421858513</v>
      </c>
      <c r="B10276" t="s">
        <v>348</v>
      </c>
      <c r="C10276" t="s">
        <v>39087</v>
      </c>
      <c r="D10276" t="s">
        <v>39083</v>
      </c>
      <c r="E10276">
        <v>424032</v>
      </c>
      <c r="F10276" t="s">
        <v>1</v>
      </c>
      <c r="G10276" t="s">
        <v>2</v>
      </c>
      <c r="H10276" t="s">
        <v>5699</v>
      </c>
      <c r="I10276" t="s">
        <v>39084</v>
      </c>
      <c r="L10276" t="s">
        <v>39085</v>
      </c>
      <c r="M10276" t="s">
        <v>39086</v>
      </c>
      <c r="P10276" t="s">
        <v>5703</v>
      </c>
      <c r="Y10276" t="s">
        <v>5709</v>
      </c>
    </row>
    <row r="10277" spans="1:25" x14ac:dyDescent="0.25">
      <c r="A10277" t="str">
        <f>"132444238053"</f>
        <v>132444238053</v>
      </c>
      <c r="B10277" t="s">
        <v>930</v>
      </c>
      <c r="C10277" t="s">
        <v>23108</v>
      </c>
      <c r="D10277" t="s">
        <v>39088</v>
      </c>
      <c r="E10277">
        <v>424006</v>
      </c>
      <c r="F10277" t="s">
        <v>1</v>
      </c>
      <c r="G10277" t="s">
        <v>2</v>
      </c>
      <c r="H10277" t="s">
        <v>38412</v>
      </c>
      <c r="I10277" t="s">
        <v>39089</v>
      </c>
      <c r="P10277" t="s">
        <v>39090</v>
      </c>
      <c r="Y10277" t="s">
        <v>39091</v>
      </c>
    </row>
    <row r="10278" spans="1:25" x14ac:dyDescent="0.25">
      <c r="A10278" t="str">
        <f>"132458217203"</f>
        <v>132458217203</v>
      </c>
      <c r="B10278" t="s">
        <v>96</v>
      </c>
      <c r="C10278" t="s">
        <v>5155</v>
      </c>
      <c r="D10278" t="s">
        <v>22202</v>
      </c>
      <c r="E10278">
        <v>424019</v>
      </c>
      <c r="F10278" t="s">
        <v>1</v>
      </c>
      <c r="G10278" t="s">
        <v>2</v>
      </c>
      <c r="H10278" t="s">
        <v>12105</v>
      </c>
      <c r="Y10278" t="s">
        <v>39092</v>
      </c>
    </row>
    <row r="10279" spans="1:25" x14ac:dyDescent="0.25">
      <c r="A10279" t="str">
        <f>"132463756219"</f>
        <v>132463756219</v>
      </c>
      <c r="B10279" t="s">
        <v>1152</v>
      </c>
      <c r="C10279" t="s">
        <v>8449</v>
      </c>
      <c r="D10279" t="s">
        <v>39093</v>
      </c>
      <c r="E10279">
        <v>424005</v>
      </c>
      <c r="F10279" t="s">
        <v>1</v>
      </c>
      <c r="G10279" t="s">
        <v>2</v>
      </c>
      <c r="H10279" t="s">
        <v>6843</v>
      </c>
      <c r="I10279" t="s">
        <v>39094</v>
      </c>
      <c r="J10279" t="s">
        <v>39095</v>
      </c>
      <c r="M10279" t="s">
        <v>39096</v>
      </c>
      <c r="P10279" t="s">
        <v>39097</v>
      </c>
      <c r="Y10279" t="s">
        <v>39098</v>
      </c>
    </row>
    <row r="10280" spans="1:25" x14ac:dyDescent="0.25">
      <c r="A10280" t="str">
        <f>"132538686525"</f>
        <v>132538686525</v>
      </c>
      <c r="B10280" t="s">
        <v>32</v>
      </c>
      <c r="C10280" t="s">
        <v>20137</v>
      </c>
      <c r="D10280" t="s">
        <v>39099</v>
      </c>
      <c r="F10280" t="s">
        <v>1</v>
      </c>
      <c r="G10280" t="s">
        <v>2</v>
      </c>
      <c r="H10280" t="s">
        <v>19499</v>
      </c>
      <c r="P10280" t="s">
        <v>144</v>
      </c>
      <c r="Y10280" t="s">
        <v>26741</v>
      </c>
    </row>
    <row r="10281" spans="1:25" x14ac:dyDescent="0.25">
      <c r="A10281" t="str">
        <f>"132538706667"</f>
        <v>132538706667</v>
      </c>
      <c r="B10281" t="s">
        <v>574</v>
      </c>
      <c r="C10281" t="s">
        <v>26901</v>
      </c>
      <c r="D10281" t="s">
        <v>39100</v>
      </c>
      <c r="E10281">
        <v>424004</v>
      </c>
      <c r="F10281" t="s">
        <v>1</v>
      </c>
      <c r="G10281" t="s">
        <v>2</v>
      </c>
      <c r="H10281" t="s">
        <v>12781</v>
      </c>
      <c r="J10281" t="s">
        <v>39101</v>
      </c>
      <c r="P10281" t="s">
        <v>330</v>
      </c>
      <c r="Y10281" t="s">
        <v>14082</v>
      </c>
    </row>
    <row r="10282" spans="1:25" x14ac:dyDescent="0.25">
      <c r="A10282" t="str">
        <f>"132567175969"</f>
        <v>132567175969</v>
      </c>
      <c r="B10282" t="s">
        <v>430</v>
      </c>
      <c r="C10282" t="s">
        <v>11849</v>
      </c>
      <c r="D10282" t="s">
        <v>10135</v>
      </c>
      <c r="E10282">
        <v>424002</v>
      </c>
      <c r="F10282" t="s">
        <v>1</v>
      </c>
      <c r="G10282" t="s">
        <v>2</v>
      </c>
      <c r="H10282" t="s">
        <v>2664</v>
      </c>
      <c r="I10282" t="s">
        <v>39102</v>
      </c>
      <c r="J10282" t="s">
        <v>39103</v>
      </c>
      <c r="P10282" t="s">
        <v>9820</v>
      </c>
      <c r="Y10282" t="s">
        <v>34954</v>
      </c>
    </row>
    <row r="10283" spans="1:25" x14ac:dyDescent="0.25">
      <c r="A10283" t="str">
        <f>"132602350893"</f>
        <v>132602350893</v>
      </c>
      <c r="B10283" t="s">
        <v>574</v>
      </c>
      <c r="C10283" t="s">
        <v>9802</v>
      </c>
      <c r="D10283" t="s">
        <v>39104</v>
      </c>
      <c r="E10283">
        <v>424000</v>
      </c>
      <c r="F10283" t="s">
        <v>1</v>
      </c>
      <c r="G10283" t="s">
        <v>2</v>
      </c>
      <c r="H10283" t="s">
        <v>17190</v>
      </c>
      <c r="P10283" t="s">
        <v>8215</v>
      </c>
      <c r="Y10283" t="s">
        <v>39105</v>
      </c>
    </row>
    <row r="10284" spans="1:25" x14ac:dyDescent="0.25">
      <c r="A10284" t="str">
        <f>"132609355775"</f>
        <v>132609355775</v>
      </c>
      <c r="B10284" t="s">
        <v>930</v>
      </c>
      <c r="C10284" t="s">
        <v>30942</v>
      </c>
      <c r="D10284" t="s">
        <v>38796</v>
      </c>
      <c r="E10284">
        <v>424006</v>
      </c>
      <c r="F10284" t="s">
        <v>1</v>
      </c>
      <c r="G10284" t="s">
        <v>2</v>
      </c>
      <c r="H10284" t="s">
        <v>5001</v>
      </c>
      <c r="I10284" t="s">
        <v>39106</v>
      </c>
      <c r="P10284" t="s">
        <v>27</v>
      </c>
      <c r="Y10284" t="s">
        <v>39107</v>
      </c>
    </row>
    <row r="10285" spans="1:25" x14ac:dyDescent="0.25">
      <c r="A10285" t="str">
        <f>"132625567312"</f>
        <v>132625567312</v>
      </c>
      <c r="B10285" t="s">
        <v>1152</v>
      </c>
      <c r="C10285" t="s">
        <v>1153</v>
      </c>
      <c r="D10285" t="s">
        <v>24071</v>
      </c>
      <c r="E10285">
        <v>424030</v>
      </c>
      <c r="F10285" t="s">
        <v>1</v>
      </c>
      <c r="G10285" t="s">
        <v>2</v>
      </c>
      <c r="H10285" t="s">
        <v>34081</v>
      </c>
      <c r="Y10285" t="s">
        <v>39108</v>
      </c>
    </row>
    <row r="10286" spans="1:25" x14ac:dyDescent="0.25">
      <c r="A10286" t="str">
        <f>"132636587009"</f>
        <v>132636587009</v>
      </c>
      <c r="B10286" t="s">
        <v>10383</v>
      </c>
      <c r="C10286" t="s">
        <v>24146</v>
      </c>
      <c r="D10286" t="s">
        <v>24146</v>
      </c>
      <c r="F10286" t="s">
        <v>1</v>
      </c>
      <c r="G10286" t="s">
        <v>2</v>
      </c>
      <c r="H10286" t="s">
        <v>27873</v>
      </c>
      <c r="Y10286" t="s">
        <v>39109</v>
      </c>
    </row>
    <row r="10287" spans="1:25" x14ac:dyDescent="0.25">
      <c r="A10287" t="str">
        <f>"132644665414"</f>
        <v>132644665414</v>
      </c>
      <c r="B10287" t="s">
        <v>319</v>
      </c>
      <c r="C10287" t="s">
        <v>320</v>
      </c>
      <c r="D10287" t="s">
        <v>39110</v>
      </c>
      <c r="E10287">
        <v>424008</v>
      </c>
      <c r="F10287" t="s">
        <v>1</v>
      </c>
      <c r="G10287" t="s">
        <v>2</v>
      </c>
      <c r="H10287" t="s">
        <v>29445</v>
      </c>
      <c r="I10287" t="s">
        <v>39111</v>
      </c>
      <c r="P10287" t="s">
        <v>2923</v>
      </c>
      <c r="Y10287" t="s">
        <v>39112</v>
      </c>
    </row>
    <row r="10288" spans="1:25" x14ac:dyDescent="0.25">
      <c r="A10288" t="str">
        <f>"132683290730"</f>
        <v>132683290730</v>
      </c>
      <c r="B10288" t="s">
        <v>930</v>
      </c>
      <c r="C10288" t="s">
        <v>1096</v>
      </c>
      <c r="D10288" t="s">
        <v>11566</v>
      </c>
      <c r="E10288">
        <v>424006</v>
      </c>
      <c r="F10288" t="s">
        <v>1</v>
      </c>
      <c r="G10288" t="s">
        <v>2</v>
      </c>
      <c r="H10288" t="s">
        <v>2012</v>
      </c>
      <c r="P10288" t="s">
        <v>152</v>
      </c>
      <c r="Y10288" t="s">
        <v>2016</v>
      </c>
    </row>
    <row r="10289" spans="1:25" x14ac:dyDescent="0.25">
      <c r="A10289" t="str">
        <f>"132683927484"</f>
        <v>132683927484</v>
      </c>
      <c r="B10289" t="s">
        <v>96</v>
      </c>
      <c r="C10289" t="s">
        <v>39115</v>
      </c>
      <c r="D10289" t="s">
        <v>39113</v>
      </c>
      <c r="E10289">
        <v>424033</v>
      </c>
      <c r="F10289" t="s">
        <v>1</v>
      </c>
      <c r="G10289" t="s">
        <v>2</v>
      </c>
      <c r="H10289" t="s">
        <v>3984</v>
      </c>
      <c r="J10289" t="s">
        <v>39114</v>
      </c>
      <c r="Q10289" t="s">
        <v>39116</v>
      </c>
      <c r="Y10289" t="s">
        <v>4409</v>
      </c>
    </row>
    <row r="10290" spans="1:25" x14ac:dyDescent="0.25">
      <c r="A10290" t="str">
        <f>"132704499825"</f>
        <v>132704499825</v>
      </c>
      <c r="B10290" t="s">
        <v>530</v>
      </c>
      <c r="C10290" t="s">
        <v>23950</v>
      </c>
      <c r="D10290" t="s">
        <v>23950</v>
      </c>
      <c r="E10290">
        <v>424030</v>
      </c>
      <c r="F10290" t="s">
        <v>1</v>
      </c>
      <c r="G10290" t="s">
        <v>2</v>
      </c>
      <c r="H10290" t="s">
        <v>39117</v>
      </c>
      <c r="Y10290" t="s">
        <v>39118</v>
      </c>
    </row>
    <row r="10291" spans="1:25" x14ac:dyDescent="0.25">
      <c r="A10291" t="str">
        <f>"132716840266"</f>
        <v>132716840266</v>
      </c>
      <c r="B10291" t="s">
        <v>18</v>
      </c>
      <c r="C10291" t="s">
        <v>9090</v>
      </c>
      <c r="D10291" t="s">
        <v>39119</v>
      </c>
      <c r="F10291" t="s">
        <v>1</v>
      </c>
      <c r="G10291" t="s">
        <v>2</v>
      </c>
      <c r="H10291" t="s">
        <v>28793</v>
      </c>
      <c r="I10291" t="s">
        <v>39120</v>
      </c>
      <c r="J10291" t="s">
        <v>39121</v>
      </c>
      <c r="L10291" t="s">
        <v>17048</v>
      </c>
      <c r="M10291" t="s">
        <v>17049</v>
      </c>
      <c r="P10291" t="s">
        <v>39122</v>
      </c>
      <c r="Y10291" t="s">
        <v>39123</v>
      </c>
    </row>
    <row r="10292" spans="1:25" x14ac:dyDescent="0.25">
      <c r="A10292" t="str">
        <f>"132731190578"</f>
        <v>132731190578</v>
      </c>
      <c r="B10292" t="s">
        <v>96</v>
      </c>
      <c r="C10292" t="s">
        <v>20677</v>
      </c>
      <c r="D10292" t="s">
        <v>22094</v>
      </c>
      <c r="E10292">
        <v>424020</v>
      </c>
      <c r="F10292" t="s">
        <v>1</v>
      </c>
      <c r="G10292" t="s">
        <v>2</v>
      </c>
      <c r="H10292" t="s">
        <v>2112</v>
      </c>
      <c r="I10292" t="s">
        <v>21303</v>
      </c>
      <c r="P10292" t="s">
        <v>1404</v>
      </c>
      <c r="Y10292" t="s">
        <v>39124</v>
      </c>
    </row>
    <row r="10293" spans="1:25" x14ac:dyDescent="0.25">
      <c r="A10293" t="str">
        <f>"132736360746"</f>
        <v>132736360746</v>
      </c>
      <c r="B10293" t="s">
        <v>530</v>
      </c>
      <c r="C10293" t="s">
        <v>23950</v>
      </c>
      <c r="D10293" t="s">
        <v>23950</v>
      </c>
      <c r="E10293">
        <v>424040</v>
      </c>
      <c r="F10293" t="s">
        <v>1</v>
      </c>
      <c r="G10293" t="s">
        <v>2</v>
      </c>
      <c r="H10293" t="s">
        <v>7927</v>
      </c>
      <c r="Y10293" t="s">
        <v>39125</v>
      </c>
    </row>
    <row r="10294" spans="1:25" x14ac:dyDescent="0.25">
      <c r="A10294" t="str">
        <f>"132742606072"</f>
        <v>132742606072</v>
      </c>
      <c r="B10294" t="s">
        <v>456</v>
      </c>
      <c r="C10294" t="s">
        <v>15908</v>
      </c>
      <c r="D10294" t="s">
        <v>39126</v>
      </c>
      <c r="E10294">
        <v>424006</v>
      </c>
      <c r="F10294" t="s">
        <v>1</v>
      </c>
      <c r="G10294" t="s">
        <v>2</v>
      </c>
      <c r="H10294" t="s">
        <v>4078</v>
      </c>
      <c r="J10294" t="s">
        <v>39127</v>
      </c>
      <c r="L10294" t="s">
        <v>39128</v>
      </c>
      <c r="M10294" t="s">
        <v>39129</v>
      </c>
      <c r="P10294" t="s">
        <v>280</v>
      </c>
      <c r="Q10294" t="s">
        <v>39130</v>
      </c>
      <c r="Y10294" t="s">
        <v>39131</v>
      </c>
    </row>
    <row r="10295" spans="1:25" x14ac:dyDescent="0.25">
      <c r="A10295" t="str">
        <f>"132871362100"</f>
        <v>132871362100</v>
      </c>
      <c r="B10295" t="s">
        <v>1611</v>
      </c>
      <c r="C10295" t="s">
        <v>3218</v>
      </c>
      <c r="D10295" t="s">
        <v>39132</v>
      </c>
      <c r="E10295">
        <v>424005</v>
      </c>
      <c r="F10295" t="s">
        <v>1</v>
      </c>
      <c r="G10295" t="s">
        <v>2</v>
      </c>
      <c r="H10295" t="s">
        <v>5429</v>
      </c>
      <c r="M10295" t="s">
        <v>39133</v>
      </c>
      <c r="P10295" t="s">
        <v>330</v>
      </c>
      <c r="Y10295" t="s">
        <v>5431</v>
      </c>
    </row>
    <row r="10296" spans="1:25" x14ac:dyDescent="0.25">
      <c r="A10296" t="str">
        <f>"132884178672"</f>
        <v>132884178672</v>
      </c>
      <c r="B10296" t="s">
        <v>1053</v>
      </c>
      <c r="C10296" t="s">
        <v>39136</v>
      </c>
      <c r="D10296" t="s">
        <v>30253</v>
      </c>
      <c r="E10296">
        <v>424028</v>
      </c>
      <c r="F10296" t="s">
        <v>1</v>
      </c>
      <c r="G10296" t="s">
        <v>2</v>
      </c>
      <c r="H10296" t="s">
        <v>39134</v>
      </c>
      <c r="I10296" t="s">
        <v>39135</v>
      </c>
      <c r="P10296" t="s">
        <v>20</v>
      </c>
      <c r="Y10296" t="s">
        <v>21402</v>
      </c>
    </row>
    <row r="10297" spans="1:25" x14ac:dyDescent="0.25">
      <c r="A10297" t="str">
        <f>"132898520569"</f>
        <v>132898520569</v>
      </c>
      <c r="B10297" t="s">
        <v>1343</v>
      </c>
      <c r="C10297" t="s">
        <v>13544</v>
      </c>
      <c r="D10297" t="s">
        <v>34723</v>
      </c>
      <c r="E10297">
        <v>424020</v>
      </c>
      <c r="F10297" t="s">
        <v>1</v>
      </c>
      <c r="G10297" t="s">
        <v>2</v>
      </c>
      <c r="H10297" t="s">
        <v>24402</v>
      </c>
      <c r="J10297" t="s">
        <v>39137</v>
      </c>
      <c r="L10297" t="s">
        <v>34726</v>
      </c>
      <c r="M10297" t="s">
        <v>34727</v>
      </c>
      <c r="P10297" t="s">
        <v>9785</v>
      </c>
      <c r="Q10297" t="s">
        <v>34728</v>
      </c>
      <c r="Y10297" t="s">
        <v>39138</v>
      </c>
    </row>
    <row r="10298" spans="1:25" x14ac:dyDescent="0.25">
      <c r="A10298" t="str">
        <f>"132911442921"</f>
        <v>132911442921</v>
      </c>
      <c r="B10298" t="s">
        <v>96</v>
      </c>
      <c r="C10298" t="s">
        <v>14551</v>
      </c>
      <c r="D10298" t="s">
        <v>37022</v>
      </c>
      <c r="E10298">
        <v>424000</v>
      </c>
      <c r="F10298" t="s">
        <v>1</v>
      </c>
      <c r="G10298" t="s">
        <v>2</v>
      </c>
      <c r="H10298" t="s">
        <v>86</v>
      </c>
      <c r="P10298" t="s">
        <v>24470</v>
      </c>
      <c r="Y10298" t="s">
        <v>90</v>
      </c>
    </row>
    <row r="10299" spans="1:25" x14ac:dyDescent="0.25">
      <c r="A10299" t="str">
        <f>"132943515784"</f>
        <v>132943515784</v>
      </c>
      <c r="B10299" t="s">
        <v>397</v>
      </c>
      <c r="C10299" t="s">
        <v>39140</v>
      </c>
      <c r="D10299" t="s">
        <v>39139</v>
      </c>
      <c r="E10299">
        <v>424003</v>
      </c>
      <c r="F10299" t="s">
        <v>1</v>
      </c>
      <c r="G10299" t="s">
        <v>2</v>
      </c>
      <c r="H10299" t="s">
        <v>10829</v>
      </c>
      <c r="Y10299" t="s">
        <v>39141</v>
      </c>
    </row>
    <row r="10300" spans="1:25" x14ac:dyDescent="0.25">
      <c r="A10300" t="str">
        <f>"132960787934"</f>
        <v>132960787934</v>
      </c>
      <c r="B10300" t="s">
        <v>96</v>
      </c>
      <c r="C10300" t="s">
        <v>5155</v>
      </c>
      <c r="D10300" t="s">
        <v>32178</v>
      </c>
      <c r="E10300">
        <v>424000</v>
      </c>
      <c r="F10300" t="s">
        <v>1</v>
      </c>
      <c r="G10300" t="s">
        <v>2</v>
      </c>
      <c r="H10300" t="s">
        <v>1473</v>
      </c>
      <c r="J10300" t="s">
        <v>39142</v>
      </c>
      <c r="P10300" t="s">
        <v>941</v>
      </c>
      <c r="V10300" t="s">
        <v>39143</v>
      </c>
      <c r="Y10300" t="s">
        <v>4067</v>
      </c>
    </row>
    <row r="10301" spans="1:25" x14ac:dyDescent="0.25">
      <c r="A10301" t="str">
        <f>"132968277819"</f>
        <v>132968277819</v>
      </c>
      <c r="B10301" t="s">
        <v>1544</v>
      </c>
      <c r="C10301" t="s">
        <v>7974</v>
      </c>
      <c r="D10301" t="s">
        <v>37975</v>
      </c>
      <c r="E10301">
        <v>424006</v>
      </c>
      <c r="F10301" t="s">
        <v>1</v>
      </c>
      <c r="G10301" t="s">
        <v>2</v>
      </c>
      <c r="H10301" t="s">
        <v>15013</v>
      </c>
      <c r="Y10301" t="s">
        <v>29282</v>
      </c>
    </row>
    <row r="10302" spans="1:25" x14ac:dyDescent="0.25">
      <c r="A10302" t="str">
        <f>"132969588001"</f>
        <v>132969588001</v>
      </c>
      <c r="B10302" t="s">
        <v>32</v>
      </c>
      <c r="C10302" t="s">
        <v>5809</v>
      </c>
      <c r="D10302" t="s">
        <v>26354</v>
      </c>
      <c r="E10302">
        <v>424002</v>
      </c>
      <c r="F10302" t="s">
        <v>1</v>
      </c>
      <c r="G10302" t="s">
        <v>2</v>
      </c>
      <c r="H10302" t="s">
        <v>12917</v>
      </c>
      <c r="I10302" t="s">
        <v>39144</v>
      </c>
      <c r="L10302" t="s">
        <v>39145</v>
      </c>
      <c r="P10302" t="s">
        <v>2738</v>
      </c>
      <c r="Q10302" t="s">
        <v>26358</v>
      </c>
      <c r="V10302" t="s">
        <v>26359</v>
      </c>
      <c r="Y10302" t="s">
        <v>39146</v>
      </c>
    </row>
    <row r="10303" spans="1:25" x14ac:dyDescent="0.25">
      <c r="A10303" t="str">
        <f>"132972297403"</f>
        <v>132972297403</v>
      </c>
      <c r="B10303" t="s">
        <v>3573</v>
      </c>
      <c r="C10303" t="s">
        <v>39151</v>
      </c>
      <c r="D10303" t="s">
        <v>39147</v>
      </c>
      <c r="E10303">
        <v>424000</v>
      </c>
      <c r="F10303" t="s">
        <v>1</v>
      </c>
      <c r="G10303" t="s">
        <v>2</v>
      </c>
      <c r="H10303" t="s">
        <v>1531</v>
      </c>
      <c r="I10303" t="s">
        <v>39148</v>
      </c>
      <c r="L10303" t="s">
        <v>39149</v>
      </c>
      <c r="M10303" t="s">
        <v>39150</v>
      </c>
      <c r="P10303" t="s">
        <v>27</v>
      </c>
      <c r="Q10303" t="s">
        <v>39152</v>
      </c>
      <c r="R10303" t="s">
        <v>39153</v>
      </c>
      <c r="S10303" t="s">
        <v>39154</v>
      </c>
      <c r="T10303" t="s">
        <v>39155</v>
      </c>
      <c r="V10303" t="s">
        <v>39156</v>
      </c>
      <c r="Y10303" t="s">
        <v>1707</v>
      </c>
    </row>
    <row r="10304" spans="1:25" x14ac:dyDescent="0.25">
      <c r="A10304" t="str">
        <f>"132981944406"</f>
        <v>132981944406</v>
      </c>
      <c r="B10304" t="s">
        <v>9815</v>
      </c>
      <c r="C10304" t="s">
        <v>11298</v>
      </c>
      <c r="D10304" t="s">
        <v>34852</v>
      </c>
      <c r="F10304" t="s">
        <v>1</v>
      </c>
      <c r="G10304" t="s">
        <v>2</v>
      </c>
      <c r="H10304" t="s">
        <v>6365</v>
      </c>
      <c r="Y10304" t="s">
        <v>39157</v>
      </c>
    </row>
    <row r="10305" spans="1:25" x14ac:dyDescent="0.25">
      <c r="A10305" t="str">
        <f>"132996468864"</f>
        <v>132996468864</v>
      </c>
      <c r="B10305" t="s">
        <v>110</v>
      </c>
      <c r="C10305" t="s">
        <v>111</v>
      </c>
      <c r="D10305" t="s">
        <v>39158</v>
      </c>
      <c r="E10305">
        <v>424004</v>
      </c>
      <c r="F10305" t="s">
        <v>1</v>
      </c>
      <c r="G10305" t="s">
        <v>2</v>
      </c>
      <c r="H10305" t="s">
        <v>3266</v>
      </c>
      <c r="Y10305" t="s">
        <v>39159</v>
      </c>
    </row>
    <row r="10306" spans="1:25" x14ac:dyDescent="0.25">
      <c r="A10306" t="str">
        <f>"133015399963"</f>
        <v>133015399963</v>
      </c>
      <c r="B10306" t="s">
        <v>96</v>
      </c>
      <c r="C10306" t="s">
        <v>659</v>
      </c>
      <c r="D10306" t="s">
        <v>39160</v>
      </c>
      <c r="E10306">
        <v>424038</v>
      </c>
      <c r="F10306" t="s">
        <v>1</v>
      </c>
      <c r="G10306" t="s">
        <v>2</v>
      </c>
      <c r="H10306" t="s">
        <v>2614</v>
      </c>
      <c r="Y10306" t="s">
        <v>39161</v>
      </c>
    </row>
    <row r="10307" spans="1:25" x14ac:dyDescent="0.25">
      <c r="A10307" t="str">
        <f>"133017432457"</f>
        <v>133017432457</v>
      </c>
      <c r="B10307" t="s">
        <v>123</v>
      </c>
      <c r="C10307" t="s">
        <v>424</v>
      </c>
      <c r="D10307" t="s">
        <v>39162</v>
      </c>
      <c r="E10307">
        <v>424037</v>
      </c>
      <c r="F10307" t="s">
        <v>1</v>
      </c>
      <c r="G10307" t="s">
        <v>2</v>
      </c>
      <c r="H10307" t="s">
        <v>39163</v>
      </c>
      <c r="I10307" t="s">
        <v>39164</v>
      </c>
      <c r="J10307" t="s">
        <v>39165</v>
      </c>
      <c r="Q10307" t="s">
        <v>39166</v>
      </c>
      <c r="Y10307" t="s">
        <v>39167</v>
      </c>
    </row>
    <row r="10308" spans="1:25" x14ac:dyDescent="0.25">
      <c r="A10308" t="str">
        <f>"133039177331"</f>
        <v>133039177331</v>
      </c>
      <c r="B10308" t="s">
        <v>530</v>
      </c>
      <c r="C10308" t="s">
        <v>23950</v>
      </c>
      <c r="D10308" t="s">
        <v>23950</v>
      </c>
      <c r="F10308" t="s">
        <v>1</v>
      </c>
      <c r="G10308" t="s">
        <v>2</v>
      </c>
      <c r="H10308" t="s">
        <v>39168</v>
      </c>
      <c r="Y10308" t="s">
        <v>39169</v>
      </c>
    </row>
    <row r="10309" spans="1:25" x14ac:dyDescent="0.25">
      <c r="A10309" t="str">
        <f>"133050480625"</f>
        <v>133050480625</v>
      </c>
      <c r="B10309" t="s">
        <v>2104</v>
      </c>
      <c r="C10309" t="s">
        <v>13387</v>
      </c>
      <c r="D10309" t="s">
        <v>39170</v>
      </c>
      <c r="F10309" t="s">
        <v>1</v>
      </c>
      <c r="G10309" t="s">
        <v>2</v>
      </c>
      <c r="H10309" t="s">
        <v>30342</v>
      </c>
      <c r="Y10309" t="s">
        <v>39171</v>
      </c>
    </row>
    <row r="10310" spans="1:25" x14ac:dyDescent="0.25">
      <c r="A10310" t="str">
        <f>"133062469834"</f>
        <v>133062469834</v>
      </c>
      <c r="B10310" t="s">
        <v>1262</v>
      </c>
      <c r="C10310" t="s">
        <v>1263</v>
      </c>
      <c r="D10310" t="s">
        <v>39172</v>
      </c>
      <c r="E10310">
        <v>424007</v>
      </c>
      <c r="F10310" t="s">
        <v>1</v>
      </c>
      <c r="G10310" t="s">
        <v>2</v>
      </c>
      <c r="H10310" t="s">
        <v>1242</v>
      </c>
      <c r="P10310" t="s">
        <v>330</v>
      </c>
      <c r="Y10310" t="s">
        <v>1754</v>
      </c>
    </row>
    <row r="10311" spans="1:25" x14ac:dyDescent="0.25">
      <c r="A10311" t="str">
        <f>"133099222304"</f>
        <v>133099222304</v>
      </c>
      <c r="B10311" t="s">
        <v>624</v>
      </c>
      <c r="C10311" t="s">
        <v>24400</v>
      </c>
      <c r="D10311" t="s">
        <v>39173</v>
      </c>
      <c r="E10311">
        <v>424006</v>
      </c>
      <c r="F10311" t="s">
        <v>1</v>
      </c>
      <c r="G10311" t="s">
        <v>2</v>
      </c>
      <c r="H10311" t="s">
        <v>4710</v>
      </c>
      <c r="P10311" t="s">
        <v>1027</v>
      </c>
      <c r="Q10311" t="s">
        <v>39174</v>
      </c>
      <c r="Y10311" t="s">
        <v>39175</v>
      </c>
    </row>
    <row r="10312" spans="1:25" x14ac:dyDescent="0.25">
      <c r="A10312" t="str">
        <f>"133171592628"</f>
        <v>133171592628</v>
      </c>
      <c r="B10312" t="s">
        <v>8011</v>
      </c>
      <c r="C10312" t="s">
        <v>25177</v>
      </c>
      <c r="D10312" t="s">
        <v>12536</v>
      </c>
      <c r="E10312">
        <v>424007</v>
      </c>
      <c r="F10312" t="s">
        <v>1</v>
      </c>
      <c r="G10312" t="s">
        <v>2</v>
      </c>
      <c r="H10312" t="s">
        <v>23983</v>
      </c>
      <c r="J10312" t="s">
        <v>12537</v>
      </c>
      <c r="P10312" t="s">
        <v>2050</v>
      </c>
      <c r="Y10312" t="s">
        <v>39176</v>
      </c>
    </row>
    <row r="10313" spans="1:25" x14ac:dyDescent="0.25">
      <c r="A10313" t="str">
        <f>"133186762342"</f>
        <v>133186762342</v>
      </c>
      <c r="B10313" t="s">
        <v>469</v>
      </c>
      <c r="C10313" t="s">
        <v>24886</v>
      </c>
      <c r="D10313" t="s">
        <v>39177</v>
      </c>
      <c r="E10313">
        <v>424037</v>
      </c>
      <c r="F10313" t="s">
        <v>1</v>
      </c>
      <c r="G10313" t="s">
        <v>2</v>
      </c>
      <c r="H10313" t="s">
        <v>2370</v>
      </c>
      <c r="I10313" t="s">
        <v>39178</v>
      </c>
      <c r="L10313" t="s">
        <v>39179</v>
      </c>
      <c r="M10313" t="s">
        <v>39180</v>
      </c>
      <c r="P10313" t="s">
        <v>280</v>
      </c>
      <c r="Y10313" t="s">
        <v>39181</v>
      </c>
    </row>
    <row r="10314" spans="1:25" x14ac:dyDescent="0.25">
      <c r="A10314" t="str">
        <f>"133190719697"</f>
        <v>133190719697</v>
      </c>
      <c r="B10314" t="s">
        <v>1323</v>
      </c>
      <c r="C10314" t="s">
        <v>1324</v>
      </c>
      <c r="D10314" t="s">
        <v>39182</v>
      </c>
      <c r="E10314">
        <v>424000</v>
      </c>
      <c r="F10314" t="s">
        <v>1</v>
      </c>
      <c r="G10314" t="s">
        <v>2</v>
      </c>
      <c r="H10314" t="s">
        <v>4462</v>
      </c>
      <c r="Y10314" t="s">
        <v>39183</v>
      </c>
    </row>
    <row r="10315" spans="1:25" x14ac:dyDescent="0.25">
      <c r="A10315" t="str">
        <f>"133218498667"</f>
        <v>133218498667</v>
      </c>
      <c r="B10315" t="s">
        <v>1152</v>
      </c>
      <c r="C10315" t="s">
        <v>1385</v>
      </c>
      <c r="D10315" t="s">
        <v>27705</v>
      </c>
      <c r="E10315">
        <v>424006</v>
      </c>
      <c r="F10315" t="s">
        <v>1</v>
      </c>
      <c r="G10315" t="s">
        <v>2</v>
      </c>
      <c r="H10315" t="s">
        <v>2649</v>
      </c>
      <c r="Y10315" t="s">
        <v>2654</v>
      </c>
    </row>
    <row r="10316" spans="1:25" x14ac:dyDescent="0.25">
      <c r="A10316" t="str">
        <f>"133280783262"</f>
        <v>133280783262</v>
      </c>
      <c r="B10316" t="s">
        <v>96</v>
      </c>
      <c r="C10316" t="s">
        <v>25084</v>
      </c>
      <c r="D10316" t="s">
        <v>39184</v>
      </c>
      <c r="E10316">
        <v>424000</v>
      </c>
      <c r="F10316" t="s">
        <v>1</v>
      </c>
      <c r="G10316" t="s">
        <v>2</v>
      </c>
      <c r="H10316" t="s">
        <v>1473</v>
      </c>
      <c r="P10316" t="s">
        <v>941</v>
      </c>
      <c r="Y10316" t="s">
        <v>4067</v>
      </c>
    </row>
    <row r="10317" spans="1:25" x14ac:dyDescent="0.25">
      <c r="A10317" t="str">
        <f>"133290766672"</f>
        <v>133290766672</v>
      </c>
      <c r="B10317" t="s">
        <v>2104</v>
      </c>
      <c r="C10317" t="s">
        <v>21175</v>
      </c>
      <c r="D10317" t="s">
        <v>24214</v>
      </c>
      <c r="E10317">
        <v>424028</v>
      </c>
      <c r="F10317" t="s">
        <v>1</v>
      </c>
      <c r="G10317" t="s">
        <v>2</v>
      </c>
      <c r="H10317" t="s">
        <v>3359</v>
      </c>
      <c r="Y10317" t="s">
        <v>39185</v>
      </c>
    </row>
    <row r="10318" spans="1:25" x14ac:dyDescent="0.25">
      <c r="A10318" t="str">
        <f>"133312393139"</f>
        <v>133312393139</v>
      </c>
      <c r="B10318" t="s">
        <v>96</v>
      </c>
      <c r="C10318" t="s">
        <v>39187</v>
      </c>
      <c r="D10318" t="s">
        <v>39186</v>
      </c>
      <c r="E10318">
        <v>424002</v>
      </c>
      <c r="F10318" t="s">
        <v>1</v>
      </c>
      <c r="G10318" t="s">
        <v>2</v>
      </c>
      <c r="H10318" t="s">
        <v>744</v>
      </c>
      <c r="P10318" t="s">
        <v>748</v>
      </c>
      <c r="Y10318" t="s">
        <v>749</v>
      </c>
    </row>
    <row r="10319" spans="1:25" x14ac:dyDescent="0.25">
      <c r="A10319" t="str">
        <f>"133316108518"</f>
        <v>133316108518</v>
      </c>
      <c r="B10319" t="s">
        <v>7849</v>
      </c>
      <c r="C10319" t="s">
        <v>22242</v>
      </c>
      <c r="D10319" t="s">
        <v>39188</v>
      </c>
      <c r="E10319">
        <v>424002</v>
      </c>
      <c r="F10319" t="s">
        <v>1</v>
      </c>
      <c r="G10319" t="s">
        <v>2</v>
      </c>
      <c r="H10319" t="s">
        <v>4001</v>
      </c>
      <c r="P10319" t="s">
        <v>22243</v>
      </c>
      <c r="Y10319" t="s">
        <v>39189</v>
      </c>
    </row>
    <row r="10320" spans="1:25" x14ac:dyDescent="0.25">
      <c r="A10320" t="str">
        <f>"133323439764"</f>
        <v>133323439764</v>
      </c>
      <c r="B10320" t="s">
        <v>456</v>
      </c>
      <c r="C10320" t="s">
        <v>6076</v>
      </c>
      <c r="D10320" t="s">
        <v>39190</v>
      </c>
      <c r="E10320">
        <v>424032</v>
      </c>
      <c r="F10320" t="s">
        <v>1</v>
      </c>
      <c r="G10320" t="s">
        <v>2</v>
      </c>
      <c r="H10320" t="s">
        <v>3508</v>
      </c>
      <c r="J10320" t="s">
        <v>39191</v>
      </c>
      <c r="L10320" t="s">
        <v>39192</v>
      </c>
      <c r="M10320" t="s">
        <v>39193</v>
      </c>
      <c r="P10320" t="s">
        <v>1441</v>
      </c>
      <c r="Q10320" t="s">
        <v>39194</v>
      </c>
      <c r="Y10320" t="s">
        <v>3514</v>
      </c>
    </row>
    <row r="10321" spans="1:25" x14ac:dyDescent="0.25">
      <c r="A10321" t="str">
        <f>"133340234368"</f>
        <v>133340234368</v>
      </c>
      <c r="B10321" t="s">
        <v>348</v>
      </c>
      <c r="C10321" t="s">
        <v>39197</v>
      </c>
      <c r="D10321" t="s">
        <v>39195</v>
      </c>
      <c r="E10321">
        <v>424033</v>
      </c>
      <c r="F10321" t="s">
        <v>1</v>
      </c>
      <c r="G10321" t="s">
        <v>2</v>
      </c>
      <c r="H10321" t="s">
        <v>76</v>
      </c>
      <c r="J10321" t="s">
        <v>39196</v>
      </c>
      <c r="P10321" t="s">
        <v>748</v>
      </c>
      <c r="Q10321" t="s">
        <v>39198</v>
      </c>
      <c r="Y10321" t="s">
        <v>39199</v>
      </c>
    </row>
    <row r="10322" spans="1:25" x14ac:dyDescent="0.25">
      <c r="A10322" t="str">
        <f>"133413701521"</f>
        <v>133413701521</v>
      </c>
      <c r="B10322" t="s">
        <v>462</v>
      </c>
      <c r="C10322" t="s">
        <v>39204</v>
      </c>
      <c r="D10322" t="s">
        <v>39200</v>
      </c>
      <c r="E10322">
        <v>424001</v>
      </c>
      <c r="F10322" t="s">
        <v>1</v>
      </c>
      <c r="G10322" t="s">
        <v>2</v>
      </c>
      <c r="H10322" t="s">
        <v>3665</v>
      </c>
      <c r="J10322" t="s">
        <v>39201</v>
      </c>
      <c r="L10322" t="s">
        <v>39202</v>
      </c>
      <c r="M10322" t="s">
        <v>39203</v>
      </c>
      <c r="P10322" t="s">
        <v>27</v>
      </c>
      <c r="Q10322" t="s">
        <v>39205</v>
      </c>
      <c r="T10322" t="s">
        <v>39206</v>
      </c>
      <c r="Y10322" t="s">
        <v>39207</v>
      </c>
    </row>
    <row r="10323" spans="1:25" x14ac:dyDescent="0.25">
      <c r="A10323" t="str">
        <f>"133444797910"</f>
        <v>133444797910</v>
      </c>
      <c r="B10323" t="s">
        <v>96</v>
      </c>
      <c r="C10323" t="s">
        <v>8578</v>
      </c>
      <c r="D10323" t="s">
        <v>39208</v>
      </c>
      <c r="E10323">
        <v>424038</v>
      </c>
      <c r="F10323" t="s">
        <v>1</v>
      </c>
      <c r="G10323" t="s">
        <v>2</v>
      </c>
      <c r="H10323" t="s">
        <v>1366</v>
      </c>
      <c r="J10323" t="s">
        <v>39209</v>
      </c>
      <c r="P10323" t="s">
        <v>30606</v>
      </c>
      <c r="Y10323" t="s">
        <v>39210</v>
      </c>
    </row>
    <row r="10324" spans="1:25" x14ac:dyDescent="0.25">
      <c r="A10324" t="str">
        <f>"133454140661"</f>
        <v>133454140661</v>
      </c>
      <c r="B10324" t="s">
        <v>7</v>
      </c>
      <c r="C10324" t="s">
        <v>38017</v>
      </c>
      <c r="D10324" t="s">
        <v>11933</v>
      </c>
      <c r="E10324">
        <v>424006</v>
      </c>
      <c r="F10324" t="s">
        <v>1</v>
      </c>
      <c r="G10324" t="s">
        <v>2</v>
      </c>
      <c r="H10324" t="s">
        <v>1923</v>
      </c>
      <c r="I10324" t="s">
        <v>11935</v>
      </c>
      <c r="J10324" t="s">
        <v>11936</v>
      </c>
      <c r="P10324" t="s">
        <v>152</v>
      </c>
      <c r="Y10324" t="s">
        <v>1928</v>
      </c>
    </row>
    <row r="10325" spans="1:25" x14ac:dyDescent="0.25">
      <c r="A10325" t="str">
        <f>"133471025122"</f>
        <v>133471025122</v>
      </c>
      <c r="B10325" t="s">
        <v>32</v>
      </c>
      <c r="C10325" t="s">
        <v>20811</v>
      </c>
      <c r="D10325" t="s">
        <v>39211</v>
      </c>
      <c r="E10325">
        <v>424019</v>
      </c>
      <c r="F10325" t="s">
        <v>1</v>
      </c>
      <c r="G10325" t="s">
        <v>2</v>
      </c>
      <c r="H10325" t="s">
        <v>9271</v>
      </c>
      <c r="Y10325" t="s">
        <v>39212</v>
      </c>
    </row>
    <row r="10326" spans="1:25" x14ac:dyDescent="0.25">
      <c r="A10326" t="str">
        <f>"133507396682"</f>
        <v>133507396682</v>
      </c>
      <c r="B10326" t="s">
        <v>703</v>
      </c>
      <c r="C10326" t="s">
        <v>9184</v>
      </c>
      <c r="D10326" t="s">
        <v>39213</v>
      </c>
      <c r="E10326">
        <v>424007</v>
      </c>
      <c r="F10326" t="s">
        <v>1</v>
      </c>
      <c r="G10326" t="s">
        <v>2</v>
      </c>
      <c r="H10326" t="s">
        <v>4869</v>
      </c>
      <c r="J10326" t="s">
        <v>39214</v>
      </c>
      <c r="L10326" t="s">
        <v>39215</v>
      </c>
      <c r="P10326" t="s">
        <v>2280</v>
      </c>
      <c r="V10326" t="s">
        <v>39216</v>
      </c>
      <c r="Y10326" t="s">
        <v>39217</v>
      </c>
    </row>
    <row r="10327" spans="1:25" x14ac:dyDescent="0.25">
      <c r="A10327" t="str">
        <f>"133538504123"</f>
        <v>133538504123</v>
      </c>
      <c r="B10327" t="s">
        <v>2677</v>
      </c>
      <c r="C10327" t="s">
        <v>21306</v>
      </c>
      <c r="D10327" t="s">
        <v>13039</v>
      </c>
      <c r="E10327">
        <v>424004</v>
      </c>
      <c r="F10327" t="s">
        <v>1</v>
      </c>
      <c r="G10327" t="s">
        <v>2</v>
      </c>
      <c r="H10327" t="s">
        <v>13630</v>
      </c>
      <c r="I10327" t="s">
        <v>39218</v>
      </c>
      <c r="L10327" t="s">
        <v>39219</v>
      </c>
      <c r="P10327" t="s">
        <v>27</v>
      </c>
      <c r="Y10327" t="s">
        <v>39220</v>
      </c>
    </row>
    <row r="10328" spans="1:25" x14ac:dyDescent="0.25">
      <c r="A10328" t="str">
        <f>"133550754630"</f>
        <v>133550754630</v>
      </c>
      <c r="B10328" t="s">
        <v>284</v>
      </c>
      <c r="C10328" t="s">
        <v>7160</v>
      </c>
      <c r="D10328" t="s">
        <v>38411</v>
      </c>
      <c r="E10328">
        <v>424006</v>
      </c>
      <c r="F10328" t="s">
        <v>1</v>
      </c>
      <c r="G10328" t="s">
        <v>2</v>
      </c>
      <c r="H10328" t="s">
        <v>11168</v>
      </c>
      <c r="M10328" t="s">
        <v>38414</v>
      </c>
      <c r="P10328" t="s">
        <v>2438</v>
      </c>
      <c r="Y10328" t="s">
        <v>39221</v>
      </c>
    </row>
    <row r="10329" spans="1:25" x14ac:dyDescent="0.25">
      <c r="A10329" t="str">
        <f>"133560138945"</f>
        <v>133560138945</v>
      </c>
      <c r="B10329" t="s">
        <v>176</v>
      </c>
      <c r="C10329" t="s">
        <v>4741</v>
      </c>
      <c r="D10329" t="s">
        <v>39222</v>
      </c>
      <c r="E10329">
        <v>424019</v>
      </c>
      <c r="F10329" t="s">
        <v>1</v>
      </c>
      <c r="G10329" t="s">
        <v>2</v>
      </c>
      <c r="H10329" t="s">
        <v>7785</v>
      </c>
      <c r="I10329" t="s">
        <v>39223</v>
      </c>
      <c r="P10329" t="s">
        <v>98</v>
      </c>
      <c r="Y10329" t="s">
        <v>10467</v>
      </c>
    </row>
    <row r="10330" spans="1:25" x14ac:dyDescent="0.25">
      <c r="A10330" t="str">
        <f>"133575095426"</f>
        <v>133575095426</v>
      </c>
      <c r="B10330" t="s">
        <v>2104</v>
      </c>
      <c r="C10330" t="s">
        <v>2105</v>
      </c>
      <c r="D10330" t="s">
        <v>24033</v>
      </c>
      <c r="E10330">
        <v>424033</v>
      </c>
      <c r="F10330" t="s">
        <v>1</v>
      </c>
      <c r="G10330" t="s">
        <v>2</v>
      </c>
      <c r="H10330" t="s">
        <v>22482</v>
      </c>
      <c r="L10330" t="s">
        <v>28709</v>
      </c>
      <c r="Q10330" t="s">
        <v>28711</v>
      </c>
      <c r="Y10330" t="s">
        <v>39224</v>
      </c>
    </row>
    <row r="10331" spans="1:25" x14ac:dyDescent="0.25">
      <c r="A10331" t="str">
        <f>"133601722569"</f>
        <v>133601722569</v>
      </c>
      <c r="B10331" t="s">
        <v>123</v>
      </c>
      <c r="C10331" t="s">
        <v>2950</v>
      </c>
      <c r="D10331" t="s">
        <v>39225</v>
      </c>
      <c r="E10331">
        <v>424038</v>
      </c>
      <c r="F10331" t="s">
        <v>1</v>
      </c>
      <c r="G10331" t="s">
        <v>2</v>
      </c>
      <c r="H10331" t="s">
        <v>1862</v>
      </c>
      <c r="J10331" t="s">
        <v>39226</v>
      </c>
      <c r="P10331" t="s">
        <v>216</v>
      </c>
      <c r="Q10331" t="s">
        <v>39227</v>
      </c>
      <c r="Y10331" t="s">
        <v>39228</v>
      </c>
    </row>
    <row r="10332" spans="1:25" x14ac:dyDescent="0.25">
      <c r="A10332" t="str">
        <f>"133651437867"</f>
        <v>133651437867</v>
      </c>
      <c r="B10332" t="s">
        <v>530</v>
      </c>
      <c r="C10332" t="s">
        <v>5046</v>
      </c>
      <c r="D10332" t="s">
        <v>39229</v>
      </c>
      <c r="E10332">
        <v>424918</v>
      </c>
      <c r="F10332" t="s">
        <v>1</v>
      </c>
      <c r="G10332" t="s">
        <v>2</v>
      </c>
      <c r="H10332" t="s">
        <v>629</v>
      </c>
      <c r="P10332" t="s">
        <v>630</v>
      </c>
      <c r="Y10332" t="s">
        <v>39230</v>
      </c>
    </row>
    <row r="10333" spans="1:25" x14ac:dyDescent="0.25">
      <c r="A10333" t="str">
        <f>"133677476334"</f>
        <v>133677476334</v>
      </c>
      <c r="B10333" t="s">
        <v>7312</v>
      </c>
      <c r="C10333" t="s">
        <v>9849</v>
      </c>
      <c r="D10333" t="s">
        <v>27363</v>
      </c>
      <c r="E10333">
        <v>424000</v>
      </c>
      <c r="F10333" t="s">
        <v>1</v>
      </c>
      <c r="G10333" t="s">
        <v>2</v>
      </c>
      <c r="H10333" t="s">
        <v>34739</v>
      </c>
      <c r="P10333" t="s">
        <v>2572</v>
      </c>
      <c r="Y10333" t="s">
        <v>39231</v>
      </c>
    </row>
    <row r="10334" spans="1:25" x14ac:dyDescent="0.25">
      <c r="A10334" t="str">
        <f>"133679364102"</f>
        <v>133679364102</v>
      </c>
      <c r="B10334" t="s">
        <v>6478</v>
      </c>
      <c r="C10334" t="s">
        <v>9854</v>
      </c>
      <c r="D10334" t="s">
        <v>39232</v>
      </c>
      <c r="E10334">
        <v>424003</v>
      </c>
      <c r="F10334" t="s">
        <v>1</v>
      </c>
      <c r="G10334" t="s">
        <v>2</v>
      </c>
      <c r="H10334" t="s">
        <v>7317</v>
      </c>
      <c r="I10334" t="s">
        <v>39233</v>
      </c>
      <c r="L10334" t="s">
        <v>39234</v>
      </c>
      <c r="M10334" t="s">
        <v>39235</v>
      </c>
      <c r="Y10334" t="s">
        <v>39236</v>
      </c>
    </row>
    <row r="10335" spans="1:25" x14ac:dyDescent="0.25">
      <c r="A10335" t="str">
        <f>"133680262281"</f>
        <v>133680262281</v>
      </c>
      <c r="B10335" t="s">
        <v>530</v>
      </c>
      <c r="C10335" t="s">
        <v>23950</v>
      </c>
      <c r="D10335" t="s">
        <v>23950</v>
      </c>
      <c r="F10335" t="s">
        <v>1</v>
      </c>
      <c r="G10335" t="s">
        <v>2</v>
      </c>
      <c r="H10335" t="s">
        <v>39237</v>
      </c>
      <c r="Y10335" t="s">
        <v>39238</v>
      </c>
    </row>
    <row r="10336" spans="1:25" x14ac:dyDescent="0.25">
      <c r="A10336" t="str">
        <f>"133702747619"</f>
        <v>133702747619</v>
      </c>
      <c r="B10336" t="s">
        <v>1611</v>
      </c>
      <c r="C10336" t="s">
        <v>3218</v>
      </c>
      <c r="D10336" t="s">
        <v>39239</v>
      </c>
      <c r="E10336">
        <v>424037</v>
      </c>
      <c r="F10336" t="s">
        <v>1</v>
      </c>
      <c r="G10336" t="s">
        <v>2</v>
      </c>
      <c r="H10336" t="s">
        <v>15407</v>
      </c>
      <c r="I10336" t="s">
        <v>39240</v>
      </c>
      <c r="L10336" t="s">
        <v>3217</v>
      </c>
      <c r="P10336" t="s">
        <v>9840</v>
      </c>
      <c r="Y10336" t="s">
        <v>4724</v>
      </c>
    </row>
    <row r="10337" spans="1:25" x14ac:dyDescent="0.25">
      <c r="A10337" t="str">
        <f>"133724730808"</f>
        <v>133724730808</v>
      </c>
      <c r="B10337" t="s">
        <v>96</v>
      </c>
      <c r="C10337" t="s">
        <v>695</v>
      </c>
      <c r="D10337" t="s">
        <v>38451</v>
      </c>
      <c r="E10337">
        <v>424007</v>
      </c>
      <c r="F10337" t="s">
        <v>1</v>
      </c>
      <c r="G10337" t="s">
        <v>2</v>
      </c>
      <c r="H10337" t="s">
        <v>23667</v>
      </c>
      <c r="Y10337" t="s">
        <v>39241</v>
      </c>
    </row>
    <row r="10338" spans="1:25" x14ac:dyDescent="0.25">
      <c r="A10338" t="str">
        <f>"133759647175"</f>
        <v>133759647175</v>
      </c>
      <c r="B10338" t="s">
        <v>574</v>
      </c>
      <c r="C10338" t="s">
        <v>646</v>
      </c>
      <c r="D10338" t="s">
        <v>39242</v>
      </c>
      <c r="E10338">
        <v>424007</v>
      </c>
      <c r="F10338" t="s">
        <v>1</v>
      </c>
      <c r="G10338" t="s">
        <v>2</v>
      </c>
      <c r="H10338" t="s">
        <v>39243</v>
      </c>
      <c r="Y10338" t="s">
        <v>18556</v>
      </c>
    </row>
    <row r="10339" spans="1:25" x14ac:dyDescent="0.25">
      <c r="A10339" t="str">
        <f>"133759762296"</f>
        <v>133759762296</v>
      </c>
      <c r="B10339" t="s">
        <v>188</v>
      </c>
      <c r="C10339" t="s">
        <v>23982</v>
      </c>
      <c r="D10339" t="s">
        <v>23982</v>
      </c>
      <c r="F10339" t="s">
        <v>1</v>
      </c>
      <c r="G10339" t="s">
        <v>2</v>
      </c>
      <c r="H10339" t="s">
        <v>8464</v>
      </c>
      <c r="Y10339" t="s">
        <v>39244</v>
      </c>
    </row>
    <row r="10340" spans="1:25" x14ac:dyDescent="0.25">
      <c r="A10340" t="str">
        <f>"133785619513"</f>
        <v>133785619513</v>
      </c>
      <c r="B10340" t="s">
        <v>1053</v>
      </c>
      <c r="C10340" t="s">
        <v>1799</v>
      </c>
      <c r="D10340" t="s">
        <v>39245</v>
      </c>
      <c r="E10340">
        <v>424031</v>
      </c>
      <c r="F10340" t="s">
        <v>1</v>
      </c>
      <c r="G10340" t="s">
        <v>2</v>
      </c>
      <c r="H10340" t="s">
        <v>18923</v>
      </c>
      <c r="J10340" t="s">
        <v>39246</v>
      </c>
      <c r="L10340" t="s">
        <v>39247</v>
      </c>
      <c r="P10340" t="s">
        <v>1160</v>
      </c>
      <c r="Y10340" t="s">
        <v>39248</v>
      </c>
    </row>
    <row r="10341" spans="1:25" x14ac:dyDescent="0.25">
      <c r="A10341" t="str">
        <f>"133875749596"</f>
        <v>133875749596</v>
      </c>
      <c r="B10341" t="s">
        <v>290</v>
      </c>
      <c r="C10341" t="s">
        <v>290</v>
      </c>
      <c r="D10341" t="s">
        <v>10260</v>
      </c>
      <c r="E10341">
        <v>424030</v>
      </c>
      <c r="F10341" t="s">
        <v>1</v>
      </c>
      <c r="G10341" t="s">
        <v>2</v>
      </c>
      <c r="H10341" t="s">
        <v>15539</v>
      </c>
      <c r="I10341" t="s">
        <v>39249</v>
      </c>
      <c r="P10341" t="s">
        <v>2457</v>
      </c>
      <c r="Y10341" t="s">
        <v>39250</v>
      </c>
    </row>
    <row r="10342" spans="1:25" x14ac:dyDescent="0.25">
      <c r="A10342" t="str">
        <f>"133895051298"</f>
        <v>133895051298</v>
      </c>
      <c r="B10342" t="s">
        <v>1758</v>
      </c>
      <c r="C10342" t="s">
        <v>39256</v>
      </c>
      <c r="D10342" t="s">
        <v>39251</v>
      </c>
      <c r="E10342">
        <v>424020</v>
      </c>
      <c r="F10342" t="s">
        <v>1</v>
      </c>
      <c r="G10342" t="s">
        <v>2</v>
      </c>
      <c r="H10342" t="s">
        <v>2112</v>
      </c>
      <c r="I10342" t="s">
        <v>39252</v>
      </c>
      <c r="J10342" t="s">
        <v>39253</v>
      </c>
      <c r="L10342" t="s">
        <v>39254</v>
      </c>
      <c r="M10342" t="s">
        <v>39255</v>
      </c>
      <c r="P10342" t="s">
        <v>1760</v>
      </c>
      <c r="Q10342" t="s">
        <v>39257</v>
      </c>
      <c r="Y10342" t="s">
        <v>39258</v>
      </c>
    </row>
    <row r="10343" spans="1:25" x14ac:dyDescent="0.25">
      <c r="A10343" t="str">
        <f>"133901425752"</f>
        <v>133901425752</v>
      </c>
      <c r="B10343" t="s">
        <v>738</v>
      </c>
      <c r="C10343" t="s">
        <v>39261</v>
      </c>
      <c r="D10343" t="s">
        <v>39259</v>
      </c>
      <c r="E10343">
        <v>424002</v>
      </c>
      <c r="F10343" t="s">
        <v>1</v>
      </c>
      <c r="G10343" t="s">
        <v>2</v>
      </c>
      <c r="H10343" t="s">
        <v>8832</v>
      </c>
      <c r="J10343" t="s">
        <v>39260</v>
      </c>
      <c r="P10343" t="s">
        <v>1035</v>
      </c>
      <c r="Y10343" t="s">
        <v>39262</v>
      </c>
    </row>
    <row r="10344" spans="1:25" x14ac:dyDescent="0.25">
      <c r="A10344" t="str">
        <f>"133917548969"</f>
        <v>133917548969</v>
      </c>
      <c r="B10344" t="s">
        <v>1343</v>
      </c>
      <c r="C10344" t="s">
        <v>13544</v>
      </c>
      <c r="D10344" t="s">
        <v>27011</v>
      </c>
      <c r="E10344">
        <v>424000</v>
      </c>
      <c r="F10344" t="s">
        <v>1</v>
      </c>
      <c r="G10344" t="s">
        <v>2</v>
      </c>
      <c r="H10344" t="s">
        <v>92</v>
      </c>
      <c r="Y10344" t="s">
        <v>28397</v>
      </c>
    </row>
    <row r="10345" spans="1:25" x14ac:dyDescent="0.25">
      <c r="A10345" t="str">
        <f>"133939431176"</f>
        <v>133939431176</v>
      </c>
      <c r="B10345" t="s">
        <v>290</v>
      </c>
      <c r="C10345" t="s">
        <v>290</v>
      </c>
      <c r="D10345" t="s">
        <v>39263</v>
      </c>
      <c r="F10345" t="s">
        <v>1</v>
      </c>
      <c r="G10345" t="s">
        <v>2</v>
      </c>
      <c r="H10345" t="s">
        <v>39264</v>
      </c>
      <c r="Y10345" t="s">
        <v>39265</v>
      </c>
    </row>
    <row r="10346" spans="1:25" x14ac:dyDescent="0.25">
      <c r="A10346" t="str">
        <f>"134042916132"</f>
        <v>134042916132</v>
      </c>
      <c r="B10346" t="s">
        <v>96</v>
      </c>
      <c r="C10346" t="s">
        <v>25084</v>
      </c>
      <c r="D10346" t="s">
        <v>21572</v>
      </c>
      <c r="E10346">
        <v>424005</v>
      </c>
      <c r="F10346" t="s">
        <v>1</v>
      </c>
      <c r="G10346" t="s">
        <v>2</v>
      </c>
      <c r="H10346" t="s">
        <v>7480</v>
      </c>
      <c r="P10346" t="s">
        <v>7638</v>
      </c>
      <c r="Y10346" t="s">
        <v>39266</v>
      </c>
    </row>
    <row r="10347" spans="1:25" x14ac:dyDescent="0.25">
      <c r="A10347" t="str">
        <f>"134044122642"</f>
        <v>134044122642</v>
      </c>
      <c r="B10347" t="s">
        <v>96</v>
      </c>
      <c r="C10347" t="s">
        <v>7071</v>
      </c>
      <c r="D10347" t="s">
        <v>39267</v>
      </c>
      <c r="E10347">
        <v>424031</v>
      </c>
      <c r="F10347" t="s">
        <v>1</v>
      </c>
      <c r="G10347" t="s">
        <v>2</v>
      </c>
      <c r="H10347" t="s">
        <v>25620</v>
      </c>
      <c r="V10347" t="s">
        <v>39268</v>
      </c>
      <c r="Y10347" t="s">
        <v>35041</v>
      </c>
    </row>
    <row r="10348" spans="1:25" x14ac:dyDescent="0.25">
      <c r="A10348" t="str">
        <f>"134048315309"</f>
        <v>134048315309</v>
      </c>
      <c r="B10348" t="s">
        <v>746</v>
      </c>
      <c r="C10348" t="s">
        <v>33251</v>
      </c>
      <c r="D10348" t="s">
        <v>39269</v>
      </c>
      <c r="E10348">
        <v>424003</v>
      </c>
      <c r="F10348" t="s">
        <v>1</v>
      </c>
      <c r="G10348" t="s">
        <v>2</v>
      </c>
      <c r="H10348" t="s">
        <v>2564</v>
      </c>
      <c r="L10348" t="s">
        <v>39270</v>
      </c>
      <c r="M10348" t="s">
        <v>39271</v>
      </c>
      <c r="P10348" t="s">
        <v>2738</v>
      </c>
      <c r="Y10348" t="s">
        <v>39272</v>
      </c>
    </row>
    <row r="10349" spans="1:25" x14ac:dyDescent="0.25">
      <c r="A10349" t="str">
        <f>"134066175379"</f>
        <v>134066175379</v>
      </c>
      <c r="B10349" t="s">
        <v>930</v>
      </c>
      <c r="C10349" t="s">
        <v>39277</v>
      </c>
      <c r="D10349" t="s">
        <v>39273</v>
      </c>
      <c r="E10349">
        <v>424006</v>
      </c>
      <c r="F10349" t="s">
        <v>1</v>
      </c>
      <c r="G10349" t="s">
        <v>2</v>
      </c>
      <c r="H10349" t="s">
        <v>16063</v>
      </c>
      <c r="I10349" t="s">
        <v>39274</v>
      </c>
      <c r="L10349" t="s">
        <v>39275</v>
      </c>
      <c r="M10349" t="s">
        <v>39276</v>
      </c>
      <c r="P10349" t="s">
        <v>330</v>
      </c>
      <c r="Q10349" t="s">
        <v>39278</v>
      </c>
      <c r="V10349" t="s">
        <v>39279</v>
      </c>
      <c r="Y10349" t="s">
        <v>39280</v>
      </c>
    </row>
    <row r="10350" spans="1:25" x14ac:dyDescent="0.25">
      <c r="A10350" t="str">
        <f>"134079536488"</f>
        <v>134079536488</v>
      </c>
      <c r="B10350" t="s">
        <v>32</v>
      </c>
      <c r="C10350" t="s">
        <v>182</v>
      </c>
      <c r="D10350" t="s">
        <v>39281</v>
      </c>
      <c r="F10350" t="s">
        <v>1</v>
      </c>
      <c r="G10350" t="s">
        <v>2</v>
      </c>
      <c r="H10350" t="s">
        <v>33800</v>
      </c>
      <c r="P10350" t="s">
        <v>39282</v>
      </c>
      <c r="Y10350" t="s">
        <v>39283</v>
      </c>
    </row>
    <row r="10351" spans="1:25" x14ac:dyDescent="0.25">
      <c r="A10351" t="str">
        <f>"134139379952"</f>
        <v>134139379952</v>
      </c>
      <c r="B10351" t="s">
        <v>574</v>
      </c>
      <c r="C10351" t="s">
        <v>646</v>
      </c>
      <c r="D10351" t="s">
        <v>39284</v>
      </c>
      <c r="F10351" t="s">
        <v>1</v>
      </c>
      <c r="G10351" t="s">
        <v>2</v>
      </c>
      <c r="H10351" t="s">
        <v>10643</v>
      </c>
      <c r="P10351" t="s">
        <v>330</v>
      </c>
      <c r="Y10351" t="s">
        <v>39285</v>
      </c>
    </row>
    <row r="10352" spans="1:25" x14ac:dyDescent="0.25">
      <c r="A10352" t="str">
        <f>"134182241760"</f>
        <v>134182241760</v>
      </c>
      <c r="B10352" t="s">
        <v>1573</v>
      </c>
      <c r="C10352" t="s">
        <v>1817</v>
      </c>
      <c r="D10352" t="s">
        <v>39286</v>
      </c>
      <c r="E10352">
        <v>424037</v>
      </c>
      <c r="F10352" t="s">
        <v>1</v>
      </c>
      <c r="G10352" t="s">
        <v>2</v>
      </c>
      <c r="H10352" t="s">
        <v>9738</v>
      </c>
      <c r="Y10352" t="s">
        <v>39287</v>
      </c>
    </row>
    <row r="10353" spans="1:25" x14ac:dyDescent="0.25">
      <c r="A10353" t="str">
        <f>"134201400147"</f>
        <v>134201400147</v>
      </c>
      <c r="B10353" t="s">
        <v>96</v>
      </c>
      <c r="C10353" t="s">
        <v>14551</v>
      </c>
      <c r="D10353" t="s">
        <v>25764</v>
      </c>
      <c r="E10353">
        <v>424038</v>
      </c>
      <c r="F10353" t="s">
        <v>1</v>
      </c>
      <c r="G10353" t="s">
        <v>2</v>
      </c>
      <c r="H10353" t="s">
        <v>7597</v>
      </c>
      <c r="P10353" t="s">
        <v>1642</v>
      </c>
      <c r="Y10353" t="s">
        <v>39288</v>
      </c>
    </row>
    <row r="10354" spans="1:25" x14ac:dyDescent="0.25">
      <c r="A10354" t="str">
        <f>"134202546982"</f>
        <v>134202546982</v>
      </c>
      <c r="B10354" t="s">
        <v>96</v>
      </c>
      <c r="C10354" t="s">
        <v>24042</v>
      </c>
      <c r="D10354" t="s">
        <v>24127</v>
      </c>
      <c r="E10354">
        <v>424006</v>
      </c>
      <c r="F10354" t="s">
        <v>1</v>
      </c>
      <c r="G10354" t="s">
        <v>2</v>
      </c>
      <c r="H10354" t="s">
        <v>30697</v>
      </c>
      <c r="Y10354" t="s">
        <v>39289</v>
      </c>
    </row>
    <row r="10355" spans="1:25" x14ac:dyDescent="0.25">
      <c r="A10355" t="str">
        <f>"134249159828"</f>
        <v>134249159828</v>
      </c>
      <c r="B10355" t="s">
        <v>2104</v>
      </c>
      <c r="C10355" t="s">
        <v>21175</v>
      </c>
      <c r="D10355" t="s">
        <v>33391</v>
      </c>
      <c r="F10355" t="s">
        <v>1</v>
      </c>
      <c r="G10355" t="s">
        <v>2</v>
      </c>
      <c r="H10355" t="s">
        <v>39290</v>
      </c>
      <c r="Y10355" t="s">
        <v>39291</v>
      </c>
    </row>
    <row r="10356" spans="1:25" x14ac:dyDescent="0.25">
      <c r="A10356" t="str">
        <f>"134277971197"</f>
        <v>134277971197</v>
      </c>
      <c r="B10356" t="s">
        <v>96</v>
      </c>
      <c r="C10356" t="s">
        <v>26416</v>
      </c>
      <c r="D10356" t="s">
        <v>39292</v>
      </c>
      <c r="E10356">
        <v>424000</v>
      </c>
      <c r="F10356" t="s">
        <v>1</v>
      </c>
      <c r="G10356" t="s">
        <v>2</v>
      </c>
      <c r="H10356" t="s">
        <v>1531</v>
      </c>
      <c r="P10356" t="s">
        <v>27</v>
      </c>
      <c r="Y10356" t="s">
        <v>1707</v>
      </c>
    </row>
    <row r="10357" spans="1:25" x14ac:dyDescent="0.25">
      <c r="A10357" t="str">
        <f>"134292497143"</f>
        <v>134292497143</v>
      </c>
      <c r="B10357" t="s">
        <v>2062</v>
      </c>
      <c r="C10357" t="s">
        <v>3293</v>
      </c>
      <c r="D10357" t="s">
        <v>39293</v>
      </c>
      <c r="E10357">
        <v>424002</v>
      </c>
      <c r="F10357" t="s">
        <v>1</v>
      </c>
      <c r="G10357" t="s">
        <v>2</v>
      </c>
      <c r="H10357" t="s">
        <v>3611</v>
      </c>
      <c r="I10357" t="s">
        <v>39294</v>
      </c>
      <c r="J10357" t="s">
        <v>39295</v>
      </c>
      <c r="L10357" t="s">
        <v>39296</v>
      </c>
      <c r="M10357" t="s">
        <v>39297</v>
      </c>
      <c r="P10357" t="s">
        <v>260</v>
      </c>
      <c r="Q10357" t="s">
        <v>39298</v>
      </c>
      <c r="R10357" t="s">
        <v>39299</v>
      </c>
      <c r="S10357" t="s">
        <v>39300</v>
      </c>
      <c r="T10357" t="s">
        <v>39301</v>
      </c>
      <c r="Y10357" t="s">
        <v>39302</v>
      </c>
    </row>
    <row r="10358" spans="1:25" x14ac:dyDescent="0.25">
      <c r="A10358" t="str">
        <f>"134406615108"</f>
        <v>134406615108</v>
      </c>
      <c r="B10358" t="s">
        <v>1152</v>
      </c>
      <c r="C10358" t="s">
        <v>1152</v>
      </c>
      <c r="D10358" t="s">
        <v>39303</v>
      </c>
      <c r="E10358">
        <v>424033</v>
      </c>
      <c r="F10358" t="s">
        <v>1</v>
      </c>
      <c r="G10358" t="s">
        <v>2</v>
      </c>
      <c r="H10358" t="s">
        <v>7283</v>
      </c>
      <c r="I10358" t="s">
        <v>39304</v>
      </c>
      <c r="J10358" t="s">
        <v>39305</v>
      </c>
      <c r="P10358" t="s">
        <v>330</v>
      </c>
      <c r="Y10358" t="s">
        <v>7285</v>
      </c>
    </row>
    <row r="10359" spans="1:25" x14ac:dyDescent="0.25">
      <c r="A10359" t="str">
        <f>"134443650061"</f>
        <v>134443650061</v>
      </c>
      <c r="B10359" t="s">
        <v>574</v>
      </c>
      <c r="C10359" t="s">
        <v>23520</v>
      </c>
      <c r="D10359" t="s">
        <v>23520</v>
      </c>
      <c r="E10359">
        <v>424006</v>
      </c>
      <c r="F10359" t="s">
        <v>1</v>
      </c>
      <c r="G10359" t="s">
        <v>2</v>
      </c>
      <c r="H10359" t="s">
        <v>5846</v>
      </c>
      <c r="Y10359" t="s">
        <v>17495</v>
      </c>
    </row>
    <row r="10360" spans="1:25" x14ac:dyDescent="0.25">
      <c r="A10360" t="str">
        <f>"134451903750"</f>
        <v>134451903750</v>
      </c>
      <c r="B10360" t="s">
        <v>574</v>
      </c>
      <c r="C10360" t="s">
        <v>646</v>
      </c>
      <c r="D10360" t="s">
        <v>34411</v>
      </c>
      <c r="E10360">
        <v>424005</v>
      </c>
      <c r="F10360" t="s">
        <v>1</v>
      </c>
      <c r="G10360" t="s">
        <v>2</v>
      </c>
      <c r="H10360" t="s">
        <v>18756</v>
      </c>
      <c r="J10360" t="s">
        <v>39306</v>
      </c>
      <c r="L10360" t="s">
        <v>39307</v>
      </c>
      <c r="M10360" t="s">
        <v>39308</v>
      </c>
      <c r="P10360" t="s">
        <v>60</v>
      </c>
      <c r="Y10360" t="s">
        <v>39309</v>
      </c>
    </row>
    <row r="10361" spans="1:25" x14ac:dyDescent="0.25">
      <c r="A10361" t="str">
        <f>"134475098225"</f>
        <v>134475098225</v>
      </c>
      <c r="B10361" t="s">
        <v>151</v>
      </c>
      <c r="C10361" t="s">
        <v>151</v>
      </c>
      <c r="D10361" t="s">
        <v>5813</v>
      </c>
      <c r="E10361">
        <v>424007</v>
      </c>
      <c r="F10361" t="s">
        <v>1</v>
      </c>
      <c r="G10361" t="s">
        <v>2</v>
      </c>
      <c r="H10361" t="s">
        <v>4869</v>
      </c>
      <c r="Y10361" t="s">
        <v>39310</v>
      </c>
    </row>
    <row r="10362" spans="1:25" x14ac:dyDescent="0.25">
      <c r="A10362" t="str">
        <f>"134490113615"</f>
        <v>134490113615</v>
      </c>
      <c r="B10362" t="s">
        <v>7849</v>
      </c>
      <c r="C10362" t="s">
        <v>10351</v>
      </c>
      <c r="D10362" t="s">
        <v>39311</v>
      </c>
      <c r="E10362">
        <v>424028</v>
      </c>
      <c r="F10362" t="s">
        <v>1</v>
      </c>
      <c r="G10362" t="s">
        <v>2</v>
      </c>
      <c r="H10362" t="s">
        <v>28340</v>
      </c>
      <c r="I10362" t="s">
        <v>39312</v>
      </c>
      <c r="L10362" t="s">
        <v>10349</v>
      </c>
      <c r="M10362" t="s">
        <v>39313</v>
      </c>
      <c r="P10362" t="s">
        <v>330</v>
      </c>
      <c r="Q10362" t="s">
        <v>39314</v>
      </c>
      <c r="S10362" t="s">
        <v>39315</v>
      </c>
      <c r="U10362" t="s">
        <v>39316</v>
      </c>
      <c r="Y10362" t="s">
        <v>28342</v>
      </c>
    </row>
    <row r="10363" spans="1:25" x14ac:dyDescent="0.25">
      <c r="A10363" t="str">
        <f>"134499739957"</f>
        <v>134499739957</v>
      </c>
      <c r="B10363" t="s">
        <v>290</v>
      </c>
      <c r="C10363" t="s">
        <v>11603</v>
      </c>
      <c r="D10363" t="s">
        <v>39317</v>
      </c>
      <c r="E10363">
        <v>424002</v>
      </c>
      <c r="F10363" t="s">
        <v>1</v>
      </c>
      <c r="G10363" t="s">
        <v>2</v>
      </c>
      <c r="H10363" t="s">
        <v>16252</v>
      </c>
      <c r="P10363" t="s">
        <v>330</v>
      </c>
      <c r="Y10363" t="s">
        <v>39318</v>
      </c>
    </row>
    <row r="10364" spans="1:25" x14ac:dyDescent="0.25">
      <c r="A10364" t="str">
        <f>"134550476189"</f>
        <v>134550476189</v>
      </c>
      <c r="B10364" t="s">
        <v>25</v>
      </c>
      <c r="C10364" t="s">
        <v>24938</v>
      </c>
      <c r="D10364" t="s">
        <v>39319</v>
      </c>
      <c r="E10364">
        <v>424007</v>
      </c>
      <c r="F10364" t="s">
        <v>1</v>
      </c>
      <c r="G10364" t="s">
        <v>2</v>
      </c>
      <c r="H10364" t="s">
        <v>356</v>
      </c>
      <c r="I10364" t="s">
        <v>27992</v>
      </c>
      <c r="L10364" t="s">
        <v>8198</v>
      </c>
      <c r="M10364" t="s">
        <v>39320</v>
      </c>
      <c r="Y10364" t="s">
        <v>39321</v>
      </c>
    </row>
    <row r="10365" spans="1:25" x14ac:dyDescent="0.25">
      <c r="A10365" t="str">
        <f>"134557303395"</f>
        <v>134557303395</v>
      </c>
      <c r="B10365" t="s">
        <v>1046</v>
      </c>
      <c r="C10365" t="s">
        <v>22946</v>
      </c>
      <c r="D10365" t="s">
        <v>22946</v>
      </c>
      <c r="E10365">
        <v>424028</v>
      </c>
      <c r="F10365" t="s">
        <v>1</v>
      </c>
      <c r="G10365" t="s">
        <v>2</v>
      </c>
      <c r="H10365" t="s">
        <v>39322</v>
      </c>
      <c r="Y10365" t="s">
        <v>39323</v>
      </c>
    </row>
    <row r="10366" spans="1:25" x14ac:dyDescent="0.25">
      <c r="A10366" t="str">
        <f>"134560517938"</f>
        <v>134560517938</v>
      </c>
      <c r="B10366" t="s">
        <v>32</v>
      </c>
      <c r="C10366" t="s">
        <v>182</v>
      </c>
      <c r="D10366" t="s">
        <v>13019</v>
      </c>
      <c r="E10366">
        <v>424004</v>
      </c>
      <c r="F10366" t="s">
        <v>1</v>
      </c>
      <c r="G10366" t="s">
        <v>2</v>
      </c>
      <c r="H10366" t="s">
        <v>39324</v>
      </c>
      <c r="P10366" t="s">
        <v>133</v>
      </c>
      <c r="Y10366" t="s">
        <v>39325</v>
      </c>
    </row>
    <row r="10367" spans="1:25" x14ac:dyDescent="0.25">
      <c r="A10367" t="str">
        <f>"134568079653"</f>
        <v>134568079653</v>
      </c>
      <c r="B10367" t="s">
        <v>1182</v>
      </c>
      <c r="C10367" t="s">
        <v>39330</v>
      </c>
      <c r="D10367" t="s">
        <v>39326</v>
      </c>
      <c r="E10367">
        <v>424006</v>
      </c>
      <c r="F10367" t="s">
        <v>1</v>
      </c>
      <c r="G10367" t="s">
        <v>2</v>
      </c>
      <c r="H10367" t="s">
        <v>8622</v>
      </c>
      <c r="I10367" t="s">
        <v>39327</v>
      </c>
      <c r="L10367" t="s">
        <v>39328</v>
      </c>
      <c r="M10367" t="s">
        <v>39329</v>
      </c>
      <c r="P10367" t="s">
        <v>390</v>
      </c>
      <c r="Y10367" t="s">
        <v>8866</v>
      </c>
    </row>
    <row r="10368" spans="1:25" x14ac:dyDescent="0.25">
      <c r="A10368" t="str">
        <f>"134585613642"</f>
        <v>134585613642</v>
      </c>
      <c r="B10368" t="s">
        <v>574</v>
      </c>
      <c r="C10368" t="s">
        <v>14269</v>
      </c>
      <c r="D10368" t="s">
        <v>39331</v>
      </c>
      <c r="E10368">
        <v>424004</v>
      </c>
      <c r="F10368" t="s">
        <v>1</v>
      </c>
      <c r="G10368" t="s">
        <v>2</v>
      </c>
      <c r="H10368" t="s">
        <v>351</v>
      </c>
      <c r="I10368" t="s">
        <v>39332</v>
      </c>
      <c r="M10368" t="s">
        <v>39333</v>
      </c>
      <c r="P10368" t="s">
        <v>20</v>
      </c>
      <c r="T10368" t="s">
        <v>39334</v>
      </c>
      <c r="U10368" t="s">
        <v>39335</v>
      </c>
      <c r="Y10368" t="s">
        <v>354</v>
      </c>
    </row>
    <row r="10369" spans="1:25" x14ac:dyDescent="0.25">
      <c r="A10369" t="str">
        <f>"134612700135"</f>
        <v>134612700135</v>
      </c>
      <c r="B10369" t="s">
        <v>96</v>
      </c>
      <c r="C10369" t="s">
        <v>24441</v>
      </c>
      <c r="D10369" t="s">
        <v>39336</v>
      </c>
      <c r="E10369">
        <v>424007</v>
      </c>
      <c r="F10369" t="s">
        <v>1</v>
      </c>
      <c r="G10369" t="s">
        <v>2</v>
      </c>
      <c r="H10369" t="s">
        <v>5178</v>
      </c>
      <c r="P10369" t="s">
        <v>2731</v>
      </c>
      <c r="Y10369" t="s">
        <v>39337</v>
      </c>
    </row>
    <row r="10370" spans="1:25" x14ac:dyDescent="0.25">
      <c r="A10370" t="str">
        <f>"134642384572"</f>
        <v>134642384572</v>
      </c>
      <c r="B10370" t="s">
        <v>519</v>
      </c>
      <c r="C10370" t="s">
        <v>39340</v>
      </c>
      <c r="D10370" t="s">
        <v>39338</v>
      </c>
      <c r="E10370">
        <v>424004</v>
      </c>
      <c r="F10370" t="s">
        <v>1</v>
      </c>
      <c r="G10370" t="s">
        <v>2</v>
      </c>
      <c r="H10370" t="s">
        <v>3489</v>
      </c>
      <c r="J10370" t="s">
        <v>39339</v>
      </c>
      <c r="P10370" t="s">
        <v>330</v>
      </c>
      <c r="Y10370" t="s">
        <v>8402</v>
      </c>
    </row>
    <row r="10371" spans="1:25" x14ac:dyDescent="0.25">
      <c r="A10371" t="str">
        <f>"134675574720"</f>
        <v>134675574720</v>
      </c>
      <c r="B10371" t="s">
        <v>574</v>
      </c>
      <c r="C10371" t="s">
        <v>21020</v>
      </c>
      <c r="D10371" t="s">
        <v>21345</v>
      </c>
      <c r="E10371">
        <v>424036</v>
      </c>
      <c r="F10371" t="s">
        <v>1</v>
      </c>
      <c r="G10371" t="s">
        <v>2</v>
      </c>
      <c r="H10371" t="s">
        <v>12575</v>
      </c>
      <c r="Y10371" t="s">
        <v>39341</v>
      </c>
    </row>
    <row r="10372" spans="1:25" x14ac:dyDescent="0.25">
      <c r="A10372" t="str">
        <f>"134742609974"</f>
        <v>134742609974</v>
      </c>
      <c r="B10372" t="s">
        <v>8011</v>
      </c>
      <c r="C10372" t="s">
        <v>25177</v>
      </c>
      <c r="D10372" t="s">
        <v>25177</v>
      </c>
      <c r="E10372">
        <v>424000</v>
      </c>
      <c r="F10372" t="s">
        <v>1</v>
      </c>
      <c r="G10372" t="s">
        <v>2</v>
      </c>
      <c r="H10372" t="s">
        <v>164</v>
      </c>
      <c r="Y10372" t="s">
        <v>39342</v>
      </c>
    </row>
    <row r="10373" spans="1:25" x14ac:dyDescent="0.25">
      <c r="A10373" t="str">
        <f>"134754230044"</f>
        <v>134754230044</v>
      </c>
      <c r="B10373" t="s">
        <v>930</v>
      </c>
      <c r="C10373" t="s">
        <v>15966</v>
      </c>
      <c r="D10373" t="s">
        <v>39343</v>
      </c>
      <c r="E10373">
        <v>424032</v>
      </c>
      <c r="F10373" t="s">
        <v>1</v>
      </c>
      <c r="G10373" t="s">
        <v>2</v>
      </c>
      <c r="H10373" t="s">
        <v>17074</v>
      </c>
      <c r="J10373" t="s">
        <v>14658</v>
      </c>
      <c r="P10373" t="s">
        <v>340</v>
      </c>
      <c r="V10373" t="s">
        <v>14659</v>
      </c>
      <c r="Y10373" t="s">
        <v>39344</v>
      </c>
    </row>
    <row r="10374" spans="1:25" x14ac:dyDescent="0.25">
      <c r="A10374" t="str">
        <f>"134771647196"</f>
        <v>134771647196</v>
      </c>
      <c r="B10374" t="s">
        <v>397</v>
      </c>
      <c r="C10374" t="s">
        <v>39349</v>
      </c>
      <c r="D10374" t="s">
        <v>39345</v>
      </c>
      <c r="F10374" t="s">
        <v>1</v>
      </c>
      <c r="G10374" t="s">
        <v>2</v>
      </c>
      <c r="H10374" t="s">
        <v>20904</v>
      </c>
      <c r="J10374" t="s">
        <v>39346</v>
      </c>
      <c r="L10374" t="s">
        <v>39347</v>
      </c>
      <c r="M10374" t="s">
        <v>39348</v>
      </c>
      <c r="P10374" t="s">
        <v>20</v>
      </c>
      <c r="Q10374" t="s">
        <v>39350</v>
      </c>
      <c r="T10374" t="s">
        <v>39351</v>
      </c>
      <c r="V10374" t="s">
        <v>39352</v>
      </c>
      <c r="Y10374" t="s">
        <v>39353</v>
      </c>
    </row>
    <row r="10375" spans="1:25" x14ac:dyDescent="0.25">
      <c r="A10375" t="str">
        <f>"134776659470"</f>
        <v>134776659470</v>
      </c>
      <c r="B10375" t="s">
        <v>348</v>
      </c>
      <c r="C10375" t="s">
        <v>4366</v>
      </c>
      <c r="D10375" t="s">
        <v>27778</v>
      </c>
      <c r="E10375">
        <v>424004</v>
      </c>
      <c r="F10375" t="s">
        <v>1</v>
      </c>
      <c r="G10375" t="s">
        <v>2</v>
      </c>
      <c r="H10375" t="s">
        <v>23522</v>
      </c>
      <c r="J10375" t="s">
        <v>39354</v>
      </c>
      <c r="M10375" t="s">
        <v>27780</v>
      </c>
      <c r="P10375" t="s">
        <v>941</v>
      </c>
      <c r="V10375" t="s">
        <v>27782</v>
      </c>
      <c r="Y10375" t="s">
        <v>39355</v>
      </c>
    </row>
    <row r="10376" spans="1:25" x14ac:dyDescent="0.25">
      <c r="A10376" t="str">
        <f>"134833693273"</f>
        <v>134833693273</v>
      </c>
      <c r="B10376" t="s">
        <v>574</v>
      </c>
      <c r="C10376" t="s">
        <v>26901</v>
      </c>
      <c r="D10376" t="s">
        <v>11854</v>
      </c>
      <c r="E10376">
        <v>424033</v>
      </c>
      <c r="F10376" t="s">
        <v>1</v>
      </c>
      <c r="G10376" t="s">
        <v>2</v>
      </c>
      <c r="H10376" t="s">
        <v>6953</v>
      </c>
      <c r="P10376" t="s">
        <v>4831</v>
      </c>
      <c r="Y10376" t="s">
        <v>39356</v>
      </c>
    </row>
    <row r="10377" spans="1:25" x14ac:dyDescent="0.25">
      <c r="A10377" t="str">
        <f>"134854695134"</f>
        <v>134854695134</v>
      </c>
      <c r="B10377" t="s">
        <v>25</v>
      </c>
      <c r="C10377" t="s">
        <v>24938</v>
      </c>
      <c r="D10377" t="s">
        <v>39357</v>
      </c>
      <c r="F10377" t="s">
        <v>1</v>
      </c>
      <c r="G10377" t="s">
        <v>2</v>
      </c>
      <c r="H10377" t="s">
        <v>39358</v>
      </c>
      <c r="I10377" t="s">
        <v>39359</v>
      </c>
      <c r="M10377" t="s">
        <v>39360</v>
      </c>
      <c r="Y10377" t="s">
        <v>39361</v>
      </c>
    </row>
    <row r="10378" spans="1:25" x14ac:dyDescent="0.25">
      <c r="A10378" t="str">
        <f>"134856477352"</f>
        <v>134856477352</v>
      </c>
      <c r="B10378" t="s">
        <v>1046</v>
      </c>
      <c r="C10378" t="s">
        <v>22946</v>
      </c>
      <c r="D10378" t="s">
        <v>22946</v>
      </c>
      <c r="E10378">
        <v>424003</v>
      </c>
      <c r="F10378" t="s">
        <v>1</v>
      </c>
      <c r="G10378" t="s">
        <v>2</v>
      </c>
      <c r="H10378" t="s">
        <v>39362</v>
      </c>
      <c r="Y10378" t="s">
        <v>39363</v>
      </c>
    </row>
    <row r="10379" spans="1:25" x14ac:dyDescent="0.25">
      <c r="A10379" t="str">
        <f>"134859490940"</f>
        <v>134859490940</v>
      </c>
      <c r="B10379" t="s">
        <v>482</v>
      </c>
      <c r="C10379" t="s">
        <v>4430</v>
      </c>
      <c r="D10379" t="s">
        <v>39364</v>
      </c>
      <c r="E10379">
        <v>424006</v>
      </c>
      <c r="F10379" t="s">
        <v>1</v>
      </c>
      <c r="G10379" t="s">
        <v>2</v>
      </c>
      <c r="H10379" t="s">
        <v>478</v>
      </c>
      <c r="Y10379" t="s">
        <v>39365</v>
      </c>
    </row>
    <row r="10380" spans="1:25" x14ac:dyDescent="0.25">
      <c r="A10380" t="str">
        <f>"134863703153"</f>
        <v>134863703153</v>
      </c>
      <c r="B10380" t="s">
        <v>25</v>
      </c>
      <c r="C10380" t="s">
        <v>20320</v>
      </c>
      <c r="D10380" t="s">
        <v>39366</v>
      </c>
      <c r="E10380">
        <v>424019</v>
      </c>
      <c r="F10380" t="s">
        <v>1</v>
      </c>
      <c r="G10380" t="s">
        <v>2</v>
      </c>
      <c r="H10380" t="s">
        <v>20692</v>
      </c>
      <c r="Y10380" t="s">
        <v>39367</v>
      </c>
    </row>
    <row r="10381" spans="1:25" x14ac:dyDescent="0.25">
      <c r="A10381" t="str">
        <f>"134874980346"</f>
        <v>134874980346</v>
      </c>
      <c r="B10381" t="s">
        <v>408</v>
      </c>
      <c r="C10381" t="s">
        <v>39372</v>
      </c>
      <c r="D10381" t="s">
        <v>39368</v>
      </c>
      <c r="E10381">
        <v>424003</v>
      </c>
      <c r="F10381" t="s">
        <v>1</v>
      </c>
      <c r="G10381" t="s">
        <v>2</v>
      </c>
      <c r="H10381" t="s">
        <v>8724</v>
      </c>
      <c r="J10381" t="s">
        <v>39369</v>
      </c>
      <c r="L10381" t="s">
        <v>39370</v>
      </c>
      <c r="M10381" t="s">
        <v>39371</v>
      </c>
      <c r="P10381" t="s">
        <v>280</v>
      </c>
      <c r="Q10381" t="s">
        <v>39373</v>
      </c>
      <c r="Y10381" t="s">
        <v>35381</v>
      </c>
    </row>
    <row r="10382" spans="1:25" x14ac:dyDescent="0.25">
      <c r="A10382" t="str">
        <f>"134881533492"</f>
        <v>134881533492</v>
      </c>
      <c r="B10382" t="s">
        <v>456</v>
      </c>
      <c r="C10382" t="s">
        <v>15908</v>
      </c>
      <c r="D10382" t="s">
        <v>39374</v>
      </c>
      <c r="E10382">
        <v>424007</v>
      </c>
      <c r="F10382" t="s">
        <v>1</v>
      </c>
      <c r="G10382" t="s">
        <v>2</v>
      </c>
      <c r="H10382" t="s">
        <v>1085</v>
      </c>
      <c r="J10382" t="s">
        <v>39375</v>
      </c>
      <c r="L10382" t="s">
        <v>2127</v>
      </c>
      <c r="M10382" t="s">
        <v>39376</v>
      </c>
      <c r="P10382" t="s">
        <v>280</v>
      </c>
      <c r="Y10382" t="s">
        <v>39377</v>
      </c>
    </row>
    <row r="10383" spans="1:25" x14ac:dyDescent="0.25">
      <c r="A10383" t="str">
        <f>"134935433600"</f>
        <v>134935433600</v>
      </c>
      <c r="B10383" t="s">
        <v>96</v>
      </c>
      <c r="C10383" t="s">
        <v>893</v>
      </c>
      <c r="D10383" t="s">
        <v>39378</v>
      </c>
      <c r="E10383">
        <v>424002</v>
      </c>
      <c r="F10383" t="s">
        <v>1</v>
      </c>
      <c r="G10383" t="s">
        <v>2</v>
      </c>
      <c r="H10383" t="s">
        <v>744</v>
      </c>
      <c r="P10383" t="s">
        <v>748</v>
      </c>
      <c r="Y10383" t="s">
        <v>749</v>
      </c>
    </row>
    <row r="10384" spans="1:25" x14ac:dyDescent="0.25">
      <c r="A10384" t="str">
        <f>"135021441400"</f>
        <v>135021441400</v>
      </c>
      <c r="B10384" t="s">
        <v>530</v>
      </c>
      <c r="C10384" t="s">
        <v>23950</v>
      </c>
      <c r="D10384" t="s">
        <v>23950</v>
      </c>
      <c r="E10384">
        <v>424002</v>
      </c>
      <c r="F10384" t="s">
        <v>1</v>
      </c>
      <c r="G10384" t="s">
        <v>2</v>
      </c>
      <c r="H10384" t="s">
        <v>3877</v>
      </c>
      <c r="Y10384" t="s">
        <v>39379</v>
      </c>
    </row>
    <row r="10385" spans="1:25" x14ac:dyDescent="0.25">
      <c r="A10385" t="str">
        <f>"135030265032"</f>
        <v>135030265032</v>
      </c>
      <c r="B10385" t="s">
        <v>574</v>
      </c>
      <c r="C10385" t="s">
        <v>14269</v>
      </c>
      <c r="D10385" t="s">
        <v>39380</v>
      </c>
      <c r="E10385">
        <v>424038</v>
      </c>
      <c r="F10385" t="s">
        <v>1</v>
      </c>
      <c r="G10385" t="s">
        <v>2</v>
      </c>
      <c r="H10385" t="s">
        <v>6247</v>
      </c>
      <c r="J10385" t="s">
        <v>39381</v>
      </c>
      <c r="P10385" t="s">
        <v>34</v>
      </c>
      <c r="Y10385" t="s">
        <v>39382</v>
      </c>
    </row>
    <row r="10386" spans="1:25" x14ac:dyDescent="0.25">
      <c r="A10386" t="str">
        <f>"135034757622"</f>
        <v>135034757622</v>
      </c>
      <c r="B10386" t="s">
        <v>1315</v>
      </c>
      <c r="C10386" t="s">
        <v>4274</v>
      </c>
      <c r="D10386" t="s">
        <v>19628</v>
      </c>
      <c r="F10386" t="s">
        <v>1</v>
      </c>
      <c r="G10386" t="s">
        <v>2</v>
      </c>
      <c r="H10386" t="s">
        <v>7547</v>
      </c>
      <c r="Y10386" t="s">
        <v>39383</v>
      </c>
    </row>
    <row r="10387" spans="1:25" x14ac:dyDescent="0.25">
      <c r="A10387" t="str">
        <f>"135056715173"</f>
        <v>135056715173</v>
      </c>
      <c r="B10387" t="s">
        <v>123</v>
      </c>
      <c r="C10387" t="s">
        <v>18438</v>
      </c>
      <c r="D10387" t="s">
        <v>2965</v>
      </c>
      <c r="E10387">
        <v>424038</v>
      </c>
      <c r="F10387" t="s">
        <v>1</v>
      </c>
      <c r="G10387" t="s">
        <v>2</v>
      </c>
      <c r="H10387" t="s">
        <v>386</v>
      </c>
      <c r="Y10387" t="s">
        <v>39384</v>
      </c>
    </row>
    <row r="10388" spans="1:25" x14ac:dyDescent="0.25">
      <c r="A10388" t="str">
        <f>"135099106037"</f>
        <v>135099106037</v>
      </c>
      <c r="B10388" t="s">
        <v>1352</v>
      </c>
      <c r="C10388" t="s">
        <v>11624</v>
      </c>
      <c r="D10388" t="s">
        <v>25138</v>
      </c>
      <c r="E10388">
        <v>424019</v>
      </c>
      <c r="F10388" t="s">
        <v>1</v>
      </c>
      <c r="G10388" t="s">
        <v>2</v>
      </c>
      <c r="H10388" t="s">
        <v>7785</v>
      </c>
      <c r="I10388" t="s">
        <v>39385</v>
      </c>
      <c r="L10388" t="s">
        <v>25141</v>
      </c>
      <c r="M10388" t="s">
        <v>25142</v>
      </c>
      <c r="P10388" t="s">
        <v>98</v>
      </c>
      <c r="Y10388" t="s">
        <v>39386</v>
      </c>
    </row>
    <row r="10389" spans="1:25" x14ac:dyDescent="0.25">
      <c r="A10389" t="str">
        <f>"135101204176"</f>
        <v>135101204176</v>
      </c>
      <c r="B10389" t="s">
        <v>1152</v>
      </c>
      <c r="C10389" t="s">
        <v>4926</v>
      </c>
      <c r="D10389" t="s">
        <v>17445</v>
      </c>
      <c r="F10389" t="s">
        <v>1</v>
      </c>
      <c r="G10389" t="s">
        <v>2</v>
      </c>
      <c r="H10389" t="s">
        <v>3018</v>
      </c>
      <c r="Y10389" t="s">
        <v>3019</v>
      </c>
    </row>
    <row r="10390" spans="1:25" x14ac:dyDescent="0.25">
      <c r="A10390" t="str">
        <f>"135102789520"</f>
        <v>135102789520</v>
      </c>
      <c r="B10390" t="s">
        <v>530</v>
      </c>
      <c r="C10390" t="s">
        <v>23950</v>
      </c>
      <c r="D10390" t="s">
        <v>23950</v>
      </c>
      <c r="E10390">
        <v>424038</v>
      </c>
      <c r="F10390" t="s">
        <v>1</v>
      </c>
      <c r="G10390" t="s">
        <v>2</v>
      </c>
      <c r="H10390" t="s">
        <v>16808</v>
      </c>
      <c r="Y10390" t="s">
        <v>39387</v>
      </c>
    </row>
    <row r="10391" spans="1:25" x14ac:dyDescent="0.25">
      <c r="A10391" t="str">
        <f>"135105166446"</f>
        <v>135105166446</v>
      </c>
      <c r="B10391" t="s">
        <v>469</v>
      </c>
      <c r="C10391" t="s">
        <v>39388</v>
      </c>
      <c r="D10391" t="s">
        <v>32243</v>
      </c>
      <c r="E10391">
        <v>424038</v>
      </c>
      <c r="F10391" t="s">
        <v>1</v>
      </c>
      <c r="G10391" t="s">
        <v>2</v>
      </c>
      <c r="H10391" t="s">
        <v>21388</v>
      </c>
      <c r="I10391" t="s">
        <v>24543</v>
      </c>
      <c r="L10391" t="s">
        <v>24544</v>
      </c>
      <c r="M10391" t="s">
        <v>24545</v>
      </c>
      <c r="P10391" t="s">
        <v>8361</v>
      </c>
      <c r="Q10391" t="s">
        <v>24547</v>
      </c>
      <c r="V10391" t="s">
        <v>24548</v>
      </c>
      <c r="Y10391" t="s">
        <v>39389</v>
      </c>
    </row>
    <row r="10392" spans="1:25" x14ac:dyDescent="0.25">
      <c r="A10392" t="str">
        <f>"135111276376"</f>
        <v>135111276376</v>
      </c>
      <c r="B10392" t="s">
        <v>96</v>
      </c>
      <c r="C10392" t="s">
        <v>893</v>
      </c>
      <c r="D10392" t="s">
        <v>39390</v>
      </c>
      <c r="E10392">
        <v>424002</v>
      </c>
      <c r="F10392" t="s">
        <v>1</v>
      </c>
      <c r="G10392" t="s">
        <v>2</v>
      </c>
      <c r="H10392" t="s">
        <v>6916</v>
      </c>
      <c r="Y10392" t="s">
        <v>6918</v>
      </c>
    </row>
    <row r="10393" spans="1:25" x14ac:dyDescent="0.25">
      <c r="A10393" t="str">
        <f>"135116403408"</f>
        <v>135116403408</v>
      </c>
      <c r="B10393" t="s">
        <v>18</v>
      </c>
      <c r="C10393" t="s">
        <v>39395</v>
      </c>
      <c r="D10393" t="s">
        <v>39391</v>
      </c>
      <c r="E10393">
        <v>424003</v>
      </c>
      <c r="F10393" t="s">
        <v>1</v>
      </c>
      <c r="G10393" t="s">
        <v>2</v>
      </c>
      <c r="H10393" t="s">
        <v>8926</v>
      </c>
      <c r="I10393" t="s">
        <v>39392</v>
      </c>
      <c r="L10393" t="s">
        <v>39393</v>
      </c>
      <c r="M10393" t="s">
        <v>39394</v>
      </c>
      <c r="P10393" t="s">
        <v>390</v>
      </c>
      <c r="Q10393" t="s">
        <v>39396</v>
      </c>
      <c r="Y10393" t="s">
        <v>17997</v>
      </c>
    </row>
    <row r="10394" spans="1:25" x14ac:dyDescent="0.25">
      <c r="A10394" t="str">
        <f>"135128177910"</f>
        <v>135128177910</v>
      </c>
      <c r="B10394" t="s">
        <v>96</v>
      </c>
      <c r="C10394" t="s">
        <v>893</v>
      </c>
      <c r="D10394" t="s">
        <v>32743</v>
      </c>
      <c r="E10394">
        <v>424000</v>
      </c>
      <c r="F10394" t="s">
        <v>1</v>
      </c>
      <c r="G10394" t="s">
        <v>2</v>
      </c>
      <c r="H10394" t="s">
        <v>1473</v>
      </c>
      <c r="P10394" t="s">
        <v>941</v>
      </c>
      <c r="Y10394" t="s">
        <v>4067</v>
      </c>
    </row>
    <row r="10395" spans="1:25" x14ac:dyDescent="0.25">
      <c r="A10395" t="str">
        <f>"135128670258"</f>
        <v>135128670258</v>
      </c>
      <c r="B10395" t="s">
        <v>32</v>
      </c>
      <c r="C10395" t="s">
        <v>777</v>
      </c>
      <c r="D10395" t="s">
        <v>39397</v>
      </c>
      <c r="E10395">
        <v>424020</v>
      </c>
      <c r="F10395" t="s">
        <v>1</v>
      </c>
      <c r="G10395" t="s">
        <v>2</v>
      </c>
      <c r="H10395" t="s">
        <v>288</v>
      </c>
      <c r="I10395" t="s">
        <v>39398</v>
      </c>
      <c r="P10395" t="s">
        <v>1855</v>
      </c>
      <c r="Y10395" t="s">
        <v>17289</v>
      </c>
    </row>
    <row r="10396" spans="1:25" x14ac:dyDescent="0.25">
      <c r="A10396" t="str">
        <f>"135165481199"</f>
        <v>135165481199</v>
      </c>
      <c r="B10396" t="s">
        <v>1078</v>
      </c>
      <c r="C10396" t="s">
        <v>39400</v>
      </c>
      <c r="D10396" t="s">
        <v>39399</v>
      </c>
      <c r="E10396">
        <v>424038</v>
      </c>
      <c r="F10396" t="s">
        <v>1</v>
      </c>
      <c r="G10396" t="s">
        <v>2</v>
      </c>
      <c r="H10396" t="s">
        <v>13986</v>
      </c>
      <c r="P10396" t="s">
        <v>1213</v>
      </c>
      <c r="Q10396" t="s">
        <v>39401</v>
      </c>
      <c r="Y10396" t="s">
        <v>39402</v>
      </c>
    </row>
    <row r="10397" spans="1:25" x14ac:dyDescent="0.25">
      <c r="A10397" t="str">
        <f>"135168371018"</f>
        <v>135168371018</v>
      </c>
      <c r="B10397" t="s">
        <v>574</v>
      </c>
      <c r="C10397" t="s">
        <v>646</v>
      </c>
      <c r="D10397" t="s">
        <v>22154</v>
      </c>
      <c r="E10397">
        <v>424036</v>
      </c>
      <c r="F10397" t="s">
        <v>1</v>
      </c>
      <c r="G10397" t="s">
        <v>2</v>
      </c>
      <c r="H10397" t="s">
        <v>7822</v>
      </c>
      <c r="Y10397" t="s">
        <v>39403</v>
      </c>
    </row>
    <row r="10398" spans="1:25" x14ac:dyDescent="0.25">
      <c r="A10398" t="str">
        <f>"135189377306"</f>
        <v>135189377306</v>
      </c>
      <c r="B10398" t="s">
        <v>1152</v>
      </c>
      <c r="C10398" t="s">
        <v>8449</v>
      </c>
      <c r="D10398" t="s">
        <v>39404</v>
      </c>
      <c r="E10398">
        <v>424020</v>
      </c>
      <c r="F10398" t="s">
        <v>1</v>
      </c>
      <c r="G10398" t="s">
        <v>2</v>
      </c>
      <c r="H10398" t="s">
        <v>1837</v>
      </c>
      <c r="Y10398" t="s">
        <v>39405</v>
      </c>
    </row>
    <row r="10399" spans="1:25" x14ac:dyDescent="0.25">
      <c r="A10399" t="str">
        <f>"135189757740"</f>
        <v>135189757740</v>
      </c>
      <c r="B10399" t="s">
        <v>96</v>
      </c>
      <c r="C10399" t="s">
        <v>893</v>
      </c>
      <c r="D10399" t="s">
        <v>39406</v>
      </c>
      <c r="E10399">
        <v>424000</v>
      </c>
      <c r="F10399" t="s">
        <v>1</v>
      </c>
      <c r="G10399" t="s">
        <v>2</v>
      </c>
      <c r="H10399" t="s">
        <v>92</v>
      </c>
      <c r="Y10399" t="s">
        <v>28397</v>
      </c>
    </row>
    <row r="10400" spans="1:25" x14ac:dyDescent="0.25">
      <c r="A10400" t="str">
        <f>"135200795700"</f>
        <v>135200795700</v>
      </c>
      <c r="B10400" t="s">
        <v>462</v>
      </c>
      <c r="C10400" t="s">
        <v>5618</v>
      </c>
      <c r="D10400" t="s">
        <v>33385</v>
      </c>
      <c r="F10400" t="s">
        <v>1</v>
      </c>
      <c r="G10400" t="s">
        <v>2</v>
      </c>
      <c r="H10400" t="s">
        <v>5906</v>
      </c>
      <c r="I10400" t="s">
        <v>33386</v>
      </c>
      <c r="L10400" t="s">
        <v>33387</v>
      </c>
      <c r="M10400" t="s">
        <v>33388</v>
      </c>
      <c r="Y10400" t="s">
        <v>5907</v>
      </c>
    </row>
    <row r="10401" spans="1:25" x14ac:dyDescent="0.25">
      <c r="A10401" t="str">
        <f>"135216394552"</f>
        <v>135216394552</v>
      </c>
      <c r="B10401" t="s">
        <v>188</v>
      </c>
      <c r="C10401" t="s">
        <v>24568</v>
      </c>
      <c r="D10401" t="s">
        <v>24568</v>
      </c>
      <c r="E10401">
        <v>424000</v>
      </c>
      <c r="F10401" t="s">
        <v>1</v>
      </c>
      <c r="G10401" t="s">
        <v>2</v>
      </c>
      <c r="H10401" t="s">
        <v>128</v>
      </c>
      <c r="Y10401" t="s">
        <v>39407</v>
      </c>
    </row>
    <row r="10402" spans="1:25" x14ac:dyDescent="0.25">
      <c r="A10402" t="str">
        <f>"135223844964"</f>
        <v>135223844964</v>
      </c>
      <c r="B10402" t="s">
        <v>18</v>
      </c>
      <c r="C10402" t="s">
        <v>39409</v>
      </c>
      <c r="D10402" t="s">
        <v>39408</v>
      </c>
      <c r="E10402">
        <v>424028</v>
      </c>
      <c r="F10402" t="s">
        <v>1</v>
      </c>
      <c r="G10402" t="s">
        <v>2</v>
      </c>
      <c r="H10402" t="s">
        <v>30307</v>
      </c>
      <c r="Y10402" t="s">
        <v>30308</v>
      </c>
    </row>
    <row r="10403" spans="1:25" x14ac:dyDescent="0.25">
      <c r="A10403" t="str">
        <f>"135231381016"</f>
        <v>135231381016</v>
      </c>
      <c r="B10403" t="s">
        <v>96</v>
      </c>
      <c r="C10403" t="s">
        <v>8808</v>
      </c>
      <c r="D10403" t="s">
        <v>39410</v>
      </c>
      <c r="E10403">
        <v>424038</v>
      </c>
      <c r="F10403" t="s">
        <v>1</v>
      </c>
      <c r="G10403" t="s">
        <v>2</v>
      </c>
      <c r="H10403" t="s">
        <v>7597</v>
      </c>
      <c r="P10403" t="s">
        <v>1642</v>
      </c>
      <c r="Y10403" t="s">
        <v>21047</v>
      </c>
    </row>
    <row r="10404" spans="1:25" x14ac:dyDescent="0.25">
      <c r="A10404" t="str">
        <f>"135248688702"</f>
        <v>135248688702</v>
      </c>
      <c r="B10404" t="s">
        <v>574</v>
      </c>
      <c r="C10404" t="s">
        <v>39413</v>
      </c>
      <c r="D10404" t="s">
        <v>39411</v>
      </c>
      <c r="E10404">
        <v>424028</v>
      </c>
      <c r="F10404" t="s">
        <v>1</v>
      </c>
      <c r="G10404" t="s">
        <v>2</v>
      </c>
      <c r="H10404" t="s">
        <v>27719</v>
      </c>
      <c r="I10404" t="s">
        <v>39412</v>
      </c>
      <c r="L10404" t="s">
        <v>32711</v>
      </c>
      <c r="Q10404" t="s">
        <v>26537</v>
      </c>
      <c r="Y10404" t="s">
        <v>39414</v>
      </c>
    </row>
    <row r="10405" spans="1:25" x14ac:dyDescent="0.25">
      <c r="A10405" t="str">
        <f>"135278589132"</f>
        <v>135278589132</v>
      </c>
      <c r="B10405" t="s">
        <v>3008</v>
      </c>
      <c r="C10405" t="s">
        <v>3008</v>
      </c>
      <c r="D10405" t="s">
        <v>39415</v>
      </c>
      <c r="E10405">
        <v>424007</v>
      </c>
      <c r="F10405" t="s">
        <v>1</v>
      </c>
      <c r="G10405" t="s">
        <v>2</v>
      </c>
      <c r="H10405" t="s">
        <v>10252</v>
      </c>
      <c r="I10405" t="s">
        <v>39416</v>
      </c>
      <c r="P10405" t="s">
        <v>27</v>
      </c>
      <c r="Y10405" t="s">
        <v>10258</v>
      </c>
    </row>
    <row r="10406" spans="1:25" x14ac:dyDescent="0.25">
      <c r="A10406" t="str">
        <f>"135283554264"</f>
        <v>135283554264</v>
      </c>
      <c r="B10406" t="s">
        <v>430</v>
      </c>
      <c r="C10406" t="s">
        <v>16178</v>
      </c>
      <c r="D10406" t="s">
        <v>39417</v>
      </c>
      <c r="E10406">
        <v>424005</v>
      </c>
      <c r="F10406" t="s">
        <v>1</v>
      </c>
      <c r="G10406" t="s">
        <v>2</v>
      </c>
      <c r="H10406" t="s">
        <v>24973</v>
      </c>
      <c r="Y10406" t="s">
        <v>39418</v>
      </c>
    </row>
    <row r="10407" spans="1:25" x14ac:dyDescent="0.25">
      <c r="A10407" t="str">
        <f>"135326723602"</f>
        <v>135326723602</v>
      </c>
      <c r="B10407" t="s">
        <v>123</v>
      </c>
      <c r="C10407" t="s">
        <v>196</v>
      </c>
      <c r="D10407" t="s">
        <v>39419</v>
      </c>
      <c r="E10407">
        <v>424006</v>
      </c>
      <c r="F10407" t="s">
        <v>1</v>
      </c>
      <c r="G10407" t="s">
        <v>2</v>
      </c>
      <c r="H10407" t="s">
        <v>4069</v>
      </c>
      <c r="J10407" t="s">
        <v>39420</v>
      </c>
      <c r="P10407" t="s">
        <v>39421</v>
      </c>
      <c r="Y10407" t="s">
        <v>39422</v>
      </c>
    </row>
    <row r="10408" spans="1:25" x14ac:dyDescent="0.25">
      <c r="A10408" t="str">
        <f>"135361755403"</f>
        <v>135361755403</v>
      </c>
      <c r="B10408" t="s">
        <v>530</v>
      </c>
      <c r="C10408" t="s">
        <v>5046</v>
      </c>
      <c r="D10408" t="s">
        <v>30161</v>
      </c>
      <c r="E10408">
        <v>424032</v>
      </c>
      <c r="F10408" t="s">
        <v>1</v>
      </c>
      <c r="G10408" t="s">
        <v>2</v>
      </c>
      <c r="H10408" t="s">
        <v>4808</v>
      </c>
      <c r="J10408" t="s">
        <v>39423</v>
      </c>
      <c r="P10408" t="s">
        <v>20</v>
      </c>
      <c r="Q10408" t="s">
        <v>39424</v>
      </c>
      <c r="V10408" t="s">
        <v>39425</v>
      </c>
      <c r="Y10408" t="s">
        <v>4812</v>
      </c>
    </row>
    <row r="10409" spans="1:25" x14ac:dyDescent="0.25">
      <c r="A10409" t="str">
        <f>"135365408937"</f>
        <v>135365408937</v>
      </c>
      <c r="B10409" t="s">
        <v>1758</v>
      </c>
      <c r="C10409" t="s">
        <v>8089</v>
      </c>
      <c r="D10409" t="s">
        <v>14187</v>
      </c>
      <c r="E10409">
        <v>424004</v>
      </c>
      <c r="F10409" t="s">
        <v>1</v>
      </c>
      <c r="G10409" t="s">
        <v>2</v>
      </c>
      <c r="H10409" t="s">
        <v>3266</v>
      </c>
      <c r="J10409" t="s">
        <v>39426</v>
      </c>
      <c r="P10409" t="s">
        <v>39427</v>
      </c>
      <c r="Y10409" t="s">
        <v>33164</v>
      </c>
    </row>
    <row r="10410" spans="1:25" x14ac:dyDescent="0.25">
      <c r="A10410" t="str">
        <f>"135373268542"</f>
        <v>135373268542</v>
      </c>
      <c r="B10410" t="s">
        <v>530</v>
      </c>
      <c r="C10410" t="s">
        <v>23950</v>
      </c>
      <c r="D10410" t="s">
        <v>23950</v>
      </c>
      <c r="F10410" t="s">
        <v>1</v>
      </c>
      <c r="G10410" t="s">
        <v>2</v>
      </c>
      <c r="H10410" t="s">
        <v>39428</v>
      </c>
      <c r="Y10410" t="s">
        <v>39429</v>
      </c>
    </row>
    <row r="10411" spans="1:25" x14ac:dyDescent="0.25">
      <c r="A10411" t="str">
        <f>"135389130149"</f>
        <v>135389130149</v>
      </c>
      <c r="B10411" t="s">
        <v>519</v>
      </c>
      <c r="C10411" t="s">
        <v>25716</v>
      </c>
      <c r="D10411" t="s">
        <v>39430</v>
      </c>
      <c r="E10411">
        <v>424033</v>
      </c>
      <c r="F10411" t="s">
        <v>1</v>
      </c>
      <c r="G10411" t="s">
        <v>2</v>
      </c>
      <c r="H10411" t="s">
        <v>1383</v>
      </c>
      <c r="P10411" t="s">
        <v>39431</v>
      </c>
      <c r="Q10411" t="s">
        <v>39432</v>
      </c>
      <c r="Y10411" t="s">
        <v>39433</v>
      </c>
    </row>
    <row r="10412" spans="1:25" x14ac:dyDescent="0.25">
      <c r="A10412" t="str">
        <f>"135408978205"</f>
        <v>135408978205</v>
      </c>
      <c r="B10412" t="s">
        <v>530</v>
      </c>
      <c r="C10412" t="s">
        <v>23950</v>
      </c>
      <c r="D10412" t="s">
        <v>23950</v>
      </c>
      <c r="F10412" t="s">
        <v>1</v>
      </c>
      <c r="G10412" t="s">
        <v>2</v>
      </c>
      <c r="H10412" t="s">
        <v>7547</v>
      </c>
      <c r="Y10412" t="s">
        <v>39434</v>
      </c>
    </row>
    <row r="10413" spans="1:25" x14ac:dyDescent="0.25">
      <c r="A10413" t="str">
        <f>"135417579896"</f>
        <v>135417579896</v>
      </c>
      <c r="B10413" t="s">
        <v>188</v>
      </c>
      <c r="C10413" t="s">
        <v>8311</v>
      </c>
      <c r="D10413" t="s">
        <v>12894</v>
      </c>
      <c r="E10413">
        <v>424000</v>
      </c>
      <c r="F10413" t="s">
        <v>1</v>
      </c>
      <c r="G10413" t="s">
        <v>2</v>
      </c>
      <c r="H10413" t="s">
        <v>28208</v>
      </c>
      <c r="Y10413" t="s">
        <v>39435</v>
      </c>
    </row>
    <row r="10414" spans="1:25" x14ac:dyDescent="0.25">
      <c r="A10414" t="str">
        <f>"135422312763"</f>
        <v>135422312763</v>
      </c>
      <c r="B10414" t="s">
        <v>96</v>
      </c>
      <c r="C10414" t="s">
        <v>25084</v>
      </c>
      <c r="D10414" t="s">
        <v>39436</v>
      </c>
      <c r="E10414">
        <v>424019</v>
      </c>
      <c r="F10414" t="s">
        <v>1</v>
      </c>
      <c r="G10414" t="s">
        <v>2</v>
      </c>
      <c r="H10414" t="s">
        <v>7785</v>
      </c>
      <c r="P10414" t="s">
        <v>98</v>
      </c>
      <c r="Y10414" t="s">
        <v>39437</v>
      </c>
    </row>
    <row r="10415" spans="1:25" x14ac:dyDescent="0.25">
      <c r="A10415" t="str">
        <f>"135422701072"</f>
        <v>135422701072</v>
      </c>
      <c r="B10415" t="s">
        <v>978</v>
      </c>
      <c r="C10415" t="s">
        <v>34918</v>
      </c>
      <c r="D10415" t="s">
        <v>39438</v>
      </c>
      <c r="E10415">
        <v>424008</v>
      </c>
      <c r="F10415" t="s">
        <v>1</v>
      </c>
      <c r="G10415" t="s">
        <v>2</v>
      </c>
      <c r="H10415" t="s">
        <v>1012</v>
      </c>
      <c r="M10415" t="s">
        <v>39439</v>
      </c>
      <c r="Y10415" t="s">
        <v>1016</v>
      </c>
    </row>
    <row r="10416" spans="1:25" x14ac:dyDescent="0.25">
      <c r="A10416" t="str">
        <f>"135448717809"</f>
        <v>135448717809</v>
      </c>
      <c r="B10416" t="s">
        <v>430</v>
      </c>
      <c r="C10416" t="s">
        <v>2431</v>
      </c>
      <c r="D10416" t="s">
        <v>10944</v>
      </c>
      <c r="E10416">
        <v>424002</v>
      </c>
      <c r="F10416" t="s">
        <v>1</v>
      </c>
      <c r="G10416" t="s">
        <v>2</v>
      </c>
      <c r="H10416" t="s">
        <v>3864</v>
      </c>
      <c r="J10416" t="s">
        <v>39440</v>
      </c>
      <c r="P10416" t="s">
        <v>19214</v>
      </c>
      <c r="Y10416" t="s">
        <v>3867</v>
      </c>
    </row>
    <row r="10417" spans="1:25" x14ac:dyDescent="0.25">
      <c r="A10417" t="str">
        <f>"135456511834"</f>
        <v>135456511834</v>
      </c>
      <c r="B10417" t="s">
        <v>462</v>
      </c>
      <c r="C10417" t="s">
        <v>1140</v>
      </c>
      <c r="D10417" t="s">
        <v>39441</v>
      </c>
      <c r="E10417">
        <v>424031</v>
      </c>
      <c r="F10417" t="s">
        <v>1</v>
      </c>
      <c r="G10417" t="s">
        <v>2</v>
      </c>
      <c r="H10417" t="s">
        <v>18356</v>
      </c>
      <c r="Y10417" t="s">
        <v>39442</v>
      </c>
    </row>
    <row r="10418" spans="1:25" x14ac:dyDescent="0.25">
      <c r="A10418" t="str">
        <f>"135467959290"</f>
        <v>135467959290</v>
      </c>
      <c r="B10418" t="s">
        <v>530</v>
      </c>
      <c r="C10418" t="s">
        <v>23950</v>
      </c>
      <c r="D10418" t="s">
        <v>23950</v>
      </c>
      <c r="E10418">
        <v>424006</v>
      </c>
      <c r="F10418" t="s">
        <v>1</v>
      </c>
      <c r="G10418" t="s">
        <v>2</v>
      </c>
      <c r="H10418" t="s">
        <v>39443</v>
      </c>
      <c r="Y10418" t="s">
        <v>39444</v>
      </c>
    </row>
    <row r="10419" spans="1:25" x14ac:dyDescent="0.25">
      <c r="A10419" t="str">
        <f>"135510997787"</f>
        <v>135510997787</v>
      </c>
      <c r="B10419" t="s">
        <v>1152</v>
      </c>
      <c r="C10419" t="s">
        <v>1153</v>
      </c>
      <c r="D10419" t="s">
        <v>10280</v>
      </c>
      <c r="E10419">
        <v>424038</v>
      </c>
      <c r="F10419" t="s">
        <v>1</v>
      </c>
      <c r="G10419" t="s">
        <v>2</v>
      </c>
      <c r="H10419" t="s">
        <v>16482</v>
      </c>
      <c r="I10419" t="s">
        <v>22092</v>
      </c>
      <c r="M10419" t="s">
        <v>10284</v>
      </c>
      <c r="Q10419" t="s">
        <v>10286</v>
      </c>
      <c r="R10419" t="s">
        <v>10287</v>
      </c>
      <c r="S10419" t="s">
        <v>10288</v>
      </c>
      <c r="T10419" t="s">
        <v>10289</v>
      </c>
      <c r="U10419" t="s">
        <v>10290</v>
      </c>
      <c r="V10419" t="s">
        <v>10291</v>
      </c>
      <c r="Y10419" t="s">
        <v>16484</v>
      </c>
    </row>
    <row r="10420" spans="1:25" x14ac:dyDescent="0.25">
      <c r="A10420" t="str">
        <f>"135526897526"</f>
        <v>135526897526</v>
      </c>
      <c r="B10420" t="s">
        <v>930</v>
      </c>
      <c r="C10420" t="s">
        <v>1096</v>
      </c>
      <c r="D10420" t="s">
        <v>13314</v>
      </c>
      <c r="E10420">
        <v>424020</v>
      </c>
      <c r="F10420" t="s">
        <v>1</v>
      </c>
      <c r="G10420" t="s">
        <v>2</v>
      </c>
      <c r="H10420" t="s">
        <v>9669</v>
      </c>
      <c r="I10420" t="s">
        <v>39445</v>
      </c>
      <c r="P10420" t="s">
        <v>39446</v>
      </c>
      <c r="Y10420" t="s">
        <v>14546</v>
      </c>
    </row>
    <row r="10421" spans="1:25" x14ac:dyDescent="0.25">
      <c r="A10421" t="str">
        <f>"135528692651"</f>
        <v>135528692651</v>
      </c>
      <c r="B10421" t="s">
        <v>2790</v>
      </c>
      <c r="C10421" t="s">
        <v>3528</v>
      </c>
      <c r="D10421" t="s">
        <v>39447</v>
      </c>
      <c r="E10421">
        <v>424007</v>
      </c>
      <c r="F10421" t="s">
        <v>1</v>
      </c>
      <c r="G10421" t="s">
        <v>2</v>
      </c>
      <c r="H10421" t="s">
        <v>5877</v>
      </c>
      <c r="Y10421" t="s">
        <v>39448</v>
      </c>
    </row>
    <row r="10422" spans="1:25" x14ac:dyDescent="0.25">
      <c r="A10422" t="str">
        <f>"135562672937"</f>
        <v>135562672937</v>
      </c>
      <c r="B10422" t="s">
        <v>18</v>
      </c>
      <c r="C10422" t="s">
        <v>39451</v>
      </c>
      <c r="D10422" t="s">
        <v>39449</v>
      </c>
      <c r="E10422">
        <v>424006</v>
      </c>
      <c r="F10422" t="s">
        <v>1</v>
      </c>
      <c r="G10422" t="s">
        <v>2</v>
      </c>
      <c r="H10422" t="s">
        <v>15013</v>
      </c>
      <c r="I10422" t="s">
        <v>39450</v>
      </c>
      <c r="P10422" t="s">
        <v>39452</v>
      </c>
      <c r="Y10422" t="s">
        <v>29282</v>
      </c>
    </row>
    <row r="10423" spans="1:25" x14ac:dyDescent="0.25">
      <c r="A10423" t="str">
        <f>"135574940817"</f>
        <v>135574940817</v>
      </c>
      <c r="B10423" t="s">
        <v>888</v>
      </c>
      <c r="C10423" t="s">
        <v>1947</v>
      </c>
      <c r="D10423" t="s">
        <v>39453</v>
      </c>
      <c r="E10423">
        <v>424019</v>
      </c>
      <c r="F10423" t="s">
        <v>1</v>
      </c>
      <c r="G10423" t="s">
        <v>2</v>
      </c>
      <c r="H10423" t="s">
        <v>7785</v>
      </c>
      <c r="I10423" t="s">
        <v>39454</v>
      </c>
      <c r="L10423" t="s">
        <v>39455</v>
      </c>
      <c r="M10423" t="s">
        <v>39456</v>
      </c>
      <c r="P10423" t="s">
        <v>98</v>
      </c>
      <c r="V10423" t="s">
        <v>39457</v>
      </c>
      <c r="Y10423" t="s">
        <v>39458</v>
      </c>
    </row>
    <row r="10424" spans="1:25" x14ac:dyDescent="0.25">
      <c r="A10424" t="str">
        <f>"135584318606"</f>
        <v>135584318606</v>
      </c>
      <c r="B10424" t="s">
        <v>18</v>
      </c>
      <c r="C10424" t="s">
        <v>39462</v>
      </c>
      <c r="D10424" t="s">
        <v>39459</v>
      </c>
      <c r="E10424">
        <v>424007</v>
      </c>
      <c r="F10424" t="s">
        <v>1</v>
      </c>
      <c r="G10424" t="s">
        <v>2</v>
      </c>
      <c r="H10424" t="s">
        <v>11900</v>
      </c>
      <c r="I10424" t="s">
        <v>39460</v>
      </c>
      <c r="J10424" t="s">
        <v>39461</v>
      </c>
      <c r="P10424" t="s">
        <v>280</v>
      </c>
      <c r="Y10424" t="s">
        <v>11902</v>
      </c>
    </row>
    <row r="10425" spans="1:25" x14ac:dyDescent="0.25">
      <c r="A10425" t="str">
        <f>"135587877086"</f>
        <v>135587877086</v>
      </c>
      <c r="B10425" t="s">
        <v>1299</v>
      </c>
      <c r="C10425" t="s">
        <v>33894</v>
      </c>
      <c r="D10425" t="s">
        <v>39463</v>
      </c>
      <c r="F10425" t="s">
        <v>1</v>
      </c>
      <c r="G10425" t="s">
        <v>2</v>
      </c>
      <c r="H10425" t="s">
        <v>25588</v>
      </c>
      <c r="Y10425" t="s">
        <v>39464</v>
      </c>
    </row>
    <row r="10426" spans="1:25" x14ac:dyDescent="0.25">
      <c r="A10426" t="str">
        <f>"135607395465"</f>
        <v>135607395465</v>
      </c>
      <c r="B10426" t="s">
        <v>25</v>
      </c>
      <c r="C10426" t="s">
        <v>59</v>
      </c>
      <c r="D10426" t="s">
        <v>39465</v>
      </c>
      <c r="E10426">
        <v>424031</v>
      </c>
      <c r="F10426" t="s">
        <v>1</v>
      </c>
      <c r="G10426" t="s">
        <v>2</v>
      </c>
      <c r="H10426" t="s">
        <v>2353</v>
      </c>
      <c r="I10426" t="s">
        <v>39466</v>
      </c>
      <c r="J10426" t="s">
        <v>39467</v>
      </c>
      <c r="L10426" t="s">
        <v>39468</v>
      </c>
      <c r="P10426" t="s">
        <v>27</v>
      </c>
      <c r="Y10426" t="s">
        <v>39469</v>
      </c>
    </row>
    <row r="10427" spans="1:25" x14ac:dyDescent="0.25">
      <c r="A10427" t="str">
        <f>"135642590618"</f>
        <v>135642590618</v>
      </c>
      <c r="B10427" t="s">
        <v>978</v>
      </c>
      <c r="C10427" t="s">
        <v>34918</v>
      </c>
      <c r="D10427" t="s">
        <v>39470</v>
      </c>
      <c r="E10427">
        <v>424008</v>
      </c>
      <c r="F10427" t="s">
        <v>1</v>
      </c>
      <c r="G10427" t="s">
        <v>2</v>
      </c>
      <c r="H10427" t="s">
        <v>33765</v>
      </c>
      <c r="Y10427" t="s">
        <v>39471</v>
      </c>
    </row>
    <row r="10428" spans="1:25" x14ac:dyDescent="0.25">
      <c r="A10428" t="str">
        <f>"135662281737"</f>
        <v>135662281737</v>
      </c>
      <c r="B10428" t="s">
        <v>574</v>
      </c>
      <c r="C10428" t="s">
        <v>9802</v>
      </c>
      <c r="D10428" t="s">
        <v>28401</v>
      </c>
      <c r="E10428">
        <v>424038</v>
      </c>
      <c r="F10428" t="s">
        <v>1</v>
      </c>
      <c r="G10428" t="s">
        <v>2</v>
      </c>
      <c r="H10428" t="s">
        <v>2855</v>
      </c>
      <c r="Y10428" t="s">
        <v>8933</v>
      </c>
    </row>
    <row r="10429" spans="1:25" x14ac:dyDescent="0.25">
      <c r="A10429" t="str">
        <f>"135673916486"</f>
        <v>135673916486</v>
      </c>
      <c r="B10429" t="s">
        <v>151</v>
      </c>
      <c r="C10429" t="s">
        <v>881</v>
      </c>
      <c r="D10429" t="s">
        <v>39472</v>
      </c>
      <c r="E10429">
        <v>424007</v>
      </c>
      <c r="F10429" t="s">
        <v>1</v>
      </c>
      <c r="G10429" t="s">
        <v>2</v>
      </c>
      <c r="H10429" t="s">
        <v>5647</v>
      </c>
      <c r="J10429" t="s">
        <v>39473</v>
      </c>
      <c r="P10429" t="s">
        <v>280</v>
      </c>
      <c r="Y10429" t="s">
        <v>12500</v>
      </c>
    </row>
    <row r="10430" spans="1:25" x14ac:dyDescent="0.25">
      <c r="A10430" t="str">
        <f>"135704313119"</f>
        <v>135704313119</v>
      </c>
      <c r="B10430" t="s">
        <v>388</v>
      </c>
      <c r="C10430" t="s">
        <v>39478</v>
      </c>
      <c r="D10430" t="s">
        <v>39474</v>
      </c>
      <c r="F10430" t="s">
        <v>1</v>
      </c>
      <c r="G10430" t="s">
        <v>2</v>
      </c>
      <c r="H10430" t="s">
        <v>1003</v>
      </c>
      <c r="J10430" t="s">
        <v>39475</v>
      </c>
      <c r="L10430" t="s">
        <v>39476</v>
      </c>
      <c r="M10430" t="s">
        <v>39477</v>
      </c>
      <c r="P10430" t="s">
        <v>5922</v>
      </c>
      <c r="U10430" t="s">
        <v>39479</v>
      </c>
      <c r="Y10430" t="s">
        <v>1006</v>
      </c>
    </row>
    <row r="10431" spans="1:25" x14ac:dyDescent="0.25">
      <c r="A10431" t="str">
        <f>"135728686531"</f>
        <v>135728686531</v>
      </c>
      <c r="B10431" t="s">
        <v>348</v>
      </c>
      <c r="C10431" t="s">
        <v>39480</v>
      </c>
      <c r="D10431" t="s">
        <v>27468</v>
      </c>
      <c r="E10431">
        <v>424003</v>
      </c>
      <c r="F10431" t="s">
        <v>1</v>
      </c>
      <c r="G10431" t="s">
        <v>2</v>
      </c>
      <c r="H10431" t="s">
        <v>22528</v>
      </c>
      <c r="Y10431" t="s">
        <v>22532</v>
      </c>
    </row>
    <row r="10432" spans="1:25" x14ac:dyDescent="0.25">
      <c r="A10432" t="str">
        <f>"135729999690"</f>
        <v>135729999690</v>
      </c>
      <c r="B10432" t="s">
        <v>482</v>
      </c>
      <c r="C10432" t="s">
        <v>6009</v>
      </c>
      <c r="D10432" t="s">
        <v>39481</v>
      </c>
      <c r="E10432">
        <v>424031</v>
      </c>
      <c r="F10432" t="s">
        <v>1</v>
      </c>
      <c r="G10432" t="s">
        <v>2</v>
      </c>
      <c r="H10432" t="s">
        <v>4053</v>
      </c>
      <c r="I10432" t="s">
        <v>39482</v>
      </c>
      <c r="Y10432" t="s">
        <v>39483</v>
      </c>
    </row>
    <row r="10433" spans="1:25" x14ac:dyDescent="0.25">
      <c r="A10433" t="str">
        <f>"135731458113"</f>
        <v>135731458113</v>
      </c>
      <c r="B10433" t="s">
        <v>96</v>
      </c>
      <c r="C10433" t="s">
        <v>893</v>
      </c>
      <c r="D10433" t="s">
        <v>29523</v>
      </c>
      <c r="E10433">
        <v>424006</v>
      </c>
      <c r="F10433" t="s">
        <v>1</v>
      </c>
      <c r="G10433" t="s">
        <v>2</v>
      </c>
      <c r="H10433" t="s">
        <v>5846</v>
      </c>
      <c r="Y10433" t="s">
        <v>39484</v>
      </c>
    </row>
    <row r="10434" spans="1:25" x14ac:dyDescent="0.25">
      <c r="A10434" t="str">
        <f>"135738515069"</f>
        <v>135738515069</v>
      </c>
      <c r="B10434" t="s">
        <v>96</v>
      </c>
      <c r="C10434" t="s">
        <v>695</v>
      </c>
      <c r="D10434" t="s">
        <v>11224</v>
      </c>
      <c r="E10434">
        <v>424019</v>
      </c>
      <c r="F10434" t="s">
        <v>1</v>
      </c>
      <c r="G10434" t="s">
        <v>2</v>
      </c>
      <c r="H10434" t="s">
        <v>1467</v>
      </c>
      <c r="Y10434" t="s">
        <v>1630</v>
      </c>
    </row>
    <row r="10435" spans="1:25" x14ac:dyDescent="0.25">
      <c r="A10435" t="str">
        <f>"135741797748"</f>
        <v>135741797748</v>
      </c>
      <c r="B10435" t="s">
        <v>930</v>
      </c>
      <c r="C10435" t="s">
        <v>1096</v>
      </c>
      <c r="D10435" t="s">
        <v>39485</v>
      </c>
      <c r="E10435">
        <v>424004</v>
      </c>
      <c r="F10435" t="s">
        <v>1</v>
      </c>
      <c r="G10435" t="s">
        <v>2</v>
      </c>
      <c r="H10435" t="s">
        <v>39486</v>
      </c>
      <c r="Y10435" t="s">
        <v>39487</v>
      </c>
    </row>
    <row r="10436" spans="1:25" x14ac:dyDescent="0.25">
      <c r="A10436" t="str">
        <f>"135759184266"</f>
        <v>135759184266</v>
      </c>
      <c r="B10436" t="s">
        <v>888</v>
      </c>
      <c r="C10436" t="s">
        <v>39493</v>
      </c>
      <c r="D10436" t="s">
        <v>39488</v>
      </c>
      <c r="E10436">
        <v>424007</v>
      </c>
      <c r="F10436" t="s">
        <v>1</v>
      </c>
      <c r="G10436" t="s">
        <v>2</v>
      </c>
      <c r="H10436" t="s">
        <v>4869</v>
      </c>
      <c r="I10436" t="s">
        <v>39489</v>
      </c>
      <c r="J10436" t="s">
        <v>39490</v>
      </c>
      <c r="L10436" t="s">
        <v>39491</v>
      </c>
      <c r="M10436" t="s">
        <v>39492</v>
      </c>
      <c r="P10436" t="s">
        <v>18549</v>
      </c>
      <c r="Q10436" t="s">
        <v>39494</v>
      </c>
      <c r="Y10436" t="s">
        <v>39495</v>
      </c>
    </row>
    <row r="10437" spans="1:25" x14ac:dyDescent="0.25">
      <c r="A10437" t="str">
        <f>"135764940839"</f>
        <v>135764940839</v>
      </c>
      <c r="B10437" t="s">
        <v>1611</v>
      </c>
      <c r="C10437" t="s">
        <v>4172</v>
      </c>
      <c r="D10437" t="s">
        <v>39496</v>
      </c>
      <c r="E10437">
        <v>424006</v>
      </c>
      <c r="F10437" t="s">
        <v>1</v>
      </c>
      <c r="G10437" t="s">
        <v>2</v>
      </c>
      <c r="H10437" t="s">
        <v>17511</v>
      </c>
      <c r="I10437" t="s">
        <v>39497</v>
      </c>
      <c r="L10437" t="s">
        <v>16332</v>
      </c>
      <c r="M10437" t="s">
        <v>16333</v>
      </c>
      <c r="P10437" t="s">
        <v>280</v>
      </c>
      <c r="Y10437" t="s">
        <v>27162</v>
      </c>
    </row>
    <row r="10438" spans="1:25" x14ac:dyDescent="0.25">
      <c r="A10438" t="str">
        <f>"135788044153"</f>
        <v>135788044153</v>
      </c>
      <c r="B10438" t="s">
        <v>530</v>
      </c>
      <c r="C10438" t="s">
        <v>23950</v>
      </c>
      <c r="D10438" t="s">
        <v>23950</v>
      </c>
      <c r="F10438" t="s">
        <v>1</v>
      </c>
      <c r="G10438" t="s">
        <v>2</v>
      </c>
      <c r="H10438" t="s">
        <v>32425</v>
      </c>
      <c r="Y10438" t="s">
        <v>39498</v>
      </c>
    </row>
    <row r="10439" spans="1:25" x14ac:dyDescent="0.25">
      <c r="A10439" t="str">
        <f>"135816238274"</f>
        <v>135816238274</v>
      </c>
      <c r="B10439" t="s">
        <v>790</v>
      </c>
      <c r="C10439" t="s">
        <v>2049</v>
      </c>
      <c r="D10439" t="s">
        <v>39499</v>
      </c>
      <c r="E10439">
        <v>424006</v>
      </c>
      <c r="F10439" t="s">
        <v>1</v>
      </c>
      <c r="G10439" t="s">
        <v>2</v>
      </c>
      <c r="H10439" t="s">
        <v>2557</v>
      </c>
      <c r="Y10439" t="s">
        <v>33404</v>
      </c>
    </row>
    <row r="10440" spans="1:25" x14ac:dyDescent="0.25">
      <c r="A10440" t="str">
        <f>"135859595398"</f>
        <v>135859595398</v>
      </c>
      <c r="B10440" t="s">
        <v>574</v>
      </c>
      <c r="C10440" t="s">
        <v>26561</v>
      </c>
      <c r="D10440" t="s">
        <v>32604</v>
      </c>
      <c r="E10440">
        <v>424020</v>
      </c>
      <c r="F10440" t="s">
        <v>1</v>
      </c>
      <c r="G10440" t="s">
        <v>2</v>
      </c>
      <c r="H10440" t="s">
        <v>27549</v>
      </c>
      <c r="Y10440" t="s">
        <v>39500</v>
      </c>
    </row>
    <row r="10441" spans="1:25" x14ac:dyDescent="0.25">
      <c r="A10441" t="str">
        <f>"135867956441"</f>
        <v>135867956441</v>
      </c>
      <c r="B10441" t="s">
        <v>1299</v>
      </c>
      <c r="C10441" t="s">
        <v>11500</v>
      </c>
      <c r="D10441" t="s">
        <v>39501</v>
      </c>
      <c r="E10441">
        <v>424002</v>
      </c>
      <c r="F10441" t="s">
        <v>1</v>
      </c>
      <c r="G10441" t="s">
        <v>2</v>
      </c>
      <c r="H10441" t="s">
        <v>3611</v>
      </c>
      <c r="I10441" t="s">
        <v>39502</v>
      </c>
      <c r="L10441" t="s">
        <v>39503</v>
      </c>
      <c r="M10441" t="s">
        <v>39504</v>
      </c>
      <c r="P10441" t="s">
        <v>280</v>
      </c>
      <c r="Q10441" t="s">
        <v>39505</v>
      </c>
      <c r="Y10441" t="s">
        <v>8388</v>
      </c>
    </row>
    <row r="10442" spans="1:25" x14ac:dyDescent="0.25">
      <c r="A10442" t="str">
        <f>"135882631032"</f>
        <v>135882631032</v>
      </c>
      <c r="B10442" t="s">
        <v>25</v>
      </c>
      <c r="C10442" t="s">
        <v>59</v>
      </c>
      <c r="D10442" t="s">
        <v>30379</v>
      </c>
      <c r="E10442">
        <v>424033</v>
      </c>
      <c r="F10442" t="s">
        <v>1</v>
      </c>
      <c r="G10442" t="s">
        <v>2</v>
      </c>
      <c r="H10442" t="s">
        <v>39506</v>
      </c>
      <c r="J10442" t="s">
        <v>39507</v>
      </c>
      <c r="P10442" t="s">
        <v>2923</v>
      </c>
      <c r="Y10442" t="s">
        <v>39508</v>
      </c>
    </row>
    <row r="10443" spans="1:25" x14ac:dyDescent="0.25">
      <c r="A10443" t="str">
        <f>"135888114652"</f>
        <v>135888114652</v>
      </c>
      <c r="B10443" t="s">
        <v>1182</v>
      </c>
      <c r="C10443" t="s">
        <v>1183</v>
      </c>
      <c r="D10443" t="s">
        <v>6083</v>
      </c>
      <c r="F10443" t="s">
        <v>1</v>
      </c>
      <c r="G10443" t="s">
        <v>2</v>
      </c>
      <c r="H10443" t="s">
        <v>32857</v>
      </c>
      <c r="Y10443" t="s">
        <v>39509</v>
      </c>
    </row>
    <row r="10444" spans="1:25" x14ac:dyDescent="0.25">
      <c r="A10444" t="str">
        <f>"135931744294"</f>
        <v>135931744294</v>
      </c>
      <c r="B10444" t="s">
        <v>188</v>
      </c>
      <c r="C10444" t="s">
        <v>24568</v>
      </c>
      <c r="D10444" t="s">
        <v>24568</v>
      </c>
      <c r="E10444">
        <v>424000</v>
      </c>
      <c r="F10444" t="s">
        <v>1</v>
      </c>
      <c r="G10444" t="s">
        <v>2</v>
      </c>
      <c r="H10444" t="s">
        <v>7709</v>
      </c>
      <c r="Y10444" t="s">
        <v>39510</v>
      </c>
    </row>
    <row r="10445" spans="1:25" x14ac:dyDescent="0.25">
      <c r="A10445" t="str">
        <f>"135961890989"</f>
        <v>135961890989</v>
      </c>
      <c r="B10445" t="s">
        <v>1343</v>
      </c>
      <c r="C10445" t="s">
        <v>5308</v>
      </c>
      <c r="D10445" t="s">
        <v>37869</v>
      </c>
      <c r="E10445">
        <v>424038</v>
      </c>
      <c r="F10445" t="s">
        <v>1</v>
      </c>
      <c r="G10445" t="s">
        <v>2</v>
      </c>
      <c r="H10445" t="s">
        <v>2614</v>
      </c>
      <c r="Y10445" t="s">
        <v>2617</v>
      </c>
    </row>
    <row r="10446" spans="1:25" x14ac:dyDescent="0.25">
      <c r="A10446" t="str">
        <f>"135991394273"</f>
        <v>135991394273</v>
      </c>
      <c r="B10446" t="s">
        <v>284</v>
      </c>
      <c r="C10446" t="s">
        <v>39514</v>
      </c>
      <c r="D10446" t="s">
        <v>39511</v>
      </c>
      <c r="E10446">
        <v>424005</v>
      </c>
      <c r="F10446" t="s">
        <v>1</v>
      </c>
      <c r="G10446" t="s">
        <v>2</v>
      </c>
      <c r="H10446" t="s">
        <v>1310</v>
      </c>
      <c r="L10446" t="s">
        <v>39512</v>
      </c>
      <c r="M10446" t="s">
        <v>39513</v>
      </c>
      <c r="Y10446" t="s">
        <v>3926</v>
      </c>
    </row>
    <row r="10447" spans="1:25" x14ac:dyDescent="0.25">
      <c r="A10447" t="str">
        <f>"136053799790"</f>
        <v>136053799790</v>
      </c>
      <c r="B10447" t="s">
        <v>284</v>
      </c>
      <c r="C10447" t="s">
        <v>2462</v>
      </c>
      <c r="D10447" t="s">
        <v>39515</v>
      </c>
      <c r="E10447">
        <v>424028</v>
      </c>
      <c r="F10447" t="s">
        <v>1</v>
      </c>
      <c r="G10447" t="s">
        <v>2</v>
      </c>
      <c r="H10447" t="s">
        <v>20095</v>
      </c>
      <c r="J10447" t="s">
        <v>39516</v>
      </c>
      <c r="P10447" t="s">
        <v>330</v>
      </c>
      <c r="Y10447" t="s">
        <v>20097</v>
      </c>
    </row>
    <row r="10448" spans="1:25" x14ac:dyDescent="0.25">
      <c r="A10448" t="str">
        <f>"136074680992"</f>
        <v>136074680992</v>
      </c>
      <c r="B10448" t="s">
        <v>1611</v>
      </c>
      <c r="C10448" t="s">
        <v>39518</v>
      </c>
      <c r="D10448" t="s">
        <v>39517</v>
      </c>
      <c r="E10448">
        <v>424005</v>
      </c>
      <c r="F10448" t="s">
        <v>1</v>
      </c>
      <c r="G10448" t="s">
        <v>2</v>
      </c>
      <c r="H10448" t="s">
        <v>11683</v>
      </c>
      <c r="Y10448" t="s">
        <v>39519</v>
      </c>
    </row>
    <row r="10449" spans="1:25" x14ac:dyDescent="0.25">
      <c r="A10449" t="str">
        <f>"136133183090"</f>
        <v>136133183090</v>
      </c>
      <c r="B10449" t="s">
        <v>2104</v>
      </c>
      <c r="C10449" t="s">
        <v>39522</v>
      </c>
      <c r="D10449" t="s">
        <v>39520</v>
      </c>
      <c r="E10449">
        <v>424038</v>
      </c>
      <c r="F10449" t="s">
        <v>1</v>
      </c>
      <c r="G10449" t="s">
        <v>2</v>
      </c>
      <c r="H10449" t="s">
        <v>14026</v>
      </c>
      <c r="J10449" t="s">
        <v>39521</v>
      </c>
      <c r="Y10449" t="s">
        <v>39523</v>
      </c>
    </row>
    <row r="10450" spans="1:25" x14ac:dyDescent="0.25">
      <c r="A10450" t="str">
        <f>"136133980219"</f>
        <v>136133980219</v>
      </c>
      <c r="B10450" t="s">
        <v>96</v>
      </c>
      <c r="C10450" t="s">
        <v>659</v>
      </c>
      <c r="D10450" t="s">
        <v>659</v>
      </c>
      <c r="E10450">
        <v>424000</v>
      </c>
      <c r="F10450" t="s">
        <v>1</v>
      </c>
      <c r="G10450" t="s">
        <v>2</v>
      </c>
      <c r="H10450" t="s">
        <v>39524</v>
      </c>
      <c r="Y10450" t="s">
        <v>11205</v>
      </c>
    </row>
    <row r="10451" spans="1:25" x14ac:dyDescent="0.25">
      <c r="A10451" t="str">
        <f>"136138248755"</f>
        <v>136138248755</v>
      </c>
      <c r="B10451" t="s">
        <v>176</v>
      </c>
      <c r="C10451" t="s">
        <v>27547</v>
      </c>
      <c r="D10451" t="s">
        <v>27545</v>
      </c>
      <c r="F10451" t="s">
        <v>1</v>
      </c>
      <c r="G10451" t="s">
        <v>2</v>
      </c>
      <c r="H10451" t="s">
        <v>33800</v>
      </c>
      <c r="Y10451" t="s">
        <v>39525</v>
      </c>
    </row>
    <row r="10452" spans="1:25" x14ac:dyDescent="0.25">
      <c r="A10452" t="str">
        <f>"136146998254"</f>
        <v>136146998254</v>
      </c>
      <c r="B10452" t="s">
        <v>188</v>
      </c>
      <c r="C10452" t="s">
        <v>39529</v>
      </c>
      <c r="D10452" t="s">
        <v>39526</v>
      </c>
      <c r="E10452">
        <v>424005</v>
      </c>
      <c r="F10452" t="s">
        <v>1</v>
      </c>
      <c r="G10452" t="s">
        <v>2</v>
      </c>
      <c r="H10452" t="s">
        <v>1310</v>
      </c>
      <c r="I10452" t="s">
        <v>39527</v>
      </c>
      <c r="L10452" t="s">
        <v>39528</v>
      </c>
      <c r="P10452" t="s">
        <v>1035</v>
      </c>
      <c r="Y10452" t="s">
        <v>10303</v>
      </c>
    </row>
    <row r="10453" spans="1:25" x14ac:dyDescent="0.25">
      <c r="A10453" t="str">
        <f>"136175034201"</f>
        <v>136175034201</v>
      </c>
      <c r="B10453" t="s">
        <v>738</v>
      </c>
      <c r="C10453" t="s">
        <v>3363</v>
      </c>
      <c r="D10453" t="s">
        <v>39530</v>
      </c>
      <c r="F10453" t="s">
        <v>1</v>
      </c>
      <c r="G10453" t="s">
        <v>2</v>
      </c>
      <c r="H10453" t="s">
        <v>25588</v>
      </c>
      <c r="I10453" t="s">
        <v>39531</v>
      </c>
      <c r="J10453" t="s">
        <v>39532</v>
      </c>
      <c r="P10453" t="s">
        <v>3192</v>
      </c>
      <c r="Q10453" t="s">
        <v>39533</v>
      </c>
      <c r="Y10453" t="s">
        <v>39534</v>
      </c>
    </row>
    <row r="10454" spans="1:25" x14ac:dyDescent="0.25">
      <c r="A10454" t="str">
        <f>"136185239754"</f>
        <v>136185239754</v>
      </c>
      <c r="B10454" t="s">
        <v>1617</v>
      </c>
      <c r="C10454" t="s">
        <v>21001</v>
      </c>
      <c r="D10454" t="s">
        <v>20999</v>
      </c>
      <c r="E10454">
        <v>424000</v>
      </c>
      <c r="F10454" t="s">
        <v>1</v>
      </c>
      <c r="G10454" t="s">
        <v>2</v>
      </c>
      <c r="H10454" t="s">
        <v>5717</v>
      </c>
      <c r="Y10454" t="s">
        <v>39535</v>
      </c>
    </row>
    <row r="10455" spans="1:25" x14ac:dyDescent="0.25">
      <c r="A10455" t="str">
        <f>"136212842283"</f>
        <v>136212842283</v>
      </c>
      <c r="B10455" t="s">
        <v>96</v>
      </c>
      <c r="C10455" t="s">
        <v>893</v>
      </c>
      <c r="D10455" t="s">
        <v>39536</v>
      </c>
      <c r="E10455">
        <v>424002</v>
      </c>
      <c r="F10455" t="s">
        <v>1</v>
      </c>
      <c r="G10455" t="s">
        <v>2</v>
      </c>
      <c r="H10455" t="s">
        <v>662</v>
      </c>
      <c r="Y10455" t="s">
        <v>39537</v>
      </c>
    </row>
    <row r="10456" spans="1:25" x14ac:dyDescent="0.25">
      <c r="A10456" t="str">
        <f>"136213770170"</f>
        <v>136213770170</v>
      </c>
      <c r="B10456" t="s">
        <v>2474</v>
      </c>
      <c r="C10456" t="s">
        <v>2475</v>
      </c>
      <c r="D10456" t="s">
        <v>39538</v>
      </c>
      <c r="E10456">
        <v>424003</v>
      </c>
      <c r="F10456" t="s">
        <v>1</v>
      </c>
      <c r="G10456" t="s">
        <v>2</v>
      </c>
      <c r="H10456" t="s">
        <v>2465</v>
      </c>
      <c r="I10456" t="s">
        <v>39539</v>
      </c>
      <c r="P10456" t="s">
        <v>9</v>
      </c>
      <c r="Y10456" t="s">
        <v>39540</v>
      </c>
    </row>
    <row r="10457" spans="1:25" x14ac:dyDescent="0.25">
      <c r="A10457" t="str">
        <f>"136235065697"</f>
        <v>136235065697</v>
      </c>
      <c r="B10457" t="s">
        <v>3958</v>
      </c>
      <c r="C10457" t="s">
        <v>3959</v>
      </c>
      <c r="D10457" t="s">
        <v>39541</v>
      </c>
      <c r="E10457">
        <v>424006</v>
      </c>
      <c r="F10457" t="s">
        <v>1</v>
      </c>
      <c r="G10457" t="s">
        <v>2</v>
      </c>
      <c r="H10457" t="s">
        <v>4304</v>
      </c>
      <c r="I10457" t="s">
        <v>39542</v>
      </c>
      <c r="L10457" t="s">
        <v>39543</v>
      </c>
      <c r="M10457" t="s">
        <v>39544</v>
      </c>
      <c r="P10457" t="s">
        <v>280</v>
      </c>
      <c r="Y10457" t="s">
        <v>29306</v>
      </c>
    </row>
    <row r="10458" spans="1:25" x14ac:dyDescent="0.25">
      <c r="A10458" t="str">
        <f>"136235747863"</f>
        <v>136235747863</v>
      </c>
      <c r="B10458" t="s">
        <v>687</v>
      </c>
      <c r="C10458" t="s">
        <v>39546</v>
      </c>
      <c r="D10458" t="s">
        <v>39545</v>
      </c>
      <c r="E10458">
        <v>424006</v>
      </c>
      <c r="F10458" t="s">
        <v>1</v>
      </c>
      <c r="G10458" t="s">
        <v>2</v>
      </c>
      <c r="H10458" t="s">
        <v>1483</v>
      </c>
      <c r="P10458" t="s">
        <v>27</v>
      </c>
      <c r="Y10458" t="s">
        <v>12881</v>
      </c>
    </row>
    <row r="10459" spans="1:25" x14ac:dyDescent="0.25">
      <c r="A10459" t="str">
        <f>"136250288397"</f>
        <v>136250288397</v>
      </c>
      <c r="B10459" t="s">
        <v>417</v>
      </c>
      <c r="C10459" t="s">
        <v>418</v>
      </c>
      <c r="D10459" t="s">
        <v>39547</v>
      </c>
      <c r="E10459">
        <v>424019</v>
      </c>
      <c r="F10459" t="s">
        <v>1</v>
      </c>
      <c r="G10459" t="s">
        <v>2</v>
      </c>
      <c r="H10459" t="s">
        <v>39548</v>
      </c>
      <c r="I10459" t="s">
        <v>39549</v>
      </c>
      <c r="L10459" t="s">
        <v>39550</v>
      </c>
      <c r="P10459" t="s">
        <v>34</v>
      </c>
      <c r="Q10459" t="s">
        <v>39551</v>
      </c>
      <c r="V10459" t="s">
        <v>39552</v>
      </c>
      <c r="Y10459" t="s">
        <v>39553</v>
      </c>
    </row>
    <row r="10460" spans="1:25" x14ac:dyDescent="0.25">
      <c r="A10460" t="str">
        <f>"136260621915"</f>
        <v>136260621915</v>
      </c>
      <c r="B10460" t="s">
        <v>687</v>
      </c>
      <c r="C10460" t="s">
        <v>39559</v>
      </c>
      <c r="D10460" t="s">
        <v>39554</v>
      </c>
      <c r="E10460">
        <v>424006</v>
      </c>
      <c r="F10460" t="s">
        <v>1</v>
      </c>
      <c r="G10460" t="s">
        <v>2</v>
      </c>
      <c r="H10460" t="s">
        <v>5146</v>
      </c>
      <c r="I10460" t="s">
        <v>39555</v>
      </c>
      <c r="J10460" t="s">
        <v>39556</v>
      </c>
      <c r="L10460" t="s">
        <v>39557</v>
      </c>
      <c r="M10460" t="s">
        <v>39558</v>
      </c>
      <c r="P10460" t="s">
        <v>911</v>
      </c>
      <c r="Q10460" t="s">
        <v>39560</v>
      </c>
      <c r="U10460" t="s">
        <v>39561</v>
      </c>
      <c r="V10460" t="s">
        <v>39562</v>
      </c>
      <c r="Y10460" t="s">
        <v>39563</v>
      </c>
    </row>
    <row r="10461" spans="1:25" x14ac:dyDescent="0.25">
      <c r="A10461" t="str">
        <f>"136284519797"</f>
        <v>136284519797</v>
      </c>
      <c r="B10461" t="s">
        <v>188</v>
      </c>
      <c r="C10461" t="s">
        <v>23982</v>
      </c>
      <c r="D10461" t="s">
        <v>23982</v>
      </c>
      <c r="E10461">
        <v>424000</v>
      </c>
      <c r="F10461" t="s">
        <v>1</v>
      </c>
      <c r="G10461" t="s">
        <v>2</v>
      </c>
      <c r="H10461" t="s">
        <v>18608</v>
      </c>
      <c r="Y10461" t="s">
        <v>39564</v>
      </c>
    </row>
    <row r="10462" spans="1:25" x14ac:dyDescent="0.25">
      <c r="A10462" t="str">
        <f>"136285962695"</f>
        <v>136285962695</v>
      </c>
      <c r="B10462" t="s">
        <v>1611</v>
      </c>
      <c r="C10462" t="s">
        <v>3218</v>
      </c>
      <c r="D10462" t="s">
        <v>39565</v>
      </c>
      <c r="E10462">
        <v>424005</v>
      </c>
      <c r="F10462" t="s">
        <v>1</v>
      </c>
      <c r="G10462" t="s">
        <v>2</v>
      </c>
      <c r="H10462" t="s">
        <v>5429</v>
      </c>
      <c r="M10462" t="s">
        <v>39566</v>
      </c>
      <c r="Y10462" t="s">
        <v>39567</v>
      </c>
    </row>
    <row r="10463" spans="1:25" x14ac:dyDescent="0.25">
      <c r="A10463" t="str">
        <f>"136293591522"</f>
        <v>136293591522</v>
      </c>
      <c r="B10463" t="s">
        <v>738</v>
      </c>
      <c r="C10463" t="s">
        <v>32344</v>
      </c>
      <c r="D10463" t="s">
        <v>39568</v>
      </c>
      <c r="E10463">
        <v>424006</v>
      </c>
      <c r="F10463" t="s">
        <v>1</v>
      </c>
      <c r="G10463" t="s">
        <v>2</v>
      </c>
      <c r="H10463" t="s">
        <v>11376</v>
      </c>
      <c r="I10463" t="s">
        <v>39569</v>
      </c>
      <c r="J10463" t="s">
        <v>39570</v>
      </c>
      <c r="L10463" t="s">
        <v>39571</v>
      </c>
      <c r="M10463" t="s">
        <v>39572</v>
      </c>
      <c r="P10463" t="s">
        <v>39573</v>
      </c>
      <c r="Q10463" t="s">
        <v>39574</v>
      </c>
      <c r="V10463" t="s">
        <v>39575</v>
      </c>
      <c r="Y10463" t="s">
        <v>39576</v>
      </c>
    </row>
    <row r="10464" spans="1:25" x14ac:dyDescent="0.25">
      <c r="A10464" t="str">
        <f>"136327213118"</f>
        <v>136327213118</v>
      </c>
      <c r="B10464" t="s">
        <v>1573</v>
      </c>
      <c r="C10464" t="s">
        <v>1574</v>
      </c>
      <c r="D10464" t="s">
        <v>18466</v>
      </c>
      <c r="E10464">
        <v>424038</v>
      </c>
      <c r="F10464" t="s">
        <v>1</v>
      </c>
      <c r="G10464" t="s">
        <v>2</v>
      </c>
      <c r="H10464" t="s">
        <v>21507</v>
      </c>
      <c r="P10464" t="s">
        <v>39577</v>
      </c>
      <c r="Y10464" t="s">
        <v>39578</v>
      </c>
    </row>
    <row r="10465" spans="1:25" x14ac:dyDescent="0.25">
      <c r="A10465" t="str">
        <f>"136354152158"</f>
        <v>136354152158</v>
      </c>
      <c r="B10465" t="s">
        <v>379</v>
      </c>
      <c r="C10465" t="s">
        <v>766</v>
      </c>
      <c r="D10465" t="s">
        <v>39579</v>
      </c>
      <c r="E10465">
        <v>424028</v>
      </c>
      <c r="F10465" t="s">
        <v>1</v>
      </c>
      <c r="G10465" t="s">
        <v>2</v>
      </c>
      <c r="H10465" t="s">
        <v>15129</v>
      </c>
      <c r="Y10465" t="s">
        <v>39580</v>
      </c>
    </row>
    <row r="10466" spans="1:25" x14ac:dyDescent="0.25">
      <c r="A10466" t="str">
        <f>"136359126722"</f>
        <v>136359126722</v>
      </c>
      <c r="B10466" t="s">
        <v>32</v>
      </c>
      <c r="C10466" t="s">
        <v>25283</v>
      </c>
      <c r="D10466" t="s">
        <v>28329</v>
      </c>
      <c r="E10466">
        <v>424006</v>
      </c>
      <c r="F10466" t="s">
        <v>1</v>
      </c>
      <c r="G10466" t="s">
        <v>2</v>
      </c>
      <c r="H10466" t="s">
        <v>1923</v>
      </c>
      <c r="Y10466" t="s">
        <v>1928</v>
      </c>
    </row>
    <row r="10467" spans="1:25" x14ac:dyDescent="0.25">
      <c r="A10467" t="str">
        <f>"136362200596"</f>
        <v>136362200596</v>
      </c>
      <c r="B10467" t="s">
        <v>117</v>
      </c>
      <c r="C10467" t="s">
        <v>118</v>
      </c>
      <c r="D10467" t="s">
        <v>39581</v>
      </c>
      <c r="F10467" t="s">
        <v>1</v>
      </c>
      <c r="G10467" t="s">
        <v>2</v>
      </c>
      <c r="H10467" t="s">
        <v>7547</v>
      </c>
      <c r="Y10467" t="s">
        <v>39582</v>
      </c>
    </row>
    <row r="10468" spans="1:25" x14ac:dyDescent="0.25">
      <c r="A10468" t="str">
        <f>"136380834214"</f>
        <v>136380834214</v>
      </c>
      <c r="B10468" t="s">
        <v>462</v>
      </c>
      <c r="C10468" t="s">
        <v>3988</v>
      </c>
      <c r="D10468" t="s">
        <v>33385</v>
      </c>
      <c r="E10468">
        <v>424005</v>
      </c>
      <c r="F10468" t="s">
        <v>1</v>
      </c>
      <c r="G10468" t="s">
        <v>2</v>
      </c>
      <c r="H10468" t="s">
        <v>1148</v>
      </c>
      <c r="I10468" t="s">
        <v>33386</v>
      </c>
      <c r="L10468" t="s">
        <v>33387</v>
      </c>
      <c r="M10468" t="s">
        <v>33388</v>
      </c>
      <c r="P10468" t="s">
        <v>39583</v>
      </c>
      <c r="Y10468" t="s">
        <v>39584</v>
      </c>
    </row>
    <row r="10469" spans="1:25" x14ac:dyDescent="0.25">
      <c r="A10469" t="str">
        <f>"136384622030"</f>
        <v>136384622030</v>
      </c>
      <c r="B10469" t="s">
        <v>574</v>
      </c>
      <c r="C10469" t="s">
        <v>952</v>
      </c>
      <c r="D10469" t="s">
        <v>15267</v>
      </c>
      <c r="E10469">
        <v>424038</v>
      </c>
      <c r="F10469" t="s">
        <v>1</v>
      </c>
      <c r="G10469" t="s">
        <v>2</v>
      </c>
      <c r="H10469" t="s">
        <v>6059</v>
      </c>
      <c r="I10469" t="s">
        <v>39585</v>
      </c>
      <c r="L10469" t="s">
        <v>39586</v>
      </c>
      <c r="M10469" t="s">
        <v>34459</v>
      </c>
      <c r="P10469" t="s">
        <v>17482</v>
      </c>
      <c r="Y10469" t="s">
        <v>39587</v>
      </c>
    </row>
    <row r="10470" spans="1:25" x14ac:dyDescent="0.25">
      <c r="A10470" t="str">
        <f>"136401188784"</f>
        <v>136401188784</v>
      </c>
      <c r="B10470" t="s">
        <v>574</v>
      </c>
      <c r="C10470" t="s">
        <v>646</v>
      </c>
      <c r="D10470" t="s">
        <v>34531</v>
      </c>
      <c r="E10470">
        <v>424031</v>
      </c>
      <c r="F10470" t="s">
        <v>1</v>
      </c>
      <c r="G10470" t="s">
        <v>2</v>
      </c>
      <c r="H10470" t="s">
        <v>19611</v>
      </c>
      <c r="Y10470" t="s">
        <v>39588</v>
      </c>
    </row>
    <row r="10471" spans="1:25" x14ac:dyDescent="0.25">
      <c r="A10471" t="str">
        <f>"136412448402"</f>
        <v>136412448402</v>
      </c>
      <c r="B10471" t="s">
        <v>96</v>
      </c>
      <c r="C10471" t="s">
        <v>507</v>
      </c>
      <c r="D10471" t="s">
        <v>39589</v>
      </c>
      <c r="E10471">
        <v>424918</v>
      </c>
      <c r="F10471" t="s">
        <v>1</v>
      </c>
      <c r="G10471" t="s">
        <v>2</v>
      </c>
      <c r="H10471" t="s">
        <v>629</v>
      </c>
      <c r="P10471" t="s">
        <v>630</v>
      </c>
      <c r="Y10471" t="s">
        <v>39590</v>
      </c>
    </row>
    <row r="10472" spans="1:25" x14ac:dyDescent="0.25">
      <c r="A10472" t="str">
        <f>"136430418781"</f>
        <v>136430418781</v>
      </c>
      <c r="B10472" t="s">
        <v>1152</v>
      </c>
      <c r="C10472" t="s">
        <v>4682</v>
      </c>
      <c r="D10472" t="s">
        <v>39591</v>
      </c>
      <c r="E10472">
        <v>424039</v>
      </c>
      <c r="F10472" t="s">
        <v>1</v>
      </c>
      <c r="G10472" t="s">
        <v>2</v>
      </c>
      <c r="H10472" t="s">
        <v>5827</v>
      </c>
      <c r="J10472" t="s">
        <v>39592</v>
      </c>
      <c r="P10472" t="s">
        <v>39593</v>
      </c>
      <c r="Y10472" t="s">
        <v>10310</v>
      </c>
    </row>
    <row r="10473" spans="1:25" x14ac:dyDescent="0.25">
      <c r="A10473" t="str">
        <f>"136443235728"</f>
        <v>136443235728</v>
      </c>
      <c r="B10473" t="s">
        <v>352</v>
      </c>
      <c r="C10473" t="s">
        <v>353</v>
      </c>
      <c r="D10473" t="s">
        <v>39594</v>
      </c>
      <c r="E10473">
        <v>424036</v>
      </c>
      <c r="F10473" t="s">
        <v>1</v>
      </c>
      <c r="G10473" t="s">
        <v>2</v>
      </c>
      <c r="H10473" t="s">
        <v>39595</v>
      </c>
      <c r="I10473" t="s">
        <v>39596</v>
      </c>
      <c r="P10473" t="s">
        <v>2362</v>
      </c>
      <c r="Y10473" t="s">
        <v>9757</v>
      </c>
    </row>
    <row r="10474" spans="1:25" x14ac:dyDescent="0.25">
      <c r="A10474" t="str">
        <f>"136448031017"</f>
        <v>136448031017</v>
      </c>
      <c r="B10474" t="s">
        <v>654</v>
      </c>
      <c r="C10474" t="s">
        <v>39600</v>
      </c>
      <c r="D10474" t="s">
        <v>39597</v>
      </c>
      <c r="E10474">
        <v>424004</v>
      </c>
      <c r="F10474" t="s">
        <v>1</v>
      </c>
      <c r="G10474" t="s">
        <v>2</v>
      </c>
      <c r="H10474" t="s">
        <v>7224</v>
      </c>
      <c r="I10474" t="s">
        <v>39598</v>
      </c>
      <c r="L10474" t="s">
        <v>39599</v>
      </c>
      <c r="Q10474" t="s">
        <v>39601</v>
      </c>
      <c r="Y10474" t="s">
        <v>39602</v>
      </c>
    </row>
    <row r="10475" spans="1:25" x14ac:dyDescent="0.25">
      <c r="A10475" t="str">
        <f>"136475434641"</f>
        <v>136475434641</v>
      </c>
      <c r="B10475" t="s">
        <v>803</v>
      </c>
      <c r="C10475" t="s">
        <v>4941</v>
      </c>
      <c r="D10475" t="s">
        <v>4941</v>
      </c>
      <c r="E10475">
        <v>424000</v>
      </c>
      <c r="F10475" t="s">
        <v>1</v>
      </c>
      <c r="G10475" t="s">
        <v>2</v>
      </c>
      <c r="H10475" t="s">
        <v>30076</v>
      </c>
      <c r="J10475" t="s">
        <v>39603</v>
      </c>
      <c r="P10475" t="s">
        <v>3456</v>
      </c>
      <c r="Q10475" t="s">
        <v>39604</v>
      </c>
      <c r="Y10475" t="s">
        <v>39605</v>
      </c>
    </row>
    <row r="10476" spans="1:25" x14ac:dyDescent="0.25">
      <c r="A10476" t="str">
        <f>"136485993617"</f>
        <v>136485993617</v>
      </c>
      <c r="B10476" t="s">
        <v>1152</v>
      </c>
      <c r="C10476" t="s">
        <v>4926</v>
      </c>
      <c r="D10476" t="s">
        <v>4926</v>
      </c>
      <c r="E10476">
        <v>424006</v>
      </c>
      <c r="F10476" t="s">
        <v>1</v>
      </c>
      <c r="G10476" t="s">
        <v>2</v>
      </c>
      <c r="H10476" t="s">
        <v>2557</v>
      </c>
      <c r="Y10476" t="s">
        <v>33404</v>
      </c>
    </row>
    <row r="10477" spans="1:25" x14ac:dyDescent="0.25">
      <c r="A10477" t="str">
        <f>"136505261550"</f>
        <v>136505261550</v>
      </c>
      <c r="B10477" t="s">
        <v>930</v>
      </c>
      <c r="C10477" t="s">
        <v>1096</v>
      </c>
      <c r="D10477" t="s">
        <v>39606</v>
      </c>
      <c r="E10477">
        <v>424000</v>
      </c>
      <c r="F10477" t="s">
        <v>1</v>
      </c>
      <c r="G10477" t="s">
        <v>2</v>
      </c>
      <c r="H10477" t="s">
        <v>5398</v>
      </c>
      <c r="J10477" t="s">
        <v>39607</v>
      </c>
      <c r="P10477" t="s">
        <v>13820</v>
      </c>
      <c r="Y10477" t="s">
        <v>26148</v>
      </c>
    </row>
    <row r="10478" spans="1:25" x14ac:dyDescent="0.25">
      <c r="A10478" t="str">
        <f>"136517974254"</f>
        <v>136517974254</v>
      </c>
      <c r="B10478" t="s">
        <v>243</v>
      </c>
      <c r="C10478" t="s">
        <v>2538</v>
      </c>
      <c r="D10478" t="s">
        <v>39608</v>
      </c>
      <c r="F10478" t="s">
        <v>1</v>
      </c>
      <c r="G10478" t="s">
        <v>2</v>
      </c>
      <c r="H10478" t="s">
        <v>7547</v>
      </c>
      <c r="Y10478" t="s">
        <v>39609</v>
      </c>
    </row>
    <row r="10479" spans="1:25" x14ac:dyDescent="0.25">
      <c r="A10479" t="str">
        <f>"136574108172"</f>
        <v>136574108172</v>
      </c>
      <c r="B10479" t="s">
        <v>352</v>
      </c>
      <c r="C10479" t="s">
        <v>39613</v>
      </c>
      <c r="D10479" t="s">
        <v>39610</v>
      </c>
      <c r="E10479">
        <v>424020</v>
      </c>
      <c r="F10479" t="s">
        <v>1</v>
      </c>
      <c r="G10479" t="s">
        <v>2</v>
      </c>
      <c r="H10479" t="s">
        <v>1837</v>
      </c>
      <c r="I10479" t="s">
        <v>39611</v>
      </c>
      <c r="M10479" t="s">
        <v>39612</v>
      </c>
      <c r="P10479" t="s">
        <v>27</v>
      </c>
      <c r="Y10479" t="s">
        <v>24567</v>
      </c>
    </row>
    <row r="10480" spans="1:25" x14ac:dyDescent="0.25">
      <c r="A10480" t="str">
        <f>"136581294619"</f>
        <v>136581294619</v>
      </c>
      <c r="B10480" t="s">
        <v>25</v>
      </c>
      <c r="C10480" t="s">
        <v>24938</v>
      </c>
      <c r="D10480" t="s">
        <v>39614</v>
      </c>
      <c r="F10480" t="s">
        <v>1</v>
      </c>
      <c r="G10480" t="s">
        <v>2</v>
      </c>
      <c r="H10480" t="s">
        <v>39615</v>
      </c>
      <c r="I10480" t="s">
        <v>39616</v>
      </c>
      <c r="L10480" t="s">
        <v>38788</v>
      </c>
      <c r="M10480" t="s">
        <v>39617</v>
      </c>
      <c r="Y10480" t="s">
        <v>39618</v>
      </c>
    </row>
    <row r="10481" spans="1:25" x14ac:dyDescent="0.25">
      <c r="A10481" t="str">
        <f>"136669243716"</f>
        <v>136669243716</v>
      </c>
      <c r="B10481" t="s">
        <v>930</v>
      </c>
      <c r="C10481" t="s">
        <v>21222</v>
      </c>
      <c r="D10481" t="s">
        <v>39619</v>
      </c>
      <c r="E10481">
        <v>424005</v>
      </c>
      <c r="F10481" t="s">
        <v>1</v>
      </c>
      <c r="G10481" t="s">
        <v>2</v>
      </c>
      <c r="H10481" t="s">
        <v>29872</v>
      </c>
      <c r="I10481" t="s">
        <v>39620</v>
      </c>
      <c r="P10481" t="s">
        <v>6400</v>
      </c>
      <c r="Y10481" t="s">
        <v>29875</v>
      </c>
    </row>
    <row r="10482" spans="1:25" x14ac:dyDescent="0.25">
      <c r="A10482" t="str">
        <f>"136675546483"</f>
        <v>136675546483</v>
      </c>
      <c r="B10482" t="s">
        <v>530</v>
      </c>
      <c r="C10482" t="s">
        <v>23950</v>
      </c>
      <c r="D10482" t="s">
        <v>23950</v>
      </c>
      <c r="F10482" t="s">
        <v>1</v>
      </c>
      <c r="G10482" t="s">
        <v>2</v>
      </c>
      <c r="H10482" t="s">
        <v>24670</v>
      </c>
      <c r="Y10482" t="s">
        <v>39621</v>
      </c>
    </row>
    <row r="10483" spans="1:25" x14ac:dyDescent="0.25">
      <c r="A10483" t="str">
        <f>"136685235688"</f>
        <v>136685235688</v>
      </c>
      <c r="B10483" t="s">
        <v>25</v>
      </c>
      <c r="C10483" t="s">
        <v>24938</v>
      </c>
      <c r="D10483" t="s">
        <v>39622</v>
      </c>
      <c r="E10483">
        <v>424007</v>
      </c>
      <c r="F10483" t="s">
        <v>1</v>
      </c>
      <c r="G10483" t="s">
        <v>2</v>
      </c>
      <c r="H10483" t="s">
        <v>39623</v>
      </c>
      <c r="I10483" t="s">
        <v>30972</v>
      </c>
      <c r="L10483" t="s">
        <v>26296</v>
      </c>
      <c r="M10483" t="s">
        <v>39624</v>
      </c>
      <c r="Y10483" t="s">
        <v>39625</v>
      </c>
    </row>
    <row r="10484" spans="1:25" x14ac:dyDescent="0.25">
      <c r="A10484" t="str">
        <f>"136710668451"</f>
        <v>136710668451</v>
      </c>
      <c r="B10484" t="s">
        <v>456</v>
      </c>
      <c r="C10484" t="s">
        <v>2773</v>
      </c>
      <c r="D10484" t="s">
        <v>39626</v>
      </c>
      <c r="E10484">
        <v>424000</v>
      </c>
      <c r="F10484" t="s">
        <v>1</v>
      </c>
      <c r="G10484" t="s">
        <v>2</v>
      </c>
      <c r="H10484" t="s">
        <v>1746</v>
      </c>
      <c r="I10484" t="s">
        <v>39627</v>
      </c>
      <c r="J10484" t="s">
        <v>39628</v>
      </c>
      <c r="L10484" t="s">
        <v>39629</v>
      </c>
      <c r="M10484" t="s">
        <v>39630</v>
      </c>
      <c r="P10484" t="s">
        <v>39631</v>
      </c>
      <c r="Q10484" t="s">
        <v>39632</v>
      </c>
      <c r="R10484" t="s">
        <v>39633</v>
      </c>
      <c r="T10484" t="s">
        <v>39634</v>
      </c>
      <c r="U10484" t="s">
        <v>39635</v>
      </c>
      <c r="Y10484" t="s">
        <v>14431</v>
      </c>
    </row>
    <row r="10485" spans="1:25" x14ac:dyDescent="0.25">
      <c r="A10485" t="str">
        <f>"136789645161"</f>
        <v>136789645161</v>
      </c>
      <c r="B10485" t="s">
        <v>96</v>
      </c>
      <c r="C10485" t="s">
        <v>24042</v>
      </c>
      <c r="D10485" t="s">
        <v>24127</v>
      </c>
      <c r="E10485">
        <v>424003</v>
      </c>
      <c r="F10485" t="s">
        <v>1</v>
      </c>
      <c r="G10485" t="s">
        <v>2</v>
      </c>
      <c r="H10485" t="s">
        <v>22849</v>
      </c>
      <c r="Y10485" t="s">
        <v>39636</v>
      </c>
    </row>
    <row r="10486" spans="1:25" x14ac:dyDescent="0.25">
      <c r="A10486" t="str">
        <f>"136793352435"</f>
        <v>136793352435</v>
      </c>
      <c r="B10486" t="s">
        <v>1152</v>
      </c>
      <c r="C10486" t="s">
        <v>1153</v>
      </c>
      <c r="D10486" t="s">
        <v>10280</v>
      </c>
      <c r="E10486">
        <v>424038</v>
      </c>
      <c r="F10486" t="s">
        <v>1</v>
      </c>
      <c r="G10486" t="s">
        <v>2</v>
      </c>
      <c r="H10486" t="s">
        <v>16988</v>
      </c>
      <c r="I10486" t="s">
        <v>22092</v>
      </c>
      <c r="M10486" t="s">
        <v>10284</v>
      </c>
      <c r="Q10486" t="s">
        <v>10286</v>
      </c>
      <c r="R10486" t="s">
        <v>10287</v>
      </c>
      <c r="S10486" t="s">
        <v>10288</v>
      </c>
      <c r="T10486" t="s">
        <v>10289</v>
      </c>
      <c r="U10486" t="s">
        <v>10290</v>
      </c>
      <c r="V10486" t="s">
        <v>10291</v>
      </c>
      <c r="Y10486" t="s">
        <v>19206</v>
      </c>
    </row>
    <row r="10487" spans="1:25" x14ac:dyDescent="0.25">
      <c r="A10487" t="str">
        <f>"136807662466"</f>
        <v>136807662466</v>
      </c>
      <c r="B10487" t="s">
        <v>456</v>
      </c>
      <c r="C10487" t="s">
        <v>39641</v>
      </c>
      <c r="D10487" t="s">
        <v>39637</v>
      </c>
      <c r="E10487">
        <v>424007</v>
      </c>
      <c r="F10487" t="s">
        <v>1</v>
      </c>
      <c r="G10487" t="s">
        <v>2</v>
      </c>
      <c r="H10487" t="s">
        <v>3243</v>
      </c>
      <c r="I10487" t="s">
        <v>39638</v>
      </c>
      <c r="L10487" t="s">
        <v>39639</v>
      </c>
      <c r="M10487" t="s">
        <v>39640</v>
      </c>
      <c r="P10487" t="s">
        <v>330</v>
      </c>
      <c r="Y10487" t="s">
        <v>3249</v>
      </c>
    </row>
    <row r="10488" spans="1:25" x14ac:dyDescent="0.25">
      <c r="A10488" t="str">
        <f>"136812241753"</f>
        <v>136812241753</v>
      </c>
      <c r="B10488" t="s">
        <v>1544</v>
      </c>
      <c r="C10488" t="s">
        <v>15598</v>
      </c>
      <c r="D10488" t="s">
        <v>39642</v>
      </c>
      <c r="E10488">
        <v>424005</v>
      </c>
      <c r="F10488" t="s">
        <v>1</v>
      </c>
      <c r="G10488" t="s">
        <v>2</v>
      </c>
      <c r="H10488" t="s">
        <v>1148</v>
      </c>
      <c r="P10488" t="s">
        <v>1642</v>
      </c>
      <c r="Y10488" t="s">
        <v>39643</v>
      </c>
    </row>
    <row r="10489" spans="1:25" x14ac:dyDescent="0.25">
      <c r="A10489" t="str">
        <f>"136815363539"</f>
        <v>136815363539</v>
      </c>
      <c r="B10489" t="s">
        <v>123</v>
      </c>
      <c r="C10489" t="s">
        <v>196</v>
      </c>
      <c r="D10489" t="s">
        <v>39644</v>
      </c>
      <c r="E10489">
        <v>424003</v>
      </c>
      <c r="F10489" t="s">
        <v>1</v>
      </c>
      <c r="G10489" t="s">
        <v>2</v>
      </c>
      <c r="H10489" t="s">
        <v>7258</v>
      </c>
      <c r="J10489" t="s">
        <v>23668</v>
      </c>
      <c r="P10489" t="s">
        <v>39645</v>
      </c>
      <c r="Y10489" t="s">
        <v>17052</v>
      </c>
    </row>
    <row r="10490" spans="1:25" x14ac:dyDescent="0.25">
      <c r="A10490" t="str">
        <f>"136830966852"</f>
        <v>136830966852</v>
      </c>
      <c r="B10490" t="s">
        <v>25</v>
      </c>
      <c r="C10490" t="s">
        <v>20320</v>
      </c>
      <c r="D10490" t="s">
        <v>39646</v>
      </c>
      <c r="E10490">
        <v>424002</v>
      </c>
      <c r="F10490" t="s">
        <v>1</v>
      </c>
      <c r="G10490" t="s">
        <v>2</v>
      </c>
      <c r="H10490" t="s">
        <v>6679</v>
      </c>
      <c r="Y10490" t="s">
        <v>39647</v>
      </c>
    </row>
    <row r="10491" spans="1:25" x14ac:dyDescent="0.25">
      <c r="A10491" t="str">
        <f>"136877671901"</f>
        <v>136877671901</v>
      </c>
      <c r="B10491" t="s">
        <v>117</v>
      </c>
      <c r="C10491" t="s">
        <v>118</v>
      </c>
      <c r="D10491" t="s">
        <v>39648</v>
      </c>
      <c r="F10491" t="s">
        <v>1</v>
      </c>
      <c r="G10491" t="s">
        <v>2</v>
      </c>
      <c r="H10491" t="s">
        <v>7547</v>
      </c>
      <c r="Y10491" t="s">
        <v>39649</v>
      </c>
    </row>
    <row r="10492" spans="1:25" x14ac:dyDescent="0.25">
      <c r="A10492" t="str">
        <f>"136881070444"</f>
        <v>136881070444</v>
      </c>
      <c r="B10492" t="s">
        <v>7312</v>
      </c>
      <c r="C10492" t="s">
        <v>26456</v>
      </c>
      <c r="D10492" t="s">
        <v>39650</v>
      </c>
      <c r="E10492">
        <v>424038</v>
      </c>
      <c r="F10492" t="s">
        <v>1</v>
      </c>
      <c r="G10492" t="s">
        <v>2</v>
      </c>
      <c r="H10492" t="s">
        <v>16808</v>
      </c>
      <c r="J10492" t="s">
        <v>39651</v>
      </c>
      <c r="P10492" t="s">
        <v>144</v>
      </c>
      <c r="Y10492" t="s">
        <v>16810</v>
      </c>
    </row>
    <row r="10493" spans="1:25" x14ac:dyDescent="0.25">
      <c r="A10493" t="str">
        <f>"136921364068"</f>
        <v>136921364068</v>
      </c>
      <c r="B10493" t="s">
        <v>290</v>
      </c>
      <c r="C10493" t="s">
        <v>290</v>
      </c>
      <c r="D10493" t="s">
        <v>39652</v>
      </c>
      <c r="F10493" t="s">
        <v>1</v>
      </c>
      <c r="G10493" t="s">
        <v>2</v>
      </c>
      <c r="H10493" t="s">
        <v>39653</v>
      </c>
      <c r="J10493" t="s">
        <v>39654</v>
      </c>
      <c r="P10493" t="s">
        <v>330</v>
      </c>
      <c r="Y10493" t="s">
        <v>39655</v>
      </c>
    </row>
    <row r="10494" spans="1:25" x14ac:dyDescent="0.25">
      <c r="A10494" t="str">
        <f>"136959847762"</f>
        <v>136959847762</v>
      </c>
      <c r="B10494" t="s">
        <v>88</v>
      </c>
      <c r="C10494" t="s">
        <v>27865</v>
      </c>
      <c r="D10494" t="s">
        <v>39656</v>
      </c>
      <c r="E10494">
        <v>424004</v>
      </c>
      <c r="F10494" t="s">
        <v>1</v>
      </c>
      <c r="G10494" t="s">
        <v>2</v>
      </c>
      <c r="H10494" t="s">
        <v>186</v>
      </c>
      <c r="I10494" t="s">
        <v>39657</v>
      </c>
      <c r="L10494" t="s">
        <v>39658</v>
      </c>
      <c r="M10494" t="s">
        <v>39659</v>
      </c>
      <c r="P10494" t="s">
        <v>340</v>
      </c>
      <c r="Q10494" t="s">
        <v>39660</v>
      </c>
      <c r="T10494" t="s">
        <v>39661</v>
      </c>
      <c r="V10494" t="s">
        <v>39662</v>
      </c>
      <c r="Y10494" t="s">
        <v>39663</v>
      </c>
    </row>
    <row r="10495" spans="1:25" x14ac:dyDescent="0.25">
      <c r="A10495" t="str">
        <f>"137014798316"</f>
        <v>137014798316</v>
      </c>
      <c r="B10495" t="s">
        <v>1152</v>
      </c>
      <c r="C10495" t="s">
        <v>39666</v>
      </c>
      <c r="D10495" t="s">
        <v>39664</v>
      </c>
      <c r="E10495">
        <v>424007</v>
      </c>
      <c r="F10495" t="s">
        <v>1</v>
      </c>
      <c r="G10495" t="s">
        <v>2</v>
      </c>
      <c r="H10495" t="s">
        <v>16500</v>
      </c>
      <c r="J10495" t="s">
        <v>39665</v>
      </c>
      <c r="P10495" t="s">
        <v>390</v>
      </c>
      <c r="Y10495" t="s">
        <v>39667</v>
      </c>
    </row>
    <row r="10496" spans="1:25" x14ac:dyDescent="0.25">
      <c r="A10496" t="str">
        <f>"137047033198"</f>
        <v>137047033198</v>
      </c>
      <c r="B10496" t="s">
        <v>25</v>
      </c>
      <c r="C10496" t="s">
        <v>30258</v>
      </c>
      <c r="D10496" t="s">
        <v>39668</v>
      </c>
      <c r="E10496">
        <v>424007</v>
      </c>
      <c r="F10496" t="s">
        <v>1</v>
      </c>
      <c r="G10496" t="s">
        <v>2</v>
      </c>
      <c r="H10496" t="s">
        <v>1654</v>
      </c>
      <c r="I10496" t="s">
        <v>39669</v>
      </c>
      <c r="P10496" t="s">
        <v>280</v>
      </c>
      <c r="Y10496" t="s">
        <v>1661</v>
      </c>
    </row>
    <row r="10497" spans="1:25" x14ac:dyDescent="0.25">
      <c r="A10497" t="str">
        <f>"137076314740"</f>
        <v>137076314740</v>
      </c>
      <c r="B10497" t="s">
        <v>1053</v>
      </c>
      <c r="C10497" t="s">
        <v>39674</v>
      </c>
      <c r="D10497" t="s">
        <v>39670</v>
      </c>
      <c r="E10497">
        <v>424002</v>
      </c>
      <c r="F10497" t="s">
        <v>1</v>
      </c>
      <c r="G10497" t="s">
        <v>2</v>
      </c>
      <c r="H10497" t="s">
        <v>8736</v>
      </c>
      <c r="I10497" t="s">
        <v>31365</v>
      </c>
      <c r="J10497" t="s">
        <v>39671</v>
      </c>
      <c r="L10497" t="s">
        <v>39672</v>
      </c>
      <c r="M10497" t="s">
        <v>39673</v>
      </c>
      <c r="P10497" t="s">
        <v>280</v>
      </c>
      <c r="Q10497" t="s">
        <v>31369</v>
      </c>
      <c r="Y10497" t="s">
        <v>39675</v>
      </c>
    </row>
    <row r="10498" spans="1:25" x14ac:dyDescent="0.25">
      <c r="A10498" t="str">
        <f>"137110480929"</f>
        <v>137110480929</v>
      </c>
      <c r="B10498" t="s">
        <v>6478</v>
      </c>
      <c r="C10498" t="s">
        <v>9854</v>
      </c>
      <c r="D10498" t="s">
        <v>39676</v>
      </c>
      <c r="E10498">
        <v>424006</v>
      </c>
      <c r="F10498" t="s">
        <v>1</v>
      </c>
      <c r="G10498" t="s">
        <v>2</v>
      </c>
      <c r="H10498" t="s">
        <v>9851</v>
      </c>
      <c r="I10498" t="s">
        <v>39677</v>
      </c>
      <c r="J10498" t="s">
        <v>39678</v>
      </c>
      <c r="L10498" t="s">
        <v>39679</v>
      </c>
      <c r="P10498" t="s">
        <v>216</v>
      </c>
      <c r="Y10498" t="s">
        <v>39680</v>
      </c>
    </row>
    <row r="10499" spans="1:25" x14ac:dyDescent="0.25">
      <c r="A10499" t="str">
        <f>"137135380531"</f>
        <v>137135380531</v>
      </c>
      <c r="B10499" t="s">
        <v>2601</v>
      </c>
      <c r="C10499" t="s">
        <v>27941</v>
      </c>
      <c r="D10499" t="s">
        <v>39681</v>
      </c>
      <c r="E10499">
        <v>424038</v>
      </c>
      <c r="F10499" t="s">
        <v>1</v>
      </c>
      <c r="G10499" t="s">
        <v>2</v>
      </c>
      <c r="H10499" t="s">
        <v>465</v>
      </c>
      <c r="Y10499" t="s">
        <v>39682</v>
      </c>
    </row>
    <row r="10500" spans="1:25" x14ac:dyDescent="0.25">
      <c r="A10500" t="str">
        <f>"137159722988"</f>
        <v>137159722988</v>
      </c>
      <c r="B10500" t="s">
        <v>574</v>
      </c>
      <c r="C10500" t="s">
        <v>39683</v>
      </c>
      <c r="D10500" t="s">
        <v>29922</v>
      </c>
      <c r="E10500">
        <v>424039</v>
      </c>
      <c r="F10500" t="s">
        <v>1</v>
      </c>
      <c r="G10500" t="s">
        <v>2</v>
      </c>
      <c r="H10500" t="s">
        <v>2492</v>
      </c>
      <c r="Y10500" t="s">
        <v>39684</v>
      </c>
    </row>
    <row r="10501" spans="1:25" x14ac:dyDescent="0.25">
      <c r="A10501" t="str">
        <f>"137160846427"</f>
        <v>137160846427</v>
      </c>
      <c r="B10501" t="s">
        <v>430</v>
      </c>
      <c r="C10501" t="s">
        <v>11849</v>
      </c>
      <c r="D10501" t="s">
        <v>10135</v>
      </c>
      <c r="E10501">
        <v>424007</v>
      </c>
      <c r="F10501" t="s">
        <v>1</v>
      </c>
      <c r="G10501" t="s">
        <v>2</v>
      </c>
      <c r="H10501" t="s">
        <v>5281</v>
      </c>
      <c r="I10501" t="s">
        <v>39685</v>
      </c>
      <c r="J10501" t="s">
        <v>39686</v>
      </c>
      <c r="P10501" t="s">
        <v>330</v>
      </c>
      <c r="Y10501" t="s">
        <v>39687</v>
      </c>
    </row>
    <row r="10502" spans="1:25" x14ac:dyDescent="0.25">
      <c r="A10502" t="str">
        <f>"137167244254"</f>
        <v>137167244254</v>
      </c>
      <c r="B10502" t="s">
        <v>328</v>
      </c>
      <c r="C10502" t="s">
        <v>7088</v>
      </c>
      <c r="D10502" t="s">
        <v>39688</v>
      </c>
      <c r="E10502">
        <v>424002</v>
      </c>
      <c r="F10502" t="s">
        <v>1</v>
      </c>
      <c r="G10502" t="s">
        <v>2</v>
      </c>
      <c r="H10502" t="s">
        <v>3098</v>
      </c>
      <c r="I10502" t="s">
        <v>39689</v>
      </c>
      <c r="L10502" t="s">
        <v>39690</v>
      </c>
      <c r="M10502" t="s">
        <v>39691</v>
      </c>
      <c r="Y10502" t="s">
        <v>3102</v>
      </c>
    </row>
    <row r="10503" spans="1:25" x14ac:dyDescent="0.25">
      <c r="A10503" t="str">
        <f>"137170296064"</f>
        <v>137170296064</v>
      </c>
      <c r="B10503" t="s">
        <v>243</v>
      </c>
      <c r="C10503" t="s">
        <v>2538</v>
      </c>
      <c r="D10503" t="s">
        <v>10162</v>
      </c>
      <c r="E10503">
        <v>424032</v>
      </c>
      <c r="F10503" t="s">
        <v>1</v>
      </c>
      <c r="G10503" t="s">
        <v>2</v>
      </c>
      <c r="H10503" t="s">
        <v>10648</v>
      </c>
      <c r="I10503" t="s">
        <v>39692</v>
      </c>
      <c r="P10503" t="s">
        <v>6400</v>
      </c>
      <c r="Y10503" t="s">
        <v>10653</v>
      </c>
    </row>
    <row r="10504" spans="1:25" x14ac:dyDescent="0.25">
      <c r="A10504" t="str">
        <f>"137238620337"</f>
        <v>137238620337</v>
      </c>
      <c r="B10504" t="s">
        <v>117</v>
      </c>
      <c r="C10504" t="s">
        <v>118</v>
      </c>
      <c r="D10504" t="s">
        <v>39693</v>
      </c>
      <c r="E10504">
        <v>424008</v>
      </c>
      <c r="F10504" t="s">
        <v>1</v>
      </c>
      <c r="G10504" t="s">
        <v>2</v>
      </c>
      <c r="H10504" t="s">
        <v>1012</v>
      </c>
      <c r="I10504" t="s">
        <v>39694</v>
      </c>
      <c r="P10504" t="s">
        <v>39695</v>
      </c>
      <c r="Y10504" t="s">
        <v>39696</v>
      </c>
    </row>
    <row r="10505" spans="1:25" x14ac:dyDescent="0.25">
      <c r="A10505" t="str">
        <f>"137261168491"</f>
        <v>137261168491</v>
      </c>
      <c r="B10505" t="s">
        <v>530</v>
      </c>
      <c r="C10505" t="s">
        <v>23950</v>
      </c>
      <c r="D10505" t="s">
        <v>23950</v>
      </c>
      <c r="E10505">
        <v>424004</v>
      </c>
      <c r="F10505" t="s">
        <v>1</v>
      </c>
      <c r="G10505" t="s">
        <v>2</v>
      </c>
      <c r="H10505" t="s">
        <v>3285</v>
      </c>
      <c r="Y10505" t="s">
        <v>39697</v>
      </c>
    </row>
    <row r="10506" spans="1:25" x14ac:dyDescent="0.25">
      <c r="A10506" t="str">
        <f>"137282460476"</f>
        <v>137282460476</v>
      </c>
      <c r="B10506" t="s">
        <v>1611</v>
      </c>
      <c r="C10506" t="s">
        <v>25647</v>
      </c>
      <c r="D10506" t="s">
        <v>39698</v>
      </c>
      <c r="E10506">
        <v>424000</v>
      </c>
      <c r="F10506" t="s">
        <v>1</v>
      </c>
      <c r="G10506" t="s">
        <v>2</v>
      </c>
      <c r="H10506" t="s">
        <v>25646</v>
      </c>
      <c r="Y10506" t="s">
        <v>39699</v>
      </c>
    </row>
    <row r="10507" spans="1:25" x14ac:dyDescent="0.25">
      <c r="A10507" t="str">
        <f>"137295601250"</f>
        <v>137295601250</v>
      </c>
      <c r="B10507" t="s">
        <v>1611</v>
      </c>
      <c r="C10507" t="s">
        <v>3218</v>
      </c>
      <c r="D10507" t="s">
        <v>39700</v>
      </c>
      <c r="E10507">
        <v>424037</v>
      </c>
      <c r="F10507" t="s">
        <v>1</v>
      </c>
      <c r="G10507" t="s">
        <v>2</v>
      </c>
      <c r="H10507" t="s">
        <v>15407</v>
      </c>
      <c r="I10507" t="s">
        <v>39701</v>
      </c>
      <c r="L10507" t="s">
        <v>3217</v>
      </c>
      <c r="P10507" t="s">
        <v>330</v>
      </c>
      <c r="Y10507" t="s">
        <v>4724</v>
      </c>
    </row>
    <row r="10508" spans="1:25" x14ac:dyDescent="0.25">
      <c r="A10508" t="str">
        <f>"137297378174"</f>
        <v>137297378174</v>
      </c>
      <c r="B10508" t="s">
        <v>1475</v>
      </c>
      <c r="C10508" t="s">
        <v>39706</v>
      </c>
      <c r="D10508" t="s">
        <v>39702</v>
      </c>
      <c r="F10508" t="s">
        <v>1</v>
      </c>
      <c r="G10508" t="s">
        <v>2</v>
      </c>
      <c r="H10508" t="s">
        <v>15073</v>
      </c>
      <c r="J10508" t="s">
        <v>39703</v>
      </c>
      <c r="L10508" t="s">
        <v>39704</v>
      </c>
      <c r="M10508" t="s">
        <v>39705</v>
      </c>
      <c r="P10508" t="s">
        <v>15961</v>
      </c>
      <c r="Y10508" t="s">
        <v>35512</v>
      </c>
    </row>
    <row r="10509" spans="1:25" x14ac:dyDescent="0.25">
      <c r="A10509" t="str">
        <f>"137304782985"</f>
        <v>137304782985</v>
      </c>
      <c r="B10509" t="s">
        <v>1315</v>
      </c>
      <c r="C10509" t="s">
        <v>4274</v>
      </c>
      <c r="D10509" t="s">
        <v>39707</v>
      </c>
      <c r="E10509">
        <v>424006</v>
      </c>
      <c r="F10509" t="s">
        <v>1</v>
      </c>
      <c r="G10509" t="s">
        <v>2</v>
      </c>
      <c r="H10509" t="s">
        <v>9007</v>
      </c>
      <c r="J10509" t="s">
        <v>39708</v>
      </c>
      <c r="L10509" t="s">
        <v>39709</v>
      </c>
      <c r="M10509" t="s">
        <v>39710</v>
      </c>
      <c r="P10509" t="s">
        <v>280</v>
      </c>
      <c r="Q10509" t="s">
        <v>39711</v>
      </c>
      <c r="R10509" t="s">
        <v>39712</v>
      </c>
      <c r="T10509" t="s">
        <v>39713</v>
      </c>
      <c r="U10509" t="s">
        <v>39714</v>
      </c>
      <c r="V10509" t="s">
        <v>39715</v>
      </c>
      <c r="Y10509" t="s">
        <v>9010</v>
      </c>
    </row>
    <row r="10510" spans="1:25" x14ac:dyDescent="0.25">
      <c r="A10510" t="str">
        <f>"137347344374"</f>
        <v>137347344374</v>
      </c>
      <c r="B10510" t="s">
        <v>5573</v>
      </c>
      <c r="C10510" t="s">
        <v>21453</v>
      </c>
      <c r="D10510" t="s">
        <v>7290</v>
      </c>
      <c r="E10510">
        <v>424008</v>
      </c>
      <c r="F10510" t="s">
        <v>1</v>
      </c>
      <c r="G10510" t="s">
        <v>2</v>
      </c>
      <c r="H10510" t="s">
        <v>7291</v>
      </c>
      <c r="Y10510" t="s">
        <v>39716</v>
      </c>
    </row>
    <row r="10511" spans="1:25" x14ac:dyDescent="0.25">
      <c r="A10511" t="str">
        <f>"137348800294"</f>
        <v>137348800294</v>
      </c>
      <c r="B10511" t="s">
        <v>930</v>
      </c>
      <c r="C10511" t="s">
        <v>10263</v>
      </c>
      <c r="D10511" t="s">
        <v>39717</v>
      </c>
      <c r="F10511" t="s">
        <v>1</v>
      </c>
      <c r="G10511" t="s">
        <v>2</v>
      </c>
      <c r="H10511" t="s">
        <v>22441</v>
      </c>
      <c r="Y10511" t="s">
        <v>32183</v>
      </c>
    </row>
    <row r="10512" spans="1:25" x14ac:dyDescent="0.25">
      <c r="A10512" t="str">
        <f>"137351152488"</f>
        <v>137351152488</v>
      </c>
      <c r="B10512" t="s">
        <v>591</v>
      </c>
      <c r="C10512" t="s">
        <v>592</v>
      </c>
      <c r="D10512" t="s">
        <v>39718</v>
      </c>
      <c r="E10512">
        <v>424031</v>
      </c>
      <c r="F10512" t="s">
        <v>1</v>
      </c>
      <c r="G10512" t="s">
        <v>2</v>
      </c>
      <c r="H10512" t="s">
        <v>10141</v>
      </c>
      <c r="I10512" t="s">
        <v>39719</v>
      </c>
      <c r="P10512" t="s">
        <v>39720</v>
      </c>
      <c r="Y10512" t="s">
        <v>10144</v>
      </c>
    </row>
    <row r="10513" spans="1:25" x14ac:dyDescent="0.25">
      <c r="A10513" t="str">
        <f>"137373955728"</f>
        <v>137373955728</v>
      </c>
      <c r="B10513" t="s">
        <v>703</v>
      </c>
      <c r="C10513" t="s">
        <v>39722</v>
      </c>
      <c r="D10513" t="s">
        <v>12211</v>
      </c>
      <c r="E10513">
        <v>424030</v>
      </c>
      <c r="F10513" t="s">
        <v>1</v>
      </c>
      <c r="G10513" t="s">
        <v>2</v>
      </c>
      <c r="H10513" t="s">
        <v>32680</v>
      </c>
      <c r="J10513" t="s">
        <v>39721</v>
      </c>
      <c r="P10513" t="s">
        <v>1270</v>
      </c>
      <c r="Y10513" t="s">
        <v>39723</v>
      </c>
    </row>
    <row r="10514" spans="1:25" x14ac:dyDescent="0.25">
      <c r="A10514" t="str">
        <f>"137391151858"</f>
        <v>137391151858</v>
      </c>
      <c r="B10514" t="s">
        <v>1758</v>
      </c>
      <c r="C10514" t="s">
        <v>8089</v>
      </c>
      <c r="D10514" t="s">
        <v>39724</v>
      </c>
      <c r="F10514" t="s">
        <v>1</v>
      </c>
      <c r="G10514" t="s">
        <v>2</v>
      </c>
      <c r="H10514" t="s">
        <v>25588</v>
      </c>
      <c r="Y10514" t="s">
        <v>39725</v>
      </c>
    </row>
    <row r="10515" spans="1:25" x14ac:dyDescent="0.25">
      <c r="A10515" t="str">
        <f>"137398390919"</f>
        <v>137398390919</v>
      </c>
      <c r="B10515" t="s">
        <v>530</v>
      </c>
      <c r="C10515" t="s">
        <v>23950</v>
      </c>
      <c r="D10515" t="s">
        <v>23950</v>
      </c>
      <c r="E10515">
        <v>424003</v>
      </c>
      <c r="F10515" t="s">
        <v>1</v>
      </c>
      <c r="G10515" t="s">
        <v>2</v>
      </c>
      <c r="H10515" t="s">
        <v>39726</v>
      </c>
      <c r="Y10515" t="s">
        <v>39727</v>
      </c>
    </row>
    <row r="10516" spans="1:25" x14ac:dyDescent="0.25">
      <c r="A10516" t="str">
        <f>"137399033428"</f>
        <v>137399033428</v>
      </c>
      <c r="B10516" t="s">
        <v>1343</v>
      </c>
      <c r="C10516" t="s">
        <v>39732</v>
      </c>
      <c r="D10516" t="s">
        <v>39728</v>
      </c>
      <c r="F10516" t="s">
        <v>1</v>
      </c>
      <c r="G10516" t="s">
        <v>2</v>
      </c>
      <c r="H10516" t="s">
        <v>1003</v>
      </c>
      <c r="I10516" t="s">
        <v>39729</v>
      </c>
      <c r="L10516" t="s">
        <v>39730</v>
      </c>
      <c r="M10516" t="s">
        <v>39731</v>
      </c>
      <c r="P10516" t="s">
        <v>6467</v>
      </c>
      <c r="Q10516" t="s">
        <v>39733</v>
      </c>
      <c r="T10516" t="s">
        <v>39734</v>
      </c>
      <c r="V10516" t="s">
        <v>39735</v>
      </c>
      <c r="Y10516" t="s">
        <v>39736</v>
      </c>
    </row>
    <row r="10517" spans="1:25" x14ac:dyDescent="0.25">
      <c r="A10517" t="str">
        <f>"137468452109"</f>
        <v>137468452109</v>
      </c>
      <c r="B10517" t="s">
        <v>456</v>
      </c>
      <c r="C10517" t="s">
        <v>2040</v>
      </c>
      <c r="D10517" t="s">
        <v>39737</v>
      </c>
      <c r="F10517" t="s">
        <v>1</v>
      </c>
      <c r="G10517" t="s">
        <v>2</v>
      </c>
      <c r="H10517" t="s">
        <v>30862</v>
      </c>
      <c r="J10517" t="s">
        <v>28898</v>
      </c>
      <c r="P10517" t="s">
        <v>330</v>
      </c>
      <c r="Y10517" t="s">
        <v>39738</v>
      </c>
    </row>
    <row r="10518" spans="1:25" x14ac:dyDescent="0.25">
      <c r="A10518" t="str">
        <f>"137515283114"</f>
        <v>137515283114</v>
      </c>
      <c r="B10518" t="s">
        <v>519</v>
      </c>
      <c r="C10518" t="s">
        <v>39741</v>
      </c>
      <c r="D10518" t="s">
        <v>39739</v>
      </c>
      <c r="E10518">
        <v>424002</v>
      </c>
      <c r="F10518" t="s">
        <v>1</v>
      </c>
      <c r="G10518" t="s">
        <v>2</v>
      </c>
      <c r="H10518" t="s">
        <v>37874</v>
      </c>
      <c r="I10518" t="s">
        <v>39740</v>
      </c>
      <c r="Q10518" t="s">
        <v>39742</v>
      </c>
      <c r="Y10518" t="s">
        <v>39743</v>
      </c>
    </row>
    <row r="10519" spans="1:25" x14ac:dyDescent="0.25">
      <c r="A10519" t="str">
        <f>"137517555261"</f>
        <v>137517555261</v>
      </c>
      <c r="B10519" t="s">
        <v>18</v>
      </c>
      <c r="C10519" t="s">
        <v>39747</v>
      </c>
      <c r="D10519" t="s">
        <v>17020</v>
      </c>
      <c r="E10519">
        <v>424016</v>
      </c>
      <c r="F10519" t="s">
        <v>1</v>
      </c>
      <c r="G10519" t="s">
        <v>2</v>
      </c>
      <c r="H10519" t="s">
        <v>12130</v>
      </c>
      <c r="I10519" t="s">
        <v>39744</v>
      </c>
      <c r="J10519" t="s">
        <v>39745</v>
      </c>
      <c r="M10519" t="s">
        <v>39746</v>
      </c>
      <c r="P10519" t="s">
        <v>869</v>
      </c>
      <c r="Y10519" t="s">
        <v>29781</v>
      </c>
    </row>
    <row r="10520" spans="1:25" x14ac:dyDescent="0.25">
      <c r="A10520" t="str">
        <f>"137522964003"</f>
        <v>137522964003</v>
      </c>
      <c r="B10520" t="s">
        <v>530</v>
      </c>
      <c r="C10520" t="s">
        <v>23950</v>
      </c>
      <c r="D10520" t="s">
        <v>23950</v>
      </c>
      <c r="F10520" t="s">
        <v>1</v>
      </c>
      <c r="G10520" t="s">
        <v>2</v>
      </c>
      <c r="H10520" t="s">
        <v>39748</v>
      </c>
      <c r="Y10520" t="s">
        <v>39749</v>
      </c>
    </row>
    <row r="10521" spans="1:25" x14ac:dyDescent="0.25">
      <c r="A10521" t="str">
        <f>"137524036676"</f>
        <v>137524036676</v>
      </c>
      <c r="B10521" t="s">
        <v>574</v>
      </c>
      <c r="C10521" t="s">
        <v>14652</v>
      </c>
      <c r="D10521" t="s">
        <v>39750</v>
      </c>
      <c r="E10521">
        <v>424000</v>
      </c>
      <c r="F10521" t="s">
        <v>1</v>
      </c>
      <c r="G10521" t="s">
        <v>2</v>
      </c>
      <c r="H10521" t="s">
        <v>24175</v>
      </c>
      <c r="M10521" t="s">
        <v>39751</v>
      </c>
      <c r="Y10521" t="s">
        <v>30890</v>
      </c>
    </row>
    <row r="10522" spans="1:25" x14ac:dyDescent="0.25">
      <c r="A10522" t="str">
        <f>"137567393192"</f>
        <v>137567393192</v>
      </c>
      <c r="B10522" t="s">
        <v>3008</v>
      </c>
      <c r="C10522" t="s">
        <v>25605</v>
      </c>
      <c r="D10522" t="s">
        <v>21269</v>
      </c>
      <c r="E10522">
        <v>424020</v>
      </c>
      <c r="F10522" t="s">
        <v>1</v>
      </c>
      <c r="G10522" t="s">
        <v>2</v>
      </c>
      <c r="H10522" t="s">
        <v>28380</v>
      </c>
      <c r="Y10522" t="s">
        <v>28381</v>
      </c>
    </row>
    <row r="10523" spans="1:25" x14ac:dyDescent="0.25">
      <c r="A10523" t="str">
        <f>"137584933210"</f>
        <v>137584933210</v>
      </c>
      <c r="B10523" t="s">
        <v>1152</v>
      </c>
      <c r="C10523" t="s">
        <v>33153</v>
      </c>
      <c r="D10523" t="s">
        <v>39752</v>
      </c>
      <c r="E10523">
        <v>424016</v>
      </c>
      <c r="F10523" t="s">
        <v>1</v>
      </c>
      <c r="G10523" t="s">
        <v>2</v>
      </c>
      <c r="H10523" t="s">
        <v>26542</v>
      </c>
      <c r="I10523" t="s">
        <v>39753</v>
      </c>
      <c r="J10523" t="s">
        <v>39754</v>
      </c>
      <c r="L10523" t="s">
        <v>39755</v>
      </c>
      <c r="M10523" t="s">
        <v>39756</v>
      </c>
      <c r="P10523" t="s">
        <v>6400</v>
      </c>
      <c r="Q10523" t="s">
        <v>39757</v>
      </c>
      <c r="Y10523" t="s">
        <v>26545</v>
      </c>
    </row>
    <row r="10524" spans="1:25" x14ac:dyDescent="0.25">
      <c r="A10524" t="str">
        <f>"137605624628"</f>
        <v>137605624628</v>
      </c>
      <c r="B10524" t="s">
        <v>96</v>
      </c>
      <c r="C10524" t="s">
        <v>695</v>
      </c>
      <c r="D10524" t="s">
        <v>39758</v>
      </c>
      <c r="E10524">
        <v>424031</v>
      </c>
      <c r="F10524" t="s">
        <v>1</v>
      </c>
      <c r="G10524" t="s">
        <v>2</v>
      </c>
      <c r="H10524" t="s">
        <v>4622</v>
      </c>
      <c r="Y10524" t="s">
        <v>7838</v>
      </c>
    </row>
    <row r="10525" spans="1:25" x14ac:dyDescent="0.25">
      <c r="A10525" t="str">
        <f>"137650052717"</f>
        <v>137650052717</v>
      </c>
      <c r="B10525" t="s">
        <v>591</v>
      </c>
      <c r="C10525" t="s">
        <v>7217</v>
      </c>
      <c r="D10525" t="s">
        <v>39759</v>
      </c>
      <c r="E10525">
        <v>424020</v>
      </c>
      <c r="F10525" t="s">
        <v>1</v>
      </c>
      <c r="G10525" t="s">
        <v>2</v>
      </c>
      <c r="H10525" t="s">
        <v>12984</v>
      </c>
      <c r="I10525" t="s">
        <v>39760</v>
      </c>
      <c r="J10525" t="s">
        <v>39761</v>
      </c>
      <c r="L10525" t="s">
        <v>39762</v>
      </c>
      <c r="M10525" t="s">
        <v>39763</v>
      </c>
      <c r="P10525" t="s">
        <v>390</v>
      </c>
      <c r="Y10525" t="s">
        <v>39764</v>
      </c>
    </row>
    <row r="10526" spans="1:25" x14ac:dyDescent="0.25">
      <c r="A10526" t="str">
        <f>"137685368025"</f>
        <v>137685368025</v>
      </c>
      <c r="B10526" t="s">
        <v>1046</v>
      </c>
      <c r="C10526" t="s">
        <v>22946</v>
      </c>
      <c r="D10526" t="s">
        <v>22946</v>
      </c>
      <c r="E10526">
        <v>424005</v>
      </c>
      <c r="F10526" t="s">
        <v>1</v>
      </c>
      <c r="G10526" t="s">
        <v>2</v>
      </c>
      <c r="H10526" t="s">
        <v>17293</v>
      </c>
      <c r="Y10526" t="s">
        <v>39765</v>
      </c>
    </row>
    <row r="10527" spans="1:25" x14ac:dyDescent="0.25">
      <c r="A10527" t="str">
        <f>"137691822284"</f>
        <v>137691822284</v>
      </c>
      <c r="B10527" t="s">
        <v>2790</v>
      </c>
      <c r="C10527" t="s">
        <v>3528</v>
      </c>
      <c r="D10527" t="s">
        <v>39766</v>
      </c>
      <c r="E10527">
        <v>424002</v>
      </c>
      <c r="F10527" t="s">
        <v>1</v>
      </c>
      <c r="G10527" t="s">
        <v>2</v>
      </c>
      <c r="H10527" t="s">
        <v>39767</v>
      </c>
      <c r="Y10527" t="s">
        <v>39768</v>
      </c>
    </row>
    <row r="10528" spans="1:25" x14ac:dyDescent="0.25">
      <c r="A10528" t="str">
        <f>"137710557832"</f>
        <v>137710557832</v>
      </c>
      <c r="B10528" t="s">
        <v>96</v>
      </c>
      <c r="C10528" t="s">
        <v>893</v>
      </c>
      <c r="D10528" t="s">
        <v>26502</v>
      </c>
      <c r="F10528" t="s">
        <v>1</v>
      </c>
      <c r="G10528" t="s">
        <v>2</v>
      </c>
      <c r="H10528" t="s">
        <v>24011</v>
      </c>
      <c r="Y10528" t="s">
        <v>39769</v>
      </c>
    </row>
    <row r="10529" spans="1:25" x14ac:dyDescent="0.25">
      <c r="A10529" t="str">
        <f>"137722841820"</f>
        <v>137722841820</v>
      </c>
      <c r="B10529" t="s">
        <v>176</v>
      </c>
      <c r="C10529" t="s">
        <v>566</v>
      </c>
      <c r="D10529" t="s">
        <v>39770</v>
      </c>
      <c r="E10529">
        <v>424038</v>
      </c>
      <c r="F10529" t="s">
        <v>1</v>
      </c>
      <c r="G10529" t="s">
        <v>2</v>
      </c>
      <c r="H10529" t="s">
        <v>30317</v>
      </c>
      <c r="Y10529" t="s">
        <v>39771</v>
      </c>
    </row>
    <row r="10530" spans="1:25" x14ac:dyDescent="0.25">
      <c r="A10530" t="str">
        <f>"137750363618"</f>
        <v>137750363618</v>
      </c>
      <c r="B10530" t="s">
        <v>640</v>
      </c>
      <c r="C10530" t="s">
        <v>663</v>
      </c>
      <c r="D10530" t="s">
        <v>39772</v>
      </c>
      <c r="E10530">
        <v>424006</v>
      </c>
      <c r="F10530" t="s">
        <v>1</v>
      </c>
      <c r="G10530" t="s">
        <v>2</v>
      </c>
      <c r="H10530" t="s">
        <v>9029</v>
      </c>
      <c r="J10530" t="s">
        <v>39773</v>
      </c>
      <c r="L10530" t="s">
        <v>39774</v>
      </c>
      <c r="P10530" t="s">
        <v>5649</v>
      </c>
      <c r="Q10530" t="s">
        <v>39775</v>
      </c>
      <c r="Y10530" t="s">
        <v>39776</v>
      </c>
    </row>
    <row r="10531" spans="1:25" x14ac:dyDescent="0.25">
      <c r="A10531" t="str">
        <f>"137800703822"</f>
        <v>137800703822</v>
      </c>
      <c r="B10531" t="s">
        <v>1053</v>
      </c>
      <c r="C10531" t="s">
        <v>10510</v>
      </c>
      <c r="D10531" t="s">
        <v>39777</v>
      </c>
      <c r="E10531">
        <v>424006</v>
      </c>
      <c r="F10531" t="s">
        <v>1</v>
      </c>
      <c r="G10531" t="s">
        <v>2</v>
      </c>
      <c r="H10531" t="s">
        <v>32734</v>
      </c>
      <c r="I10531" t="s">
        <v>39778</v>
      </c>
      <c r="J10531" t="s">
        <v>39779</v>
      </c>
      <c r="P10531" t="s">
        <v>1420</v>
      </c>
      <c r="Y10531" t="s">
        <v>19686</v>
      </c>
    </row>
    <row r="10532" spans="1:25" x14ac:dyDescent="0.25">
      <c r="A10532" t="str">
        <f>"137829202235"</f>
        <v>137829202235</v>
      </c>
      <c r="B10532" t="s">
        <v>2790</v>
      </c>
      <c r="C10532" t="s">
        <v>39782</v>
      </c>
      <c r="D10532" t="s">
        <v>39780</v>
      </c>
      <c r="E10532">
        <v>424006</v>
      </c>
      <c r="F10532" t="s">
        <v>1</v>
      </c>
      <c r="G10532" t="s">
        <v>2</v>
      </c>
      <c r="H10532" t="s">
        <v>2012</v>
      </c>
      <c r="I10532" t="s">
        <v>39781</v>
      </c>
      <c r="P10532" t="s">
        <v>280</v>
      </c>
      <c r="Y10532" t="s">
        <v>2016</v>
      </c>
    </row>
    <row r="10533" spans="1:25" x14ac:dyDescent="0.25">
      <c r="A10533" t="str">
        <f>"137862253531"</f>
        <v>137862253531</v>
      </c>
      <c r="B10533" t="s">
        <v>96</v>
      </c>
      <c r="C10533" t="s">
        <v>893</v>
      </c>
      <c r="D10533" t="s">
        <v>39783</v>
      </c>
      <c r="E10533">
        <v>424000</v>
      </c>
      <c r="F10533" t="s">
        <v>1</v>
      </c>
      <c r="G10533" t="s">
        <v>2</v>
      </c>
      <c r="H10533" t="s">
        <v>1531</v>
      </c>
      <c r="Y10533" t="s">
        <v>1707</v>
      </c>
    </row>
    <row r="10534" spans="1:25" x14ac:dyDescent="0.25">
      <c r="A10534" t="str">
        <f>"137870728851"</f>
        <v>137870728851</v>
      </c>
      <c r="B10534" t="s">
        <v>1078</v>
      </c>
      <c r="C10534" t="s">
        <v>26548</v>
      </c>
      <c r="D10534" t="s">
        <v>39784</v>
      </c>
      <c r="E10534">
        <v>424028</v>
      </c>
      <c r="F10534" t="s">
        <v>1</v>
      </c>
      <c r="G10534" t="s">
        <v>2</v>
      </c>
      <c r="H10534" t="s">
        <v>27719</v>
      </c>
      <c r="Y10534" t="s">
        <v>39785</v>
      </c>
    </row>
    <row r="10535" spans="1:25" x14ac:dyDescent="0.25">
      <c r="A10535" t="str">
        <f>"137880645157"</f>
        <v>137880645157</v>
      </c>
      <c r="B10535" t="s">
        <v>18</v>
      </c>
      <c r="C10535" t="s">
        <v>39790</v>
      </c>
      <c r="D10535" t="s">
        <v>39786</v>
      </c>
      <c r="E10535">
        <v>424007</v>
      </c>
      <c r="F10535" t="s">
        <v>1</v>
      </c>
      <c r="G10535" t="s">
        <v>2</v>
      </c>
      <c r="H10535" t="s">
        <v>39787</v>
      </c>
      <c r="I10535" t="s">
        <v>39788</v>
      </c>
      <c r="J10535" t="s">
        <v>39789</v>
      </c>
      <c r="P10535" t="s">
        <v>1071</v>
      </c>
      <c r="Q10535" t="s">
        <v>39791</v>
      </c>
      <c r="V10535" t="s">
        <v>39792</v>
      </c>
      <c r="Y10535" t="s">
        <v>39793</v>
      </c>
    </row>
    <row r="10536" spans="1:25" x14ac:dyDescent="0.25">
      <c r="A10536" t="str">
        <f>"137907391988"</f>
        <v>137907391988</v>
      </c>
      <c r="B10536" t="s">
        <v>669</v>
      </c>
      <c r="C10536" t="s">
        <v>39795</v>
      </c>
      <c r="D10536" t="s">
        <v>39794</v>
      </c>
      <c r="E10536">
        <v>424006</v>
      </c>
      <c r="F10536" t="s">
        <v>1</v>
      </c>
      <c r="G10536" t="s">
        <v>2</v>
      </c>
      <c r="H10536" t="s">
        <v>751</v>
      </c>
      <c r="Y10536" t="s">
        <v>39796</v>
      </c>
    </row>
    <row r="10537" spans="1:25" x14ac:dyDescent="0.25">
      <c r="A10537" t="str">
        <f>"137928443906"</f>
        <v>137928443906</v>
      </c>
      <c r="B10537" t="s">
        <v>1046</v>
      </c>
      <c r="C10537" t="s">
        <v>22946</v>
      </c>
      <c r="D10537" t="s">
        <v>22946</v>
      </c>
      <c r="F10537" t="s">
        <v>1</v>
      </c>
      <c r="G10537" t="s">
        <v>2</v>
      </c>
      <c r="H10537" t="s">
        <v>7547</v>
      </c>
      <c r="Y10537" t="s">
        <v>39797</v>
      </c>
    </row>
    <row r="10538" spans="1:25" x14ac:dyDescent="0.25">
      <c r="A10538" t="str">
        <f>"137955009076"</f>
        <v>137955009076</v>
      </c>
      <c r="B10538" t="s">
        <v>397</v>
      </c>
      <c r="C10538" t="s">
        <v>39799</v>
      </c>
      <c r="D10538" t="s">
        <v>39798</v>
      </c>
      <c r="E10538">
        <v>424007</v>
      </c>
      <c r="F10538" t="s">
        <v>1</v>
      </c>
      <c r="G10538" t="s">
        <v>2</v>
      </c>
      <c r="H10538" t="s">
        <v>499</v>
      </c>
      <c r="Y10538" t="s">
        <v>39800</v>
      </c>
    </row>
    <row r="10539" spans="1:25" x14ac:dyDescent="0.25">
      <c r="A10539" t="str">
        <f>"137988345539"</f>
        <v>137988345539</v>
      </c>
      <c r="B10539" t="s">
        <v>25</v>
      </c>
      <c r="C10539" t="s">
        <v>20320</v>
      </c>
      <c r="D10539" t="s">
        <v>39801</v>
      </c>
      <c r="F10539" t="s">
        <v>1</v>
      </c>
      <c r="G10539" t="s">
        <v>2</v>
      </c>
      <c r="H10539" t="s">
        <v>37451</v>
      </c>
      <c r="Y10539" t="s">
        <v>39802</v>
      </c>
    </row>
    <row r="10540" spans="1:25" x14ac:dyDescent="0.25">
      <c r="A10540" t="str">
        <f>"138035241125"</f>
        <v>138035241125</v>
      </c>
      <c r="B10540" t="s">
        <v>290</v>
      </c>
      <c r="C10540" t="s">
        <v>290</v>
      </c>
      <c r="D10540" t="s">
        <v>13203</v>
      </c>
      <c r="F10540" t="s">
        <v>1</v>
      </c>
      <c r="G10540" t="s">
        <v>2</v>
      </c>
      <c r="H10540" t="s">
        <v>39803</v>
      </c>
      <c r="J10540" t="s">
        <v>39804</v>
      </c>
      <c r="P10540" t="s">
        <v>26289</v>
      </c>
      <c r="Y10540" t="s">
        <v>39805</v>
      </c>
    </row>
    <row r="10541" spans="1:25" x14ac:dyDescent="0.25">
      <c r="A10541" t="str">
        <f>"138041725737"</f>
        <v>138041725737</v>
      </c>
      <c r="B10541" t="s">
        <v>25</v>
      </c>
      <c r="C10541" t="s">
        <v>39807</v>
      </c>
      <c r="D10541" t="s">
        <v>39806</v>
      </c>
      <c r="E10541">
        <v>424007</v>
      </c>
      <c r="F10541" t="s">
        <v>1</v>
      </c>
      <c r="G10541" t="s">
        <v>2</v>
      </c>
      <c r="H10541" t="s">
        <v>4869</v>
      </c>
      <c r="Y10541" t="s">
        <v>39808</v>
      </c>
    </row>
    <row r="10542" spans="1:25" x14ac:dyDescent="0.25">
      <c r="A10542" t="str">
        <f>"138065972014"</f>
        <v>138065972014</v>
      </c>
      <c r="B10542" t="s">
        <v>224</v>
      </c>
      <c r="C10542" t="s">
        <v>4139</v>
      </c>
      <c r="D10542" t="s">
        <v>39809</v>
      </c>
      <c r="E10542">
        <v>424007</v>
      </c>
      <c r="F10542" t="s">
        <v>1</v>
      </c>
      <c r="G10542" t="s">
        <v>2</v>
      </c>
      <c r="H10542" t="s">
        <v>220</v>
      </c>
      <c r="J10542" t="s">
        <v>39810</v>
      </c>
      <c r="P10542" t="s">
        <v>20</v>
      </c>
      <c r="Y10542" t="s">
        <v>39811</v>
      </c>
    </row>
    <row r="10543" spans="1:25" x14ac:dyDescent="0.25">
      <c r="A10543" t="str">
        <f>"138067382939"</f>
        <v>138067382939</v>
      </c>
      <c r="B10543" t="s">
        <v>397</v>
      </c>
      <c r="C10543" t="s">
        <v>39349</v>
      </c>
      <c r="D10543" t="s">
        <v>39812</v>
      </c>
      <c r="E10543">
        <v>424006</v>
      </c>
      <c r="F10543" t="s">
        <v>1</v>
      </c>
      <c r="G10543" t="s">
        <v>2</v>
      </c>
      <c r="H10543" t="s">
        <v>4315</v>
      </c>
      <c r="I10543" t="s">
        <v>39813</v>
      </c>
      <c r="J10543" t="s">
        <v>39814</v>
      </c>
      <c r="M10543" t="s">
        <v>39815</v>
      </c>
      <c r="P10543" t="s">
        <v>390</v>
      </c>
      <c r="Q10543" t="s">
        <v>39816</v>
      </c>
      <c r="R10543" t="s">
        <v>39817</v>
      </c>
      <c r="T10543" t="s">
        <v>39818</v>
      </c>
      <c r="Y10543" t="s">
        <v>39819</v>
      </c>
    </row>
    <row r="10544" spans="1:25" x14ac:dyDescent="0.25">
      <c r="A10544" t="str">
        <f>"138123280274"</f>
        <v>138123280274</v>
      </c>
      <c r="B10544" t="s">
        <v>1078</v>
      </c>
      <c r="C10544" t="s">
        <v>25481</v>
      </c>
      <c r="D10544" t="s">
        <v>7229</v>
      </c>
      <c r="E10544">
        <v>424032</v>
      </c>
      <c r="F10544" t="s">
        <v>1</v>
      </c>
      <c r="G10544" t="s">
        <v>2</v>
      </c>
      <c r="H10544" t="s">
        <v>2250</v>
      </c>
      <c r="Y10544" t="s">
        <v>39820</v>
      </c>
    </row>
    <row r="10545" spans="1:25" x14ac:dyDescent="0.25">
      <c r="A10545" t="str">
        <f>"138239647736"</f>
        <v>138239647736</v>
      </c>
      <c r="B10545" t="s">
        <v>188</v>
      </c>
      <c r="C10545" t="s">
        <v>23982</v>
      </c>
      <c r="D10545" t="s">
        <v>23982</v>
      </c>
      <c r="E10545">
        <v>424038</v>
      </c>
      <c r="F10545" t="s">
        <v>1</v>
      </c>
      <c r="G10545" t="s">
        <v>2</v>
      </c>
      <c r="H10545" t="s">
        <v>23978</v>
      </c>
      <c r="Y10545" t="s">
        <v>39821</v>
      </c>
    </row>
    <row r="10546" spans="1:25" x14ac:dyDescent="0.25">
      <c r="A10546" t="str">
        <f>"138278597859"</f>
        <v>138278597859</v>
      </c>
      <c r="B10546" t="s">
        <v>96</v>
      </c>
      <c r="C10546" t="s">
        <v>893</v>
      </c>
      <c r="D10546" t="s">
        <v>1084</v>
      </c>
      <c r="E10546">
        <v>424000</v>
      </c>
      <c r="F10546" t="s">
        <v>1</v>
      </c>
      <c r="G10546" t="s">
        <v>2</v>
      </c>
      <c r="H10546" t="s">
        <v>1531</v>
      </c>
      <c r="Y10546" t="s">
        <v>1707</v>
      </c>
    </row>
    <row r="10547" spans="1:25" x14ac:dyDescent="0.25">
      <c r="A10547" t="str">
        <f>"138289452901"</f>
        <v>138289452901</v>
      </c>
      <c r="B10547" t="s">
        <v>1493</v>
      </c>
      <c r="C10547" t="s">
        <v>1494</v>
      </c>
      <c r="D10547" t="s">
        <v>39822</v>
      </c>
      <c r="E10547">
        <v>424004</v>
      </c>
      <c r="F10547" t="s">
        <v>1</v>
      </c>
      <c r="G10547" t="s">
        <v>2</v>
      </c>
      <c r="H10547" t="s">
        <v>351</v>
      </c>
      <c r="J10547" t="s">
        <v>39823</v>
      </c>
      <c r="P10547" t="s">
        <v>13355</v>
      </c>
      <c r="Y10547" t="s">
        <v>354</v>
      </c>
    </row>
    <row r="10548" spans="1:25" x14ac:dyDescent="0.25">
      <c r="A10548" t="str">
        <f>"138313510311"</f>
        <v>138313510311</v>
      </c>
      <c r="B10548" t="s">
        <v>25</v>
      </c>
      <c r="C10548" t="s">
        <v>20320</v>
      </c>
      <c r="D10548" t="s">
        <v>39824</v>
      </c>
      <c r="E10548">
        <v>424038</v>
      </c>
      <c r="F10548" t="s">
        <v>1</v>
      </c>
      <c r="G10548" t="s">
        <v>2</v>
      </c>
      <c r="H10548" t="s">
        <v>24263</v>
      </c>
      <c r="Y10548" t="s">
        <v>39825</v>
      </c>
    </row>
    <row r="10549" spans="1:25" x14ac:dyDescent="0.25">
      <c r="A10549" t="str">
        <f>"138355487429"</f>
        <v>138355487429</v>
      </c>
      <c r="B10549" t="s">
        <v>1046</v>
      </c>
      <c r="C10549" t="s">
        <v>3497</v>
      </c>
      <c r="D10549" t="s">
        <v>39826</v>
      </c>
      <c r="F10549" t="s">
        <v>1</v>
      </c>
      <c r="G10549" t="s">
        <v>2</v>
      </c>
      <c r="H10549" t="s">
        <v>1359</v>
      </c>
      <c r="I10549" t="s">
        <v>39827</v>
      </c>
      <c r="P10549" t="s">
        <v>330</v>
      </c>
      <c r="Y10549" t="s">
        <v>39828</v>
      </c>
    </row>
    <row r="10550" spans="1:25" x14ac:dyDescent="0.25">
      <c r="A10550" t="str">
        <f>"138358335896"</f>
        <v>138358335896</v>
      </c>
      <c r="B10550" t="s">
        <v>188</v>
      </c>
      <c r="C10550" t="s">
        <v>24568</v>
      </c>
      <c r="D10550" t="s">
        <v>24568</v>
      </c>
      <c r="E10550">
        <v>424006</v>
      </c>
      <c r="F10550" t="s">
        <v>1</v>
      </c>
      <c r="G10550" t="s">
        <v>2</v>
      </c>
      <c r="H10550" t="s">
        <v>13109</v>
      </c>
      <c r="Y10550" t="s">
        <v>39829</v>
      </c>
    </row>
    <row r="10551" spans="1:25" x14ac:dyDescent="0.25">
      <c r="A10551" t="str">
        <f>"138366074285"</f>
        <v>138366074285</v>
      </c>
      <c r="B10551" t="s">
        <v>574</v>
      </c>
      <c r="C10551" t="s">
        <v>23462</v>
      </c>
      <c r="D10551" t="s">
        <v>27898</v>
      </c>
      <c r="E10551">
        <v>424032</v>
      </c>
      <c r="F10551" t="s">
        <v>1</v>
      </c>
      <c r="G10551" t="s">
        <v>2</v>
      </c>
      <c r="H10551" t="s">
        <v>2250</v>
      </c>
      <c r="P10551" t="s">
        <v>410</v>
      </c>
      <c r="Y10551" t="s">
        <v>39830</v>
      </c>
    </row>
    <row r="10552" spans="1:25" x14ac:dyDescent="0.25">
      <c r="A10552" t="str">
        <f>"138371470770"</f>
        <v>138371470770</v>
      </c>
      <c r="B10552" t="s">
        <v>290</v>
      </c>
      <c r="C10552" t="s">
        <v>39833</v>
      </c>
      <c r="D10552" t="s">
        <v>39831</v>
      </c>
      <c r="E10552">
        <v>424030</v>
      </c>
      <c r="F10552" t="s">
        <v>1</v>
      </c>
      <c r="G10552" t="s">
        <v>2</v>
      </c>
      <c r="H10552" t="s">
        <v>10261</v>
      </c>
      <c r="I10552" t="s">
        <v>39832</v>
      </c>
      <c r="P10552" t="s">
        <v>39834</v>
      </c>
      <c r="Y10552" t="s">
        <v>39835</v>
      </c>
    </row>
    <row r="10553" spans="1:25" x14ac:dyDescent="0.25">
      <c r="A10553" t="str">
        <f>"138408790103"</f>
        <v>138408790103</v>
      </c>
      <c r="B10553" t="s">
        <v>1343</v>
      </c>
      <c r="C10553" t="s">
        <v>1344</v>
      </c>
      <c r="D10553" t="s">
        <v>39836</v>
      </c>
      <c r="E10553">
        <v>424016</v>
      </c>
      <c r="F10553" t="s">
        <v>1</v>
      </c>
      <c r="G10553" t="s">
        <v>2</v>
      </c>
      <c r="H10553" t="s">
        <v>16436</v>
      </c>
      <c r="J10553" t="s">
        <v>39837</v>
      </c>
      <c r="P10553" t="s">
        <v>39838</v>
      </c>
      <c r="Q10553" t="s">
        <v>39839</v>
      </c>
      <c r="Y10553" t="s">
        <v>39840</v>
      </c>
    </row>
    <row r="10554" spans="1:25" x14ac:dyDescent="0.25">
      <c r="A10554" t="str">
        <f>"138424377993"</f>
        <v>138424377993</v>
      </c>
      <c r="B10554" t="s">
        <v>530</v>
      </c>
      <c r="C10554" t="s">
        <v>23950</v>
      </c>
      <c r="D10554" t="s">
        <v>23950</v>
      </c>
      <c r="F10554" t="s">
        <v>1</v>
      </c>
      <c r="G10554" t="s">
        <v>2</v>
      </c>
      <c r="H10554" t="s">
        <v>39841</v>
      </c>
      <c r="Y10554" t="s">
        <v>39842</v>
      </c>
    </row>
    <row r="10555" spans="1:25" x14ac:dyDescent="0.25">
      <c r="A10555" t="str">
        <f>"138446692196"</f>
        <v>138446692196</v>
      </c>
      <c r="B10555" t="s">
        <v>96</v>
      </c>
      <c r="C10555" t="s">
        <v>893</v>
      </c>
      <c r="D10555" t="s">
        <v>28838</v>
      </c>
      <c r="E10555">
        <v>424000</v>
      </c>
      <c r="F10555" t="s">
        <v>1</v>
      </c>
      <c r="G10555" t="s">
        <v>2</v>
      </c>
      <c r="H10555" t="s">
        <v>1531</v>
      </c>
      <c r="Y10555" t="s">
        <v>39843</v>
      </c>
    </row>
    <row r="10556" spans="1:25" x14ac:dyDescent="0.25">
      <c r="A10556" t="str">
        <f>"138459074985"</f>
        <v>138459074985</v>
      </c>
      <c r="B10556" t="s">
        <v>96</v>
      </c>
      <c r="C10556" t="s">
        <v>893</v>
      </c>
      <c r="D10556" t="s">
        <v>39844</v>
      </c>
      <c r="E10556">
        <v>424002</v>
      </c>
      <c r="F10556" t="s">
        <v>1</v>
      </c>
      <c r="G10556" t="s">
        <v>2</v>
      </c>
      <c r="H10556" t="s">
        <v>915</v>
      </c>
      <c r="Y10556" t="s">
        <v>39845</v>
      </c>
    </row>
    <row r="10557" spans="1:25" x14ac:dyDescent="0.25">
      <c r="A10557" t="str">
        <f>"138462307938"</f>
        <v>138462307938</v>
      </c>
      <c r="B10557" t="s">
        <v>25</v>
      </c>
      <c r="C10557" t="s">
        <v>20320</v>
      </c>
      <c r="D10557" t="s">
        <v>39846</v>
      </c>
      <c r="E10557">
        <v>424004</v>
      </c>
      <c r="F10557" t="s">
        <v>1</v>
      </c>
      <c r="G10557" t="s">
        <v>2</v>
      </c>
      <c r="H10557" t="s">
        <v>19118</v>
      </c>
      <c r="Y10557" t="s">
        <v>39847</v>
      </c>
    </row>
    <row r="10558" spans="1:25" x14ac:dyDescent="0.25">
      <c r="A10558" t="str">
        <f>"138530136072"</f>
        <v>138530136072</v>
      </c>
      <c r="B10558" t="s">
        <v>624</v>
      </c>
      <c r="C10558" t="s">
        <v>1637</v>
      </c>
      <c r="D10558" t="s">
        <v>39848</v>
      </c>
      <c r="E10558">
        <v>424016</v>
      </c>
      <c r="F10558" t="s">
        <v>1</v>
      </c>
      <c r="G10558" t="s">
        <v>2</v>
      </c>
      <c r="H10558" t="s">
        <v>11290</v>
      </c>
      <c r="I10558" t="s">
        <v>39849</v>
      </c>
      <c r="M10558" t="s">
        <v>39850</v>
      </c>
      <c r="P10558" t="s">
        <v>280</v>
      </c>
      <c r="Y10558" t="s">
        <v>31266</v>
      </c>
    </row>
    <row r="10559" spans="1:25" x14ac:dyDescent="0.25">
      <c r="A10559" t="str">
        <f>"138534879078"</f>
        <v>138534879078</v>
      </c>
      <c r="B10559" t="s">
        <v>5573</v>
      </c>
      <c r="C10559" t="s">
        <v>21453</v>
      </c>
      <c r="D10559" t="s">
        <v>39851</v>
      </c>
      <c r="E10559">
        <v>424918</v>
      </c>
      <c r="F10559" t="s">
        <v>1</v>
      </c>
      <c r="G10559" t="s">
        <v>2</v>
      </c>
      <c r="H10559" t="s">
        <v>629</v>
      </c>
      <c r="J10559" t="s">
        <v>39852</v>
      </c>
      <c r="P10559" t="s">
        <v>630</v>
      </c>
      <c r="Q10559" t="s">
        <v>39853</v>
      </c>
      <c r="Y10559" t="s">
        <v>1744</v>
      </c>
    </row>
    <row r="10560" spans="1:25" x14ac:dyDescent="0.25">
      <c r="A10560" t="str">
        <f>"138564798882"</f>
        <v>138564798882</v>
      </c>
      <c r="B10560" t="s">
        <v>188</v>
      </c>
      <c r="C10560" t="s">
        <v>24568</v>
      </c>
      <c r="D10560" t="s">
        <v>24568</v>
      </c>
      <c r="E10560">
        <v>424006</v>
      </c>
      <c r="F10560" t="s">
        <v>1</v>
      </c>
      <c r="G10560" t="s">
        <v>2</v>
      </c>
      <c r="H10560" t="s">
        <v>32137</v>
      </c>
      <c r="Y10560" t="s">
        <v>39854</v>
      </c>
    </row>
    <row r="10561" spans="1:25" x14ac:dyDescent="0.25">
      <c r="A10561" t="str">
        <f>"138603057934"</f>
        <v>138603057934</v>
      </c>
      <c r="B10561" t="s">
        <v>1053</v>
      </c>
      <c r="C10561" t="s">
        <v>14298</v>
      </c>
      <c r="D10561" t="s">
        <v>8759</v>
      </c>
      <c r="E10561">
        <v>424000</v>
      </c>
      <c r="F10561" t="s">
        <v>1</v>
      </c>
      <c r="G10561" t="s">
        <v>2</v>
      </c>
      <c r="H10561" t="s">
        <v>24175</v>
      </c>
      <c r="Y10561" t="s">
        <v>39855</v>
      </c>
    </row>
    <row r="10562" spans="1:25" x14ac:dyDescent="0.25">
      <c r="A10562" t="str">
        <f>"138611557442"</f>
        <v>138611557442</v>
      </c>
      <c r="B10562" t="s">
        <v>2062</v>
      </c>
      <c r="C10562" t="s">
        <v>2063</v>
      </c>
      <c r="D10562" t="s">
        <v>39856</v>
      </c>
      <c r="E10562">
        <v>424006</v>
      </c>
      <c r="F10562" t="s">
        <v>1</v>
      </c>
      <c r="G10562" t="s">
        <v>2</v>
      </c>
      <c r="H10562" t="s">
        <v>39857</v>
      </c>
      <c r="I10562" t="s">
        <v>39858</v>
      </c>
      <c r="J10562" t="s">
        <v>39859</v>
      </c>
      <c r="L10562" t="s">
        <v>39860</v>
      </c>
      <c r="P10562" t="s">
        <v>39861</v>
      </c>
      <c r="Q10562" t="s">
        <v>39862</v>
      </c>
      <c r="Y10562" t="s">
        <v>39863</v>
      </c>
    </row>
    <row r="10563" spans="1:25" x14ac:dyDescent="0.25">
      <c r="A10563" t="str">
        <f>"138623620034"</f>
        <v>138623620034</v>
      </c>
      <c r="B10563" t="s">
        <v>160</v>
      </c>
      <c r="C10563" t="s">
        <v>9976</v>
      </c>
      <c r="D10563" t="s">
        <v>39864</v>
      </c>
      <c r="E10563">
        <v>424037</v>
      </c>
      <c r="F10563" t="s">
        <v>1</v>
      </c>
      <c r="G10563" t="s">
        <v>2</v>
      </c>
      <c r="H10563" t="s">
        <v>10936</v>
      </c>
      <c r="J10563" t="s">
        <v>39865</v>
      </c>
      <c r="P10563" t="s">
        <v>39866</v>
      </c>
      <c r="Y10563" t="s">
        <v>13639</v>
      </c>
    </row>
    <row r="10564" spans="1:25" x14ac:dyDescent="0.25">
      <c r="A10564" t="str">
        <f>"138652345740"</f>
        <v>138652345740</v>
      </c>
      <c r="B10564" t="s">
        <v>930</v>
      </c>
      <c r="C10564" t="s">
        <v>2985</v>
      </c>
      <c r="D10564" t="s">
        <v>39867</v>
      </c>
      <c r="E10564">
        <v>424028</v>
      </c>
      <c r="F10564" t="s">
        <v>1</v>
      </c>
      <c r="G10564" t="s">
        <v>2</v>
      </c>
      <c r="H10564" t="s">
        <v>10741</v>
      </c>
      <c r="I10564" t="s">
        <v>20663</v>
      </c>
      <c r="J10564" t="s">
        <v>39868</v>
      </c>
      <c r="P10564" t="s">
        <v>133</v>
      </c>
      <c r="Y10564" t="s">
        <v>10746</v>
      </c>
    </row>
    <row r="10565" spans="1:25" x14ac:dyDescent="0.25">
      <c r="A10565" t="str">
        <f>"138655634595"</f>
        <v>138655634595</v>
      </c>
      <c r="B10565" t="s">
        <v>574</v>
      </c>
      <c r="C10565" t="s">
        <v>8884</v>
      </c>
      <c r="D10565" t="s">
        <v>39869</v>
      </c>
      <c r="E10565">
        <v>424020</v>
      </c>
      <c r="F10565" t="s">
        <v>1</v>
      </c>
      <c r="G10565" t="s">
        <v>2</v>
      </c>
      <c r="H10565" t="s">
        <v>39870</v>
      </c>
      <c r="Y10565" t="s">
        <v>32672</v>
      </c>
    </row>
    <row r="10566" spans="1:25" x14ac:dyDescent="0.25">
      <c r="A10566" t="str">
        <f>"138691014090"</f>
        <v>138691014090</v>
      </c>
      <c r="B10566" t="s">
        <v>352</v>
      </c>
      <c r="C10566" t="s">
        <v>353</v>
      </c>
      <c r="D10566" t="s">
        <v>39871</v>
      </c>
      <c r="E10566">
        <v>424039</v>
      </c>
      <c r="F10566" t="s">
        <v>1</v>
      </c>
      <c r="G10566" t="s">
        <v>2</v>
      </c>
      <c r="H10566" t="s">
        <v>3516</v>
      </c>
      <c r="Y10566" t="s">
        <v>39872</v>
      </c>
    </row>
    <row r="10567" spans="1:25" x14ac:dyDescent="0.25">
      <c r="A10567" t="str">
        <f>"138722204505"</f>
        <v>138722204505</v>
      </c>
      <c r="B10567" t="s">
        <v>1152</v>
      </c>
      <c r="C10567" t="s">
        <v>16949</v>
      </c>
      <c r="D10567" t="s">
        <v>16946</v>
      </c>
      <c r="E10567">
        <v>424037</v>
      </c>
      <c r="F10567" t="s">
        <v>1</v>
      </c>
      <c r="G10567" t="s">
        <v>2</v>
      </c>
      <c r="H10567" t="s">
        <v>37762</v>
      </c>
      <c r="I10567" t="s">
        <v>16947</v>
      </c>
      <c r="P10567" t="s">
        <v>2406</v>
      </c>
      <c r="Y10567" t="s">
        <v>39873</v>
      </c>
    </row>
    <row r="10568" spans="1:25" x14ac:dyDescent="0.25">
      <c r="A10568" t="str">
        <f>"138723099867"</f>
        <v>138723099867</v>
      </c>
      <c r="B10568" t="s">
        <v>117</v>
      </c>
      <c r="C10568" t="s">
        <v>39876</v>
      </c>
      <c r="D10568" t="s">
        <v>39874</v>
      </c>
      <c r="E10568">
        <v>424003</v>
      </c>
      <c r="F10568" t="s">
        <v>1</v>
      </c>
      <c r="G10568" t="s">
        <v>2</v>
      </c>
      <c r="H10568" t="s">
        <v>562</v>
      </c>
      <c r="J10568" t="s">
        <v>39875</v>
      </c>
      <c r="P10568" t="s">
        <v>799</v>
      </c>
      <c r="Y10568" t="s">
        <v>39877</v>
      </c>
    </row>
    <row r="10569" spans="1:25" x14ac:dyDescent="0.25">
      <c r="A10569" t="str">
        <f>"138725123923"</f>
        <v>138725123923</v>
      </c>
      <c r="B10569" t="s">
        <v>1182</v>
      </c>
      <c r="C10569" t="s">
        <v>29478</v>
      </c>
      <c r="D10569" t="s">
        <v>39878</v>
      </c>
      <c r="E10569">
        <v>424006</v>
      </c>
      <c r="F10569" t="s">
        <v>1</v>
      </c>
      <c r="G10569" t="s">
        <v>2</v>
      </c>
      <c r="H10569" t="s">
        <v>1890</v>
      </c>
      <c r="I10569" t="s">
        <v>39879</v>
      </c>
      <c r="P10569" t="s">
        <v>2438</v>
      </c>
      <c r="Y10569" t="s">
        <v>39880</v>
      </c>
    </row>
    <row r="10570" spans="1:25" x14ac:dyDescent="0.25">
      <c r="A10570" t="str">
        <f>"138738458640"</f>
        <v>138738458640</v>
      </c>
      <c r="B10570" t="s">
        <v>2104</v>
      </c>
      <c r="C10570" t="s">
        <v>13387</v>
      </c>
      <c r="D10570" t="s">
        <v>39881</v>
      </c>
      <c r="E10570">
        <v>424038</v>
      </c>
      <c r="F10570" t="s">
        <v>1</v>
      </c>
      <c r="G10570" t="s">
        <v>2</v>
      </c>
      <c r="H10570" t="s">
        <v>11130</v>
      </c>
      <c r="I10570" t="s">
        <v>23523</v>
      </c>
      <c r="L10570" t="s">
        <v>13385</v>
      </c>
      <c r="P10570" t="s">
        <v>60</v>
      </c>
      <c r="Y10570" t="s">
        <v>13698</v>
      </c>
    </row>
    <row r="10571" spans="1:25" x14ac:dyDescent="0.25">
      <c r="A10571" t="str">
        <f>"138767938713"</f>
        <v>138767938713</v>
      </c>
      <c r="B10571" t="s">
        <v>160</v>
      </c>
      <c r="C10571" t="s">
        <v>39885</v>
      </c>
      <c r="D10571" t="s">
        <v>39882</v>
      </c>
      <c r="F10571" t="s">
        <v>1</v>
      </c>
      <c r="G10571" t="s">
        <v>2</v>
      </c>
      <c r="H10571" t="s">
        <v>2745</v>
      </c>
      <c r="I10571" t="s">
        <v>39883</v>
      </c>
      <c r="M10571" t="s">
        <v>39884</v>
      </c>
      <c r="P10571" t="s">
        <v>20</v>
      </c>
      <c r="Y10571" t="s">
        <v>2751</v>
      </c>
    </row>
    <row r="10572" spans="1:25" x14ac:dyDescent="0.25">
      <c r="A10572" t="str">
        <f>"138780530792"</f>
        <v>138780530792</v>
      </c>
      <c r="B10572" t="s">
        <v>123</v>
      </c>
      <c r="C10572" t="s">
        <v>424</v>
      </c>
      <c r="D10572" t="s">
        <v>39886</v>
      </c>
      <c r="E10572">
        <v>424037</v>
      </c>
      <c r="F10572" t="s">
        <v>1</v>
      </c>
      <c r="G10572" t="s">
        <v>2</v>
      </c>
      <c r="H10572" t="s">
        <v>39887</v>
      </c>
      <c r="I10572" t="s">
        <v>39888</v>
      </c>
      <c r="P10572" t="s">
        <v>39889</v>
      </c>
      <c r="Y10572" t="s">
        <v>39890</v>
      </c>
    </row>
    <row r="10573" spans="1:25" x14ac:dyDescent="0.25">
      <c r="A10573" t="str">
        <f>"138794687617"</f>
        <v>138794687617</v>
      </c>
      <c r="B10573" t="s">
        <v>530</v>
      </c>
      <c r="C10573" t="s">
        <v>23950</v>
      </c>
      <c r="D10573" t="s">
        <v>23950</v>
      </c>
      <c r="F10573" t="s">
        <v>1</v>
      </c>
      <c r="G10573" t="s">
        <v>2</v>
      </c>
      <c r="H10573" t="s">
        <v>31715</v>
      </c>
      <c r="Y10573" t="s">
        <v>39891</v>
      </c>
    </row>
    <row r="10574" spans="1:25" x14ac:dyDescent="0.25">
      <c r="A10574" t="str">
        <f>"138835641569"</f>
        <v>138835641569</v>
      </c>
      <c r="B10574" t="s">
        <v>447</v>
      </c>
      <c r="C10574" t="s">
        <v>39894</v>
      </c>
      <c r="D10574" t="s">
        <v>39892</v>
      </c>
      <c r="E10574">
        <v>424040</v>
      </c>
      <c r="F10574" t="s">
        <v>1</v>
      </c>
      <c r="G10574" t="s">
        <v>2</v>
      </c>
      <c r="H10574" t="s">
        <v>39893</v>
      </c>
      <c r="Y10574" t="s">
        <v>39895</v>
      </c>
    </row>
    <row r="10575" spans="1:25" x14ac:dyDescent="0.25">
      <c r="A10575" t="str">
        <f>"138876631720"</f>
        <v>138876631720</v>
      </c>
      <c r="B10575" t="s">
        <v>1046</v>
      </c>
      <c r="C10575" t="s">
        <v>22946</v>
      </c>
      <c r="D10575" t="s">
        <v>22946</v>
      </c>
      <c r="E10575">
        <v>424005</v>
      </c>
      <c r="F10575" t="s">
        <v>1</v>
      </c>
      <c r="G10575" t="s">
        <v>2</v>
      </c>
      <c r="H10575" t="s">
        <v>39896</v>
      </c>
      <c r="Y10575" t="s">
        <v>39897</v>
      </c>
    </row>
    <row r="10576" spans="1:25" x14ac:dyDescent="0.25">
      <c r="A10576" t="str">
        <f>"138889483654"</f>
        <v>138889483654</v>
      </c>
      <c r="B10576" t="s">
        <v>25</v>
      </c>
      <c r="C10576" t="s">
        <v>20320</v>
      </c>
      <c r="D10576" t="s">
        <v>39898</v>
      </c>
      <c r="E10576">
        <v>424036</v>
      </c>
      <c r="F10576" t="s">
        <v>1</v>
      </c>
      <c r="G10576" t="s">
        <v>2</v>
      </c>
      <c r="H10576" t="s">
        <v>19703</v>
      </c>
      <c r="Y10576" t="s">
        <v>39899</v>
      </c>
    </row>
    <row r="10577" spans="1:25" x14ac:dyDescent="0.25">
      <c r="A10577" t="str">
        <f>"138891356463"</f>
        <v>138891356463</v>
      </c>
      <c r="B10577" t="s">
        <v>32</v>
      </c>
      <c r="C10577" t="s">
        <v>182</v>
      </c>
      <c r="D10577" t="s">
        <v>39900</v>
      </c>
      <c r="E10577">
        <v>424031</v>
      </c>
      <c r="F10577" t="s">
        <v>1</v>
      </c>
      <c r="G10577" t="s">
        <v>2</v>
      </c>
      <c r="H10577" t="s">
        <v>239</v>
      </c>
      <c r="I10577" t="s">
        <v>39901</v>
      </c>
      <c r="J10577" t="s">
        <v>39902</v>
      </c>
      <c r="P10577" t="s">
        <v>39903</v>
      </c>
      <c r="Y10577" t="s">
        <v>246</v>
      </c>
    </row>
    <row r="10578" spans="1:25" x14ac:dyDescent="0.25">
      <c r="A10578" t="str">
        <f>"138922324584"</f>
        <v>138922324584</v>
      </c>
      <c r="B10578" t="s">
        <v>151</v>
      </c>
      <c r="C10578" t="s">
        <v>151</v>
      </c>
      <c r="D10578" t="s">
        <v>39904</v>
      </c>
      <c r="E10578">
        <v>424036</v>
      </c>
      <c r="F10578" t="s">
        <v>1</v>
      </c>
      <c r="G10578" t="s">
        <v>2</v>
      </c>
      <c r="H10578" t="s">
        <v>8222</v>
      </c>
      <c r="I10578" t="s">
        <v>22898</v>
      </c>
      <c r="J10578" t="s">
        <v>22899</v>
      </c>
      <c r="L10578" t="s">
        <v>39905</v>
      </c>
      <c r="P10578" t="s">
        <v>216</v>
      </c>
      <c r="Y10578" t="s">
        <v>12963</v>
      </c>
    </row>
    <row r="10579" spans="1:25" x14ac:dyDescent="0.25">
      <c r="A10579" t="str">
        <f>"138961016634"</f>
        <v>138961016634</v>
      </c>
      <c r="B10579" t="s">
        <v>88</v>
      </c>
      <c r="C10579" t="s">
        <v>8056</v>
      </c>
      <c r="D10579" t="s">
        <v>23167</v>
      </c>
      <c r="E10579">
        <v>424005</v>
      </c>
      <c r="F10579" t="s">
        <v>1</v>
      </c>
      <c r="G10579" t="s">
        <v>2</v>
      </c>
      <c r="H10579" t="s">
        <v>7480</v>
      </c>
      <c r="Y10579" t="s">
        <v>39906</v>
      </c>
    </row>
    <row r="10580" spans="1:25" x14ac:dyDescent="0.25">
      <c r="A10580" t="str">
        <f>"138987681957"</f>
        <v>138987681957</v>
      </c>
      <c r="B10580" t="s">
        <v>110</v>
      </c>
      <c r="C10580" t="s">
        <v>39908</v>
      </c>
      <c r="D10580" t="s">
        <v>7623</v>
      </c>
      <c r="E10580">
        <v>424037</v>
      </c>
      <c r="F10580" t="s">
        <v>1</v>
      </c>
      <c r="G10580" t="s">
        <v>2</v>
      </c>
      <c r="H10580" t="s">
        <v>2680</v>
      </c>
      <c r="I10580" t="s">
        <v>39907</v>
      </c>
      <c r="P10580" t="s">
        <v>39909</v>
      </c>
      <c r="Y10580" t="s">
        <v>39910</v>
      </c>
    </row>
    <row r="10581" spans="1:25" x14ac:dyDescent="0.25">
      <c r="A10581" t="str">
        <f>"139023231321"</f>
        <v>139023231321</v>
      </c>
      <c r="B10581" t="s">
        <v>456</v>
      </c>
      <c r="C10581" t="s">
        <v>7679</v>
      </c>
      <c r="D10581" t="s">
        <v>39911</v>
      </c>
      <c r="F10581" t="s">
        <v>1</v>
      </c>
      <c r="G10581" t="s">
        <v>2</v>
      </c>
      <c r="H10581" t="s">
        <v>7547</v>
      </c>
      <c r="J10581" t="s">
        <v>7677</v>
      </c>
      <c r="L10581" t="s">
        <v>39912</v>
      </c>
      <c r="M10581" t="s">
        <v>39913</v>
      </c>
      <c r="P10581" t="s">
        <v>799</v>
      </c>
      <c r="Y10581" t="s">
        <v>24833</v>
      </c>
    </row>
    <row r="10582" spans="1:25" x14ac:dyDescent="0.25">
      <c r="A10582" t="str">
        <f>"139049019044"</f>
        <v>139049019044</v>
      </c>
      <c r="B10582" t="s">
        <v>96</v>
      </c>
      <c r="C10582" t="s">
        <v>893</v>
      </c>
      <c r="D10582" t="s">
        <v>39914</v>
      </c>
      <c r="E10582">
        <v>424918</v>
      </c>
      <c r="F10582" t="s">
        <v>1</v>
      </c>
      <c r="G10582" t="s">
        <v>2</v>
      </c>
      <c r="H10582" t="s">
        <v>629</v>
      </c>
      <c r="P10582" t="s">
        <v>630</v>
      </c>
      <c r="Y10582" t="s">
        <v>39915</v>
      </c>
    </row>
    <row r="10583" spans="1:25" x14ac:dyDescent="0.25">
      <c r="A10583" t="str">
        <f>"139067038502"</f>
        <v>139067038502</v>
      </c>
      <c r="B10583" t="s">
        <v>1152</v>
      </c>
      <c r="C10583" t="s">
        <v>1153</v>
      </c>
      <c r="D10583" t="s">
        <v>10280</v>
      </c>
      <c r="E10583">
        <v>424019</v>
      </c>
      <c r="F10583" t="s">
        <v>1</v>
      </c>
      <c r="G10583" t="s">
        <v>2</v>
      </c>
      <c r="H10583" t="s">
        <v>39916</v>
      </c>
      <c r="I10583" t="s">
        <v>22092</v>
      </c>
      <c r="M10583" t="s">
        <v>10284</v>
      </c>
      <c r="Q10583" t="s">
        <v>10286</v>
      </c>
      <c r="R10583" t="s">
        <v>10287</v>
      </c>
      <c r="S10583" t="s">
        <v>10288</v>
      </c>
      <c r="T10583" t="s">
        <v>10289</v>
      </c>
      <c r="U10583" t="s">
        <v>10290</v>
      </c>
      <c r="V10583" t="s">
        <v>10291</v>
      </c>
      <c r="Y10583" t="s">
        <v>39917</v>
      </c>
    </row>
    <row r="10584" spans="1:25" x14ac:dyDescent="0.25">
      <c r="A10584" t="str">
        <f>"139132504725"</f>
        <v>139132504725</v>
      </c>
      <c r="B10584" t="s">
        <v>530</v>
      </c>
      <c r="C10584" t="s">
        <v>23950</v>
      </c>
      <c r="D10584" t="s">
        <v>23950</v>
      </c>
      <c r="F10584" t="s">
        <v>1</v>
      </c>
      <c r="G10584" t="s">
        <v>2</v>
      </c>
      <c r="H10584" t="s">
        <v>7547</v>
      </c>
      <c r="Y10584" t="s">
        <v>39918</v>
      </c>
    </row>
    <row r="10585" spans="1:25" x14ac:dyDescent="0.25">
      <c r="A10585" t="str">
        <f>"139149114378"</f>
        <v>139149114378</v>
      </c>
      <c r="B10585" t="s">
        <v>1352</v>
      </c>
      <c r="C10585" t="s">
        <v>1353</v>
      </c>
      <c r="D10585" t="s">
        <v>39919</v>
      </c>
      <c r="E10585">
        <v>424006</v>
      </c>
      <c r="F10585" t="s">
        <v>1</v>
      </c>
      <c r="G10585" t="s">
        <v>2</v>
      </c>
      <c r="H10585" t="s">
        <v>14598</v>
      </c>
      <c r="I10585" t="s">
        <v>39920</v>
      </c>
      <c r="L10585" t="s">
        <v>33332</v>
      </c>
      <c r="M10585" t="s">
        <v>39921</v>
      </c>
      <c r="P10585" t="s">
        <v>21607</v>
      </c>
      <c r="Y10585" t="s">
        <v>39922</v>
      </c>
    </row>
    <row r="10586" spans="1:25" x14ac:dyDescent="0.25">
      <c r="A10586" t="str">
        <f>"139210250830"</f>
        <v>139210250830</v>
      </c>
      <c r="B10586" t="s">
        <v>4084</v>
      </c>
      <c r="C10586" t="s">
        <v>28282</v>
      </c>
      <c r="D10586" t="s">
        <v>28461</v>
      </c>
      <c r="E10586">
        <v>424031</v>
      </c>
      <c r="F10586" t="s">
        <v>1</v>
      </c>
      <c r="G10586" t="s">
        <v>2</v>
      </c>
      <c r="H10586" t="s">
        <v>18356</v>
      </c>
      <c r="P10586" t="s">
        <v>39923</v>
      </c>
      <c r="Y10586" t="s">
        <v>39924</v>
      </c>
    </row>
    <row r="10587" spans="1:25" x14ac:dyDescent="0.25">
      <c r="A10587" t="str">
        <f>"139213254131"</f>
        <v>139213254131</v>
      </c>
      <c r="B10587" t="s">
        <v>1152</v>
      </c>
      <c r="C10587" t="s">
        <v>32250</v>
      </c>
      <c r="D10587" t="s">
        <v>27044</v>
      </c>
      <c r="E10587">
        <v>424033</v>
      </c>
      <c r="F10587" t="s">
        <v>1</v>
      </c>
      <c r="G10587" t="s">
        <v>2</v>
      </c>
      <c r="H10587" t="s">
        <v>2597</v>
      </c>
      <c r="Y10587" t="s">
        <v>2718</v>
      </c>
    </row>
    <row r="10588" spans="1:25" x14ac:dyDescent="0.25">
      <c r="A10588" t="str">
        <f>"139222739238"</f>
        <v>139222739238</v>
      </c>
      <c r="B10588" t="s">
        <v>151</v>
      </c>
      <c r="C10588" t="s">
        <v>3894</v>
      </c>
      <c r="D10588" t="s">
        <v>39925</v>
      </c>
      <c r="E10588">
        <v>424031</v>
      </c>
      <c r="F10588" t="s">
        <v>1</v>
      </c>
      <c r="G10588" t="s">
        <v>2</v>
      </c>
      <c r="H10588" t="s">
        <v>3962</v>
      </c>
      <c r="J10588" t="s">
        <v>39926</v>
      </c>
      <c r="L10588" t="s">
        <v>39927</v>
      </c>
      <c r="M10588" t="s">
        <v>39928</v>
      </c>
      <c r="P10588" t="s">
        <v>1731</v>
      </c>
      <c r="Y10588" t="s">
        <v>19108</v>
      </c>
    </row>
    <row r="10589" spans="1:25" x14ac:dyDescent="0.25">
      <c r="A10589" t="str">
        <f>"139233978933"</f>
        <v>139233978933</v>
      </c>
      <c r="B10589" t="s">
        <v>1729</v>
      </c>
      <c r="C10589" t="s">
        <v>2992</v>
      </c>
      <c r="D10589" t="s">
        <v>14363</v>
      </c>
      <c r="E10589">
        <v>424003</v>
      </c>
      <c r="F10589" t="s">
        <v>1</v>
      </c>
      <c r="G10589" t="s">
        <v>2</v>
      </c>
      <c r="H10589" t="s">
        <v>1042</v>
      </c>
      <c r="L10589" t="s">
        <v>10993</v>
      </c>
      <c r="Y10589" t="s">
        <v>39929</v>
      </c>
    </row>
    <row r="10590" spans="1:25" x14ac:dyDescent="0.25">
      <c r="A10590" t="str">
        <f>"139265970419"</f>
        <v>139265970419</v>
      </c>
      <c r="B10590" t="s">
        <v>790</v>
      </c>
      <c r="C10590" t="s">
        <v>4583</v>
      </c>
      <c r="D10590" t="s">
        <v>16115</v>
      </c>
      <c r="E10590">
        <v>424006</v>
      </c>
      <c r="F10590" t="s">
        <v>1</v>
      </c>
      <c r="G10590" t="s">
        <v>2</v>
      </c>
      <c r="H10590" t="s">
        <v>2557</v>
      </c>
      <c r="Y10590" t="s">
        <v>39930</v>
      </c>
    </row>
    <row r="10591" spans="1:25" x14ac:dyDescent="0.25">
      <c r="A10591" t="str">
        <f>"139295495663"</f>
        <v>139295495663</v>
      </c>
      <c r="B10591" t="s">
        <v>1053</v>
      </c>
      <c r="C10591" t="s">
        <v>5528</v>
      </c>
      <c r="D10591" t="s">
        <v>39931</v>
      </c>
      <c r="F10591" t="s">
        <v>1</v>
      </c>
      <c r="G10591" t="s">
        <v>2</v>
      </c>
      <c r="H10591" t="s">
        <v>12610</v>
      </c>
      <c r="Y10591" t="s">
        <v>26184</v>
      </c>
    </row>
    <row r="10592" spans="1:25" x14ac:dyDescent="0.25">
      <c r="A10592" t="str">
        <f>"139364367415"</f>
        <v>139364367415</v>
      </c>
      <c r="B10592" t="s">
        <v>430</v>
      </c>
      <c r="C10592" t="s">
        <v>431</v>
      </c>
      <c r="D10592" t="s">
        <v>39932</v>
      </c>
      <c r="F10592" t="s">
        <v>1</v>
      </c>
      <c r="G10592" t="s">
        <v>2</v>
      </c>
      <c r="H10592" t="s">
        <v>19499</v>
      </c>
      <c r="P10592" t="s">
        <v>144</v>
      </c>
      <c r="Y10592" t="s">
        <v>24185</v>
      </c>
    </row>
    <row r="10593" spans="1:25" x14ac:dyDescent="0.25">
      <c r="A10593" t="str">
        <f>"139382126181"</f>
        <v>139382126181</v>
      </c>
      <c r="B10593" t="s">
        <v>8011</v>
      </c>
      <c r="C10593" t="s">
        <v>24988</v>
      </c>
      <c r="D10593" t="s">
        <v>12536</v>
      </c>
      <c r="E10593">
        <v>424006</v>
      </c>
      <c r="F10593" t="s">
        <v>1</v>
      </c>
      <c r="G10593" t="s">
        <v>2</v>
      </c>
      <c r="H10593" t="s">
        <v>6487</v>
      </c>
      <c r="I10593" t="s">
        <v>39933</v>
      </c>
      <c r="L10593" t="s">
        <v>1925</v>
      </c>
      <c r="M10593" t="s">
        <v>25280</v>
      </c>
      <c r="P10593" t="s">
        <v>21891</v>
      </c>
      <c r="Y10593" t="s">
        <v>39934</v>
      </c>
    </row>
    <row r="10594" spans="1:25" x14ac:dyDescent="0.25">
      <c r="A10594" t="str">
        <f>"139397941935"</f>
        <v>139397941935</v>
      </c>
      <c r="B10594" t="s">
        <v>1343</v>
      </c>
      <c r="C10594" t="s">
        <v>28717</v>
      </c>
      <c r="D10594" t="s">
        <v>39935</v>
      </c>
      <c r="E10594">
        <v>424019</v>
      </c>
      <c r="F10594" t="s">
        <v>1</v>
      </c>
      <c r="G10594" t="s">
        <v>2</v>
      </c>
      <c r="H10594" t="s">
        <v>1467</v>
      </c>
      <c r="Y10594" t="s">
        <v>39936</v>
      </c>
    </row>
    <row r="10595" spans="1:25" x14ac:dyDescent="0.25">
      <c r="A10595" t="str">
        <f>"139406656827"</f>
        <v>139406656827</v>
      </c>
      <c r="B10595" t="s">
        <v>123</v>
      </c>
      <c r="C10595" t="s">
        <v>39941</v>
      </c>
      <c r="D10595" t="s">
        <v>39937</v>
      </c>
      <c r="E10595">
        <v>424002</v>
      </c>
      <c r="F10595" t="s">
        <v>1</v>
      </c>
      <c r="G10595" t="s">
        <v>2</v>
      </c>
      <c r="H10595" t="s">
        <v>7367</v>
      </c>
      <c r="I10595" t="s">
        <v>39938</v>
      </c>
      <c r="L10595" t="s">
        <v>39939</v>
      </c>
      <c r="M10595" t="s">
        <v>39940</v>
      </c>
      <c r="P10595" t="s">
        <v>39942</v>
      </c>
      <c r="Q10595" t="s">
        <v>39943</v>
      </c>
      <c r="V10595" t="s">
        <v>39944</v>
      </c>
      <c r="Y10595" t="s">
        <v>16306</v>
      </c>
    </row>
    <row r="10596" spans="1:25" x14ac:dyDescent="0.25">
      <c r="A10596" t="str">
        <f>"139540669983"</f>
        <v>139540669983</v>
      </c>
      <c r="B10596" t="s">
        <v>978</v>
      </c>
      <c r="C10596" t="s">
        <v>1659</v>
      </c>
      <c r="D10596" t="s">
        <v>39945</v>
      </c>
      <c r="E10596">
        <v>424007</v>
      </c>
      <c r="F10596" t="s">
        <v>1</v>
      </c>
      <c r="G10596" t="s">
        <v>2</v>
      </c>
      <c r="H10596" t="s">
        <v>25707</v>
      </c>
      <c r="I10596" t="s">
        <v>39946</v>
      </c>
      <c r="L10596" t="s">
        <v>39947</v>
      </c>
      <c r="P10596" t="s">
        <v>22086</v>
      </c>
      <c r="Q10596" t="s">
        <v>39948</v>
      </c>
      <c r="Y10596" t="s">
        <v>39949</v>
      </c>
    </row>
    <row r="10597" spans="1:25" x14ac:dyDescent="0.25">
      <c r="A10597" t="str">
        <f>"139595700065"</f>
        <v>139595700065</v>
      </c>
      <c r="B10597" t="s">
        <v>1046</v>
      </c>
      <c r="C10597" t="s">
        <v>22946</v>
      </c>
      <c r="D10597" t="s">
        <v>22946</v>
      </c>
      <c r="E10597">
        <v>424002</v>
      </c>
      <c r="F10597" t="s">
        <v>1</v>
      </c>
      <c r="G10597" t="s">
        <v>2</v>
      </c>
      <c r="H10597" t="s">
        <v>15717</v>
      </c>
      <c r="Y10597" t="s">
        <v>39950</v>
      </c>
    </row>
    <row r="10598" spans="1:25" x14ac:dyDescent="0.25">
      <c r="A10598" t="str">
        <f>"139640575701"</f>
        <v>139640575701</v>
      </c>
      <c r="B10598" t="s">
        <v>574</v>
      </c>
      <c r="C10598" t="s">
        <v>22533</v>
      </c>
      <c r="D10598" t="s">
        <v>3057</v>
      </c>
      <c r="E10598">
        <v>424038</v>
      </c>
      <c r="F10598" t="s">
        <v>1</v>
      </c>
      <c r="G10598" t="s">
        <v>2</v>
      </c>
      <c r="H10598" t="s">
        <v>6059</v>
      </c>
      <c r="P10598" t="s">
        <v>2457</v>
      </c>
      <c r="Y10598" t="s">
        <v>39951</v>
      </c>
    </row>
    <row r="10599" spans="1:25" x14ac:dyDescent="0.25">
      <c r="A10599" t="str">
        <f>"139660592156"</f>
        <v>139660592156</v>
      </c>
      <c r="B10599" t="s">
        <v>2601</v>
      </c>
      <c r="C10599" t="s">
        <v>27941</v>
      </c>
      <c r="D10599" t="s">
        <v>39952</v>
      </c>
      <c r="E10599">
        <v>424000</v>
      </c>
      <c r="F10599" t="s">
        <v>1</v>
      </c>
      <c r="G10599" t="s">
        <v>2</v>
      </c>
      <c r="H10599" t="s">
        <v>92</v>
      </c>
      <c r="I10599" t="s">
        <v>39953</v>
      </c>
      <c r="J10599" t="s">
        <v>39954</v>
      </c>
      <c r="Y10599" t="s">
        <v>28397</v>
      </c>
    </row>
    <row r="10600" spans="1:25" x14ac:dyDescent="0.25">
      <c r="A10600" t="str">
        <f>"139663503929"</f>
        <v>139663503929</v>
      </c>
      <c r="B10600" t="s">
        <v>25</v>
      </c>
      <c r="C10600" t="s">
        <v>39958</v>
      </c>
      <c r="D10600" t="s">
        <v>39955</v>
      </c>
      <c r="E10600">
        <v>424004</v>
      </c>
      <c r="F10600" t="s">
        <v>1</v>
      </c>
      <c r="G10600" t="s">
        <v>2</v>
      </c>
      <c r="H10600" t="s">
        <v>8326</v>
      </c>
      <c r="I10600" t="s">
        <v>39956</v>
      </c>
      <c r="M10600" t="s">
        <v>39957</v>
      </c>
      <c r="P10600" t="s">
        <v>280</v>
      </c>
      <c r="Q10600" t="s">
        <v>39959</v>
      </c>
      <c r="Y10600" t="s">
        <v>8331</v>
      </c>
    </row>
    <row r="10601" spans="1:25" x14ac:dyDescent="0.25">
      <c r="A10601" t="str">
        <f>"139711840627"</f>
        <v>139711840627</v>
      </c>
      <c r="B10601" t="s">
        <v>290</v>
      </c>
      <c r="C10601" t="s">
        <v>290</v>
      </c>
      <c r="D10601" t="s">
        <v>16189</v>
      </c>
      <c r="E10601">
        <v>424038</v>
      </c>
      <c r="F10601" t="s">
        <v>1</v>
      </c>
      <c r="G10601" t="s">
        <v>2</v>
      </c>
      <c r="H10601" t="s">
        <v>7597</v>
      </c>
      <c r="J10601" t="s">
        <v>39960</v>
      </c>
      <c r="L10601" t="s">
        <v>16191</v>
      </c>
      <c r="M10601" t="s">
        <v>39961</v>
      </c>
      <c r="P10601" t="s">
        <v>1642</v>
      </c>
      <c r="Y10601" t="s">
        <v>16150</v>
      </c>
    </row>
    <row r="10602" spans="1:25" x14ac:dyDescent="0.25">
      <c r="A10602" t="str">
        <f>"139723826385"</f>
        <v>139723826385</v>
      </c>
      <c r="B10602" t="s">
        <v>1475</v>
      </c>
      <c r="C10602" t="s">
        <v>21791</v>
      </c>
      <c r="D10602" t="s">
        <v>39962</v>
      </c>
      <c r="E10602">
        <v>424000</v>
      </c>
      <c r="F10602" t="s">
        <v>1</v>
      </c>
      <c r="G10602" t="s">
        <v>2</v>
      </c>
      <c r="H10602" t="s">
        <v>2671</v>
      </c>
      <c r="Y10602" t="s">
        <v>2674</v>
      </c>
    </row>
    <row r="10603" spans="1:25" x14ac:dyDescent="0.25">
      <c r="A10603" t="str">
        <f>"139828602416"</f>
        <v>139828602416</v>
      </c>
      <c r="B10603" t="s">
        <v>319</v>
      </c>
      <c r="C10603" t="s">
        <v>39966</v>
      </c>
      <c r="D10603" t="s">
        <v>39963</v>
      </c>
      <c r="E10603">
        <v>424000</v>
      </c>
      <c r="F10603" t="s">
        <v>1</v>
      </c>
      <c r="G10603" t="s">
        <v>2</v>
      </c>
      <c r="H10603" t="s">
        <v>1746</v>
      </c>
      <c r="J10603" t="s">
        <v>39964</v>
      </c>
      <c r="L10603" t="s">
        <v>39629</v>
      </c>
      <c r="M10603" t="s">
        <v>39965</v>
      </c>
      <c r="P10603" t="s">
        <v>39967</v>
      </c>
      <c r="Y10603" t="s">
        <v>14431</v>
      </c>
    </row>
    <row r="10604" spans="1:25" x14ac:dyDescent="0.25">
      <c r="A10604" t="str">
        <f>"139844573853"</f>
        <v>139844573853</v>
      </c>
      <c r="B10604" t="s">
        <v>123</v>
      </c>
      <c r="C10604" t="s">
        <v>196</v>
      </c>
      <c r="D10604" t="s">
        <v>23495</v>
      </c>
      <c r="E10604">
        <v>424000</v>
      </c>
      <c r="F10604" t="s">
        <v>1</v>
      </c>
      <c r="G10604" t="s">
        <v>2</v>
      </c>
      <c r="H10604" t="s">
        <v>211</v>
      </c>
      <c r="I10604" t="s">
        <v>4738</v>
      </c>
      <c r="P10604" t="s">
        <v>330</v>
      </c>
      <c r="Y10604" t="s">
        <v>4742</v>
      </c>
    </row>
    <row r="10605" spans="1:25" x14ac:dyDescent="0.25">
      <c r="A10605" t="str">
        <f>"139906347091"</f>
        <v>139906347091</v>
      </c>
      <c r="B10605" t="s">
        <v>574</v>
      </c>
      <c r="C10605" t="s">
        <v>14652</v>
      </c>
      <c r="D10605" t="s">
        <v>39968</v>
      </c>
      <c r="E10605">
        <v>424006</v>
      </c>
      <c r="F10605" t="s">
        <v>1</v>
      </c>
      <c r="G10605" t="s">
        <v>2</v>
      </c>
      <c r="H10605" t="s">
        <v>3330</v>
      </c>
      <c r="Y10605" t="s">
        <v>5376</v>
      </c>
    </row>
    <row r="10606" spans="1:25" x14ac:dyDescent="0.25">
      <c r="A10606" t="str">
        <f>"139909513036"</f>
        <v>139909513036</v>
      </c>
      <c r="B10606" t="s">
        <v>574</v>
      </c>
      <c r="C10606" t="s">
        <v>14269</v>
      </c>
      <c r="D10606" t="s">
        <v>39969</v>
      </c>
      <c r="E10606">
        <v>424028</v>
      </c>
      <c r="F10606" t="s">
        <v>1</v>
      </c>
      <c r="G10606" t="s">
        <v>2</v>
      </c>
      <c r="H10606" t="s">
        <v>3628</v>
      </c>
      <c r="Y10606" t="s">
        <v>39970</v>
      </c>
    </row>
    <row r="10607" spans="1:25" x14ac:dyDescent="0.25">
      <c r="A10607" t="str">
        <f>"139913747098"</f>
        <v>139913747098</v>
      </c>
      <c r="B10607" t="s">
        <v>519</v>
      </c>
      <c r="C10607" t="s">
        <v>22942</v>
      </c>
      <c r="D10607" t="s">
        <v>39971</v>
      </c>
      <c r="E10607">
        <v>424004</v>
      </c>
      <c r="F10607" t="s">
        <v>1</v>
      </c>
      <c r="G10607" t="s">
        <v>2</v>
      </c>
      <c r="H10607" t="s">
        <v>186</v>
      </c>
      <c r="J10607" t="s">
        <v>39972</v>
      </c>
      <c r="P10607" t="s">
        <v>10124</v>
      </c>
      <c r="Q10607" t="s">
        <v>39973</v>
      </c>
      <c r="V10607" t="s">
        <v>39974</v>
      </c>
      <c r="Y10607" t="s">
        <v>190</v>
      </c>
    </row>
    <row r="10608" spans="1:25" x14ac:dyDescent="0.25">
      <c r="A10608" t="str">
        <f>"139939515195"</f>
        <v>139939515195</v>
      </c>
      <c r="B10608" t="s">
        <v>32</v>
      </c>
      <c r="C10608" t="s">
        <v>777</v>
      </c>
      <c r="D10608" t="s">
        <v>39975</v>
      </c>
      <c r="E10608">
        <v>424007</v>
      </c>
      <c r="F10608" t="s">
        <v>1</v>
      </c>
      <c r="G10608" t="s">
        <v>2</v>
      </c>
      <c r="H10608" t="s">
        <v>6164</v>
      </c>
      <c r="I10608" t="s">
        <v>39976</v>
      </c>
      <c r="J10608" t="s">
        <v>39977</v>
      </c>
      <c r="P10608" t="s">
        <v>2050</v>
      </c>
      <c r="Y10608" t="s">
        <v>39978</v>
      </c>
    </row>
    <row r="10609" spans="1:25" x14ac:dyDescent="0.25">
      <c r="A10609" t="str">
        <f>"139972122454"</f>
        <v>139972122454</v>
      </c>
      <c r="B10609" t="s">
        <v>447</v>
      </c>
      <c r="C10609" t="s">
        <v>448</v>
      </c>
      <c r="D10609" t="s">
        <v>39979</v>
      </c>
      <c r="E10609">
        <v>424000</v>
      </c>
      <c r="F10609" t="s">
        <v>1</v>
      </c>
      <c r="G10609" t="s">
        <v>2</v>
      </c>
      <c r="H10609" t="s">
        <v>4427</v>
      </c>
      <c r="J10609" t="s">
        <v>39980</v>
      </c>
      <c r="L10609" t="s">
        <v>16089</v>
      </c>
      <c r="M10609" t="s">
        <v>39981</v>
      </c>
      <c r="Y10609" t="s">
        <v>4431</v>
      </c>
    </row>
    <row r="10610" spans="1:25" x14ac:dyDescent="0.25">
      <c r="A10610" t="str">
        <f>"139990609612"</f>
        <v>139990609612</v>
      </c>
      <c r="B10610" t="s">
        <v>1617</v>
      </c>
      <c r="C10610" t="s">
        <v>21001</v>
      </c>
      <c r="D10610" t="s">
        <v>24203</v>
      </c>
      <c r="E10610">
        <v>424006</v>
      </c>
      <c r="F10610" t="s">
        <v>1</v>
      </c>
      <c r="G10610" t="s">
        <v>2</v>
      </c>
      <c r="H10610" t="s">
        <v>39982</v>
      </c>
      <c r="Y10610" t="s">
        <v>7609</v>
      </c>
    </row>
    <row r="10611" spans="1:25" x14ac:dyDescent="0.25">
      <c r="A10611" t="str">
        <f>"140006146040"</f>
        <v>140006146040</v>
      </c>
      <c r="B10611" t="s">
        <v>574</v>
      </c>
      <c r="C10611" t="s">
        <v>952</v>
      </c>
      <c r="D10611" t="s">
        <v>3388</v>
      </c>
      <c r="E10611">
        <v>424003</v>
      </c>
      <c r="F10611" t="s">
        <v>1</v>
      </c>
      <c r="G10611" t="s">
        <v>2</v>
      </c>
      <c r="H10611" t="s">
        <v>7888</v>
      </c>
      <c r="P10611" t="s">
        <v>9840</v>
      </c>
      <c r="Y10611" t="s">
        <v>39983</v>
      </c>
    </row>
    <row r="10612" spans="1:25" x14ac:dyDescent="0.25">
      <c r="A10612" t="str">
        <f>"140024063207"</f>
        <v>140024063207</v>
      </c>
      <c r="B10612" t="s">
        <v>7</v>
      </c>
      <c r="C10612" t="s">
        <v>35581</v>
      </c>
      <c r="D10612" t="s">
        <v>39984</v>
      </c>
      <c r="E10612">
        <v>424003</v>
      </c>
      <c r="F10612" t="s">
        <v>1</v>
      </c>
      <c r="G10612" t="s">
        <v>2</v>
      </c>
      <c r="H10612" t="s">
        <v>25783</v>
      </c>
      <c r="I10612" t="s">
        <v>39985</v>
      </c>
      <c r="L10612" t="s">
        <v>39986</v>
      </c>
      <c r="M10612" t="s">
        <v>39987</v>
      </c>
      <c r="P10612" t="s">
        <v>458</v>
      </c>
      <c r="Q10612" t="s">
        <v>39988</v>
      </c>
      <c r="Y10612" t="s">
        <v>10521</v>
      </c>
    </row>
    <row r="10613" spans="1:25" x14ac:dyDescent="0.25">
      <c r="A10613" t="str">
        <f>"140058289940"</f>
        <v>140058289940</v>
      </c>
      <c r="B10613" t="s">
        <v>1053</v>
      </c>
      <c r="C10613" t="s">
        <v>14298</v>
      </c>
      <c r="D10613" t="s">
        <v>39989</v>
      </c>
      <c r="E10613">
        <v>424039</v>
      </c>
      <c r="F10613" t="s">
        <v>1</v>
      </c>
      <c r="G10613" t="s">
        <v>2</v>
      </c>
      <c r="H10613" t="s">
        <v>17375</v>
      </c>
      <c r="I10613" t="s">
        <v>39990</v>
      </c>
      <c r="J10613" t="s">
        <v>39991</v>
      </c>
      <c r="P10613" t="s">
        <v>280</v>
      </c>
      <c r="Y10613" t="s">
        <v>17381</v>
      </c>
    </row>
    <row r="10614" spans="1:25" x14ac:dyDescent="0.25">
      <c r="A10614" t="str">
        <f>"140086388128"</f>
        <v>140086388128</v>
      </c>
      <c r="B10614" t="s">
        <v>7312</v>
      </c>
      <c r="C10614" t="s">
        <v>19097</v>
      </c>
      <c r="D10614" t="s">
        <v>39992</v>
      </c>
      <c r="E10614">
        <v>424005</v>
      </c>
      <c r="F10614" t="s">
        <v>1</v>
      </c>
      <c r="G10614" t="s">
        <v>2</v>
      </c>
      <c r="H10614" t="s">
        <v>1298</v>
      </c>
      <c r="Y10614" t="s">
        <v>1301</v>
      </c>
    </row>
    <row r="10615" spans="1:25" x14ac:dyDescent="0.25">
      <c r="A10615" t="str">
        <f>"140206179093"</f>
        <v>140206179093</v>
      </c>
      <c r="B10615" t="s">
        <v>530</v>
      </c>
      <c r="C10615" t="s">
        <v>23950</v>
      </c>
      <c r="D10615" t="s">
        <v>23950</v>
      </c>
      <c r="E10615">
        <v>424006</v>
      </c>
      <c r="F10615" t="s">
        <v>1</v>
      </c>
      <c r="G10615" t="s">
        <v>2</v>
      </c>
      <c r="H10615" t="s">
        <v>13109</v>
      </c>
      <c r="Y10615" t="s">
        <v>39993</v>
      </c>
    </row>
    <row r="10616" spans="1:25" x14ac:dyDescent="0.25">
      <c r="A10616" t="str">
        <f>"140208802968"</f>
        <v>140208802968</v>
      </c>
      <c r="B10616" t="s">
        <v>1758</v>
      </c>
      <c r="C10616" t="s">
        <v>8089</v>
      </c>
      <c r="D10616" t="s">
        <v>8373</v>
      </c>
      <c r="E10616">
        <v>424038</v>
      </c>
      <c r="F10616" t="s">
        <v>1</v>
      </c>
      <c r="G10616" t="s">
        <v>2</v>
      </c>
      <c r="H10616" t="s">
        <v>1366</v>
      </c>
      <c r="Y10616" t="s">
        <v>39994</v>
      </c>
    </row>
    <row r="10617" spans="1:25" x14ac:dyDescent="0.25">
      <c r="A10617" t="str">
        <f>"140217402379"</f>
        <v>140217402379</v>
      </c>
      <c r="B10617" t="s">
        <v>123</v>
      </c>
      <c r="C10617" t="s">
        <v>10232</v>
      </c>
      <c r="D10617" t="s">
        <v>39995</v>
      </c>
      <c r="E10617">
        <v>424031</v>
      </c>
      <c r="F10617" t="s">
        <v>1</v>
      </c>
      <c r="G10617" t="s">
        <v>2</v>
      </c>
      <c r="H10617" t="s">
        <v>887</v>
      </c>
      <c r="J10617" t="s">
        <v>39996</v>
      </c>
      <c r="L10617" t="s">
        <v>39997</v>
      </c>
      <c r="M10617" t="s">
        <v>39998</v>
      </c>
      <c r="P10617" t="s">
        <v>39999</v>
      </c>
      <c r="Q10617" t="s">
        <v>40000</v>
      </c>
      <c r="Y10617" t="s">
        <v>40001</v>
      </c>
    </row>
    <row r="10618" spans="1:25" x14ac:dyDescent="0.25">
      <c r="A10618" t="str">
        <f>"140229035903"</f>
        <v>140229035903</v>
      </c>
      <c r="B10618" t="s">
        <v>348</v>
      </c>
      <c r="C10618" t="s">
        <v>21775</v>
      </c>
      <c r="D10618" t="s">
        <v>21345</v>
      </c>
      <c r="E10618">
        <v>424005</v>
      </c>
      <c r="F10618" t="s">
        <v>1</v>
      </c>
      <c r="G10618" t="s">
        <v>2</v>
      </c>
      <c r="H10618" t="s">
        <v>6843</v>
      </c>
      <c r="Y10618" t="s">
        <v>40002</v>
      </c>
    </row>
    <row r="10619" spans="1:25" x14ac:dyDescent="0.25">
      <c r="A10619" t="str">
        <f>"140313055744"</f>
        <v>140313055744</v>
      </c>
      <c r="B10619" t="s">
        <v>2062</v>
      </c>
      <c r="C10619" t="s">
        <v>3293</v>
      </c>
      <c r="D10619" t="s">
        <v>40003</v>
      </c>
      <c r="E10619">
        <v>424000</v>
      </c>
      <c r="F10619" t="s">
        <v>1</v>
      </c>
      <c r="G10619" t="s">
        <v>2</v>
      </c>
      <c r="H10619" t="s">
        <v>4648</v>
      </c>
      <c r="I10619" t="s">
        <v>40004</v>
      </c>
      <c r="L10619" t="s">
        <v>40005</v>
      </c>
      <c r="M10619" t="s">
        <v>40006</v>
      </c>
      <c r="P10619" t="s">
        <v>27</v>
      </c>
      <c r="Q10619" t="s">
        <v>40007</v>
      </c>
      <c r="T10619" t="s">
        <v>40008</v>
      </c>
      <c r="V10619" t="s">
        <v>40009</v>
      </c>
      <c r="Y10619" t="s">
        <v>4649</v>
      </c>
    </row>
    <row r="10620" spans="1:25" x14ac:dyDescent="0.25">
      <c r="A10620" t="str">
        <f>"140315622789"</f>
        <v>140315622789</v>
      </c>
      <c r="B10620" t="s">
        <v>530</v>
      </c>
      <c r="C10620" t="s">
        <v>23950</v>
      </c>
      <c r="D10620" t="s">
        <v>23950</v>
      </c>
      <c r="F10620" t="s">
        <v>1</v>
      </c>
      <c r="G10620" t="s">
        <v>2</v>
      </c>
      <c r="H10620" t="s">
        <v>31690</v>
      </c>
      <c r="Y10620" t="s">
        <v>40010</v>
      </c>
    </row>
    <row r="10621" spans="1:25" x14ac:dyDescent="0.25">
      <c r="A10621" t="str">
        <f>"140321615736"</f>
        <v>140321615736</v>
      </c>
      <c r="B10621" t="s">
        <v>160</v>
      </c>
      <c r="C10621" t="s">
        <v>2479</v>
      </c>
      <c r="D10621" t="s">
        <v>40011</v>
      </c>
      <c r="F10621" t="s">
        <v>1</v>
      </c>
      <c r="G10621" t="s">
        <v>2</v>
      </c>
      <c r="H10621" t="s">
        <v>7547</v>
      </c>
      <c r="Y10621" t="s">
        <v>40012</v>
      </c>
    </row>
    <row r="10622" spans="1:25" x14ac:dyDescent="0.25">
      <c r="A10622" t="str">
        <f>"140345406475"</f>
        <v>140345406475</v>
      </c>
      <c r="B10622" t="s">
        <v>574</v>
      </c>
      <c r="C10622" t="s">
        <v>40014</v>
      </c>
      <c r="D10622" t="s">
        <v>40013</v>
      </c>
      <c r="E10622">
        <v>424033</v>
      </c>
      <c r="F10622" t="s">
        <v>1</v>
      </c>
      <c r="G10622" t="s">
        <v>2</v>
      </c>
      <c r="H10622" t="s">
        <v>6875</v>
      </c>
      <c r="Y10622" t="s">
        <v>6881</v>
      </c>
    </row>
    <row r="10623" spans="1:25" x14ac:dyDescent="0.25">
      <c r="A10623" t="str">
        <f>"140347199041"</f>
        <v>140347199041</v>
      </c>
      <c r="B10623" t="s">
        <v>1611</v>
      </c>
      <c r="C10623" t="s">
        <v>4172</v>
      </c>
      <c r="D10623" t="s">
        <v>11063</v>
      </c>
      <c r="E10623">
        <v>424039</v>
      </c>
      <c r="F10623" t="s">
        <v>1</v>
      </c>
      <c r="G10623" t="s">
        <v>2</v>
      </c>
      <c r="H10623" t="s">
        <v>24327</v>
      </c>
      <c r="I10623" t="s">
        <v>40015</v>
      </c>
      <c r="L10623" t="s">
        <v>11067</v>
      </c>
      <c r="M10623" t="s">
        <v>11068</v>
      </c>
      <c r="P10623" t="s">
        <v>390</v>
      </c>
      <c r="Y10623" t="s">
        <v>40016</v>
      </c>
    </row>
    <row r="10624" spans="1:25" x14ac:dyDescent="0.25">
      <c r="A10624" t="str">
        <f>"140394818021"</f>
        <v>140394818021</v>
      </c>
      <c r="B10624" t="s">
        <v>1152</v>
      </c>
      <c r="C10624" t="s">
        <v>40020</v>
      </c>
      <c r="D10624" t="s">
        <v>40017</v>
      </c>
      <c r="E10624">
        <v>424006</v>
      </c>
      <c r="F10624" t="s">
        <v>1</v>
      </c>
      <c r="G10624" t="s">
        <v>2</v>
      </c>
      <c r="H10624" t="s">
        <v>751</v>
      </c>
      <c r="I10624" t="s">
        <v>40018</v>
      </c>
      <c r="L10624" t="s">
        <v>40019</v>
      </c>
      <c r="P10624" t="s">
        <v>330</v>
      </c>
      <c r="Q10624" t="s">
        <v>40021</v>
      </c>
      <c r="Y10624" t="s">
        <v>19912</v>
      </c>
    </row>
    <row r="10625" spans="1:25" x14ac:dyDescent="0.25">
      <c r="A10625" t="str">
        <f>"140404199150"</f>
        <v>140404199150</v>
      </c>
      <c r="B10625" t="s">
        <v>930</v>
      </c>
      <c r="C10625" t="s">
        <v>927</v>
      </c>
      <c r="D10625" t="s">
        <v>38757</v>
      </c>
      <c r="E10625">
        <v>424032</v>
      </c>
      <c r="F10625" t="s">
        <v>1</v>
      </c>
      <c r="G10625" t="s">
        <v>2</v>
      </c>
      <c r="H10625" t="s">
        <v>5699</v>
      </c>
      <c r="I10625" t="s">
        <v>40022</v>
      </c>
      <c r="P10625" t="s">
        <v>27</v>
      </c>
      <c r="Y10625" t="s">
        <v>5709</v>
      </c>
    </row>
    <row r="10626" spans="1:25" x14ac:dyDescent="0.25">
      <c r="A10626" t="str">
        <f>"140426057287"</f>
        <v>140426057287</v>
      </c>
      <c r="B10626" t="s">
        <v>188</v>
      </c>
      <c r="C10626" t="s">
        <v>40025</v>
      </c>
      <c r="D10626" t="s">
        <v>40023</v>
      </c>
      <c r="E10626">
        <v>424033</v>
      </c>
      <c r="F10626" t="s">
        <v>1</v>
      </c>
      <c r="G10626" t="s">
        <v>2</v>
      </c>
      <c r="H10626" t="s">
        <v>2597</v>
      </c>
      <c r="J10626" t="s">
        <v>40024</v>
      </c>
      <c r="P10626" t="s">
        <v>4831</v>
      </c>
      <c r="Q10626" t="s">
        <v>40026</v>
      </c>
      <c r="V10626" t="s">
        <v>40027</v>
      </c>
      <c r="Y10626" t="s">
        <v>40028</v>
      </c>
    </row>
    <row r="10627" spans="1:25" x14ac:dyDescent="0.25">
      <c r="A10627" t="str">
        <f>"140436261090"</f>
        <v>140436261090</v>
      </c>
      <c r="B10627" t="s">
        <v>654</v>
      </c>
      <c r="C10627" t="s">
        <v>2974</v>
      </c>
      <c r="D10627" t="s">
        <v>40029</v>
      </c>
      <c r="E10627">
        <v>424032</v>
      </c>
      <c r="F10627" t="s">
        <v>1</v>
      </c>
      <c r="G10627" t="s">
        <v>2</v>
      </c>
      <c r="H10627" t="s">
        <v>11296</v>
      </c>
      <c r="I10627" t="s">
        <v>40030</v>
      </c>
      <c r="J10627" t="s">
        <v>40031</v>
      </c>
      <c r="P10627" t="s">
        <v>689</v>
      </c>
      <c r="Y10627" t="s">
        <v>11299</v>
      </c>
    </row>
    <row r="10628" spans="1:25" x14ac:dyDescent="0.25">
      <c r="A10628" t="str">
        <f>"140474109965"</f>
        <v>140474109965</v>
      </c>
      <c r="B10628" t="s">
        <v>574</v>
      </c>
      <c r="C10628" t="s">
        <v>14269</v>
      </c>
      <c r="D10628" t="s">
        <v>29922</v>
      </c>
      <c r="E10628">
        <v>424028</v>
      </c>
      <c r="F10628" t="s">
        <v>1</v>
      </c>
      <c r="G10628" t="s">
        <v>2</v>
      </c>
      <c r="H10628" t="s">
        <v>25562</v>
      </c>
      <c r="Y10628" t="s">
        <v>40032</v>
      </c>
    </row>
    <row r="10629" spans="1:25" x14ac:dyDescent="0.25">
      <c r="A10629" t="str">
        <f>"140478529668"</f>
        <v>140478529668</v>
      </c>
      <c r="B10629" t="s">
        <v>123</v>
      </c>
      <c r="C10629" t="s">
        <v>196</v>
      </c>
      <c r="D10629" t="s">
        <v>9436</v>
      </c>
      <c r="E10629">
        <v>424002</v>
      </c>
      <c r="F10629" t="s">
        <v>1</v>
      </c>
      <c r="G10629" t="s">
        <v>2</v>
      </c>
      <c r="H10629" t="s">
        <v>33267</v>
      </c>
      <c r="I10629" t="s">
        <v>40033</v>
      </c>
      <c r="L10629" t="s">
        <v>194</v>
      </c>
      <c r="M10629" t="s">
        <v>195</v>
      </c>
      <c r="P10629" t="s">
        <v>330</v>
      </c>
      <c r="Y10629" t="s">
        <v>40034</v>
      </c>
    </row>
    <row r="10630" spans="1:25" x14ac:dyDescent="0.25">
      <c r="A10630" t="str">
        <f>"140486891561"</f>
        <v>140486891561</v>
      </c>
      <c r="B10630" t="s">
        <v>1152</v>
      </c>
      <c r="C10630" t="s">
        <v>8523</v>
      </c>
      <c r="D10630" t="s">
        <v>40035</v>
      </c>
      <c r="E10630">
        <v>424006</v>
      </c>
      <c r="F10630" t="s">
        <v>1</v>
      </c>
      <c r="G10630" t="s">
        <v>2</v>
      </c>
      <c r="H10630" t="s">
        <v>2042</v>
      </c>
      <c r="Y10630" t="s">
        <v>24827</v>
      </c>
    </row>
    <row r="10631" spans="1:25" x14ac:dyDescent="0.25">
      <c r="A10631" t="str">
        <f>"140507333397"</f>
        <v>140507333397</v>
      </c>
      <c r="B10631" t="s">
        <v>2846</v>
      </c>
      <c r="C10631" t="s">
        <v>29566</v>
      </c>
      <c r="D10631" t="s">
        <v>23031</v>
      </c>
      <c r="E10631">
        <v>424019</v>
      </c>
      <c r="F10631" t="s">
        <v>1</v>
      </c>
      <c r="G10631" t="s">
        <v>2</v>
      </c>
      <c r="H10631" t="s">
        <v>1467</v>
      </c>
      <c r="Y10631" t="s">
        <v>1630</v>
      </c>
    </row>
    <row r="10632" spans="1:25" x14ac:dyDescent="0.25">
      <c r="A10632" t="str">
        <f>"140521340297"</f>
        <v>140521340297</v>
      </c>
      <c r="B10632" t="s">
        <v>2104</v>
      </c>
      <c r="C10632" t="s">
        <v>13387</v>
      </c>
      <c r="D10632" t="s">
        <v>9508</v>
      </c>
      <c r="E10632">
        <v>424007</v>
      </c>
      <c r="F10632" t="s">
        <v>1</v>
      </c>
      <c r="G10632" t="s">
        <v>2</v>
      </c>
      <c r="H10632" t="s">
        <v>9471</v>
      </c>
      <c r="Y10632" t="s">
        <v>40036</v>
      </c>
    </row>
    <row r="10633" spans="1:25" x14ac:dyDescent="0.25">
      <c r="A10633" t="str">
        <f>"140602972686"</f>
        <v>140602972686</v>
      </c>
      <c r="B10633" t="s">
        <v>176</v>
      </c>
      <c r="C10633" t="s">
        <v>29570</v>
      </c>
      <c r="D10633" t="s">
        <v>40037</v>
      </c>
      <c r="F10633" t="s">
        <v>1</v>
      </c>
      <c r="G10633" t="s">
        <v>2</v>
      </c>
      <c r="H10633" t="s">
        <v>40038</v>
      </c>
      <c r="J10633" t="s">
        <v>29569</v>
      </c>
      <c r="Y10633" t="s">
        <v>40039</v>
      </c>
    </row>
    <row r="10634" spans="1:25" x14ac:dyDescent="0.25">
      <c r="A10634" t="str">
        <f>"140630774457"</f>
        <v>140630774457</v>
      </c>
      <c r="B10634" t="s">
        <v>117</v>
      </c>
      <c r="C10634" t="s">
        <v>873</v>
      </c>
      <c r="D10634" t="s">
        <v>873</v>
      </c>
      <c r="E10634">
        <v>424019</v>
      </c>
      <c r="F10634" t="s">
        <v>1</v>
      </c>
      <c r="G10634" t="s">
        <v>2</v>
      </c>
      <c r="H10634" t="s">
        <v>7785</v>
      </c>
      <c r="P10634" t="s">
        <v>98</v>
      </c>
      <c r="Y10634" t="s">
        <v>40040</v>
      </c>
    </row>
    <row r="10635" spans="1:25" x14ac:dyDescent="0.25">
      <c r="A10635" t="str">
        <f>"140704985537"</f>
        <v>140704985537</v>
      </c>
      <c r="B10635" t="s">
        <v>930</v>
      </c>
      <c r="C10635" t="s">
        <v>1096</v>
      </c>
      <c r="D10635" t="s">
        <v>40041</v>
      </c>
      <c r="E10635">
        <v>424000</v>
      </c>
      <c r="F10635" t="s">
        <v>1</v>
      </c>
      <c r="G10635" t="s">
        <v>2</v>
      </c>
      <c r="H10635" t="s">
        <v>2547</v>
      </c>
      <c r="Y10635" t="s">
        <v>40042</v>
      </c>
    </row>
    <row r="10636" spans="1:25" x14ac:dyDescent="0.25">
      <c r="A10636" t="str">
        <f>"140741417807"</f>
        <v>140741417807</v>
      </c>
      <c r="B10636" t="s">
        <v>388</v>
      </c>
      <c r="C10636" t="s">
        <v>7194</v>
      </c>
      <c r="D10636" t="s">
        <v>40043</v>
      </c>
      <c r="E10636">
        <v>424006</v>
      </c>
      <c r="F10636" t="s">
        <v>1</v>
      </c>
      <c r="G10636" t="s">
        <v>2</v>
      </c>
      <c r="H10636" t="s">
        <v>451</v>
      </c>
      <c r="J10636" t="s">
        <v>40044</v>
      </c>
      <c r="P10636" t="s">
        <v>9</v>
      </c>
      <c r="Y10636" t="s">
        <v>459</v>
      </c>
    </row>
    <row r="10637" spans="1:25" x14ac:dyDescent="0.25">
      <c r="A10637" t="str">
        <f>"140771559190"</f>
        <v>140771559190</v>
      </c>
      <c r="B10637" t="s">
        <v>18</v>
      </c>
      <c r="C10637" t="s">
        <v>24200</v>
      </c>
      <c r="D10637" t="s">
        <v>40045</v>
      </c>
      <c r="E10637">
        <v>424032</v>
      </c>
      <c r="F10637" t="s">
        <v>1</v>
      </c>
      <c r="G10637" t="s">
        <v>2</v>
      </c>
      <c r="H10637" t="s">
        <v>2972</v>
      </c>
      <c r="I10637" t="s">
        <v>40046</v>
      </c>
      <c r="J10637" t="s">
        <v>40047</v>
      </c>
      <c r="L10637" t="s">
        <v>40048</v>
      </c>
      <c r="M10637" t="s">
        <v>40049</v>
      </c>
      <c r="P10637" t="s">
        <v>20</v>
      </c>
      <c r="Q10637" t="s">
        <v>40050</v>
      </c>
      <c r="Y10637" t="s">
        <v>2975</v>
      </c>
    </row>
    <row r="10638" spans="1:25" x14ac:dyDescent="0.25">
      <c r="A10638" t="str">
        <f>"140777859295"</f>
        <v>140777859295</v>
      </c>
      <c r="B10638" t="s">
        <v>530</v>
      </c>
      <c r="C10638" t="s">
        <v>23950</v>
      </c>
      <c r="D10638" t="s">
        <v>23950</v>
      </c>
      <c r="F10638" t="s">
        <v>1</v>
      </c>
      <c r="G10638" t="s">
        <v>2</v>
      </c>
      <c r="H10638" t="s">
        <v>27272</v>
      </c>
      <c r="Y10638" t="s">
        <v>40051</v>
      </c>
    </row>
    <row r="10639" spans="1:25" x14ac:dyDescent="0.25">
      <c r="A10639" t="str">
        <f>"140877746201"</f>
        <v>140877746201</v>
      </c>
      <c r="B10639" t="s">
        <v>530</v>
      </c>
      <c r="C10639" t="s">
        <v>23950</v>
      </c>
      <c r="D10639" t="s">
        <v>23950</v>
      </c>
      <c r="E10639">
        <v>424032</v>
      </c>
      <c r="F10639" t="s">
        <v>1</v>
      </c>
      <c r="G10639" t="s">
        <v>2</v>
      </c>
      <c r="H10639" t="s">
        <v>40052</v>
      </c>
      <c r="Y10639" t="s">
        <v>40053</v>
      </c>
    </row>
    <row r="10640" spans="1:25" x14ac:dyDescent="0.25">
      <c r="A10640" t="str">
        <f>"140949361008"</f>
        <v>140949361008</v>
      </c>
      <c r="B10640" t="s">
        <v>3008</v>
      </c>
      <c r="C10640" t="s">
        <v>29399</v>
      </c>
      <c r="D10640" t="s">
        <v>40054</v>
      </c>
      <c r="E10640">
        <v>424007</v>
      </c>
      <c r="F10640" t="s">
        <v>1</v>
      </c>
      <c r="G10640" t="s">
        <v>2</v>
      </c>
      <c r="H10640" t="s">
        <v>819</v>
      </c>
      <c r="I10640" t="s">
        <v>40055</v>
      </c>
      <c r="L10640" t="s">
        <v>40056</v>
      </c>
      <c r="M10640" t="s">
        <v>40057</v>
      </c>
      <c r="P10640" t="s">
        <v>280</v>
      </c>
      <c r="Q10640" t="s">
        <v>40058</v>
      </c>
      <c r="S10640" t="s">
        <v>40059</v>
      </c>
      <c r="T10640" t="s">
        <v>40060</v>
      </c>
      <c r="Y10640" t="s">
        <v>29279</v>
      </c>
    </row>
    <row r="10641" spans="1:25" x14ac:dyDescent="0.25">
      <c r="A10641" t="str">
        <f>"140967819076"</f>
        <v>140967819076</v>
      </c>
      <c r="B10641" t="s">
        <v>96</v>
      </c>
      <c r="C10641" t="s">
        <v>893</v>
      </c>
      <c r="D10641" t="s">
        <v>33717</v>
      </c>
      <c r="E10641">
        <v>424918</v>
      </c>
      <c r="F10641" t="s">
        <v>1</v>
      </c>
      <c r="G10641" t="s">
        <v>2</v>
      </c>
      <c r="H10641" t="s">
        <v>629</v>
      </c>
      <c r="P10641" t="s">
        <v>630</v>
      </c>
      <c r="Y10641" t="s">
        <v>1744</v>
      </c>
    </row>
    <row r="10642" spans="1:25" x14ac:dyDescent="0.25">
      <c r="A10642" t="str">
        <f>"141006646398"</f>
        <v>141006646398</v>
      </c>
      <c r="B10642" t="s">
        <v>48</v>
      </c>
      <c r="C10642" t="s">
        <v>15230</v>
      </c>
      <c r="D10642" t="s">
        <v>40061</v>
      </c>
      <c r="E10642">
        <v>424002</v>
      </c>
      <c r="F10642" t="s">
        <v>1</v>
      </c>
      <c r="G10642" t="s">
        <v>2</v>
      </c>
      <c r="H10642" t="s">
        <v>6656</v>
      </c>
      <c r="J10642" t="s">
        <v>40062</v>
      </c>
      <c r="Q10642" t="s">
        <v>40063</v>
      </c>
      <c r="Y10642" t="s">
        <v>11652</v>
      </c>
    </row>
    <row r="10643" spans="1:25" x14ac:dyDescent="0.25">
      <c r="A10643" t="str">
        <f>"141009583157"</f>
        <v>141009583157</v>
      </c>
      <c r="B10643" t="s">
        <v>430</v>
      </c>
      <c r="C10643" t="s">
        <v>16178</v>
      </c>
      <c r="D10643" t="s">
        <v>2613</v>
      </c>
      <c r="E10643">
        <v>424006</v>
      </c>
      <c r="F10643" t="s">
        <v>1</v>
      </c>
      <c r="G10643" t="s">
        <v>2</v>
      </c>
      <c r="H10643" t="s">
        <v>40064</v>
      </c>
      <c r="I10643" t="s">
        <v>40065</v>
      </c>
      <c r="J10643" t="s">
        <v>40066</v>
      </c>
      <c r="P10643" t="s">
        <v>40067</v>
      </c>
      <c r="Y10643" t="s">
        <v>40068</v>
      </c>
    </row>
    <row r="10644" spans="1:25" x14ac:dyDescent="0.25">
      <c r="A10644" t="str">
        <f>"141044472328"</f>
        <v>141044472328</v>
      </c>
      <c r="B10644" t="s">
        <v>348</v>
      </c>
      <c r="C10644" t="s">
        <v>3135</v>
      </c>
      <c r="D10644" t="s">
        <v>40069</v>
      </c>
      <c r="E10644">
        <v>424038</v>
      </c>
      <c r="F10644" t="s">
        <v>1</v>
      </c>
      <c r="G10644" t="s">
        <v>2</v>
      </c>
      <c r="H10644" t="s">
        <v>16808</v>
      </c>
      <c r="J10644" t="s">
        <v>40070</v>
      </c>
      <c r="L10644" t="s">
        <v>40071</v>
      </c>
      <c r="M10644" t="s">
        <v>40072</v>
      </c>
      <c r="P10644" t="s">
        <v>216</v>
      </c>
      <c r="Y10644" t="s">
        <v>16810</v>
      </c>
    </row>
    <row r="10645" spans="1:25" x14ac:dyDescent="0.25">
      <c r="A10645" t="str">
        <f>"141088525297"</f>
        <v>141088525297</v>
      </c>
      <c r="B10645" t="s">
        <v>160</v>
      </c>
      <c r="C10645" t="s">
        <v>2327</v>
      </c>
      <c r="D10645" t="s">
        <v>40073</v>
      </c>
      <c r="E10645">
        <v>424007</v>
      </c>
      <c r="F10645" t="s">
        <v>1</v>
      </c>
      <c r="G10645" t="s">
        <v>2</v>
      </c>
      <c r="H10645" t="s">
        <v>40074</v>
      </c>
      <c r="Y10645" t="s">
        <v>40075</v>
      </c>
    </row>
    <row r="10646" spans="1:25" x14ac:dyDescent="0.25">
      <c r="A10646" t="str">
        <f>"141097386374"</f>
        <v>141097386374</v>
      </c>
      <c r="B10646" t="s">
        <v>574</v>
      </c>
      <c r="C10646" t="s">
        <v>14269</v>
      </c>
      <c r="D10646" t="s">
        <v>40076</v>
      </c>
      <c r="E10646">
        <v>424033</v>
      </c>
      <c r="F10646" t="s">
        <v>1</v>
      </c>
      <c r="G10646" t="s">
        <v>2</v>
      </c>
      <c r="H10646" t="s">
        <v>1383</v>
      </c>
      <c r="Y10646" t="s">
        <v>40077</v>
      </c>
    </row>
    <row r="10647" spans="1:25" x14ac:dyDescent="0.25">
      <c r="A10647" t="str">
        <f>"141139728274"</f>
        <v>141139728274</v>
      </c>
      <c r="B10647" t="s">
        <v>654</v>
      </c>
      <c r="C10647" t="s">
        <v>14448</v>
      </c>
      <c r="D10647" t="s">
        <v>26093</v>
      </c>
      <c r="E10647">
        <v>424020</v>
      </c>
      <c r="F10647" t="s">
        <v>1</v>
      </c>
      <c r="G10647" t="s">
        <v>2</v>
      </c>
      <c r="H10647" t="s">
        <v>23</v>
      </c>
      <c r="Y10647" t="s">
        <v>40078</v>
      </c>
    </row>
    <row r="10648" spans="1:25" x14ac:dyDescent="0.25">
      <c r="A10648" t="str">
        <f>"141140893373"</f>
        <v>141140893373</v>
      </c>
      <c r="B10648" t="s">
        <v>290</v>
      </c>
      <c r="C10648" t="s">
        <v>23328</v>
      </c>
      <c r="D10648" t="s">
        <v>20474</v>
      </c>
      <c r="E10648">
        <v>424006</v>
      </c>
      <c r="F10648" t="s">
        <v>1</v>
      </c>
      <c r="G10648" t="s">
        <v>2</v>
      </c>
      <c r="H10648" t="s">
        <v>4587</v>
      </c>
      <c r="P10648" t="s">
        <v>20477</v>
      </c>
      <c r="Y10648" t="s">
        <v>40079</v>
      </c>
    </row>
    <row r="10649" spans="1:25" x14ac:dyDescent="0.25">
      <c r="A10649" t="str">
        <f>"141167406040"</f>
        <v>141167406040</v>
      </c>
      <c r="B10649" t="s">
        <v>67</v>
      </c>
      <c r="C10649" t="s">
        <v>269</v>
      </c>
      <c r="D10649" t="s">
        <v>62</v>
      </c>
      <c r="E10649">
        <v>424033</v>
      </c>
      <c r="F10649" t="s">
        <v>1</v>
      </c>
      <c r="G10649" t="s">
        <v>2</v>
      </c>
      <c r="H10649" t="s">
        <v>2597</v>
      </c>
      <c r="Y10649" t="s">
        <v>40080</v>
      </c>
    </row>
    <row r="10650" spans="1:25" x14ac:dyDescent="0.25">
      <c r="A10650" t="str">
        <f>"141169834703"</f>
        <v>141169834703</v>
      </c>
      <c r="B10650" t="s">
        <v>574</v>
      </c>
      <c r="C10650" t="s">
        <v>9802</v>
      </c>
      <c r="D10650" t="s">
        <v>40081</v>
      </c>
      <c r="F10650" t="s">
        <v>1</v>
      </c>
      <c r="G10650" t="s">
        <v>2</v>
      </c>
      <c r="H10650" t="s">
        <v>16696</v>
      </c>
      <c r="Y10650" t="s">
        <v>40082</v>
      </c>
    </row>
    <row r="10651" spans="1:25" x14ac:dyDescent="0.25">
      <c r="A10651" t="str">
        <f>"141208264315"</f>
        <v>141208264315</v>
      </c>
      <c r="B10651" t="s">
        <v>640</v>
      </c>
      <c r="C10651" t="s">
        <v>663</v>
      </c>
      <c r="D10651" t="s">
        <v>40083</v>
      </c>
      <c r="E10651">
        <v>424006</v>
      </c>
      <c r="F10651" t="s">
        <v>1</v>
      </c>
      <c r="G10651" t="s">
        <v>2</v>
      </c>
      <c r="H10651" t="s">
        <v>24225</v>
      </c>
      <c r="Y10651" t="s">
        <v>40084</v>
      </c>
    </row>
    <row r="10652" spans="1:25" x14ac:dyDescent="0.25">
      <c r="A10652" t="str">
        <f>"141213369475"</f>
        <v>141213369475</v>
      </c>
      <c r="B10652" t="s">
        <v>18</v>
      </c>
      <c r="C10652" t="s">
        <v>13796</v>
      </c>
      <c r="D10652" t="s">
        <v>1594</v>
      </c>
      <c r="E10652">
        <v>424039</v>
      </c>
      <c r="F10652" t="s">
        <v>1</v>
      </c>
      <c r="G10652" t="s">
        <v>2</v>
      </c>
      <c r="H10652" t="s">
        <v>5827</v>
      </c>
      <c r="I10652" t="s">
        <v>40085</v>
      </c>
      <c r="L10652" t="s">
        <v>40086</v>
      </c>
      <c r="P10652" t="s">
        <v>696</v>
      </c>
      <c r="Q10652" t="s">
        <v>40087</v>
      </c>
      <c r="Y10652" t="s">
        <v>40088</v>
      </c>
    </row>
    <row r="10653" spans="1:25" x14ac:dyDescent="0.25">
      <c r="A10653" t="str">
        <f>"141264228422"</f>
        <v>141264228422</v>
      </c>
      <c r="B10653" t="s">
        <v>18</v>
      </c>
      <c r="C10653" t="s">
        <v>12714</v>
      </c>
      <c r="D10653" t="s">
        <v>40089</v>
      </c>
      <c r="E10653">
        <v>424007</v>
      </c>
      <c r="F10653" t="s">
        <v>1</v>
      </c>
      <c r="G10653" t="s">
        <v>2</v>
      </c>
      <c r="H10653" t="s">
        <v>3476</v>
      </c>
      <c r="Y10653" t="s">
        <v>20214</v>
      </c>
    </row>
    <row r="10654" spans="1:25" x14ac:dyDescent="0.25">
      <c r="A10654" t="str">
        <f>"141302136603"</f>
        <v>141302136603</v>
      </c>
      <c r="B10654" t="s">
        <v>716</v>
      </c>
      <c r="C10654" t="s">
        <v>717</v>
      </c>
      <c r="D10654" t="s">
        <v>40090</v>
      </c>
      <c r="E10654">
        <v>424007</v>
      </c>
      <c r="F10654" t="s">
        <v>1</v>
      </c>
      <c r="G10654" t="s">
        <v>2</v>
      </c>
      <c r="H10654" t="s">
        <v>499</v>
      </c>
      <c r="I10654" t="s">
        <v>40091</v>
      </c>
      <c r="J10654" t="s">
        <v>40092</v>
      </c>
      <c r="P10654" t="s">
        <v>330</v>
      </c>
      <c r="Y10654" t="s">
        <v>1598</v>
      </c>
    </row>
    <row r="10655" spans="1:25" x14ac:dyDescent="0.25">
      <c r="A10655" t="str">
        <f>"141327012491"</f>
        <v>141327012491</v>
      </c>
      <c r="B10655" t="s">
        <v>530</v>
      </c>
      <c r="C10655" t="s">
        <v>23950</v>
      </c>
      <c r="D10655" t="s">
        <v>23950</v>
      </c>
      <c r="F10655" t="s">
        <v>1</v>
      </c>
      <c r="G10655" t="s">
        <v>2</v>
      </c>
      <c r="H10655" t="s">
        <v>33523</v>
      </c>
      <c r="Y10655" t="s">
        <v>40093</v>
      </c>
    </row>
    <row r="10656" spans="1:25" x14ac:dyDescent="0.25">
      <c r="A10656" t="str">
        <f>"141352239746"</f>
        <v>141352239746</v>
      </c>
      <c r="B10656" t="s">
        <v>574</v>
      </c>
      <c r="C10656" t="s">
        <v>22533</v>
      </c>
      <c r="D10656" t="s">
        <v>3057</v>
      </c>
      <c r="E10656">
        <v>424007</v>
      </c>
      <c r="F10656" t="s">
        <v>1</v>
      </c>
      <c r="G10656" t="s">
        <v>2</v>
      </c>
      <c r="H10656" t="s">
        <v>23667</v>
      </c>
      <c r="P10656" t="s">
        <v>1027</v>
      </c>
      <c r="Y10656" t="s">
        <v>40094</v>
      </c>
    </row>
    <row r="10657" spans="1:25" x14ac:dyDescent="0.25">
      <c r="A10657" t="str">
        <f>"141368509230"</f>
        <v>141368509230</v>
      </c>
      <c r="B10657" t="s">
        <v>930</v>
      </c>
      <c r="C10657" t="s">
        <v>15966</v>
      </c>
      <c r="D10657" t="s">
        <v>40095</v>
      </c>
      <c r="E10657">
        <v>424004</v>
      </c>
      <c r="F10657" t="s">
        <v>1</v>
      </c>
      <c r="G10657" t="s">
        <v>2</v>
      </c>
      <c r="H10657" t="s">
        <v>3840</v>
      </c>
      <c r="I10657" t="s">
        <v>40096</v>
      </c>
      <c r="L10657" t="s">
        <v>6560</v>
      </c>
      <c r="M10657" t="s">
        <v>40097</v>
      </c>
      <c r="Y10657" t="s">
        <v>40098</v>
      </c>
    </row>
    <row r="10658" spans="1:25" x14ac:dyDescent="0.25">
      <c r="A10658" t="str">
        <f>"141426151279"</f>
        <v>141426151279</v>
      </c>
      <c r="B10658" t="s">
        <v>96</v>
      </c>
      <c r="C10658" t="s">
        <v>7071</v>
      </c>
      <c r="D10658" t="s">
        <v>36476</v>
      </c>
      <c r="E10658">
        <v>424003</v>
      </c>
      <c r="F10658" t="s">
        <v>1</v>
      </c>
      <c r="G10658" t="s">
        <v>2</v>
      </c>
      <c r="H10658" t="s">
        <v>4546</v>
      </c>
      <c r="P10658" t="s">
        <v>9785</v>
      </c>
      <c r="Y10658" t="s">
        <v>40099</v>
      </c>
    </row>
    <row r="10659" spans="1:25" x14ac:dyDescent="0.25">
      <c r="A10659" t="str">
        <f>"141447722432"</f>
        <v>141447722432</v>
      </c>
      <c r="B10659" t="s">
        <v>290</v>
      </c>
      <c r="C10659" t="s">
        <v>23328</v>
      </c>
      <c r="D10659" t="s">
        <v>40100</v>
      </c>
      <c r="E10659">
        <v>424028</v>
      </c>
      <c r="F10659" t="s">
        <v>1</v>
      </c>
      <c r="G10659" t="s">
        <v>2</v>
      </c>
      <c r="H10659" t="s">
        <v>40101</v>
      </c>
      <c r="P10659" t="s">
        <v>330</v>
      </c>
      <c r="Y10659" t="s">
        <v>40102</v>
      </c>
    </row>
    <row r="10660" spans="1:25" x14ac:dyDescent="0.25">
      <c r="A10660" t="str">
        <f>"141464278866"</f>
        <v>141464278866</v>
      </c>
      <c r="B10660" t="s">
        <v>25</v>
      </c>
      <c r="C10660" t="s">
        <v>24938</v>
      </c>
      <c r="D10660" t="s">
        <v>40103</v>
      </c>
      <c r="E10660">
        <v>424007</v>
      </c>
      <c r="F10660" t="s">
        <v>1</v>
      </c>
      <c r="G10660" t="s">
        <v>2</v>
      </c>
      <c r="H10660" t="s">
        <v>3049</v>
      </c>
      <c r="M10660" t="s">
        <v>40104</v>
      </c>
      <c r="Y10660" t="s">
        <v>40105</v>
      </c>
    </row>
    <row r="10661" spans="1:25" x14ac:dyDescent="0.25">
      <c r="A10661" t="str">
        <f>"141470204587"</f>
        <v>141470204587</v>
      </c>
      <c r="B10661" t="s">
        <v>1573</v>
      </c>
      <c r="C10661" t="s">
        <v>40111</v>
      </c>
      <c r="D10661" t="s">
        <v>40106</v>
      </c>
      <c r="E10661">
        <v>424006</v>
      </c>
      <c r="F10661" t="s">
        <v>1</v>
      </c>
      <c r="G10661" t="s">
        <v>2</v>
      </c>
      <c r="H10661" t="s">
        <v>40107</v>
      </c>
      <c r="J10661" t="s">
        <v>40108</v>
      </c>
      <c r="L10661" t="s">
        <v>40109</v>
      </c>
      <c r="M10661" t="s">
        <v>40110</v>
      </c>
      <c r="P10661" t="s">
        <v>312</v>
      </c>
      <c r="Y10661" t="s">
        <v>40112</v>
      </c>
    </row>
    <row r="10662" spans="1:25" x14ac:dyDescent="0.25">
      <c r="A10662" t="str">
        <f>"141523204770"</f>
        <v>141523204770</v>
      </c>
      <c r="B10662" t="s">
        <v>151</v>
      </c>
      <c r="C10662" t="s">
        <v>151</v>
      </c>
      <c r="D10662" t="s">
        <v>40113</v>
      </c>
      <c r="E10662">
        <v>424000</v>
      </c>
      <c r="F10662" t="s">
        <v>1</v>
      </c>
      <c r="G10662" t="s">
        <v>2</v>
      </c>
      <c r="H10662" t="s">
        <v>837</v>
      </c>
      <c r="J10662" t="s">
        <v>40114</v>
      </c>
      <c r="L10662" t="s">
        <v>40115</v>
      </c>
      <c r="M10662" t="s">
        <v>40116</v>
      </c>
      <c r="P10662" t="s">
        <v>9</v>
      </c>
      <c r="Q10662" t="s">
        <v>40117</v>
      </c>
      <c r="Y10662" t="s">
        <v>40118</v>
      </c>
    </row>
    <row r="10663" spans="1:25" x14ac:dyDescent="0.25">
      <c r="A10663" t="str">
        <f>"141548492661"</f>
        <v>141548492661</v>
      </c>
      <c r="B10663" t="s">
        <v>290</v>
      </c>
      <c r="C10663" t="s">
        <v>291</v>
      </c>
      <c r="D10663" t="s">
        <v>24551</v>
      </c>
      <c r="E10663">
        <v>424038</v>
      </c>
      <c r="F10663" t="s">
        <v>1</v>
      </c>
      <c r="G10663" t="s">
        <v>2</v>
      </c>
      <c r="H10663" t="s">
        <v>8196</v>
      </c>
      <c r="Y10663" t="s">
        <v>40119</v>
      </c>
    </row>
    <row r="10664" spans="1:25" x14ac:dyDescent="0.25">
      <c r="A10664" t="str">
        <f>"141551423683"</f>
        <v>141551423683</v>
      </c>
      <c r="B10664" t="s">
        <v>18</v>
      </c>
      <c r="C10664" t="s">
        <v>40121</v>
      </c>
      <c r="D10664" t="s">
        <v>40120</v>
      </c>
      <c r="E10664">
        <v>424003</v>
      </c>
      <c r="F10664" t="s">
        <v>1</v>
      </c>
      <c r="G10664" t="s">
        <v>2</v>
      </c>
      <c r="H10664" t="s">
        <v>7258</v>
      </c>
      <c r="P10664" t="s">
        <v>280</v>
      </c>
      <c r="Y10664" t="s">
        <v>40122</v>
      </c>
    </row>
    <row r="10665" spans="1:25" x14ac:dyDescent="0.25">
      <c r="A10665" t="str">
        <f>"141552827937"</f>
        <v>141552827937</v>
      </c>
      <c r="B10665" t="s">
        <v>284</v>
      </c>
      <c r="C10665" t="s">
        <v>2462</v>
      </c>
      <c r="D10665" t="s">
        <v>8957</v>
      </c>
      <c r="E10665">
        <v>424007</v>
      </c>
      <c r="F10665" t="s">
        <v>1</v>
      </c>
      <c r="G10665" t="s">
        <v>2</v>
      </c>
      <c r="H10665" t="s">
        <v>1085</v>
      </c>
      <c r="I10665" t="s">
        <v>40123</v>
      </c>
      <c r="J10665" t="s">
        <v>40124</v>
      </c>
      <c r="P10665" t="s">
        <v>330</v>
      </c>
      <c r="Y10665" t="s">
        <v>1412</v>
      </c>
    </row>
    <row r="10666" spans="1:25" x14ac:dyDescent="0.25">
      <c r="A10666" t="str">
        <f>"141585727250"</f>
        <v>141585727250</v>
      </c>
      <c r="B10666" t="s">
        <v>1343</v>
      </c>
      <c r="C10666" t="s">
        <v>13544</v>
      </c>
      <c r="D10666" t="s">
        <v>40125</v>
      </c>
      <c r="E10666">
        <v>424002</v>
      </c>
      <c r="F10666" t="s">
        <v>1</v>
      </c>
      <c r="G10666" t="s">
        <v>2</v>
      </c>
      <c r="H10666" t="s">
        <v>12917</v>
      </c>
      <c r="J10666" t="s">
        <v>40126</v>
      </c>
      <c r="P10666" t="s">
        <v>1039</v>
      </c>
      <c r="V10666" t="s">
        <v>40127</v>
      </c>
      <c r="Y10666" t="s">
        <v>12919</v>
      </c>
    </row>
    <row r="10667" spans="1:25" x14ac:dyDescent="0.25">
      <c r="A10667" t="str">
        <f>"141622629961"</f>
        <v>141622629961</v>
      </c>
      <c r="B10667" t="s">
        <v>32</v>
      </c>
      <c r="C10667" t="s">
        <v>36277</v>
      </c>
      <c r="D10667" t="s">
        <v>40128</v>
      </c>
      <c r="F10667" t="s">
        <v>1</v>
      </c>
      <c r="G10667" t="s">
        <v>2</v>
      </c>
      <c r="H10667" t="s">
        <v>35931</v>
      </c>
      <c r="J10667" t="s">
        <v>40129</v>
      </c>
      <c r="P10667" t="s">
        <v>2050</v>
      </c>
      <c r="V10667" t="s">
        <v>40130</v>
      </c>
      <c r="Y10667" t="s">
        <v>40131</v>
      </c>
    </row>
    <row r="10668" spans="1:25" x14ac:dyDescent="0.25">
      <c r="A10668" t="str">
        <f>"141641241050"</f>
        <v>141641241050</v>
      </c>
      <c r="B10668" t="s">
        <v>176</v>
      </c>
      <c r="C10668" t="s">
        <v>250</v>
      </c>
      <c r="D10668" t="s">
        <v>40132</v>
      </c>
      <c r="E10668">
        <v>424002</v>
      </c>
      <c r="F10668" t="s">
        <v>1</v>
      </c>
      <c r="G10668" t="s">
        <v>2</v>
      </c>
      <c r="H10668" t="s">
        <v>3877</v>
      </c>
      <c r="I10668" t="s">
        <v>40133</v>
      </c>
      <c r="P10668" t="s">
        <v>2438</v>
      </c>
      <c r="Y10668" t="s">
        <v>40134</v>
      </c>
    </row>
    <row r="10669" spans="1:25" x14ac:dyDescent="0.25">
      <c r="A10669" t="str">
        <f>"141644480248"</f>
        <v>141644480248</v>
      </c>
      <c r="B10669" t="s">
        <v>96</v>
      </c>
      <c r="C10669" t="s">
        <v>40135</v>
      </c>
      <c r="D10669" t="s">
        <v>27690</v>
      </c>
      <c r="E10669">
        <v>424033</v>
      </c>
      <c r="F10669" t="s">
        <v>1</v>
      </c>
      <c r="G10669" t="s">
        <v>2</v>
      </c>
      <c r="H10669" t="s">
        <v>6875</v>
      </c>
      <c r="Y10669" t="s">
        <v>40136</v>
      </c>
    </row>
    <row r="10670" spans="1:25" x14ac:dyDescent="0.25">
      <c r="A10670" t="str">
        <f>"141649453404"</f>
        <v>141649453404</v>
      </c>
      <c r="B10670" t="s">
        <v>18</v>
      </c>
      <c r="C10670" t="s">
        <v>4522</v>
      </c>
      <c r="D10670" t="s">
        <v>24540</v>
      </c>
      <c r="E10670">
        <v>424016</v>
      </c>
      <c r="F10670" t="s">
        <v>1</v>
      </c>
      <c r="G10670" t="s">
        <v>2</v>
      </c>
      <c r="H10670" t="s">
        <v>5561</v>
      </c>
      <c r="L10670" t="s">
        <v>1068</v>
      </c>
      <c r="M10670" t="s">
        <v>1069</v>
      </c>
      <c r="Y10670" t="s">
        <v>40137</v>
      </c>
    </row>
    <row r="10671" spans="1:25" x14ac:dyDescent="0.25">
      <c r="A10671" t="str">
        <f>"141655958960"</f>
        <v>141655958960</v>
      </c>
      <c r="B10671" t="s">
        <v>1053</v>
      </c>
      <c r="C10671" t="s">
        <v>1799</v>
      </c>
      <c r="D10671" t="s">
        <v>40138</v>
      </c>
      <c r="F10671" t="s">
        <v>1</v>
      </c>
      <c r="G10671" t="s">
        <v>2</v>
      </c>
      <c r="H10671" t="s">
        <v>40139</v>
      </c>
      <c r="J10671" t="s">
        <v>40140</v>
      </c>
      <c r="P10671" t="s">
        <v>40141</v>
      </c>
      <c r="Y10671" t="s">
        <v>32219</v>
      </c>
    </row>
    <row r="10672" spans="1:25" x14ac:dyDescent="0.25">
      <c r="A10672" t="str">
        <f>"141681898668"</f>
        <v>141681898668</v>
      </c>
      <c r="B10672" t="s">
        <v>1611</v>
      </c>
      <c r="C10672" t="s">
        <v>40143</v>
      </c>
      <c r="D10672" t="s">
        <v>40142</v>
      </c>
      <c r="E10672">
        <v>424037</v>
      </c>
      <c r="F10672" t="s">
        <v>1</v>
      </c>
      <c r="G10672" t="s">
        <v>2</v>
      </c>
      <c r="H10672" t="s">
        <v>1247</v>
      </c>
      <c r="Y10672" t="s">
        <v>1872</v>
      </c>
    </row>
    <row r="10673" spans="1:25" x14ac:dyDescent="0.25">
      <c r="A10673" t="str">
        <f>"141720206843"</f>
        <v>141720206843</v>
      </c>
      <c r="B10673" t="s">
        <v>1544</v>
      </c>
      <c r="C10673" t="s">
        <v>7974</v>
      </c>
      <c r="D10673" t="s">
        <v>40144</v>
      </c>
      <c r="E10673">
        <v>424004</v>
      </c>
      <c r="F10673" t="s">
        <v>1</v>
      </c>
      <c r="G10673" t="s">
        <v>2</v>
      </c>
      <c r="H10673" t="s">
        <v>8853</v>
      </c>
      <c r="J10673" t="s">
        <v>40145</v>
      </c>
      <c r="P10673" t="s">
        <v>1642</v>
      </c>
      <c r="Y10673" t="s">
        <v>40146</v>
      </c>
    </row>
    <row r="10674" spans="1:25" x14ac:dyDescent="0.25">
      <c r="A10674" t="str">
        <f>"141742959613"</f>
        <v>141742959613</v>
      </c>
      <c r="B10674" t="s">
        <v>7312</v>
      </c>
      <c r="C10674" t="s">
        <v>21136</v>
      </c>
      <c r="D10674" t="s">
        <v>40147</v>
      </c>
      <c r="E10674">
        <v>424000</v>
      </c>
      <c r="F10674" t="s">
        <v>1</v>
      </c>
      <c r="G10674" t="s">
        <v>2</v>
      </c>
      <c r="H10674" t="s">
        <v>92</v>
      </c>
      <c r="Y10674" t="s">
        <v>40148</v>
      </c>
    </row>
    <row r="10675" spans="1:25" x14ac:dyDescent="0.25">
      <c r="A10675" t="str">
        <f>"141757359702"</f>
        <v>141757359702</v>
      </c>
      <c r="B10675" t="s">
        <v>160</v>
      </c>
      <c r="C10675" t="s">
        <v>2479</v>
      </c>
      <c r="D10675" t="s">
        <v>40149</v>
      </c>
      <c r="E10675">
        <v>424030</v>
      </c>
      <c r="F10675" t="s">
        <v>1</v>
      </c>
      <c r="G10675" t="s">
        <v>2</v>
      </c>
      <c r="H10675" t="s">
        <v>40150</v>
      </c>
      <c r="Y10675" t="s">
        <v>40151</v>
      </c>
    </row>
    <row r="10676" spans="1:25" x14ac:dyDescent="0.25">
      <c r="A10676" t="str">
        <f>"141759083821"</f>
        <v>141759083821</v>
      </c>
      <c r="B10676" t="s">
        <v>1544</v>
      </c>
      <c r="C10676" t="s">
        <v>24552</v>
      </c>
      <c r="D10676" t="s">
        <v>40152</v>
      </c>
      <c r="E10676">
        <v>424031</v>
      </c>
      <c r="F10676" t="s">
        <v>1</v>
      </c>
      <c r="G10676" t="s">
        <v>2</v>
      </c>
      <c r="H10676" t="s">
        <v>1900</v>
      </c>
      <c r="J10676" t="s">
        <v>40153</v>
      </c>
      <c r="P10676" t="s">
        <v>40154</v>
      </c>
      <c r="Q10676" t="s">
        <v>40155</v>
      </c>
      <c r="V10676" t="s">
        <v>40156</v>
      </c>
      <c r="Y10676" t="s">
        <v>40157</v>
      </c>
    </row>
    <row r="10677" spans="1:25" x14ac:dyDescent="0.25">
      <c r="A10677" t="str">
        <f>"141880185124"</f>
        <v>141880185124</v>
      </c>
      <c r="B10677" t="s">
        <v>397</v>
      </c>
      <c r="C10677" t="s">
        <v>26803</v>
      </c>
      <c r="D10677" t="s">
        <v>40158</v>
      </c>
      <c r="E10677">
        <v>424028</v>
      </c>
      <c r="F10677" t="s">
        <v>1</v>
      </c>
      <c r="G10677" t="s">
        <v>2</v>
      </c>
      <c r="H10677" t="s">
        <v>18467</v>
      </c>
      <c r="L10677" t="s">
        <v>40159</v>
      </c>
      <c r="M10677" t="s">
        <v>40160</v>
      </c>
      <c r="Y10677" t="s">
        <v>40161</v>
      </c>
    </row>
    <row r="10678" spans="1:25" x14ac:dyDescent="0.25">
      <c r="A10678" t="str">
        <f>"141922227094"</f>
        <v>141922227094</v>
      </c>
      <c r="B10678" t="s">
        <v>7</v>
      </c>
      <c r="C10678" t="s">
        <v>9893</v>
      </c>
      <c r="D10678" t="s">
        <v>40162</v>
      </c>
      <c r="E10678">
        <v>424003</v>
      </c>
      <c r="F10678" t="s">
        <v>1</v>
      </c>
      <c r="G10678" t="s">
        <v>2</v>
      </c>
      <c r="H10678" t="s">
        <v>21853</v>
      </c>
      <c r="I10678" t="s">
        <v>21854</v>
      </c>
      <c r="L10678" t="s">
        <v>21855</v>
      </c>
      <c r="M10678" t="s">
        <v>21856</v>
      </c>
      <c r="P10678" t="s">
        <v>8256</v>
      </c>
      <c r="Y10678" t="s">
        <v>21858</v>
      </c>
    </row>
    <row r="10679" spans="1:25" x14ac:dyDescent="0.25">
      <c r="A10679" t="str">
        <f>"141959985769"</f>
        <v>141959985769</v>
      </c>
      <c r="B10679" t="s">
        <v>96</v>
      </c>
      <c r="C10679" t="s">
        <v>40165</v>
      </c>
      <c r="D10679" t="s">
        <v>40163</v>
      </c>
      <c r="E10679">
        <v>424002</v>
      </c>
      <c r="F10679" t="s">
        <v>1</v>
      </c>
      <c r="G10679" t="s">
        <v>2</v>
      </c>
      <c r="H10679" t="s">
        <v>12337</v>
      </c>
      <c r="J10679" t="s">
        <v>40164</v>
      </c>
      <c r="P10679" t="s">
        <v>3379</v>
      </c>
      <c r="Y10679" t="s">
        <v>40166</v>
      </c>
    </row>
    <row r="10680" spans="1:25" x14ac:dyDescent="0.25">
      <c r="A10680" t="str">
        <f>"141966011022"</f>
        <v>141966011022</v>
      </c>
      <c r="B10680" t="s">
        <v>117</v>
      </c>
      <c r="C10680" t="s">
        <v>873</v>
      </c>
      <c r="D10680" t="s">
        <v>873</v>
      </c>
      <c r="F10680" t="s">
        <v>1</v>
      </c>
      <c r="G10680" t="s">
        <v>2</v>
      </c>
      <c r="H10680" t="s">
        <v>27815</v>
      </c>
      <c r="Y10680" t="s">
        <v>40167</v>
      </c>
    </row>
    <row r="10681" spans="1:25" x14ac:dyDescent="0.25">
      <c r="A10681" t="str">
        <f>"141976515450"</f>
        <v>141976515450</v>
      </c>
      <c r="B10681" t="s">
        <v>110</v>
      </c>
      <c r="C10681" t="s">
        <v>111</v>
      </c>
      <c r="D10681" t="s">
        <v>1115</v>
      </c>
      <c r="E10681">
        <v>424003</v>
      </c>
      <c r="F10681" t="s">
        <v>1</v>
      </c>
      <c r="G10681" t="s">
        <v>2</v>
      </c>
      <c r="H10681" t="s">
        <v>4546</v>
      </c>
      <c r="Y10681" t="s">
        <v>40168</v>
      </c>
    </row>
    <row r="10682" spans="1:25" x14ac:dyDescent="0.25">
      <c r="A10682" t="str">
        <f>"142051295435"</f>
        <v>142051295435</v>
      </c>
      <c r="B10682" t="s">
        <v>88</v>
      </c>
      <c r="C10682" t="s">
        <v>40173</v>
      </c>
      <c r="D10682" t="s">
        <v>40169</v>
      </c>
      <c r="E10682">
        <v>424033</v>
      </c>
      <c r="F10682" t="s">
        <v>1</v>
      </c>
      <c r="G10682" t="s">
        <v>2</v>
      </c>
      <c r="H10682" t="s">
        <v>2342</v>
      </c>
      <c r="I10682" t="s">
        <v>40170</v>
      </c>
      <c r="L10682" t="s">
        <v>40171</v>
      </c>
      <c r="M10682" t="s">
        <v>40172</v>
      </c>
      <c r="P10682" t="s">
        <v>4831</v>
      </c>
      <c r="Y10682" t="s">
        <v>13169</v>
      </c>
    </row>
    <row r="10683" spans="1:25" x14ac:dyDescent="0.25">
      <c r="A10683" t="str">
        <f>"142076897209"</f>
        <v>142076897209</v>
      </c>
      <c r="B10683" t="s">
        <v>530</v>
      </c>
      <c r="C10683" t="s">
        <v>23950</v>
      </c>
      <c r="D10683" t="s">
        <v>23950</v>
      </c>
      <c r="F10683" t="s">
        <v>1</v>
      </c>
      <c r="G10683" t="s">
        <v>2</v>
      </c>
      <c r="H10683" t="s">
        <v>25667</v>
      </c>
      <c r="Y10683" t="s">
        <v>40174</v>
      </c>
    </row>
    <row r="10684" spans="1:25" x14ac:dyDescent="0.25">
      <c r="A10684" t="str">
        <f>"142082359798"</f>
        <v>142082359798</v>
      </c>
      <c r="B10684" t="s">
        <v>1061</v>
      </c>
      <c r="C10684" t="s">
        <v>26953</v>
      </c>
      <c r="D10684" t="s">
        <v>40175</v>
      </c>
      <c r="F10684" t="s">
        <v>1</v>
      </c>
      <c r="G10684" t="s">
        <v>2</v>
      </c>
      <c r="H10684" t="s">
        <v>37218</v>
      </c>
      <c r="Y10684" t="s">
        <v>40176</v>
      </c>
    </row>
    <row r="10685" spans="1:25" x14ac:dyDescent="0.25">
      <c r="A10685" t="str">
        <f>"142088964906"</f>
        <v>142088964906</v>
      </c>
      <c r="B10685" t="s">
        <v>96</v>
      </c>
      <c r="C10685" t="s">
        <v>695</v>
      </c>
      <c r="D10685" t="s">
        <v>37915</v>
      </c>
      <c r="E10685">
        <v>424008</v>
      </c>
      <c r="F10685" t="s">
        <v>1</v>
      </c>
      <c r="G10685" t="s">
        <v>2</v>
      </c>
      <c r="H10685" t="s">
        <v>1031</v>
      </c>
      <c r="J10685" t="s">
        <v>40177</v>
      </c>
      <c r="P10685" t="s">
        <v>40178</v>
      </c>
      <c r="Y10685" t="s">
        <v>5039</v>
      </c>
    </row>
    <row r="10686" spans="1:25" x14ac:dyDescent="0.25">
      <c r="A10686" t="str">
        <f>"142095839698"</f>
        <v>142095839698</v>
      </c>
      <c r="B10686" t="s">
        <v>930</v>
      </c>
      <c r="C10686" t="s">
        <v>1096</v>
      </c>
      <c r="D10686" t="s">
        <v>39284</v>
      </c>
      <c r="E10686">
        <v>424032</v>
      </c>
      <c r="F10686" t="s">
        <v>1</v>
      </c>
      <c r="G10686" t="s">
        <v>2</v>
      </c>
      <c r="H10686" t="s">
        <v>11716</v>
      </c>
      <c r="Y10686" t="s">
        <v>40179</v>
      </c>
    </row>
    <row r="10687" spans="1:25" x14ac:dyDescent="0.25">
      <c r="A10687" t="str">
        <f>"142184659789"</f>
        <v>142184659789</v>
      </c>
      <c r="B10687" t="s">
        <v>32</v>
      </c>
      <c r="C10687" t="s">
        <v>11468</v>
      </c>
      <c r="D10687" t="s">
        <v>40180</v>
      </c>
      <c r="E10687">
        <v>424000</v>
      </c>
      <c r="F10687" t="s">
        <v>1</v>
      </c>
      <c r="G10687" t="s">
        <v>2</v>
      </c>
      <c r="H10687" t="s">
        <v>837</v>
      </c>
      <c r="J10687" t="s">
        <v>40181</v>
      </c>
      <c r="P10687" t="s">
        <v>216</v>
      </c>
      <c r="Q10687" t="s">
        <v>40182</v>
      </c>
      <c r="Y10687" t="s">
        <v>2964</v>
      </c>
    </row>
    <row r="10688" spans="1:25" x14ac:dyDescent="0.25">
      <c r="A10688" t="str">
        <f>"142212559516"</f>
        <v>142212559516</v>
      </c>
      <c r="B10688" t="s">
        <v>96</v>
      </c>
      <c r="C10688" t="s">
        <v>5883</v>
      </c>
      <c r="D10688" t="s">
        <v>17643</v>
      </c>
      <c r="E10688">
        <v>424003</v>
      </c>
      <c r="F10688" t="s">
        <v>1</v>
      </c>
      <c r="G10688" t="s">
        <v>2</v>
      </c>
      <c r="H10688" t="s">
        <v>2465</v>
      </c>
      <c r="Y10688" t="s">
        <v>2469</v>
      </c>
    </row>
    <row r="10689" spans="1:25" x14ac:dyDescent="0.25">
      <c r="A10689" t="str">
        <f>"142215002893"</f>
        <v>142215002893</v>
      </c>
      <c r="B10689" t="s">
        <v>930</v>
      </c>
      <c r="C10689" t="s">
        <v>1096</v>
      </c>
      <c r="D10689" t="s">
        <v>1096</v>
      </c>
      <c r="F10689" t="s">
        <v>1</v>
      </c>
      <c r="G10689" t="s">
        <v>2</v>
      </c>
      <c r="H10689" t="s">
        <v>12120</v>
      </c>
      <c r="Y10689" t="s">
        <v>40183</v>
      </c>
    </row>
    <row r="10690" spans="1:25" x14ac:dyDescent="0.25">
      <c r="A10690" t="str">
        <f>"142220220905"</f>
        <v>142220220905</v>
      </c>
      <c r="B10690" t="s">
        <v>88</v>
      </c>
      <c r="C10690" t="s">
        <v>6066</v>
      </c>
      <c r="D10690" t="s">
        <v>40184</v>
      </c>
      <c r="E10690">
        <v>424036</v>
      </c>
      <c r="F10690" t="s">
        <v>1</v>
      </c>
      <c r="G10690" t="s">
        <v>2</v>
      </c>
      <c r="H10690" t="s">
        <v>6072</v>
      </c>
      <c r="I10690" t="s">
        <v>40185</v>
      </c>
      <c r="L10690" t="s">
        <v>17195</v>
      </c>
      <c r="M10690" t="s">
        <v>17196</v>
      </c>
      <c r="Y10690" t="s">
        <v>17197</v>
      </c>
    </row>
    <row r="10691" spans="1:25" x14ac:dyDescent="0.25">
      <c r="A10691" t="str">
        <f>"142248843510"</f>
        <v>142248843510</v>
      </c>
      <c r="B10691" t="s">
        <v>790</v>
      </c>
      <c r="C10691" t="s">
        <v>4442</v>
      </c>
      <c r="D10691" t="s">
        <v>40186</v>
      </c>
      <c r="E10691">
        <v>424002</v>
      </c>
      <c r="F10691" t="s">
        <v>1</v>
      </c>
      <c r="G10691" t="s">
        <v>2</v>
      </c>
      <c r="H10691" t="s">
        <v>3421</v>
      </c>
      <c r="J10691" t="s">
        <v>40187</v>
      </c>
      <c r="P10691" t="s">
        <v>10486</v>
      </c>
      <c r="Q10691" t="s">
        <v>40188</v>
      </c>
      <c r="V10691" t="s">
        <v>40189</v>
      </c>
      <c r="Y10691" t="s">
        <v>40190</v>
      </c>
    </row>
    <row r="10692" spans="1:25" x14ac:dyDescent="0.25">
      <c r="A10692" t="str">
        <f>"142272210423"</f>
        <v>142272210423</v>
      </c>
      <c r="B10692" t="s">
        <v>2790</v>
      </c>
      <c r="C10692" t="s">
        <v>3528</v>
      </c>
      <c r="D10692" t="s">
        <v>40191</v>
      </c>
      <c r="E10692">
        <v>424031</v>
      </c>
      <c r="F10692" t="s">
        <v>1</v>
      </c>
      <c r="G10692" t="s">
        <v>2</v>
      </c>
      <c r="H10692" t="s">
        <v>25620</v>
      </c>
      <c r="J10692" t="s">
        <v>40192</v>
      </c>
      <c r="L10692" t="s">
        <v>40193</v>
      </c>
      <c r="P10692" t="s">
        <v>312</v>
      </c>
      <c r="Q10692" t="s">
        <v>40194</v>
      </c>
      <c r="Y10692" t="s">
        <v>40195</v>
      </c>
    </row>
    <row r="10693" spans="1:25" x14ac:dyDescent="0.25">
      <c r="A10693" t="str">
        <f>"142311692849"</f>
        <v>142311692849</v>
      </c>
      <c r="B10693" t="s">
        <v>32</v>
      </c>
      <c r="C10693" t="s">
        <v>182</v>
      </c>
      <c r="D10693" t="s">
        <v>27374</v>
      </c>
      <c r="E10693">
        <v>424036</v>
      </c>
      <c r="F10693" t="s">
        <v>1</v>
      </c>
      <c r="G10693" t="s">
        <v>2</v>
      </c>
      <c r="H10693" t="s">
        <v>40196</v>
      </c>
      <c r="I10693" t="s">
        <v>40197</v>
      </c>
      <c r="J10693" t="s">
        <v>40198</v>
      </c>
      <c r="P10693" t="s">
        <v>1027</v>
      </c>
      <c r="Y10693" t="s">
        <v>40199</v>
      </c>
    </row>
    <row r="10694" spans="1:25" x14ac:dyDescent="0.25">
      <c r="A10694" t="str">
        <f>"142327099291"</f>
        <v>142327099291</v>
      </c>
      <c r="B10694" t="s">
        <v>1352</v>
      </c>
      <c r="C10694" t="s">
        <v>33490</v>
      </c>
      <c r="D10694" t="s">
        <v>40200</v>
      </c>
      <c r="E10694">
        <v>424016</v>
      </c>
      <c r="F10694" t="s">
        <v>1</v>
      </c>
      <c r="G10694" t="s">
        <v>2</v>
      </c>
      <c r="H10694" t="s">
        <v>12130</v>
      </c>
      <c r="I10694" t="s">
        <v>40201</v>
      </c>
      <c r="P10694" t="s">
        <v>390</v>
      </c>
      <c r="Y10694" t="s">
        <v>29781</v>
      </c>
    </row>
    <row r="10695" spans="1:25" x14ac:dyDescent="0.25">
      <c r="A10695" t="str">
        <f>"142334344610"</f>
        <v>142334344610</v>
      </c>
      <c r="B10695" t="s">
        <v>348</v>
      </c>
      <c r="C10695" t="s">
        <v>4366</v>
      </c>
      <c r="D10695" t="s">
        <v>27778</v>
      </c>
      <c r="F10695" t="s">
        <v>1</v>
      </c>
      <c r="G10695" t="s">
        <v>2</v>
      </c>
      <c r="H10695" t="s">
        <v>29412</v>
      </c>
      <c r="I10695" t="s">
        <v>40202</v>
      </c>
      <c r="J10695" t="s">
        <v>40203</v>
      </c>
      <c r="M10695" t="s">
        <v>27780</v>
      </c>
      <c r="P10695" t="s">
        <v>941</v>
      </c>
      <c r="V10695" t="s">
        <v>27782</v>
      </c>
      <c r="Y10695" t="s">
        <v>40204</v>
      </c>
    </row>
    <row r="10696" spans="1:25" x14ac:dyDescent="0.25">
      <c r="A10696" t="str">
        <f>"142404159220"</f>
        <v>142404159220</v>
      </c>
      <c r="B10696" t="s">
        <v>574</v>
      </c>
      <c r="C10696" t="s">
        <v>646</v>
      </c>
      <c r="D10696" t="s">
        <v>4221</v>
      </c>
      <c r="F10696" t="s">
        <v>1</v>
      </c>
      <c r="G10696" t="s">
        <v>2</v>
      </c>
      <c r="H10696" t="s">
        <v>24670</v>
      </c>
      <c r="Y10696" t="s">
        <v>40205</v>
      </c>
    </row>
    <row r="10697" spans="1:25" x14ac:dyDescent="0.25">
      <c r="A10697" t="str">
        <f>"142414490934"</f>
        <v>142414490934</v>
      </c>
      <c r="B10697" t="s">
        <v>18</v>
      </c>
      <c r="C10697" t="s">
        <v>4522</v>
      </c>
      <c r="D10697" t="s">
        <v>40206</v>
      </c>
      <c r="E10697">
        <v>424032</v>
      </c>
      <c r="F10697" t="s">
        <v>1</v>
      </c>
      <c r="G10697" t="s">
        <v>2</v>
      </c>
      <c r="H10697" t="s">
        <v>30668</v>
      </c>
      <c r="P10697" t="s">
        <v>60</v>
      </c>
      <c r="Y10697" t="s">
        <v>40207</v>
      </c>
    </row>
    <row r="10698" spans="1:25" x14ac:dyDescent="0.25">
      <c r="A10698" t="str">
        <f>"142416739959"</f>
        <v>142416739959</v>
      </c>
      <c r="B10698" t="s">
        <v>110</v>
      </c>
      <c r="C10698" t="s">
        <v>38056</v>
      </c>
      <c r="D10698" t="s">
        <v>38056</v>
      </c>
      <c r="E10698">
        <v>424000</v>
      </c>
      <c r="F10698" t="s">
        <v>1</v>
      </c>
      <c r="G10698" t="s">
        <v>2</v>
      </c>
      <c r="H10698" t="s">
        <v>1531</v>
      </c>
      <c r="P10698" t="s">
        <v>1855</v>
      </c>
      <c r="Y10698" t="s">
        <v>1707</v>
      </c>
    </row>
    <row r="10699" spans="1:25" x14ac:dyDescent="0.25">
      <c r="A10699" t="str">
        <f>"142483200560"</f>
        <v>142483200560</v>
      </c>
      <c r="B10699" t="s">
        <v>7</v>
      </c>
      <c r="C10699" t="s">
        <v>29772</v>
      </c>
      <c r="D10699" t="s">
        <v>40208</v>
      </c>
      <c r="E10699">
        <v>424004</v>
      </c>
      <c r="F10699" t="s">
        <v>1</v>
      </c>
      <c r="G10699" t="s">
        <v>2</v>
      </c>
      <c r="H10699" t="s">
        <v>40209</v>
      </c>
      <c r="I10699" t="s">
        <v>8371</v>
      </c>
      <c r="L10699" t="s">
        <v>40210</v>
      </c>
      <c r="M10699" t="s">
        <v>40211</v>
      </c>
      <c r="P10699" t="s">
        <v>330</v>
      </c>
      <c r="Q10699" t="s">
        <v>40212</v>
      </c>
      <c r="V10699" t="s">
        <v>40213</v>
      </c>
      <c r="Y10699" t="s">
        <v>40214</v>
      </c>
    </row>
    <row r="10700" spans="1:25" x14ac:dyDescent="0.25">
      <c r="A10700" t="str">
        <f>"142485744932"</f>
        <v>142485744932</v>
      </c>
      <c r="B10700" t="s">
        <v>25</v>
      </c>
      <c r="C10700" t="s">
        <v>20320</v>
      </c>
      <c r="D10700" t="s">
        <v>40215</v>
      </c>
      <c r="E10700">
        <v>424016</v>
      </c>
      <c r="F10700" t="s">
        <v>1</v>
      </c>
      <c r="G10700" t="s">
        <v>2</v>
      </c>
      <c r="H10700" t="s">
        <v>28675</v>
      </c>
      <c r="Y10700" t="s">
        <v>40216</v>
      </c>
    </row>
    <row r="10701" spans="1:25" x14ac:dyDescent="0.25">
      <c r="A10701" t="str">
        <f>"142500746180"</f>
        <v>142500746180</v>
      </c>
      <c r="B10701" t="s">
        <v>123</v>
      </c>
      <c r="C10701" t="s">
        <v>196</v>
      </c>
      <c r="D10701" t="s">
        <v>10567</v>
      </c>
      <c r="E10701">
        <v>424033</v>
      </c>
      <c r="F10701" t="s">
        <v>1</v>
      </c>
      <c r="G10701" t="s">
        <v>2</v>
      </c>
      <c r="H10701" t="s">
        <v>32360</v>
      </c>
      <c r="I10701" t="s">
        <v>10569</v>
      </c>
      <c r="J10701" t="s">
        <v>10570</v>
      </c>
      <c r="P10701" t="s">
        <v>10571</v>
      </c>
      <c r="Y10701" t="s">
        <v>40217</v>
      </c>
    </row>
    <row r="10702" spans="1:25" x14ac:dyDescent="0.25">
      <c r="A10702" t="str">
        <f>"142544925923"</f>
        <v>142544925923</v>
      </c>
      <c r="B10702" t="s">
        <v>574</v>
      </c>
      <c r="C10702" t="s">
        <v>646</v>
      </c>
      <c r="D10702" t="s">
        <v>24115</v>
      </c>
      <c r="E10702">
        <v>424006</v>
      </c>
      <c r="F10702" t="s">
        <v>1</v>
      </c>
      <c r="G10702" t="s">
        <v>2</v>
      </c>
      <c r="H10702" t="s">
        <v>2775</v>
      </c>
      <c r="P10702" t="s">
        <v>21891</v>
      </c>
      <c r="Y10702" t="s">
        <v>2779</v>
      </c>
    </row>
    <row r="10703" spans="1:25" x14ac:dyDescent="0.25">
      <c r="A10703" t="str">
        <f>"142564415445"</f>
        <v>142564415445</v>
      </c>
      <c r="B10703" t="s">
        <v>18</v>
      </c>
      <c r="C10703" t="s">
        <v>959</v>
      </c>
      <c r="D10703" t="s">
        <v>40218</v>
      </c>
      <c r="E10703">
        <v>424003</v>
      </c>
      <c r="F10703" t="s">
        <v>1</v>
      </c>
      <c r="G10703" t="s">
        <v>2</v>
      </c>
      <c r="H10703" t="s">
        <v>25783</v>
      </c>
      <c r="I10703" t="s">
        <v>40219</v>
      </c>
      <c r="L10703" t="s">
        <v>40220</v>
      </c>
      <c r="M10703" t="s">
        <v>40221</v>
      </c>
      <c r="P10703" t="s">
        <v>340</v>
      </c>
      <c r="Y10703" t="s">
        <v>10521</v>
      </c>
    </row>
    <row r="10704" spans="1:25" x14ac:dyDescent="0.25">
      <c r="A10704" t="str">
        <f>"142609735332"</f>
        <v>142609735332</v>
      </c>
      <c r="B10704" t="s">
        <v>930</v>
      </c>
      <c r="C10704" t="s">
        <v>10263</v>
      </c>
      <c r="D10704" t="s">
        <v>10263</v>
      </c>
      <c r="E10704">
        <v>424019</v>
      </c>
      <c r="F10704" t="s">
        <v>1</v>
      </c>
      <c r="G10704" t="s">
        <v>2</v>
      </c>
      <c r="H10704" t="s">
        <v>22572</v>
      </c>
      <c r="Y10704" t="s">
        <v>30169</v>
      </c>
    </row>
    <row r="10705" spans="1:25" x14ac:dyDescent="0.25">
      <c r="A10705" t="str">
        <f>"142616529012"</f>
        <v>142616529012</v>
      </c>
      <c r="B10705" t="s">
        <v>574</v>
      </c>
      <c r="C10705" t="s">
        <v>29849</v>
      </c>
      <c r="D10705" t="s">
        <v>40222</v>
      </c>
      <c r="E10705">
        <v>424028</v>
      </c>
      <c r="F10705" t="s">
        <v>1</v>
      </c>
      <c r="G10705" t="s">
        <v>2</v>
      </c>
      <c r="H10705" t="s">
        <v>5034</v>
      </c>
      <c r="Q10705" t="s">
        <v>40223</v>
      </c>
      <c r="Y10705" t="s">
        <v>40224</v>
      </c>
    </row>
    <row r="10706" spans="1:25" x14ac:dyDescent="0.25">
      <c r="A10706" t="str">
        <f>"142632596138"</f>
        <v>142632596138</v>
      </c>
      <c r="B10706" t="s">
        <v>7</v>
      </c>
      <c r="C10706" t="s">
        <v>14013</v>
      </c>
      <c r="D10706" t="s">
        <v>16285</v>
      </c>
      <c r="E10706">
        <v>424004</v>
      </c>
      <c r="F10706" t="s">
        <v>1</v>
      </c>
      <c r="G10706" t="s">
        <v>2</v>
      </c>
      <c r="H10706" t="s">
        <v>40225</v>
      </c>
      <c r="I10706" t="s">
        <v>16286</v>
      </c>
      <c r="J10706" t="s">
        <v>16287</v>
      </c>
      <c r="P10706" t="s">
        <v>27</v>
      </c>
      <c r="Y10706" t="s">
        <v>40226</v>
      </c>
    </row>
    <row r="10707" spans="1:25" x14ac:dyDescent="0.25">
      <c r="A10707" t="str">
        <f>"142720157515"</f>
        <v>142720157515</v>
      </c>
      <c r="B10707" t="s">
        <v>32</v>
      </c>
      <c r="C10707" t="s">
        <v>40</v>
      </c>
      <c r="D10707" t="s">
        <v>40227</v>
      </c>
      <c r="E10707">
        <v>424002</v>
      </c>
      <c r="F10707" t="s">
        <v>1</v>
      </c>
      <c r="G10707" t="s">
        <v>2</v>
      </c>
      <c r="H10707" t="s">
        <v>6679</v>
      </c>
      <c r="Y10707" t="s">
        <v>40228</v>
      </c>
    </row>
    <row r="10708" spans="1:25" x14ac:dyDescent="0.25">
      <c r="A10708" t="str">
        <f>"142730190724"</f>
        <v>142730190724</v>
      </c>
      <c r="B10708" t="s">
        <v>117</v>
      </c>
      <c r="C10708" t="s">
        <v>6850</v>
      </c>
      <c r="D10708" t="s">
        <v>40229</v>
      </c>
      <c r="E10708">
        <v>424007</v>
      </c>
      <c r="F10708" t="s">
        <v>1</v>
      </c>
      <c r="G10708" t="s">
        <v>2</v>
      </c>
      <c r="H10708" t="s">
        <v>14490</v>
      </c>
      <c r="Y10708" t="s">
        <v>14493</v>
      </c>
    </row>
    <row r="10709" spans="1:25" x14ac:dyDescent="0.25">
      <c r="A10709" t="str">
        <f>"142783143090"</f>
        <v>142783143090</v>
      </c>
      <c r="B10709" t="s">
        <v>1046</v>
      </c>
      <c r="C10709" t="s">
        <v>2695</v>
      </c>
      <c r="D10709" t="s">
        <v>21762</v>
      </c>
      <c r="E10709">
        <v>424000</v>
      </c>
      <c r="F10709" t="s">
        <v>1</v>
      </c>
      <c r="G10709" t="s">
        <v>2</v>
      </c>
      <c r="H10709" t="s">
        <v>2193</v>
      </c>
      <c r="P10709" t="s">
        <v>330</v>
      </c>
      <c r="Q10709" t="s">
        <v>40230</v>
      </c>
      <c r="Y10709" t="s">
        <v>2196</v>
      </c>
    </row>
    <row r="10710" spans="1:25" x14ac:dyDescent="0.25">
      <c r="A10710" t="str">
        <f>"142819747171"</f>
        <v>142819747171</v>
      </c>
      <c r="B10710" t="s">
        <v>96</v>
      </c>
      <c r="C10710" t="s">
        <v>507</v>
      </c>
      <c r="D10710" t="s">
        <v>40231</v>
      </c>
      <c r="E10710">
        <v>424918</v>
      </c>
      <c r="F10710" t="s">
        <v>1</v>
      </c>
      <c r="G10710" t="s">
        <v>2</v>
      </c>
      <c r="H10710" t="s">
        <v>629</v>
      </c>
      <c r="P10710" t="s">
        <v>630</v>
      </c>
      <c r="Y10710" t="s">
        <v>40232</v>
      </c>
    </row>
    <row r="10711" spans="1:25" x14ac:dyDescent="0.25">
      <c r="A10711" t="str">
        <f>"142840122902"</f>
        <v>142840122902</v>
      </c>
      <c r="B10711" t="s">
        <v>96</v>
      </c>
      <c r="C10711" t="s">
        <v>695</v>
      </c>
      <c r="D10711" t="s">
        <v>12083</v>
      </c>
      <c r="E10711">
        <v>424037</v>
      </c>
      <c r="F10711" t="s">
        <v>1</v>
      </c>
      <c r="G10711" t="s">
        <v>2</v>
      </c>
      <c r="H10711" t="s">
        <v>3278</v>
      </c>
      <c r="Y10711" t="s">
        <v>3283</v>
      </c>
    </row>
    <row r="10712" spans="1:25" x14ac:dyDescent="0.25">
      <c r="A10712" t="str">
        <f>"142840211035"</f>
        <v>142840211035</v>
      </c>
      <c r="B10712" t="s">
        <v>348</v>
      </c>
      <c r="C10712" t="s">
        <v>4366</v>
      </c>
      <c r="D10712" t="s">
        <v>40233</v>
      </c>
      <c r="F10712" t="s">
        <v>1</v>
      </c>
      <c r="G10712" t="s">
        <v>2</v>
      </c>
      <c r="H10712" t="s">
        <v>138</v>
      </c>
      <c r="P10712" t="s">
        <v>330</v>
      </c>
      <c r="Y10712" t="s">
        <v>146</v>
      </c>
    </row>
    <row r="10713" spans="1:25" x14ac:dyDescent="0.25">
      <c r="A10713" t="str">
        <f>"142862802892"</f>
        <v>142862802892</v>
      </c>
      <c r="B10713" t="s">
        <v>930</v>
      </c>
      <c r="C10713" t="s">
        <v>37050</v>
      </c>
      <c r="D10713" t="s">
        <v>40234</v>
      </c>
      <c r="F10713" t="s">
        <v>1</v>
      </c>
      <c r="G10713" t="s">
        <v>2</v>
      </c>
      <c r="H10713" t="s">
        <v>25877</v>
      </c>
      <c r="I10713" t="s">
        <v>40235</v>
      </c>
      <c r="P10713" t="s">
        <v>40236</v>
      </c>
      <c r="Y10713" t="s">
        <v>30340</v>
      </c>
    </row>
    <row r="10714" spans="1:25" x14ac:dyDescent="0.25">
      <c r="A10714" t="str">
        <f>"142923057662"</f>
        <v>142923057662</v>
      </c>
      <c r="B10714" t="s">
        <v>1617</v>
      </c>
      <c r="C10714" t="s">
        <v>21001</v>
      </c>
      <c r="D10714" t="s">
        <v>20999</v>
      </c>
      <c r="E10714">
        <v>424038</v>
      </c>
      <c r="F10714" t="s">
        <v>1</v>
      </c>
      <c r="G10714" t="s">
        <v>2</v>
      </c>
      <c r="H10714" t="s">
        <v>12580</v>
      </c>
      <c r="P10714" t="s">
        <v>21118</v>
      </c>
      <c r="Y10714" t="s">
        <v>40237</v>
      </c>
    </row>
    <row r="10715" spans="1:25" x14ac:dyDescent="0.25">
      <c r="A10715" t="str">
        <f>"142959431781"</f>
        <v>142959431781</v>
      </c>
      <c r="B10715" t="s">
        <v>25</v>
      </c>
      <c r="C10715" t="s">
        <v>59</v>
      </c>
      <c r="D10715" t="s">
        <v>11494</v>
      </c>
      <c r="F10715" t="s">
        <v>1</v>
      </c>
      <c r="G10715" t="s">
        <v>2</v>
      </c>
      <c r="H10715" t="s">
        <v>24976</v>
      </c>
      <c r="I10715" t="s">
        <v>40238</v>
      </c>
      <c r="P10715" t="s">
        <v>27</v>
      </c>
      <c r="Y10715" t="s">
        <v>33609</v>
      </c>
    </row>
    <row r="10716" spans="1:25" x14ac:dyDescent="0.25">
      <c r="A10716" t="str">
        <f>"142961658694"</f>
        <v>142961658694</v>
      </c>
      <c r="B10716" t="s">
        <v>25</v>
      </c>
      <c r="C10716" t="s">
        <v>24938</v>
      </c>
      <c r="D10716" t="s">
        <v>40239</v>
      </c>
      <c r="F10716" t="s">
        <v>1</v>
      </c>
      <c r="G10716" t="s">
        <v>2</v>
      </c>
      <c r="H10716" t="s">
        <v>40240</v>
      </c>
      <c r="I10716" t="s">
        <v>28307</v>
      </c>
      <c r="L10716" t="s">
        <v>26146</v>
      </c>
      <c r="M10716" t="s">
        <v>40241</v>
      </c>
      <c r="P10716" t="s">
        <v>27</v>
      </c>
      <c r="Y10716" t="s">
        <v>40242</v>
      </c>
    </row>
    <row r="10717" spans="1:25" x14ac:dyDescent="0.25">
      <c r="A10717" t="str">
        <f>"143006063364"</f>
        <v>143006063364</v>
      </c>
      <c r="B10717" t="s">
        <v>978</v>
      </c>
      <c r="C10717" t="s">
        <v>1659</v>
      </c>
      <c r="D10717" t="s">
        <v>40243</v>
      </c>
      <c r="E10717">
        <v>424000</v>
      </c>
      <c r="F10717" t="s">
        <v>1</v>
      </c>
      <c r="G10717" t="s">
        <v>2</v>
      </c>
      <c r="H10717" t="s">
        <v>6578</v>
      </c>
      <c r="I10717" t="s">
        <v>40244</v>
      </c>
      <c r="L10717" t="s">
        <v>40245</v>
      </c>
      <c r="Q10717" t="s">
        <v>40246</v>
      </c>
      <c r="Y10717" t="s">
        <v>9940</v>
      </c>
    </row>
    <row r="10718" spans="1:25" x14ac:dyDescent="0.25">
      <c r="A10718" t="str">
        <f>"143014004538"</f>
        <v>143014004538</v>
      </c>
      <c r="B10718" t="s">
        <v>1573</v>
      </c>
      <c r="C10718" t="s">
        <v>1817</v>
      </c>
      <c r="D10718" t="s">
        <v>40247</v>
      </c>
      <c r="E10718">
        <v>424000</v>
      </c>
      <c r="F10718" t="s">
        <v>1</v>
      </c>
      <c r="G10718" t="s">
        <v>2</v>
      </c>
      <c r="H10718" t="s">
        <v>2202</v>
      </c>
      <c r="Y10718" t="s">
        <v>2204</v>
      </c>
    </row>
    <row r="10719" spans="1:25" x14ac:dyDescent="0.25">
      <c r="A10719" t="str">
        <f>"143031628960"</f>
        <v>143031628960</v>
      </c>
      <c r="B10719" t="s">
        <v>32</v>
      </c>
      <c r="C10719" t="s">
        <v>15493</v>
      </c>
      <c r="D10719" t="s">
        <v>40248</v>
      </c>
      <c r="E10719">
        <v>424000</v>
      </c>
      <c r="F10719" t="s">
        <v>1</v>
      </c>
      <c r="G10719" t="s">
        <v>2</v>
      </c>
      <c r="H10719" t="s">
        <v>34149</v>
      </c>
      <c r="J10719" t="s">
        <v>40249</v>
      </c>
      <c r="P10719" t="s">
        <v>312</v>
      </c>
      <c r="V10719" t="s">
        <v>40250</v>
      </c>
      <c r="Y10719" t="s">
        <v>40251</v>
      </c>
    </row>
    <row r="10720" spans="1:25" x14ac:dyDescent="0.25">
      <c r="A10720" t="str">
        <f>"143122522760"</f>
        <v>143122522760</v>
      </c>
      <c r="B10720" t="s">
        <v>574</v>
      </c>
      <c r="C10720" t="s">
        <v>22533</v>
      </c>
      <c r="D10720" t="s">
        <v>3057</v>
      </c>
      <c r="E10720">
        <v>424006</v>
      </c>
      <c r="F10720" t="s">
        <v>1</v>
      </c>
      <c r="G10720" t="s">
        <v>2</v>
      </c>
      <c r="H10720" t="s">
        <v>3436</v>
      </c>
      <c r="P10720" t="s">
        <v>9840</v>
      </c>
      <c r="Y10720" t="s">
        <v>40252</v>
      </c>
    </row>
    <row r="10721" spans="1:25" x14ac:dyDescent="0.25">
      <c r="A10721" t="str">
        <f>"143158372528"</f>
        <v>143158372528</v>
      </c>
      <c r="B10721" t="s">
        <v>456</v>
      </c>
      <c r="C10721" t="s">
        <v>40257</v>
      </c>
      <c r="D10721" t="s">
        <v>40253</v>
      </c>
      <c r="E10721">
        <v>424007</v>
      </c>
      <c r="F10721" t="s">
        <v>1</v>
      </c>
      <c r="G10721" t="s">
        <v>2</v>
      </c>
      <c r="H10721" t="s">
        <v>220</v>
      </c>
      <c r="J10721" t="s">
        <v>40254</v>
      </c>
      <c r="L10721" t="s">
        <v>40255</v>
      </c>
      <c r="M10721" t="s">
        <v>40256</v>
      </c>
      <c r="Y10721" t="s">
        <v>227</v>
      </c>
    </row>
    <row r="10722" spans="1:25" x14ac:dyDescent="0.25">
      <c r="A10722" t="str">
        <f>"143214784231"</f>
        <v>143214784231</v>
      </c>
      <c r="B10722" t="s">
        <v>1544</v>
      </c>
      <c r="C10722" t="s">
        <v>15598</v>
      </c>
      <c r="D10722" t="s">
        <v>40258</v>
      </c>
      <c r="E10722">
        <v>424028</v>
      </c>
      <c r="F10722" t="s">
        <v>1</v>
      </c>
      <c r="G10722" t="s">
        <v>2</v>
      </c>
      <c r="H10722" t="s">
        <v>518</v>
      </c>
      <c r="P10722" t="s">
        <v>40259</v>
      </c>
      <c r="Y10722" t="s">
        <v>40260</v>
      </c>
    </row>
    <row r="10723" spans="1:25" x14ac:dyDescent="0.25">
      <c r="A10723" t="str">
        <f>"143223351475"</f>
        <v>143223351475</v>
      </c>
      <c r="B10723" t="s">
        <v>151</v>
      </c>
      <c r="C10723" t="s">
        <v>4240</v>
      </c>
      <c r="D10723" t="s">
        <v>10304</v>
      </c>
      <c r="E10723">
        <v>424033</v>
      </c>
      <c r="F10723" t="s">
        <v>1</v>
      </c>
      <c r="G10723" t="s">
        <v>2</v>
      </c>
      <c r="H10723" t="s">
        <v>9700</v>
      </c>
      <c r="Y10723" t="s">
        <v>40261</v>
      </c>
    </row>
    <row r="10724" spans="1:25" x14ac:dyDescent="0.25">
      <c r="A10724" t="str">
        <f>"143269499509"</f>
        <v>143269499509</v>
      </c>
      <c r="B10724" t="s">
        <v>930</v>
      </c>
      <c r="C10724" t="s">
        <v>1096</v>
      </c>
      <c r="D10724" t="s">
        <v>40262</v>
      </c>
      <c r="F10724" t="s">
        <v>1</v>
      </c>
      <c r="G10724" t="s">
        <v>2</v>
      </c>
      <c r="H10724" t="s">
        <v>6365</v>
      </c>
      <c r="Y10724" t="s">
        <v>40263</v>
      </c>
    </row>
    <row r="10725" spans="1:25" x14ac:dyDescent="0.25">
      <c r="A10725" t="str">
        <f>"143326753873"</f>
        <v>143326753873</v>
      </c>
      <c r="B10725" t="s">
        <v>25</v>
      </c>
      <c r="C10725" t="s">
        <v>20320</v>
      </c>
      <c r="D10725" t="s">
        <v>40264</v>
      </c>
      <c r="F10725" t="s">
        <v>1</v>
      </c>
      <c r="G10725" t="s">
        <v>2</v>
      </c>
      <c r="H10725" t="s">
        <v>39237</v>
      </c>
      <c r="Y10725" t="s">
        <v>40265</v>
      </c>
    </row>
    <row r="10726" spans="1:25" x14ac:dyDescent="0.25">
      <c r="A10726" t="str">
        <f>"143333068644"</f>
        <v>143333068644</v>
      </c>
      <c r="B10726" t="s">
        <v>574</v>
      </c>
      <c r="C10726" t="s">
        <v>10644</v>
      </c>
      <c r="D10726" t="s">
        <v>25486</v>
      </c>
      <c r="E10726">
        <v>424031</v>
      </c>
      <c r="F10726" t="s">
        <v>1</v>
      </c>
      <c r="G10726" t="s">
        <v>2</v>
      </c>
      <c r="H10726" t="s">
        <v>1502</v>
      </c>
      <c r="I10726" t="s">
        <v>25488</v>
      </c>
      <c r="L10726" t="s">
        <v>18047</v>
      </c>
      <c r="M10726" t="s">
        <v>18048</v>
      </c>
      <c r="P10726" t="s">
        <v>647</v>
      </c>
      <c r="Y10726" t="s">
        <v>40266</v>
      </c>
    </row>
    <row r="10727" spans="1:25" x14ac:dyDescent="0.25">
      <c r="A10727" t="str">
        <f>"143393128125"</f>
        <v>143393128125</v>
      </c>
      <c r="B10727" t="s">
        <v>1053</v>
      </c>
      <c r="C10727" t="s">
        <v>1927</v>
      </c>
      <c r="D10727" t="s">
        <v>7400</v>
      </c>
      <c r="E10727">
        <v>424038</v>
      </c>
      <c r="F10727" t="s">
        <v>1</v>
      </c>
      <c r="G10727" t="s">
        <v>2</v>
      </c>
      <c r="H10727" t="s">
        <v>5286</v>
      </c>
      <c r="J10727" t="s">
        <v>40267</v>
      </c>
      <c r="Y10727" t="s">
        <v>40268</v>
      </c>
    </row>
    <row r="10728" spans="1:25" x14ac:dyDescent="0.25">
      <c r="A10728" t="str">
        <f>"143410429816"</f>
        <v>143410429816</v>
      </c>
      <c r="B10728" t="s">
        <v>574</v>
      </c>
      <c r="C10728" t="s">
        <v>23520</v>
      </c>
      <c r="D10728" t="s">
        <v>40269</v>
      </c>
      <c r="E10728">
        <v>424036</v>
      </c>
      <c r="F10728" t="s">
        <v>1</v>
      </c>
      <c r="G10728" t="s">
        <v>2</v>
      </c>
      <c r="H10728" t="s">
        <v>375</v>
      </c>
      <c r="Y10728" t="s">
        <v>40270</v>
      </c>
    </row>
    <row r="10729" spans="1:25" x14ac:dyDescent="0.25">
      <c r="A10729" t="str">
        <f>"143438763561"</f>
        <v>143438763561</v>
      </c>
      <c r="B10729" t="s">
        <v>574</v>
      </c>
      <c r="C10729" t="s">
        <v>646</v>
      </c>
      <c r="D10729" t="s">
        <v>40271</v>
      </c>
      <c r="E10729">
        <v>424040</v>
      </c>
      <c r="F10729" t="s">
        <v>1</v>
      </c>
      <c r="G10729" t="s">
        <v>2</v>
      </c>
      <c r="H10729" t="s">
        <v>40272</v>
      </c>
      <c r="J10729" t="s">
        <v>40273</v>
      </c>
      <c r="P10729" t="s">
        <v>21343</v>
      </c>
      <c r="Y10729" t="s">
        <v>40274</v>
      </c>
    </row>
    <row r="10730" spans="1:25" x14ac:dyDescent="0.25">
      <c r="A10730" t="str">
        <f>"143463287091"</f>
        <v>143463287091</v>
      </c>
      <c r="B10730" t="s">
        <v>188</v>
      </c>
      <c r="C10730" t="s">
        <v>8311</v>
      </c>
      <c r="D10730" t="s">
        <v>40275</v>
      </c>
      <c r="E10730">
        <v>424002</v>
      </c>
      <c r="F10730" t="s">
        <v>1</v>
      </c>
      <c r="G10730" t="s">
        <v>2</v>
      </c>
      <c r="H10730" t="s">
        <v>570</v>
      </c>
      <c r="I10730" t="s">
        <v>40276</v>
      </c>
      <c r="L10730" t="s">
        <v>40277</v>
      </c>
      <c r="M10730" t="s">
        <v>40278</v>
      </c>
      <c r="P10730" t="s">
        <v>4831</v>
      </c>
      <c r="Y10730" t="s">
        <v>18782</v>
      </c>
    </row>
    <row r="10731" spans="1:25" x14ac:dyDescent="0.25">
      <c r="A10731" t="str">
        <f>"143484591084"</f>
        <v>143484591084</v>
      </c>
      <c r="B10731" t="s">
        <v>4084</v>
      </c>
      <c r="C10731" t="s">
        <v>28282</v>
      </c>
      <c r="D10731" t="s">
        <v>28461</v>
      </c>
      <c r="E10731">
        <v>424918</v>
      </c>
      <c r="F10731" t="s">
        <v>1</v>
      </c>
      <c r="G10731" t="s">
        <v>2</v>
      </c>
      <c r="H10731" t="s">
        <v>629</v>
      </c>
      <c r="P10731" t="s">
        <v>630</v>
      </c>
      <c r="Y10731" t="s">
        <v>1744</v>
      </c>
    </row>
    <row r="10732" spans="1:25" x14ac:dyDescent="0.25">
      <c r="A10732" t="str">
        <f>"143490496705"</f>
        <v>143490496705</v>
      </c>
      <c r="B10732" t="s">
        <v>3008</v>
      </c>
      <c r="C10732" t="s">
        <v>40281</v>
      </c>
      <c r="D10732" t="s">
        <v>40279</v>
      </c>
      <c r="F10732" t="s">
        <v>1</v>
      </c>
      <c r="G10732" t="s">
        <v>2</v>
      </c>
      <c r="H10732" t="s">
        <v>1600</v>
      </c>
      <c r="I10732" t="s">
        <v>40280</v>
      </c>
      <c r="P10732" t="s">
        <v>799</v>
      </c>
      <c r="Y10732" t="s">
        <v>40282</v>
      </c>
    </row>
    <row r="10733" spans="1:25" x14ac:dyDescent="0.25">
      <c r="A10733" t="str">
        <f>"143515666272"</f>
        <v>143515666272</v>
      </c>
      <c r="B10733" t="s">
        <v>3544</v>
      </c>
      <c r="C10733" t="s">
        <v>11303</v>
      </c>
      <c r="D10733" t="s">
        <v>40283</v>
      </c>
      <c r="E10733">
        <v>424038</v>
      </c>
      <c r="F10733" t="s">
        <v>1</v>
      </c>
      <c r="G10733" t="s">
        <v>2</v>
      </c>
      <c r="H10733" t="s">
        <v>386</v>
      </c>
      <c r="Y10733" t="s">
        <v>40284</v>
      </c>
    </row>
    <row r="10734" spans="1:25" x14ac:dyDescent="0.25">
      <c r="A10734" t="str">
        <f>"143584909226"</f>
        <v>143584909226</v>
      </c>
      <c r="B10734" t="s">
        <v>574</v>
      </c>
      <c r="C10734" t="s">
        <v>37122</v>
      </c>
      <c r="D10734" t="s">
        <v>37121</v>
      </c>
      <c r="E10734">
        <v>424019</v>
      </c>
      <c r="F10734" t="s">
        <v>1</v>
      </c>
      <c r="G10734" t="s">
        <v>2</v>
      </c>
      <c r="H10734" t="s">
        <v>40285</v>
      </c>
      <c r="Y10734" t="s">
        <v>40286</v>
      </c>
    </row>
    <row r="10735" spans="1:25" x14ac:dyDescent="0.25">
      <c r="A10735" t="str">
        <f>"143591051458"</f>
        <v>143591051458</v>
      </c>
      <c r="B10735" t="s">
        <v>110</v>
      </c>
      <c r="C10735" t="s">
        <v>111</v>
      </c>
      <c r="D10735" t="s">
        <v>1115</v>
      </c>
      <c r="E10735">
        <v>424031</v>
      </c>
      <c r="F10735" t="s">
        <v>1</v>
      </c>
      <c r="G10735" t="s">
        <v>2</v>
      </c>
      <c r="H10735" t="s">
        <v>12294</v>
      </c>
      <c r="Y10735" t="s">
        <v>40287</v>
      </c>
    </row>
    <row r="10736" spans="1:25" x14ac:dyDescent="0.25">
      <c r="A10736" t="str">
        <f>"143645284602"</f>
        <v>143645284602</v>
      </c>
      <c r="B10736" t="s">
        <v>3700</v>
      </c>
      <c r="C10736" t="s">
        <v>4023</v>
      </c>
      <c r="D10736" t="s">
        <v>40288</v>
      </c>
      <c r="E10736">
        <v>424039</v>
      </c>
      <c r="F10736" t="s">
        <v>1</v>
      </c>
      <c r="G10736" t="s">
        <v>2</v>
      </c>
      <c r="H10736" t="s">
        <v>5827</v>
      </c>
      <c r="J10736" t="s">
        <v>40289</v>
      </c>
      <c r="P10736" t="s">
        <v>1855</v>
      </c>
      <c r="Q10736" t="s">
        <v>40290</v>
      </c>
      <c r="Y10736" t="s">
        <v>27950</v>
      </c>
    </row>
    <row r="10737" spans="1:25" x14ac:dyDescent="0.25">
      <c r="A10737" t="str">
        <f>"143691696221"</f>
        <v>143691696221</v>
      </c>
      <c r="B10737" t="s">
        <v>930</v>
      </c>
      <c r="C10737" t="s">
        <v>927</v>
      </c>
      <c r="D10737" t="s">
        <v>40291</v>
      </c>
      <c r="F10737" t="s">
        <v>1</v>
      </c>
      <c r="G10737" t="s">
        <v>2</v>
      </c>
      <c r="H10737" t="s">
        <v>8989</v>
      </c>
      <c r="Y10737" t="s">
        <v>40292</v>
      </c>
    </row>
    <row r="10738" spans="1:25" x14ac:dyDescent="0.25">
      <c r="A10738" t="str">
        <f>"143692768451"</f>
        <v>143692768451</v>
      </c>
      <c r="B10738" t="s">
        <v>1475</v>
      </c>
      <c r="C10738" t="s">
        <v>1476</v>
      </c>
      <c r="D10738" t="s">
        <v>2184</v>
      </c>
      <c r="E10738">
        <v>424006</v>
      </c>
      <c r="F10738" t="s">
        <v>1</v>
      </c>
      <c r="G10738" t="s">
        <v>2</v>
      </c>
      <c r="H10738" t="s">
        <v>2185</v>
      </c>
      <c r="Y10738" t="s">
        <v>40293</v>
      </c>
    </row>
    <row r="10739" spans="1:25" x14ac:dyDescent="0.25">
      <c r="A10739" t="str">
        <f>"143734091865"</f>
        <v>143734091865</v>
      </c>
      <c r="B10739" t="s">
        <v>117</v>
      </c>
      <c r="C10739" t="s">
        <v>873</v>
      </c>
      <c r="D10739" t="s">
        <v>873</v>
      </c>
      <c r="E10739">
        <v>424038</v>
      </c>
      <c r="F10739" t="s">
        <v>1</v>
      </c>
      <c r="G10739" t="s">
        <v>2</v>
      </c>
      <c r="H10739" t="s">
        <v>5286</v>
      </c>
      <c r="Y10739" t="s">
        <v>40294</v>
      </c>
    </row>
    <row r="10740" spans="1:25" x14ac:dyDescent="0.25">
      <c r="A10740" t="str">
        <f>"143738033918"</f>
        <v>143738033918</v>
      </c>
      <c r="B10740" t="s">
        <v>39072</v>
      </c>
      <c r="C10740" t="s">
        <v>40297</v>
      </c>
      <c r="D10740" t="s">
        <v>40295</v>
      </c>
      <c r="F10740" t="s">
        <v>1</v>
      </c>
      <c r="G10740" t="s">
        <v>2</v>
      </c>
      <c r="H10740" t="s">
        <v>23969</v>
      </c>
      <c r="M10740" t="s">
        <v>40296</v>
      </c>
      <c r="Y10740" t="s">
        <v>40298</v>
      </c>
    </row>
    <row r="10741" spans="1:25" x14ac:dyDescent="0.25">
      <c r="A10741" t="str">
        <f>"143763066764"</f>
        <v>143763066764</v>
      </c>
      <c r="B10741" t="s">
        <v>110</v>
      </c>
      <c r="C10741" t="s">
        <v>38281</v>
      </c>
      <c r="D10741" t="s">
        <v>40299</v>
      </c>
      <c r="E10741">
        <v>424003</v>
      </c>
      <c r="F10741" t="s">
        <v>1</v>
      </c>
      <c r="G10741" t="s">
        <v>2</v>
      </c>
      <c r="H10741" t="s">
        <v>3158</v>
      </c>
      <c r="I10741" t="s">
        <v>40300</v>
      </c>
      <c r="P10741" t="s">
        <v>4459</v>
      </c>
      <c r="Y10741" t="s">
        <v>6780</v>
      </c>
    </row>
    <row r="10742" spans="1:25" x14ac:dyDescent="0.25">
      <c r="A10742" t="str">
        <f>"143821923752"</f>
        <v>143821923752</v>
      </c>
      <c r="B10742" t="s">
        <v>25</v>
      </c>
      <c r="C10742" t="s">
        <v>40305</v>
      </c>
      <c r="D10742" t="s">
        <v>40301</v>
      </c>
      <c r="E10742">
        <v>424036</v>
      </c>
      <c r="F10742" t="s">
        <v>1</v>
      </c>
      <c r="G10742" t="s">
        <v>2</v>
      </c>
      <c r="H10742" t="s">
        <v>13325</v>
      </c>
      <c r="I10742" t="s">
        <v>40302</v>
      </c>
      <c r="L10742" t="s">
        <v>40303</v>
      </c>
      <c r="M10742" t="s">
        <v>40304</v>
      </c>
      <c r="P10742" t="s">
        <v>312</v>
      </c>
      <c r="Q10742" t="s">
        <v>40306</v>
      </c>
      <c r="R10742" t="s">
        <v>40307</v>
      </c>
      <c r="T10742" t="s">
        <v>40308</v>
      </c>
      <c r="V10742" t="s">
        <v>40309</v>
      </c>
      <c r="Y10742" t="s">
        <v>40310</v>
      </c>
    </row>
    <row r="10743" spans="1:25" x14ac:dyDescent="0.25">
      <c r="A10743" t="str">
        <f>"143854308598"</f>
        <v>143854308598</v>
      </c>
      <c r="B10743" t="s">
        <v>1152</v>
      </c>
      <c r="C10743" t="s">
        <v>1153</v>
      </c>
      <c r="D10743" t="s">
        <v>10280</v>
      </c>
      <c r="E10743">
        <v>424028</v>
      </c>
      <c r="F10743" t="s">
        <v>1</v>
      </c>
      <c r="G10743" t="s">
        <v>2</v>
      </c>
      <c r="H10743" t="s">
        <v>40311</v>
      </c>
      <c r="I10743" t="s">
        <v>22092</v>
      </c>
      <c r="M10743" t="s">
        <v>10284</v>
      </c>
      <c r="Q10743" t="s">
        <v>10286</v>
      </c>
      <c r="R10743" t="s">
        <v>10287</v>
      </c>
      <c r="S10743" t="s">
        <v>10288</v>
      </c>
      <c r="T10743" t="s">
        <v>10289</v>
      </c>
      <c r="U10743" t="s">
        <v>10290</v>
      </c>
      <c r="V10743" t="s">
        <v>10291</v>
      </c>
      <c r="Y10743" t="s">
        <v>40312</v>
      </c>
    </row>
    <row r="10744" spans="1:25" x14ac:dyDescent="0.25">
      <c r="A10744" t="str">
        <f>"143868195829"</f>
        <v>143868195829</v>
      </c>
      <c r="B10744" t="s">
        <v>7849</v>
      </c>
      <c r="C10744" t="s">
        <v>10351</v>
      </c>
      <c r="D10744" t="s">
        <v>40313</v>
      </c>
      <c r="E10744">
        <v>424000</v>
      </c>
      <c r="F10744" t="s">
        <v>1</v>
      </c>
      <c r="G10744" t="s">
        <v>2</v>
      </c>
      <c r="H10744" t="s">
        <v>4427</v>
      </c>
      <c r="Y10744" t="s">
        <v>40314</v>
      </c>
    </row>
    <row r="10745" spans="1:25" x14ac:dyDescent="0.25">
      <c r="A10745" t="str">
        <f>"143868587951"</f>
        <v>143868587951</v>
      </c>
      <c r="B10745" t="s">
        <v>48</v>
      </c>
      <c r="C10745" t="s">
        <v>16070</v>
      </c>
      <c r="D10745" t="s">
        <v>40315</v>
      </c>
      <c r="E10745">
        <v>424002</v>
      </c>
      <c r="F10745" t="s">
        <v>1</v>
      </c>
      <c r="G10745" t="s">
        <v>2</v>
      </c>
      <c r="H10745" t="s">
        <v>6597</v>
      </c>
      <c r="I10745" t="s">
        <v>40316</v>
      </c>
      <c r="P10745" t="s">
        <v>40317</v>
      </c>
      <c r="Q10745" t="s">
        <v>40318</v>
      </c>
      <c r="Y10745" t="s">
        <v>40319</v>
      </c>
    </row>
    <row r="10746" spans="1:25" x14ac:dyDescent="0.25">
      <c r="A10746" t="str">
        <f>"143873619913"</f>
        <v>143873619913</v>
      </c>
      <c r="B10746" t="s">
        <v>1053</v>
      </c>
      <c r="C10746" t="s">
        <v>11726</v>
      </c>
      <c r="D10746" t="s">
        <v>40320</v>
      </c>
      <c r="E10746">
        <v>424008</v>
      </c>
      <c r="F10746" t="s">
        <v>1</v>
      </c>
      <c r="G10746" t="s">
        <v>2</v>
      </c>
      <c r="H10746" t="s">
        <v>6283</v>
      </c>
      <c r="I10746" t="s">
        <v>40321</v>
      </c>
      <c r="L10746" t="s">
        <v>40322</v>
      </c>
      <c r="M10746" t="s">
        <v>40323</v>
      </c>
      <c r="P10746" t="s">
        <v>20</v>
      </c>
      <c r="Y10746" t="s">
        <v>6288</v>
      </c>
    </row>
    <row r="10747" spans="1:25" x14ac:dyDescent="0.25">
      <c r="A10747" t="str">
        <f>"143875778065"</f>
        <v>143875778065</v>
      </c>
      <c r="B10747" t="s">
        <v>96</v>
      </c>
      <c r="C10747" t="s">
        <v>40326</v>
      </c>
      <c r="D10747" t="s">
        <v>40324</v>
      </c>
      <c r="E10747">
        <v>424039</v>
      </c>
      <c r="F10747" t="s">
        <v>1</v>
      </c>
      <c r="G10747" t="s">
        <v>2</v>
      </c>
      <c r="H10747" t="s">
        <v>17375</v>
      </c>
      <c r="I10747" t="s">
        <v>40325</v>
      </c>
      <c r="P10747" t="s">
        <v>941</v>
      </c>
      <c r="Q10747" t="s">
        <v>40327</v>
      </c>
      <c r="Y10747" t="s">
        <v>17381</v>
      </c>
    </row>
    <row r="10748" spans="1:25" x14ac:dyDescent="0.25">
      <c r="A10748" t="str">
        <f>"143887653197"</f>
        <v>143887653197</v>
      </c>
      <c r="B10748" t="s">
        <v>96</v>
      </c>
      <c r="C10748" t="s">
        <v>3621</v>
      </c>
      <c r="D10748" t="s">
        <v>40328</v>
      </c>
      <c r="E10748">
        <v>424019</v>
      </c>
      <c r="F10748" t="s">
        <v>1</v>
      </c>
      <c r="G10748" t="s">
        <v>2</v>
      </c>
      <c r="H10748" t="s">
        <v>1467</v>
      </c>
      <c r="Y10748" t="s">
        <v>1630</v>
      </c>
    </row>
    <row r="10749" spans="1:25" x14ac:dyDescent="0.25">
      <c r="A10749" t="str">
        <f>"143888000754"</f>
        <v>143888000754</v>
      </c>
      <c r="B10749" t="s">
        <v>530</v>
      </c>
      <c r="C10749" t="s">
        <v>23950</v>
      </c>
      <c r="D10749" t="s">
        <v>23950</v>
      </c>
      <c r="E10749">
        <v>424028</v>
      </c>
      <c r="F10749" t="s">
        <v>1</v>
      </c>
      <c r="G10749" t="s">
        <v>2</v>
      </c>
      <c r="H10749" t="s">
        <v>23999</v>
      </c>
      <c r="Y10749" t="s">
        <v>40329</v>
      </c>
    </row>
    <row r="10750" spans="1:25" x14ac:dyDescent="0.25">
      <c r="A10750" t="str">
        <f>"143892045608"</f>
        <v>143892045608</v>
      </c>
      <c r="B10750" t="s">
        <v>930</v>
      </c>
      <c r="C10750" t="s">
        <v>927</v>
      </c>
      <c r="D10750" t="s">
        <v>927</v>
      </c>
      <c r="E10750">
        <v>424006</v>
      </c>
      <c r="F10750" t="s">
        <v>1</v>
      </c>
      <c r="G10750" t="s">
        <v>2</v>
      </c>
      <c r="H10750" t="s">
        <v>21298</v>
      </c>
      <c r="Y10750" t="s">
        <v>40330</v>
      </c>
    </row>
    <row r="10751" spans="1:25" x14ac:dyDescent="0.25">
      <c r="A10751" t="str">
        <f>"143900741986"</f>
        <v>143900741986</v>
      </c>
      <c r="B10751" t="s">
        <v>32</v>
      </c>
      <c r="C10751" t="s">
        <v>38211</v>
      </c>
      <c r="D10751" t="s">
        <v>40331</v>
      </c>
      <c r="F10751" t="s">
        <v>1</v>
      </c>
      <c r="G10751" t="s">
        <v>2</v>
      </c>
      <c r="H10751" t="s">
        <v>25791</v>
      </c>
      <c r="Y10751" t="s">
        <v>40332</v>
      </c>
    </row>
    <row r="10752" spans="1:25" x14ac:dyDescent="0.25">
      <c r="A10752" t="str">
        <f>"143999709469"</f>
        <v>143999709469</v>
      </c>
      <c r="B10752" t="s">
        <v>188</v>
      </c>
      <c r="C10752" t="s">
        <v>24568</v>
      </c>
      <c r="D10752" t="s">
        <v>24568</v>
      </c>
      <c r="E10752">
        <v>424008</v>
      </c>
      <c r="F10752" t="s">
        <v>1</v>
      </c>
      <c r="G10752" t="s">
        <v>2</v>
      </c>
      <c r="H10752" t="s">
        <v>37503</v>
      </c>
      <c r="Y10752" t="s">
        <v>40333</v>
      </c>
    </row>
    <row r="10753" spans="1:25" x14ac:dyDescent="0.25">
      <c r="A10753" t="str">
        <f>"144035206187"</f>
        <v>144035206187</v>
      </c>
      <c r="B10753" t="s">
        <v>1053</v>
      </c>
      <c r="C10753" t="s">
        <v>1927</v>
      </c>
      <c r="D10753" t="s">
        <v>40334</v>
      </c>
      <c r="E10753">
        <v>424004</v>
      </c>
      <c r="F10753" t="s">
        <v>1</v>
      </c>
      <c r="G10753" t="s">
        <v>2</v>
      </c>
      <c r="H10753" t="s">
        <v>13630</v>
      </c>
      <c r="Y10753" t="s">
        <v>22090</v>
      </c>
    </row>
    <row r="10754" spans="1:25" x14ac:dyDescent="0.25">
      <c r="A10754" t="str">
        <f>"144042370903"</f>
        <v>144042370903</v>
      </c>
      <c r="B10754" t="s">
        <v>1475</v>
      </c>
      <c r="C10754" t="s">
        <v>1476</v>
      </c>
      <c r="D10754" t="s">
        <v>40335</v>
      </c>
      <c r="E10754">
        <v>424000</v>
      </c>
      <c r="F10754" t="s">
        <v>1</v>
      </c>
      <c r="G10754" t="s">
        <v>2</v>
      </c>
      <c r="H10754" t="s">
        <v>1746</v>
      </c>
      <c r="Y10754" t="s">
        <v>40336</v>
      </c>
    </row>
    <row r="10755" spans="1:25" x14ac:dyDescent="0.25">
      <c r="A10755" t="str">
        <f>"144098109681"</f>
        <v>144098109681</v>
      </c>
      <c r="B10755" t="s">
        <v>1222</v>
      </c>
      <c r="C10755" t="s">
        <v>40341</v>
      </c>
      <c r="D10755" t="s">
        <v>40337</v>
      </c>
      <c r="E10755">
        <v>424002</v>
      </c>
      <c r="F10755" t="s">
        <v>1</v>
      </c>
      <c r="G10755" t="s">
        <v>2</v>
      </c>
      <c r="H10755" t="s">
        <v>2338</v>
      </c>
      <c r="J10755" t="s">
        <v>40338</v>
      </c>
      <c r="L10755" t="s">
        <v>40339</v>
      </c>
      <c r="M10755" t="s">
        <v>40340</v>
      </c>
      <c r="P10755" t="s">
        <v>4459</v>
      </c>
      <c r="Q10755" t="s">
        <v>40342</v>
      </c>
      <c r="Y10755" t="s">
        <v>2954</v>
      </c>
    </row>
    <row r="10756" spans="1:25" x14ac:dyDescent="0.25">
      <c r="A10756" t="str">
        <f>"144108550992"</f>
        <v>144108550992</v>
      </c>
      <c r="B10756" t="s">
        <v>456</v>
      </c>
      <c r="C10756" t="s">
        <v>2040</v>
      </c>
      <c r="D10756" t="s">
        <v>40343</v>
      </c>
      <c r="E10756">
        <v>424002</v>
      </c>
      <c r="F10756" t="s">
        <v>1</v>
      </c>
      <c r="G10756" t="s">
        <v>2</v>
      </c>
      <c r="H10756" t="s">
        <v>2714</v>
      </c>
      <c r="I10756" t="s">
        <v>40344</v>
      </c>
      <c r="L10756" t="s">
        <v>40345</v>
      </c>
      <c r="M10756" t="s">
        <v>40346</v>
      </c>
      <c r="Y10756" t="s">
        <v>2715</v>
      </c>
    </row>
    <row r="10757" spans="1:25" x14ac:dyDescent="0.25">
      <c r="A10757" t="str">
        <f>"144122977626"</f>
        <v>144122977626</v>
      </c>
      <c r="B10757" t="s">
        <v>1343</v>
      </c>
      <c r="C10757" t="s">
        <v>7789</v>
      </c>
      <c r="D10757" t="s">
        <v>40347</v>
      </c>
      <c r="E10757">
        <v>424038</v>
      </c>
      <c r="F10757" t="s">
        <v>1</v>
      </c>
      <c r="G10757" t="s">
        <v>2</v>
      </c>
      <c r="H10757" t="s">
        <v>19499</v>
      </c>
      <c r="J10757" t="s">
        <v>40348</v>
      </c>
      <c r="L10757" t="s">
        <v>40349</v>
      </c>
      <c r="P10757" t="s">
        <v>40350</v>
      </c>
      <c r="Q10757" t="s">
        <v>40351</v>
      </c>
      <c r="V10757" t="s">
        <v>40352</v>
      </c>
      <c r="Y10757" t="s">
        <v>24185</v>
      </c>
    </row>
    <row r="10758" spans="1:25" x14ac:dyDescent="0.25">
      <c r="A10758" t="str">
        <f>"144147728209"</f>
        <v>144147728209</v>
      </c>
      <c r="B10758" t="s">
        <v>96</v>
      </c>
      <c r="C10758" t="s">
        <v>893</v>
      </c>
      <c r="D10758" t="s">
        <v>40353</v>
      </c>
      <c r="E10758">
        <v>424000</v>
      </c>
      <c r="F10758" t="s">
        <v>1</v>
      </c>
      <c r="G10758" t="s">
        <v>2</v>
      </c>
      <c r="H10758" t="s">
        <v>1531</v>
      </c>
      <c r="Y10758" t="s">
        <v>1707</v>
      </c>
    </row>
    <row r="10759" spans="1:25" x14ac:dyDescent="0.25">
      <c r="A10759" t="str">
        <f>"144180623144"</f>
        <v>144180623144</v>
      </c>
      <c r="B10759" t="s">
        <v>574</v>
      </c>
      <c r="C10759" t="s">
        <v>40354</v>
      </c>
      <c r="D10759" t="s">
        <v>32395</v>
      </c>
      <c r="E10759">
        <v>424020</v>
      </c>
      <c r="F10759" t="s">
        <v>1</v>
      </c>
      <c r="G10759" t="s">
        <v>2</v>
      </c>
      <c r="H10759" t="s">
        <v>23</v>
      </c>
      <c r="J10759" t="s">
        <v>32396</v>
      </c>
      <c r="P10759" t="s">
        <v>11415</v>
      </c>
      <c r="Q10759" t="s">
        <v>40355</v>
      </c>
      <c r="Y10759" t="s">
        <v>26334</v>
      </c>
    </row>
    <row r="10760" spans="1:25" x14ac:dyDescent="0.25">
      <c r="A10760" t="str">
        <f>"144183158769"</f>
        <v>144183158769</v>
      </c>
      <c r="B10760" t="s">
        <v>32</v>
      </c>
      <c r="C10760" t="s">
        <v>5809</v>
      </c>
      <c r="D10760" t="s">
        <v>40356</v>
      </c>
      <c r="E10760">
        <v>424007</v>
      </c>
      <c r="F10760" t="s">
        <v>1</v>
      </c>
      <c r="G10760" t="s">
        <v>2</v>
      </c>
      <c r="H10760" t="s">
        <v>25707</v>
      </c>
      <c r="J10760" t="s">
        <v>40357</v>
      </c>
      <c r="M10760" t="s">
        <v>40358</v>
      </c>
      <c r="P10760" t="s">
        <v>40359</v>
      </c>
      <c r="Q10760" t="s">
        <v>40360</v>
      </c>
      <c r="Y10760" t="s">
        <v>40361</v>
      </c>
    </row>
    <row r="10761" spans="1:25" x14ac:dyDescent="0.25">
      <c r="A10761" t="str">
        <f>"144207157684"</f>
        <v>144207157684</v>
      </c>
      <c r="B10761" t="s">
        <v>456</v>
      </c>
      <c r="C10761" t="s">
        <v>1522</v>
      </c>
      <c r="D10761" t="s">
        <v>40362</v>
      </c>
      <c r="E10761">
        <v>424006</v>
      </c>
      <c r="F10761" t="s">
        <v>1</v>
      </c>
      <c r="G10761" t="s">
        <v>2</v>
      </c>
      <c r="H10761" t="s">
        <v>1923</v>
      </c>
      <c r="J10761" t="s">
        <v>40363</v>
      </c>
      <c r="L10761" t="s">
        <v>40364</v>
      </c>
      <c r="M10761" t="s">
        <v>40365</v>
      </c>
      <c r="P10761" t="s">
        <v>40366</v>
      </c>
      <c r="Q10761" t="s">
        <v>40367</v>
      </c>
      <c r="S10761" t="s">
        <v>40368</v>
      </c>
      <c r="T10761" t="s">
        <v>40369</v>
      </c>
      <c r="Y10761" t="s">
        <v>40370</v>
      </c>
    </row>
    <row r="10762" spans="1:25" x14ac:dyDescent="0.25">
      <c r="A10762" t="str">
        <f>"144221272836"</f>
        <v>144221272836</v>
      </c>
      <c r="B10762" t="s">
        <v>574</v>
      </c>
      <c r="C10762" t="s">
        <v>23462</v>
      </c>
      <c r="D10762" t="s">
        <v>30750</v>
      </c>
      <c r="E10762">
        <v>424006</v>
      </c>
      <c r="F10762" t="s">
        <v>1</v>
      </c>
      <c r="G10762" t="s">
        <v>2</v>
      </c>
      <c r="H10762" t="s">
        <v>10019</v>
      </c>
      <c r="Y10762" t="s">
        <v>32316</v>
      </c>
    </row>
    <row r="10763" spans="1:25" x14ac:dyDescent="0.25">
      <c r="A10763" t="str">
        <f>"144250627608"</f>
        <v>144250627608</v>
      </c>
      <c r="B10763" t="s">
        <v>18</v>
      </c>
      <c r="C10763" t="s">
        <v>143</v>
      </c>
      <c r="D10763" t="s">
        <v>40371</v>
      </c>
      <c r="E10763">
        <v>424032</v>
      </c>
      <c r="F10763" t="s">
        <v>1</v>
      </c>
      <c r="G10763" t="s">
        <v>2</v>
      </c>
      <c r="H10763" t="s">
        <v>5699</v>
      </c>
      <c r="J10763" t="s">
        <v>40372</v>
      </c>
      <c r="L10763" t="s">
        <v>40373</v>
      </c>
      <c r="M10763" t="s">
        <v>40374</v>
      </c>
      <c r="P10763" t="s">
        <v>3456</v>
      </c>
      <c r="Y10763" t="s">
        <v>14297</v>
      </c>
    </row>
    <row r="10764" spans="1:25" x14ac:dyDescent="0.25">
      <c r="A10764" t="str">
        <f>"144362744285"</f>
        <v>144362744285</v>
      </c>
      <c r="B10764" t="s">
        <v>8011</v>
      </c>
      <c r="C10764" t="s">
        <v>25177</v>
      </c>
      <c r="D10764" t="s">
        <v>12536</v>
      </c>
      <c r="E10764">
        <v>424020</v>
      </c>
      <c r="F10764" t="s">
        <v>1</v>
      </c>
      <c r="G10764" t="s">
        <v>2</v>
      </c>
      <c r="H10764" t="s">
        <v>802</v>
      </c>
      <c r="Y10764" t="s">
        <v>40375</v>
      </c>
    </row>
    <row r="10765" spans="1:25" x14ac:dyDescent="0.25">
      <c r="A10765" t="str">
        <f>"144438903480"</f>
        <v>144438903480</v>
      </c>
      <c r="B10765" t="s">
        <v>574</v>
      </c>
      <c r="C10765" t="s">
        <v>31999</v>
      </c>
      <c r="D10765" t="s">
        <v>24316</v>
      </c>
      <c r="E10765">
        <v>424038</v>
      </c>
      <c r="F10765" t="s">
        <v>1</v>
      </c>
      <c r="G10765" t="s">
        <v>2</v>
      </c>
      <c r="H10765" t="s">
        <v>2103</v>
      </c>
      <c r="Y10765" t="s">
        <v>40376</v>
      </c>
    </row>
    <row r="10766" spans="1:25" x14ac:dyDescent="0.25">
      <c r="A10766" t="str">
        <f>"144445684086"</f>
        <v>144445684086</v>
      </c>
      <c r="B10766" t="s">
        <v>3544</v>
      </c>
      <c r="C10766" t="s">
        <v>11303</v>
      </c>
      <c r="D10766" t="s">
        <v>40377</v>
      </c>
      <c r="E10766">
        <v>424006</v>
      </c>
      <c r="F10766" t="s">
        <v>1</v>
      </c>
      <c r="G10766" t="s">
        <v>2</v>
      </c>
      <c r="H10766" t="s">
        <v>9823</v>
      </c>
      <c r="Y10766" t="s">
        <v>40378</v>
      </c>
    </row>
    <row r="10767" spans="1:25" x14ac:dyDescent="0.25">
      <c r="A10767" t="str">
        <f>"144473499376"</f>
        <v>144473499376</v>
      </c>
      <c r="B10767" t="s">
        <v>96</v>
      </c>
      <c r="C10767" t="s">
        <v>20353</v>
      </c>
      <c r="D10767" t="s">
        <v>40379</v>
      </c>
      <c r="E10767">
        <v>424039</v>
      </c>
      <c r="F10767" t="s">
        <v>1</v>
      </c>
      <c r="G10767" t="s">
        <v>2</v>
      </c>
      <c r="H10767" t="s">
        <v>5827</v>
      </c>
      <c r="Y10767" t="s">
        <v>40380</v>
      </c>
    </row>
    <row r="10768" spans="1:25" x14ac:dyDescent="0.25">
      <c r="A10768" t="str">
        <f>"144474746401"</f>
        <v>144474746401</v>
      </c>
      <c r="B10768" t="s">
        <v>1046</v>
      </c>
      <c r="C10768" t="s">
        <v>22946</v>
      </c>
      <c r="D10768" t="s">
        <v>22946</v>
      </c>
      <c r="E10768">
        <v>424007</v>
      </c>
      <c r="F10768" t="s">
        <v>1</v>
      </c>
      <c r="G10768" t="s">
        <v>2</v>
      </c>
      <c r="H10768" t="s">
        <v>40074</v>
      </c>
      <c r="Y10768" t="s">
        <v>40381</v>
      </c>
    </row>
    <row r="10769" spans="1:25" x14ac:dyDescent="0.25">
      <c r="A10769" t="str">
        <f>"144476324482"</f>
        <v>144476324482</v>
      </c>
      <c r="B10769" t="s">
        <v>160</v>
      </c>
      <c r="C10769" t="s">
        <v>9976</v>
      </c>
      <c r="D10769" t="s">
        <v>40382</v>
      </c>
      <c r="E10769">
        <v>424033</v>
      </c>
      <c r="F10769" t="s">
        <v>1</v>
      </c>
      <c r="G10769" t="s">
        <v>2</v>
      </c>
      <c r="H10769" t="s">
        <v>4225</v>
      </c>
      <c r="I10769" t="s">
        <v>40383</v>
      </c>
      <c r="P10769" t="s">
        <v>40384</v>
      </c>
      <c r="Y10769" t="s">
        <v>24650</v>
      </c>
    </row>
    <row r="10770" spans="1:25" x14ac:dyDescent="0.25">
      <c r="A10770" t="str">
        <f>"144517462341"</f>
        <v>144517462341</v>
      </c>
      <c r="B10770" t="s">
        <v>930</v>
      </c>
      <c r="C10770" t="s">
        <v>1096</v>
      </c>
      <c r="D10770" t="s">
        <v>19734</v>
      </c>
      <c r="F10770" t="s">
        <v>1</v>
      </c>
      <c r="G10770" t="s">
        <v>2</v>
      </c>
      <c r="H10770" t="s">
        <v>25697</v>
      </c>
      <c r="Y10770" t="s">
        <v>25698</v>
      </c>
    </row>
    <row r="10771" spans="1:25" x14ac:dyDescent="0.25">
      <c r="A10771" t="str">
        <f>"144550548479"</f>
        <v>144550548479</v>
      </c>
      <c r="B10771" t="s">
        <v>430</v>
      </c>
      <c r="C10771" t="s">
        <v>15694</v>
      </c>
      <c r="D10771" t="s">
        <v>40385</v>
      </c>
      <c r="E10771">
        <v>424038</v>
      </c>
      <c r="F10771" t="s">
        <v>1</v>
      </c>
      <c r="G10771" t="s">
        <v>2</v>
      </c>
      <c r="H10771" t="s">
        <v>386</v>
      </c>
      <c r="I10771" t="s">
        <v>20370</v>
      </c>
      <c r="P10771" t="s">
        <v>2738</v>
      </c>
      <c r="Q10771" t="s">
        <v>40386</v>
      </c>
      <c r="Y10771" t="s">
        <v>391</v>
      </c>
    </row>
    <row r="10772" spans="1:25" x14ac:dyDescent="0.25">
      <c r="A10772" t="str">
        <f>"144560594054"</f>
        <v>144560594054</v>
      </c>
      <c r="B10772" t="s">
        <v>96</v>
      </c>
      <c r="C10772" t="s">
        <v>24441</v>
      </c>
      <c r="D10772" t="s">
        <v>39208</v>
      </c>
      <c r="E10772">
        <v>424020</v>
      </c>
      <c r="F10772" t="s">
        <v>1</v>
      </c>
      <c r="G10772" t="s">
        <v>2</v>
      </c>
      <c r="H10772" t="s">
        <v>23</v>
      </c>
      <c r="Y10772" t="s">
        <v>25175</v>
      </c>
    </row>
    <row r="10773" spans="1:25" x14ac:dyDescent="0.25">
      <c r="A10773" t="str">
        <f>"144565877872"</f>
        <v>144565877872</v>
      </c>
      <c r="B10773" t="s">
        <v>3544</v>
      </c>
      <c r="C10773" t="s">
        <v>11303</v>
      </c>
      <c r="D10773" t="s">
        <v>40387</v>
      </c>
      <c r="E10773">
        <v>424006</v>
      </c>
      <c r="F10773" t="s">
        <v>1</v>
      </c>
      <c r="G10773" t="s">
        <v>2</v>
      </c>
      <c r="H10773" t="s">
        <v>2649</v>
      </c>
      <c r="Y10773" t="s">
        <v>40388</v>
      </c>
    </row>
    <row r="10774" spans="1:25" x14ac:dyDescent="0.25">
      <c r="A10774" t="str">
        <f>"144590585182"</f>
        <v>144590585182</v>
      </c>
      <c r="B10774" t="s">
        <v>841</v>
      </c>
      <c r="C10774" t="s">
        <v>40392</v>
      </c>
      <c r="D10774" t="s">
        <v>40389</v>
      </c>
      <c r="E10774">
        <v>424000</v>
      </c>
      <c r="F10774" t="s">
        <v>1</v>
      </c>
      <c r="G10774" t="s">
        <v>2</v>
      </c>
      <c r="H10774" t="s">
        <v>164</v>
      </c>
      <c r="I10774" t="s">
        <v>40390</v>
      </c>
      <c r="J10774" t="s">
        <v>40391</v>
      </c>
      <c r="P10774" t="s">
        <v>40393</v>
      </c>
      <c r="Y10774" t="s">
        <v>172</v>
      </c>
    </row>
    <row r="10775" spans="1:25" x14ac:dyDescent="0.25">
      <c r="A10775" t="str">
        <f>"144627753192"</f>
        <v>144627753192</v>
      </c>
      <c r="B10775" t="s">
        <v>1046</v>
      </c>
      <c r="C10775" t="s">
        <v>22946</v>
      </c>
      <c r="D10775" t="s">
        <v>22946</v>
      </c>
      <c r="E10775">
        <v>424019</v>
      </c>
      <c r="F10775" t="s">
        <v>1</v>
      </c>
      <c r="G10775" t="s">
        <v>2</v>
      </c>
      <c r="H10775" t="s">
        <v>17678</v>
      </c>
      <c r="Y10775" t="s">
        <v>40394</v>
      </c>
    </row>
    <row r="10776" spans="1:25" x14ac:dyDescent="0.25">
      <c r="A10776" t="str">
        <f>"144628424807"</f>
        <v>144628424807</v>
      </c>
      <c r="B10776" t="s">
        <v>96</v>
      </c>
      <c r="C10776" t="s">
        <v>40397</v>
      </c>
      <c r="D10776" t="s">
        <v>40395</v>
      </c>
      <c r="E10776">
        <v>424031</v>
      </c>
      <c r="F10776" t="s">
        <v>1</v>
      </c>
      <c r="G10776" t="s">
        <v>2</v>
      </c>
      <c r="H10776" t="s">
        <v>4622</v>
      </c>
      <c r="I10776" t="s">
        <v>40396</v>
      </c>
      <c r="P10776" t="s">
        <v>941</v>
      </c>
      <c r="Q10776" t="s">
        <v>40398</v>
      </c>
      <c r="V10776" t="s">
        <v>40399</v>
      </c>
      <c r="Y10776" t="s">
        <v>40400</v>
      </c>
    </row>
    <row r="10777" spans="1:25" x14ac:dyDescent="0.25">
      <c r="A10777" t="str">
        <f>"144628484511"</f>
        <v>144628484511</v>
      </c>
      <c r="B10777" t="s">
        <v>25</v>
      </c>
      <c r="C10777" t="s">
        <v>20320</v>
      </c>
      <c r="D10777" t="s">
        <v>40401</v>
      </c>
      <c r="E10777">
        <v>424038</v>
      </c>
      <c r="F10777" t="s">
        <v>1</v>
      </c>
      <c r="G10777" t="s">
        <v>2</v>
      </c>
      <c r="H10777" t="s">
        <v>10156</v>
      </c>
      <c r="Y10777" t="s">
        <v>40402</v>
      </c>
    </row>
    <row r="10778" spans="1:25" x14ac:dyDescent="0.25">
      <c r="A10778" t="str">
        <f>"144632306937"</f>
        <v>144632306937</v>
      </c>
      <c r="B10778" t="s">
        <v>1152</v>
      </c>
      <c r="C10778" t="s">
        <v>1153</v>
      </c>
      <c r="D10778" t="s">
        <v>62</v>
      </c>
      <c r="E10778">
        <v>424007</v>
      </c>
      <c r="F10778" t="s">
        <v>1</v>
      </c>
      <c r="G10778" t="s">
        <v>2</v>
      </c>
      <c r="H10778" t="s">
        <v>31225</v>
      </c>
      <c r="Y10778" t="s">
        <v>40403</v>
      </c>
    </row>
    <row r="10779" spans="1:25" x14ac:dyDescent="0.25">
      <c r="A10779" t="str">
        <f>"144658260396"</f>
        <v>144658260396</v>
      </c>
      <c r="B10779" t="s">
        <v>80</v>
      </c>
      <c r="C10779" t="s">
        <v>11414</v>
      </c>
      <c r="D10779" t="s">
        <v>31769</v>
      </c>
      <c r="E10779">
        <v>424006</v>
      </c>
      <c r="F10779" t="s">
        <v>1</v>
      </c>
      <c r="G10779" t="s">
        <v>2</v>
      </c>
      <c r="H10779" t="s">
        <v>40404</v>
      </c>
      <c r="J10779" t="s">
        <v>31770</v>
      </c>
      <c r="P10779" t="s">
        <v>40405</v>
      </c>
      <c r="Q10779" t="s">
        <v>31771</v>
      </c>
      <c r="V10779" t="s">
        <v>40406</v>
      </c>
      <c r="Y10779" t="s">
        <v>40407</v>
      </c>
    </row>
    <row r="10780" spans="1:25" x14ac:dyDescent="0.25">
      <c r="A10780" t="str">
        <f>"144662332099"</f>
        <v>144662332099</v>
      </c>
      <c r="B10780" t="s">
        <v>284</v>
      </c>
      <c r="C10780" t="s">
        <v>711</v>
      </c>
      <c r="D10780" t="s">
        <v>284</v>
      </c>
      <c r="E10780">
        <v>424005</v>
      </c>
      <c r="F10780" t="s">
        <v>1</v>
      </c>
      <c r="G10780" t="s">
        <v>2</v>
      </c>
      <c r="H10780" t="s">
        <v>1310</v>
      </c>
      <c r="J10780" t="s">
        <v>40408</v>
      </c>
      <c r="P10780" t="s">
        <v>27</v>
      </c>
      <c r="Y10780" t="s">
        <v>3926</v>
      </c>
    </row>
    <row r="10781" spans="1:25" x14ac:dyDescent="0.25">
      <c r="A10781" t="str">
        <f>"144679236165"</f>
        <v>144679236165</v>
      </c>
      <c r="B10781" t="s">
        <v>2601</v>
      </c>
      <c r="C10781" t="s">
        <v>27941</v>
      </c>
      <c r="D10781" t="s">
        <v>27941</v>
      </c>
      <c r="E10781">
        <v>424028</v>
      </c>
      <c r="F10781" t="s">
        <v>1</v>
      </c>
      <c r="G10781" t="s">
        <v>2</v>
      </c>
      <c r="H10781" t="s">
        <v>1969</v>
      </c>
      <c r="Y10781" t="s">
        <v>40409</v>
      </c>
    </row>
    <row r="10782" spans="1:25" x14ac:dyDescent="0.25">
      <c r="A10782" t="str">
        <f>"144703892030"</f>
        <v>144703892030</v>
      </c>
      <c r="B10782" t="s">
        <v>290</v>
      </c>
      <c r="C10782" t="s">
        <v>40414</v>
      </c>
      <c r="D10782" t="s">
        <v>40410</v>
      </c>
      <c r="E10782">
        <v>424002</v>
      </c>
      <c r="F10782" t="s">
        <v>1</v>
      </c>
      <c r="G10782" t="s">
        <v>2</v>
      </c>
      <c r="H10782" t="s">
        <v>27750</v>
      </c>
      <c r="I10782" t="s">
        <v>40411</v>
      </c>
      <c r="L10782" t="s">
        <v>40412</v>
      </c>
      <c r="M10782" t="s">
        <v>40413</v>
      </c>
      <c r="P10782" t="s">
        <v>35656</v>
      </c>
      <c r="Q10782" t="s">
        <v>40415</v>
      </c>
      <c r="T10782" t="s">
        <v>40416</v>
      </c>
      <c r="V10782" t="s">
        <v>40417</v>
      </c>
      <c r="Y10782" t="s">
        <v>40418</v>
      </c>
    </row>
    <row r="10783" spans="1:25" x14ac:dyDescent="0.25">
      <c r="A10783" t="str">
        <f>"144708545618"</f>
        <v>144708545618</v>
      </c>
      <c r="B10783" t="s">
        <v>7312</v>
      </c>
      <c r="C10783" t="s">
        <v>29879</v>
      </c>
      <c r="D10783" t="s">
        <v>40419</v>
      </c>
      <c r="E10783">
        <v>424000</v>
      </c>
      <c r="F10783" t="s">
        <v>1</v>
      </c>
      <c r="G10783" t="s">
        <v>2</v>
      </c>
      <c r="H10783" t="s">
        <v>92</v>
      </c>
      <c r="Y10783" t="s">
        <v>28397</v>
      </c>
    </row>
    <row r="10784" spans="1:25" x14ac:dyDescent="0.25">
      <c r="A10784" t="str">
        <f>"144728586843"</f>
        <v>144728586843</v>
      </c>
      <c r="B10784" t="s">
        <v>574</v>
      </c>
      <c r="C10784" t="s">
        <v>646</v>
      </c>
      <c r="D10784" t="s">
        <v>4221</v>
      </c>
      <c r="F10784" t="s">
        <v>1</v>
      </c>
      <c r="G10784" t="s">
        <v>2</v>
      </c>
      <c r="H10784" t="s">
        <v>23519</v>
      </c>
      <c r="Y10784" t="s">
        <v>40420</v>
      </c>
    </row>
    <row r="10785" spans="1:25" x14ac:dyDescent="0.25">
      <c r="A10785" t="str">
        <f>"144728784820"</f>
        <v>144728784820</v>
      </c>
      <c r="B10785" t="s">
        <v>151</v>
      </c>
      <c r="C10785" t="s">
        <v>40425</v>
      </c>
      <c r="D10785" t="s">
        <v>40421</v>
      </c>
      <c r="E10785">
        <v>424033</v>
      </c>
      <c r="F10785" t="s">
        <v>1</v>
      </c>
      <c r="G10785" t="s">
        <v>2</v>
      </c>
      <c r="H10785" t="s">
        <v>3984</v>
      </c>
      <c r="J10785" t="s">
        <v>40422</v>
      </c>
      <c r="L10785" t="s">
        <v>40423</v>
      </c>
      <c r="M10785" t="s">
        <v>40424</v>
      </c>
      <c r="P10785" t="s">
        <v>330</v>
      </c>
      <c r="R10785" t="s">
        <v>40426</v>
      </c>
      <c r="Y10785" t="s">
        <v>4409</v>
      </c>
    </row>
    <row r="10786" spans="1:25" x14ac:dyDescent="0.25">
      <c r="A10786" t="str">
        <f>"144776702529"</f>
        <v>144776702529</v>
      </c>
      <c r="B10786" t="s">
        <v>1078</v>
      </c>
      <c r="C10786" t="s">
        <v>4259</v>
      </c>
      <c r="D10786" t="s">
        <v>40427</v>
      </c>
      <c r="E10786">
        <v>424007</v>
      </c>
      <c r="F10786" t="s">
        <v>1</v>
      </c>
      <c r="G10786" t="s">
        <v>2</v>
      </c>
      <c r="H10786" t="s">
        <v>3476</v>
      </c>
      <c r="P10786" t="s">
        <v>330</v>
      </c>
      <c r="Y10786" t="s">
        <v>20214</v>
      </c>
    </row>
    <row r="10787" spans="1:25" x14ac:dyDescent="0.25">
      <c r="A10787" t="str">
        <f>"144784824774"</f>
        <v>144784824774</v>
      </c>
      <c r="B10787" t="s">
        <v>290</v>
      </c>
      <c r="C10787" t="s">
        <v>18670</v>
      </c>
      <c r="D10787" t="s">
        <v>40428</v>
      </c>
      <c r="E10787">
        <v>424038</v>
      </c>
      <c r="F10787" t="s">
        <v>1</v>
      </c>
      <c r="G10787" t="s">
        <v>2</v>
      </c>
      <c r="H10787" t="s">
        <v>28558</v>
      </c>
      <c r="Y10787" t="s">
        <v>40429</v>
      </c>
    </row>
    <row r="10788" spans="1:25" x14ac:dyDescent="0.25">
      <c r="A10788" t="str">
        <f>"144820188871"</f>
        <v>144820188871</v>
      </c>
      <c r="B10788" t="s">
        <v>574</v>
      </c>
      <c r="C10788" t="s">
        <v>9802</v>
      </c>
      <c r="D10788" t="s">
        <v>40430</v>
      </c>
      <c r="E10788">
        <v>424036</v>
      </c>
      <c r="F10788" t="s">
        <v>1</v>
      </c>
      <c r="G10788" t="s">
        <v>2</v>
      </c>
      <c r="H10788" t="s">
        <v>8222</v>
      </c>
      <c r="Y10788" t="s">
        <v>40431</v>
      </c>
    </row>
    <row r="10789" spans="1:25" x14ac:dyDescent="0.25">
      <c r="A10789" t="str">
        <f>"144837105543"</f>
        <v>144837105543</v>
      </c>
      <c r="B10789" t="s">
        <v>32</v>
      </c>
      <c r="C10789" t="s">
        <v>2996</v>
      </c>
      <c r="D10789" t="s">
        <v>24227</v>
      </c>
      <c r="E10789">
        <v>424020</v>
      </c>
      <c r="F10789" t="s">
        <v>1</v>
      </c>
      <c r="G10789" t="s">
        <v>2</v>
      </c>
      <c r="H10789" t="s">
        <v>2766</v>
      </c>
      <c r="I10789" t="s">
        <v>40432</v>
      </c>
      <c r="P10789" t="s">
        <v>40433</v>
      </c>
      <c r="Y10789" t="s">
        <v>2768</v>
      </c>
    </row>
    <row r="10790" spans="1:25" x14ac:dyDescent="0.25">
      <c r="A10790" t="str">
        <f>"144879925768"</f>
        <v>144879925768</v>
      </c>
      <c r="B10790" t="s">
        <v>348</v>
      </c>
      <c r="C10790" t="s">
        <v>4366</v>
      </c>
      <c r="D10790" t="s">
        <v>40434</v>
      </c>
      <c r="E10790">
        <v>424007</v>
      </c>
      <c r="F10790" t="s">
        <v>1</v>
      </c>
      <c r="G10790" t="s">
        <v>2</v>
      </c>
      <c r="H10790" t="s">
        <v>12665</v>
      </c>
      <c r="I10790" t="s">
        <v>13671</v>
      </c>
      <c r="J10790" t="s">
        <v>40435</v>
      </c>
      <c r="P10790" t="s">
        <v>280</v>
      </c>
      <c r="Y10790" t="s">
        <v>12668</v>
      </c>
    </row>
    <row r="10791" spans="1:25" x14ac:dyDescent="0.25">
      <c r="A10791" t="str">
        <f>"144913249624"</f>
        <v>144913249624</v>
      </c>
      <c r="B10791" t="s">
        <v>2178</v>
      </c>
      <c r="C10791" t="s">
        <v>3223</v>
      </c>
      <c r="D10791" t="s">
        <v>3223</v>
      </c>
      <c r="E10791">
        <v>424005</v>
      </c>
      <c r="F10791" t="s">
        <v>1</v>
      </c>
      <c r="G10791" t="s">
        <v>2</v>
      </c>
      <c r="H10791" t="s">
        <v>29872</v>
      </c>
      <c r="Y10791" t="s">
        <v>40436</v>
      </c>
    </row>
    <row r="10792" spans="1:25" x14ac:dyDescent="0.25">
      <c r="A10792" t="str">
        <f>"144994877528"</f>
        <v>144994877528</v>
      </c>
      <c r="B10792" t="s">
        <v>408</v>
      </c>
      <c r="C10792" t="s">
        <v>25792</v>
      </c>
      <c r="D10792" t="s">
        <v>25790</v>
      </c>
      <c r="E10792">
        <v>424033</v>
      </c>
      <c r="F10792" t="s">
        <v>1</v>
      </c>
      <c r="G10792" t="s">
        <v>2</v>
      </c>
      <c r="H10792" t="s">
        <v>22482</v>
      </c>
      <c r="Y10792" t="s">
        <v>40437</v>
      </c>
    </row>
    <row r="10793" spans="1:25" x14ac:dyDescent="0.25">
      <c r="A10793" t="str">
        <f>"145046251935"</f>
        <v>145046251935</v>
      </c>
      <c r="B10793" t="s">
        <v>3544</v>
      </c>
      <c r="C10793" t="s">
        <v>11303</v>
      </c>
      <c r="D10793" t="s">
        <v>40438</v>
      </c>
      <c r="E10793">
        <v>424006</v>
      </c>
      <c r="F10793" t="s">
        <v>1</v>
      </c>
      <c r="G10793" t="s">
        <v>2</v>
      </c>
      <c r="H10793" t="s">
        <v>21713</v>
      </c>
      <c r="Y10793" t="s">
        <v>40439</v>
      </c>
    </row>
    <row r="10794" spans="1:25" x14ac:dyDescent="0.25">
      <c r="A10794" t="str">
        <f>"145054778161"</f>
        <v>145054778161</v>
      </c>
      <c r="B10794" t="s">
        <v>328</v>
      </c>
      <c r="C10794" t="s">
        <v>1920</v>
      </c>
      <c r="D10794" t="s">
        <v>17339</v>
      </c>
      <c r="E10794">
        <v>424003</v>
      </c>
      <c r="F10794" t="s">
        <v>1</v>
      </c>
      <c r="G10794" t="s">
        <v>2</v>
      </c>
      <c r="H10794" t="s">
        <v>3459</v>
      </c>
      <c r="P10794" t="s">
        <v>20</v>
      </c>
      <c r="Y10794" t="s">
        <v>40440</v>
      </c>
    </row>
    <row r="10795" spans="1:25" x14ac:dyDescent="0.25">
      <c r="A10795" t="str">
        <f>"145099511203"</f>
        <v>145099511203</v>
      </c>
      <c r="B10795" t="s">
        <v>1352</v>
      </c>
      <c r="C10795" t="s">
        <v>1353</v>
      </c>
      <c r="D10795" t="s">
        <v>40441</v>
      </c>
      <c r="E10795">
        <v>424000</v>
      </c>
      <c r="F10795" t="s">
        <v>1</v>
      </c>
      <c r="G10795" t="s">
        <v>2</v>
      </c>
      <c r="H10795" t="s">
        <v>2299</v>
      </c>
      <c r="I10795" t="s">
        <v>40442</v>
      </c>
      <c r="Y10795" t="s">
        <v>2302</v>
      </c>
    </row>
    <row r="10796" spans="1:25" x14ac:dyDescent="0.25">
      <c r="A10796" t="str">
        <f>"145126055252"</f>
        <v>145126055252</v>
      </c>
      <c r="B10796" t="s">
        <v>1544</v>
      </c>
      <c r="C10796" t="s">
        <v>15598</v>
      </c>
      <c r="D10796" t="s">
        <v>40443</v>
      </c>
      <c r="E10796">
        <v>424031</v>
      </c>
      <c r="F10796" t="s">
        <v>1</v>
      </c>
      <c r="G10796" t="s">
        <v>2</v>
      </c>
      <c r="H10796" t="s">
        <v>7118</v>
      </c>
      <c r="Y10796" t="s">
        <v>40444</v>
      </c>
    </row>
    <row r="10797" spans="1:25" x14ac:dyDescent="0.25">
      <c r="A10797" t="str">
        <f>"145134231164"</f>
        <v>145134231164</v>
      </c>
      <c r="B10797" t="s">
        <v>456</v>
      </c>
      <c r="C10797" t="s">
        <v>40447</v>
      </c>
      <c r="D10797" t="s">
        <v>40445</v>
      </c>
      <c r="E10797">
        <v>424005</v>
      </c>
      <c r="F10797" t="s">
        <v>1</v>
      </c>
      <c r="G10797" t="s">
        <v>2</v>
      </c>
      <c r="H10797" t="s">
        <v>7480</v>
      </c>
      <c r="I10797" t="s">
        <v>40446</v>
      </c>
      <c r="J10797" t="s">
        <v>20497</v>
      </c>
      <c r="L10797" t="s">
        <v>16633</v>
      </c>
      <c r="M10797" t="s">
        <v>16634</v>
      </c>
      <c r="P10797" t="s">
        <v>941</v>
      </c>
      <c r="Q10797" t="s">
        <v>16636</v>
      </c>
      <c r="T10797" t="s">
        <v>16637</v>
      </c>
      <c r="Y10797" t="s">
        <v>40448</v>
      </c>
    </row>
    <row r="10798" spans="1:25" x14ac:dyDescent="0.25">
      <c r="A10798" t="str">
        <f>"145143055478"</f>
        <v>145143055478</v>
      </c>
      <c r="B10798" t="s">
        <v>96</v>
      </c>
      <c r="C10798" t="s">
        <v>893</v>
      </c>
      <c r="D10798" t="s">
        <v>12795</v>
      </c>
      <c r="E10798">
        <v>424000</v>
      </c>
      <c r="F10798" t="s">
        <v>1</v>
      </c>
      <c r="G10798" t="s">
        <v>2</v>
      </c>
      <c r="H10798" t="s">
        <v>4255</v>
      </c>
      <c r="Y10798" t="s">
        <v>4256</v>
      </c>
    </row>
    <row r="10799" spans="1:25" x14ac:dyDescent="0.25">
      <c r="A10799" t="str">
        <f>"145200506909"</f>
        <v>145200506909</v>
      </c>
      <c r="B10799" t="s">
        <v>1046</v>
      </c>
      <c r="C10799" t="s">
        <v>22946</v>
      </c>
      <c r="D10799" t="s">
        <v>22946</v>
      </c>
      <c r="E10799">
        <v>424000</v>
      </c>
      <c r="F10799" t="s">
        <v>1</v>
      </c>
      <c r="G10799" t="s">
        <v>2</v>
      </c>
      <c r="H10799" t="s">
        <v>4427</v>
      </c>
      <c r="Y10799" t="s">
        <v>40449</v>
      </c>
    </row>
    <row r="10800" spans="1:25" x14ac:dyDescent="0.25">
      <c r="A10800" t="str">
        <f>"145220662396"</f>
        <v>145220662396</v>
      </c>
      <c r="B10800" t="s">
        <v>1323</v>
      </c>
      <c r="C10800" t="s">
        <v>1324</v>
      </c>
      <c r="D10800" t="s">
        <v>40450</v>
      </c>
      <c r="E10800">
        <v>424031</v>
      </c>
      <c r="F10800" t="s">
        <v>1</v>
      </c>
      <c r="G10800" t="s">
        <v>2</v>
      </c>
      <c r="H10800" t="s">
        <v>40451</v>
      </c>
      <c r="I10800" t="s">
        <v>40452</v>
      </c>
      <c r="L10800" t="s">
        <v>4465</v>
      </c>
      <c r="M10800" t="s">
        <v>35664</v>
      </c>
      <c r="P10800" t="s">
        <v>20</v>
      </c>
      <c r="Q10800" t="s">
        <v>4468</v>
      </c>
      <c r="T10800" t="s">
        <v>40453</v>
      </c>
      <c r="U10800" t="s">
        <v>40454</v>
      </c>
      <c r="Y10800" t="s">
        <v>40455</v>
      </c>
    </row>
    <row r="10801" spans="1:25" x14ac:dyDescent="0.25">
      <c r="A10801" t="str">
        <f>"145313872958"</f>
        <v>145313872958</v>
      </c>
      <c r="B10801" t="s">
        <v>96</v>
      </c>
      <c r="C10801" t="s">
        <v>893</v>
      </c>
      <c r="D10801" t="s">
        <v>27591</v>
      </c>
      <c r="E10801">
        <v>424918</v>
      </c>
      <c r="F10801" t="s">
        <v>1</v>
      </c>
      <c r="G10801" t="s">
        <v>2</v>
      </c>
      <c r="H10801" t="s">
        <v>629</v>
      </c>
      <c r="P10801" t="s">
        <v>630</v>
      </c>
      <c r="Y10801" t="s">
        <v>40456</v>
      </c>
    </row>
    <row r="10802" spans="1:25" x14ac:dyDescent="0.25">
      <c r="A10802" t="str">
        <f>"145390043447"</f>
        <v>145390043447</v>
      </c>
      <c r="B10802" t="s">
        <v>397</v>
      </c>
      <c r="C10802" t="s">
        <v>26803</v>
      </c>
      <c r="D10802" t="s">
        <v>40457</v>
      </c>
      <c r="F10802" t="s">
        <v>1</v>
      </c>
      <c r="G10802" t="s">
        <v>2</v>
      </c>
      <c r="H10802" t="s">
        <v>20904</v>
      </c>
      <c r="J10802" t="s">
        <v>40458</v>
      </c>
      <c r="L10802" t="s">
        <v>39347</v>
      </c>
      <c r="M10802" t="s">
        <v>40459</v>
      </c>
      <c r="P10802" t="s">
        <v>20</v>
      </c>
      <c r="Q10802" t="s">
        <v>39350</v>
      </c>
      <c r="V10802" t="s">
        <v>39352</v>
      </c>
      <c r="Y10802" t="s">
        <v>40460</v>
      </c>
    </row>
    <row r="10803" spans="1:25" x14ac:dyDescent="0.25">
      <c r="A10803" t="str">
        <f>"145432388954"</f>
        <v>145432388954</v>
      </c>
      <c r="B10803" t="s">
        <v>284</v>
      </c>
      <c r="C10803" t="s">
        <v>2462</v>
      </c>
      <c r="D10803" t="s">
        <v>40461</v>
      </c>
      <c r="E10803">
        <v>424004</v>
      </c>
      <c r="F10803" t="s">
        <v>1</v>
      </c>
      <c r="G10803" t="s">
        <v>2</v>
      </c>
      <c r="H10803" t="s">
        <v>40462</v>
      </c>
      <c r="I10803" t="s">
        <v>40463</v>
      </c>
      <c r="J10803" t="s">
        <v>40464</v>
      </c>
      <c r="P10803" t="s">
        <v>3938</v>
      </c>
      <c r="Y10803" t="s">
        <v>8402</v>
      </c>
    </row>
    <row r="10804" spans="1:25" x14ac:dyDescent="0.25">
      <c r="A10804" t="str">
        <f>"145444602165"</f>
        <v>145444602165</v>
      </c>
      <c r="B10804" t="s">
        <v>96</v>
      </c>
      <c r="C10804" t="s">
        <v>695</v>
      </c>
      <c r="D10804" t="s">
        <v>12115</v>
      </c>
      <c r="E10804">
        <v>424000</v>
      </c>
      <c r="F10804" t="s">
        <v>1</v>
      </c>
      <c r="G10804" t="s">
        <v>2</v>
      </c>
      <c r="H10804" t="s">
        <v>3749</v>
      </c>
      <c r="P10804" t="s">
        <v>941</v>
      </c>
      <c r="Y10804" t="s">
        <v>3754</v>
      </c>
    </row>
    <row r="10805" spans="1:25" x14ac:dyDescent="0.25">
      <c r="A10805" t="str">
        <f>"145449122135"</f>
        <v>145449122135</v>
      </c>
      <c r="B10805" t="s">
        <v>16429</v>
      </c>
      <c r="C10805" t="s">
        <v>16430</v>
      </c>
      <c r="D10805" t="s">
        <v>40465</v>
      </c>
      <c r="E10805">
        <v>424039</v>
      </c>
      <c r="F10805" t="s">
        <v>1</v>
      </c>
      <c r="G10805" t="s">
        <v>2</v>
      </c>
      <c r="H10805" t="s">
        <v>10036</v>
      </c>
      <c r="Y10805" t="s">
        <v>40466</v>
      </c>
    </row>
    <row r="10806" spans="1:25" x14ac:dyDescent="0.25">
      <c r="A10806" t="str">
        <f>"145452994786"</f>
        <v>145452994786</v>
      </c>
      <c r="B10806" t="s">
        <v>243</v>
      </c>
      <c r="C10806" t="s">
        <v>2538</v>
      </c>
      <c r="D10806" t="s">
        <v>40467</v>
      </c>
      <c r="E10806">
        <v>424007</v>
      </c>
      <c r="F10806" t="s">
        <v>1</v>
      </c>
      <c r="G10806" t="s">
        <v>2</v>
      </c>
      <c r="H10806" t="s">
        <v>20759</v>
      </c>
      <c r="I10806" t="s">
        <v>40468</v>
      </c>
      <c r="P10806" t="s">
        <v>15040</v>
      </c>
      <c r="Y10806" t="s">
        <v>40469</v>
      </c>
    </row>
    <row r="10807" spans="1:25" x14ac:dyDescent="0.25">
      <c r="A10807" t="str">
        <f>"145485574996"</f>
        <v>145485574996</v>
      </c>
      <c r="B10807" t="s">
        <v>3573</v>
      </c>
      <c r="C10807" t="s">
        <v>3644</v>
      </c>
      <c r="D10807" t="s">
        <v>37920</v>
      </c>
      <c r="E10807">
        <v>424000</v>
      </c>
      <c r="F10807" t="s">
        <v>1</v>
      </c>
      <c r="G10807" t="s">
        <v>2</v>
      </c>
      <c r="H10807" t="s">
        <v>9103</v>
      </c>
      <c r="L10807" t="s">
        <v>37921</v>
      </c>
      <c r="M10807" t="s">
        <v>37922</v>
      </c>
      <c r="Y10807" t="s">
        <v>9106</v>
      </c>
    </row>
    <row r="10808" spans="1:25" x14ac:dyDescent="0.25">
      <c r="A10808" t="str">
        <f>"145489120735"</f>
        <v>145489120735</v>
      </c>
      <c r="B10808" t="s">
        <v>797</v>
      </c>
      <c r="C10808" t="s">
        <v>5123</v>
      </c>
      <c r="D10808" t="s">
        <v>40470</v>
      </c>
      <c r="E10808">
        <v>424016</v>
      </c>
      <c r="F10808" t="s">
        <v>1</v>
      </c>
      <c r="G10808" t="s">
        <v>2</v>
      </c>
      <c r="H10808" t="s">
        <v>7728</v>
      </c>
      <c r="J10808" t="s">
        <v>40471</v>
      </c>
      <c r="P10808" t="s">
        <v>280</v>
      </c>
      <c r="Y10808" t="s">
        <v>40472</v>
      </c>
    </row>
    <row r="10809" spans="1:25" x14ac:dyDescent="0.25">
      <c r="A10809" t="str">
        <f>"145497635034"</f>
        <v>145497635034</v>
      </c>
      <c r="B10809" t="s">
        <v>1078</v>
      </c>
      <c r="C10809" t="s">
        <v>40474</v>
      </c>
      <c r="D10809" t="s">
        <v>40473</v>
      </c>
      <c r="E10809">
        <v>424007</v>
      </c>
      <c r="F10809" t="s">
        <v>1</v>
      </c>
      <c r="G10809" t="s">
        <v>2</v>
      </c>
      <c r="H10809" t="s">
        <v>30559</v>
      </c>
      <c r="Y10809" t="s">
        <v>40475</v>
      </c>
    </row>
    <row r="10810" spans="1:25" x14ac:dyDescent="0.25">
      <c r="A10810" t="str">
        <f>"145504699113"</f>
        <v>145504699113</v>
      </c>
      <c r="B10810" t="s">
        <v>1053</v>
      </c>
      <c r="C10810" t="s">
        <v>1927</v>
      </c>
      <c r="D10810" t="s">
        <v>40476</v>
      </c>
      <c r="E10810">
        <v>424003</v>
      </c>
      <c r="F10810" t="s">
        <v>1</v>
      </c>
      <c r="G10810" t="s">
        <v>2</v>
      </c>
      <c r="H10810" t="s">
        <v>13303</v>
      </c>
      <c r="I10810" t="s">
        <v>40477</v>
      </c>
      <c r="P10810" t="s">
        <v>1721</v>
      </c>
      <c r="Y10810" t="s">
        <v>30377</v>
      </c>
    </row>
    <row r="10811" spans="1:25" x14ac:dyDescent="0.25">
      <c r="A10811" t="str">
        <f>"145513594586"</f>
        <v>145513594586</v>
      </c>
      <c r="B10811" t="s">
        <v>123</v>
      </c>
      <c r="C10811" t="s">
        <v>424</v>
      </c>
      <c r="D10811" t="s">
        <v>40478</v>
      </c>
      <c r="E10811">
        <v>424002</v>
      </c>
      <c r="F10811" t="s">
        <v>1</v>
      </c>
      <c r="G10811" t="s">
        <v>2</v>
      </c>
      <c r="H10811" t="s">
        <v>6679</v>
      </c>
      <c r="J10811" t="s">
        <v>40479</v>
      </c>
      <c r="P10811" t="s">
        <v>40480</v>
      </c>
      <c r="Q10811" t="s">
        <v>40481</v>
      </c>
      <c r="Y10811" t="s">
        <v>20635</v>
      </c>
    </row>
    <row r="10812" spans="1:25" x14ac:dyDescent="0.25">
      <c r="A10812" t="str">
        <f>"145612363829"</f>
        <v>145612363829</v>
      </c>
      <c r="B10812" t="s">
        <v>32</v>
      </c>
      <c r="C10812" t="s">
        <v>20137</v>
      </c>
      <c r="D10812" t="s">
        <v>40482</v>
      </c>
      <c r="F10812" t="s">
        <v>1</v>
      </c>
      <c r="G10812" t="s">
        <v>2</v>
      </c>
      <c r="H10812" t="s">
        <v>26431</v>
      </c>
      <c r="Y10812" t="s">
        <v>26439</v>
      </c>
    </row>
    <row r="10813" spans="1:25" x14ac:dyDescent="0.25">
      <c r="A10813" t="str">
        <f>"145633607351"</f>
        <v>145633607351</v>
      </c>
      <c r="B10813" t="s">
        <v>2601</v>
      </c>
      <c r="C10813" t="s">
        <v>5375</v>
      </c>
      <c r="D10813" t="s">
        <v>26709</v>
      </c>
      <c r="E10813">
        <v>424006</v>
      </c>
      <c r="F10813" t="s">
        <v>1</v>
      </c>
      <c r="G10813" t="s">
        <v>2</v>
      </c>
      <c r="H10813" t="s">
        <v>31054</v>
      </c>
      <c r="I10813" t="s">
        <v>26711</v>
      </c>
      <c r="P10813" t="s">
        <v>2738</v>
      </c>
      <c r="Y10813" t="s">
        <v>40483</v>
      </c>
    </row>
    <row r="10814" spans="1:25" x14ac:dyDescent="0.25">
      <c r="A10814" t="str">
        <f>"145662616137"</f>
        <v>145662616137</v>
      </c>
      <c r="B10814" t="s">
        <v>352</v>
      </c>
      <c r="C10814" t="s">
        <v>40485</v>
      </c>
      <c r="D10814" t="s">
        <v>40484</v>
      </c>
      <c r="E10814">
        <v>424006</v>
      </c>
      <c r="F10814" t="s">
        <v>1</v>
      </c>
      <c r="G10814" t="s">
        <v>2</v>
      </c>
      <c r="H10814" t="s">
        <v>6133</v>
      </c>
      <c r="P10814" t="s">
        <v>40486</v>
      </c>
      <c r="Y10814" t="s">
        <v>40487</v>
      </c>
    </row>
    <row r="10815" spans="1:25" x14ac:dyDescent="0.25">
      <c r="A10815" t="str">
        <f>"145674046581"</f>
        <v>145674046581</v>
      </c>
      <c r="B10815" t="s">
        <v>32</v>
      </c>
      <c r="C10815" t="s">
        <v>40492</v>
      </c>
      <c r="D10815" t="s">
        <v>40488</v>
      </c>
      <c r="F10815" t="s">
        <v>1</v>
      </c>
      <c r="G10815" t="s">
        <v>2</v>
      </c>
      <c r="H10815" t="s">
        <v>27499</v>
      </c>
      <c r="I10815" t="s">
        <v>40489</v>
      </c>
      <c r="J10815" t="s">
        <v>40490</v>
      </c>
      <c r="M10815" t="s">
        <v>40491</v>
      </c>
      <c r="P10815" t="s">
        <v>40493</v>
      </c>
      <c r="V10815" t="s">
        <v>40494</v>
      </c>
      <c r="Y10815" t="s">
        <v>40495</v>
      </c>
    </row>
    <row r="10816" spans="1:25" x14ac:dyDescent="0.25">
      <c r="A10816" t="str">
        <f>"145697996995"</f>
        <v>145697996995</v>
      </c>
      <c r="B10816" t="s">
        <v>1544</v>
      </c>
      <c r="C10816" t="s">
        <v>27433</v>
      </c>
      <c r="D10816" t="s">
        <v>40496</v>
      </c>
      <c r="E10816">
        <v>424033</v>
      </c>
      <c r="F10816" t="s">
        <v>1</v>
      </c>
      <c r="G10816" t="s">
        <v>2</v>
      </c>
      <c r="H10816" t="s">
        <v>22482</v>
      </c>
      <c r="I10816" t="s">
        <v>40497</v>
      </c>
      <c r="P10816" t="s">
        <v>40498</v>
      </c>
      <c r="V10816" t="s">
        <v>40499</v>
      </c>
      <c r="Y10816" t="s">
        <v>40500</v>
      </c>
    </row>
    <row r="10817" spans="1:25" x14ac:dyDescent="0.25">
      <c r="A10817" t="str">
        <f>"145796408439"</f>
        <v>145796408439</v>
      </c>
      <c r="B10817" t="s">
        <v>553</v>
      </c>
      <c r="C10817" t="s">
        <v>554</v>
      </c>
      <c r="D10817" t="s">
        <v>40501</v>
      </c>
      <c r="E10817">
        <v>424000</v>
      </c>
      <c r="F10817" t="s">
        <v>1</v>
      </c>
      <c r="G10817" t="s">
        <v>2</v>
      </c>
      <c r="H10817" t="s">
        <v>6578</v>
      </c>
      <c r="J10817" t="s">
        <v>40502</v>
      </c>
      <c r="P10817" t="s">
        <v>27</v>
      </c>
      <c r="V10817" t="s">
        <v>40503</v>
      </c>
      <c r="Y10817" t="s">
        <v>40504</v>
      </c>
    </row>
    <row r="10818" spans="1:25" x14ac:dyDescent="0.25">
      <c r="A10818" t="str">
        <f>"145842442798"</f>
        <v>145842442798</v>
      </c>
      <c r="B10818" t="s">
        <v>1391</v>
      </c>
      <c r="C10818" t="s">
        <v>1392</v>
      </c>
      <c r="D10818" t="s">
        <v>26299</v>
      </c>
      <c r="E10818">
        <v>424016</v>
      </c>
      <c r="F10818" t="s">
        <v>1</v>
      </c>
      <c r="G10818" t="s">
        <v>2</v>
      </c>
      <c r="H10818" t="s">
        <v>40505</v>
      </c>
      <c r="I10818" t="s">
        <v>40506</v>
      </c>
      <c r="M10818" t="s">
        <v>4571</v>
      </c>
      <c r="P10818" t="s">
        <v>27</v>
      </c>
      <c r="Y10818" t="s">
        <v>40507</v>
      </c>
    </row>
    <row r="10819" spans="1:25" x14ac:dyDescent="0.25">
      <c r="A10819" t="str">
        <f>"145863286125"</f>
        <v>145863286125</v>
      </c>
      <c r="B10819" t="s">
        <v>233</v>
      </c>
      <c r="C10819" t="s">
        <v>14003</v>
      </c>
      <c r="D10819" t="s">
        <v>569</v>
      </c>
      <c r="E10819">
        <v>424033</v>
      </c>
      <c r="F10819" t="s">
        <v>1</v>
      </c>
      <c r="G10819" t="s">
        <v>2</v>
      </c>
      <c r="H10819" t="s">
        <v>10720</v>
      </c>
      <c r="P10819" t="s">
        <v>216</v>
      </c>
      <c r="Y10819" t="s">
        <v>40508</v>
      </c>
    </row>
    <row r="10820" spans="1:25" x14ac:dyDescent="0.25">
      <c r="A10820" t="str">
        <f>"145864303914"</f>
        <v>145864303914</v>
      </c>
      <c r="B10820" t="s">
        <v>519</v>
      </c>
      <c r="C10820" t="s">
        <v>40509</v>
      </c>
      <c r="D10820" t="s">
        <v>3470</v>
      </c>
      <c r="E10820">
        <v>424031</v>
      </c>
      <c r="F10820" t="s">
        <v>1</v>
      </c>
      <c r="G10820" t="s">
        <v>2</v>
      </c>
      <c r="H10820" t="s">
        <v>239</v>
      </c>
      <c r="P10820" t="s">
        <v>12363</v>
      </c>
      <c r="Y10820" t="s">
        <v>246</v>
      </c>
    </row>
    <row r="10821" spans="1:25" x14ac:dyDescent="0.25">
      <c r="A10821" t="str">
        <f>"145924093046"</f>
        <v>145924093046</v>
      </c>
      <c r="B10821" t="s">
        <v>290</v>
      </c>
      <c r="C10821" t="s">
        <v>290</v>
      </c>
      <c r="D10821" t="s">
        <v>40510</v>
      </c>
      <c r="E10821">
        <v>424038</v>
      </c>
      <c r="F10821" t="s">
        <v>1</v>
      </c>
      <c r="G10821" t="s">
        <v>2</v>
      </c>
      <c r="H10821" t="s">
        <v>2855</v>
      </c>
      <c r="Y10821" t="s">
        <v>40511</v>
      </c>
    </row>
    <row r="10822" spans="1:25" x14ac:dyDescent="0.25">
      <c r="A10822" t="str">
        <f>"145950070190"</f>
        <v>145950070190</v>
      </c>
      <c r="B10822" t="s">
        <v>96</v>
      </c>
      <c r="C10822" t="s">
        <v>2285</v>
      </c>
      <c r="D10822" t="s">
        <v>25925</v>
      </c>
      <c r="E10822">
        <v>424039</v>
      </c>
      <c r="F10822" t="s">
        <v>1</v>
      </c>
      <c r="G10822" t="s">
        <v>2</v>
      </c>
      <c r="H10822" t="s">
        <v>17375</v>
      </c>
      <c r="Y10822" t="s">
        <v>40512</v>
      </c>
    </row>
    <row r="10823" spans="1:25" x14ac:dyDescent="0.25">
      <c r="A10823" t="str">
        <f>"146013225393"</f>
        <v>146013225393</v>
      </c>
      <c r="B10823" t="s">
        <v>456</v>
      </c>
      <c r="C10823" t="s">
        <v>2773</v>
      </c>
      <c r="D10823" t="s">
        <v>40513</v>
      </c>
      <c r="E10823">
        <v>424038</v>
      </c>
      <c r="F10823" t="s">
        <v>1</v>
      </c>
      <c r="G10823" t="s">
        <v>2</v>
      </c>
      <c r="H10823" t="s">
        <v>1366</v>
      </c>
      <c r="M10823" t="s">
        <v>40514</v>
      </c>
      <c r="Y10823" t="s">
        <v>40515</v>
      </c>
    </row>
    <row r="10824" spans="1:25" x14ac:dyDescent="0.25">
      <c r="A10824" t="str">
        <f>"146089982134"</f>
        <v>146089982134</v>
      </c>
      <c r="B10824" t="s">
        <v>462</v>
      </c>
      <c r="C10824" t="s">
        <v>40519</v>
      </c>
      <c r="D10824" t="s">
        <v>40516</v>
      </c>
      <c r="E10824">
        <v>424001</v>
      </c>
      <c r="F10824" t="s">
        <v>1</v>
      </c>
      <c r="G10824" t="s">
        <v>2</v>
      </c>
      <c r="H10824" t="s">
        <v>919</v>
      </c>
      <c r="I10824" t="s">
        <v>40517</v>
      </c>
      <c r="J10824" t="s">
        <v>40518</v>
      </c>
      <c r="P10824" t="s">
        <v>152</v>
      </c>
      <c r="Y10824" t="s">
        <v>1750</v>
      </c>
    </row>
    <row r="10825" spans="1:25" x14ac:dyDescent="0.25">
      <c r="A10825" t="str">
        <f>"146115165637"</f>
        <v>146115165637</v>
      </c>
      <c r="B10825" t="s">
        <v>348</v>
      </c>
      <c r="C10825" t="s">
        <v>4366</v>
      </c>
      <c r="D10825" t="s">
        <v>40520</v>
      </c>
      <c r="E10825">
        <v>424004</v>
      </c>
      <c r="F10825" t="s">
        <v>1</v>
      </c>
      <c r="G10825" t="s">
        <v>2</v>
      </c>
      <c r="H10825" t="s">
        <v>23761</v>
      </c>
      <c r="I10825" t="s">
        <v>40521</v>
      </c>
      <c r="L10825" t="s">
        <v>40522</v>
      </c>
      <c r="M10825" t="s">
        <v>40523</v>
      </c>
      <c r="P10825" t="s">
        <v>8266</v>
      </c>
      <c r="Y10825" t="s">
        <v>23763</v>
      </c>
    </row>
    <row r="10826" spans="1:25" x14ac:dyDescent="0.25">
      <c r="A10826" t="str">
        <f>"146159389947"</f>
        <v>146159389947</v>
      </c>
      <c r="B10826" t="s">
        <v>574</v>
      </c>
      <c r="C10826" t="s">
        <v>14016</v>
      </c>
      <c r="D10826" t="s">
        <v>40524</v>
      </c>
      <c r="E10826">
        <v>424003</v>
      </c>
      <c r="F10826" t="s">
        <v>1</v>
      </c>
      <c r="G10826" t="s">
        <v>2</v>
      </c>
      <c r="H10826" t="s">
        <v>21660</v>
      </c>
      <c r="P10826" t="s">
        <v>216</v>
      </c>
      <c r="Y10826" t="s">
        <v>40525</v>
      </c>
    </row>
    <row r="10827" spans="1:25" x14ac:dyDescent="0.25">
      <c r="A10827" t="str">
        <f>"146261537877"</f>
        <v>146261537877</v>
      </c>
      <c r="B10827" t="s">
        <v>1544</v>
      </c>
      <c r="C10827" t="s">
        <v>7974</v>
      </c>
      <c r="D10827" t="s">
        <v>40526</v>
      </c>
      <c r="E10827">
        <v>424028</v>
      </c>
      <c r="F10827" t="s">
        <v>1</v>
      </c>
      <c r="G10827" t="s">
        <v>2</v>
      </c>
      <c r="H10827" t="s">
        <v>2076</v>
      </c>
      <c r="Y10827" t="s">
        <v>40527</v>
      </c>
    </row>
    <row r="10828" spans="1:25" x14ac:dyDescent="0.25">
      <c r="A10828" t="str">
        <f>"146273125857"</f>
        <v>146273125857</v>
      </c>
      <c r="B10828" t="s">
        <v>10383</v>
      </c>
      <c r="C10828" t="s">
        <v>40528</v>
      </c>
      <c r="D10828" t="s">
        <v>28890</v>
      </c>
      <c r="E10828">
        <v>424002</v>
      </c>
      <c r="F10828" t="s">
        <v>1</v>
      </c>
      <c r="G10828" t="s">
        <v>2</v>
      </c>
      <c r="H10828" t="s">
        <v>18295</v>
      </c>
      <c r="Y10828" t="s">
        <v>40529</v>
      </c>
    </row>
    <row r="10829" spans="1:25" x14ac:dyDescent="0.25">
      <c r="A10829" t="str">
        <f>"146331593322"</f>
        <v>146331593322</v>
      </c>
      <c r="B10829" t="s">
        <v>18</v>
      </c>
      <c r="C10829" t="s">
        <v>40534</v>
      </c>
      <c r="D10829" t="s">
        <v>40530</v>
      </c>
      <c r="F10829" t="s">
        <v>1</v>
      </c>
      <c r="G10829" t="s">
        <v>2</v>
      </c>
      <c r="H10829" t="s">
        <v>7547</v>
      </c>
      <c r="J10829" t="s">
        <v>40531</v>
      </c>
      <c r="L10829" t="s">
        <v>40532</v>
      </c>
      <c r="M10829" t="s">
        <v>40533</v>
      </c>
      <c r="P10829" t="s">
        <v>21891</v>
      </c>
      <c r="Q10829" t="s">
        <v>40535</v>
      </c>
      <c r="V10829" t="s">
        <v>40536</v>
      </c>
      <c r="Y10829" t="s">
        <v>40537</v>
      </c>
    </row>
    <row r="10830" spans="1:25" x14ac:dyDescent="0.25">
      <c r="A10830" t="str">
        <f>"146357953254"</f>
        <v>146357953254</v>
      </c>
      <c r="B10830" t="s">
        <v>687</v>
      </c>
      <c r="C10830" t="s">
        <v>3552</v>
      </c>
      <c r="D10830" t="s">
        <v>40538</v>
      </c>
      <c r="E10830">
        <v>424019</v>
      </c>
      <c r="F10830" t="s">
        <v>1</v>
      </c>
      <c r="G10830" t="s">
        <v>2</v>
      </c>
      <c r="H10830" t="s">
        <v>1801</v>
      </c>
      <c r="J10830" t="s">
        <v>22147</v>
      </c>
      <c r="L10830" t="s">
        <v>40539</v>
      </c>
      <c r="P10830" t="s">
        <v>20</v>
      </c>
      <c r="Q10830" t="s">
        <v>40540</v>
      </c>
      <c r="Y10830" t="s">
        <v>1804</v>
      </c>
    </row>
    <row r="10831" spans="1:25" x14ac:dyDescent="0.25">
      <c r="A10831" t="str">
        <f>"146414146854"</f>
        <v>146414146854</v>
      </c>
      <c r="B10831" t="s">
        <v>1046</v>
      </c>
      <c r="C10831" t="s">
        <v>2695</v>
      </c>
      <c r="D10831" t="s">
        <v>40541</v>
      </c>
      <c r="E10831">
        <v>424039</v>
      </c>
      <c r="F10831" t="s">
        <v>1</v>
      </c>
      <c r="G10831" t="s">
        <v>2</v>
      </c>
      <c r="H10831" t="s">
        <v>9580</v>
      </c>
      <c r="I10831" t="s">
        <v>9581</v>
      </c>
      <c r="Y10831" t="s">
        <v>40542</v>
      </c>
    </row>
    <row r="10832" spans="1:25" x14ac:dyDescent="0.25">
      <c r="A10832" t="str">
        <f>"146455218377"</f>
        <v>146455218377</v>
      </c>
      <c r="B10832" t="s">
        <v>379</v>
      </c>
      <c r="C10832" t="s">
        <v>380</v>
      </c>
      <c r="D10832" t="s">
        <v>8393</v>
      </c>
      <c r="E10832">
        <v>424002</v>
      </c>
      <c r="F10832" t="s">
        <v>1</v>
      </c>
      <c r="G10832" t="s">
        <v>2</v>
      </c>
      <c r="H10832" t="s">
        <v>10546</v>
      </c>
      <c r="I10832" t="s">
        <v>40543</v>
      </c>
      <c r="L10832" t="s">
        <v>8395</v>
      </c>
      <c r="M10832" t="s">
        <v>8396</v>
      </c>
      <c r="P10832" t="s">
        <v>8397</v>
      </c>
      <c r="Q10832" t="s">
        <v>8412</v>
      </c>
      <c r="R10832" t="s">
        <v>8399</v>
      </c>
      <c r="S10832" t="s">
        <v>8400</v>
      </c>
      <c r="T10832" t="s">
        <v>8401</v>
      </c>
      <c r="Y10832" t="s">
        <v>23665</v>
      </c>
    </row>
    <row r="10833" spans="1:25" x14ac:dyDescent="0.25">
      <c r="A10833" t="str">
        <f>"146464018762"</f>
        <v>146464018762</v>
      </c>
      <c r="B10833" t="s">
        <v>3544</v>
      </c>
      <c r="C10833" t="s">
        <v>24644</v>
      </c>
      <c r="D10833" t="s">
        <v>40544</v>
      </c>
      <c r="E10833">
        <v>424039</v>
      </c>
      <c r="F10833" t="s">
        <v>1</v>
      </c>
      <c r="G10833" t="s">
        <v>2</v>
      </c>
      <c r="H10833" t="s">
        <v>10036</v>
      </c>
      <c r="I10833" t="s">
        <v>40545</v>
      </c>
      <c r="L10833" t="s">
        <v>40546</v>
      </c>
      <c r="M10833" t="s">
        <v>40547</v>
      </c>
      <c r="P10833" t="s">
        <v>2923</v>
      </c>
      <c r="Y10833" t="s">
        <v>40466</v>
      </c>
    </row>
    <row r="10834" spans="1:25" x14ac:dyDescent="0.25">
      <c r="A10834" t="str">
        <f>"146481199382"</f>
        <v>146481199382</v>
      </c>
      <c r="B10834" t="s">
        <v>7</v>
      </c>
      <c r="C10834" t="s">
        <v>40551</v>
      </c>
      <c r="D10834" t="s">
        <v>40548</v>
      </c>
      <c r="E10834">
        <v>424033</v>
      </c>
      <c r="F10834" t="s">
        <v>1</v>
      </c>
      <c r="G10834" t="s">
        <v>2</v>
      </c>
      <c r="H10834" t="s">
        <v>3984</v>
      </c>
      <c r="J10834" t="s">
        <v>40549</v>
      </c>
      <c r="M10834" t="s">
        <v>40550</v>
      </c>
      <c r="P10834" t="s">
        <v>27</v>
      </c>
      <c r="Y10834" t="s">
        <v>4409</v>
      </c>
    </row>
    <row r="10835" spans="1:25" x14ac:dyDescent="0.25">
      <c r="A10835" t="str">
        <f>"146515146786"</f>
        <v>146515146786</v>
      </c>
      <c r="B10835" t="s">
        <v>456</v>
      </c>
      <c r="C10835" t="s">
        <v>40556</v>
      </c>
      <c r="D10835" t="s">
        <v>40552</v>
      </c>
      <c r="E10835">
        <v>424006</v>
      </c>
      <c r="F10835" t="s">
        <v>1</v>
      </c>
      <c r="G10835" t="s">
        <v>2</v>
      </c>
      <c r="H10835" t="s">
        <v>393</v>
      </c>
      <c r="I10835" t="s">
        <v>40553</v>
      </c>
      <c r="L10835" t="s">
        <v>40554</v>
      </c>
      <c r="M10835" t="s">
        <v>40555</v>
      </c>
      <c r="P10835" t="s">
        <v>330</v>
      </c>
      <c r="Q10835" t="s">
        <v>40557</v>
      </c>
      <c r="V10835" t="s">
        <v>40558</v>
      </c>
      <c r="Y10835" t="s">
        <v>40559</v>
      </c>
    </row>
    <row r="10836" spans="1:25" x14ac:dyDescent="0.25">
      <c r="A10836" t="str">
        <f>"146540168902"</f>
        <v>146540168902</v>
      </c>
      <c r="B10836" t="s">
        <v>624</v>
      </c>
      <c r="C10836" t="s">
        <v>1637</v>
      </c>
      <c r="D10836" t="s">
        <v>11679</v>
      </c>
      <c r="E10836">
        <v>424006</v>
      </c>
      <c r="F10836" t="s">
        <v>1</v>
      </c>
      <c r="G10836" t="s">
        <v>2</v>
      </c>
      <c r="H10836" t="s">
        <v>2185</v>
      </c>
      <c r="I10836" t="s">
        <v>40560</v>
      </c>
      <c r="P10836" t="s">
        <v>280</v>
      </c>
      <c r="Y10836" t="s">
        <v>2191</v>
      </c>
    </row>
    <row r="10837" spans="1:25" x14ac:dyDescent="0.25">
      <c r="A10837" t="str">
        <f>"146548710409"</f>
        <v>146548710409</v>
      </c>
      <c r="B10837" t="s">
        <v>1343</v>
      </c>
      <c r="C10837" t="s">
        <v>13544</v>
      </c>
      <c r="D10837" t="s">
        <v>40561</v>
      </c>
      <c r="E10837">
        <v>424038</v>
      </c>
      <c r="F10837" t="s">
        <v>1</v>
      </c>
      <c r="G10837" t="s">
        <v>2</v>
      </c>
      <c r="H10837" t="s">
        <v>21388</v>
      </c>
      <c r="Y10837" t="s">
        <v>40562</v>
      </c>
    </row>
    <row r="10838" spans="1:25" x14ac:dyDescent="0.25">
      <c r="A10838" t="str">
        <f>"146552574610"</f>
        <v>146552574610</v>
      </c>
      <c r="B10838" t="s">
        <v>3700</v>
      </c>
      <c r="C10838" t="s">
        <v>5593</v>
      </c>
      <c r="D10838" t="s">
        <v>40563</v>
      </c>
      <c r="E10838">
        <v>424038</v>
      </c>
      <c r="F10838" t="s">
        <v>1</v>
      </c>
      <c r="G10838" t="s">
        <v>2</v>
      </c>
      <c r="H10838" t="s">
        <v>2614</v>
      </c>
      <c r="I10838" t="s">
        <v>40564</v>
      </c>
      <c r="J10838" t="s">
        <v>40565</v>
      </c>
      <c r="L10838" t="s">
        <v>40566</v>
      </c>
      <c r="P10838" t="s">
        <v>2050</v>
      </c>
      <c r="Q10838" t="s">
        <v>40567</v>
      </c>
      <c r="V10838" t="s">
        <v>40568</v>
      </c>
      <c r="Y10838" t="s">
        <v>40569</v>
      </c>
    </row>
    <row r="10839" spans="1:25" x14ac:dyDescent="0.25">
      <c r="A10839" t="str">
        <f>"146561855547"</f>
        <v>146561855547</v>
      </c>
      <c r="B10839" t="s">
        <v>80</v>
      </c>
      <c r="C10839" t="s">
        <v>3295</v>
      </c>
      <c r="D10839" t="s">
        <v>3922</v>
      </c>
      <c r="E10839">
        <v>424007</v>
      </c>
      <c r="F10839" t="s">
        <v>1</v>
      </c>
      <c r="G10839" t="s">
        <v>2</v>
      </c>
      <c r="H10839" t="s">
        <v>16500</v>
      </c>
      <c r="Y10839" t="s">
        <v>40570</v>
      </c>
    </row>
    <row r="10840" spans="1:25" x14ac:dyDescent="0.25">
      <c r="A10840" t="str">
        <f>"146592349442"</f>
        <v>146592349442</v>
      </c>
      <c r="B10840" t="s">
        <v>1617</v>
      </c>
      <c r="C10840" t="s">
        <v>21001</v>
      </c>
      <c r="D10840" t="s">
        <v>17501</v>
      </c>
      <c r="E10840">
        <v>424003</v>
      </c>
      <c r="F10840" t="s">
        <v>1</v>
      </c>
      <c r="G10840" t="s">
        <v>2</v>
      </c>
      <c r="H10840" t="s">
        <v>28076</v>
      </c>
      <c r="P10840" t="s">
        <v>21118</v>
      </c>
      <c r="Y10840" t="s">
        <v>40571</v>
      </c>
    </row>
    <row r="10841" spans="1:25" x14ac:dyDescent="0.25">
      <c r="A10841" t="str">
        <f>"146603586613"</f>
        <v>146603586613</v>
      </c>
      <c r="B10841" t="s">
        <v>1611</v>
      </c>
      <c r="C10841" t="s">
        <v>40574</v>
      </c>
      <c r="D10841" t="s">
        <v>40572</v>
      </c>
      <c r="E10841">
        <v>424000</v>
      </c>
      <c r="F10841" t="s">
        <v>1</v>
      </c>
      <c r="G10841" t="s">
        <v>2</v>
      </c>
      <c r="H10841" t="s">
        <v>40573</v>
      </c>
      <c r="P10841" t="s">
        <v>330</v>
      </c>
      <c r="Y10841" t="s">
        <v>40575</v>
      </c>
    </row>
    <row r="10842" spans="1:25" x14ac:dyDescent="0.25">
      <c r="A10842" t="str">
        <f>"146606409612"</f>
        <v>146606409612</v>
      </c>
      <c r="B10842" t="s">
        <v>930</v>
      </c>
      <c r="C10842" t="s">
        <v>927</v>
      </c>
      <c r="D10842" t="s">
        <v>927</v>
      </c>
      <c r="E10842">
        <v>424037</v>
      </c>
      <c r="F10842" t="s">
        <v>1</v>
      </c>
      <c r="G10842" t="s">
        <v>2</v>
      </c>
      <c r="H10842" t="s">
        <v>3765</v>
      </c>
      <c r="Y10842" t="s">
        <v>40576</v>
      </c>
    </row>
    <row r="10843" spans="1:25" x14ac:dyDescent="0.25">
      <c r="A10843" t="str">
        <f>"146619417972"</f>
        <v>146619417972</v>
      </c>
      <c r="B10843" t="s">
        <v>96</v>
      </c>
      <c r="C10843" t="s">
        <v>16462</v>
      </c>
      <c r="D10843" t="s">
        <v>16476</v>
      </c>
      <c r="E10843">
        <v>424000</v>
      </c>
      <c r="F10843" t="s">
        <v>1</v>
      </c>
      <c r="G10843" t="s">
        <v>2</v>
      </c>
      <c r="H10843" t="s">
        <v>1531</v>
      </c>
      <c r="J10843" t="s">
        <v>16827</v>
      </c>
      <c r="P10843" t="s">
        <v>941</v>
      </c>
      <c r="Y10843" t="s">
        <v>40577</v>
      </c>
    </row>
    <row r="10844" spans="1:25" x14ac:dyDescent="0.25">
      <c r="A10844" t="str">
        <f>"146661237808"</f>
        <v>146661237808</v>
      </c>
      <c r="B10844" t="s">
        <v>1611</v>
      </c>
      <c r="C10844" t="s">
        <v>4172</v>
      </c>
      <c r="D10844" t="s">
        <v>4172</v>
      </c>
      <c r="E10844">
        <v>424002</v>
      </c>
      <c r="F10844" t="s">
        <v>1</v>
      </c>
      <c r="G10844" t="s">
        <v>2</v>
      </c>
      <c r="H10844" t="s">
        <v>40578</v>
      </c>
      <c r="Y10844" t="s">
        <v>40579</v>
      </c>
    </row>
    <row r="10845" spans="1:25" x14ac:dyDescent="0.25">
      <c r="A10845" t="str">
        <f>"146689530454"</f>
        <v>146689530454</v>
      </c>
      <c r="B10845" t="s">
        <v>32</v>
      </c>
      <c r="C10845" t="s">
        <v>35670</v>
      </c>
      <c r="D10845" t="s">
        <v>40580</v>
      </c>
      <c r="E10845">
        <v>424004</v>
      </c>
      <c r="F10845" t="s">
        <v>1</v>
      </c>
      <c r="G10845" t="s">
        <v>2</v>
      </c>
      <c r="H10845" t="s">
        <v>23522</v>
      </c>
      <c r="J10845" t="s">
        <v>40581</v>
      </c>
      <c r="M10845" t="s">
        <v>40582</v>
      </c>
      <c r="P10845" t="s">
        <v>330</v>
      </c>
      <c r="Y10845" t="s">
        <v>3139</v>
      </c>
    </row>
    <row r="10846" spans="1:25" x14ac:dyDescent="0.25">
      <c r="A10846" t="str">
        <f>"146700914718"</f>
        <v>146700914718</v>
      </c>
      <c r="B10846" t="s">
        <v>1323</v>
      </c>
      <c r="C10846" t="s">
        <v>1324</v>
      </c>
      <c r="D10846" t="s">
        <v>40583</v>
      </c>
      <c r="E10846">
        <v>424002</v>
      </c>
      <c r="F10846" t="s">
        <v>1</v>
      </c>
      <c r="G10846" t="s">
        <v>2</v>
      </c>
      <c r="H10846" t="s">
        <v>6397</v>
      </c>
      <c r="Y10846" t="s">
        <v>6401</v>
      </c>
    </row>
    <row r="10847" spans="1:25" x14ac:dyDescent="0.25">
      <c r="A10847" t="str">
        <f>"146706931212"</f>
        <v>146706931212</v>
      </c>
      <c r="B10847" t="s">
        <v>738</v>
      </c>
      <c r="C10847" t="s">
        <v>739</v>
      </c>
      <c r="D10847" t="s">
        <v>40584</v>
      </c>
      <c r="E10847">
        <v>424007</v>
      </c>
      <c r="F10847" t="s">
        <v>1</v>
      </c>
      <c r="G10847" t="s">
        <v>2</v>
      </c>
      <c r="H10847" t="s">
        <v>10252</v>
      </c>
      <c r="J10847" t="s">
        <v>40585</v>
      </c>
      <c r="M10847" t="s">
        <v>40586</v>
      </c>
      <c r="Y10847" t="s">
        <v>10258</v>
      </c>
    </row>
    <row r="10848" spans="1:25" x14ac:dyDescent="0.25">
      <c r="A10848" t="str">
        <f>"146911899977"</f>
        <v>146911899977</v>
      </c>
      <c r="B10848" t="s">
        <v>530</v>
      </c>
      <c r="C10848" t="s">
        <v>23950</v>
      </c>
      <c r="D10848" t="s">
        <v>23950</v>
      </c>
      <c r="E10848">
        <v>424005</v>
      </c>
      <c r="F10848" t="s">
        <v>1</v>
      </c>
      <c r="G10848" t="s">
        <v>2</v>
      </c>
      <c r="H10848" t="s">
        <v>1148</v>
      </c>
      <c r="Y10848" t="s">
        <v>40587</v>
      </c>
    </row>
    <row r="10849" spans="1:25" x14ac:dyDescent="0.25">
      <c r="A10849" t="str">
        <f>"146933039795"</f>
        <v>146933039795</v>
      </c>
      <c r="B10849" t="s">
        <v>25</v>
      </c>
      <c r="C10849" t="s">
        <v>20320</v>
      </c>
      <c r="D10849" t="s">
        <v>40588</v>
      </c>
      <c r="F10849" t="s">
        <v>1</v>
      </c>
      <c r="G10849" t="s">
        <v>2</v>
      </c>
      <c r="H10849" t="s">
        <v>40589</v>
      </c>
      <c r="Y10849" t="s">
        <v>40590</v>
      </c>
    </row>
    <row r="10850" spans="1:25" x14ac:dyDescent="0.25">
      <c r="A10850" t="str">
        <f>"146985710369"</f>
        <v>146985710369</v>
      </c>
      <c r="B10850" t="s">
        <v>2104</v>
      </c>
      <c r="C10850" t="s">
        <v>21175</v>
      </c>
      <c r="D10850" t="s">
        <v>40591</v>
      </c>
      <c r="E10850">
        <v>424038</v>
      </c>
      <c r="F10850" t="s">
        <v>1</v>
      </c>
      <c r="G10850" t="s">
        <v>2</v>
      </c>
      <c r="H10850" t="s">
        <v>7597</v>
      </c>
      <c r="I10850" t="s">
        <v>40592</v>
      </c>
      <c r="J10850" t="s">
        <v>40593</v>
      </c>
      <c r="L10850" t="s">
        <v>40594</v>
      </c>
      <c r="M10850" t="s">
        <v>40595</v>
      </c>
      <c r="P10850" t="s">
        <v>1642</v>
      </c>
      <c r="T10850" t="s">
        <v>40596</v>
      </c>
      <c r="V10850" t="s">
        <v>40597</v>
      </c>
      <c r="Y10850" t="s">
        <v>16150</v>
      </c>
    </row>
    <row r="10851" spans="1:25" x14ac:dyDescent="0.25">
      <c r="A10851" t="str">
        <f>"146988720668"</f>
        <v>146988720668</v>
      </c>
      <c r="B10851" t="s">
        <v>574</v>
      </c>
      <c r="C10851" t="s">
        <v>646</v>
      </c>
      <c r="D10851" t="s">
        <v>40598</v>
      </c>
      <c r="E10851">
        <v>424004</v>
      </c>
      <c r="F10851" t="s">
        <v>1</v>
      </c>
      <c r="G10851" t="s">
        <v>2</v>
      </c>
      <c r="H10851" t="s">
        <v>3489</v>
      </c>
      <c r="P10851" t="s">
        <v>216</v>
      </c>
      <c r="Y10851" t="s">
        <v>40599</v>
      </c>
    </row>
    <row r="10852" spans="1:25" x14ac:dyDescent="0.25">
      <c r="A10852" t="str">
        <f>"147003911758"</f>
        <v>147003911758</v>
      </c>
      <c r="B10852" t="s">
        <v>80</v>
      </c>
      <c r="C10852" t="s">
        <v>40603</v>
      </c>
      <c r="D10852" t="s">
        <v>40600</v>
      </c>
      <c r="E10852">
        <v>424033</v>
      </c>
      <c r="F10852" t="s">
        <v>1</v>
      </c>
      <c r="G10852" t="s">
        <v>2</v>
      </c>
      <c r="H10852" t="s">
        <v>38404</v>
      </c>
      <c r="J10852" t="s">
        <v>40601</v>
      </c>
      <c r="L10852" t="s">
        <v>40602</v>
      </c>
      <c r="Q10852" t="s">
        <v>40604</v>
      </c>
      <c r="Y10852" t="s">
        <v>30583</v>
      </c>
    </row>
    <row r="10853" spans="1:25" x14ac:dyDescent="0.25">
      <c r="A10853" t="str">
        <f>"147065434152"</f>
        <v>147065434152</v>
      </c>
      <c r="B10853" t="s">
        <v>1544</v>
      </c>
      <c r="C10853" t="s">
        <v>40607</v>
      </c>
      <c r="D10853" t="s">
        <v>40605</v>
      </c>
      <c r="E10853">
        <v>424028</v>
      </c>
      <c r="F10853" t="s">
        <v>1</v>
      </c>
      <c r="G10853" t="s">
        <v>2</v>
      </c>
      <c r="H10853" t="s">
        <v>3318</v>
      </c>
      <c r="I10853" t="s">
        <v>40606</v>
      </c>
      <c r="P10853" t="s">
        <v>280</v>
      </c>
      <c r="Y10853" t="s">
        <v>40608</v>
      </c>
    </row>
    <row r="10854" spans="1:25" x14ac:dyDescent="0.25">
      <c r="A10854" t="str">
        <f>"147090994531"</f>
        <v>147090994531</v>
      </c>
      <c r="B10854" t="s">
        <v>1617</v>
      </c>
      <c r="C10854" t="s">
        <v>21001</v>
      </c>
      <c r="D10854" t="s">
        <v>24203</v>
      </c>
      <c r="E10854">
        <v>424028</v>
      </c>
      <c r="F10854" t="s">
        <v>1</v>
      </c>
      <c r="G10854" t="s">
        <v>2</v>
      </c>
      <c r="H10854" t="s">
        <v>40609</v>
      </c>
      <c r="Y10854" t="s">
        <v>33634</v>
      </c>
    </row>
    <row r="10855" spans="1:25" x14ac:dyDescent="0.25">
      <c r="A10855" t="str">
        <f>"147170258026"</f>
        <v>147170258026</v>
      </c>
      <c r="B10855" t="s">
        <v>123</v>
      </c>
      <c r="C10855" t="s">
        <v>10769</v>
      </c>
      <c r="D10855" t="s">
        <v>40610</v>
      </c>
      <c r="E10855">
        <v>424038</v>
      </c>
      <c r="F10855" t="s">
        <v>1</v>
      </c>
      <c r="G10855" t="s">
        <v>2</v>
      </c>
      <c r="H10855" t="s">
        <v>546</v>
      </c>
      <c r="J10855" t="s">
        <v>18437</v>
      </c>
      <c r="P10855" t="s">
        <v>216</v>
      </c>
      <c r="Y10855" t="s">
        <v>40611</v>
      </c>
    </row>
    <row r="10856" spans="1:25" x14ac:dyDescent="0.25">
      <c r="A10856" t="str">
        <f>"147201025377"</f>
        <v>147201025377</v>
      </c>
      <c r="B10856" t="s">
        <v>687</v>
      </c>
      <c r="C10856" t="s">
        <v>40616</v>
      </c>
      <c r="D10856" t="s">
        <v>40612</v>
      </c>
      <c r="E10856">
        <v>424007</v>
      </c>
      <c r="F10856" t="s">
        <v>1</v>
      </c>
      <c r="G10856" t="s">
        <v>2</v>
      </c>
      <c r="H10856" t="s">
        <v>10252</v>
      </c>
      <c r="I10856" t="s">
        <v>40613</v>
      </c>
      <c r="L10856" t="s">
        <v>40614</v>
      </c>
      <c r="M10856" t="s">
        <v>40615</v>
      </c>
      <c r="P10856" t="s">
        <v>27</v>
      </c>
      <c r="Q10856" t="s">
        <v>40617</v>
      </c>
      <c r="Y10856" t="s">
        <v>10258</v>
      </c>
    </row>
    <row r="10857" spans="1:25" x14ac:dyDescent="0.25">
      <c r="A10857" t="str">
        <f>"147204506866"</f>
        <v>147204506866</v>
      </c>
      <c r="B10857" t="s">
        <v>284</v>
      </c>
      <c r="C10857" t="s">
        <v>7160</v>
      </c>
      <c r="D10857" t="s">
        <v>40618</v>
      </c>
      <c r="E10857">
        <v>424030</v>
      </c>
      <c r="F10857" t="s">
        <v>1</v>
      </c>
      <c r="G10857" t="s">
        <v>2</v>
      </c>
      <c r="H10857" t="s">
        <v>38067</v>
      </c>
      <c r="I10857" t="s">
        <v>40619</v>
      </c>
      <c r="J10857" t="s">
        <v>40620</v>
      </c>
      <c r="P10857" t="s">
        <v>27</v>
      </c>
      <c r="Y10857" t="s">
        <v>40621</v>
      </c>
    </row>
    <row r="10858" spans="1:25" x14ac:dyDescent="0.25">
      <c r="A10858" t="str">
        <f>"147245102314"</f>
        <v>147245102314</v>
      </c>
      <c r="B10858" t="s">
        <v>284</v>
      </c>
      <c r="C10858" t="s">
        <v>27632</v>
      </c>
      <c r="D10858" t="s">
        <v>40622</v>
      </c>
      <c r="E10858">
        <v>424006</v>
      </c>
      <c r="F10858" t="s">
        <v>1</v>
      </c>
      <c r="G10858" t="s">
        <v>2</v>
      </c>
      <c r="H10858" t="s">
        <v>36515</v>
      </c>
      <c r="Y10858" t="s">
        <v>40623</v>
      </c>
    </row>
    <row r="10859" spans="1:25" x14ac:dyDescent="0.25">
      <c r="A10859" t="str">
        <f>"147294372230"</f>
        <v>147294372230</v>
      </c>
      <c r="B10859" t="s">
        <v>456</v>
      </c>
      <c r="C10859" t="s">
        <v>40627</v>
      </c>
      <c r="D10859" t="s">
        <v>40624</v>
      </c>
      <c r="F10859" t="s">
        <v>1</v>
      </c>
      <c r="G10859" t="s">
        <v>2</v>
      </c>
      <c r="H10859" t="s">
        <v>40625</v>
      </c>
      <c r="J10859" t="s">
        <v>38115</v>
      </c>
      <c r="M10859" t="s">
        <v>40626</v>
      </c>
      <c r="P10859" t="s">
        <v>38118</v>
      </c>
      <c r="Q10859" t="s">
        <v>40628</v>
      </c>
      <c r="Y10859" t="s">
        <v>40629</v>
      </c>
    </row>
    <row r="10860" spans="1:25" x14ac:dyDescent="0.25">
      <c r="A10860" t="str">
        <f>"147295338700"</f>
        <v>147295338700</v>
      </c>
      <c r="B10860" t="s">
        <v>352</v>
      </c>
      <c r="C10860" t="s">
        <v>40632</v>
      </c>
      <c r="D10860" t="s">
        <v>40630</v>
      </c>
      <c r="E10860">
        <v>424033</v>
      </c>
      <c r="F10860" t="s">
        <v>1</v>
      </c>
      <c r="G10860" t="s">
        <v>2</v>
      </c>
      <c r="H10860" t="s">
        <v>3984</v>
      </c>
      <c r="J10860" t="s">
        <v>27311</v>
      </c>
      <c r="M10860" t="s">
        <v>40631</v>
      </c>
      <c r="P10860" t="s">
        <v>2050</v>
      </c>
      <c r="T10860" t="s">
        <v>40633</v>
      </c>
      <c r="Y10860" t="s">
        <v>40634</v>
      </c>
    </row>
    <row r="10861" spans="1:25" x14ac:dyDescent="0.25">
      <c r="A10861" t="str">
        <f>"147322229992"</f>
        <v>147322229992</v>
      </c>
      <c r="B10861" t="s">
        <v>574</v>
      </c>
      <c r="C10861" t="s">
        <v>23520</v>
      </c>
      <c r="D10861" t="s">
        <v>29750</v>
      </c>
      <c r="E10861">
        <v>424002</v>
      </c>
      <c r="F10861" t="s">
        <v>1</v>
      </c>
      <c r="G10861" t="s">
        <v>2</v>
      </c>
      <c r="H10861" t="s">
        <v>9138</v>
      </c>
      <c r="Y10861" t="s">
        <v>9141</v>
      </c>
    </row>
    <row r="10862" spans="1:25" x14ac:dyDescent="0.25">
      <c r="A10862" t="str">
        <f>"147328562544"</f>
        <v>147328562544</v>
      </c>
      <c r="B10862" t="s">
        <v>176</v>
      </c>
      <c r="C10862" t="s">
        <v>250</v>
      </c>
      <c r="D10862" t="s">
        <v>40635</v>
      </c>
      <c r="E10862">
        <v>424006</v>
      </c>
      <c r="F10862" t="s">
        <v>1</v>
      </c>
      <c r="G10862" t="s">
        <v>2</v>
      </c>
      <c r="H10862" t="s">
        <v>4541</v>
      </c>
      <c r="I10862" t="s">
        <v>40636</v>
      </c>
      <c r="P10862" t="s">
        <v>7767</v>
      </c>
      <c r="Y10862" t="s">
        <v>40637</v>
      </c>
    </row>
    <row r="10863" spans="1:25" x14ac:dyDescent="0.25">
      <c r="A10863" t="str">
        <f>"147329709647"</f>
        <v>147329709647</v>
      </c>
      <c r="B10863" t="s">
        <v>96</v>
      </c>
      <c r="C10863" t="s">
        <v>893</v>
      </c>
      <c r="D10863" t="s">
        <v>40638</v>
      </c>
      <c r="E10863">
        <v>424000</v>
      </c>
      <c r="F10863" t="s">
        <v>1</v>
      </c>
      <c r="G10863" t="s">
        <v>2</v>
      </c>
      <c r="H10863" t="s">
        <v>1531</v>
      </c>
      <c r="P10863" t="s">
        <v>941</v>
      </c>
      <c r="Y10863" t="s">
        <v>1707</v>
      </c>
    </row>
    <row r="10864" spans="1:25" x14ac:dyDescent="0.25">
      <c r="A10864" t="str">
        <f>"147335764770"</f>
        <v>147335764770</v>
      </c>
      <c r="B10864" t="s">
        <v>290</v>
      </c>
      <c r="C10864" t="s">
        <v>36996</v>
      </c>
      <c r="D10864" t="s">
        <v>40639</v>
      </c>
      <c r="E10864">
        <v>424031</v>
      </c>
      <c r="F10864" t="s">
        <v>1</v>
      </c>
      <c r="G10864" t="s">
        <v>2</v>
      </c>
      <c r="H10864" t="s">
        <v>28121</v>
      </c>
      <c r="I10864" t="s">
        <v>22483</v>
      </c>
      <c r="J10864" t="s">
        <v>22472</v>
      </c>
      <c r="P10864" t="s">
        <v>60</v>
      </c>
      <c r="Q10864" t="s">
        <v>40640</v>
      </c>
      <c r="Y10864" t="s">
        <v>40641</v>
      </c>
    </row>
    <row r="10865" spans="1:25" x14ac:dyDescent="0.25">
      <c r="A10865" t="str">
        <f>"147338748926"</f>
        <v>147338748926</v>
      </c>
      <c r="B10865" t="s">
        <v>96</v>
      </c>
      <c r="C10865" t="s">
        <v>29614</v>
      </c>
      <c r="D10865" t="s">
        <v>13982</v>
      </c>
      <c r="E10865">
        <v>424000</v>
      </c>
      <c r="F10865" t="s">
        <v>1</v>
      </c>
      <c r="G10865" t="s">
        <v>2</v>
      </c>
      <c r="H10865" t="s">
        <v>92</v>
      </c>
      <c r="P10865" t="s">
        <v>31621</v>
      </c>
      <c r="Y10865" t="s">
        <v>40642</v>
      </c>
    </row>
    <row r="10866" spans="1:25" x14ac:dyDescent="0.25">
      <c r="A10866" t="str">
        <f>"147345623754"</f>
        <v>147345623754</v>
      </c>
      <c r="B10866" t="s">
        <v>930</v>
      </c>
      <c r="C10866" t="s">
        <v>10263</v>
      </c>
      <c r="D10866" t="s">
        <v>40643</v>
      </c>
      <c r="F10866" t="s">
        <v>1</v>
      </c>
      <c r="G10866" t="s">
        <v>2</v>
      </c>
      <c r="H10866" t="s">
        <v>17767</v>
      </c>
      <c r="I10866" t="s">
        <v>40644</v>
      </c>
      <c r="P10866" t="s">
        <v>330</v>
      </c>
      <c r="Y10866" t="s">
        <v>40645</v>
      </c>
    </row>
    <row r="10867" spans="1:25" x14ac:dyDescent="0.25">
      <c r="A10867" t="str">
        <f>"147377186095"</f>
        <v>147377186095</v>
      </c>
      <c r="B10867" t="s">
        <v>18</v>
      </c>
      <c r="C10867" t="s">
        <v>40649</v>
      </c>
      <c r="D10867" t="s">
        <v>40646</v>
      </c>
      <c r="E10867">
        <v>424006</v>
      </c>
      <c r="F10867" t="s">
        <v>1</v>
      </c>
      <c r="G10867" t="s">
        <v>2</v>
      </c>
      <c r="H10867" t="s">
        <v>5726</v>
      </c>
      <c r="J10867" t="s">
        <v>40647</v>
      </c>
      <c r="L10867" t="s">
        <v>16920</v>
      </c>
      <c r="M10867" t="s">
        <v>40648</v>
      </c>
      <c r="P10867" t="s">
        <v>216</v>
      </c>
      <c r="Y10867" t="s">
        <v>656</v>
      </c>
    </row>
    <row r="10868" spans="1:25" x14ac:dyDescent="0.25">
      <c r="A10868" t="str">
        <f>"147380775941"</f>
        <v>147380775941</v>
      </c>
      <c r="B10868" t="s">
        <v>160</v>
      </c>
      <c r="C10868" t="s">
        <v>1666</v>
      </c>
      <c r="D10868" t="s">
        <v>40650</v>
      </c>
      <c r="E10868">
        <v>424004</v>
      </c>
      <c r="F10868" t="s">
        <v>1</v>
      </c>
      <c r="G10868" t="s">
        <v>2</v>
      </c>
      <c r="H10868" t="s">
        <v>5945</v>
      </c>
      <c r="I10868" t="s">
        <v>40651</v>
      </c>
      <c r="P10868" t="s">
        <v>40652</v>
      </c>
      <c r="Y10868" t="s">
        <v>40653</v>
      </c>
    </row>
    <row r="10869" spans="1:25" x14ac:dyDescent="0.25">
      <c r="A10869" t="str">
        <f>"147405242212"</f>
        <v>147405242212</v>
      </c>
      <c r="B10869" t="s">
        <v>18</v>
      </c>
      <c r="C10869" t="s">
        <v>40657</v>
      </c>
      <c r="D10869" t="s">
        <v>40654</v>
      </c>
      <c r="E10869">
        <v>424006</v>
      </c>
      <c r="F10869" t="s">
        <v>1</v>
      </c>
      <c r="G10869" t="s">
        <v>2</v>
      </c>
      <c r="H10869" t="s">
        <v>2775</v>
      </c>
      <c r="I10869" t="s">
        <v>40655</v>
      </c>
      <c r="J10869" t="s">
        <v>40656</v>
      </c>
      <c r="K10869" t="s">
        <v>14534</v>
      </c>
      <c r="P10869" t="s">
        <v>40658</v>
      </c>
      <c r="Y10869" t="s">
        <v>2779</v>
      </c>
    </row>
    <row r="10870" spans="1:25" x14ac:dyDescent="0.25">
      <c r="A10870" t="str">
        <f>"147426073864"</f>
        <v>147426073864</v>
      </c>
      <c r="B10870" t="s">
        <v>176</v>
      </c>
      <c r="C10870" t="s">
        <v>177</v>
      </c>
      <c r="D10870" t="s">
        <v>27518</v>
      </c>
      <c r="E10870">
        <v>424031</v>
      </c>
      <c r="F10870" t="s">
        <v>1</v>
      </c>
      <c r="G10870" t="s">
        <v>2</v>
      </c>
      <c r="H10870" t="s">
        <v>1524</v>
      </c>
      <c r="I10870" t="s">
        <v>19736</v>
      </c>
      <c r="J10870" t="s">
        <v>27520</v>
      </c>
      <c r="L10870" t="s">
        <v>40659</v>
      </c>
      <c r="M10870" t="s">
        <v>40660</v>
      </c>
      <c r="P10870" t="s">
        <v>216</v>
      </c>
      <c r="Q10870" t="s">
        <v>40661</v>
      </c>
      <c r="V10870" t="s">
        <v>40662</v>
      </c>
      <c r="Y10870" t="s">
        <v>40663</v>
      </c>
    </row>
    <row r="10871" spans="1:25" x14ac:dyDescent="0.25">
      <c r="A10871" t="str">
        <f>"147427843549"</f>
        <v>147427843549</v>
      </c>
      <c r="B10871" t="s">
        <v>117</v>
      </c>
      <c r="C10871" t="s">
        <v>118</v>
      </c>
      <c r="D10871" t="s">
        <v>40664</v>
      </c>
      <c r="E10871">
        <v>424016</v>
      </c>
      <c r="F10871" t="s">
        <v>1</v>
      </c>
      <c r="G10871" t="s">
        <v>2</v>
      </c>
      <c r="H10871" t="s">
        <v>16109</v>
      </c>
      <c r="I10871" t="s">
        <v>40665</v>
      </c>
      <c r="P10871" t="s">
        <v>40666</v>
      </c>
      <c r="Y10871" t="s">
        <v>40667</v>
      </c>
    </row>
    <row r="10872" spans="1:25" x14ac:dyDescent="0.25">
      <c r="A10872" t="str">
        <f>"147443783602"</f>
        <v>147443783602</v>
      </c>
      <c r="B10872" t="s">
        <v>1493</v>
      </c>
      <c r="C10872" t="s">
        <v>1494</v>
      </c>
      <c r="D10872" t="s">
        <v>30704</v>
      </c>
      <c r="F10872" t="s">
        <v>1</v>
      </c>
      <c r="G10872" t="s">
        <v>2</v>
      </c>
      <c r="H10872" t="s">
        <v>40668</v>
      </c>
      <c r="J10872" t="s">
        <v>40669</v>
      </c>
      <c r="P10872" t="s">
        <v>27</v>
      </c>
      <c r="Y10872" t="s">
        <v>10566</v>
      </c>
    </row>
    <row r="10873" spans="1:25" x14ac:dyDescent="0.25">
      <c r="A10873" t="str">
        <f>"147446896011"</f>
        <v>147446896011</v>
      </c>
      <c r="B10873" t="s">
        <v>3008</v>
      </c>
      <c r="C10873" t="s">
        <v>15744</v>
      </c>
      <c r="D10873" t="s">
        <v>40670</v>
      </c>
      <c r="E10873">
        <v>424005</v>
      </c>
      <c r="F10873" t="s">
        <v>1</v>
      </c>
      <c r="G10873" t="s">
        <v>2</v>
      </c>
      <c r="H10873" t="s">
        <v>3042</v>
      </c>
      <c r="J10873" t="s">
        <v>40671</v>
      </c>
      <c r="P10873" t="s">
        <v>330</v>
      </c>
      <c r="Y10873" t="s">
        <v>40672</v>
      </c>
    </row>
    <row r="10874" spans="1:25" x14ac:dyDescent="0.25">
      <c r="A10874" t="str">
        <f>"147459676396"</f>
        <v>147459676396</v>
      </c>
      <c r="B10874" t="s">
        <v>888</v>
      </c>
      <c r="C10874" t="s">
        <v>18803</v>
      </c>
      <c r="D10874" t="s">
        <v>40673</v>
      </c>
      <c r="E10874">
        <v>424004</v>
      </c>
      <c r="F10874" t="s">
        <v>1</v>
      </c>
      <c r="G10874" t="s">
        <v>2</v>
      </c>
      <c r="H10874" t="s">
        <v>186</v>
      </c>
      <c r="I10874" t="s">
        <v>40674</v>
      </c>
      <c r="J10874" t="s">
        <v>40675</v>
      </c>
      <c r="Y10874" t="s">
        <v>190</v>
      </c>
    </row>
    <row r="10875" spans="1:25" x14ac:dyDescent="0.25">
      <c r="A10875" t="str">
        <f>"147467200771"</f>
        <v>147467200771</v>
      </c>
      <c r="B10875" t="s">
        <v>319</v>
      </c>
      <c r="C10875" t="s">
        <v>320</v>
      </c>
      <c r="D10875" t="s">
        <v>13039</v>
      </c>
      <c r="E10875">
        <v>424000</v>
      </c>
      <c r="F10875" t="s">
        <v>1</v>
      </c>
      <c r="G10875" t="s">
        <v>2</v>
      </c>
      <c r="H10875" t="s">
        <v>86</v>
      </c>
      <c r="I10875" t="s">
        <v>13053</v>
      </c>
      <c r="P10875" t="s">
        <v>216</v>
      </c>
      <c r="Y10875" t="s">
        <v>40676</v>
      </c>
    </row>
    <row r="10876" spans="1:25" x14ac:dyDescent="0.25">
      <c r="A10876" t="str">
        <f>"147476453221"</f>
        <v>147476453221</v>
      </c>
      <c r="B10876" t="s">
        <v>1152</v>
      </c>
      <c r="C10876" t="s">
        <v>1385</v>
      </c>
      <c r="D10876" t="s">
        <v>27705</v>
      </c>
      <c r="E10876">
        <v>424000</v>
      </c>
      <c r="F10876" t="s">
        <v>1</v>
      </c>
      <c r="G10876" t="s">
        <v>2</v>
      </c>
      <c r="H10876" t="s">
        <v>2202</v>
      </c>
      <c r="Y10876" t="s">
        <v>2204</v>
      </c>
    </row>
    <row r="10877" spans="1:25" x14ac:dyDescent="0.25">
      <c r="A10877" t="str">
        <f>"147524697138"</f>
        <v>147524697138</v>
      </c>
      <c r="B10877" t="s">
        <v>96</v>
      </c>
      <c r="C10877" t="s">
        <v>8578</v>
      </c>
      <c r="D10877" t="s">
        <v>40677</v>
      </c>
      <c r="E10877">
        <v>424000</v>
      </c>
      <c r="F10877" t="s">
        <v>1</v>
      </c>
      <c r="G10877" t="s">
        <v>2</v>
      </c>
      <c r="H10877" t="s">
        <v>10803</v>
      </c>
      <c r="Y10877" t="s">
        <v>10805</v>
      </c>
    </row>
    <row r="10878" spans="1:25" x14ac:dyDescent="0.25">
      <c r="A10878" t="str">
        <f>"147568917471"</f>
        <v>147568917471</v>
      </c>
      <c r="B10878" t="s">
        <v>530</v>
      </c>
      <c r="C10878" t="s">
        <v>23950</v>
      </c>
      <c r="D10878" t="s">
        <v>23950</v>
      </c>
      <c r="F10878" t="s">
        <v>1</v>
      </c>
      <c r="G10878" t="s">
        <v>2</v>
      </c>
      <c r="H10878" t="s">
        <v>6353</v>
      </c>
      <c r="Y10878" t="s">
        <v>40678</v>
      </c>
    </row>
    <row r="10879" spans="1:25" x14ac:dyDescent="0.25">
      <c r="A10879" t="str">
        <f>"147583685648"</f>
        <v>147583685648</v>
      </c>
      <c r="B10879" t="s">
        <v>25</v>
      </c>
      <c r="C10879" t="s">
        <v>24938</v>
      </c>
      <c r="D10879" t="s">
        <v>40679</v>
      </c>
      <c r="E10879">
        <v>424004</v>
      </c>
      <c r="F10879" t="s">
        <v>1</v>
      </c>
      <c r="G10879" t="s">
        <v>2</v>
      </c>
      <c r="H10879" t="s">
        <v>28681</v>
      </c>
      <c r="I10879" t="s">
        <v>40680</v>
      </c>
      <c r="M10879" t="s">
        <v>40681</v>
      </c>
      <c r="P10879" t="s">
        <v>330</v>
      </c>
      <c r="Y10879" t="s">
        <v>40682</v>
      </c>
    </row>
    <row r="10880" spans="1:25" x14ac:dyDescent="0.25">
      <c r="A10880" t="str">
        <f>"147617395174"</f>
        <v>147617395174</v>
      </c>
      <c r="B10880" t="s">
        <v>10383</v>
      </c>
      <c r="C10880" t="s">
        <v>24146</v>
      </c>
      <c r="D10880" t="s">
        <v>24146</v>
      </c>
      <c r="F10880" t="s">
        <v>1</v>
      </c>
      <c r="G10880" t="s">
        <v>2</v>
      </c>
      <c r="H10880" t="s">
        <v>31886</v>
      </c>
      <c r="Y10880" t="s">
        <v>40683</v>
      </c>
    </row>
    <row r="10881" spans="1:25" x14ac:dyDescent="0.25">
      <c r="A10881" t="str">
        <f>"147625909699"</f>
        <v>147625909699</v>
      </c>
      <c r="B10881" t="s">
        <v>1544</v>
      </c>
      <c r="C10881" t="s">
        <v>7974</v>
      </c>
      <c r="D10881" t="s">
        <v>40684</v>
      </c>
      <c r="E10881">
        <v>424003</v>
      </c>
      <c r="F10881" t="s">
        <v>1</v>
      </c>
      <c r="G10881" t="s">
        <v>2</v>
      </c>
      <c r="H10881" t="s">
        <v>4546</v>
      </c>
      <c r="Y10881" t="s">
        <v>40685</v>
      </c>
    </row>
    <row r="10882" spans="1:25" x14ac:dyDescent="0.25">
      <c r="A10882" t="str">
        <f>"147628197527"</f>
        <v>147628197527</v>
      </c>
      <c r="B10882" t="s">
        <v>96</v>
      </c>
      <c r="C10882" t="s">
        <v>695</v>
      </c>
      <c r="D10882" t="s">
        <v>22550</v>
      </c>
      <c r="E10882">
        <v>424020</v>
      </c>
      <c r="F10882" t="s">
        <v>1</v>
      </c>
      <c r="G10882" t="s">
        <v>2</v>
      </c>
      <c r="H10882" t="s">
        <v>6262</v>
      </c>
      <c r="Y10882" t="s">
        <v>6264</v>
      </c>
    </row>
    <row r="10883" spans="1:25" x14ac:dyDescent="0.25">
      <c r="A10883" t="str">
        <f>"147633091710"</f>
        <v>147633091710</v>
      </c>
      <c r="B10883" t="s">
        <v>1053</v>
      </c>
      <c r="C10883" t="s">
        <v>32985</v>
      </c>
      <c r="D10883" t="s">
        <v>40686</v>
      </c>
      <c r="E10883">
        <v>424001</v>
      </c>
      <c r="F10883" t="s">
        <v>1</v>
      </c>
      <c r="G10883" t="s">
        <v>2</v>
      </c>
      <c r="H10883" t="s">
        <v>3665</v>
      </c>
      <c r="J10883" t="s">
        <v>40687</v>
      </c>
      <c r="L10883" t="s">
        <v>40688</v>
      </c>
      <c r="M10883" t="s">
        <v>40689</v>
      </c>
      <c r="P10883" t="s">
        <v>2457</v>
      </c>
      <c r="Q10883" t="s">
        <v>40690</v>
      </c>
      <c r="U10883" t="s">
        <v>40691</v>
      </c>
      <c r="V10883" t="s">
        <v>40692</v>
      </c>
      <c r="Y10883" t="s">
        <v>40693</v>
      </c>
    </row>
    <row r="10884" spans="1:25" x14ac:dyDescent="0.25">
      <c r="A10884" t="str">
        <f>"147645345286"</f>
        <v>147645345286</v>
      </c>
      <c r="B10884" t="s">
        <v>7</v>
      </c>
      <c r="C10884" t="s">
        <v>21467</v>
      </c>
      <c r="D10884" t="s">
        <v>40694</v>
      </c>
      <c r="F10884" t="s">
        <v>1</v>
      </c>
      <c r="G10884" t="s">
        <v>2</v>
      </c>
      <c r="H10884" t="s">
        <v>35075</v>
      </c>
      <c r="J10884" t="s">
        <v>40695</v>
      </c>
      <c r="L10884" t="s">
        <v>40696</v>
      </c>
      <c r="M10884" t="s">
        <v>40697</v>
      </c>
      <c r="P10884" t="s">
        <v>4280</v>
      </c>
      <c r="Q10884" t="s">
        <v>40698</v>
      </c>
      <c r="T10884" t="s">
        <v>40699</v>
      </c>
      <c r="V10884" t="s">
        <v>40700</v>
      </c>
      <c r="Y10884" t="s">
        <v>40701</v>
      </c>
    </row>
    <row r="10885" spans="1:25" x14ac:dyDescent="0.25">
      <c r="A10885" t="str">
        <f>"147651574862"</f>
        <v>147651574862</v>
      </c>
      <c r="B10885" t="s">
        <v>96</v>
      </c>
      <c r="C10885" t="s">
        <v>40705</v>
      </c>
      <c r="D10885" t="s">
        <v>40702</v>
      </c>
      <c r="E10885">
        <v>424002</v>
      </c>
      <c r="F10885" t="s">
        <v>1</v>
      </c>
      <c r="G10885" t="s">
        <v>2</v>
      </c>
      <c r="H10885" t="s">
        <v>6502</v>
      </c>
      <c r="J10885" t="s">
        <v>40703</v>
      </c>
      <c r="L10885" t="s">
        <v>40704</v>
      </c>
      <c r="P10885" t="s">
        <v>40706</v>
      </c>
      <c r="Q10885" t="s">
        <v>40707</v>
      </c>
      <c r="V10885" t="s">
        <v>40708</v>
      </c>
      <c r="Y10885" t="s">
        <v>16586</v>
      </c>
    </row>
    <row r="10886" spans="1:25" x14ac:dyDescent="0.25">
      <c r="A10886" t="str">
        <f>"147670433601"</f>
        <v>147670433601</v>
      </c>
      <c r="B10886" t="s">
        <v>88</v>
      </c>
      <c r="C10886" t="s">
        <v>6066</v>
      </c>
      <c r="D10886" t="s">
        <v>34171</v>
      </c>
      <c r="F10886" t="s">
        <v>1</v>
      </c>
      <c r="G10886" t="s">
        <v>2</v>
      </c>
      <c r="H10886" t="s">
        <v>21408</v>
      </c>
      <c r="Y10886" t="s">
        <v>40709</v>
      </c>
    </row>
    <row r="10887" spans="1:25" x14ac:dyDescent="0.25">
      <c r="A10887" t="str">
        <f>"147711261634"</f>
        <v>147711261634</v>
      </c>
      <c r="B10887" t="s">
        <v>738</v>
      </c>
      <c r="C10887" t="s">
        <v>6158</v>
      </c>
      <c r="D10887" t="s">
        <v>40710</v>
      </c>
      <c r="E10887">
        <v>424038</v>
      </c>
      <c r="F10887" t="s">
        <v>1</v>
      </c>
      <c r="G10887" t="s">
        <v>2</v>
      </c>
      <c r="H10887" t="s">
        <v>546</v>
      </c>
      <c r="I10887" t="s">
        <v>40711</v>
      </c>
      <c r="L10887" t="s">
        <v>40712</v>
      </c>
      <c r="M10887" t="s">
        <v>40713</v>
      </c>
      <c r="P10887" t="s">
        <v>2457</v>
      </c>
      <c r="Q10887" t="s">
        <v>40714</v>
      </c>
      <c r="R10887" t="s">
        <v>40715</v>
      </c>
      <c r="V10887" t="s">
        <v>40716</v>
      </c>
      <c r="Y10887" t="s">
        <v>549</v>
      </c>
    </row>
    <row r="10888" spans="1:25" x14ac:dyDescent="0.25">
      <c r="A10888" t="str">
        <f>"147776404932"</f>
        <v>147776404932</v>
      </c>
      <c r="B10888" t="s">
        <v>160</v>
      </c>
      <c r="C10888" t="s">
        <v>2479</v>
      </c>
      <c r="D10888" t="s">
        <v>40717</v>
      </c>
      <c r="E10888">
        <v>424030</v>
      </c>
      <c r="F10888" t="s">
        <v>1</v>
      </c>
      <c r="G10888" t="s">
        <v>2</v>
      </c>
      <c r="H10888" t="s">
        <v>5134</v>
      </c>
      <c r="Y10888" t="s">
        <v>40718</v>
      </c>
    </row>
    <row r="10889" spans="1:25" x14ac:dyDescent="0.25">
      <c r="A10889" t="str">
        <f>"147799656055"</f>
        <v>147799656055</v>
      </c>
      <c r="B10889" t="s">
        <v>2818</v>
      </c>
      <c r="C10889" t="s">
        <v>6466</v>
      </c>
      <c r="D10889" t="s">
        <v>7507</v>
      </c>
      <c r="F10889" t="s">
        <v>1</v>
      </c>
      <c r="G10889" t="s">
        <v>2</v>
      </c>
      <c r="H10889" t="s">
        <v>2745</v>
      </c>
      <c r="Y10889" t="s">
        <v>40719</v>
      </c>
    </row>
    <row r="10890" spans="1:25" x14ac:dyDescent="0.25">
      <c r="A10890" t="str">
        <f>"147804378407"</f>
        <v>147804378407</v>
      </c>
      <c r="B10890" t="s">
        <v>388</v>
      </c>
      <c r="C10890" t="s">
        <v>7194</v>
      </c>
      <c r="D10890" t="s">
        <v>35263</v>
      </c>
      <c r="E10890">
        <v>424028</v>
      </c>
      <c r="F10890" t="s">
        <v>1</v>
      </c>
      <c r="G10890" t="s">
        <v>2</v>
      </c>
      <c r="H10890" t="s">
        <v>24739</v>
      </c>
      <c r="Y10890" t="s">
        <v>25816</v>
      </c>
    </row>
    <row r="10891" spans="1:25" x14ac:dyDescent="0.25">
      <c r="A10891" t="str">
        <f>"147825467374"</f>
        <v>147825467374</v>
      </c>
      <c r="B10891" t="s">
        <v>123</v>
      </c>
      <c r="C10891" t="s">
        <v>196</v>
      </c>
      <c r="D10891" t="s">
        <v>40720</v>
      </c>
      <c r="E10891">
        <v>424003</v>
      </c>
      <c r="F10891" t="s">
        <v>1</v>
      </c>
      <c r="G10891" t="s">
        <v>2</v>
      </c>
      <c r="H10891" t="s">
        <v>775</v>
      </c>
      <c r="I10891" t="s">
        <v>40721</v>
      </c>
      <c r="M10891" t="s">
        <v>40722</v>
      </c>
      <c r="P10891" t="s">
        <v>4831</v>
      </c>
      <c r="Y10891" t="s">
        <v>40723</v>
      </c>
    </row>
    <row r="10892" spans="1:25" x14ac:dyDescent="0.25">
      <c r="A10892" t="str">
        <f>"147842752475"</f>
        <v>147842752475</v>
      </c>
      <c r="B10892" t="s">
        <v>1323</v>
      </c>
      <c r="C10892" t="s">
        <v>1324</v>
      </c>
      <c r="D10892" t="s">
        <v>40724</v>
      </c>
      <c r="E10892">
        <v>424031</v>
      </c>
      <c r="F10892" t="s">
        <v>1</v>
      </c>
      <c r="G10892" t="s">
        <v>2</v>
      </c>
      <c r="H10892" t="s">
        <v>887</v>
      </c>
      <c r="I10892" t="s">
        <v>40725</v>
      </c>
      <c r="L10892" t="s">
        <v>4465</v>
      </c>
      <c r="M10892" t="s">
        <v>4466</v>
      </c>
      <c r="P10892" t="s">
        <v>280</v>
      </c>
      <c r="Q10892" t="s">
        <v>4468</v>
      </c>
      <c r="Y10892" t="s">
        <v>40726</v>
      </c>
    </row>
    <row r="10893" spans="1:25" x14ac:dyDescent="0.25">
      <c r="A10893" t="str">
        <f>"147849680302"</f>
        <v>147849680302</v>
      </c>
      <c r="B10893" t="s">
        <v>18</v>
      </c>
      <c r="C10893" t="s">
        <v>14912</v>
      </c>
      <c r="D10893" t="s">
        <v>40727</v>
      </c>
      <c r="E10893">
        <v>424002</v>
      </c>
      <c r="F10893" t="s">
        <v>1</v>
      </c>
      <c r="G10893" t="s">
        <v>2</v>
      </c>
      <c r="H10893" t="s">
        <v>3421</v>
      </c>
      <c r="I10893" t="s">
        <v>40728</v>
      </c>
      <c r="J10893" t="s">
        <v>40729</v>
      </c>
      <c r="L10893" t="s">
        <v>40730</v>
      </c>
      <c r="M10893" t="s">
        <v>40731</v>
      </c>
      <c r="P10893" t="s">
        <v>27</v>
      </c>
      <c r="Q10893" t="s">
        <v>40732</v>
      </c>
      <c r="U10893" t="s">
        <v>40733</v>
      </c>
      <c r="V10893" t="s">
        <v>40734</v>
      </c>
      <c r="Y10893" t="s">
        <v>3425</v>
      </c>
    </row>
    <row r="10894" spans="1:25" x14ac:dyDescent="0.25">
      <c r="A10894" t="str">
        <f>"147855677290"</f>
        <v>147855677290</v>
      </c>
      <c r="B10894" t="s">
        <v>1544</v>
      </c>
      <c r="C10894" t="s">
        <v>15598</v>
      </c>
      <c r="D10894" t="s">
        <v>20141</v>
      </c>
      <c r="F10894" t="s">
        <v>1</v>
      </c>
      <c r="G10894" t="s">
        <v>2</v>
      </c>
      <c r="H10894" t="s">
        <v>23969</v>
      </c>
      <c r="Y10894" t="s">
        <v>40735</v>
      </c>
    </row>
    <row r="10895" spans="1:25" x14ac:dyDescent="0.25">
      <c r="A10895" t="str">
        <f>"147859563861"</f>
        <v>147859563861</v>
      </c>
      <c r="B10895" t="s">
        <v>24124</v>
      </c>
      <c r="C10895" t="s">
        <v>36327</v>
      </c>
      <c r="D10895" t="s">
        <v>40736</v>
      </c>
      <c r="E10895">
        <v>424008</v>
      </c>
      <c r="F10895" t="s">
        <v>1</v>
      </c>
      <c r="G10895" t="s">
        <v>2</v>
      </c>
      <c r="H10895" t="s">
        <v>11621</v>
      </c>
      <c r="J10895" t="s">
        <v>40737</v>
      </c>
      <c r="P10895" t="s">
        <v>340</v>
      </c>
      <c r="Q10895" t="s">
        <v>40738</v>
      </c>
      <c r="V10895" t="s">
        <v>40739</v>
      </c>
      <c r="Y10895" t="s">
        <v>40740</v>
      </c>
    </row>
    <row r="10896" spans="1:25" x14ac:dyDescent="0.25">
      <c r="A10896" t="str">
        <f>"147912555514"</f>
        <v>147912555514</v>
      </c>
      <c r="B10896" t="s">
        <v>25</v>
      </c>
      <c r="C10896" t="s">
        <v>20320</v>
      </c>
      <c r="D10896" t="s">
        <v>40741</v>
      </c>
      <c r="E10896">
        <v>424033</v>
      </c>
      <c r="F10896" t="s">
        <v>1</v>
      </c>
      <c r="G10896" t="s">
        <v>2</v>
      </c>
      <c r="H10896" t="s">
        <v>19261</v>
      </c>
      <c r="J10896" t="s">
        <v>40742</v>
      </c>
      <c r="P10896" t="s">
        <v>330</v>
      </c>
      <c r="Y10896" t="s">
        <v>40743</v>
      </c>
    </row>
    <row r="10897" spans="1:25" x14ac:dyDescent="0.25">
      <c r="A10897" t="str">
        <f>"147918040632"</f>
        <v>147918040632</v>
      </c>
      <c r="B10897" t="s">
        <v>574</v>
      </c>
      <c r="C10897" t="s">
        <v>952</v>
      </c>
      <c r="D10897" t="s">
        <v>40744</v>
      </c>
      <c r="E10897">
        <v>424003</v>
      </c>
      <c r="F10897" t="s">
        <v>1</v>
      </c>
      <c r="G10897" t="s">
        <v>2</v>
      </c>
      <c r="H10897" t="s">
        <v>2564</v>
      </c>
      <c r="P10897" t="s">
        <v>216</v>
      </c>
      <c r="Y10897" t="s">
        <v>40745</v>
      </c>
    </row>
    <row r="10898" spans="1:25" x14ac:dyDescent="0.25">
      <c r="A10898" t="str">
        <f>"147927262605"</f>
        <v>147927262605</v>
      </c>
      <c r="B10898" t="s">
        <v>930</v>
      </c>
      <c r="C10898" t="s">
        <v>24879</v>
      </c>
      <c r="D10898" t="s">
        <v>1094</v>
      </c>
      <c r="E10898">
        <v>424019</v>
      </c>
      <c r="F10898" t="s">
        <v>1</v>
      </c>
      <c r="G10898" t="s">
        <v>2</v>
      </c>
      <c r="H10898" t="s">
        <v>22572</v>
      </c>
      <c r="I10898" t="s">
        <v>40746</v>
      </c>
      <c r="P10898" t="s">
        <v>133</v>
      </c>
      <c r="Y10898" t="s">
        <v>40747</v>
      </c>
    </row>
    <row r="10899" spans="1:25" x14ac:dyDescent="0.25">
      <c r="A10899" t="str">
        <f>"147989776732"</f>
        <v>147989776732</v>
      </c>
      <c r="B10899" t="s">
        <v>379</v>
      </c>
      <c r="C10899" t="s">
        <v>766</v>
      </c>
      <c r="D10899" t="s">
        <v>28425</v>
      </c>
      <c r="E10899">
        <v>424006</v>
      </c>
      <c r="F10899" t="s">
        <v>1</v>
      </c>
      <c r="G10899" t="s">
        <v>2</v>
      </c>
      <c r="H10899" t="s">
        <v>5906</v>
      </c>
      <c r="I10899" t="s">
        <v>28426</v>
      </c>
      <c r="M10899" t="s">
        <v>28427</v>
      </c>
      <c r="P10899" t="s">
        <v>133</v>
      </c>
      <c r="Q10899" t="s">
        <v>28428</v>
      </c>
      <c r="V10899" t="s">
        <v>28429</v>
      </c>
      <c r="Y10899" t="s">
        <v>5907</v>
      </c>
    </row>
    <row r="10900" spans="1:25" x14ac:dyDescent="0.25">
      <c r="A10900" t="str">
        <f>"147994792808"</f>
        <v>147994792808</v>
      </c>
      <c r="B10900" t="s">
        <v>18</v>
      </c>
      <c r="C10900" t="s">
        <v>40751</v>
      </c>
      <c r="D10900" t="s">
        <v>40748</v>
      </c>
      <c r="E10900">
        <v>424007</v>
      </c>
      <c r="F10900" t="s">
        <v>1</v>
      </c>
      <c r="G10900" t="s">
        <v>2</v>
      </c>
      <c r="H10900" t="s">
        <v>3119</v>
      </c>
      <c r="J10900" t="s">
        <v>40749</v>
      </c>
      <c r="M10900" t="s">
        <v>40750</v>
      </c>
      <c r="P10900" t="s">
        <v>9820</v>
      </c>
      <c r="Y10900" t="s">
        <v>6812</v>
      </c>
    </row>
    <row r="10901" spans="1:25" x14ac:dyDescent="0.25">
      <c r="A10901" t="str">
        <f>"148007377051"</f>
        <v>148007377051</v>
      </c>
      <c r="B10901" t="s">
        <v>319</v>
      </c>
      <c r="C10901" t="s">
        <v>320</v>
      </c>
      <c r="D10901" t="s">
        <v>40752</v>
      </c>
      <c r="E10901">
        <v>424036</v>
      </c>
      <c r="F10901" t="s">
        <v>1</v>
      </c>
      <c r="G10901" t="s">
        <v>2</v>
      </c>
      <c r="H10901" t="s">
        <v>375</v>
      </c>
      <c r="Y10901" t="s">
        <v>40753</v>
      </c>
    </row>
    <row r="10902" spans="1:25" x14ac:dyDescent="0.25">
      <c r="A10902" t="str">
        <f>"148053860799"</f>
        <v>148053860799</v>
      </c>
      <c r="B10902" t="s">
        <v>1544</v>
      </c>
      <c r="C10902" t="s">
        <v>15598</v>
      </c>
      <c r="D10902" t="s">
        <v>30028</v>
      </c>
      <c r="E10902">
        <v>424004</v>
      </c>
      <c r="F10902" t="s">
        <v>1</v>
      </c>
      <c r="G10902" t="s">
        <v>2</v>
      </c>
      <c r="H10902" t="s">
        <v>906</v>
      </c>
      <c r="Y10902" t="s">
        <v>40754</v>
      </c>
    </row>
    <row r="10903" spans="1:25" x14ac:dyDescent="0.25">
      <c r="A10903" t="str">
        <f>"148058757254"</f>
        <v>148058757254</v>
      </c>
      <c r="B10903" t="s">
        <v>3008</v>
      </c>
      <c r="C10903" t="s">
        <v>3008</v>
      </c>
      <c r="D10903" t="s">
        <v>40755</v>
      </c>
      <c r="F10903" t="s">
        <v>1</v>
      </c>
      <c r="G10903" t="s">
        <v>2</v>
      </c>
      <c r="H10903" t="s">
        <v>25588</v>
      </c>
      <c r="Y10903" t="s">
        <v>40756</v>
      </c>
    </row>
    <row r="10904" spans="1:25" x14ac:dyDescent="0.25">
      <c r="A10904" t="str">
        <f>"148130286842"</f>
        <v>148130286842</v>
      </c>
      <c r="B10904" t="s">
        <v>687</v>
      </c>
      <c r="C10904" t="s">
        <v>40758</v>
      </c>
      <c r="D10904" t="s">
        <v>40757</v>
      </c>
      <c r="F10904" t="s">
        <v>1</v>
      </c>
      <c r="G10904" t="s">
        <v>2</v>
      </c>
      <c r="H10904" t="s">
        <v>18806</v>
      </c>
      <c r="Y10904" t="s">
        <v>40759</v>
      </c>
    </row>
    <row r="10905" spans="1:25" x14ac:dyDescent="0.25">
      <c r="A10905" t="str">
        <f>"148183477882"</f>
        <v>148183477882</v>
      </c>
      <c r="B10905" t="s">
        <v>1046</v>
      </c>
      <c r="C10905" t="s">
        <v>3808</v>
      </c>
      <c r="D10905" t="s">
        <v>40760</v>
      </c>
      <c r="E10905">
        <v>424039</v>
      </c>
      <c r="F10905" t="s">
        <v>1</v>
      </c>
      <c r="G10905" t="s">
        <v>2</v>
      </c>
      <c r="H10905" t="s">
        <v>9580</v>
      </c>
      <c r="Y10905" t="s">
        <v>40542</v>
      </c>
    </row>
    <row r="10906" spans="1:25" x14ac:dyDescent="0.25">
      <c r="A10906" t="str">
        <f>"148188944277"</f>
        <v>148188944277</v>
      </c>
      <c r="B10906" t="s">
        <v>574</v>
      </c>
      <c r="C10906" t="s">
        <v>23520</v>
      </c>
      <c r="D10906" t="s">
        <v>29750</v>
      </c>
      <c r="E10906">
        <v>424003</v>
      </c>
      <c r="F10906" t="s">
        <v>1</v>
      </c>
      <c r="G10906" t="s">
        <v>2</v>
      </c>
      <c r="H10906" t="s">
        <v>4546</v>
      </c>
      <c r="Y10906" t="s">
        <v>5427</v>
      </c>
    </row>
    <row r="10907" spans="1:25" x14ac:dyDescent="0.25">
      <c r="A10907" t="str">
        <f>"148200741810"</f>
        <v>148200741810</v>
      </c>
      <c r="B10907" t="s">
        <v>110</v>
      </c>
      <c r="C10907" t="s">
        <v>40765</v>
      </c>
      <c r="D10907" t="s">
        <v>40761</v>
      </c>
      <c r="E10907">
        <v>424038</v>
      </c>
      <c r="F10907" t="s">
        <v>1</v>
      </c>
      <c r="G10907" t="s">
        <v>2</v>
      </c>
      <c r="H10907" t="s">
        <v>7597</v>
      </c>
      <c r="J10907" t="s">
        <v>40762</v>
      </c>
      <c r="L10907" t="s">
        <v>40763</v>
      </c>
      <c r="M10907" t="s">
        <v>40764</v>
      </c>
      <c r="P10907" t="s">
        <v>1642</v>
      </c>
      <c r="Q10907" t="s">
        <v>40766</v>
      </c>
      <c r="Y10907" t="s">
        <v>16150</v>
      </c>
    </row>
    <row r="10908" spans="1:25" x14ac:dyDescent="0.25">
      <c r="A10908" t="str">
        <f>"148220934996"</f>
        <v>148220934996</v>
      </c>
      <c r="B10908" t="s">
        <v>96</v>
      </c>
      <c r="C10908" t="s">
        <v>893</v>
      </c>
      <c r="D10908" t="s">
        <v>40767</v>
      </c>
      <c r="E10908">
        <v>424038</v>
      </c>
      <c r="F10908" t="s">
        <v>1</v>
      </c>
      <c r="G10908" t="s">
        <v>2</v>
      </c>
      <c r="H10908" t="s">
        <v>7597</v>
      </c>
      <c r="J10908" t="s">
        <v>40768</v>
      </c>
      <c r="P10908" t="s">
        <v>1642</v>
      </c>
      <c r="Y10908" t="s">
        <v>40769</v>
      </c>
    </row>
    <row r="10909" spans="1:25" x14ac:dyDescent="0.25">
      <c r="A10909" t="str">
        <f>"148237748592"</f>
        <v>148237748592</v>
      </c>
      <c r="B10909" t="s">
        <v>1833</v>
      </c>
      <c r="C10909" t="s">
        <v>40773</v>
      </c>
      <c r="D10909" t="s">
        <v>40770</v>
      </c>
      <c r="E10909">
        <v>424005</v>
      </c>
      <c r="F10909" t="s">
        <v>1</v>
      </c>
      <c r="G10909" t="s">
        <v>2</v>
      </c>
      <c r="H10909" t="s">
        <v>38933</v>
      </c>
      <c r="I10909" t="s">
        <v>40771</v>
      </c>
      <c r="L10909" t="s">
        <v>20389</v>
      </c>
      <c r="M10909" t="s">
        <v>40772</v>
      </c>
      <c r="P10909" t="s">
        <v>27</v>
      </c>
      <c r="Y10909" t="s">
        <v>40774</v>
      </c>
    </row>
    <row r="10910" spans="1:25" x14ac:dyDescent="0.25">
      <c r="A10910" t="str">
        <f>"148248070737"</f>
        <v>148248070737</v>
      </c>
      <c r="B10910" t="s">
        <v>18</v>
      </c>
      <c r="C10910" t="s">
        <v>6972</v>
      </c>
      <c r="D10910" t="s">
        <v>40775</v>
      </c>
      <c r="E10910">
        <v>424003</v>
      </c>
      <c r="F10910" t="s">
        <v>1</v>
      </c>
      <c r="G10910" t="s">
        <v>2</v>
      </c>
      <c r="H10910" t="s">
        <v>8926</v>
      </c>
      <c r="Y10910" t="s">
        <v>40776</v>
      </c>
    </row>
    <row r="10911" spans="1:25" x14ac:dyDescent="0.25">
      <c r="A10911" t="str">
        <f>"148294250479"</f>
        <v>148294250479</v>
      </c>
      <c r="B10911" t="s">
        <v>117</v>
      </c>
      <c r="C10911" t="s">
        <v>873</v>
      </c>
      <c r="D10911" t="s">
        <v>873</v>
      </c>
      <c r="F10911" t="s">
        <v>1</v>
      </c>
      <c r="G10911" t="s">
        <v>2</v>
      </c>
      <c r="H10911" t="s">
        <v>40777</v>
      </c>
      <c r="Y10911" t="s">
        <v>40778</v>
      </c>
    </row>
    <row r="10912" spans="1:25" x14ac:dyDescent="0.25">
      <c r="A10912" t="str">
        <f>"148295017635"</f>
        <v>148295017635</v>
      </c>
      <c r="B10912" t="s">
        <v>352</v>
      </c>
      <c r="C10912" t="s">
        <v>6213</v>
      </c>
      <c r="D10912" t="s">
        <v>40779</v>
      </c>
      <c r="E10912">
        <v>424000</v>
      </c>
      <c r="F10912" t="s">
        <v>1</v>
      </c>
      <c r="G10912" t="s">
        <v>2</v>
      </c>
      <c r="H10912" t="s">
        <v>1531</v>
      </c>
      <c r="I10912" t="s">
        <v>40780</v>
      </c>
      <c r="L10912" t="s">
        <v>40781</v>
      </c>
      <c r="M10912" t="s">
        <v>40782</v>
      </c>
      <c r="P10912" t="s">
        <v>1027</v>
      </c>
      <c r="Y10912" t="s">
        <v>1707</v>
      </c>
    </row>
    <row r="10913" spans="1:25" x14ac:dyDescent="0.25">
      <c r="A10913" t="str">
        <f>"148361729462"</f>
        <v>148361729462</v>
      </c>
      <c r="B10913" t="s">
        <v>1617</v>
      </c>
      <c r="C10913" t="s">
        <v>1618</v>
      </c>
      <c r="D10913" t="s">
        <v>40783</v>
      </c>
      <c r="E10913">
        <v>424038</v>
      </c>
      <c r="F10913" t="s">
        <v>1</v>
      </c>
      <c r="G10913" t="s">
        <v>2</v>
      </c>
      <c r="H10913" t="s">
        <v>19499</v>
      </c>
      <c r="P10913" t="s">
        <v>144</v>
      </c>
      <c r="Q10913" t="s">
        <v>40784</v>
      </c>
      <c r="V10913" t="s">
        <v>40785</v>
      </c>
      <c r="Y10913" t="s">
        <v>24185</v>
      </c>
    </row>
    <row r="10914" spans="1:25" x14ac:dyDescent="0.25">
      <c r="A10914" t="str">
        <f>"148380663895"</f>
        <v>148380663895</v>
      </c>
      <c r="B10914" t="s">
        <v>1573</v>
      </c>
      <c r="C10914" t="s">
        <v>40787</v>
      </c>
      <c r="D10914" t="s">
        <v>40786</v>
      </c>
      <c r="E10914">
        <v>424007</v>
      </c>
      <c r="F10914" t="s">
        <v>1</v>
      </c>
      <c r="G10914" t="s">
        <v>2</v>
      </c>
      <c r="H10914" t="s">
        <v>3476</v>
      </c>
      <c r="I10914" t="s">
        <v>14058</v>
      </c>
      <c r="Y10914" t="s">
        <v>20214</v>
      </c>
    </row>
    <row r="10915" spans="1:25" x14ac:dyDescent="0.25">
      <c r="A10915" t="str">
        <f>"148401855199"</f>
        <v>148401855199</v>
      </c>
      <c r="B10915" t="s">
        <v>67</v>
      </c>
      <c r="C10915" t="s">
        <v>269</v>
      </c>
      <c r="D10915" t="s">
        <v>491</v>
      </c>
      <c r="E10915">
        <v>424006</v>
      </c>
      <c r="F10915" t="s">
        <v>1</v>
      </c>
      <c r="G10915" t="s">
        <v>2</v>
      </c>
      <c r="H10915" t="s">
        <v>492</v>
      </c>
      <c r="Y10915" t="s">
        <v>40788</v>
      </c>
    </row>
    <row r="10916" spans="1:25" x14ac:dyDescent="0.25">
      <c r="A10916" t="str">
        <f>"148402334344"</f>
        <v>148402334344</v>
      </c>
      <c r="B10916" t="s">
        <v>1078</v>
      </c>
      <c r="C10916" t="s">
        <v>40790</v>
      </c>
      <c r="D10916" t="s">
        <v>40789</v>
      </c>
      <c r="E10916">
        <v>424002</v>
      </c>
      <c r="F10916" t="s">
        <v>1</v>
      </c>
      <c r="G10916" t="s">
        <v>2</v>
      </c>
      <c r="H10916" t="s">
        <v>57</v>
      </c>
      <c r="Y10916" t="s">
        <v>40791</v>
      </c>
    </row>
    <row r="10917" spans="1:25" x14ac:dyDescent="0.25">
      <c r="A10917" t="str">
        <f>"148410123119"</f>
        <v>148410123119</v>
      </c>
      <c r="B10917" t="s">
        <v>379</v>
      </c>
      <c r="C10917" t="s">
        <v>766</v>
      </c>
      <c r="D10917" t="s">
        <v>40792</v>
      </c>
      <c r="E10917">
        <v>424000</v>
      </c>
      <c r="F10917" t="s">
        <v>1</v>
      </c>
      <c r="G10917" t="s">
        <v>2</v>
      </c>
      <c r="H10917" t="s">
        <v>265</v>
      </c>
      <c r="I10917" t="s">
        <v>40793</v>
      </c>
      <c r="L10917" t="s">
        <v>40794</v>
      </c>
      <c r="M10917" t="s">
        <v>40795</v>
      </c>
      <c r="P10917" t="s">
        <v>312</v>
      </c>
      <c r="Y10917" t="s">
        <v>11205</v>
      </c>
    </row>
    <row r="10918" spans="1:25" x14ac:dyDescent="0.25">
      <c r="A10918" t="str">
        <f>"148412198963"</f>
        <v>148412198963</v>
      </c>
      <c r="B10918" t="s">
        <v>96</v>
      </c>
      <c r="C10918" t="s">
        <v>893</v>
      </c>
      <c r="D10918" t="s">
        <v>40356</v>
      </c>
      <c r="E10918">
        <v>424000</v>
      </c>
      <c r="F10918" t="s">
        <v>1</v>
      </c>
      <c r="G10918" t="s">
        <v>2</v>
      </c>
      <c r="H10918" t="s">
        <v>3749</v>
      </c>
      <c r="Y10918" t="s">
        <v>3754</v>
      </c>
    </row>
    <row r="10919" spans="1:25" x14ac:dyDescent="0.25">
      <c r="A10919" t="str">
        <f>"148432737530"</f>
        <v>148432737530</v>
      </c>
      <c r="B10919" t="s">
        <v>1046</v>
      </c>
      <c r="C10919" t="s">
        <v>22946</v>
      </c>
      <c r="D10919" t="s">
        <v>22946</v>
      </c>
      <c r="E10919">
        <v>424003</v>
      </c>
      <c r="F10919" t="s">
        <v>1</v>
      </c>
      <c r="G10919" t="s">
        <v>2</v>
      </c>
      <c r="H10919" t="s">
        <v>10082</v>
      </c>
      <c r="Y10919" t="s">
        <v>40796</v>
      </c>
    </row>
    <row r="10920" spans="1:25" x14ac:dyDescent="0.25">
      <c r="A10920" t="str">
        <f>"148435547739"</f>
        <v>148435547739</v>
      </c>
      <c r="B10920" t="s">
        <v>574</v>
      </c>
      <c r="C10920" t="s">
        <v>22533</v>
      </c>
      <c r="D10920" t="s">
        <v>3057</v>
      </c>
      <c r="E10920">
        <v>424032</v>
      </c>
      <c r="F10920" t="s">
        <v>1</v>
      </c>
      <c r="G10920" t="s">
        <v>2</v>
      </c>
      <c r="H10920" t="s">
        <v>21144</v>
      </c>
      <c r="P10920" t="s">
        <v>2457</v>
      </c>
      <c r="Y10920" t="s">
        <v>40797</v>
      </c>
    </row>
    <row r="10921" spans="1:25" x14ac:dyDescent="0.25">
      <c r="A10921" t="str">
        <f>"148436010013"</f>
        <v>148436010013</v>
      </c>
      <c r="B10921" t="s">
        <v>930</v>
      </c>
      <c r="C10921" t="s">
        <v>10263</v>
      </c>
      <c r="D10921" t="s">
        <v>30724</v>
      </c>
      <c r="E10921">
        <v>424002</v>
      </c>
      <c r="F10921" t="s">
        <v>1</v>
      </c>
      <c r="G10921" t="s">
        <v>2</v>
      </c>
      <c r="H10921" t="s">
        <v>7502</v>
      </c>
      <c r="Y10921" t="s">
        <v>40798</v>
      </c>
    </row>
    <row r="10922" spans="1:25" x14ac:dyDescent="0.25">
      <c r="A10922" t="str">
        <f>"148453761505"</f>
        <v>148453761505</v>
      </c>
      <c r="B10922" t="s">
        <v>123</v>
      </c>
      <c r="C10922" t="s">
        <v>10249</v>
      </c>
      <c r="D10922" t="s">
        <v>40799</v>
      </c>
      <c r="E10922">
        <v>424003</v>
      </c>
      <c r="F10922" t="s">
        <v>1</v>
      </c>
      <c r="G10922" t="s">
        <v>2</v>
      </c>
      <c r="H10922" t="s">
        <v>38</v>
      </c>
      <c r="P10922" t="s">
        <v>425</v>
      </c>
      <c r="Y10922" t="s">
        <v>40800</v>
      </c>
    </row>
    <row r="10923" spans="1:25" x14ac:dyDescent="0.25">
      <c r="A10923" t="str">
        <f>"148455419407"</f>
        <v>148455419407</v>
      </c>
      <c r="B10923" t="s">
        <v>3200</v>
      </c>
      <c r="C10923" t="s">
        <v>18948</v>
      </c>
      <c r="D10923" t="s">
        <v>31522</v>
      </c>
      <c r="E10923">
        <v>424007</v>
      </c>
      <c r="F10923" t="s">
        <v>1</v>
      </c>
      <c r="G10923" t="s">
        <v>2</v>
      </c>
      <c r="H10923" t="s">
        <v>4321</v>
      </c>
      <c r="Y10923" t="s">
        <v>40801</v>
      </c>
    </row>
    <row r="10924" spans="1:25" x14ac:dyDescent="0.25">
      <c r="A10924" t="str">
        <f>"148470946858"</f>
        <v>148470946858</v>
      </c>
      <c r="B10924" t="s">
        <v>519</v>
      </c>
      <c r="C10924" t="s">
        <v>583</v>
      </c>
      <c r="D10924" t="s">
        <v>577</v>
      </c>
      <c r="F10924" t="s">
        <v>1</v>
      </c>
      <c r="G10924" t="s">
        <v>2</v>
      </c>
      <c r="H10924" t="s">
        <v>12410</v>
      </c>
      <c r="I10924" t="s">
        <v>40802</v>
      </c>
      <c r="L10924" t="s">
        <v>581</v>
      </c>
      <c r="M10924" t="s">
        <v>582</v>
      </c>
      <c r="P10924" t="s">
        <v>35803</v>
      </c>
      <c r="Y10924" t="s">
        <v>40803</v>
      </c>
    </row>
    <row r="10925" spans="1:25" x14ac:dyDescent="0.25">
      <c r="A10925" t="str">
        <f>"148482383701"</f>
        <v>148482383701</v>
      </c>
      <c r="B10925" t="s">
        <v>930</v>
      </c>
      <c r="C10925" t="s">
        <v>7140</v>
      </c>
      <c r="D10925" t="s">
        <v>40804</v>
      </c>
      <c r="F10925" t="s">
        <v>1</v>
      </c>
      <c r="G10925" t="s">
        <v>2</v>
      </c>
      <c r="H10925" t="s">
        <v>3536</v>
      </c>
      <c r="I10925" t="s">
        <v>40805</v>
      </c>
      <c r="P10925" t="s">
        <v>5636</v>
      </c>
      <c r="Y10925" t="s">
        <v>40806</v>
      </c>
    </row>
    <row r="10926" spans="1:25" x14ac:dyDescent="0.25">
      <c r="A10926" t="str">
        <f>"148527437941"</f>
        <v>148527437941</v>
      </c>
      <c r="B10926" t="s">
        <v>96</v>
      </c>
      <c r="C10926" t="s">
        <v>12339</v>
      </c>
      <c r="D10926" t="s">
        <v>40807</v>
      </c>
      <c r="F10926" t="s">
        <v>1</v>
      </c>
      <c r="G10926" t="s">
        <v>2</v>
      </c>
      <c r="H10926" t="s">
        <v>19499</v>
      </c>
      <c r="P10926" t="s">
        <v>144</v>
      </c>
      <c r="Y10926" t="s">
        <v>40808</v>
      </c>
    </row>
    <row r="10927" spans="1:25" x14ac:dyDescent="0.25">
      <c r="A10927" t="str">
        <f>"148565361289"</f>
        <v>148565361289</v>
      </c>
      <c r="B10927" t="s">
        <v>5573</v>
      </c>
      <c r="C10927" t="s">
        <v>21453</v>
      </c>
      <c r="D10927" t="s">
        <v>40809</v>
      </c>
      <c r="E10927">
        <v>424038</v>
      </c>
      <c r="F10927" t="s">
        <v>1</v>
      </c>
      <c r="G10927" t="s">
        <v>2</v>
      </c>
      <c r="H10927" t="s">
        <v>8196</v>
      </c>
      <c r="I10927" t="s">
        <v>40810</v>
      </c>
      <c r="L10927" t="s">
        <v>40811</v>
      </c>
      <c r="M10927" t="s">
        <v>40812</v>
      </c>
      <c r="P10927" t="s">
        <v>133</v>
      </c>
      <c r="Q10927" t="s">
        <v>40813</v>
      </c>
      <c r="Y10927" t="s">
        <v>15483</v>
      </c>
    </row>
    <row r="10928" spans="1:25" x14ac:dyDescent="0.25">
      <c r="A10928" t="str">
        <f>"148573034960"</f>
        <v>148573034960</v>
      </c>
      <c r="B10928" t="s">
        <v>1343</v>
      </c>
      <c r="C10928" t="s">
        <v>13544</v>
      </c>
      <c r="D10928" t="s">
        <v>36016</v>
      </c>
      <c r="E10928">
        <v>424000</v>
      </c>
      <c r="F10928" t="s">
        <v>1</v>
      </c>
      <c r="G10928" t="s">
        <v>2</v>
      </c>
      <c r="H10928" t="s">
        <v>1806</v>
      </c>
      <c r="Y10928" t="s">
        <v>40814</v>
      </c>
    </row>
    <row r="10929" spans="1:25" x14ac:dyDescent="0.25">
      <c r="A10929" t="str">
        <f>"148659931452"</f>
        <v>148659931452</v>
      </c>
      <c r="B10929" t="s">
        <v>456</v>
      </c>
      <c r="C10929" t="s">
        <v>17904</v>
      </c>
      <c r="D10929" t="s">
        <v>24205</v>
      </c>
      <c r="E10929">
        <v>424019</v>
      </c>
      <c r="F10929" t="s">
        <v>1</v>
      </c>
      <c r="G10929" t="s">
        <v>2</v>
      </c>
      <c r="H10929" t="s">
        <v>1801</v>
      </c>
      <c r="Y10929" t="s">
        <v>1804</v>
      </c>
    </row>
    <row r="10930" spans="1:25" x14ac:dyDescent="0.25">
      <c r="A10930" t="str">
        <f>"148667211296"</f>
        <v>148667211296</v>
      </c>
      <c r="B10930" t="s">
        <v>430</v>
      </c>
      <c r="C10930" t="s">
        <v>612</v>
      </c>
      <c r="D10930" t="s">
        <v>19842</v>
      </c>
      <c r="E10930">
        <v>424002</v>
      </c>
      <c r="F10930" t="s">
        <v>1</v>
      </c>
      <c r="G10930" t="s">
        <v>2</v>
      </c>
      <c r="H10930" t="s">
        <v>5806</v>
      </c>
      <c r="I10930" t="s">
        <v>19844</v>
      </c>
      <c r="L10930" t="s">
        <v>19845</v>
      </c>
      <c r="M10930" t="s">
        <v>19846</v>
      </c>
      <c r="P10930" t="s">
        <v>216</v>
      </c>
      <c r="Y10930" t="s">
        <v>40815</v>
      </c>
    </row>
    <row r="10931" spans="1:25" x14ac:dyDescent="0.25">
      <c r="A10931" t="str">
        <f>"148686263219"</f>
        <v>148686263219</v>
      </c>
      <c r="B10931" t="s">
        <v>18</v>
      </c>
      <c r="C10931" t="s">
        <v>28195</v>
      </c>
      <c r="D10931" t="s">
        <v>40816</v>
      </c>
      <c r="E10931">
        <v>424006</v>
      </c>
      <c r="F10931" t="s">
        <v>1</v>
      </c>
      <c r="G10931" t="s">
        <v>2</v>
      </c>
      <c r="H10931" t="s">
        <v>2796</v>
      </c>
      <c r="Y10931" t="s">
        <v>40817</v>
      </c>
    </row>
    <row r="10932" spans="1:25" x14ac:dyDescent="0.25">
      <c r="A10932" t="str">
        <f>"148728950469"</f>
        <v>148728950469</v>
      </c>
      <c r="B10932" t="s">
        <v>1475</v>
      </c>
      <c r="C10932" t="s">
        <v>1476</v>
      </c>
      <c r="D10932" t="s">
        <v>40818</v>
      </c>
      <c r="E10932">
        <v>424019</v>
      </c>
      <c r="F10932" t="s">
        <v>1</v>
      </c>
      <c r="G10932" t="s">
        <v>2</v>
      </c>
      <c r="H10932" t="s">
        <v>1801</v>
      </c>
      <c r="P10932" t="s">
        <v>2079</v>
      </c>
      <c r="Y10932" t="s">
        <v>40819</v>
      </c>
    </row>
    <row r="10933" spans="1:25" x14ac:dyDescent="0.25">
      <c r="A10933" t="str">
        <f>"148742583148"</f>
        <v>148742583148</v>
      </c>
      <c r="B10933" t="s">
        <v>2104</v>
      </c>
      <c r="C10933" t="s">
        <v>21175</v>
      </c>
      <c r="D10933" t="s">
        <v>40820</v>
      </c>
      <c r="E10933">
        <v>424036</v>
      </c>
      <c r="F10933" t="s">
        <v>1</v>
      </c>
      <c r="G10933" t="s">
        <v>2</v>
      </c>
      <c r="H10933" t="s">
        <v>5317</v>
      </c>
      <c r="J10933" t="s">
        <v>40821</v>
      </c>
      <c r="M10933" t="s">
        <v>40822</v>
      </c>
      <c r="P10933" t="s">
        <v>21688</v>
      </c>
      <c r="Q10933" t="s">
        <v>40823</v>
      </c>
      <c r="V10933" t="s">
        <v>40824</v>
      </c>
      <c r="Y10933" t="s">
        <v>40825</v>
      </c>
    </row>
    <row r="10934" spans="1:25" x14ac:dyDescent="0.25">
      <c r="A10934" t="str">
        <f>"148781678226"</f>
        <v>148781678226</v>
      </c>
      <c r="B10934" t="s">
        <v>574</v>
      </c>
      <c r="C10934" t="s">
        <v>8884</v>
      </c>
      <c r="D10934" t="s">
        <v>8880</v>
      </c>
      <c r="E10934">
        <v>424031</v>
      </c>
      <c r="F10934" t="s">
        <v>1</v>
      </c>
      <c r="G10934" t="s">
        <v>2</v>
      </c>
      <c r="H10934" t="s">
        <v>4606</v>
      </c>
      <c r="J10934" t="s">
        <v>40826</v>
      </c>
      <c r="L10934" t="s">
        <v>26240</v>
      </c>
      <c r="M10934" t="s">
        <v>8883</v>
      </c>
      <c r="P10934" t="s">
        <v>40827</v>
      </c>
      <c r="Q10934" t="s">
        <v>8886</v>
      </c>
      <c r="T10934" t="s">
        <v>8887</v>
      </c>
      <c r="V10934" t="s">
        <v>8888</v>
      </c>
      <c r="Y10934" t="s">
        <v>40828</v>
      </c>
    </row>
    <row r="10935" spans="1:25" x14ac:dyDescent="0.25">
      <c r="A10935" t="str">
        <f>"148783720627"</f>
        <v>148783720627</v>
      </c>
      <c r="B10935" t="s">
        <v>25</v>
      </c>
      <c r="C10935" t="s">
        <v>20320</v>
      </c>
      <c r="D10935" t="s">
        <v>40829</v>
      </c>
      <c r="E10935">
        <v>424003</v>
      </c>
      <c r="F10935" t="s">
        <v>1</v>
      </c>
      <c r="G10935" t="s">
        <v>2</v>
      </c>
      <c r="H10935" t="s">
        <v>28200</v>
      </c>
      <c r="Y10935" t="s">
        <v>40830</v>
      </c>
    </row>
    <row r="10936" spans="1:25" x14ac:dyDescent="0.25">
      <c r="A10936" t="str">
        <f>"148814129253"</f>
        <v>148814129253</v>
      </c>
      <c r="B10936" t="s">
        <v>574</v>
      </c>
      <c r="C10936" t="s">
        <v>14603</v>
      </c>
      <c r="D10936" t="s">
        <v>16337</v>
      </c>
      <c r="E10936">
        <v>424039</v>
      </c>
      <c r="F10936" t="s">
        <v>1</v>
      </c>
      <c r="G10936" t="s">
        <v>2</v>
      </c>
      <c r="H10936" t="s">
        <v>11516</v>
      </c>
      <c r="J10936" t="s">
        <v>40831</v>
      </c>
      <c r="P10936" t="s">
        <v>8133</v>
      </c>
      <c r="Y10936" t="s">
        <v>40832</v>
      </c>
    </row>
    <row r="10937" spans="1:25" x14ac:dyDescent="0.25">
      <c r="A10937" t="str">
        <f>"148815743750"</f>
        <v>148815743750</v>
      </c>
      <c r="B10937" t="s">
        <v>176</v>
      </c>
      <c r="C10937" t="s">
        <v>566</v>
      </c>
      <c r="D10937" t="s">
        <v>40833</v>
      </c>
      <c r="E10937">
        <v>424006</v>
      </c>
      <c r="F10937" t="s">
        <v>1</v>
      </c>
      <c r="G10937" t="s">
        <v>2</v>
      </c>
      <c r="H10937" t="s">
        <v>4821</v>
      </c>
      <c r="J10937" t="s">
        <v>40834</v>
      </c>
      <c r="P10937" t="s">
        <v>152</v>
      </c>
      <c r="Y10937" t="s">
        <v>4825</v>
      </c>
    </row>
    <row r="10938" spans="1:25" x14ac:dyDescent="0.25">
      <c r="A10938" t="str">
        <f>"148960475902"</f>
        <v>148960475902</v>
      </c>
      <c r="B10938" t="s">
        <v>1573</v>
      </c>
      <c r="C10938" t="s">
        <v>3282</v>
      </c>
      <c r="D10938" t="s">
        <v>24854</v>
      </c>
      <c r="E10938">
        <v>424019</v>
      </c>
      <c r="F10938" t="s">
        <v>1</v>
      </c>
      <c r="G10938" t="s">
        <v>2</v>
      </c>
      <c r="H10938" t="s">
        <v>28474</v>
      </c>
      <c r="I10938" t="s">
        <v>3279</v>
      </c>
      <c r="L10938" t="s">
        <v>3280</v>
      </c>
      <c r="M10938" t="s">
        <v>3281</v>
      </c>
      <c r="P10938" t="s">
        <v>216</v>
      </c>
      <c r="Y10938" t="s">
        <v>40835</v>
      </c>
    </row>
    <row r="10939" spans="1:25" x14ac:dyDescent="0.25">
      <c r="A10939" t="str">
        <f>"148960495638"</f>
        <v>148960495638</v>
      </c>
      <c r="B10939" t="s">
        <v>2104</v>
      </c>
      <c r="C10939" t="s">
        <v>13387</v>
      </c>
      <c r="D10939" t="s">
        <v>15417</v>
      </c>
      <c r="E10939">
        <v>424020</v>
      </c>
      <c r="F10939" t="s">
        <v>1</v>
      </c>
      <c r="G10939" t="s">
        <v>2</v>
      </c>
      <c r="H10939" t="s">
        <v>7738</v>
      </c>
      <c r="I10939" t="s">
        <v>40836</v>
      </c>
      <c r="P10939" t="s">
        <v>8133</v>
      </c>
      <c r="Y10939" t="s">
        <v>40837</v>
      </c>
    </row>
    <row r="10940" spans="1:25" x14ac:dyDescent="0.25">
      <c r="A10940" t="str">
        <f>"148972909591"</f>
        <v>148972909591</v>
      </c>
      <c r="B10940" t="s">
        <v>25</v>
      </c>
      <c r="C10940" t="s">
        <v>40840</v>
      </c>
      <c r="D10940" t="s">
        <v>28743</v>
      </c>
      <c r="E10940">
        <v>424003</v>
      </c>
      <c r="F10940" t="s">
        <v>1</v>
      </c>
      <c r="G10940" t="s">
        <v>2</v>
      </c>
      <c r="H10940" t="s">
        <v>24961</v>
      </c>
      <c r="I10940" t="s">
        <v>28744</v>
      </c>
      <c r="L10940" t="s">
        <v>40838</v>
      </c>
      <c r="M10940" t="s">
        <v>40839</v>
      </c>
      <c r="P10940" t="s">
        <v>458</v>
      </c>
      <c r="Y10940" t="s">
        <v>40841</v>
      </c>
    </row>
    <row r="10941" spans="1:25" x14ac:dyDescent="0.25">
      <c r="A10941" t="str">
        <f>"148983323479"</f>
        <v>148983323479</v>
      </c>
      <c r="B10941" t="s">
        <v>519</v>
      </c>
      <c r="C10941" t="s">
        <v>40846</v>
      </c>
      <c r="D10941" t="s">
        <v>40842</v>
      </c>
      <c r="E10941">
        <v>424002</v>
      </c>
      <c r="F10941" t="s">
        <v>1</v>
      </c>
      <c r="G10941" t="s">
        <v>2</v>
      </c>
      <c r="H10941" t="s">
        <v>9857</v>
      </c>
      <c r="J10941" t="s">
        <v>40843</v>
      </c>
      <c r="L10941" t="s">
        <v>40844</v>
      </c>
      <c r="M10941" t="s">
        <v>40845</v>
      </c>
      <c r="Y10941" t="s">
        <v>40847</v>
      </c>
    </row>
    <row r="10942" spans="1:25" x14ac:dyDescent="0.25">
      <c r="A10942" t="str">
        <f>"148989445763"</f>
        <v>148989445763</v>
      </c>
      <c r="B10942" t="s">
        <v>1152</v>
      </c>
      <c r="C10942" t="s">
        <v>1153</v>
      </c>
      <c r="D10942" t="s">
        <v>10280</v>
      </c>
      <c r="E10942">
        <v>424000</v>
      </c>
      <c r="F10942" t="s">
        <v>1</v>
      </c>
      <c r="G10942" t="s">
        <v>2</v>
      </c>
      <c r="H10942" t="s">
        <v>12303</v>
      </c>
      <c r="I10942" t="s">
        <v>22092</v>
      </c>
      <c r="M10942" t="s">
        <v>10284</v>
      </c>
      <c r="P10942" t="s">
        <v>10285</v>
      </c>
      <c r="Q10942" t="s">
        <v>10286</v>
      </c>
      <c r="R10942" t="s">
        <v>10287</v>
      </c>
      <c r="S10942" t="s">
        <v>10288</v>
      </c>
      <c r="T10942" t="s">
        <v>10289</v>
      </c>
      <c r="U10942" t="s">
        <v>10290</v>
      </c>
      <c r="V10942" t="s">
        <v>10291</v>
      </c>
      <c r="Y10942" t="s">
        <v>40848</v>
      </c>
    </row>
    <row r="10943" spans="1:25" x14ac:dyDescent="0.25">
      <c r="A10943" t="str">
        <f>"148992851851"</f>
        <v>148992851851</v>
      </c>
      <c r="B10943" t="s">
        <v>530</v>
      </c>
      <c r="C10943" t="s">
        <v>23950</v>
      </c>
      <c r="D10943" t="s">
        <v>23950</v>
      </c>
      <c r="F10943" t="s">
        <v>1</v>
      </c>
      <c r="G10943" t="s">
        <v>2</v>
      </c>
      <c r="H10943" t="s">
        <v>40849</v>
      </c>
      <c r="Y10943" t="s">
        <v>40850</v>
      </c>
    </row>
    <row r="10944" spans="1:25" x14ac:dyDescent="0.25">
      <c r="A10944" t="str">
        <f>"149020243540"</f>
        <v>149020243540</v>
      </c>
      <c r="B10944" t="s">
        <v>96</v>
      </c>
      <c r="C10944" t="s">
        <v>24042</v>
      </c>
      <c r="D10944" t="s">
        <v>24127</v>
      </c>
      <c r="F10944" t="s">
        <v>1</v>
      </c>
      <c r="G10944" t="s">
        <v>2</v>
      </c>
      <c r="H10944" t="s">
        <v>40851</v>
      </c>
      <c r="Y10944" t="s">
        <v>40852</v>
      </c>
    </row>
    <row r="10945" spans="1:25" x14ac:dyDescent="0.25">
      <c r="A10945" t="str">
        <f>"149051794990"</f>
        <v>149051794990</v>
      </c>
      <c r="B10945" t="s">
        <v>48</v>
      </c>
      <c r="C10945" t="s">
        <v>16070</v>
      </c>
      <c r="D10945" t="s">
        <v>40853</v>
      </c>
      <c r="E10945">
        <v>424000</v>
      </c>
      <c r="F10945" t="s">
        <v>1</v>
      </c>
      <c r="G10945" t="s">
        <v>2</v>
      </c>
      <c r="H10945" t="s">
        <v>1531</v>
      </c>
      <c r="Y10945" t="s">
        <v>40854</v>
      </c>
    </row>
    <row r="10946" spans="1:25" x14ac:dyDescent="0.25">
      <c r="A10946" t="str">
        <f>"149052344546"</f>
        <v>149052344546</v>
      </c>
      <c r="B10946" t="s">
        <v>1053</v>
      </c>
      <c r="C10946" t="s">
        <v>1927</v>
      </c>
      <c r="D10946" t="s">
        <v>40855</v>
      </c>
      <c r="E10946">
        <v>424000</v>
      </c>
      <c r="F10946" t="s">
        <v>1</v>
      </c>
      <c r="G10946" t="s">
        <v>2</v>
      </c>
      <c r="H10946" t="s">
        <v>5523</v>
      </c>
      <c r="Y10946" t="s">
        <v>40856</v>
      </c>
    </row>
    <row r="10947" spans="1:25" x14ac:dyDescent="0.25">
      <c r="A10947" t="str">
        <f>"149059215043"</f>
        <v>149059215043</v>
      </c>
      <c r="B10947" t="s">
        <v>519</v>
      </c>
      <c r="C10947" t="s">
        <v>40859</v>
      </c>
      <c r="D10947" t="s">
        <v>40857</v>
      </c>
      <c r="E10947">
        <v>424000</v>
      </c>
      <c r="F10947" t="s">
        <v>1</v>
      </c>
      <c r="G10947" t="s">
        <v>2</v>
      </c>
      <c r="H10947" t="s">
        <v>4255</v>
      </c>
      <c r="J10947" t="s">
        <v>40858</v>
      </c>
      <c r="Q10947" t="s">
        <v>40860</v>
      </c>
      <c r="Y10947" t="s">
        <v>4256</v>
      </c>
    </row>
    <row r="10948" spans="1:25" x14ac:dyDescent="0.25">
      <c r="A10948" t="str">
        <f>"149064923856"</f>
        <v>149064923856</v>
      </c>
      <c r="B10948" t="s">
        <v>123</v>
      </c>
      <c r="C10948" t="s">
        <v>424</v>
      </c>
      <c r="D10948" t="s">
        <v>40861</v>
      </c>
      <c r="E10948">
        <v>424007</v>
      </c>
      <c r="F10948" t="s">
        <v>1</v>
      </c>
      <c r="G10948" t="s">
        <v>2</v>
      </c>
      <c r="H10948" t="s">
        <v>40862</v>
      </c>
      <c r="I10948" t="s">
        <v>40863</v>
      </c>
      <c r="L10948" t="s">
        <v>40864</v>
      </c>
      <c r="M10948" t="s">
        <v>40865</v>
      </c>
      <c r="P10948" t="s">
        <v>425</v>
      </c>
      <c r="Y10948" t="s">
        <v>40866</v>
      </c>
    </row>
    <row r="10949" spans="1:25" x14ac:dyDescent="0.25">
      <c r="A10949" t="str">
        <f>"149112677418"</f>
        <v>149112677418</v>
      </c>
      <c r="B10949" t="s">
        <v>1262</v>
      </c>
      <c r="C10949" t="s">
        <v>1263</v>
      </c>
      <c r="D10949" t="s">
        <v>40867</v>
      </c>
      <c r="E10949">
        <v>424006</v>
      </c>
      <c r="F10949" t="s">
        <v>1</v>
      </c>
      <c r="G10949" t="s">
        <v>2</v>
      </c>
      <c r="H10949" t="s">
        <v>7984</v>
      </c>
      <c r="J10949" t="s">
        <v>40868</v>
      </c>
      <c r="P10949" t="s">
        <v>40869</v>
      </c>
      <c r="Y10949" t="s">
        <v>28318</v>
      </c>
    </row>
    <row r="10950" spans="1:25" x14ac:dyDescent="0.25">
      <c r="A10950" t="str">
        <f>"149117957171"</f>
        <v>149117957171</v>
      </c>
      <c r="B10950" t="s">
        <v>930</v>
      </c>
      <c r="C10950" t="s">
        <v>6070</v>
      </c>
      <c r="D10950" t="s">
        <v>11700</v>
      </c>
      <c r="E10950">
        <v>424006</v>
      </c>
      <c r="F10950" t="s">
        <v>1</v>
      </c>
      <c r="G10950" t="s">
        <v>2</v>
      </c>
      <c r="H10950" t="s">
        <v>4078</v>
      </c>
      <c r="I10950" t="s">
        <v>40870</v>
      </c>
      <c r="P10950" t="s">
        <v>330</v>
      </c>
      <c r="Y10950" t="s">
        <v>4080</v>
      </c>
    </row>
    <row r="10951" spans="1:25" x14ac:dyDescent="0.25">
      <c r="A10951" t="str">
        <f>"149172041178"</f>
        <v>149172041178</v>
      </c>
      <c r="B10951" t="s">
        <v>18</v>
      </c>
      <c r="C10951" t="s">
        <v>6222</v>
      </c>
      <c r="D10951" t="s">
        <v>40871</v>
      </c>
      <c r="E10951">
        <v>424006</v>
      </c>
      <c r="F10951" t="s">
        <v>1</v>
      </c>
      <c r="G10951" t="s">
        <v>2</v>
      </c>
      <c r="H10951" t="s">
        <v>6133</v>
      </c>
      <c r="I10951" t="s">
        <v>40872</v>
      </c>
      <c r="J10951" t="s">
        <v>40873</v>
      </c>
      <c r="P10951" t="s">
        <v>260</v>
      </c>
      <c r="Y10951" t="s">
        <v>24905</v>
      </c>
    </row>
    <row r="10952" spans="1:25" x14ac:dyDescent="0.25">
      <c r="A10952" t="str">
        <f>"149175323255"</f>
        <v>149175323255</v>
      </c>
      <c r="B10952" t="s">
        <v>284</v>
      </c>
      <c r="C10952" t="s">
        <v>3445</v>
      </c>
      <c r="D10952" t="s">
        <v>3445</v>
      </c>
      <c r="E10952">
        <v>424007</v>
      </c>
      <c r="F10952" t="s">
        <v>1</v>
      </c>
      <c r="G10952" t="s">
        <v>2</v>
      </c>
      <c r="H10952" t="s">
        <v>33258</v>
      </c>
      <c r="P10952" t="s">
        <v>20</v>
      </c>
      <c r="Y10952" t="s">
        <v>33260</v>
      </c>
    </row>
    <row r="10953" spans="1:25" x14ac:dyDescent="0.25">
      <c r="A10953" t="str">
        <f>"149217477467"</f>
        <v>149217477467</v>
      </c>
      <c r="B10953" t="s">
        <v>96</v>
      </c>
      <c r="C10953" t="s">
        <v>24042</v>
      </c>
      <c r="D10953" t="s">
        <v>24127</v>
      </c>
      <c r="F10953" t="s">
        <v>1</v>
      </c>
      <c r="G10953" t="s">
        <v>2</v>
      </c>
      <c r="H10953" t="s">
        <v>23480</v>
      </c>
      <c r="Y10953" t="s">
        <v>40874</v>
      </c>
    </row>
    <row r="10954" spans="1:25" x14ac:dyDescent="0.25">
      <c r="A10954" t="str">
        <f>"149233327704"</f>
        <v>149233327704</v>
      </c>
      <c r="B10954" t="s">
        <v>574</v>
      </c>
      <c r="C10954" t="s">
        <v>32198</v>
      </c>
      <c r="D10954" t="s">
        <v>12994</v>
      </c>
      <c r="E10954">
        <v>424036</v>
      </c>
      <c r="F10954" t="s">
        <v>1</v>
      </c>
      <c r="G10954" t="s">
        <v>2</v>
      </c>
      <c r="H10954" t="s">
        <v>375</v>
      </c>
      <c r="Y10954" t="s">
        <v>40875</v>
      </c>
    </row>
    <row r="10955" spans="1:25" x14ac:dyDescent="0.25">
      <c r="A10955" t="str">
        <f>"149238273202"</f>
        <v>149238273202</v>
      </c>
      <c r="B10955" t="s">
        <v>32</v>
      </c>
      <c r="C10955" t="s">
        <v>2996</v>
      </c>
      <c r="D10955" t="s">
        <v>40876</v>
      </c>
      <c r="E10955">
        <v>424002</v>
      </c>
      <c r="F10955" t="s">
        <v>1</v>
      </c>
      <c r="G10955" t="s">
        <v>2</v>
      </c>
      <c r="H10955" t="s">
        <v>6597</v>
      </c>
      <c r="P10955" t="s">
        <v>10331</v>
      </c>
      <c r="Y10955" t="s">
        <v>40877</v>
      </c>
    </row>
    <row r="10956" spans="1:25" x14ac:dyDescent="0.25">
      <c r="A10956" t="str">
        <f>"149289427744"</f>
        <v>149289427744</v>
      </c>
      <c r="B10956" t="s">
        <v>32</v>
      </c>
      <c r="C10956" t="s">
        <v>182</v>
      </c>
      <c r="D10956" t="s">
        <v>40878</v>
      </c>
      <c r="E10956">
        <v>424003</v>
      </c>
      <c r="F10956" t="s">
        <v>1</v>
      </c>
      <c r="G10956" t="s">
        <v>2</v>
      </c>
      <c r="H10956" t="s">
        <v>14928</v>
      </c>
      <c r="J10956" t="s">
        <v>40879</v>
      </c>
      <c r="P10956" t="s">
        <v>2050</v>
      </c>
      <c r="Y10956" t="s">
        <v>40880</v>
      </c>
    </row>
    <row r="10957" spans="1:25" x14ac:dyDescent="0.25">
      <c r="A10957" t="str">
        <f>"149294536356"</f>
        <v>149294536356</v>
      </c>
      <c r="B10957" t="s">
        <v>574</v>
      </c>
      <c r="C10957" t="s">
        <v>646</v>
      </c>
      <c r="D10957" t="s">
        <v>40881</v>
      </c>
      <c r="E10957">
        <v>424000</v>
      </c>
      <c r="F10957" t="s">
        <v>1</v>
      </c>
      <c r="G10957" t="s">
        <v>2</v>
      </c>
      <c r="H10957" t="s">
        <v>2206</v>
      </c>
      <c r="I10957" t="s">
        <v>40882</v>
      </c>
      <c r="P10957" t="s">
        <v>9840</v>
      </c>
      <c r="Y10957" t="s">
        <v>21866</v>
      </c>
    </row>
    <row r="10958" spans="1:25" x14ac:dyDescent="0.25">
      <c r="A10958" t="str">
        <f>"149362623262"</f>
        <v>149362623262</v>
      </c>
      <c r="B10958" t="s">
        <v>1611</v>
      </c>
      <c r="C10958" t="s">
        <v>3218</v>
      </c>
      <c r="D10958" t="s">
        <v>40883</v>
      </c>
      <c r="E10958">
        <v>424005</v>
      </c>
      <c r="F10958" t="s">
        <v>1</v>
      </c>
      <c r="G10958" t="s">
        <v>2</v>
      </c>
      <c r="H10958" t="s">
        <v>5429</v>
      </c>
      <c r="I10958" t="s">
        <v>40884</v>
      </c>
      <c r="M10958" t="s">
        <v>40885</v>
      </c>
      <c r="P10958" t="s">
        <v>330</v>
      </c>
      <c r="Q10958" t="s">
        <v>40886</v>
      </c>
      <c r="S10958" t="s">
        <v>40887</v>
      </c>
      <c r="T10958" t="s">
        <v>40888</v>
      </c>
      <c r="U10958" t="s">
        <v>40889</v>
      </c>
      <c r="V10958" t="s">
        <v>40890</v>
      </c>
      <c r="Y10958" t="s">
        <v>5431</v>
      </c>
    </row>
    <row r="10959" spans="1:25" x14ac:dyDescent="0.25">
      <c r="A10959" t="str">
        <f>"149371973905"</f>
        <v>149371973905</v>
      </c>
      <c r="B10959" t="s">
        <v>348</v>
      </c>
      <c r="C10959" t="s">
        <v>30678</v>
      </c>
      <c r="D10959" t="s">
        <v>40891</v>
      </c>
      <c r="E10959">
        <v>424007</v>
      </c>
      <c r="F10959" t="s">
        <v>1</v>
      </c>
      <c r="G10959" t="s">
        <v>2</v>
      </c>
      <c r="H10959" t="s">
        <v>1085</v>
      </c>
      <c r="J10959" t="s">
        <v>40892</v>
      </c>
      <c r="Q10959" t="s">
        <v>40893</v>
      </c>
      <c r="Y10959" t="s">
        <v>1412</v>
      </c>
    </row>
    <row r="10960" spans="1:25" x14ac:dyDescent="0.25">
      <c r="A10960" t="str">
        <f>"149380121321"</f>
        <v>149380121321</v>
      </c>
      <c r="B10960" t="s">
        <v>67</v>
      </c>
      <c r="C10960" t="s">
        <v>40895</v>
      </c>
      <c r="D10960" t="s">
        <v>33931</v>
      </c>
      <c r="E10960">
        <v>424003</v>
      </c>
      <c r="F10960" t="s">
        <v>1</v>
      </c>
      <c r="G10960" t="s">
        <v>2</v>
      </c>
      <c r="H10960" t="s">
        <v>7888</v>
      </c>
      <c r="I10960" t="s">
        <v>33932</v>
      </c>
      <c r="L10960" t="s">
        <v>15912</v>
      </c>
      <c r="M10960" t="s">
        <v>40894</v>
      </c>
      <c r="P10960" t="s">
        <v>27</v>
      </c>
      <c r="Q10960" t="s">
        <v>40896</v>
      </c>
      <c r="R10960" t="s">
        <v>40897</v>
      </c>
      <c r="T10960" t="s">
        <v>40898</v>
      </c>
      <c r="Y10960" t="s">
        <v>33934</v>
      </c>
    </row>
    <row r="10961" spans="1:25" x14ac:dyDescent="0.25">
      <c r="A10961" t="str">
        <f>"149424786155"</f>
        <v>149424786155</v>
      </c>
      <c r="B10961" t="s">
        <v>888</v>
      </c>
      <c r="C10961" t="s">
        <v>40900</v>
      </c>
      <c r="D10961" t="s">
        <v>40899</v>
      </c>
      <c r="F10961" t="s">
        <v>1</v>
      </c>
      <c r="G10961" t="s">
        <v>2</v>
      </c>
      <c r="H10961" t="s">
        <v>16645</v>
      </c>
      <c r="Y10961" t="s">
        <v>40901</v>
      </c>
    </row>
    <row r="10962" spans="1:25" x14ac:dyDescent="0.25">
      <c r="A10962" t="str">
        <f>"149440327577"</f>
        <v>149440327577</v>
      </c>
      <c r="B10962" t="s">
        <v>978</v>
      </c>
      <c r="C10962" t="s">
        <v>13068</v>
      </c>
      <c r="D10962" t="s">
        <v>40902</v>
      </c>
      <c r="E10962">
        <v>424040</v>
      </c>
      <c r="F10962" t="s">
        <v>1</v>
      </c>
      <c r="G10962" t="s">
        <v>2</v>
      </c>
      <c r="H10962" t="s">
        <v>26492</v>
      </c>
      <c r="I10962" t="s">
        <v>26493</v>
      </c>
      <c r="L10962" t="s">
        <v>26494</v>
      </c>
      <c r="M10962" t="s">
        <v>26495</v>
      </c>
      <c r="P10962" t="s">
        <v>60</v>
      </c>
      <c r="Y10962" t="s">
        <v>40903</v>
      </c>
    </row>
    <row r="10963" spans="1:25" x14ac:dyDescent="0.25">
      <c r="A10963" t="str">
        <f>"149450703943"</f>
        <v>149450703943</v>
      </c>
      <c r="B10963" t="s">
        <v>96</v>
      </c>
      <c r="C10963" t="s">
        <v>893</v>
      </c>
      <c r="D10963" t="s">
        <v>29523</v>
      </c>
      <c r="E10963">
        <v>424000</v>
      </c>
      <c r="F10963" t="s">
        <v>1</v>
      </c>
      <c r="G10963" t="s">
        <v>2</v>
      </c>
      <c r="H10963" t="s">
        <v>8365</v>
      </c>
      <c r="Y10963" t="s">
        <v>40904</v>
      </c>
    </row>
    <row r="10964" spans="1:25" x14ac:dyDescent="0.25">
      <c r="A10964" t="str">
        <f>"149479189753"</f>
        <v>149479189753</v>
      </c>
      <c r="B10964" t="s">
        <v>1573</v>
      </c>
      <c r="C10964" t="s">
        <v>24508</v>
      </c>
      <c r="D10964" t="s">
        <v>40905</v>
      </c>
      <c r="F10964" t="s">
        <v>1</v>
      </c>
      <c r="G10964" t="s">
        <v>2</v>
      </c>
      <c r="H10964" t="s">
        <v>4152</v>
      </c>
      <c r="I10964" t="s">
        <v>40906</v>
      </c>
      <c r="P10964" t="s">
        <v>40907</v>
      </c>
      <c r="Y10964" t="s">
        <v>23303</v>
      </c>
    </row>
    <row r="10965" spans="1:25" x14ac:dyDescent="0.25">
      <c r="A10965" t="str">
        <f>"149484535587"</f>
        <v>149484535587</v>
      </c>
      <c r="B10965" t="s">
        <v>7312</v>
      </c>
      <c r="C10965" t="s">
        <v>21136</v>
      </c>
      <c r="D10965" t="s">
        <v>40908</v>
      </c>
      <c r="E10965">
        <v>424039</v>
      </c>
      <c r="F10965" t="s">
        <v>1</v>
      </c>
      <c r="G10965" t="s">
        <v>2</v>
      </c>
      <c r="H10965" t="s">
        <v>17375</v>
      </c>
      <c r="P10965" t="s">
        <v>1213</v>
      </c>
      <c r="Y10965" t="s">
        <v>40909</v>
      </c>
    </row>
    <row r="10966" spans="1:25" x14ac:dyDescent="0.25">
      <c r="A10966" t="str">
        <f>"149512059936"</f>
        <v>149512059936</v>
      </c>
      <c r="B10966" t="s">
        <v>574</v>
      </c>
      <c r="C10966" t="s">
        <v>646</v>
      </c>
      <c r="D10966" t="s">
        <v>20141</v>
      </c>
      <c r="E10966">
        <v>424028</v>
      </c>
      <c r="F10966" t="s">
        <v>1</v>
      </c>
      <c r="G10966" t="s">
        <v>2</v>
      </c>
      <c r="H10966" t="s">
        <v>7204</v>
      </c>
      <c r="Y10966" t="s">
        <v>40910</v>
      </c>
    </row>
    <row r="10967" spans="1:25" x14ac:dyDescent="0.25">
      <c r="A10967" t="str">
        <f>"149519635755"</f>
        <v>149519635755</v>
      </c>
      <c r="B10967" t="s">
        <v>348</v>
      </c>
      <c r="C10967" t="s">
        <v>40912</v>
      </c>
      <c r="D10967" t="s">
        <v>40911</v>
      </c>
      <c r="E10967">
        <v>424038</v>
      </c>
      <c r="F10967" t="s">
        <v>1</v>
      </c>
      <c r="G10967" t="s">
        <v>2</v>
      </c>
      <c r="H10967" t="s">
        <v>23978</v>
      </c>
      <c r="Y10967" t="s">
        <v>40913</v>
      </c>
    </row>
    <row r="10968" spans="1:25" x14ac:dyDescent="0.25">
      <c r="A10968" t="str">
        <f>"149521749955"</f>
        <v>149521749955</v>
      </c>
      <c r="B10968" t="s">
        <v>224</v>
      </c>
      <c r="C10968" t="s">
        <v>26269</v>
      </c>
      <c r="D10968" t="s">
        <v>28096</v>
      </c>
      <c r="E10968">
        <v>424037</v>
      </c>
      <c r="F10968" t="s">
        <v>1</v>
      </c>
      <c r="G10968" t="s">
        <v>2</v>
      </c>
      <c r="H10968" t="s">
        <v>40914</v>
      </c>
      <c r="J10968" t="s">
        <v>40915</v>
      </c>
      <c r="P10968" t="s">
        <v>40916</v>
      </c>
      <c r="Y10968" t="s">
        <v>40917</v>
      </c>
    </row>
    <row r="10969" spans="1:25" x14ac:dyDescent="0.25">
      <c r="A10969" t="str">
        <f>"149540974081"</f>
        <v>149540974081</v>
      </c>
      <c r="B10969" t="s">
        <v>530</v>
      </c>
      <c r="C10969" t="s">
        <v>23950</v>
      </c>
      <c r="D10969" t="s">
        <v>23950</v>
      </c>
      <c r="F10969" t="s">
        <v>1</v>
      </c>
      <c r="G10969" t="s">
        <v>2</v>
      </c>
      <c r="H10969" t="s">
        <v>40918</v>
      </c>
      <c r="Y10969" t="s">
        <v>40919</v>
      </c>
    </row>
    <row r="10970" spans="1:25" x14ac:dyDescent="0.25">
      <c r="A10970" t="str">
        <f>"149576234636"</f>
        <v>149576234636</v>
      </c>
      <c r="B10970" t="s">
        <v>574</v>
      </c>
      <c r="C10970" t="s">
        <v>646</v>
      </c>
      <c r="D10970" t="s">
        <v>9508</v>
      </c>
      <c r="E10970">
        <v>424019</v>
      </c>
      <c r="F10970" t="s">
        <v>1</v>
      </c>
      <c r="G10970" t="s">
        <v>2</v>
      </c>
      <c r="H10970" t="s">
        <v>23613</v>
      </c>
      <c r="P10970" t="s">
        <v>2457</v>
      </c>
      <c r="Y10970" t="s">
        <v>40920</v>
      </c>
    </row>
    <row r="10971" spans="1:25" x14ac:dyDescent="0.25">
      <c r="A10971" t="str">
        <f>"149586825081"</f>
        <v>149586825081</v>
      </c>
      <c r="B10971" t="s">
        <v>574</v>
      </c>
      <c r="C10971" t="s">
        <v>14269</v>
      </c>
      <c r="D10971" t="s">
        <v>38196</v>
      </c>
      <c r="E10971">
        <v>424006</v>
      </c>
      <c r="F10971" t="s">
        <v>1</v>
      </c>
      <c r="G10971" t="s">
        <v>2</v>
      </c>
      <c r="H10971" t="s">
        <v>13109</v>
      </c>
      <c r="P10971" t="s">
        <v>216</v>
      </c>
      <c r="Y10971" t="s">
        <v>40921</v>
      </c>
    </row>
    <row r="10972" spans="1:25" x14ac:dyDescent="0.25">
      <c r="A10972" t="str">
        <f>"149605917764"</f>
        <v>149605917764</v>
      </c>
      <c r="B10972" t="s">
        <v>96</v>
      </c>
      <c r="C10972" t="s">
        <v>40924</v>
      </c>
      <c r="D10972" t="s">
        <v>40922</v>
      </c>
      <c r="E10972">
        <v>424002</v>
      </c>
      <c r="F10972" t="s">
        <v>1</v>
      </c>
      <c r="G10972" t="s">
        <v>2</v>
      </c>
      <c r="H10972" t="s">
        <v>11284</v>
      </c>
      <c r="J10972" t="s">
        <v>40923</v>
      </c>
      <c r="P10972" t="s">
        <v>1760</v>
      </c>
      <c r="Q10972" t="s">
        <v>40925</v>
      </c>
      <c r="Y10972" t="s">
        <v>40926</v>
      </c>
    </row>
    <row r="10973" spans="1:25" x14ac:dyDescent="0.25">
      <c r="A10973" t="str">
        <f>"149612492088"</f>
        <v>149612492088</v>
      </c>
      <c r="B10973" t="s">
        <v>1611</v>
      </c>
      <c r="C10973" t="s">
        <v>3218</v>
      </c>
      <c r="D10973" t="s">
        <v>40927</v>
      </c>
      <c r="E10973">
        <v>424031</v>
      </c>
      <c r="F10973" t="s">
        <v>1</v>
      </c>
      <c r="G10973" t="s">
        <v>2</v>
      </c>
      <c r="H10973" t="s">
        <v>40928</v>
      </c>
      <c r="I10973" t="s">
        <v>40929</v>
      </c>
      <c r="L10973" t="s">
        <v>3217</v>
      </c>
      <c r="P10973" t="s">
        <v>330</v>
      </c>
      <c r="Y10973" t="s">
        <v>20062</v>
      </c>
    </row>
    <row r="10974" spans="1:25" x14ac:dyDescent="0.25">
      <c r="A10974" t="str">
        <f>"149646999292"</f>
        <v>149646999292</v>
      </c>
      <c r="B10974" t="s">
        <v>18</v>
      </c>
      <c r="C10974" t="s">
        <v>17164</v>
      </c>
      <c r="D10974" t="s">
        <v>40930</v>
      </c>
      <c r="E10974">
        <v>424028</v>
      </c>
      <c r="F10974" t="s">
        <v>1</v>
      </c>
      <c r="G10974" t="s">
        <v>2</v>
      </c>
      <c r="H10974" t="s">
        <v>15129</v>
      </c>
      <c r="P10974" t="s">
        <v>8655</v>
      </c>
      <c r="Y10974" t="s">
        <v>40931</v>
      </c>
    </row>
    <row r="10975" spans="1:25" x14ac:dyDescent="0.25">
      <c r="A10975" t="str">
        <f>"149663265403"</f>
        <v>149663265403</v>
      </c>
      <c r="B10975" t="s">
        <v>456</v>
      </c>
      <c r="C10975" t="s">
        <v>17904</v>
      </c>
      <c r="D10975" t="s">
        <v>40932</v>
      </c>
      <c r="E10975">
        <v>424000</v>
      </c>
      <c r="F10975" t="s">
        <v>1</v>
      </c>
      <c r="G10975" t="s">
        <v>2</v>
      </c>
      <c r="H10975" t="s">
        <v>837</v>
      </c>
      <c r="J10975" t="s">
        <v>40363</v>
      </c>
      <c r="L10975" t="s">
        <v>40364</v>
      </c>
      <c r="M10975" t="s">
        <v>40933</v>
      </c>
      <c r="Q10975" t="s">
        <v>40367</v>
      </c>
      <c r="T10975" t="s">
        <v>40934</v>
      </c>
      <c r="Y10975" t="s">
        <v>2964</v>
      </c>
    </row>
    <row r="10976" spans="1:25" x14ac:dyDescent="0.25">
      <c r="A10976" t="str">
        <f>"149677363967"</f>
        <v>149677363967</v>
      </c>
      <c r="B10976" t="s">
        <v>430</v>
      </c>
      <c r="C10976" t="s">
        <v>431</v>
      </c>
      <c r="D10976" t="s">
        <v>40935</v>
      </c>
      <c r="F10976" t="s">
        <v>1</v>
      </c>
      <c r="G10976" t="s">
        <v>2</v>
      </c>
      <c r="H10976" t="s">
        <v>2018</v>
      </c>
      <c r="Y10976" t="s">
        <v>2131</v>
      </c>
    </row>
    <row r="10977" spans="1:25" x14ac:dyDescent="0.25">
      <c r="A10977" t="str">
        <f>"149678207244"</f>
        <v>149678207244</v>
      </c>
      <c r="B10977" t="s">
        <v>80</v>
      </c>
      <c r="C10977" t="s">
        <v>3295</v>
      </c>
      <c r="D10977" t="s">
        <v>40936</v>
      </c>
      <c r="E10977">
        <v>424002</v>
      </c>
      <c r="F10977" t="s">
        <v>1</v>
      </c>
      <c r="G10977" t="s">
        <v>2</v>
      </c>
      <c r="H10977" t="s">
        <v>10546</v>
      </c>
      <c r="J10977" t="s">
        <v>40937</v>
      </c>
      <c r="L10977" t="s">
        <v>40938</v>
      </c>
      <c r="P10977" t="s">
        <v>40939</v>
      </c>
      <c r="Q10977" t="s">
        <v>40940</v>
      </c>
      <c r="Y10977" t="s">
        <v>23665</v>
      </c>
    </row>
    <row r="10978" spans="1:25" x14ac:dyDescent="0.25">
      <c r="A10978" t="str">
        <f>"149711393737"</f>
        <v>149711393737</v>
      </c>
      <c r="B10978" t="s">
        <v>25</v>
      </c>
      <c r="C10978" t="s">
        <v>20320</v>
      </c>
      <c r="D10978" t="s">
        <v>40941</v>
      </c>
      <c r="E10978">
        <v>424038</v>
      </c>
      <c r="F10978" t="s">
        <v>1</v>
      </c>
      <c r="G10978" t="s">
        <v>2</v>
      </c>
      <c r="H10978" t="s">
        <v>13118</v>
      </c>
      <c r="Y10978" t="s">
        <v>40942</v>
      </c>
    </row>
    <row r="10979" spans="1:25" x14ac:dyDescent="0.25">
      <c r="A10979" t="str">
        <f>"149711764161"</f>
        <v>149711764161</v>
      </c>
      <c r="B10979" t="s">
        <v>123</v>
      </c>
      <c r="C10979" t="s">
        <v>196</v>
      </c>
      <c r="D10979" t="s">
        <v>40943</v>
      </c>
      <c r="E10979">
        <v>424002</v>
      </c>
      <c r="F10979" t="s">
        <v>1</v>
      </c>
      <c r="G10979" t="s">
        <v>2</v>
      </c>
      <c r="H10979" t="s">
        <v>8677</v>
      </c>
      <c r="J10979" t="s">
        <v>40944</v>
      </c>
      <c r="P10979" t="s">
        <v>1027</v>
      </c>
      <c r="Y10979" t="s">
        <v>8681</v>
      </c>
    </row>
    <row r="10980" spans="1:25" x14ac:dyDescent="0.25">
      <c r="A10980" t="str">
        <f>"149723559400"</f>
        <v>149723559400</v>
      </c>
      <c r="B10980" t="s">
        <v>96</v>
      </c>
      <c r="C10980" t="s">
        <v>26416</v>
      </c>
      <c r="D10980" t="s">
        <v>40945</v>
      </c>
      <c r="E10980">
        <v>424038</v>
      </c>
      <c r="F10980" t="s">
        <v>1</v>
      </c>
      <c r="G10980" t="s">
        <v>2</v>
      </c>
      <c r="H10980" t="s">
        <v>2614</v>
      </c>
      <c r="Y10980" t="s">
        <v>2617</v>
      </c>
    </row>
    <row r="10981" spans="1:25" x14ac:dyDescent="0.25">
      <c r="A10981" t="str">
        <f>"149761207103"</f>
        <v>149761207103</v>
      </c>
      <c r="B10981" t="s">
        <v>80</v>
      </c>
      <c r="C10981" t="s">
        <v>3295</v>
      </c>
      <c r="D10981" t="s">
        <v>40946</v>
      </c>
      <c r="E10981">
        <v>424003</v>
      </c>
      <c r="F10981" t="s">
        <v>1</v>
      </c>
      <c r="G10981" t="s">
        <v>2</v>
      </c>
      <c r="H10981" t="s">
        <v>10050</v>
      </c>
      <c r="Y10981" t="s">
        <v>40947</v>
      </c>
    </row>
    <row r="10982" spans="1:25" x14ac:dyDescent="0.25">
      <c r="A10982" t="str">
        <f>"149781303809"</f>
        <v>149781303809</v>
      </c>
      <c r="B10982" t="s">
        <v>1729</v>
      </c>
      <c r="C10982" t="s">
        <v>1730</v>
      </c>
      <c r="D10982" t="s">
        <v>40948</v>
      </c>
      <c r="E10982">
        <v>424000</v>
      </c>
      <c r="F10982" t="s">
        <v>1</v>
      </c>
      <c r="G10982" t="s">
        <v>2</v>
      </c>
      <c r="H10982" t="s">
        <v>30666</v>
      </c>
      <c r="Y10982" t="s">
        <v>40949</v>
      </c>
    </row>
    <row r="10983" spans="1:25" x14ac:dyDescent="0.25">
      <c r="A10983" t="str">
        <f>"149824881671"</f>
        <v>149824881671</v>
      </c>
      <c r="B10983" t="s">
        <v>519</v>
      </c>
      <c r="C10983" t="s">
        <v>40955</v>
      </c>
      <c r="D10983" t="s">
        <v>40950</v>
      </c>
      <c r="E10983">
        <v>424007</v>
      </c>
      <c r="F10983" t="s">
        <v>1</v>
      </c>
      <c r="G10983" t="s">
        <v>2</v>
      </c>
      <c r="H10983" t="s">
        <v>24703</v>
      </c>
      <c r="I10983" t="s">
        <v>40951</v>
      </c>
      <c r="J10983" t="s">
        <v>40952</v>
      </c>
      <c r="L10983" t="s">
        <v>40953</v>
      </c>
      <c r="M10983" t="s">
        <v>40954</v>
      </c>
      <c r="P10983" t="s">
        <v>9175</v>
      </c>
      <c r="Q10983" t="s">
        <v>40956</v>
      </c>
      <c r="T10983" t="s">
        <v>40957</v>
      </c>
      <c r="V10983" t="s">
        <v>40958</v>
      </c>
      <c r="Y10983" t="s">
        <v>40959</v>
      </c>
    </row>
    <row r="10984" spans="1:25" x14ac:dyDescent="0.25">
      <c r="A10984" t="str">
        <f>"149826314663"</f>
        <v>149826314663</v>
      </c>
      <c r="B10984" t="s">
        <v>930</v>
      </c>
      <c r="C10984" t="s">
        <v>11044</v>
      </c>
      <c r="D10984" t="s">
        <v>40960</v>
      </c>
      <c r="E10984">
        <v>424032</v>
      </c>
      <c r="F10984" t="s">
        <v>1</v>
      </c>
      <c r="G10984" t="s">
        <v>2</v>
      </c>
      <c r="H10984" t="s">
        <v>7845</v>
      </c>
      <c r="I10984" t="s">
        <v>40961</v>
      </c>
      <c r="L10984" t="s">
        <v>40962</v>
      </c>
      <c r="P10984" t="s">
        <v>2457</v>
      </c>
      <c r="Q10984" t="s">
        <v>40963</v>
      </c>
      <c r="V10984" t="s">
        <v>40964</v>
      </c>
      <c r="Y10984" t="s">
        <v>40965</v>
      </c>
    </row>
    <row r="10985" spans="1:25" x14ac:dyDescent="0.25">
      <c r="A10985" t="str">
        <f>"149856146519"</f>
        <v>149856146519</v>
      </c>
      <c r="B10985" t="s">
        <v>96</v>
      </c>
      <c r="C10985" t="s">
        <v>893</v>
      </c>
      <c r="D10985" t="s">
        <v>29624</v>
      </c>
      <c r="E10985">
        <v>424000</v>
      </c>
      <c r="F10985" t="s">
        <v>1</v>
      </c>
      <c r="G10985" t="s">
        <v>2</v>
      </c>
      <c r="H10985" t="s">
        <v>265</v>
      </c>
      <c r="Y10985" t="s">
        <v>40966</v>
      </c>
    </row>
    <row r="10986" spans="1:25" x14ac:dyDescent="0.25">
      <c r="A10986" t="str">
        <f>"149880895895"</f>
        <v>149880895895</v>
      </c>
      <c r="B10986" t="s">
        <v>530</v>
      </c>
      <c r="C10986" t="s">
        <v>23950</v>
      </c>
      <c r="D10986" t="s">
        <v>23950</v>
      </c>
      <c r="F10986" t="s">
        <v>1</v>
      </c>
      <c r="G10986" t="s">
        <v>2</v>
      </c>
      <c r="H10986" t="s">
        <v>27019</v>
      </c>
      <c r="Y10986" t="s">
        <v>40967</v>
      </c>
    </row>
    <row r="10987" spans="1:25" x14ac:dyDescent="0.25">
      <c r="A10987" t="str">
        <f>"149950105346"</f>
        <v>149950105346</v>
      </c>
      <c r="B10987" t="s">
        <v>3652</v>
      </c>
      <c r="C10987" t="s">
        <v>14101</v>
      </c>
      <c r="D10987" t="s">
        <v>15763</v>
      </c>
      <c r="E10987">
        <v>424016</v>
      </c>
      <c r="F10987" t="s">
        <v>1</v>
      </c>
      <c r="G10987" t="s">
        <v>2</v>
      </c>
      <c r="H10987" t="s">
        <v>5561</v>
      </c>
      <c r="I10987" t="s">
        <v>40968</v>
      </c>
      <c r="J10987" t="s">
        <v>40969</v>
      </c>
      <c r="L10987" t="s">
        <v>15766</v>
      </c>
      <c r="M10987" t="s">
        <v>15767</v>
      </c>
      <c r="P10987" t="s">
        <v>2580</v>
      </c>
      <c r="V10987" t="s">
        <v>15768</v>
      </c>
      <c r="Y10987" t="s">
        <v>40970</v>
      </c>
    </row>
    <row r="10988" spans="1:25" x14ac:dyDescent="0.25">
      <c r="A10988" t="str">
        <f>"149990239281"</f>
        <v>149990239281</v>
      </c>
      <c r="B10988" t="s">
        <v>888</v>
      </c>
      <c r="C10988" t="s">
        <v>7389</v>
      </c>
      <c r="D10988" t="s">
        <v>8701</v>
      </c>
      <c r="E10988">
        <v>424019</v>
      </c>
      <c r="F10988" t="s">
        <v>1</v>
      </c>
      <c r="G10988" t="s">
        <v>2</v>
      </c>
      <c r="H10988" t="s">
        <v>40971</v>
      </c>
      <c r="J10988" t="s">
        <v>40972</v>
      </c>
      <c r="P10988" t="s">
        <v>10632</v>
      </c>
      <c r="Y10988" t="s">
        <v>40973</v>
      </c>
    </row>
    <row r="10989" spans="1:25" x14ac:dyDescent="0.25">
      <c r="A10989" t="str">
        <f>"149995581949"</f>
        <v>149995581949</v>
      </c>
      <c r="B10989" t="s">
        <v>3652</v>
      </c>
      <c r="C10989" t="s">
        <v>40974</v>
      </c>
      <c r="D10989" t="s">
        <v>23740</v>
      </c>
      <c r="E10989">
        <v>424007</v>
      </c>
      <c r="F10989" t="s">
        <v>1</v>
      </c>
      <c r="G10989" t="s">
        <v>2</v>
      </c>
      <c r="H10989" t="s">
        <v>4869</v>
      </c>
      <c r="Y10989" t="s">
        <v>5759</v>
      </c>
    </row>
    <row r="10990" spans="1:25" x14ac:dyDescent="0.25">
      <c r="A10990" t="str">
        <f>"150003469634"</f>
        <v>150003469634</v>
      </c>
      <c r="B10990" t="s">
        <v>1544</v>
      </c>
      <c r="C10990" t="s">
        <v>7974</v>
      </c>
      <c r="D10990" t="s">
        <v>24500</v>
      </c>
      <c r="F10990" t="s">
        <v>1</v>
      </c>
      <c r="G10990" t="s">
        <v>2</v>
      </c>
      <c r="H10990" t="s">
        <v>33121</v>
      </c>
      <c r="Y10990" t="s">
        <v>40975</v>
      </c>
    </row>
    <row r="10991" spans="1:25" x14ac:dyDescent="0.25">
      <c r="A10991" t="str">
        <f>"150005721269"</f>
        <v>150005721269</v>
      </c>
      <c r="B10991" t="s">
        <v>574</v>
      </c>
      <c r="C10991" t="s">
        <v>646</v>
      </c>
      <c r="D10991" t="s">
        <v>24036</v>
      </c>
      <c r="E10991">
        <v>424007</v>
      </c>
      <c r="F10991" t="s">
        <v>1</v>
      </c>
      <c r="G10991" t="s">
        <v>2</v>
      </c>
      <c r="H10991" t="s">
        <v>36800</v>
      </c>
      <c r="P10991" t="s">
        <v>410</v>
      </c>
      <c r="Y10991" t="s">
        <v>36804</v>
      </c>
    </row>
    <row r="10992" spans="1:25" x14ac:dyDescent="0.25">
      <c r="A10992" t="str">
        <f>"150010922574"</f>
        <v>150010922574</v>
      </c>
      <c r="B10992" t="s">
        <v>110</v>
      </c>
      <c r="C10992" t="s">
        <v>111</v>
      </c>
      <c r="D10992" t="s">
        <v>40976</v>
      </c>
      <c r="E10992">
        <v>424002</v>
      </c>
      <c r="F10992" t="s">
        <v>1</v>
      </c>
      <c r="G10992" t="s">
        <v>2</v>
      </c>
      <c r="H10992" t="s">
        <v>1950</v>
      </c>
      <c r="I10992" t="s">
        <v>40977</v>
      </c>
      <c r="P10992" t="s">
        <v>399</v>
      </c>
      <c r="Y10992" t="s">
        <v>40978</v>
      </c>
    </row>
    <row r="10993" spans="1:25" x14ac:dyDescent="0.25">
      <c r="A10993" t="str">
        <f>"150040698423"</f>
        <v>150040698423</v>
      </c>
      <c r="B10993" t="s">
        <v>530</v>
      </c>
      <c r="C10993" t="s">
        <v>23950</v>
      </c>
      <c r="D10993" t="s">
        <v>23950</v>
      </c>
      <c r="F10993" t="s">
        <v>1</v>
      </c>
      <c r="G10993" t="s">
        <v>2</v>
      </c>
      <c r="H10993" t="s">
        <v>21408</v>
      </c>
      <c r="Y10993" t="s">
        <v>40979</v>
      </c>
    </row>
    <row r="10994" spans="1:25" x14ac:dyDescent="0.25">
      <c r="A10994" t="str">
        <f>"150050752912"</f>
        <v>150050752912</v>
      </c>
      <c r="B10994" t="s">
        <v>482</v>
      </c>
      <c r="C10994" t="s">
        <v>40984</v>
      </c>
      <c r="D10994" t="s">
        <v>40980</v>
      </c>
      <c r="E10994">
        <v>424006</v>
      </c>
      <c r="F10994" t="s">
        <v>1</v>
      </c>
      <c r="G10994" t="s">
        <v>2</v>
      </c>
      <c r="H10994" t="s">
        <v>4821</v>
      </c>
      <c r="I10994" t="s">
        <v>40981</v>
      </c>
      <c r="J10994" t="s">
        <v>40982</v>
      </c>
      <c r="L10994" t="s">
        <v>4970</v>
      </c>
      <c r="M10994" t="s">
        <v>40983</v>
      </c>
      <c r="P10994" t="s">
        <v>20</v>
      </c>
      <c r="Y10994" t="s">
        <v>15433</v>
      </c>
    </row>
    <row r="10995" spans="1:25" x14ac:dyDescent="0.25">
      <c r="A10995" t="str">
        <f>"150097437630"</f>
        <v>150097437630</v>
      </c>
      <c r="B10995" t="s">
        <v>574</v>
      </c>
      <c r="C10995" t="s">
        <v>29849</v>
      </c>
      <c r="D10995" t="s">
        <v>14652</v>
      </c>
      <c r="E10995">
        <v>424020</v>
      </c>
      <c r="F10995" t="s">
        <v>1</v>
      </c>
      <c r="G10995" t="s">
        <v>2</v>
      </c>
      <c r="H10995" t="s">
        <v>2917</v>
      </c>
      <c r="P10995" t="s">
        <v>40985</v>
      </c>
      <c r="Y10995" t="s">
        <v>40986</v>
      </c>
    </row>
    <row r="10996" spans="1:25" x14ac:dyDescent="0.25">
      <c r="A10996" t="str">
        <f>"150115514484"</f>
        <v>150115514484</v>
      </c>
      <c r="B10996" t="s">
        <v>160</v>
      </c>
      <c r="C10996" t="s">
        <v>21371</v>
      </c>
      <c r="D10996" t="s">
        <v>40987</v>
      </c>
      <c r="E10996">
        <v>424003</v>
      </c>
      <c r="F10996" t="s">
        <v>1</v>
      </c>
      <c r="G10996" t="s">
        <v>2</v>
      </c>
      <c r="H10996" t="s">
        <v>35864</v>
      </c>
      <c r="I10996" t="s">
        <v>40988</v>
      </c>
      <c r="P10996" t="s">
        <v>330</v>
      </c>
      <c r="Y10996" t="s">
        <v>40989</v>
      </c>
    </row>
    <row r="10997" spans="1:25" x14ac:dyDescent="0.25">
      <c r="A10997" t="str">
        <f>"150172838887"</f>
        <v>150172838887</v>
      </c>
      <c r="B10997" t="s">
        <v>530</v>
      </c>
      <c r="C10997" t="s">
        <v>23950</v>
      </c>
      <c r="D10997" t="s">
        <v>23950</v>
      </c>
      <c r="E10997">
        <v>424000</v>
      </c>
      <c r="F10997" t="s">
        <v>1</v>
      </c>
      <c r="G10997" t="s">
        <v>2</v>
      </c>
      <c r="H10997" t="s">
        <v>40990</v>
      </c>
      <c r="Y10997" t="s">
        <v>40991</v>
      </c>
    </row>
    <row r="10998" spans="1:25" x14ac:dyDescent="0.25">
      <c r="A10998" t="str">
        <f>"150206856164"</f>
        <v>150206856164</v>
      </c>
      <c r="B10998" t="s">
        <v>18</v>
      </c>
      <c r="C10998" t="s">
        <v>12283</v>
      </c>
      <c r="D10998" t="s">
        <v>40992</v>
      </c>
      <c r="E10998">
        <v>424002</v>
      </c>
      <c r="F10998" t="s">
        <v>1</v>
      </c>
      <c r="G10998" t="s">
        <v>2</v>
      </c>
      <c r="H10998" t="s">
        <v>662</v>
      </c>
      <c r="P10998" t="s">
        <v>1160</v>
      </c>
      <c r="Y10998" t="s">
        <v>40993</v>
      </c>
    </row>
    <row r="10999" spans="1:25" x14ac:dyDescent="0.25">
      <c r="A10999" t="str">
        <f>"150245088430"</f>
        <v>150245088430</v>
      </c>
      <c r="B10999" t="s">
        <v>530</v>
      </c>
      <c r="C10999" t="s">
        <v>23950</v>
      </c>
      <c r="D10999" t="s">
        <v>23950</v>
      </c>
      <c r="E10999">
        <v>424004</v>
      </c>
      <c r="F10999" t="s">
        <v>1</v>
      </c>
      <c r="G10999" t="s">
        <v>2</v>
      </c>
      <c r="H10999" t="s">
        <v>40994</v>
      </c>
      <c r="Y10999" t="s">
        <v>40995</v>
      </c>
    </row>
    <row r="11000" spans="1:25" x14ac:dyDescent="0.25">
      <c r="A11000" t="str">
        <f>"150248370573"</f>
        <v>150248370573</v>
      </c>
      <c r="B11000" t="s">
        <v>1222</v>
      </c>
      <c r="C11000" t="s">
        <v>2114</v>
      </c>
      <c r="D11000" t="s">
        <v>17205</v>
      </c>
      <c r="E11000">
        <v>424002</v>
      </c>
      <c r="F11000" t="s">
        <v>1</v>
      </c>
      <c r="G11000" t="s">
        <v>2</v>
      </c>
      <c r="H11000" t="s">
        <v>5381</v>
      </c>
      <c r="Y11000" t="s">
        <v>40996</v>
      </c>
    </row>
    <row r="11001" spans="1:25" x14ac:dyDescent="0.25">
      <c r="A11001" t="str">
        <f>"150255893743"</f>
        <v>150255893743</v>
      </c>
      <c r="B11001" t="s">
        <v>930</v>
      </c>
      <c r="C11001" t="s">
        <v>1096</v>
      </c>
      <c r="D11001" t="s">
        <v>1094</v>
      </c>
      <c r="E11001">
        <v>424032</v>
      </c>
      <c r="F11001" t="s">
        <v>1</v>
      </c>
      <c r="G11001" t="s">
        <v>2</v>
      </c>
      <c r="H11001" t="s">
        <v>40997</v>
      </c>
      <c r="Y11001" t="s">
        <v>40998</v>
      </c>
    </row>
    <row r="11002" spans="1:25" x14ac:dyDescent="0.25">
      <c r="A11002" t="str">
        <f>"150297889001"</f>
        <v>150297889001</v>
      </c>
      <c r="B11002" t="s">
        <v>3094</v>
      </c>
      <c r="C11002" t="s">
        <v>41000</v>
      </c>
      <c r="D11002" t="s">
        <v>40999</v>
      </c>
      <c r="E11002">
        <v>424033</v>
      </c>
      <c r="F11002" t="s">
        <v>1</v>
      </c>
      <c r="G11002" t="s">
        <v>2</v>
      </c>
      <c r="H11002" t="s">
        <v>29006</v>
      </c>
      <c r="Y11002" t="s">
        <v>41001</v>
      </c>
    </row>
    <row r="11003" spans="1:25" x14ac:dyDescent="0.25">
      <c r="A11003" t="str">
        <f>"150328876849"</f>
        <v>150328876849</v>
      </c>
      <c r="B11003" t="s">
        <v>96</v>
      </c>
      <c r="C11003" t="s">
        <v>893</v>
      </c>
      <c r="D11003" t="s">
        <v>41002</v>
      </c>
      <c r="E11003">
        <v>424918</v>
      </c>
      <c r="F11003" t="s">
        <v>1</v>
      </c>
      <c r="G11003" t="s">
        <v>2</v>
      </c>
      <c r="H11003" t="s">
        <v>629</v>
      </c>
      <c r="I11003" t="s">
        <v>20946</v>
      </c>
      <c r="P11003" t="s">
        <v>630</v>
      </c>
      <c r="Y11003" t="s">
        <v>1744</v>
      </c>
    </row>
    <row r="11004" spans="1:25" x14ac:dyDescent="0.25">
      <c r="A11004" t="str">
        <f>"150328975134"</f>
        <v>150328975134</v>
      </c>
      <c r="B11004" t="s">
        <v>2601</v>
      </c>
      <c r="C11004" t="s">
        <v>26383</v>
      </c>
      <c r="D11004" t="s">
        <v>32909</v>
      </c>
      <c r="E11004">
        <v>424019</v>
      </c>
      <c r="F11004" t="s">
        <v>1</v>
      </c>
      <c r="G11004" t="s">
        <v>2</v>
      </c>
      <c r="H11004" t="s">
        <v>7785</v>
      </c>
      <c r="J11004" t="s">
        <v>41003</v>
      </c>
      <c r="P11004" t="s">
        <v>98</v>
      </c>
      <c r="Y11004" t="s">
        <v>41004</v>
      </c>
    </row>
    <row r="11005" spans="1:25" x14ac:dyDescent="0.25">
      <c r="A11005" t="str">
        <f>"150339276910"</f>
        <v>150339276910</v>
      </c>
      <c r="B11005" t="s">
        <v>8011</v>
      </c>
      <c r="C11005" t="s">
        <v>41009</v>
      </c>
      <c r="D11005" t="s">
        <v>41005</v>
      </c>
      <c r="F11005" t="s">
        <v>1</v>
      </c>
      <c r="G11005" t="s">
        <v>2</v>
      </c>
      <c r="H11005" t="s">
        <v>138</v>
      </c>
      <c r="I11005" t="s">
        <v>41006</v>
      </c>
      <c r="L11005" t="s">
        <v>41007</v>
      </c>
      <c r="M11005" t="s">
        <v>41008</v>
      </c>
      <c r="P11005" t="s">
        <v>144</v>
      </c>
      <c r="Q11005" t="s">
        <v>41010</v>
      </c>
      <c r="T11005" t="s">
        <v>41011</v>
      </c>
      <c r="U11005" t="s">
        <v>41012</v>
      </c>
      <c r="V11005" t="s">
        <v>41013</v>
      </c>
      <c r="Y11005" t="s">
        <v>41014</v>
      </c>
    </row>
    <row r="11006" spans="1:25" x14ac:dyDescent="0.25">
      <c r="A11006" t="str">
        <f>"150350083053"</f>
        <v>150350083053</v>
      </c>
      <c r="B11006" t="s">
        <v>319</v>
      </c>
      <c r="C11006" t="s">
        <v>41016</v>
      </c>
      <c r="D11006" t="s">
        <v>28916</v>
      </c>
      <c r="E11006">
        <v>424002</v>
      </c>
      <c r="F11006" t="s">
        <v>1</v>
      </c>
      <c r="G11006" t="s">
        <v>2</v>
      </c>
      <c r="H11006" t="s">
        <v>3604</v>
      </c>
      <c r="J11006" t="s">
        <v>41015</v>
      </c>
      <c r="Q11006" t="s">
        <v>41017</v>
      </c>
      <c r="Y11006" t="s">
        <v>8209</v>
      </c>
    </row>
    <row r="11007" spans="1:25" x14ac:dyDescent="0.25">
      <c r="A11007" t="str">
        <f>"150362726535"</f>
        <v>150362726535</v>
      </c>
      <c r="B11007" t="s">
        <v>319</v>
      </c>
      <c r="C11007" t="s">
        <v>320</v>
      </c>
      <c r="D11007" t="s">
        <v>28945</v>
      </c>
      <c r="E11007">
        <v>424036</v>
      </c>
      <c r="F11007" t="s">
        <v>1</v>
      </c>
      <c r="G11007" t="s">
        <v>2</v>
      </c>
      <c r="H11007" t="s">
        <v>8222</v>
      </c>
      <c r="I11007" t="s">
        <v>24130</v>
      </c>
      <c r="L11007" t="s">
        <v>41018</v>
      </c>
      <c r="M11007" t="s">
        <v>41019</v>
      </c>
      <c r="P11007" t="s">
        <v>2457</v>
      </c>
      <c r="Y11007" t="s">
        <v>41020</v>
      </c>
    </row>
    <row r="11008" spans="1:25" x14ac:dyDescent="0.25">
      <c r="A11008" t="str">
        <f>"150363750740"</f>
        <v>150363750740</v>
      </c>
      <c r="B11008" t="s">
        <v>96</v>
      </c>
      <c r="C11008" t="s">
        <v>22202</v>
      </c>
      <c r="D11008" t="s">
        <v>41021</v>
      </c>
      <c r="E11008">
        <v>424002</v>
      </c>
      <c r="F11008" t="s">
        <v>1</v>
      </c>
      <c r="G11008" t="s">
        <v>2</v>
      </c>
      <c r="H11008" t="s">
        <v>3864</v>
      </c>
      <c r="L11008" t="s">
        <v>8198</v>
      </c>
      <c r="M11008" t="s">
        <v>41022</v>
      </c>
      <c r="Y11008" t="s">
        <v>41023</v>
      </c>
    </row>
    <row r="11009" spans="1:25" x14ac:dyDescent="0.25">
      <c r="A11009" t="str">
        <f>"150372628933"</f>
        <v>150372628933</v>
      </c>
      <c r="B11009" t="s">
        <v>7312</v>
      </c>
      <c r="C11009" t="s">
        <v>35535</v>
      </c>
      <c r="D11009" t="s">
        <v>41024</v>
      </c>
      <c r="E11009">
        <v>424002</v>
      </c>
      <c r="F11009" t="s">
        <v>1</v>
      </c>
      <c r="G11009" t="s">
        <v>2</v>
      </c>
      <c r="H11009" t="s">
        <v>33372</v>
      </c>
      <c r="Y11009" t="s">
        <v>41025</v>
      </c>
    </row>
    <row r="11010" spans="1:25" x14ac:dyDescent="0.25">
      <c r="A11010" t="str">
        <f>"150374030873"</f>
        <v>150374030873</v>
      </c>
      <c r="B11010" t="s">
        <v>319</v>
      </c>
      <c r="C11010" t="s">
        <v>320</v>
      </c>
      <c r="D11010" t="s">
        <v>3922</v>
      </c>
      <c r="E11010">
        <v>424008</v>
      </c>
      <c r="F11010" t="s">
        <v>1</v>
      </c>
      <c r="G11010" t="s">
        <v>2</v>
      </c>
      <c r="H11010" t="s">
        <v>528</v>
      </c>
      <c r="Y11010" t="s">
        <v>6427</v>
      </c>
    </row>
    <row r="11011" spans="1:25" x14ac:dyDescent="0.25">
      <c r="A11011" t="str">
        <f>"150374633617"</f>
        <v>150374633617</v>
      </c>
      <c r="B11011" t="s">
        <v>1152</v>
      </c>
      <c r="C11011" t="s">
        <v>10900</v>
      </c>
      <c r="D11011" t="s">
        <v>41026</v>
      </c>
      <c r="E11011">
        <v>424037</v>
      </c>
      <c r="F11011" t="s">
        <v>1</v>
      </c>
      <c r="G11011" t="s">
        <v>2</v>
      </c>
      <c r="H11011" t="s">
        <v>41027</v>
      </c>
      <c r="J11011" t="s">
        <v>41028</v>
      </c>
      <c r="M11011" t="s">
        <v>41029</v>
      </c>
      <c r="P11011" t="s">
        <v>60</v>
      </c>
      <c r="Q11011" t="s">
        <v>41030</v>
      </c>
      <c r="Y11011" t="s">
        <v>41031</v>
      </c>
    </row>
    <row r="11012" spans="1:25" x14ac:dyDescent="0.25">
      <c r="A11012" t="str">
        <f>"150377585263"</f>
        <v>150377585263</v>
      </c>
      <c r="B11012" t="s">
        <v>290</v>
      </c>
      <c r="C11012" t="s">
        <v>41034</v>
      </c>
      <c r="D11012" t="s">
        <v>41032</v>
      </c>
      <c r="E11012">
        <v>424002</v>
      </c>
      <c r="F11012" t="s">
        <v>1</v>
      </c>
      <c r="G11012" t="s">
        <v>2</v>
      </c>
      <c r="H11012" t="s">
        <v>296</v>
      </c>
      <c r="I11012" t="s">
        <v>41033</v>
      </c>
      <c r="P11012" t="s">
        <v>41035</v>
      </c>
      <c r="Y11012" t="s">
        <v>41036</v>
      </c>
    </row>
    <row r="11013" spans="1:25" x14ac:dyDescent="0.25">
      <c r="A11013" t="str">
        <f>"150425907855"</f>
        <v>150425907855</v>
      </c>
      <c r="B11013" t="s">
        <v>530</v>
      </c>
      <c r="C11013" t="s">
        <v>23950</v>
      </c>
      <c r="D11013" t="s">
        <v>23950</v>
      </c>
      <c r="F11013" t="s">
        <v>1</v>
      </c>
      <c r="G11013" t="s">
        <v>2</v>
      </c>
      <c r="H11013" t="s">
        <v>40777</v>
      </c>
      <c r="Y11013" t="s">
        <v>41037</v>
      </c>
    </row>
    <row r="11014" spans="1:25" x14ac:dyDescent="0.25">
      <c r="A11014" t="str">
        <f>"150460848337"</f>
        <v>150460848337</v>
      </c>
      <c r="B11014" t="s">
        <v>1046</v>
      </c>
      <c r="C11014" t="s">
        <v>13439</v>
      </c>
      <c r="D11014" t="s">
        <v>41038</v>
      </c>
      <c r="E11014">
        <v>424040</v>
      </c>
      <c r="F11014" t="s">
        <v>1</v>
      </c>
      <c r="G11014" t="s">
        <v>2</v>
      </c>
      <c r="H11014" t="s">
        <v>7989</v>
      </c>
      <c r="Y11014" t="s">
        <v>41039</v>
      </c>
    </row>
    <row r="11015" spans="1:25" x14ac:dyDescent="0.25">
      <c r="A11015" t="str">
        <f>"150484554382"</f>
        <v>150484554382</v>
      </c>
      <c r="B11015" t="s">
        <v>574</v>
      </c>
      <c r="C11015" t="s">
        <v>952</v>
      </c>
      <c r="D11015" t="s">
        <v>1589</v>
      </c>
      <c r="E11015">
        <v>424028</v>
      </c>
      <c r="F11015" t="s">
        <v>1</v>
      </c>
      <c r="G11015" t="s">
        <v>2</v>
      </c>
      <c r="H11015" t="s">
        <v>41040</v>
      </c>
      <c r="Y11015" t="s">
        <v>41041</v>
      </c>
    </row>
    <row r="11016" spans="1:25" x14ac:dyDescent="0.25">
      <c r="A11016" t="str">
        <f>"150521534450"</f>
        <v>150521534450</v>
      </c>
      <c r="B11016" t="s">
        <v>1611</v>
      </c>
      <c r="C11016" t="s">
        <v>40574</v>
      </c>
      <c r="D11016" t="s">
        <v>41042</v>
      </c>
      <c r="E11016">
        <v>424000</v>
      </c>
      <c r="F11016" t="s">
        <v>1</v>
      </c>
      <c r="G11016" t="s">
        <v>2</v>
      </c>
      <c r="H11016" t="s">
        <v>16280</v>
      </c>
      <c r="I11016" t="s">
        <v>32283</v>
      </c>
      <c r="P11016" t="s">
        <v>330</v>
      </c>
      <c r="Y11016" t="s">
        <v>40575</v>
      </c>
    </row>
    <row r="11017" spans="1:25" x14ac:dyDescent="0.25">
      <c r="A11017" t="str">
        <f>"150548894096"</f>
        <v>150548894096</v>
      </c>
      <c r="B11017" t="s">
        <v>1758</v>
      </c>
      <c r="C11017" t="s">
        <v>1811</v>
      </c>
      <c r="D11017" t="s">
        <v>41043</v>
      </c>
      <c r="E11017">
        <v>424008</v>
      </c>
      <c r="F11017" t="s">
        <v>1</v>
      </c>
      <c r="G11017" t="s">
        <v>2</v>
      </c>
      <c r="H11017" t="s">
        <v>20756</v>
      </c>
      <c r="I11017" t="s">
        <v>41044</v>
      </c>
      <c r="P11017" t="s">
        <v>2738</v>
      </c>
      <c r="Q11017" t="s">
        <v>41045</v>
      </c>
      <c r="Y11017" t="s">
        <v>41046</v>
      </c>
    </row>
    <row r="11018" spans="1:25" x14ac:dyDescent="0.25">
      <c r="A11018" t="str">
        <f>"150563838603"</f>
        <v>150563838603</v>
      </c>
      <c r="B11018" t="s">
        <v>530</v>
      </c>
      <c r="C11018" t="s">
        <v>23950</v>
      </c>
      <c r="D11018" t="s">
        <v>23950</v>
      </c>
      <c r="F11018" t="s">
        <v>1</v>
      </c>
      <c r="G11018" t="s">
        <v>2</v>
      </c>
      <c r="H11018" t="s">
        <v>28259</v>
      </c>
      <c r="Y11018" t="s">
        <v>41047</v>
      </c>
    </row>
    <row r="11019" spans="1:25" x14ac:dyDescent="0.25">
      <c r="A11019" t="str">
        <f>"150618454796"</f>
        <v>150618454796</v>
      </c>
      <c r="B11019" t="s">
        <v>8117</v>
      </c>
      <c r="C11019" t="s">
        <v>8118</v>
      </c>
      <c r="D11019" t="s">
        <v>41048</v>
      </c>
      <c r="E11019">
        <v>424004</v>
      </c>
      <c r="F11019" t="s">
        <v>1</v>
      </c>
      <c r="G11019" t="s">
        <v>2</v>
      </c>
      <c r="H11019" t="s">
        <v>5226</v>
      </c>
      <c r="I11019" t="s">
        <v>6964</v>
      </c>
      <c r="L11019" t="s">
        <v>6965</v>
      </c>
      <c r="M11019" t="s">
        <v>41049</v>
      </c>
      <c r="P11019" t="s">
        <v>152</v>
      </c>
      <c r="Q11019" t="s">
        <v>41050</v>
      </c>
      <c r="U11019" t="s">
        <v>41051</v>
      </c>
      <c r="Y11019" t="s">
        <v>41052</v>
      </c>
    </row>
    <row r="11020" spans="1:25" x14ac:dyDescent="0.25">
      <c r="A11020" t="str">
        <f>"150619813887"</f>
        <v>150619813887</v>
      </c>
      <c r="B11020" t="s">
        <v>978</v>
      </c>
      <c r="C11020" t="s">
        <v>1659</v>
      </c>
      <c r="D11020" t="s">
        <v>31177</v>
      </c>
      <c r="E11020">
        <v>424037</v>
      </c>
      <c r="F11020" t="s">
        <v>1</v>
      </c>
      <c r="G11020" t="s">
        <v>2</v>
      </c>
      <c r="H11020" t="s">
        <v>13722</v>
      </c>
      <c r="P11020" t="s">
        <v>3690</v>
      </c>
      <c r="Y11020" t="s">
        <v>41053</v>
      </c>
    </row>
    <row r="11021" spans="1:25" x14ac:dyDescent="0.25">
      <c r="A11021" t="str">
        <f>"150623482472"</f>
        <v>150623482472</v>
      </c>
      <c r="B11021" t="s">
        <v>32</v>
      </c>
      <c r="C11021" t="s">
        <v>13554</v>
      </c>
      <c r="D11021" t="s">
        <v>41054</v>
      </c>
      <c r="E11021">
        <v>424033</v>
      </c>
      <c r="F11021" t="s">
        <v>1</v>
      </c>
      <c r="G11021" t="s">
        <v>2</v>
      </c>
      <c r="H11021" t="s">
        <v>9700</v>
      </c>
      <c r="I11021" t="s">
        <v>41055</v>
      </c>
      <c r="J11021" t="s">
        <v>41056</v>
      </c>
      <c r="P11021" t="s">
        <v>1642</v>
      </c>
      <c r="V11021" t="s">
        <v>41057</v>
      </c>
      <c r="Y11021" t="s">
        <v>41058</v>
      </c>
    </row>
    <row r="11022" spans="1:25" x14ac:dyDescent="0.25">
      <c r="A11022" t="str">
        <f>"150625210505"</f>
        <v>150625210505</v>
      </c>
      <c r="B11022" t="s">
        <v>1758</v>
      </c>
      <c r="C11022" t="s">
        <v>41061</v>
      </c>
      <c r="D11022" t="s">
        <v>41059</v>
      </c>
      <c r="E11022">
        <v>424000</v>
      </c>
      <c r="F11022" t="s">
        <v>1</v>
      </c>
      <c r="G11022" t="s">
        <v>2</v>
      </c>
      <c r="H11022" t="s">
        <v>333</v>
      </c>
      <c r="I11022" t="s">
        <v>41060</v>
      </c>
      <c r="L11022" t="s">
        <v>24300</v>
      </c>
      <c r="P11022" t="s">
        <v>280</v>
      </c>
      <c r="Y11022" t="s">
        <v>41062</v>
      </c>
    </row>
    <row r="11023" spans="1:25" x14ac:dyDescent="0.25">
      <c r="A11023" t="str">
        <f>"150631634906"</f>
        <v>150631634906</v>
      </c>
      <c r="B11023" t="s">
        <v>1611</v>
      </c>
      <c r="C11023" t="s">
        <v>26250</v>
      </c>
      <c r="D11023" t="s">
        <v>41063</v>
      </c>
      <c r="E11023">
        <v>424005</v>
      </c>
      <c r="F11023" t="s">
        <v>1</v>
      </c>
      <c r="G11023" t="s">
        <v>2</v>
      </c>
      <c r="H11023" t="s">
        <v>5429</v>
      </c>
      <c r="I11023" t="s">
        <v>41064</v>
      </c>
      <c r="M11023" t="s">
        <v>41065</v>
      </c>
      <c r="P11023" t="s">
        <v>330</v>
      </c>
      <c r="Y11023" t="s">
        <v>5431</v>
      </c>
    </row>
    <row r="11024" spans="1:25" x14ac:dyDescent="0.25">
      <c r="A11024" t="str">
        <f>"150660001214"</f>
        <v>150660001214</v>
      </c>
      <c r="B11024" t="s">
        <v>7</v>
      </c>
      <c r="C11024" t="s">
        <v>9893</v>
      </c>
      <c r="D11024" t="s">
        <v>41066</v>
      </c>
      <c r="E11024">
        <v>424031</v>
      </c>
      <c r="F11024" t="s">
        <v>1</v>
      </c>
      <c r="G11024" t="s">
        <v>2</v>
      </c>
      <c r="H11024" t="s">
        <v>1524</v>
      </c>
      <c r="I11024" t="s">
        <v>13999</v>
      </c>
      <c r="P11024" t="s">
        <v>4006</v>
      </c>
      <c r="Y11024" t="s">
        <v>5358</v>
      </c>
    </row>
    <row r="11025" spans="1:25" x14ac:dyDescent="0.25">
      <c r="A11025" t="str">
        <f>"150674952763"</f>
        <v>150674952763</v>
      </c>
      <c r="B11025" t="s">
        <v>18</v>
      </c>
      <c r="C11025" t="s">
        <v>12283</v>
      </c>
      <c r="D11025" t="s">
        <v>35815</v>
      </c>
      <c r="E11025">
        <v>424002</v>
      </c>
      <c r="F11025" t="s">
        <v>1</v>
      </c>
      <c r="G11025" t="s">
        <v>2</v>
      </c>
      <c r="H11025" t="s">
        <v>3864</v>
      </c>
      <c r="I11025" t="s">
        <v>35816</v>
      </c>
      <c r="P11025" t="s">
        <v>144</v>
      </c>
      <c r="Y11025" t="s">
        <v>3867</v>
      </c>
    </row>
    <row r="11026" spans="1:25" x14ac:dyDescent="0.25">
      <c r="A11026" t="str">
        <f>"150701983114"</f>
        <v>150701983114</v>
      </c>
      <c r="B11026" t="s">
        <v>1352</v>
      </c>
      <c r="C11026" t="s">
        <v>1353</v>
      </c>
      <c r="D11026" t="s">
        <v>41067</v>
      </c>
      <c r="E11026">
        <v>424031</v>
      </c>
      <c r="F11026" t="s">
        <v>1</v>
      </c>
      <c r="G11026" t="s">
        <v>2</v>
      </c>
      <c r="H11026" t="s">
        <v>2353</v>
      </c>
      <c r="J11026" t="s">
        <v>41068</v>
      </c>
      <c r="Q11026" t="s">
        <v>41069</v>
      </c>
      <c r="Y11026" t="s">
        <v>2356</v>
      </c>
    </row>
    <row r="11027" spans="1:25" x14ac:dyDescent="0.25">
      <c r="A11027" t="str">
        <f>"150727755167"</f>
        <v>150727755167</v>
      </c>
      <c r="B11027" t="s">
        <v>1152</v>
      </c>
      <c r="C11027" t="s">
        <v>4682</v>
      </c>
      <c r="D11027" t="s">
        <v>41070</v>
      </c>
      <c r="E11027">
        <v>424003</v>
      </c>
      <c r="F11027" t="s">
        <v>1</v>
      </c>
      <c r="G11027" t="s">
        <v>2</v>
      </c>
      <c r="H11027" t="s">
        <v>32714</v>
      </c>
      <c r="Y11027" t="s">
        <v>41071</v>
      </c>
    </row>
    <row r="11028" spans="1:25" x14ac:dyDescent="0.25">
      <c r="A11028" t="str">
        <f>"150780075991"</f>
        <v>150780075991</v>
      </c>
      <c r="B11028" t="s">
        <v>96</v>
      </c>
      <c r="C11028" t="s">
        <v>311</v>
      </c>
      <c r="D11028" t="s">
        <v>32437</v>
      </c>
      <c r="E11028">
        <v>424918</v>
      </c>
      <c r="F11028" t="s">
        <v>1</v>
      </c>
      <c r="G11028" t="s">
        <v>2</v>
      </c>
      <c r="H11028" t="s">
        <v>629</v>
      </c>
      <c r="J11028" t="s">
        <v>41072</v>
      </c>
      <c r="P11028" t="s">
        <v>630</v>
      </c>
      <c r="Y11028" t="s">
        <v>24611</v>
      </c>
    </row>
    <row r="11029" spans="1:25" x14ac:dyDescent="0.25">
      <c r="A11029" t="str">
        <f>"150784570845"</f>
        <v>150784570845</v>
      </c>
      <c r="B11029" t="s">
        <v>224</v>
      </c>
      <c r="C11029" t="s">
        <v>41077</v>
      </c>
      <c r="D11029" t="s">
        <v>41073</v>
      </c>
      <c r="E11029">
        <v>424039</v>
      </c>
      <c r="F11029" t="s">
        <v>1</v>
      </c>
      <c r="G11029" t="s">
        <v>2</v>
      </c>
      <c r="H11029" t="s">
        <v>962</v>
      </c>
      <c r="I11029" t="s">
        <v>41074</v>
      </c>
      <c r="L11029" t="s">
        <v>41075</v>
      </c>
      <c r="M11029" t="s">
        <v>41076</v>
      </c>
      <c r="P11029" t="s">
        <v>280</v>
      </c>
      <c r="Y11029" t="s">
        <v>965</v>
      </c>
    </row>
    <row r="11030" spans="1:25" x14ac:dyDescent="0.25">
      <c r="A11030" t="str">
        <f>"150800122421"</f>
        <v>150800122421</v>
      </c>
      <c r="B11030" t="s">
        <v>1078</v>
      </c>
      <c r="C11030" t="s">
        <v>41079</v>
      </c>
      <c r="D11030" t="s">
        <v>41078</v>
      </c>
      <c r="E11030">
        <v>424019</v>
      </c>
      <c r="F11030" t="s">
        <v>1</v>
      </c>
      <c r="G11030" t="s">
        <v>2</v>
      </c>
      <c r="H11030" t="s">
        <v>1467</v>
      </c>
      <c r="Y11030" t="s">
        <v>1630</v>
      </c>
    </row>
    <row r="11031" spans="1:25" x14ac:dyDescent="0.25">
      <c r="A11031" t="str">
        <f>"150811568510"</f>
        <v>150811568510</v>
      </c>
      <c r="B11031" t="s">
        <v>1152</v>
      </c>
      <c r="C11031" t="s">
        <v>1153</v>
      </c>
      <c r="D11031" t="s">
        <v>10280</v>
      </c>
      <c r="E11031">
        <v>424020</v>
      </c>
      <c r="F11031" t="s">
        <v>1</v>
      </c>
      <c r="G11031" t="s">
        <v>2</v>
      </c>
      <c r="H11031" t="s">
        <v>23516</v>
      </c>
      <c r="I11031" t="s">
        <v>22092</v>
      </c>
      <c r="M11031" t="s">
        <v>10284</v>
      </c>
      <c r="Q11031" t="s">
        <v>10286</v>
      </c>
      <c r="R11031" t="s">
        <v>10287</v>
      </c>
      <c r="S11031" t="s">
        <v>10288</v>
      </c>
      <c r="T11031" t="s">
        <v>10289</v>
      </c>
      <c r="U11031" t="s">
        <v>10290</v>
      </c>
      <c r="V11031" t="s">
        <v>10291</v>
      </c>
      <c r="Y11031" t="s">
        <v>41080</v>
      </c>
    </row>
    <row r="11032" spans="1:25" x14ac:dyDescent="0.25">
      <c r="A11032" t="str">
        <f>"150838987569"</f>
        <v>150838987569</v>
      </c>
      <c r="B11032" t="s">
        <v>25</v>
      </c>
      <c r="C11032" t="s">
        <v>59</v>
      </c>
      <c r="D11032" t="s">
        <v>16444</v>
      </c>
      <c r="E11032">
        <v>424037</v>
      </c>
      <c r="F11032" t="s">
        <v>1</v>
      </c>
      <c r="G11032" t="s">
        <v>2</v>
      </c>
      <c r="H11032" t="s">
        <v>2680</v>
      </c>
      <c r="I11032" t="s">
        <v>41081</v>
      </c>
      <c r="K11032" t="s">
        <v>41081</v>
      </c>
      <c r="P11032" t="s">
        <v>4848</v>
      </c>
      <c r="Y11032" t="s">
        <v>22281</v>
      </c>
    </row>
    <row r="11033" spans="1:25" x14ac:dyDescent="0.25">
      <c r="A11033" t="str">
        <f>"150886926143"</f>
        <v>150886926143</v>
      </c>
      <c r="B11033" t="s">
        <v>574</v>
      </c>
      <c r="C11033" t="s">
        <v>952</v>
      </c>
      <c r="D11033" t="s">
        <v>3388</v>
      </c>
      <c r="E11033">
        <v>424019</v>
      </c>
      <c r="F11033" t="s">
        <v>1</v>
      </c>
      <c r="G11033" t="s">
        <v>2</v>
      </c>
      <c r="H11033" t="s">
        <v>13027</v>
      </c>
      <c r="L11033" t="s">
        <v>14326</v>
      </c>
      <c r="M11033" t="s">
        <v>14327</v>
      </c>
      <c r="P11033" t="s">
        <v>9840</v>
      </c>
      <c r="Y11033" t="s">
        <v>41082</v>
      </c>
    </row>
    <row r="11034" spans="1:25" x14ac:dyDescent="0.25">
      <c r="A11034" t="str">
        <f>"150905182970"</f>
        <v>150905182970</v>
      </c>
      <c r="B11034" t="s">
        <v>456</v>
      </c>
      <c r="C11034" t="s">
        <v>17904</v>
      </c>
      <c r="D11034" t="s">
        <v>41083</v>
      </c>
      <c r="E11034">
        <v>424000</v>
      </c>
      <c r="F11034" t="s">
        <v>1</v>
      </c>
      <c r="G11034" t="s">
        <v>2</v>
      </c>
      <c r="H11034" t="s">
        <v>5814</v>
      </c>
      <c r="I11034" t="s">
        <v>41084</v>
      </c>
      <c r="M11034" t="s">
        <v>41085</v>
      </c>
      <c r="P11034" t="s">
        <v>27</v>
      </c>
      <c r="Q11034" t="s">
        <v>41086</v>
      </c>
      <c r="T11034" t="s">
        <v>41087</v>
      </c>
      <c r="U11034" t="s">
        <v>41088</v>
      </c>
      <c r="V11034" t="s">
        <v>41089</v>
      </c>
      <c r="Y11034" t="s">
        <v>5817</v>
      </c>
    </row>
    <row r="11035" spans="1:25" x14ac:dyDescent="0.25">
      <c r="A11035" t="str">
        <f>"150939441816"</f>
        <v>150939441816</v>
      </c>
      <c r="B11035" t="s">
        <v>1222</v>
      </c>
      <c r="C11035" t="s">
        <v>41094</v>
      </c>
      <c r="D11035" t="s">
        <v>41090</v>
      </c>
      <c r="E11035">
        <v>424006</v>
      </c>
      <c r="F11035" t="s">
        <v>1</v>
      </c>
      <c r="G11035" t="s">
        <v>2</v>
      </c>
      <c r="H11035" t="s">
        <v>2966</v>
      </c>
      <c r="I11035" t="s">
        <v>41091</v>
      </c>
      <c r="J11035" t="s">
        <v>41092</v>
      </c>
      <c r="L11035" t="s">
        <v>41093</v>
      </c>
      <c r="P11035" t="s">
        <v>340</v>
      </c>
      <c r="Q11035" t="s">
        <v>41095</v>
      </c>
      <c r="V11035" t="s">
        <v>41096</v>
      </c>
      <c r="Y11035" t="s">
        <v>41097</v>
      </c>
    </row>
    <row r="11036" spans="1:25" x14ac:dyDescent="0.25">
      <c r="A11036" t="str">
        <f>"151009243813"</f>
        <v>151009243813</v>
      </c>
      <c r="B11036" t="s">
        <v>348</v>
      </c>
      <c r="C11036" t="s">
        <v>4366</v>
      </c>
      <c r="D11036" t="s">
        <v>20527</v>
      </c>
      <c r="E11036">
        <v>424039</v>
      </c>
      <c r="F11036" t="s">
        <v>1</v>
      </c>
      <c r="G11036" t="s">
        <v>2</v>
      </c>
      <c r="H11036" t="s">
        <v>8694</v>
      </c>
      <c r="Y11036" t="s">
        <v>41098</v>
      </c>
    </row>
    <row r="11037" spans="1:25" x14ac:dyDescent="0.25">
      <c r="A11037" t="str">
        <f>"151091986744"</f>
        <v>151091986744</v>
      </c>
      <c r="B11037" t="s">
        <v>1352</v>
      </c>
      <c r="C11037" t="s">
        <v>1353</v>
      </c>
      <c r="D11037" t="s">
        <v>41099</v>
      </c>
      <c r="E11037">
        <v>424000</v>
      </c>
      <c r="F11037" t="s">
        <v>1</v>
      </c>
      <c r="G11037" t="s">
        <v>2</v>
      </c>
      <c r="H11037" t="s">
        <v>2671</v>
      </c>
      <c r="P11037" t="s">
        <v>7638</v>
      </c>
      <c r="Y11037" t="s">
        <v>2674</v>
      </c>
    </row>
    <row r="11038" spans="1:25" x14ac:dyDescent="0.25">
      <c r="A11038" t="str">
        <f>"151116538636"</f>
        <v>151116538636</v>
      </c>
      <c r="B11038" t="s">
        <v>8011</v>
      </c>
      <c r="C11038" t="s">
        <v>24988</v>
      </c>
      <c r="D11038" t="s">
        <v>41100</v>
      </c>
      <c r="E11038">
        <v>424006</v>
      </c>
      <c r="F11038" t="s">
        <v>1</v>
      </c>
      <c r="G11038" t="s">
        <v>2</v>
      </c>
      <c r="H11038" t="s">
        <v>2775</v>
      </c>
      <c r="I11038" t="s">
        <v>41101</v>
      </c>
      <c r="P11038" t="s">
        <v>41102</v>
      </c>
      <c r="Y11038" t="s">
        <v>2779</v>
      </c>
    </row>
    <row r="11039" spans="1:25" x14ac:dyDescent="0.25">
      <c r="A11039" t="str">
        <f>"151133572719"</f>
        <v>151133572719</v>
      </c>
      <c r="B11039" t="s">
        <v>738</v>
      </c>
      <c r="C11039" t="s">
        <v>739</v>
      </c>
      <c r="D11039" t="s">
        <v>41103</v>
      </c>
      <c r="F11039" t="s">
        <v>1</v>
      </c>
      <c r="G11039" t="s">
        <v>2</v>
      </c>
      <c r="H11039" t="s">
        <v>8989</v>
      </c>
      <c r="Y11039" t="s">
        <v>41104</v>
      </c>
    </row>
    <row r="11040" spans="1:25" x14ac:dyDescent="0.25">
      <c r="A11040" t="str">
        <f>"151179334724"</f>
        <v>151179334724</v>
      </c>
      <c r="B11040" t="s">
        <v>352</v>
      </c>
      <c r="C11040" t="s">
        <v>353</v>
      </c>
      <c r="D11040" t="s">
        <v>41105</v>
      </c>
      <c r="F11040" t="s">
        <v>1</v>
      </c>
      <c r="G11040" t="s">
        <v>2</v>
      </c>
      <c r="H11040" t="s">
        <v>6026</v>
      </c>
      <c r="J11040" t="s">
        <v>41106</v>
      </c>
      <c r="P11040" t="s">
        <v>2050</v>
      </c>
      <c r="Y11040" t="s">
        <v>21228</v>
      </c>
    </row>
    <row r="11041" spans="1:25" x14ac:dyDescent="0.25">
      <c r="A11041" t="str">
        <f>"151185673069"</f>
        <v>151185673069</v>
      </c>
      <c r="B11041" t="s">
        <v>1078</v>
      </c>
      <c r="C11041" t="s">
        <v>25481</v>
      </c>
      <c r="D11041" t="s">
        <v>41107</v>
      </c>
      <c r="E11041">
        <v>424031</v>
      </c>
      <c r="F11041" t="s">
        <v>1</v>
      </c>
      <c r="G11041" t="s">
        <v>2</v>
      </c>
      <c r="H11041" t="s">
        <v>413</v>
      </c>
      <c r="I11041" t="s">
        <v>41108</v>
      </c>
      <c r="J11041" t="s">
        <v>41109</v>
      </c>
      <c r="P11041" t="s">
        <v>216</v>
      </c>
      <c r="V11041" t="s">
        <v>41110</v>
      </c>
      <c r="Y11041" t="s">
        <v>41111</v>
      </c>
    </row>
    <row r="11042" spans="1:25" x14ac:dyDescent="0.25">
      <c r="A11042" t="str">
        <f>"151226244786"</f>
        <v>151226244786</v>
      </c>
      <c r="B11042" t="s">
        <v>151</v>
      </c>
      <c r="C11042" t="s">
        <v>151</v>
      </c>
      <c r="D11042" t="s">
        <v>41112</v>
      </c>
      <c r="E11042">
        <v>424006</v>
      </c>
      <c r="F11042" t="s">
        <v>1</v>
      </c>
      <c r="G11042" t="s">
        <v>2</v>
      </c>
      <c r="H11042" t="s">
        <v>10818</v>
      </c>
      <c r="I11042" t="s">
        <v>41113</v>
      </c>
      <c r="L11042" t="s">
        <v>41114</v>
      </c>
      <c r="M11042" t="s">
        <v>41115</v>
      </c>
      <c r="P11042" t="s">
        <v>27</v>
      </c>
      <c r="Q11042" t="s">
        <v>41116</v>
      </c>
      <c r="Y11042" t="s">
        <v>10823</v>
      </c>
    </row>
    <row r="11043" spans="1:25" x14ac:dyDescent="0.25">
      <c r="A11043" t="str">
        <f>"151235087334"</f>
        <v>151235087334</v>
      </c>
      <c r="B11043" t="s">
        <v>284</v>
      </c>
      <c r="C11043" t="s">
        <v>27632</v>
      </c>
      <c r="D11043" t="s">
        <v>41117</v>
      </c>
      <c r="F11043" t="s">
        <v>1</v>
      </c>
      <c r="G11043" t="s">
        <v>2</v>
      </c>
      <c r="H11043" t="s">
        <v>28398</v>
      </c>
      <c r="Y11043" t="s">
        <v>41118</v>
      </c>
    </row>
    <row r="11044" spans="1:25" x14ac:dyDescent="0.25">
      <c r="A11044" t="str">
        <f>"151273796857"</f>
        <v>151273796857</v>
      </c>
      <c r="B11044" t="s">
        <v>1475</v>
      </c>
      <c r="C11044" t="s">
        <v>4005</v>
      </c>
      <c r="D11044" t="s">
        <v>7821</v>
      </c>
      <c r="E11044">
        <v>424002</v>
      </c>
      <c r="F11044" t="s">
        <v>1</v>
      </c>
      <c r="G11044" t="s">
        <v>2</v>
      </c>
      <c r="H11044" t="s">
        <v>5998</v>
      </c>
      <c r="Y11044" t="s">
        <v>41119</v>
      </c>
    </row>
    <row r="11045" spans="1:25" x14ac:dyDescent="0.25">
      <c r="A11045" t="str">
        <f>"151319757176"</f>
        <v>151319757176</v>
      </c>
      <c r="B11045" t="s">
        <v>3652</v>
      </c>
      <c r="C11045" t="s">
        <v>41122</v>
      </c>
      <c r="D11045" t="s">
        <v>41120</v>
      </c>
      <c r="F11045" t="s">
        <v>1</v>
      </c>
      <c r="G11045" t="s">
        <v>2</v>
      </c>
      <c r="H11045" t="s">
        <v>794</v>
      </c>
      <c r="J11045" t="s">
        <v>41121</v>
      </c>
      <c r="P11045" t="s">
        <v>4831</v>
      </c>
      <c r="Y11045" t="s">
        <v>41123</v>
      </c>
    </row>
    <row r="11046" spans="1:25" x14ac:dyDescent="0.25">
      <c r="A11046" t="str">
        <f>"151333582820"</f>
        <v>151333582820</v>
      </c>
      <c r="B11046" t="s">
        <v>18</v>
      </c>
      <c r="C11046" t="s">
        <v>41125</v>
      </c>
      <c r="D11046" t="s">
        <v>41124</v>
      </c>
      <c r="E11046">
        <v>424007</v>
      </c>
      <c r="F11046" t="s">
        <v>1</v>
      </c>
      <c r="G11046" t="s">
        <v>2</v>
      </c>
      <c r="H11046" t="s">
        <v>14570</v>
      </c>
      <c r="J11046" t="s">
        <v>12360</v>
      </c>
      <c r="P11046" t="s">
        <v>152</v>
      </c>
      <c r="Y11046" t="s">
        <v>41126</v>
      </c>
    </row>
    <row r="11047" spans="1:25" x14ac:dyDescent="0.25">
      <c r="A11047" t="str">
        <f>"151342822560"</f>
        <v>151342822560</v>
      </c>
      <c r="B11047" t="s">
        <v>1046</v>
      </c>
      <c r="C11047" t="s">
        <v>37247</v>
      </c>
      <c r="D11047" t="s">
        <v>41127</v>
      </c>
      <c r="E11047">
        <v>424031</v>
      </c>
      <c r="F11047" t="s">
        <v>1</v>
      </c>
      <c r="G11047" t="s">
        <v>2</v>
      </c>
      <c r="H11047" t="s">
        <v>1524</v>
      </c>
      <c r="I11047" t="s">
        <v>41128</v>
      </c>
      <c r="P11047" t="s">
        <v>340</v>
      </c>
      <c r="Y11047" t="s">
        <v>5358</v>
      </c>
    </row>
    <row r="11048" spans="1:25" x14ac:dyDescent="0.25">
      <c r="A11048" t="str">
        <f>"151349208480"</f>
        <v>151349208480</v>
      </c>
      <c r="B11048" t="s">
        <v>25</v>
      </c>
      <c r="C11048" t="s">
        <v>20320</v>
      </c>
      <c r="D11048" t="s">
        <v>41129</v>
      </c>
      <c r="F11048" t="s">
        <v>1</v>
      </c>
      <c r="G11048" t="s">
        <v>2</v>
      </c>
      <c r="H11048" t="s">
        <v>4857</v>
      </c>
      <c r="Y11048" t="s">
        <v>41130</v>
      </c>
    </row>
    <row r="11049" spans="1:25" x14ac:dyDescent="0.25">
      <c r="A11049" t="str">
        <f>"151350208747"</f>
        <v>151350208747</v>
      </c>
      <c r="B11049" t="s">
        <v>96</v>
      </c>
      <c r="C11049" t="s">
        <v>24042</v>
      </c>
      <c r="D11049" t="s">
        <v>24127</v>
      </c>
      <c r="F11049" t="s">
        <v>1</v>
      </c>
      <c r="G11049" t="s">
        <v>2</v>
      </c>
      <c r="H11049" t="s">
        <v>33121</v>
      </c>
      <c r="Y11049" t="s">
        <v>41131</v>
      </c>
    </row>
    <row r="11050" spans="1:25" x14ac:dyDescent="0.25">
      <c r="A11050" t="str">
        <f>"151365702242"</f>
        <v>151365702242</v>
      </c>
      <c r="B11050" t="s">
        <v>1152</v>
      </c>
      <c r="C11050" t="s">
        <v>41135</v>
      </c>
      <c r="D11050" t="s">
        <v>41132</v>
      </c>
      <c r="E11050">
        <v>424031</v>
      </c>
      <c r="F11050" t="s">
        <v>1</v>
      </c>
      <c r="G11050" t="s">
        <v>2</v>
      </c>
      <c r="H11050" t="s">
        <v>1524</v>
      </c>
      <c r="I11050" t="s">
        <v>41133</v>
      </c>
      <c r="J11050" t="s">
        <v>41134</v>
      </c>
      <c r="P11050" t="s">
        <v>280</v>
      </c>
      <c r="Y11050" t="s">
        <v>5358</v>
      </c>
    </row>
    <row r="11051" spans="1:25" x14ac:dyDescent="0.25">
      <c r="A11051" t="str">
        <f>"151387975711"</f>
        <v>151387975711</v>
      </c>
      <c r="B11051" t="s">
        <v>930</v>
      </c>
      <c r="C11051" t="s">
        <v>927</v>
      </c>
      <c r="D11051" t="s">
        <v>927</v>
      </c>
      <c r="E11051">
        <v>424030</v>
      </c>
      <c r="F11051" t="s">
        <v>1</v>
      </c>
      <c r="G11051" t="s">
        <v>2</v>
      </c>
      <c r="H11051" t="s">
        <v>15539</v>
      </c>
      <c r="I11051" t="s">
        <v>41136</v>
      </c>
      <c r="P11051" t="s">
        <v>216</v>
      </c>
      <c r="Y11051" t="s">
        <v>41137</v>
      </c>
    </row>
    <row r="11052" spans="1:25" x14ac:dyDescent="0.25">
      <c r="A11052" t="str">
        <f>"151392867586"</f>
        <v>151392867586</v>
      </c>
      <c r="B11052" t="s">
        <v>1053</v>
      </c>
      <c r="C11052" t="s">
        <v>41140</v>
      </c>
      <c r="D11052" t="s">
        <v>41138</v>
      </c>
      <c r="E11052">
        <v>424038</v>
      </c>
      <c r="F11052" t="s">
        <v>1</v>
      </c>
      <c r="G11052" t="s">
        <v>2</v>
      </c>
      <c r="H11052" t="s">
        <v>386</v>
      </c>
      <c r="J11052" t="s">
        <v>41139</v>
      </c>
      <c r="P11052" t="s">
        <v>4280</v>
      </c>
      <c r="Y11052" t="s">
        <v>391</v>
      </c>
    </row>
    <row r="11053" spans="1:25" x14ac:dyDescent="0.25">
      <c r="A11053" t="str">
        <f>"151392946622"</f>
        <v>151392946622</v>
      </c>
      <c r="B11053" t="s">
        <v>1604</v>
      </c>
      <c r="C11053" t="s">
        <v>2271</v>
      </c>
      <c r="D11053" t="s">
        <v>41141</v>
      </c>
      <c r="E11053">
        <v>424000</v>
      </c>
      <c r="F11053" t="s">
        <v>1</v>
      </c>
      <c r="G11053" t="s">
        <v>2</v>
      </c>
      <c r="H11053" t="s">
        <v>333</v>
      </c>
      <c r="I11053" t="s">
        <v>41142</v>
      </c>
      <c r="P11053" t="s">
        <v>280</v>
      </c>
      <c r="Y11053" t="s">
        <v>335</v>
      </c>
    </row>
    <row r="11054" spans="1:25" x14ac:dyDescent="0.25">
      <c r="A11054" t="str">
        <f>"151395163443"</f>
        <v>151395163443</v>
      </c>
      <c r="B11054" t="s">
        <v>1758</v>
      </c>
      <c r="C11054" t="s">
        <v>8089</v>
      </c>
      <c r="D11054" t="s">
        <v>14187</v>
      </c>
      <c r="F11054" t="s">
        <v>1</v>
      </c>
      <c r="G11054" t="s">
        <v>2</v>
      </c>
      <c r="H11054" t="s">
        <v>34114</v>
      </c>
      <c r="I11054" t="s">
        <v>41143</v>
      </c>
      <c r="J11054" t="s">
        <v>41144</v>
      </c>
      <c r="P11054" t="s">
        <v>41145</v>
      </c>
      <c r="Y11054" t="s">
        <v>41146</v>
      </c>
    </row>
    <row r="11055" spans="1:25" x14ac:dyDescent="0.25">
      <c r="A11055" t="str">
        <f>"151422507755"</f>
        <v>151422507755</v>
      </c>
      <c r="B11055" t="s">
        <v>3544</v>
      </c>
      <c r="C11055" t="s">
        <v>11303</v>
      </c>
      <c r="D11055" t="s">
        <v>23148</v>
      </c>
      <c r="E11055">
        <v>424005</v>
      </c>
      <c r="F11055" t="s">
        <v>1</v>
      </c>
      <c r="G11055" t="s">
        <v>2</v>
      </c>
      <c r="H11055" t="s">
        <v>1310</v>
      </c>
      <c r="Y11055" t="s">
        <v>41147</v>
      </c>
    </row>
    <row r="11056" spans="1:25" x14ac:dyDescent="0.25">
      <c r="A11056" t="str">
        <f>"151433667341"</f>
        <v>151433667341</v>
      </c>
      <c r="B11056" t="s">
        <v>18</v>
      </c>
      <c r="C11056" t="s">
        <v>41150</v>
      </c>
      <c r="D11056" t="s">
        <v>41148</v>
      </c>
      <c r="E11056">
        <v>424000</v>
      </c>
      <c r="F11056" t="s">
        <v>1</v>
      </c>
      <c r="G11056" t="s">
        <v>2</v>
      </c>
      <c r="H11056" t="s">
        <v>9103</v>
      </c>
      <c r="I11056" t="s">
        <v>41149</v>
      </c>
      <c r="P11056" t="s">
        <v>280</v>
      </c>
      <c r="Y11056" t="s">
        <v>41151</v>
      </c>
    </row>
    <row r="11057" spans="1:25" x14ac:dyDescent="0.25">
      <c r="A11057" t="str">
        <f>"151445392397"</f>
        <v>151445392397</v>
      </c>
      <c r="B11057" t="s">
        <v>482</v>
      </c>
      <c r="C11057" t="s">
        <v>4057</v>
      </c>
      <c r="D11057" t="s">
        <v>41152</v>
      </c>
      <c r="E11057">
        <v>424038</v>
      </c>
      <c r="F11057" t="s">
        <v>1</v>
      </c>
      <c r="G11057" t="s">
        <v>2</v>
      </c>
      <c r="H11057" t="s">
        <v>30428</v>
      </c>
      <c r="I11057" t="s">
        <v>41153</v>
      </c>
      <c r="P11057" t="s">
        <v>390</v>
      </c>
      <c r="Y11057" t="s">
        <v>30429</v>
      </c>
    </row>
    <row r="11058" spans="1:25" x14ac:dyDescent="0.25">
      <c r="A11058" t="str">
        <f>"151486013522"</f>
        <v>151486013522</v>
      </c>
      <c r="B11058" t="s">
        <v>25</v>
      </c>
      <c r="C11058" t="s">
        <v>20320</v>
      </c>
      <c r="D11058" t="s">
        <v>41154</v>
      </c>
      <c r="F11058" t="s">
        <v>1</v>
      </c>
      <c r="G11058" t="s">
        <v>2</v>
      </c>
      <c r="H11058" t="s">
        <v>36077</v>
      </c>
      <c r="Y11058" t="s">
        <v>41155</v>
      </c>
    </row>
    <row r="11059" spans="1:25" x14ac:dyDescent="0.25">
      <c r="A11059" t="str">
        <f>"151495772816"</f>
        <v>151495772816</v>
      </c>
      <c r="B11059" t="s">
        <v>2601</v>
      </c>
      <c r="C11059" t="s">
        <v>41158</v>
      </c>
      <c r="D11059" t="s">
        <v>41156</v>
      </c>
      <c r="E11059">
        <v>424019</v>
      </c>
      <c r="F11059" t="s">
        <v>1</v>
      </c>
      <c r="G11059" t="s">
        <v>2</v>
      </c>
      <c r="H11059" t="s">
        <v>15506</v>
      </c>
      <c r="J11059" t="s">
        <v>41157</v>
      </c>
      <c r="P11059" t="s">
        <v>41159</v>
      </c>
      <c r="Y11059" t="s">
        <v>17180</v>
      </c>
    </row>
    <row r="11060" spans="1:25" x14ac:dyDescent="0.25">
      <c r="A11060" t="str">
        <f>"151508479652"</f>
        <v>151508479652</v>
      </c>
      <c r="B11060" t="s">
        <v>1352</v>
      </c>
      <c r="C11060" t="s">
        <v>1353</v>
      </c>
      <c r="D11060" t="s">
        <v>41099</v>
      </c>
      <c r="E11060">
        <v>424000</v>
      </c>
      <c r="F11060" t="s">
        <v>1</v>
      </c>
      <c r="G11060" t="s">
        <v>2</v>
      </c>
      <c r="H11060" t="s">
        <v>1531</v>
      </c>
      <c r="P11060" t="s">
        <v>16184</v>
      </c>
      <c r="Y11060" t="s">
        <v>1707</v>
      </c>
    </row>
    <row r="11061" spans="1:25" x14ac:dyDescent="0.25">
      <c r="A11061" t="str">
        <f>"151511761942"</f>
        <v>151511761942</v>
      </c>
      <c r="B11061" t="s">
        <v>1544</v>
      </c>
      <c r="C11061" t="s">
        <v>24552</v>
      </c>
      <c r="D11061" t="s">
        <v>41160</v>
      </c>
      <c r="E11061">
        <v>424033</v>
      </c>
      <c r="F11061" t="s">
        <v>1</v>
      </c>
      <c r="G11061" t="s">
        <v>2</v>
      </c>
      <c r="H11061" t="s">
        <v>39506</v>
      </c>
      <c r="J11061" t="s">
        <v>41161</v>
      </c>
      <c r="P11061" t="s">
        <v>41162</v>
      </c>
      <c r="V11061" t="s">
        <v>41163</v>
      </c>
      <c r="Y11061" t="s">
        <v>41164</v>
      </c>
    </row>
    <row r="11062" spans="1:25" x14ac:dyDescent="0.25">
      <c r="A11062" t="str">
        <f>"151522759401"</f>
        <v>151522759401</v>
      </c>
      <c r="B11062" t="s">
        <v>574</v>
      </c>
      <c r="C11062" t="s">
        <v>646</v>
      </c>
      <c r="D11062" t="s">
        <v>24036</v>
      </c>
      <c r="E11062">
        <v>424028</v>
      </c>
      <c r="F11062" t="s">
        <v>1</v>
      </c>
      <c r="G11062" t="s">
        <v>2</v>
      </c>
      <c r="H11062" t="s">
        <v>41165</v>
      </c>
      <c r="Y11062" t="s">
        <v>41166</v>
      </c>
    </row>
    <row r="11063" spans="1:25" x14ac:dyDescent="0.25">
      <c r="A11063" t="str">
        <f>"151534755962"</f>
        <v>151534755962</v>
      </c>
      <c r="B11063" t="s">
        <v>703</v>
      </c>
      <c r="C11063" t="s">
        <v>26126</v>
      </c>
      <c r="D11063" t="s">
        <v>41167</v>
      </c>
      <c r="F11063" t="s">
        <v>1</v>
      </c>
      <c r="G11063" t="s">
        <v>2</v>
      </c>
      <c r="H11063" t="s">
        <v>23852</v>
      </c>
      <c r="J11063" t="s">
        <v>37036</v>
      </c>
      <c r="Y11063" t="s">
        <v>24833</v>
      </c>
    </row>
    <row r="11064" spans="1:25" x14ac:dyDescent="0.25">
      <c r="A11064" t="str">
        <f>"151551426167"</f>
        <v>151551426167</v>
      </c>
      <c r="B11064" t="s">
        <v>117</v>
      </c>
      <c r="C11064" t="s">
        <v>118</v>
      </c>
      <c r="D11064" t="s">
        <v>41168</v>
      </c>
      <c r="E11064">
        <v>424006</v>
      </c>
      <c r="F11064" t="s">
        <v>1</v>
      </c>
      <c r="G11064" t="s">
        <v>2</v>
      </c>
      <c r="H11064" t="s">
        <v>5146</v>
      </c>
      <c r="Y11064" t="s">
        <v>41169</v>
      </c>
    </row>
    <row r="11065" spans="1:25" x14ac:dyDescent="0.25">
      <c r="A11065" t="str">
        <f>"151585068694"</f>
        <v>151585068694</v>
      </c>
      <c r="B11065" t="s">
        <v>1573</v>
      </c>
      <c r="C11065" t="s">
        <v>41170</v>
      </c>
      <c r="D11065" t="s">
        <v>4269</v>
      </c>
      <c r="E11065">
        <v>424002</v>
      </c>
      <c r="F11065" t="s">
        <v>1</v>
      </c>
      <c r="G11065" t="s">
        <v>2</v>
      </c>
      <c r="H11065" t="s">
        <v>1950</v>
      </c>
      <c r="P11065" t="s">
        <v>2050</v>
      </c>
      <c r="Y11065" t="s">
        <v>41171</v>
      </c>
    </row>
    <row r="11066" spans="1:25" x14ac:dyDescent="0.25">
      <c r="A11066" t="str">
        <f>"151615360515"</f>
        <v>151615360515</v>
      </c>
      <c r="B11066" t="s">
        <v>4084</v>
      </c>
      <c r="C11066" t="s">
        <v>28282</v>
      </c>
      <c r="D11066" t="s">
        <v>28461</v>
      </c>
      <c r="E11066">
        <v>424002</v>
      </c>
      <c r="F11066" t="s">
        <v>1</v>
      </c>
      <c r="G11066" t="s">
        <v>2</v>
      </c>
      <c r="H11066" t="s">
        <v>4001</v>
      </c>
      <c r="Y11066" t="s">
        <v>25034</v>
      </c>
    </row>
    <row r="11067" spans="1:25" x14ac:dyDescent="0.25">
      <c r="A11067" t="str">
        <f>"151622069772"</f>
        <v>151622069772</v>
      </c>
      <c r="B11067" t="s">
        <v>96</v>
      </c>
      <c r="C11067" t="s">
        <v>41174</v>
      </c>
      <c r="D11067" t="s">
        <v>41172</v>
      </c>
      <c r="E11067">
        <v>424038</v>
      </c>
      <c r="F11067" t="s">
        <v>1</v>
      </c>
      <c r="G11067" t="s">
        <v>2</v>
      </c>
      <c r="H11067" t="s">
        <v>1366</v>
      </c>
      <c r="J11067" t="s">
        <v>41173</v>
      </c>
      <c r="P11067" t="s">
        <v>8994</v>
      </c>
      <c r="V11067" t="s">
        <v>41175</v>
      </c>
      <c r="Y11067" t="s">
        <v>41176</v>
      </c>
    </row>
    <row r="11068" spans="1:25" x14ac:dyDescent="0.25">
      <c r="A11068" t="str">
        <f>"151647082322"</f>
        <v>151647082322</v>
      </c>
      <c r="B11068" t="s">
        <v>2846</v>
      </c>
      <c r="C11068" t="s">
        <v>11032</v>
      </c>
      <c r="D11068" t="s">
        <v>41177</v>
      </c>
      <c r="E11068">
        <v>424006</v>
      </c>
      <c r="F11068" t="s">
        <v>1</v>
      </c>
      <c r="G11068" t="s">
        <v>2</v>
      </c>
      <c r="H11068" t="s">
        <v>41178</v>
      </c>
      <c r="P11068" t="s">
        <v>2050</v>
      </c>
      <c r="V11068" t="s">
        <v>41179</v>
      </c>
      <c r="Y11068" t="s">
        <v>41180</v>
      </c>
    </row>
    <row r="11069" spans="1:25" x14ac:dyDescent="0.25">
      <c r="A11069" t="str">
        <f>"151657638831"</f>
        <v>151657638831</v>
      </c>
      <c r="B11069" t="s">
        <v>574</v>
      </c>
      <c r="C11069" t="s">
        <v>37753</v>
      </c>
      <c r="D11069" t="s">
        <v>41181</v>
      </c>
      <c r="E11069">
        <v>424000</v>
      </c>
      <c r="F11069" t="s">
        <v>1</v>
      </c>
      <c r="G11069" t="s">
        <v>2</v>
      </c>
      <c r="H11069" t="s">
        <v>164</v>
      </c>
      <c r="Y11069" t="s">
        <v>41182</v>
      </c>
    </row>
    <row r="11070" spans="1:25" x14ac:dyDescent="0.25">
      <c r="A11070" t="str">
        <f>"151660868295"</f>
        <v>151660868295</v>
      </c>
      <c r="B11070" t="s">
        <v>1053</v>
      </c>
      <c r="C11070" t="s">
        <v>41183</v>
      </c>
      <c r="D11070" t="s">
        <v>36184</v>
      </c>
      <c r="E11070">
        <v>424002</v>
      </c>
      <c r="F11070" t="s">
        <v>1</v>
      </c>
      <c r="G11070" t="s">
        <v>2</v>
      </c>
      <c r="H11070" t="s">
        <v>5381</v>
      </c>
      <c r="J11070" t="s">
        <v>36185</v>
      </c>
      <c r="L11070" t="s">
        <v>36186</v>
      </c>
      <c r="M11070" t="s">
        <v>36187</v>
      </c>
      <c r="P11070" t="s">
        <v>10285</v>
      </c>
      <c r="Y11070" t="s">
        <v>12659</v>
      </c>
    </row>
    <row r="11071" spans="1:25" x14ac:dyDescent="0.25">
      <c r="A11071" t="str">
        <f>"151671045809"</f>
        <v>151671045809</v>
      </c>
      <c r="B11071" t="s">
        <v>96</v>
      </c>
      <c r="C11071" t="s">
        <v>659</v>
      </c>
      <c r="D11071" t="s">
        <v>34159</v>
      </c>
      <c r="E11071">
        <v>424019</v>
      </c>
      <c r="F11071" t="s">
        <v>1</v>
      </c>
      <c r="G11071" t="s">
        <v>2</v>
      </c>
      <c r="H11071" t="s">
        <v>1467</v>
      </c>
      <c r="Y11071" t="s">
        <v>1630</v>
      </c>
    </row>
    <row r="11072" spans="1:25" x14ac:dyDescent="0.25">
      <c r="A11072" t="str">
        <f>"151699313060"</f>
        <v>151699313060</v>
      </c>
      <c r="B11072" t="s">
        <v>397</v>
      </c>
      <c r="C11072" t="s">
        <v>1432</v>
      </c>
      <c r="D11072" t="s">
        <v>41184</v>
      </c>
      <c r="F11072" t="s">
        <v>1</v>
      </c>
      <c r="G11072" t="s">
        <v>2</v>
      </c>
      <c r="H11072" t="s">
        <v>36194</v>
      </c>
      <c r="I11072" t="s">
        <v>41185</v>
      </c>
      <c r="L11072" t="s">
        <v>41186</v>
      </c>
      <c r="M11072" t="s">
        <v>41187</v>
      </c>
      <c r="P11072" t="s">
        <v>399</v>
      </c>
      <c r="Y11072" t="s">
        <v>41188</v>
      </c>
    </row>
    <row r="11073" spans="1:25" x14ac:dyDescent="0.25">
      <c r="A11073" t="str">
        <f>"151728409402"</f>
        <v>151728409402</v>
      </c>
      <c r="B11073" t="s">
        <v>176</v>
      </c>
      <c r="C11073" t="s">
        <v>4120</v>
      </c>
      <c r="D11073" t="s">
        <v>41189</v>
      </c>
      <c r="E11073">
        <v>424004</v>
      </c>
      <c r="F11073" t="s">
        <v>1</v>
      </c>
      <c r="G11073" t="s">
        <v>2</v>
      </c>
      <c r="H11073" t="s">
        <v>41190</v>
      </c>
      <c r="I11073" t="s">
        <v>41191</v>
      </c>
      <c r="J11073" t="s">
        <v>41192</v>
      </c>
      <c r="P11073" t="s">
        <v>330</v>
      </c>
      <c r="Y11073" t="s">
        <v>41193</v>
      </c>
    </row>
    <row r="11074" spans="1:25" x14ac:dyDescent="0.25">
      <c r="A11074" t="str">
        <f>"151810256242"</f>
        <v>151810256242</v>
      </c>
      <c r="B11074" t="s">
        <v>530</v>
      </c>
      <c r="C11074" t="s">
        <v>23950</v>
      </c>
      <c r="D11074" t="s">
        <v>23950</v>
      </c>
      <c r="E11074">
        <v>424031</v>
      </c>
      <c r="F11074" t="s">
        <v>1</v>
      </c>
      <c r="G11074" t="s">
        <v>2</v>
      </c>
      <c r="H11074" t="s">
        <v>4622</v>
      </c>
      <c r="Y11074" t="s">
        <v>41194</v>
      </c>
    </row>
    <row r="11075" spans="1:25" x14ac:dyDescent="0.25">
      <c r="A11075" t="str">
        <f>"151900747291"</f>
        <v>151900747291</v>
      </c>
      <c r="B11075" t="s">
        <v>25</v>
      </c>
      <c r="C11075" t="s">
        <v>41201</v>
      </c>
      <c r="D11075" t="s">
        <v>41195</v>
      </c>
      <c r="E11075">
        <v>424000</v>
      </c>
      <c r="F11075" t="s">
        <v>1</v>
      </c>
      <c r="G11075" t="s">
        <v>2</v>
      </c>
      <c r="H11075" t="s">
        <v>41196</v>
      </c>
      <c r="I11075" t="s">
        <v>41197</v>
      </c>
      <c r="K11075" t="s">
        <v>41198</v>
      </c>
      <c r="L11075" t="s">
        <v>41199</v>
      </c>
      <c r="M11075" t="s">
        <v>41200</v>
      </c>
      <c r="P11075" t="s">
        <v>20</v>
      </c>
      <c r="Q11075" t="s">
        <v>41202</v>
      </c>
      <c r="R11075" t="s">
        <v>41203</v>
      </c>
      <c r="S11075" t="s">
        <v>41204</v>
      </c>
      <c r="T11075" t="s">
        <v>41205</v>
      </c>
      <c r="V11075" t="s">
        <v>41206</v>
      </c>
      <c r="Y11075" t="s">
        <v>41207</v>
      </c>
    </row>
    <row r="11076" spans="1:25" x14ac:dyDescent="0.25">
      <c r="A11076" t="str">
        <f>"152000014676"</f>
        <v>152000014676</v>
      </c>
      <c r="B11076" t="s">
        <v>25</v>
      </c>
      <c r="C11076" t="s">
        <v>20320</v>
      </c>
      <c r="D11076" t="s">
        <v>41208</v>
      </c>
      <c r="E11076">
        <v>424038</v>
      </c>
      <c r="F11076" t="s">
        <v>1</v>
      </c>
      <c r="G11076" t="s">
        <v>2</v>
      </c>
      <c r="H11076" t="s">
        <v>20397</v>
      </c>
      <c r="Y11076" t="s">
        <v>41209</v>
      </c>
    </row>
    <row r="11077" spans="1:25" x14ac:dyDescent="0.25">
      <c r="A11077" t="str">
        <f>"152017663576"</f>
        <v>152017663576</v>
      </c>
      <c r="B11077" t="s">
        <v>188</v>
      </c>
      <c r="C11077" t="s">
        <v>23982</v>
      </c>
      <c r="D11077" t="s">
        <v>23982</v>
      </c>
      <c r="F11077" t="s">
        <v>1</v>
      </c>
      <c r="G11077" t="s">
        <v>2</v>
      </c>
      <c r="H11077" t="s">
        <v>6353</v>
      </c>
      <c r="Y11077" t="s">
        <v>41210</v>
      </c>
    </row>
    <row r="11078" spans="1:25" x14ac:dyDescent="0.25">
      <c r="A11078" t="str">
        <f>"152049404907"</f>
        <v>152049404907</v>
      </c>
      <c r="B11078" t="s">
        <v>1323</v>
      </c>
      <c r="C11078" t="s">
        <v>1324</v>
      </c>
      <c r="D11078" t="s">
        <v>41211</v>
      </c>
      <c r="E11078">
        <v>424006</v>
      </c>
      <c r="F11078" t="s">
        <v>1</v>
      </c>
      <c r="G11078" t="s">
        <v>2</v>
      </c>
      <c r="H11078" t="s">
        <v>2441</v>
      </c>
      <c r="I11078" t="s">
        <v>41212</v>
      </c>
      <c r="L11078" t="s">
        <v>33103</v>
      </c>
      <c r="M11078" t="s">
        <v>41213</v>
      </c>
      <c r="P11078" t="s">
        <v>6400</v>
      </c>
      <c r="Q11078" t="s">
        <v>33105</v>
      </c>
      <c r="R11078" t="s">
        <v>33106</v>
      </c>
      <c r="S11078" t="s">
        <v>41214</v>
      </c>
      <c r="T11078" t="s">
        <v>41215</v>
      </c>
      <c r="V11078" t="s">
        <v>41216</v>
      </c>
      <c r="Y11078" t="s">
        <v>41217</v>
      </c>
    </row>
    <row r="11079" spans="1:25" x14ac:dyDescent="0.25">
      <c r="A11079" t="str">
        <f>"152058543749"</f>
        <v>152058543749</v>
      </c>
      <c r="B11079" t="s">
        <v>96</v>
      </c>
      <c r="C11079" t="s">
        <v>659</v>
      </c>
      <c r="D11079" t="s">
        <v>41218</v>
      </c>
      <c r="E11079">
        <v>424918</v>
      </c>
      <c r="F11079" t="s">
        <v>1</v>
      </c>
      <c r="G11079" t="s">
        <v>2</v>
      </c>
      <c r="H11079" t="s">
        <v>629</v>
      </c>
      <c r="J11079" t="s">
        <v>41219</v>
      </c>
      <c r="P11079" t="s">
        <v>330</v>
      </c>
      <c r="Y11079" t="s">
        <v>1744</v>
      </c>
    </row>
    <row r="11080" spans="1:25" x14ac:dyDescent="0.25">
      <c r="A11080" t="str">
        <f>"152090325891"</f>
        <v>152090325891</v>
      </c>
      <c r="B11080" t="s">
        <v>1611</v>
      </c>
      <c r="C11080" t="s">
        <v>3218</v>
      </c>
      <c r="D11080" t="s">
        <v>41220</v>
      </c>
      <c r="E11080">
        <v>424037</v>
      </c>
      <c r="F11080" t="s">
        <v>1</v>
      </c>
      <c r="G11080" t="s">
        <v>2</v>
      </c>
      <c r="H11080" t="s">
        <v>15407</v>
      </c>
      <c r="L11080" t="s">
        <v>3217</v>
      </c>
      <c r="Y11080" t="s">
        <v>41221</v>
      </c>
    </row>
    <row r="11081" spans="1:25" x14ac:dyDescent="0.25">
      <c r="A11081" t="str">
        <f>"152116690953"</f>
        <v>152116690953</v>
      </c>
      <c r="B11081" t="s">
        <v>930</v>
      </c>
      <c r="C11081" t="s">
        <v>24879</v>
      </c>
      <c r="D11081" t="s">
        <v>1094</v>
      </c>
      <c r="E11081">
        <v>424039</v>
      </c>
      <c r="F11081" t="s">
        <v>1</v>
      </c>
      <c r="G11081" t="s">
        <v>2</v>
      </c>
      <c r="H11081" t="s">
        <v>41222</v>
      </c>
      <c r="Y11081" t="s">
        <v>41223</v>
      </c>
    </row>
    <row r="11082" spans="1:25" x14ac:dyDescent="0.25">
      <c r="A11082" t="str">
        <f>"152117567453"</f>
        <v>152117567453</v>
      </c>
      <c r="B11082" t="s">
        <v>290</v>
      </c>
      <c r="C11082" t="s">
        <v>290</v>
      </c>
      <c r="D11082" t="s">
        <v>41224</v>
      </c>
      <c r="E11082">
        <v>424032</v>
      </c>
      <c r="F11082" t="s">
        <v>1</v>
      </c>
      <c r="G11082" t="s">
        <v>2</v>
      </c>
      <c r="H11082" t="s">
        <v>31417</v>
      </c>
      <c r="Y11082" t="s">
        <v>41225</v>
      </c>
    </row>
    <row r="11083" spans="1:25" x14ac:dyDescent="0.25">
      <c r="A11083" t="str">
        <f>"152131186840"</f>
        <v>152131186840</v>
      </c>
      <c r="B11083" t="s">
        <v>96</v>
      </c>
      <c r="C11083" t="s">
        <v>15131</v>
      </c>
      <c r="D11083" t="s">
        <v>12083</v>
      </c>
      <c r="E11083">
        <v>424038</v>
      </c>
      <c r="F11083" t="s">
        <v>1</v>
      </c>
      <c r="G11083" t="s">
        <v>2</v>
      </c>
      <c r="H11083" t="s">
        <v>21507</v>
      </c>
      <c r="Y11083" t="s">
        <v>41226</v>
      </c>
    </row>
    <row r="11084" spans="1:25" x14ac:dyDescent="0.25">
      <c r="A11084" t="str">
        <f>"152171422283"</f>
        <v>152171422283</v>
      </c>
      <c r="B11084" t="s">
        <v>2104</v>
      </c>
      <c r="C11084" t="s">
        <v>21175</v>
      </c>
      <c r="D11084" t="s">
        <v>41227</v>
      </c>
      <c r="E11084">
        <v>424031</v>
      </c>
      <c r="F11084" t="s">
        <v>1</v>
      </c>
      <c r="G11084" t="s">
        <v>2</v>
      </c>
      <c r="H11084" t="s">
        <v>3962</v>
      </c>
      <c r="Y11084" t="s">
        <v>41228</v>
      </c>
    </row>
    <row r="11085" spans="1:25" x14ac:dyDescent="0.25">
      <c r="A11085" t="str">
        <f>"152220109574"</f>
        <v>152220109574</v>
      </c>
      <c r="B11085" t="s">
        <v>1544</v>
      </c>
      <c r="C11085" t="s">
        <v>24552</v>
      </c>
      <c r="D11085" t="s">
        <v>41229</v>
      </c>
      <c r="E11085">
        <v>424000</v>
      </c>
      <c r="F11085" t="s">
        <v>1</v>
      </c>
      <c r="G11085" t="s">
        <v>2</v>
      </c>
      <c r="H11085" t="s">
        <v>12303</v>
      </c>
      <c r="I11085" t="s">
        <v>41230</v>
      </c>
      <c r="J11085" t="s">
        <v>41231</v>
      </c>
      <c r="P11085" t="s">
        <v>10039</v>
      </c>
      <c r="Q11085" t="s">
        <v>41232</v>
      </c>
      <c r="V11085" t="s">
        <v>41233</v>
      </c>
      <c r="Y11085" t="s">
        <v>41234</v>
      </c>
    </row>
    <row r="11086" spans="1:25" x14ac:dyDescent="0.25">
      <c r="A11086" t="str">
        <f>"152228530919"</f>
        <v>152228530919</v>
      </c>
      <c r="B11086" t="s">
        <v>32</v>
      </c>
      <c r="C11086" t="s">
        <v>40</v>
      </c>
      <c r="D11086" t="s">
        <v>36367</v>
      </c>
      <c r="F11086" t="s">
        <v>1</v>
      </c>
      <c r="G11086" t="s">
        <v>2</v>
      </c>
      <c r="H11086" t="s">
        <v>27991</v>
      </c>
      <c r="J11086" t="s">
        <v>41235</v>
      </c>
      <c r="Y11086" t="s">
        <v>41236</v>
      </c>
    </row>
    <row r="11087" spans="1:25" x14ac:dyDescent="0.25">
      <c r="A11087" t="str">
        <f>"152332101716"</f>
        <v>152332101716</v>
      </c>
      <c r="B11087" t="s">
        <v>574</v>
      </c>
      <c r="C11087" t="s">
        <v>14269</v>
      </c>
      <c r="D11087" t="s">
        <v>14892</v>
      </c>
      <c r="E11087">
        <v>424028</v>
      </c>
      <c r="F11087" t="s">
        <v>1</v>
      </c>
      <c r="G11087" t="s">
        <v>2</v>
      </c>
      <c r="H11087" t="s">
        <v>3359</v>
      </c>
      <c r="Y11087" t="s">
        <v>15441</v>
      </c>
    </row>
    <row r="11088" spans="1:25" x14ac:dyDescent="0.25">
      <c r="A11088" t="str">
        <f>"152362120663"</f>
        <v>152362120663</v>
      </c>
      <c r="B11088" t="s">
        <v>160</v>
      </c>
      <c r="C11088" t="s">
        <v>2327</v>
      </c>
      <c r="D11088" t="s">
        <v>41237</v>
      </c>
      <c r="E11088">
        <v>424019</v>
      </c>
      <c r="F11088" t="s">
        <v>1</v>
      </c>
      <c r="G11088" t="s">
        <v>2</v>
      </c>
      <c r="H11088" t="s">
        <v>41238</v>
      </c>
      <c r="Y11088" t="s">
        <v>41239</v>
      </c>
    </row>
    <row r="11089" spans="1:25" x14ac:dyDescent="0.25">
      <c r="A11089" t="str">
        <f>"152375434448"</f>
        <v>152375434448</v>
      </c>
      <c r="B11089" t="s">
        <v>284</v>
      </c>
      <c r="C11089" t="s">
        <v>2462</v>
      </c>
      <c r="D11089" t="s">
        <v>41240</v>
      </c>
      <c r="F11089" t="s">
        <v>1</v>
      </c>
      <c r="G11089" t="s">
        <v>2</v>
      </c>
      <c r="H11089" t="s">
        <v>41241</v>
      </c>
      <c r="I11089" t="s">
        <v>41242</v>
      </c>
      <c r="J11089" t="s">
        <v>41243</v>
      </c>
      <c r="P11089" t="s">
        <v>330</v>
      </c>
      <c r="Y11089" t="s">
        <v>41244</v>
      </c>
    </row>
    <row r="11090" spans="1:25" x14ac:dyDescent="0.25">
      <c r="A11090" t="str">
        <f>"152384973599"</f>
        <v>152384973599</v>
      </c>
      <c r="B11090" t="s">
        <v>319</v>
      </c>
      <c r="C11090" t="s">
        <v>320</v>
      </c>
      <c r="D11090" t="s">
        <v>41245</v>
      </c>
      <c r="E11090">
        <v>424019</v>
      </c>
      <c r="F11090" t="s">
        <v>1</v>
      </c>
      <c r="G11090" t="s">
        <v>2</v>
      </c>
      <c r="H11090" t="s">
        <v>12135</v>
      </c>
      <c r="I11090" t="s">
        <v>41246</v>
      </c>
      <c r="M11090" t="s">
        <v>41247</v>
      </c>
      <c r="P11090" t="s">
        <v>2457</v>
      </c>
      <c r="Y11090" t="s">
        <v>41248</v>
      </c>
    </row>
    <row r="11091" spans="1:25" x14ac:dyDescent="0.25">
      <c r="A11091" t="str">
        <f>"152390885064"</f>
        <v>152390885064</v>
      </c>
      <c r="B11091" t="s">
        <v>930</v>
      </c>
      <c r="C11091" t="s">
        <v>24879</v>
      </c>
      <c r="D11091" t="s">
        <v>1094</v>
      </c>
      <c r="E11091">
        <v>424039</v>
      </c>
      <c r="F11091" t="s">
        <v>1</v>
      </c>
      <c r="G11091" t="s">
        <v>2</v>
      </c>
      <c r="H11091" t="s">
        <v>41249</v>
      </c>
      <c r="J11091" t="s">
        <v>41250</v>
      </c>
      <c r="P11091" t="s">
        <v>34</v>
      </c>
      <c r="Y11091" t="s">
        <v>41251</v>
      </c>
    </row>
    <row r="11092" spans="1:25" x14ac:dyDescent="0.25">
      <c r="A11092" t="str">
        <f>"152396120954"</f>
        <v>152396120954</v>
      </c>
      <c r="B11092" t="s">
        <v>1152</v>
      </c>
      <c r="C11092" t="s">
        <v>1385</v>
      </c>
      <c r="D11092" t="s">
        <v>1385</v>
      </c>
      <c r="E11092">
        <v>424007</v>
      </c>
      <c r="F11092" t="s">
        <v>1</v>
      </c>
      <c r="G11092" t="s">
        <v>2</v>
      </c>
      <c r="H11092" t="s">
        <v>11314</v>
      </c>
      <c r="Y11092" t="s">
        <v>41252</v>
      </c>
    </row>
    <row r="11093" spans="1:25" x14ac:dyDescent="0.25">
      <c r="A11093" t="str">
        <f>"152410172158"</f>
        <v>152410172158</v>
      </c>
      <c r="B11093" t="s">
        <v>530</v>
      </c>
      <c r="C11093" t="s">
        <v>23950</v>
      </c>
      <c r="D11093" t="s">
        <v>23950</v>
      </c>
      <c r="E11093">
        <v>424028</v>
      </c>
      <c r="F11093" t="s">
        <v>1</v>
      </c>
      <c r="G11093" t="s">
        <v>2</v>
      </c>
      <c r="H11093" t="s">
        <v>31376</v>
      </c>
      <c r="Y11093" t="s">
        <v>41253</v>
      </c>
    </row>
    <row r="11094" spans="1:25" x14ac:dyDescent="0.25">
      <c r="A11094" t="str">
        <f>"152410594812"</f>
        <v>152410594812</v>
      </c>
      <c r="B11094" t="s">
        <v>176</v>
      </c>
      <c r="C11094" t="s">
        <v>250</v>
      </c>
      <c r="D11094" t="s">
        <v>41254</v>
      </c>
      <c r="E11094">
        <v>424002</v>
      </c>
      <c r="F11094" t="s">
        <v>1</v>
      </c>
      <c r="G11094" t="s">
        <v>2</v>
      </c>
      <c r="H11094" t="s">
        <v>3068</v>
      </c>
      <c r="I11094" t="s">
        <v>41255</v>
      </c>
      <c r="L11094" t="s">
        <v>41256</v>
      </c>
      <c r="M11094" t="s">
        <v>41257</v>
      </c>
      <c r="P11094" t="s">
        <v>4126</v>
      </c>
      <c r="Q11094" t="s">
        <v>41258</v>
      </c>
      <c r="R11094" t="s">
        <v>41259</v>
      </c>
      <c r="S11094" t="s">
        <v>41260</v>
      </c>
      <c r="T11094" t="s">
        <v>41261</v>
      </c>
      <c r="V11094" t="s">
        <v>41262</v>
      </c>
      <c r="Y11094" t="s">
        <v>41263</v>
      </c>
    </row>
    <row r="11095" spans="1:25" x14ac:dyDescent="0.25">
      <c r="A11095" t="str">
        <f>"152413601569"</f>
        <v>152413601569</v>
      </c>
      <c r="B11095" t="s">
        <v>352</v>
      </c>
      <c r="C11095" t="s">
        <v>353</v>
      </c>
      <c r="D11095" t="s">
        <v>41264</v>
      </c>
      <c r="E11095">
        <v>424004</v>
      </c>
      <c r="F11095" t="s">
        <v>1</v>
      </c>
      <c r="G11095" t="s">
        <v>2</v>
      </c>
      <c r="H11095" t="s">
        <v>351</v>
      </c>
      <c r="Y11095" t="s">
        <v>354</v>
      </c>
    </row>
    <row r="11096" spans="1:25" x14ac:dyDescent="0.25">
      <c r="A11096" t="str">
        <f>"152435296088"</f>
        <v>152435296088</v>
      </c>
      <c r="B11096" t="s">
        <v>574</v>
      </c>
      <c r="C11096" t="s">
        <v>23462</v>
      </c>
      <c r="D11096" t="s">
        <v>24693</v>
      </c>
      <c r="E11096">
        <v>424006</v>
      </c>
      <c r="F11096" t="s">
        <v>1</v>
      </c>
      <c r="G11096" t="s">
        <v>2</v>
      </c>
      <c r="H11096" t="s">
        <v>15013</v>
      </c>
      <c r="P11096" t="s">
        <v>799</v>
      </c>
      <c r="Y11096" t="s">
        <v>29282</v>
      </c>
    </row>
    <row r="11097" spans="1:25" x14ac:dyDescent="0.25">
      <c r="A11097" t="str">
        <f>"152469294405"</f>
        <v>152469294405</v>
      </c>
      <c r="B11097" t="s">
        <v>2601</v>
      </c>
      <c r="C11097" t="s">
        <v>23216</v>
      </c>
      <c r="D11097" t="s">
        <v>31596</v>
      </c>
      <c r="E11097">
        <v>424006</v>
      </c>
      <c r="F11097" t="s">
        <v>1</v>
      </c>
      <c r="G11097" t="s">
        <v>2</v>
      </c>
      <c r="H11097" t="s">
        <v>5846</v>
      </c>
      <c r="Y11097" t="s">
        <v>17495</v>
      </c>
    </row>
    <row r="11098" spans="1:25" x14ac:dyDescent="0.25">
      <c r="A11098" t="str">
        <f>"152492284628"</f>
        <v>152492284628</v>
      </c>
      <c r="B11098" t="s">
        <v>930</v>
      </c>
      <c r="C11098" t="s">
        <v>10263</v>
      </c>
      <c r="D11098" t="s">
        <v>10263</v>
      </c>
      <c r="E11098">
        <v>424006</v>
      </c>
      <c r="F11098" t="s">
        <v>1</v>
      </c>
      <c r="G11098" t="s">
        <v>2</v>
      </c>
      <c r="H11098" t="s">
        <v>3104</v>
      </c>
      <c r="I11098" t="s">
        <v>12753</v>
      </c>
      <c r="P11098" t="s">
        <v>330</v>
      </c>
      <c r="Y11098" t="s">
        <v>41265</v>
      </c>
    </row>
    <row r="11099" spans="1:25" x14ac:dyDescent="0.25">
      <c r="A11099" t="str">
        <f>"152543022075"</f>
        <v>152543022075</v>
      </c>
      <c r="B11099" t="s">
        <v>80</v>
      </c>
      <c r="C11099" t="s">
        <v>11414</v>
      </c>
      <c r="D11099" t="s">
        <v>41266</v>
      </c>
      <c r="E11099">
        <v>424003</v>
      </c>
      <c r="F11099" t="s">
        <v>1</v>
      </c>
      <c r="G11099" t="s">
        <v>2</v>
      </c>
      <c r="H11099" t="s">
        <v>1042</v>
      </c>
      <c r="Y11099" t="s">
        <v>11321</v>
      </c>
    </row>
    <row r="11100" spans="1:25" x14ac:dyDescent="0.25">
      <c r="A11100" t="str">
        <f>"152569491698"</f>
        <v>152569491698</v>
      </c>
      <c r="B11100" t="s">
        <v>117</v>
      </c>
      <c r="C11100" t="s">
        <v>873</v>
      </c>
      <c r="D11100" t="s">
        <v>873</v>
      </c>
      <c r="F11100" t="s">
        <v>1</v>
      </c>
      <c r="G11100" t="s">
        <v>2</v>
      </c>
      <c r="H11100" t="s">
        <v>3984</v>
      </c>
      <c r="Y11100" t="s">
        <v>41267</v>
      </c>
    </row>
    <row r="11101" spans="1:25" x14ac:dyDescent="0.25">
      <c r="A11101" t="str">
        <f>"152582824696"</f>
        <v>152582824696</v>
      </c>
      <c r="B11101" t="s">
        <v>430</v>
      </c>
      <c r="C11101" t="s">
        <v>15694</v>
      </c>
      <c r="D11101" t="s">
        <v>41268</v>
      </c>
      <c r="E11101">
        <v>424007</v>
      </c>
      <c r="F11101" t="s">
        <v>1</v>
      </c>
      <c r="G11101" t="s">
        <v>2</v>
      </c>
      <c r="H11101" t="s">
        <v>22705</v>
      </c>
      <c r="J11101" t="s">
        <v>41269</v>
      </c>
      <c r="L11101" t="s">
        <v>41270</v>
      </c>
      <c r="Q11101" t="s">
        <v>41271</v>
      </c>
      <c r="Y11101" t="s">
        <v>26387</v>
      </c>
    </row>
    <row r="11102" spans="1:25" x14ac:dyDescent="0.25">
      <c r="A11102" t="str">
        <f>"152658782220"</f>
        <v>152658782220</v>
      </c>
      <c r="B11102" t="s">
        <v>482</v>
      </c>
      <c r="C11102" t="s">
        <v>23942</v>
      </c>
      <c r="D11102" t="s">
        <v>41272</v>
      </c>
      <c r="E11102">
        <v>424031</v>
      </c>
      <c r="F11102" t="s">
        <v>1</v>
      </c>
      <c r="G11102" t="s">
        <v>2</v>
      </c>
      <c r="H11102" t="s">
        <v>413</v>
      </c>
      <c r="P11102" t="s">
        <v>3379</v>
      </c>
      <c r="Y11102" t="s">
        <v>41273</v>
      </c>
    </row>
    <row r="11103" spans="1:25" x14ac:dyDescent="0.25">
      <c r="A11103" t="str">
        <f>"152671529545"</f>
        <v>152671529545</v>
      </c>
      <c r="B11103" t="s">
        <v>1046</v>
      </c>
      <c r="C11103" t="s">
        <v>22946</v>
      </c>
      <c r="D11103" t="s">
        <v>22946</v>
      </c>
      <c r="E11103">
        <v>424005</v>
      </c>
      <c r="F11103" t="s">
        <v>1</v>
      </c>
      <c r="G11103" t="s">
        <v>2</v>
      </c>
      <c r="H11103" t="s">
        <v>24973</v>
      </c>
      <c r="Y11103" t="s">
        <v>41274</v>
      </c>
    </row>
    <row r="11104" spans="1:25" x14ac:dyDescent="0.25">
      <c r="A11104" t="str">
        <f>"152677343218"</f>
        <v>152677343218</v>
      </c>
      <c r="B11104" t="s">
        <v>930</v>
      </c>
      <c r="C11104" t="s">
        <v>11882</v>
      </c>
      <c r="D11104" t="s">
        <v>1096</v>
      </c>
      <c r="E11104">
        <v>424039</v>
      </c>
      <c r="F11104" t="s">
        <v>1</v>
      </c>
      <c r="G11104" t="s">
        <v>2</v>
      </c>
      <c r="H11104" t="s">
        <v>41275</v>
      </c>
      <c r="J11104" t="s">
        <v>41276</v>
      </c>
      <c r="P11104" t="s">
        <v>41277</v>
      </c>
      <c r="Y11104" t="s">
        <v>41278</v>
      </c>
    </row>
    <row r="11105" spans="1:25" x14ac:dyDescent="0.25">
      <c r="A11105" t="str">
        <f>"152683830893"</f>
        <v>152683830893</v>
      </c>
      <c r="B11105" t="s">
        <v>530</v>
      </c>
      <c r="C11105" t="s">
        <v>23950</v>
      </c>
      <c r="D11105" t="s">
        <v>23950</v>
      </c>
      <c r="F11105" t="s">
        <v>1</v>
      </c>
      <c r="G11105" t="s">
        <v>2</v>
      </c>
      <c r="H11105" t="s">
        <v>35021</v>
      </c>
      <c r="Y11105" t="s">
        <v>41279</v>
      </c>
    </row>
    <row r="11106" spans="1:25" x14ac:dyDescent="0.25">
      <c r="A11106" t="str">
        <f>"152729546225"</f>
        <v>152729546225</v>
      </c>
      <c r="B11106" t="s">
        <v>2601</v>
      </c>
      <c r="C11106" t="s">
        <v>24678</v>
      </c>
      <c r="D11106" t="s">
        <v>41280</v>
      </c>
      <c r="E11106">
        <v>424000</v>
      </c>
      <c r="F11106" t="s">
        <v>1</v>
      </c>
      <c r="G11106" t="s">
        <v>2</v>
      </c>
      <c r="H11106" t="s">
        <v>1531</v>
      </c>
      <c r="I11106" t="s">
        <v>41281</v>
      </c>
      <c r="J11106" t="s">
        <v>41282</v>
      </c>
      <c r="P11106" t="s">
        <v>4487</v>
      </c>
      <c r="Y11106" t="s">
        <v>1707</v>
      </c>
    </row>
    <row r="11107" spans="1:25" x14ac:dyDescent="0.25">
      <c r="A11107" t="str">
        <f>"152743691373"</f>
        <v>152743691373</v>
      </c>
      <c r="B11107" t="s">
        <v>96</v>
      </c>
      <c r="C11107" t="s">
        <v>893</v>
      </c>
      <c r="D11107" t="s">
        <v>41283</v>
      </c>
      <c r="E11107">
        <v>424000</v>
      </c>
      <c r="F11107" t="s">
        <v>1</v>
      </c>
      <c r="G11107" t="s">
        <v>2</v>
      </c>
      <c r="H11107" t="s">
        <v>1806</v>
      </c>
      <c r="Y11107" t="s">
        <v>41284</v>
      </c>
    </row>
    <row r="11108" spans="1:25" x14ac:dyDescent="0.25">
      <c r="A11108" t="str">
        <f>"152743969461"</f>
        <v>152743969461</v>
      </c>
      <c r="B11108" t="s">
        <v>1262</v>
      </c>
      <c r="C11108" t="s">
        <v>3214</v>
      </c>
      <c r="D11108" t="s">
        <v>41285</v>
      </c>
      <c r="E11108">
        <v>424028</v>
      </c>
      <c r="F11108" t="s">
        <v>1</v>
      </c>
      <c r="G11108" t="s">
        <v>2</v>
      </c>
      <c r="H11108" t="s">
        <v>8743</v>
      </c>
      <c r="I11108" t="s">
        <v>41286</v>
      </c>
      <c r="P11108" t="s">
        <v>1071</v>
      </c>
      <c r="Y11108" t="s">
        <v>14234</v>
      </c>
    </row>
    <row r="11109" spans="1:25" x14ac:dyDescent="0.25">
      <c r="A11109" t="str">
        <f>"152786901297"</f>
        <v>152786901297</v>
      </c>
      <c r="B11109" t="s">
        <v>18</v>
      </c>
      <c r="C11109" t="s">
        <v>2100</v>
      </c>
      <c r="D11109" t="s">
        <v>41287</v>
      </c>
      <c r="E11109">
        <v>424006</v>
      </c>
      <c r="F11109" t="s">
        <v>1</v>
      </c>
      <c r="G11109" t="s">
        <v>2</v>
      </c>
      <c r="H11109" t="s">
        <v>41288</v>
      </c>
      <c r="L11109" t="s">
        <v>13043</v>
      </c>
      <c r="M11109" t="s">
        <v>13044</v>
      </c>
      <c r="Y11109" t="s">
        <v>41289</v>
      </c>
    </row>
    <row r="11110" spans="1:25" x14ac:dyDescent="0.25">
      <c r="A11110" t="str">
        <f>"152794870723"</f>
        <v>152794870723</v>
      </c>
      <c r="B11110" t="s">
        <v>930</v>
      </c>
      <c r="C11110" t="s">
        <v>1096</v>
      </c>
      <c r="D11110" t="s">
        <v>20572</v>
      </c>
      <c r="E11110">
        <v>424032</v>
      </c>
      <c r="F11110" t="s">
        <v>1</v>
      </c>
      <c r="G11110" t="s">
        <v>2</v>
      </c>
      <c r="H11110" t="s">
        <v>41290</v>
      </c>
      <c r="I11110" t="s">
        <v>41291</v>
      </c>
      <c r="P11110" t="s">
        <v>36346</v>
      </c>
      <c r="Y11110" t="s">
        <v>41292</v>
      </c>
    </row>
    <row r="11111" spans="1:25" x14ac:dyDescent="0.25">
      <c r="A11111" t="str">
        <f>"152813118481"</f>
        <v>152813118481</v>
      </c>
      <c r="B11111" t="s">
        <v>430</v>
      </c>
      <c r="C11111" t="s">
        <v>41295</v>
      </c>
      <c r="D11111" t="s">
        <v>41293</v>
      </c>
      <c r="E11111">
        <v>424006</v>
      </c>
      <c r="F11111" t="s">
        <v>1</v>
      </c>
      <c r="G11111" t="s">
        <v>2</v>
      </c>
      <c r="H11111" t="s">
        <v>34168</v>
      </c>
      <c r="J11111" t="s">
        <v>41294</v>
      </c>
      <c r="P11111" t="s">
        <v>41296</v>
      </c>
      <c r="Q11111" t="s">
        <v>41297</v>
      </c>
      <c r="V11111" t="s">
        <v>41298</v>
      </c>
      <c r="Y11111" t="s">
        <v>41299</v>
      </c>
    </row>
    <row r="11112" spans="1:25" x14ac:dyDescent="0.25">
      <c r="A11112" t="str">
        <f>"152850503772"</f>
        <v>152850503772</v>
      </c>
      <c r="B11112" t="s">
        <v>110</v>
      </c>
      <c r="C11112" t="s">
        <v>32554</v>
      </c>
      <c r="D11112" t="s">
        <v>41300</v>
      </c>
      <c r="E11112">
        <v>424031</v>
      </c>
      <c r="F11112" t="s">
        <v>1</v>
      </c>
      <c r="G11112" t="s">
        <v>2</v>
      </c>
      <c r="H11112" t="s">
        <v>41301</v>
      </c>
      <c r="I11112" t="s">
        <v>41302</v>
      </c>
      <c r="Y11112" t="s">
        <v>7120</v>
      </c>
    </row>
    <row r="11113" spans="1:25" x14ac:dyDescent="0.25">
      <c r="A11113" t="str">
        <f>"152857324663"</f>
        <v>152857324663</v>
      </c>
      <c r="B11113" t="s">
        <v>574</v>
      </c>
      <c r="C11113" t="s">
        <v>646</v>
      </c>
      <c r="D11113" t="s">
        <v>28599</v>
      </c>
      <c r="E11113">
        <v>424007</v>
      </c>
      <c r="F11113" t="s">
        <v>1</v>
      </c>
      <c r="G11113" t="s">
        <v>2</v>
      </c>
      <c r="H11113" t="s">
        <v>1992</v>
      </c>
      <c r="Y11113" t="s">
        <v>41303</v>
      </c>
    </row>
    <row r="11114" spans="1:25" x14ac:dyDescent="0.25">
      <c r="A11114" t="str">
        <f>"152865534609"</f>
        <v>152865534609</v>
      </c>
      <c r="B11114" t="s">
        <v>2361</v>
      </c>
      <c r="C11114" t="s">
        <v>41308</v>
      </c>
      <c r="D11114" t="s">
        <v>41304</v>
      </c>
      <c r="E11114">
        <v>424003</v>
      </c>
      <c r="F11114" t="s">
        <v>1</v>
      </c>
      <c r="G11114" t="s">
        <v>2</v>
      </c>
      <c r="H11114" t="s">
        <v>248</v>
      </c>
      <c r="I11114" t="s">
        <v>41305</v>
      </c>
      <c r="L11114" t="s">
        <v>41306</v>
      </c>
      <c r="M11114" t="s">
        <v>41307</v>
      </c>
      <c r="P11114" t="s">
        <v>41309</v>
      </c>
      <c r="Q11114" t="s">
        <v>41310</v>
      </c>
      <c r="V11114" t="s">
        <v>41311</v>
      </c>
      <c r="Y11114" t="s">
        <v>41312</v>
      </c>
    </row>
    <row r="11115" spans="1:25" x14ac:dyDescent="0.25">
      <c r="A11115" t="str">
        <f>"152888287130"</f>
        <v>152888287130</v>
      </c>
      <c r="B11115" t="s">
        <v>1352</v>
      </c>
      <c r="C11115" t="s">
        <v>1353</v>
      </c>
      <c r="D11115" t="s">
        <v>41313</v>
      </c>
      <c r="E11115">
        <v>424038</v>
      </c>
      <c r="F11115" t="s">
        <v>1</v>
      </c>
      <c r="G11115" t="s">
        <v>2</v>
      </c>
      <c r="H11115" t="s">
        <v>2614</v>
      </c>
      <c r="I11115" t="s">
        <v>4727</v>
      </c>
      <c r="P11115" t="s">
        <v>9785</v>
      </c>
      <c r="Y11115" t="s">
        <v>41314</v>
      </c>
    </row>
    <row r="11116" spans="1:25" x14ac:dyDescent="0.25">
      <c r="A11116" t="str">
        <f>"152907369911"</f>
        <v>152907369911</v>
      </c>
      <c r="B11116" t="s">
        <v>1352</v>
      </c>
      <c r="C11116" t="s">
        <v>1353</v>
      </c>
      <c r="D11116" t="s">
        <v>27977</v>
      </c>
      <c r="E11116">
        <v>424007</v>
      </c>
      <c r="F11116" t="s">
        <v>1</v>
      </c>
      <c r="G11116" t="s">
        <v>2</v>
      </c>
      <c r="H11116" t="s">
        <v>4411</v>
      </c>
      <c r="Y11116" t="s">
        <v>41315</v>
      </c>
    </row>
    <row r="11117" spans="1:25" x14ac:dyDescent="0.25">
      <c r="A11117" t="str">
        <f>"152914388189"</f>
        <v>152914388189</v>
      </c>
      <c r="B11117" t="s">
        <v>96</v>
      </c>
      <c r="C11117" t="s">
        <v>695</v>
      </c>
      <c r="D11117" t="s">
        <v>38451</v>
      </c>
      <c r="F11117" t="s">
        <v>1</v>
      </c>
      <c r="G11117" t="s">
        <v>2</v>
      </c>
      <c r="H11117" t="s">
        <v>2586</v>
      </c>
      <c r="Y11117" t="s">
        <v>23342</v>
      </c>
    </row>
    <row r="11118" spans="1:25" x14ac:dyDescent="0.25">
      <c r="A11118" t="str">
        <f>"152915360662"</f>
        <v>152915360662</v>
      </c>
      <c r="B11118" t="s">
        <v>930</v>
      </c>
      <c r="C11118" t="s">
        <v>41319</v>
      </c>
      <c r="D11118" t="s">
        <v>41316</v>
      </c>
      <c r="F11118" t="s">
        <v>1</v>
      </c>
      <c r="G11118" t="s">
        <v>2</v>
      </c>
      <c r="H11118" t="s">
        <v>41317</v>
      </c>
      <c r="J11118" t="s">
        <v>41318</v>
      </c>
      <c r="P11118" t="s">
        <v>41320</v>
      </c>
      <c r="Y11118" t="s">
        <v>41321</v>
      </c>
    </row>
    <row r="11119" spans="1:25" x14ac:dyDescent="0.25">
      <c r="A11119" t="str">
        <f>"152961201689"</f>
        <v>152961201689</v>
      </c>
      <c r="B11119" t="s">
        <v>930</v>
      </c>
      <c r="C11119" t="s">
        <v>22039</v>
      </c>
      <c r="D11119" t="s">
        <v>41322</v>
      </c>
      <c r="E11119">
        <v>424913</v>
      </c>
      <c r="F11119" t="s">
        <v>1</v>
      </c>
      <c r="G11119" t="s">
        <v>2</v>
      </c>
      <c r="H11119" t="s">
        <v>22035</v>
      </c>
      <c r="I11119" t="s">
        <v>41323</v>
      </c>
      <c r="P11119" t="s">
        <v>22040</v>
      </c>
      <c r="Q11119" t="s">
        <v>41324</v>
      </c>
      <c r="T11119" t="s">
        <v>41325</v>
      </c>
      <c r="V11119" t="s">
        <v>41326</v>
      </c>
      <c r="Y11119" t="s">
        <v>41327</v>
      </c>
    </row>
    <row r="11120" spans="1:25" x14ac:dyDescent="0.25">
      <c r="A11120" t="str">
        <f>"153057907240"</f>
        <v>153057907240</v>
      </c>
      <c r="B11120" t="s">
        <v>25</v>
      </c>
      <c r="C11120" t="s">
        <v>20320</v>
      </c>
      <c r="D11120" t="s">
        <v>41328</v>
      </c>
      <c r="E11120">
        <v>424037</v>
      </c>
      <c r="F11120" t="s">
        <v>1</v>
      </c>
      <c r="G11120" t="s">
        <v>2</v>
      </c>
      <c r="H11120" t="s">
        <v>18442</v>
      </c>
      <c r="Y11120" t="s">
        <v>41329</v>
      </c>
    </row>
    <row r="11121" spans="1:25" x14ac:dyDescent="0.25">
      <c r="A11121" t="str">
        <f>"153062298073"</f>
        <v>153062298073</v>
      </c>
      <c r="B11121" t="s">
        <v>574</v>
      </c>
      <c r="C11121" t="s">
        <v>14652</v>
      </c>
      <c r="D11121" t="s">
        <v>41330</v>
      </c>
      <c r="E11121">
        <v>424037</v>
      </c>
      <c r="F11121" t="s">
        <v>1</v>
      </c>
      <c r="G11121" t="s">
        <v>2</v>
      </c>
      <c r="H11121" t="s">
        <v>15407</v>
      </c>
      <c r="Y11121" t="s">
        <v>4724</v>
      </c>
    </row>
    <row r="11122" spans="1:25" x14ac:dyDescent="0.25">
      <c r="A11122" t="str">
        <f>"153090879728"</f>
        <v>153090879728</v>
      </c>
      <c r="B11122" t="s">
        <v>1544</v>
      </c>
      <c r="C11122" t="s">
        <v>24552</v>
      </c>
      <c r="D11122" t="s">
        <v>41331</v>
      </c>
      <c r="F11122" t="s">
        <v>1</v>
      </c>
      <c r="G11122" t="s">
        <v>2</v>
      </c>
      <c r="H11122" t="s">
        <v>8464</v>
      </c>
      <c r="P11122" t="s">
        <v>41332</v>
      </c>
      <c r="Q11122" t="s">
        <v>41333</v>
      </c>
      <c r="Y11122" t="s">
        <v>41334</v>
      </c>
    </row>
    <row r="11123" spans="1:25" x14ac:dyDescent="0.25">
      <c r="A11123" t="str">
        <f>"153102206385"</f>
        <v>153102206385</v>
      </c>
      <c r="B11123" t="s">
        <v>2104</v>
      </c>
      <c r="C11123" t="s">
        <v>25543</v>
      </c>
      <c r="D11123" t="s">
        <v>41335</v>
      </c>
      <c r="F11123" t="s">
        <v>1</v>
      </c>
      <c r="G11123" t="s">
        <v>2</v>
      </c>
      <c r="H11123" t="s">
        <v>27403</v>
      </c>
      <c r="Y11123" t="s">
        <v>41336</v>
      </c>
    </row>
    <row r="11124" spans="1:25" x14ac:dyDescent="0.25">
      <c r="A11124" t="str">
        <f>"153122711812"</f>
        <v>153122711812</v>
      </c>
      <c r="B11124" t="s">
        <v>462</v>
      </c>
      <c r="C11124" t="s">
        <v>1140</v>
      </c>
      <c r="D11124" t="s">
        <v>41337</v>
      </c>
      <c r="E11124">
        <v>424004</v>
      </c>
      <c r="F11124" t="s">
        <v>1</v>
      </c>
      <c r="G11124" t="s">
        <v>2</v>
      </c>
      <c r="H11124" t="s">
        <v>41338</v>
      </c>
      <c r="Y11124" t="s">
        <v>2035</v>
      </c>
    </row>
    <row r="11125" spans="1:25" x14ac:dyDescent="0.25">
      <c r="A11125" t="str">
        <f>"153129939817"</f>
        <v>153129939817</v>
      </c>
      <c r="B11125" t="s">
        <v>1343</v>
      </c>
      <c r="C11125" t="s">
        <v>13544</v>
      </c>
      <c r="D11125" t="s">
        <v>34165</v>
      </c>
      <c r="E11125">
        <v>424007</v>
      </c>
      <c r="F11125" t="s">
        <v>1</v>
      </c>
      <c r="G11125" t="s">
        <v>2</v>
      </c>
      <c r="H11125" t="s">
        <v>30559</v>
      </c>
      <c r="Y11125" t="s">
        <v>41339</v>
      </c>
    </row>
    <row r="11126" spans="1:25" x14ac:dyDescent="0.25">
      <c r="A11126" t="str">
        <f>"153134943868"</f>
        <v>153134943868</v>
      </c>
      <c r="B11126" t="s">
        <v>188</v>
      </c>
      <c r="C11126" t="s">
        <v>41343</v>
      </c>
      <c r="D11126" t="s">
        <v>30093</v>
      </c>
      <c r="E11126">
        <v>424000</v>
      </c>
      <c r="F11126" t="s">
        <v>1</v>
      </c>
      <c r="G11126" t="s">
        <v>2</v>
      </c>
      <c r="H11126" t="s">
        <v>1531</v>
      </c>
      <c r="J11126" t="s">
        <v>41340</v>
      </c>
      <c r="L11126" t="s">
        <v>41341</v>
      </c>
      <c r="M11126" t="s">
        <v>41342</v>
      </c>
      <c r="P11126" t="s">
        <v>6837</v>
      </c>
      <c r="Q11126" t="s">
        <v>41344</v>
      </c>
      <c r="Y11126" t="s">
        <v>41345</v>
      </c>
    </row>
    <row r="11127" spans="1:25" x14ac:dyDescent="0.25">
      <c r="A11127" t="str">
        <f>"153177117542"</f>
        <v>153177117542</v>
      </c>
      <c r="B11127" t="s">
        <v>1182</v>
      </c>
      <c r="C11127" t="s">
        <v>6011</v>
      </c>
      <c r="D11127" t="s">
        <v>41346</v>
      </c>
      <c r="E11127">
        <v>424008</v>
      </c>
      <c r="F11127" t="s">
        <v>1</v>
      </c>
      <c r="G11127" t="s">
        <v>2</v>
      </c>
      <c r="H11127" t="s">
        <v>1012</v>
      </c>
      <c r="I11127" t="s">
        <v>41347</v>
      </c>
      <c r="L11127" t="s">
        <v>41348</v>
      </c>
      <c r="M11127" t="s">
        <v>41349</v>
      </c>
      <c r="P11127" t="s">
        <v>20</v>
      </c>
      <c r="Y11127" t="s">
        <v>1016</v>
      </c>
    </row>
    <row r="11128" spans="1:25" x14ac:dyDescent="0.25">
      <c r="A11128" t="str">
        <f>"153184038684"</f>
        <v>153184038684</v>
      </c>
      <c r="B11128" t="s">
        <v>930</v>
      </c>
      <c r="C11128" t="s">
        <v>33471</v>
      </c>
      <c r="D11128" t="s">
        <v>41350</v>
      </c>
      <c r="F11128" t="s">
        <v>1</v>
      </c>
      <c r="G11128" t="s">
        <v>2</v>
      </c>
      <c r="H11128" t="s">
        <v>21972</v>
      </c>
      <c r="I11128" t="s">
        <v>41351</v>
      </c>
      <c r="J11128" t="s">
        <v>41352</v>
      </c>
      <c r="P11128" t="s">
        <v>1160</v>
      </c>
      <c r="Q11128" t="s">
        <v>41353</v>
      </c>
      <c r="Y11128" t="s">
        <v>41354</v>
      </c>
    </row>
    <row r="11129" spans="1:25" x14ac:dyDescent="0.25">
      <c r="A11129" t="str">
        <f>"153202859968"</f>
        <v>153202859968</v>
      </c>
      <c r="B11129" t="s">
        <v>654</v>
      </c>
      <c r="C11129" t="s">
        <v>2195</v>
      </c>
      <c r="D11129" t="s">
        <v>41355</v>
      </c>
      <c r="E11129">
        <v>424037</v>
      </c>
      <c r="F11129" t="s">
        <v>1</v>
      </c>
      <c r="G11129" t="s">
        <v>2</v>
      </c>
      <c r="H11129" t="s">
        <v>41356</v>
      </c>
      <c r="J11129" t="s">
        <v>41357</v>
      </c>
      <c r="P11129" t="s">
        <v>330</v>
      </c>
      <c r="Y11129" t="s">
        <v>41358</v>
      </c>
    </row>
    <row r="11130" spans="1:25" x14ac:dyDescent="0.25">
      <c r="A11130" t="str">
        <f>"153231119561"</f>
        <v>153231119561</v>
      </c>
      <c r="B11130" t="s">
        <v>530</v>
      </c>
      <c r="C11130" t="s">
        <v>23950</v>
      </c>
      <c r="D11130" t="s">
        <v>23950</v>
      </c>
      <c r="F11130" t="s">
        <v>1</v>
      </c>
      <c r="G11130" t="s">
        <v>2</v>
      </c>
      <c r="H11130" t="s">
        <v>3021</v>
      </c>
      <c r="Y11130" t="s">
        <v>41359</v>
      </c>
    </row>
    <row r="11131" spans="1:25" x14ac:dyDescent="0.25">
      <c r="A11131" t="str">
        <f>"153242067325"</f>
        <v>153242067325</v>
      </c>
      <c r="B11131" t="s">
        <v>1729</v>
      </c>
      <c r="C11131" t="s">
        <v>2992</v>
      </c>
      <c r="D11131" t="s">
        <v>41360</v>
      </c>
      <c r="E11131">
        <v>424006</v>
      </c>
      <c r="F11131" t="s">
        <v>1</v>
      </c>
      <c r="G11131" t="s">
        <v>2</v>
      </c>
      <c r="H11131" t="s">
        <v>3033</v>
      </c>
      <c r="I11131" t="s">
        <v>41361</v>
      </c>
      <c r="Y11131" t="s">
        <v>3035</v>
      </c>
    </row>
    <row r="11132" spans="1:25" x14ac:dyDescent="0.25">
      <c r="A11132" t="str">
        <f>"153292081591"</f>
        <v>153292081591</v>
      </c>
      <c r="B11132" t="s">
        <v>930</v>
      </c>
      <c r="C11132" t="s">
        <v>41365</v>
      </c>
      <c r="D11132" t="s">
        <v>41362</v>
      </c>
      <c r="E11132">
        <v>424005</v>
      </c>
      <c r="F11132" t="s">
        <v>1</v>
      </c>
      <c r="G11132" t="s">
        <v>2</v>
      </c>
      <c r="H11132" t="s">
        <v>17184</v>
      </c>
      <c r="J11132" t="s">
        <v>41363</v>
      </c>
      <c r="M11132" t="s">
        <v>41364</v>
      </c>
      <c r="P11132" t="s">
        <v>41366</v>
      </c>
      <c r="V11132" t="s">
        <v>41367</v>
      </c>
      <c r="Y11132" t="s">
        <v>41368</v>
      </c>
    </row>
    <row r="11133" spans="1:25" x14ac:dyDescent="0.25">
      <c r="A11133" t="str">
        <f>"153353872971"</f>
        <v>153353872971</v>
      </c>
      <c r="B11133" t="s">
        <v>176</v>
      </c>
      <c r="C11133" t="s">
        <v>566</v>
      </c>
      <c r="D11133" t="s">
        <v>41369</v>
      </c>
      <c r="E11133">
        <v>424037</v>
      </c>
      <c r="F11133" t="s">
        <v>1</v>
      </c>
      <c r="G11133" t="s">
        <v>2</v>
      </c>
      <c r="H11133" t="s">
        <v>41370</v>
      </c>
      <c r="J11133" t="s">
        <v>41371</v>
      </c>
      <c r="Y11133" t="s">
        <v>41372</v>
      </c>
    </row>
    <row r="11134" spans="1:25" x14ac:dyDescent="0.25">
      <c r="A11134" t="str">
        <f>"153390598397"</f>
        <v>153390598397</v>
      </c>
      <c r="B11134" t="s">
        <v>574</v>
      </c>
      <c r="C11134" t="s">
        <v>646</v>
      </c>
      <c r="D11134" t="s">
        <v>41373</v>
      </c>
      <c r="E11134">
        <v>424039</v>
      </c>
      <c r="F11134" t="s">
        <v>1</v>
      </c>
      <c r="G11134" t="s">
        <v>2</v>
      </c>
      <c r="H11134" t="s">
        <v>10036</v>
      </c>
      <c r="Y11134" t="s">
        <v>41374</v>
      </c>
    </row>
    <row r="11135" spans="1:25" x14ac:dyDescent="0.25">
      <c r="A11135" t="str">
        <f>"153397221365"</f>
        <v>153397221365</v>
      </c>
      <c r="B11135" t="s">
        <v>681</v>
      </c>
      <c r="C11135" t="s">
        <v>4477</v>
      </c>
      <c r="D11135" t="s">
        <v>41375</v>
      </c>
      <c r="E11135">
        <v>424006</v>
      </c>
      <c r="F11135" t="s">
        <v>1</v>
      </c>
      <c r="G11135" t="s">
        <v>2</v>
      </c>
      <c r="H11135" t="s">
        <v>8622</v>
      </c>
      <c r="I11135" t="s">
        <v>41376</v>
      </c>
      <c r="L11135" t="s">
        <v>41377</v>
      </c>
      <c r="M11135" t="s">
        <v>41378</v>
      </c>
      <c r="Y11135" t="s">
        <v>8866</v>
      </c>
    </row>
    <row r="11136" spans="1:25" x14ac:dyDescent="0.25">
      <c r="A11136" t="str">
        <f>"153413586270"</f>
        <v>153413586270</v>
      </c>
      <c r="B11136" t="s">
        <v>25</v>
      </c>
      <c r="C11136" t="s">
        <v>59</v>
      </c>
      <c r="D11136" t="s">
        <v>41379</v>
      </c>
      <c r="E11136">
        <v>424038</v>
      </c>
      <c r="F11136" t="s">
        <v>1</v>
      </c>
      <c r="G11136" t="s">
        <v>2</v>
      </c>
      <c r="H11136" t="s">
        <v>5779</v>
      </c>
      <c r="Y11136" t="s">
        <v>5780</v>
      </c>
    </row>
    <row r="11137" spans="1:25" x14ac:dyDescent="0.25">
      <c r="A11137" t="str">
        <f>"153487761653"</f>
        <v>153487761653</v>
      </c>
      <c r="B11137" t="s">
        <v>1152</v>
      </c>
      <c r="C11137" t="s">
        <v>1153</v>
      </c>
      <c r="D11137" t="s">
        <v>10280</v>
      </c>
      <c r="E11137">
        <v>424032</v>
      </c>
      <c r="F11137" t="s">
        <v>1</v>
      </c>
      <c r="G11137" t="s">
        <v>2</v>
      </c>
      <c r="H11137" t="s">
        <v>41380</v>
      </c>
      <c r="Y11137" t="s">
        <v>41381</v>
      </c>
    </row>
    <row r="11138" spans="1:25" x14ac:dyDescent="0.25">
      <c r="A11138" t="str">
        <f>"153610508103"</f>
        <v>153610508103</v>
      </c>
      <c r="B11138" t="s">
        <v>430</v>
      </c>
      <c r="C11138" t="s">
        <v>10138</v>
      </c>
      <c r="D11138" t="s">
        <v>41382</v>
      </c>
      <c r="E11138">
        <v>424004</v>
      </c>
      <c r="F11138" t="s">
        <v>1</v>
      </c>
      <c r="G11138" t="s">
        <v>2</v>
      </c>
      <c r="H11138" t="s">
        <v>906</v>
      </c>
      <c r="L11138" t="s">
        <v>41383</v>
      </c>
      <c r="M11138" t="s">
        <v>41384</v>
      </c>
      <c r="P11138" t="s">
        <v>9003</v>
      </c>
      <c r="Y11138" t="s">
        <v>41385</v>
      </c>
    </row>
    <row r="11139" spans="1:25" x14ac:dyDescent="0.25">
      <c r="A11139" t="str">
        <f>"153613823717"</f>
        <v>153613823717</v>
      </c>
      <c r="B11139" t="s">
        <v>18</v>
      </c>
      <c r="C11139" t="s">
        <v>964</v>
      </c>
      <c r="D11139" t="s">
        <v>41386</v>
      </c>
      <c r="E11139">
        <v>424007</v>
      </c>
      <c r="F11139" t="s">
        <v>1</v>
      </c>
      <c r="G11139" t="s">
        <v>2</v>
      </c>
      <c r="H11139" t="s">
        <v>1389</v>
      </c>
      <c r="I11139" t="s">
        <v>41387</v>
      </c>
      <c r="P11139" t="s">
        <v>20</v>
      </c>
      <c r="Y11139" t="s">
        <v>41388</v>
      </c>
    </row>
    <row r="11140" spans="1:25" x14ac:dyDescent="0.25">
      <c r="A11140" t="str">
        <f>"153658567957"</f>
        <v>153658567957</v>
      </c>
      <c r="B11140" t="s">
        <v>2601</v>
      </c>
      <c r="C11140" t="s">
        <v>5375</v>
      </c>
      <c r="D11140" t="s">
        <v>26709</v>
      </c>
      <c r="E11140">
        <v>424033</v>
      </c>
      <c r="F11140" t="s">
        <v>1</v>
      </c>
      <c r="G11140" t="s">
        <v>2</v>
      </c>
      <c r="H11140" t="s">
        <v>2597</v>
      </c>
      <c r="I11140" t="s">
        <v>26711</v>
      </c>
      <c r="P11140" t="s">
        <v>1027</v>
      </c>
      <c r="Y11140" t="s">
        <v>2718</v>
      </c>
    </row>
    <row r="11141" spans="1:25" x14ac:dyDescent="0.25">
      <c r="A11141" t="str">
        <f>"153673187022"</f>
        <v>153673187022</v>
      </c>
      <c r="B11141" t="s">
        <v>224</v>
      </c>
      <c r="C11141" t="s">
        <v>41392</v>
      </c>
      <c r="D11141" t="s">
        <v>41389</v>
      </c>
      <c r="F11141" t="s">
        <v>1</v>
      </c>
      <c r="G11141" t="s">
        <v>2</v>
      </c>
      <c r="H11141" t="s">
        <v>41390</v>
      </c>
      <c r="I11141" t="s">
        <v>41391</v>
      </c>
      <c r="P11141" t="s">
        <v>280</v>
      </c>
      <c r="Y11141" t="s">
        <v>41393</v>
      </c>
    </row>
    <row r="11142" spans="1:25" x14ac:dyDescent="0.25">
      <c r="A11142" t="str">
        <f>"153685678504"</f>
        <v>153685678504</v>
      </c>
      <c r="B11142" t="s">
        <v>25</v>
      </c>
      <c r="C11142" t="s">
        <v>20320</v>
      </c>
      <c r="D11142" t="s">
        <v>41394</v>
      </c>
      <c r="E11142">
        <v>424006</v>
      </c>
      <c r="F11142" t="s">
        <v>1</v>
      </c>
      <c r="G11142" t="s">
        <v>2</v>
      </c>
      <c r="H11142" t="s">
        <v>1483</v>
      </c>
      <c r="Y11142" t="s">
        <v>41395</v>
      </c>
    </row>
    <row r="11143" spans="1:25" x14ac:dyDescent="0.25">
      <c r="A11143" t="str">
        <f>"153706289204"</f>
        <v>153706289204</v>
      </c>
      <c r="B11143" t="s">
        <v>18</v>
      </c>
      <c r="C11143" t="s">
        <v>959</v>
      </c>
      <c r="D11143" t="s">
        <v>41396</v>
      </c>
      <c r="E11143">
        <v>424007</v>
      </c>
      <c r="F11143" t="s">
        <v>1</v>
      </c>
      <c r="G11143" t="s">
        <v>2</v>
      </c>
      <c r="H11143" t="s">
        <v>14490</v>
      </c>
      <c r="I11143" t="s">
        <v>41397</v>
      </c>
      <c r="J11143" t="s">
        <v>41398</v>
      </c>
      <c r="L11143" t="s">
        <v>41399</v>
      </c>
      <c r="M11143" t="s">
        <v>41400</v>
      </c>
      <c r="P11143" t="s">
        <v>20</v>
      </c>
      <c r="Y11143" t="s">
        <v>14493</v>
      </c>
    </row>
    <row r="11144" spans="1:25" x14ac:dyDescent="0.25">
      <c r="A11144" t="str">
        <f>"153758194237"</f>
        <v>153758194237</v>
      </c>
      <c r="B11144" t="s">
        <v>790</v>
      </c>
      <c r="C11144" t="s">
        <v>4693</v>
      </c>
      <c r="D11144" t="s">
        <v>41401</v>
      </c>
      <c r="E11144">
        <v>430005</v>
      </c>
      <c r="F11144" t="s">
        <v>1</v>
      </c>
      <c r="G11144" t="s">
        <v>2</v>
      </c>
      <c r="H11144" t="s">
        <v>41402</v>
      </c>
      <c r="J11144" t="s">
        <v>41403</v>
      </c>
      <c r="Y11144" t="s">
        <v>7838</v>
      </c>
    </row>
    <row r="11145" spans="1:25" x14ac:dyDescent="0.25">
      <c r="A11145" t="str">
        <f>"153796394260"</f>
        <v>153796394260</v>
      </c>
      <c r="B11145" t="s">
        <v>3008</v>
      </c>
      <c r="C11145" t="s">
        <v>15744</v>
      </c>
      <c r="D11145" t="s">
        <v>41404</v>
      </c>
      <c r="E11145">
        <v>424037</v>
      </c>
      <c r="F11145" t="s">
        <v>1</v>
      </c>
      <c r="G11145" t="s">
        <v>2</v>
      </c>
      <c r="H11145" t="s">
        <v>41405</v>
      </c>
      <c r="I11145" t="s">
        <v>41406</v>
      </c>
      <c r="J11145" t="s">
        <v>41407</v>
      </c>
      <c r="P11145" t="s">
        <v>26325</v>
      </c>
      <c r="Y11145" t="s">
        <v>25751</v>
      </c>
    </row>
    <row r="11146" spans="1:25" x14ac:dyDescent="0.25">
      <c r="A11146" t="str">
        <f>"153796628423"</f>
        <v>153796628423</v>
      </c>
      <c r="B11146" t="s">
        <v>96</v>
      </c>
      <c r="C11146" t="s">
        <v>659</v>
      </c>
      <c r="D11146" t="s">
        <v>41408</v>
      </c>
      <c r="E11146">
        <v>424002</v>
      </c>
      <c r="F11146" t="s">
        <v>1</v>
      </c>
      <c r="G11146" t="s">
        <v>2</v>
      </c>
      <c r="H11146" t="s">
        <v>11341</v>
      </c>
      <c r="Y11146" t="s">
        <v>41409</v>
      </c>
    </row>
    <row r="11147" spans="1:25" x14ac:dyDescent="0.25">
      <c r="A11147" t="str">
        <f>"153837211465"</f>
        <v>153837211465</v>
      </c>
      <c r="B11147" t="s">
        <v>88</v>
      </c>
      <c r="C11147" t="s">
        <v>6066</v>
      </c>
      <c r="D11147" t="s">
        <v>41410</v>
      </c>
      <c r="E11147">
        <v>424918</v>
      </c>
      <c r="F11147" t="s">
        <v>1</v>
      </c>
      <c r="G11147" t="s">
        <v>2</v>
      </c>
      <c r="H11147" t="s">
        <v>629</v>
      </c>
      <c r="J11147" t="s">
        <v>41411</v>
      </c>
      <c r="P11147" t="s">
        <v>630</v>
      </c>
      <c r="Y11147" t="s">
        <v>41412</v>
      </c>
    </row>
    <row r="11148" spans="1:25" x14ac:dyDescent="0.25">
      <c r="A11148" t="str">
        <f>"153889050710"</f>
        <v>153889050710</v>
      </c>
      <c r="B11148" t="s">
        <v>930</v>
      </c>
      <c r="C11148" t="s">
        <v>1096</v>
      </c>
      <c r="D11148" t="s">
        <v>41413</v>
      </c>
      <c r="F11148" t="s">
        <v>1</v>
      </c>
      <c r="G11148" t="s">
        <v>2</v>
      </c>
      <c r="H11148" t="s">
        <v>684</v>
      </c>
      <c r="J11148" t="s">
        <v>28811</v>
      </c>
      <c r="P11148" t="s">
        <v>280</v>
      </c>
      <c r="Y11148" t="s">
        <v>41414</v>
      </c>
    </row>
    <row r="11149" spans="1:25" x14ac:dyDescent="0.25">
      <c r="A11149" t="str">
        <f>"153894867226"</f>
        <v>153894867226</v>
      </c>
      <c r="B11149" t="s">
        <v>25</v>
      </c>
      <c r="C11149" t="s">
        <v>20320</v>
      </c>
      <c r="D11149" t="s">
        <v>41415</v>
      </c>
      <c r="E11149">
        <v>424007</v>
      </c>
      <c r="F11149" t="s">
        <v>1</v>
      </c>
      <c r="G11149" t="s">
        <v>2</v>
      </c>
      <c r="H11149" t="s">
        <v>11607</v>
      </c>
      <c r="J11149" t="s">
        <v>27350</v>
      </c>
      <c r="M11149" t="s">
        <v>27351</v>
      </c>
      <c r="P11149" t="s">
        <v>330</v>
      </c>
      <c r="Q11149" t="s">
        <v>28550</v>
      </c>
      <c r="Y11149" t="s">
        <v>12398</v>
      </c>
    </row>
    <row r="11150" spans="1:25" x14ac:dyDescent="0.25">
      <c r="A11150" t="str">
        <f>"153918199807"</f>
        <v>153918199807</v>
      </c>
      <c r="B11150" t="s">
        <v>117</v>
      </c>
      <c r="C11150" t="s">
        <v>118</v>
      </c>
      <c r="D11150" t="s">
        <v>41416</v>
      </c>
      <c r="F11150" t="s">
        <v>1</v>
      </c>
      <c r="G11150" t="s">
        <v>2</v>
      </c>
      <c r="H11150" t="s">
        <v>28650</v>
      </c>
      <c r="Y11150" t="s">
        <v>41417</v>
      </c>
    </row>
    <row r="11151" spans="1:25" x14ac:dyDescent="0.25">
      <c r="A11151" t="str">
        <f>"153970192871"</f>
        <v>153970192871</v>
      </c>
      <c r="B11151" t="s">
        <v>654</v>
      </c>
      <c r="C11151" t="s">
        <v>41421</v>
      </c>
      <c r="D11151" t="s">
        <v>41418</v>
      </c>
      <c r="E11151">
        <v>424016</v>
      </c>
      <c r="F11151" t="s">
        <v>1</v>
      </c>
      <c r="G11151" t="s">
        <v>2</v>
      </c>
      <c r="H11151" t="s">
        <v>848</v>
      </c>
      <c r="J11151" t="s">
        <v>41419</v>
      </c>
      <c r="L11151" t="s">
        <v>41420</v>
      </c>
      <c r="Y11151" t="s">
        <v>855</v>
      </c>
    </row>
    <row r="11152" spans="1:25" x14ac:dyDescent="0.25">
      <c r="A11152" t="str">
        <f>"153970954002"</f>
        <v>153970954002</v>
      </c>
      <c r="B11152" t="s">
        <v>797</v>
      </c>
      <c r="C11152" t="s">
        <v>41425</v>
      </c>
      <c r="D11152" t="s">
        <v>41422</v>
      </c>
      <c r="E11152">
        <v>424039</v>
      </c>
      <c r="F11152" t="s">
        <v>1</v>
      </c>
      <c r="G11152" t="s">
        <v>2</v>
      </c>
      <c r="H11152" t="s">
        <v>24327</v>
      </c>
      <c r="L11152" t="s">
        <v>41423</v>
      </c>
      <c r="M11152" t="s">
        <v>41424</v>
      </c>
      <c r="P11152" t="s">
        <v>27</v>
      </c>
      <c r="Y11152" t="s">
        <v>41426</v>
      </c>
    </row>
    <row r="11153" spans="1:25" x14ac:dyDescent="0.25">
      <c r="A11153" t="str">
        <f>"153987736215"</f>
        <v>153987736215</v>
      </c>
      <c r="B11153" t="s">
        <v>319</v>
      </c>
      <c r="C11153" t="s">
        <v>320</v>
      </c>
      <c r="D11153" t="s">
        <v>41427</v>
      </c>
      <c r="E11153">
        <v>424007</v>
      </c>
      <c r="F11153" t="s">
        <v>1</v>
      </c>
      <c r="G11153" t="s">
        <v>2</v>
      </c>
      <c r="H11153" t="s">
        <v>5178</v>
      </c>
      <c r="P11153" t="s">
        <v>2457</v>
      </c>
      <c r="Y11153" t="s">
        <v>26052</v>
      </c>
    </row>
    <row r="11154" spans="1:25" x14ac:dyDescent="0.25">
      <c r="A11154" t="str">
        <f>"154029393616"</f>
        <v>154029393616</v>
      </c>
      <c r="B11154" t="s">
        <v>32</v>
      </c>
      <c r="C11154" t="s">
        <v>20137</v>
      </c>
      <c r="D11154" t="s">
        <v>20137</v>
      </c>
      <c r="E11154">
        <v>424020</v>
      </c>
      <c r="F11154" t="s">
        <v>1</v>
      </c>
      <c r="G11154" t="s">
        <v>2</v>
      </c>
      <c r="H11154" t="s">
        <v>7063</v>
      </c>
      <c r="P11154" t="s">
        <v>41428</v>
      </c>
      <c r="Y11154" t="s">
        <v>41429</v>
      </c>
    </row>
    <row r="11155" spans="1:25" x14ac:dyDescent="0.25">
      <c r="A11155" t="str">
        <f>"154048783142"</f>
        <v>154048783142</v>
      </c>
      <c r="B11155" t="s">
        <v>188</v>
      </c>
      <c r="C11155" t="s">
        <v>24568</v>
      </c>
      <c r="D11155" t="s">
        <v>24568</v>
      </c>
      <c r="E11155">
        <v>424038</v>
      </c>
      <c r="F11155" t="s">
        <v>1</v>
      </c>
      <c r="G11155" t="s">
        <v>2</v>
      </c>
      <c r="H11155" t="s">
        <v>7597</v>
      </c>
      <c r="P11155" t="s">
        <v>10285</v>
      </c>
      <c r="Y11155" t="s">
        <v>41430</v>
      </c>
    </row>
    <row r="11156" spans="1:25" x14ac:dyDescent="0.25">
      <c r="A11156" t="str">
        <f>"154076799541"</f>
        <v>154076799541</v>
      </c>
      <c r="B11156" t="s">
        <v>7</v>
      </c>
      <c r="C11156" t="s">
        <v>8238</v>
      </c>
      <c r="D11156" t="s">
        <v>32470</v>
      </c>
      <c r="E11156">
        <v>424003</v>
      </c>
      <c r="F11156" t="s">
        <v>1</v>
      </c>
      <c r="G11156" t="s">
        <v>2</v>
      </c>
      <c r="H11156" t="s">
        <v>562</v>
      </c>
      <c r="I11156" t="s">
        <v>41431</v>
      </c>
      <c r="Y11156" t="s">
        <v>14209</v>
      </c>
    </row>
    <row r="11157" spans="1:25" x14ac:dyDescent="0.25">
      <c r="A11157" t="str">
        <f>"154102954736"</f>
        <v>154102954736</v>
      </c>
      <c r="B11157" t="s">
        <v>930</v>
      </c>
      <c r="C11157" t="s">
        <v>1096</v>
      </c>
      <c r="D11157" t="s">
        <v>41432</v>
      </c>
      <c r="E11157">
        <v>424037</v>
      </c>
      <c r="F11157" t="s">
        <v>1</v>
      </c>
      <c r="G11157" t="s">
        <v>2</v>
      </c>
      <c r="H11157" t="s">
        <v>41433</v>
      </c>
      <c r="J11157" t="s">
        <v>41434</v>
      </c>
      <c r="L11157" t="s">
        <v>41435</v>
      </c>
      <c r="P11157" t="s">
        <v>5649</v>
      </c>
      <c r="Q11157" t="s">
        <v>41436</v>
      </c>
      <c r="V11157" t="s">
        <v>41437</v>
      </c>
      <c r="Y11157" t="s">
        <v>41438</v>
      </c>
    </row>
    <row r="11158" spans="1:25" x14ac:dyDescent="0.25">
      <c r="A11158" t="str">
        <f>"154104279949"</f>
        <v>154104279949</v>
      </c>
      <c r="B11158" t="s">
        <v>4084</v>
      </c>
      <c r="C11158" t="s">
        <v>7951</v>
      </c>
      <c r="D11158" t="s">
        <v>41439</v>
      </c>
      <c r="E11158">
        <v>424031</v>
      </c>
      <c r="F11158" t="s">
        <v>1</v>
      </c>
      <c r="G11158" t="s">
        <v>2</v>
      </c>
      <c r="H11158" t="s">
        <v>41440</v>
      </c>
      <c r="Y11158" t="s">
        <v>41441</v>
      </c>
    </row>
    <row r="11159" spans="1:25" x14ac:dyDescent="0.25">
      <c r="A11159" t="str">
        <f>"154115402490"</f>
        <v>154115402490</v>
      </c>
      <c r="B11159" t="s">
        <v>96</v>
      </c>
      <c r="C11159" t="s">
        <v>659</v>
      </c>
      <c r="D11159" t="s">
        <v>41442</v>
      </c>
      <c r="E11159">
        <v>424007</v>
      </c>
      <c r="F11159" t="s">
        <v>1</v>
      </c>
      <c r="G11159" t="s">
        <v>2</v>
      </c>
      <c r="H11159" t="s">
        <v>5178</v>
      </c>
      <c r="P11159" t="s">
        <v>2731</v>
      </c>
      <c r="Y11159" t="s">
        <v>41443</v>
      </c>
    </row>
    <row r="11160" spans="1:25" x14ac:dyDescent="0.25">
      <c r="A11160" t="str">
        <f>"154116191961"</f>
        <v>154116191961</v>
      </c>
      <c r="B11160" t="s">
        <v>574</v>
      </c>
      <c r="C11160" t="s">
        <v>14269</v>
      </c>
      <c r="D11160" t="s">
        <v>14892</v>
      </c>
      <c r="E11160">
        <v>424020</v>
      </c>
      <c r="F11160" t="s">
        <v>1</v>
      </c>
      <c r="G11160" t="s">
        <v>2</v>
      </c>
      <c r="H11160" t="s">
        <v>7063</v>
      </c>
      <c r="Y11160" t="s">
        <v>41444</v>
      </c>
    </row>
    <row r="11161" spans="1:25" x14ac:dyDescent="0.25">
      <c r="A11161" t="str">
        <f>"154119437117"</f>
        <v>154119437117</v>
      </c>
      <c r="B11161" t="s">
        <v>430</v>
      </c>
      <c r="C11161" t="s">
        <v>41450</v>
      </c>
      <c r="D11161" t="s">
        <v>41445</v>
      </c>
      <c r="E11161">
        <v>424002</v>
      </c>
      <c r="F11161" t="s">
        <v>1</v>
      </c>
      <c r="G11161" t="s">
        <v>2</v>
      </c>
      <c r="H11161" t="s">
        <v>41446</v>
      </c>
      <c r="I11161" t="s">
        <v>41447</v>
      </c>
      <c r="L11161" t="s">
        <v>41448</v>
      </c>
      <c r="M11161" t="s">
        <v>41449</v>
      </c>
      <c r="P11161" t="s">
        <v>1027</v>
      </c>
      <c r="T11161" t="s">
        <v>41451</v>
      </c>
      <c r="V11161" t="s">
        <v>41452</v>
      </c>
      <c r="Y11161" t="s">
        <v>41453</v>
      </c>
    </row>
    <row r="11162" spans="1:25" x14ac:dyDescent="0.25">
      <c r="A11162" t="str">
        <f>"154125777473"</f>
        <v>154125777473</v>
      </c>
      <c r="B11162" t="s">
        <v>1152</v>
      </c>
      <c r="C11162" t="s">
        <v>1153</v>
      </c>
      <c r="D11162" t="s">
        <v>10280</v>
      </c>
      <c r="E11162">
        <v>424003</v>
      </c>
      <c r="F11162" t="s">
        <v>1</v>
      </c>
      <c r="G11162" t="s">
        <v>2</v>
      </c>
      <c r="H11162" t="s">
        <v>21660</v>
      </c>
      <c r="I11162" t="s">
        <v>22092</v>
      </c>
      <c r="M11162" t="s">
        <v>10284</v>
      </c>
      <c r="Q11162" t="s">
        <v>10286</v>
      </c>
      <c r="R11162" t="s">
        <v>10287</v>
      </c>
      <c r="S11162" t="s">
        <v>10288</v>
      </c>
      <c r="T11162" t="s">
        <v>10289</v>
      </c>
      <c r="U11162" t="s">
        <v>10290</v>
      </c>
      <c r="V11162" t="s">
        <v>10291</v>
      </c>
      <c r="Y11162" t="s">
        <v>41454</v>
      </c>
    </row>
    <row r="11163" spans="1:25" x14ac:dyDescent="0.25">
      <c r="A11163" t="str">
        <f>"154196386776"</f>
        <v>154196386776</v>
      </c>
      <c r="B11163" t="s">
        <v>462</v>
      </c>
      <c r="C11163" t="s">
        <v>1140</v>
      </c>
      <c r="D11163" t="s">
        <v>30665</v>
      </c>
      <c r="E11163">
        <v>424006</v>
      </c>
      <c r="F11163" t="s">
        <v>1</v>
      </c>
      <c r="G11163" t="s">
        <v>2</v>
      </c>
      <c r="H11163" t="s">
        <v>9399</v>
      </c>
      <c r="Y11163" t="s">
        <v>41455</v>
      </c>
    </row>
    <row r="11164" spans="1:25" x14ac:dyDescent="0.25">
      <c r="A11164" t="str">
        <f>"154206306664"</f>
        <v>154206306664</v>
      </c>
      <c r="B11164" t="s">
        <v>1552</v>
      </c>
      <c r="C11164" t="s">
        <v>1552</v>
      </c>
      <c r="D11164" t="s">
        <v>1552</v>
      </c>
      <c r="E11164">
        <v>424036</v>
      </c>
      <c r="F11164" t="s">
        <v>1</v>
      </c>
      <c r="G11164" t="s">
        <v>2</v>
      </c>
      <c r="H11164" t="s">
        <v>2291</v>
      </c>
      <c r="Y11164" t="s">
        <v>41456</v>
      </c>
    </row>
    <row r="11165" spans="1:25" x14ac:dyDescent="0.25">
      <c r="A11165" t="str">
        <f>"154208375359"</f>
        <v>154208375359</v>
      </c>
      <c r="B11165" t="s">
        <v>530</v>
      </c>
      <c r="C11165" t="s">
        <v>23950</v>
      </c>
      <c r="D11165" t="s">
        <v>23950</v>
      </c>
      <c r="E11165">
        <v>424032</v>
      </c>
      <c r="F11165" t="s">
        <v>1</v>
      </c>
      <c r="G11165" t="s">
        <v>2</v>
      </c>
      <c r="H11165" t="s">
        <v>41457</v>
      </c>
      <c r="Y11165" t="s">
        <v>41458</v>
      </c>
    </row>
    <row r="11166" spans="1:25" x14ac:dyDescent="0.25">
      <c r="A11166" t="str">
        <f>"154231584289"</f>
        <v>154231584289</v>
      </c>
      <c r="B11166" t="s">
        <v>462</v>
      </c>
      <c r="C11166" t="s">
        <v>5618</v>
      </c>
      <c r="D11166" t="s">
        <v>41459</v>
      </c>
      <c r="E11166">
        <v>424000</v>
      </c>
      <c r="F11166" t="s">
        <v>1</v>
      </c>
      <c r="G11166" t="s">
        <v>2</v>
      </c>
      <c r="H11166" t="s">
        <v>937</v>
      </c>
      <c r="I11166" t="s">
        <v>41460</v>
      </c>
      <c r="P11166" t="s">
        <v>27</v>
      </c>
      <c r="Y11166" t="s">
        <v>942</v>
      </c>
    </row>
    <row r="11167" spans="1:25" x14ac:dyDescent="0.25">
      <c r="A11167" t="str">
        <f>"154259237348"</f>
        <v>154259237348</v>
      </c>
      <c r="B11167" t="s">
        <v>1573</v>
      </c>
      <c r="C11167" t="s">
        <v>1817</v>
      </c>
      <c r="D11167" t="s">
        <v>35155</v>
      </c>
      <c r="E11167">
        <v>424006</v>
      </c>
      <c r="F11167" t="s">
        <v>1</v>
      </c>
      <c r="G11167" t="s">
        <v>2</v>
      </c>
      <c r="H11167" t="s">
        <v>28010</v>
      </c>
      <c r="J11167" t="s">
        <v>41461</v>
      </c>
      <c r="P11167" t="s">
        <v>27</v>
      </c>
      <c r="Q11167" t="s">
        <v>41462</v>
      </c>
      <c r="Y11167" t="s">
        <v>28012</v>
      </c>
    </row>
    <row r="11168" spans="1:25" x14ac:dyDescent="0.25">
      <c r="A11168" t="str">
        <f>"154278249041"</f>
        <v>154278249041</v>
      </c>
      <c r="B11168" t="s">
        <v>96</v>
      </c>
      <c r="C11168" t="s">
        <v>41465</v>
      </c>
      <c r="D11168" t="s">
        <v>41463</v>
      </c>
      <c r="E11168">
        <v>424038</v>
      </c>
      <c r="F11168" t="s">
        <v>1</v>
      </c>
      <c r="G11168" t="s">
        <v>2</v>
      </c>
      <c r="H11168" t="s">
        <v>1366</v>
      </c>
      <c r="J11168" t="s">
        <v>41464</v>
      </c>
      <c r="P11168" t="s">
        <v>2923</v>
      </c>
      <c r="Q11168" t="s">
        <v>41466</v>
      </c>
      <c r="Y11168" t="s">
        <v>41467</v>
      </c>
    </row>
    <row r="11169" spans="1:25" x14ac:dyDescent="0.25">
      <c r="A11169" t="str">
        <f>"154287704203"</f>
        <v>154287704203</v>
      </c>
      <c r="B11169" t="s">
        <v>3700</v>
      </c>
      <c r="C11169" t="s">
        <v>4023</v>
      </c>
      <c r="D11169" t="s">
        <v>13082</v>
      </c>
      <c r="E11169">
        <v>424006</v>
      </c>
      <c r="F11169" t="s">
        <v>1</v>
      </c>
      <c r="G11169" t="s">
        <v>2</v>
      </c>
      <c r="H11169" t="s">
        <v>3330</v>
      </c>
      <c r="Y11169" t="s">
        <v>5376</v>
      </c>
    </row>
    <row r="11170" spans="1:25" x14ac:dyDescent="0.25">
      <c r="A11170" t="str">
        <f>"154300810414"</f>
        <v>154300810414</v>
      </c>
      <c r="B11170" t="s">
        <v>348</v>
      </c>
      <c r="C11170" t="s">
        <v>41472</v>
      </c>
      <c r="D11170" t="s">
        <v>41468</v>
      </c>
      <c r="F11170" t="s">
        <v>1</v>
      </c>
      <c r="G11170" t="s">
        <v>2</v>
      </c>
      <c r="H11170" t="s">
        <v>138</v>
      </c>
      <c r="J11170" t="s">
        <v>41469</v>
      </c>
      <c r="L11170" t="s">
        <v>41470</v>
      </c>
      <c r="M11170" t="s">
        <v>41471</v>
      </c>
      <c r="P11170" t="s">
        <v>144</v>
      </c>
      <c r="Q11170" t="s">
        <v>41473</v>
      </c>
      <c r="U11170" t="s">
        <v>41474</v>
      </c>
      <c r="V11170" t="s">
        <v>41475</v>
      </c>
      <c r="Y11170" t="s">
        <v>41476</v>
      </c>
    </row>
    <row r="11171" spans="1:25" x14ac:dyDescent="0.25">
      <c r="A11171" t="str">
        <f>"154412742454"</f>
        <v>154412742454</v>
      </c>
      <c r="B11171" t="s">
        <v>1152</v>
      </c>
      <c r="C11171" t="s">
        <v>1152</v>
      </c>
      <c r="D11171" t="s">
        <v>41477</v>
      </c>
      <c r="E11171">
        <v>424038</v>
      </c>
      <c r="F11171" t="s">
        <v>1</v>
      </c>
      <c r="G11171" t="s">
        <v>2</v>
      </c>
      <c r="H11171" t="s">
        <v>386</v>
      </c>
      <c r="J11171" t="s">
        <v>1384</v>
      </c>
      <c r="P11171" t="s">
        <v>41478</v>
      </c>
      <c r="Y11171" t="s">
        <v>391</v>
      </c>
    </row>
    <row r="11172" spans="1:25" x14ac:dyDescent="0.25">
      <c r="A11172" t="str">
        <f>"154433916431"</f>
        <v>154433916431</v>
      </c>
      <c r="B11172" t="s">
        <v>519</v>
      </c>
      <c r="C11172" t="s">
        <v>22942</v>
      </c>
      <c r="D11172" t="s">
        <v>41479</v>
      </c>
      <c r="E11172">
        <v>424038</v>
      </c>
      <c r="F11172" t="s">
        <v>1</v>
      </c>
      <c r="G11172" t="s">
        <v>2</v>
      </c>
      <c r="H11172" t="s">
        <v>546</v>
      </c>
      <c r="I11172" t="s">
        <v>41480</v>
      </c>
      <c r="P11172" t="s">
        <v>17179</v>
      </c>
      <c r="Q11172" t="s">
        <v>41481</v>
      </c>
      <c r="Y11172" t="s">
        <v>549</v>
      </c>
    </row>
    <row r="11173" spans="1:25" x14ac:dyDescent="0.25">
      <c r="A11173" t="str">
        <f>"154441190130"</f>
        <v>154441190130</v>
      </c>
      <c r="B11173" t="s">
        <v>1152</v>
      </c>
      <c r="C11173" t="s">
        <v>2319</v>
      </c>
      <c r="D11173" t="s">
        <v>2319</v>
      </c>
      <c r="E11173">
        <v>424000</v>
      </c>
      <c r="F11173" t="s">
        <v>1</v>
      </c>
      <c r="G11173" t="s">
        <v>2</v>
      </c>
      <c r="H11173" t="s">
        <v>1746</v>
      </c>
      <c r="Y11173" t="s">
        <v>41482</v>
      </c>
    </row>
    <row r="11174" spans="1:25" x14ac:dyDescent="0.25">
      <c r="A11174" t="str">
        <f>"154529276887"</f>
        <v>154529276887</v>
      </c>
      <c r="B11174" t="s">
        <v>67</v>
      </c>
      <c r="C11174" t="s">
        <v>269</v>
      </c>
      <c r="D11174" t="s">
        <v>62</v>
      </c>
      <c r="F11174" t="s">
        <v>1</v>
      </c>
      <c r="G11174" t="s">
        <v>2</v>
      </c>
      <c r="H11174" t="s">
        <v>7547</v>
      </c>
      <c r="I11174" t="s">
        <v>1149</v>
      </c>
      <c r="M11174" t="s">
        <v>1248</v>
      </c>
      <c r="Y11174" t="s">
        <v>41483</v>
      </c>
    </row>
    <row r="11175" spans="1:25" x14ac:dyDescent="0.25">
      <c r="A11175" t="str">
        <f>"154543665213"</f>
        <v>154543665213</v>
      </c>
      <c r="B11175" t="s">
        <v>352</v>
      </c>
      <c r="C11175" t="s">
        <v>41484</v>
      </c>
      <c r="D11175" t="s">
        <v>4473</v>
      </c>
      <c r="E11175">
        <v>424002</v>
      </c>
      <c r="F11175" t="s">
        <v>1</v>
      </c>
      <c r="G11175" t="s">
        <v>2</v>
      </c>
      <c r="H11175" t="s">
        <v>823</v>
      </c>
      <c r="Y11175" t="s">
        <v>828</v>
      </c>
    </row>
    <row r="11176" spans="1:25" x14ac:dyDescent="0.25">
      <c r="A11176" t="str">
        <f>"154548511937"</f>
        <v>154548511937</v>
      </c>
      <c r="B11176" t="s">
        <v>352</v>
      </c>
      <c r="C11176" t="s">
        <v>2709</v>
      </c>
      <c r="D11176" t="s">
        <v>41485</v>
      </c>
      <c r="E11176">
        <v>424000</v>
      </c>
      <c r="F11176" t="s">
        <v>1</v>
      </c>
      <c r="G11176" t="s">
        <v>2</v>
      </c>
      <c r="H11176" t="s">
        <v>499</v>
      </c>
      <c r="I11176" t="s">
        <v>41486</v>
      </c>
      <c r="L11176" t="s">
        <v>41487</v>
      </c>
      <c r="M11176" t="s">
        <v>41488</v>
      </c>
      <c r="P11176" t="s">
        <v>152</v>
      </c>
      <c r="Y11176" t="s">
        <v>41489</v>
      </c>
    </row>
    <row r="11177" spans="1:25" x14ac:dyDescent="0.25">
      <c r="A11177" t="str">
        <f>"154566568588"</f>
        <v>154566568588</v>
      </c>
      <c r="B11177" t="s">
        <v>841</v>
      </c>
      <c r="C11177" t="s">
        <v>7300</v>
      </c>
      <c r="D11177" t="s">
        <v>11860</v>
      </c>
      <c r="E11177">
        <v>424000</v>
      </c>
      <c r="F11177" t="s">
        <v>1</v>
      </c>
      <c r="G11177" t="s">
        <v>2</v>
      </c>
      <c r="H11177" t="s">
        <v>1531</v>
      </c>
      <c r="Y11177" t="s">
        <v>41490</v>
      </c>
    </row>
    <row r="11178" spans="1:25" x14ac:dyDescent="0.25">
      <c r="A11178" t="str">
        <f>"154574890299"</f>
        <v>154574890299</v>
      </c>
      <c r="B11178" t="s">
        <v>841</v>
      </c>
      <c r="C11178" t="s">
        <v>25954</v>
      </c>
      <c r="D11178" t="s">
        <v>41491</v>
      </c>
      <c r="E11178">
        <v>424003</v>
      </c>
      <c r="F11178" t="s">
        <v>1</v>
      </c>
      <c r="G11178" t="s">
        <v>2</v>
      </c>
      <c r="H11178" t="s">
        <v>15497</v>
      </c>
      <c r="I11178" t="s">
        <v>41492</v>
      </c>
      <c r="P11178" t="s">
        <v>15501</v>
      </c>
      <c r="Q11178" t="s">
        <v>41493</v>
      </c>
      <c r="Y11178" t="s">
        <v>41494</v>
      </c>
    </row>
    <row r="11179" spans="1:25" x14ac:dyDescent="0.25">
      <c r="A11179" t="str">
        <f>"154592847232"</f>
        <v>154592847232</v>
      </c>
      <c r="B11179" t="s">
        <v>930</v>
      </c>
      <c r="C11179" t="s">
        <v>41498</v>
      </c>
      <c r="D11179" t="s">
        <v>41495</v>
      </c>
      <c r="E11179">
        <v>424038</v>
      </c>
      <c r="F11179" t="s">
        <v>1</v>
      </c>
      <c r="G11179" t="s">
        <v>2</v>
      </c>
      <c r="H11179" t="s">
        <v>14026</v>
      </c>
      <c r="I11179" t="s">
        <v>41496</v>
      </c>
      <c r="J11179" t="s">
        <v>41497</v>
      </c>
      <c r="P11179" t="s">
        <v>330</v>
      </c>
      <c r="Y11179" t="s">
        <v>41499</v>
      </c>
    </row>
    <row r="11180" spans="1:25" x14ac:dyDescent="0.25">
      <c r="A11180" t="str">
        <f>"154630909064"</f>
        <v>154630909064</v>
      </c>
      <c r="B11180" t="s">
        <v>530</v>
      </c>
      <c r="C11180" t="s">
        <v>23950</v>
      </c>
      <c r="D11180" t="s">
        <v>23950</v>
      </c>
      <c r="F11180" t="s">
        <v>1</v>
      </c>
      <c r="G11180" t="s">
        <v>2</v>
      </c>
      <c r="H11180" t="s">
        <v>27019</v>
      </c>
      <c r="Y11180" t="s">
        <v>41500</v>
      </c>
    </row>
    <row r="11181" spans="1:25" x14ac:dyDescent="0.25">
      <c r="A11181" t="str">
        <f>"154632211569"</f>
        <v>154632211569</v>
      </c>
      <c r="B11181" t="s">
        <v>1152</v>
      </c>
      <c r="C11181" t="s">
        <v>1153</v>
      </c>
      <c r="D11181" t="s">
        <v>10280</v>
      </c>
      <c r="F11181" t="s">
        <v>1</v>
      </c>
      <c r="G11181" t="s">
        <v>2</v>
      </c>
      <c r="H11181" t="s">
        <v>35793</v>
      </c>
      <c r="I11181" t="s">
        <v>22092</v>
      </c>
      <c r="M11181" t="s">
        <v>10284</v>
      </c>
      <c r="Q11181" t="s">
        <v>10286</v>
      </c>
      <c r="R11181" t="s">
        <v>10287</v>
      </c>
      <c r="S11181" t="s">
        <v>10288</v>
      </c>
      <c r="T11181" t="s">
        <v>10289</v>
      </c>
      <c r="U11181" t="s">
        <v>10290</v>
      </c>
      <c r="V11181" t="s">
        <v>10291</v>
      </c>
      <c r="Y11181" t="s">
        <v>41501</v>
      </c>
    </row>
    <row r="11182" spans="1:25" x14ac:dyDescent="0.25">
      <c r="A11182" t="str">
        <f>"154647793754"</f>
        <v>154647793754</v>
      </c>
      <c r="B11182" t="s">
        <v>176</v>
      </c>
      <c r="C11182" t="s">
        <v>279</v>
      </c>
      <c r="D11182" t="s">
        <v>41502</v>
      </c>
      <c r="E11182">
        <v>424002</v>
      </c>
      <c r="F11182" t="s">
        <v>1</v>
      </c>
      <c r="G11182" t="s">
        <v>2</v>
      </c>
      <c r="H11182" t="s">
        <v>41503</v>
      </c>
      <c r="I11182" t="s">
        <v>41504</v>
      </c>
      <c r="L11182" t="s">
        <v>12981</v>
      </c>
      <c r="P11182" t="s">
        <v>20</v>
      </c>
      <c r="Y11182" t="s">
        <v>41505</v>
      </c>
    </row>
    <row r="11183" spans="1:25" x14ac:dyDescent="0.25">
      <c r="A11183" t="str">
        <f>"154666518336"</f>
        <v>154666518336</v>
      </c>
      <c r="B11183" t="s">
        <v>930</v>
      </c>
      <c r="C11183" t="s">
        <v>21222</v>
      </c>
      <c r="D11183" t="s">
        <v>41506</v>
      </c>
      <c r="F11183" t="s">
        <v>1</v>
      </c>
      <c r="G11183" t="s">
        <v>2</v>
      </c>
      <c r="H11183" t="s">
        <v>12610</v>
      </c>
      <c r="J11183" t="s">
        <v>41507</v>
      </c>
      <c r="L11183" t="s">
        <v>41508</v>
      </c>
      <c r="M11183" t="s">
        <v>41509</v>
      </c>
      <c r="P11183" t="s">
        <v>2050</v>
      </c>
      <c r="Q11183" t="s">
        <v>41510</v>
      </c>
      <c r="V11183" t="s">
        <v>41511</v>
      </c>
      <c r="Y11183" t="s">
        <v>26184</v>
      </c>
    </row>
    <row r="11184" spans="1:25" x14ac:dyDescent="0.25">
      <c r="A11184" t="str">
        <f>"154691573329"</f>
        <v>154691573329</v>
      </c>
      <c r="B11184" t="s">
        <v>408</v>
      </c>
      <c r="C11184" t="s">
        <v>41516</v>
      </c>
      <c r="D11184" t="s">
        <v>41512</v>
      </c>
      <c r="E11184">
        <v>424000</v>
      </c>
      <c r="F11184" t="s">
        <v>1</v>
      </c>
      <c r="G11184" t="s">
        <v>2</v>
      </c>
      <c r="H11184" t="s">
        <v>9432</v>
      </c>
      <c r="I11184" t="s">
        <v>41513</v>
      </c>
      <c r="L11184" t="s">
        <v>41514</v>
      </c>
      <c r="M11184" t="s">
        <v>41515</v>
      </c>
      <c r="P11184" t="s">
        <v>5689</v>
      </c>
      <c r="Q11184" t="s">
        <v>41517</v>
      </c>
      <c r="R11184" t="s">
        <v>41518</v>
      </c>
      <c r="T11184" t="s">
        <v>41519</v>
      </c>
      <c r="U11184" t="s">
        <v>41520</v>
      </c>
      <c r="V11184" t="s">
        <v>41521</v>
      </c>
      <c r="Y11184" t="s">
        <v>41522</v>
      </c>
    </row>
    <row r="11185" spans="1:25" x14ac:dyDescent="0.25">
      <c r="A11185" t="str">
        <f>"154699776792"</f>
        <v>154699776792</v>
      </c>
      <c r="B11185" t="s">
        <v>188</v>
      </c>
      <c r="C11185" t="s">
        <v>24568</v>
      </c>
      <c r="D11185" t="s">
        <v>24568</v>
      </c>
      <c r="E11185">
        <v>424030</v>
      </c>
      <c r="F11185" t="s">
        <v>1</v>
      </c>
      <c r="G11185" t="s">
        <v>2</v>
      </c>
      <c r="H11185" t="s">
        <v>41523</v>
      </c>
      <c r="Y11185" t="s">
        <v>41524</v>
      </c>
    </row>
    <row r="11186" spans="1:25" x14ac:dyDescent="0.25">
      <c r="A11186" t="str">
        <f>"154705254542"</f>
        <v>154705254542</v>
      </c>
      <c r="B11186" t="s">
        <v>96</v>
      </c>
      <c r="C11186" t="s">
        <v>39115</v>
      </c>
      <c r="D11186" t="s">
        <v>41525</v>
      </c>
      <c r="E11186">
        <v>424031</v>
      </c>
      <c r="F11186" t="s">
        <v>1</v>
      </c>
      <c r="G11186" t="s">
        <v>2</v>
      </c>
      <c r="H11186" t="s">
        <v>41526</v>
      </c>
      <c r="J11186" t="s">
        <v>41527</v>
      </c>
      <c r="L11186" t="s">
        <v>41528</v>
      </c>
      <c r="M11186" t="s">
        <v>41529</v>
      </c>
      <c r="P11186" t="s">
        <v>280</v>
      </c>
      <c r="Q11186" t="s">
        <v>41530</v>
      </c>
      <c r="T11186" t="s">
        <v>41531</v>
      </c>
      <c r="U11186" t="s">
        <v>41532</v>
      </c>
      <c r="V11186" t="s">
        <v>41533</v>
      </c>
      <c r="Y11186" t="s">
        <v>41534</v>
      </c>
    </row>
    <row r="11187" spans="1:25" x14ac:dyDescent="0.25">
      <c r="A11187" t="str">
        <f>"154734657769"</f>
        <v>154734657769</v>
      </c>
      <c r="B11187" t="s">
        <v>1046</v>
      </c>
      <c r="C11187" t="s">
        <v>4959</v>
      </c>
      <c r="D11187" t="s">
        <v>4959</v>
      </c>
      <c r="E11187">
        <v>424031</v>
      </c>
      <c r="F11187" t="s">
        <v>1</v>
      </c>
      <c r="G11187" t="s">
        <v>2</v>
      </c>
      <c r="H11187" t="s">
        <v>41535</v>
      </c>
      <c r="Y11187" t="s">
        <v>41536</v>
      </c>
    </row>
    <row r="11188" spans="1:25" x14ac:dyDescent="0.25">
      <c r="A11188" t="str">
        <f>"154755898761"</f>
        <v>154755898761</v>
      </c>
      <c r="B11188" t="s">
        <v>224</v>
      </c>
      <c r="C11188" t="s">
        <v>26630</v>
      </c>
      <c r="D11188" t="s">
        <v>41537</v>
      </c>
      <c r="E11188">
        <v>424006</v>
      </c>
      <c r="F11188" t="s">
        <v>1</v>
      </c>
      <c r="G11188" t="s">
        <v>2</v>
      </c>
      <c r="H11188" t="s">
        <v>2012</v>
      </c>
      <c r="J11188" t="s">
        <v>41538</v>
      </c>
      <c r="P11188" t="s">
        <v>37026</v>
      </c>
      <c r="Y11188" t="s">
        <v>41539</v>
      </c>
    </row>
    <row r="11189" spans="1:25" x14ac:dyDescent="0.25">
      <c r="A11189" t="str">
        <f>"154808619256"</f>
        <v>154808619256</v>
      </c>
      <c r="B11189" t="s">
        <v>290</v>
      </c>
      <c r="C11189" t="s">
        <v>31812</v>
      </c>
      <c r="D11189" t="s">
        <v>41540</v>
      </c>
      <c r="E11189">
        <v>424033</v>
      </c>
      <c r="F11189" t="s">
        <v>1</v>
      </c>
      <c r="G11189" t="s">
        <v>2</v>
      </c>
      <c r="H11189" t="s">
        <v>24976</v>
      </c>
      <c r="I11189" t="s">
        <v>41541</v>
      </c>
      <c r="J11189" t="s">
        <v>41542</v>
      </c>
      <c r="M11189" t="s">
        <v>41543</v>
      </c>
      <c r="P11189" t="s">
        <v>38503</v>
      </c>
      <c r="Q11189" t="s">
        <v>41544</v>
      </c>
      <c r="V11189" t="s">
        <v>41545</v>
      </c>
      <c r="Y11189" t="s">
        <v>41546</v>
      </c>
    </row>
    <row r="11190" spans="1:25" x14ac:dyDescent="0.25">
      <c r="A11190" t="str">
        <f>"154842553641"</f>
        <v>154842553641</v>
      </c>
      <c r="B11190" t="s">
        <v>88</v>
      </c>
      <c r="C11190" t="s">
        <v>6066</v>
      </c>
      <c r="D11190" t="s">
        <v>41547</v>
      </c>
      <c r="E11190">
        <v>424033</v>
      </c>
      <c r="F11190" t="s">
        <v>1</v>
      </c>
      <c r="G11190" t="s">
        <v>2</v>
      </c>
      <c r="H11190" t="s">
        <v>6126</v>
      </c>
      <c r="P11190" t="s">
        <v>2280</v>
      </c>
      <c r="Y11190" t="s">
        <v>41548</v>
      </c>
    </row>
    <row r="11191" spans="1:25" x14ac:dyDescent="0.25">
      <c r="A11191" t="str">
        <f>"154858420943"</f>
        <v>154858420943</v>
      </c>
      <c r="B11191" t="s">
        <v>10383</v>
      </c>
      <c r="C11191" t="s">
        <v>24146</v>
      </c>
      <c r="D11191" t="s">
        <v>24146</v>
      </c>
      <c r="F11191" t="s">
        <v>1</v>
      </c>
      <c r="G11191" t="s">
        <v>2</v>
      </c>
      <c r="H11191" t="s">
        <v>35008</v>
      </c>
      <c r="Y11191" t="s">
        <v>41549</v>
      </c>
    </row>
    <row r="11192" spans="1:25" x14ac:dyDescent="0.25">
      <c r="A11192" t="str">
        <f>"154874126073"</f>
        <v>154874126073</v>
      </c>
      <c r="B11192" t="s">
        <v>1475</v>
      </c>
      <c r="C11192" t="s">
        <v>1476</v>
      </c>
      <c r="D11192" t="s">
        <v>41550</v>
      </c>
      <c r="F11192" t="s">
        <v>1</v>
      </c>
      <c r="G11192" t="s">
        <v>2</v>
      </c>
      <c r="H11192" t="s">
        <v>26459</v>
      </c>
      <c r="P11192" t="s">
        <v>941</v>
      </c>
      <c r="Q11192" t="s">
        <v>41551</v>
      </c>
      <c r="V11192" t="s">
        <v>41552</v>
      </c>
      <c r="Y11192" t="s">
        <v>41553</v>
      </c>
    </row>
    <row r="11193" spans="1:25" x14ac:dyDescent="0.25">
      <c r="A11193" t="str">
        <f>"154881195132"</f>
        <v>154881195132</v>
      </c>
      <c r="B11193" t="s">
        <v>1053</v>
      </c>
      <c r="C11193" t="s">
        <v>1927</v>
      </c>
      <c r="D11193" t="s">
        <v>41554</v>
      </c>
      <c r="E11193">
        <v>424007</v>
      </c>
      <c r="F11193" t="s">
        <v>1</v>
      </c>
      <c r="G11193" t="s">
        <v>2</v>
      </c>
      <c r="H11193" t="s">
        <v>10533</v>
      </c>
      <c r="Y11193" t="s">
        <v>10536</v>
      </c>
    </row>
    <row r="11194" spans="1:25" x14ac:dyDescent="0.25">
      <c r="A11194" t="str">
        <f>"154902273371"</f>
        <v>154902273371</v>
      </c>
      <c r="B11194" t="s">
        <v>624</v>
      </c>
      <c r="C11194" t="s">
        <v>2640</v>
      </c>
      <c r="D11194" t="s">
        <v>41555</v>
      </c>
      <c r="E11194">
        <v>424016</v>
      </c>
      <c r="F11194" t="s">
        <v>1</v>
      </c>
      <c r="G11194" t="s">
        <v>2</v>
      </c>
      <c r="H11194" t="s">
        <v>3703</v>
      </c>
      <c r="J11194" t="s">
        <v>41556</v>
      </c>
      <c r="M11194" t="s">
        <v>41557</v>
      </c>
      <c r="P11194" t="s">
        <v>312</v>
      </c>
      <c r="Y11194" t="s">
        <v>5274</v>
      </c>
    </row>
    <row r="11195" spans="1:25" x14ac:dyDescent="0.25">
      <c r="A11195" t="str">
        <f>"154903705257"</f>
        <v>154903705257</v>
      </c>
      <c r="B11195" t="s">
        <v>430</v>
      </c>
      <c r="C11195" t="s">
        <v>612</v>
      </c>
      <c r="D11195" t="s">
        <v>41558</v>
      </c>
      <c r="E11195">
        <v>424002</v>
      </c>
      <c r="F11195" t="s">
        <v>1</v>
      </c>
      <c r="G11195" t="s">
        <v>2</v>
      </c>
      <c r="H11195" t="s">
        <v>5933</v>
      </c>
      <c r="I11195" t="s">
        <v>27131</v>
      </c>
      <c r="J11195" t="s">
        <v>41559</v>
      </c>
      <c r="L11195" t="s">
        <v>41560</v>
      </c>
      <c r="P11195" t="s">
        <v>1027</v>
      </c>
      <c r="Q11195" t="s">
        <v>41561</v>
      </c>
      <c r="Y11195" t="s">
        <v>41562</v>
      </c>
    </row>
    <row r="11196" spans="1:25" x14ac:dyDescent="0.25">
      <c r="A11196" t="str">
        <f>"154916043152"</f>
        <v>154916043152</v>
      </c>
      <c r="B11196" t="s">
        <v>530</v>
      </c>
      <c r="C11196" t="s">
        <v>23950</v>
      </c>
      <c r="D11196" t="s">
        <v>23950</v>
      </c>
      <c r="F11196" t="s">
        <v>1</v>
      </c>
      <c r="G11196" t="s">
        <v>2</v>
      </c>
      <c r="H11196" t="s">
        <v>26594</v>
      </c>
      <c r="Y11196" t="s">
        <v>41563</v>
      </c>
    </row>
    <row r="11197" spans="1:25" x14ac:dyDescent="0.25">
      <c r="A11197" t="str">
        <f>"154920563630"</f>
        <v>154920563630</v>
      </c>
      <c r="B11197" t="s">
        <v>574</v>
      </c>
      <c r="C11197" t="s">
        <v>40014</v>
      </c>
      <c r="D11197" t="s">
        <v>569</v>
      </c>
      <c r="E11197">
        <v>424016</v>
      </c>
      <c r="F11197" t="s">
        <v>1</v>
      </c>
      <c r="G11197" t="s">
        <v>2</v>
      </c>
      <c r="H11197" t="s">
        <v>18429</v>
      </c>
      <c r="Y11197" t="s">
        <v>29257</v>
      </c>
    </row>
    <row r="11198" spans="1:25" x14ac:dyDescent="0.25">
      <c r="A11198" t="str">
        <f>"154939276602"</f>
        <v>154939276602</v>
      </c>
      <c r="B11198" t="s">
        <v>930</v>
      </c>
      <c r="C11198" t="s">
        <v>15966</v>
      </c>
      <c r="D11198" t="s">
        <v>40262</v>
      </c>
      <c r="F11198" t="s">
        <v>1</v>
      </c>
      <c r="G11198" t="s">
        <v>2</v>
      </c>
      <c r="H11198" t="s">
        <v>21972</v>
      </c>
      <c r="J11198" t="s">
        <v>41564</v>
      </c>
      <c r="P11198" t="s">
        <v>799</v>
      </c>
      <c r="Y11198" t="s">
        <v>41565</v>
      </c>
    </row>
    <row r="11199" spans="1:25" x14ac:dyDescent="0.25">
      <c r="A11199" t="str">
        <f>"154944104100"</f>
        <v>154944104100</v>
      </c>
      <c r="B11199" t="s">
        <v>7312</v>
      </c>
      <c r="C11199" t="s">
        <v>19097</v>
      </c>
      <c r="D11199" t="s">
        <v>41566</v>
      </c>
      <c r="E11199">
        <v>424006</v>
      </c>
      <c r="F11199" t="s">
        <v>1</v>
      </c>
      <c r="G11199" t="s">
        <v>2</v>
      </c>
      <c r="H11199" t="s">
        <v>5846</v>
      </c>
      <c r="Y11199" t="s">
        <v>17495</v>
      </c>
    </row>
    <row r="11200" spans="1:25" x14ac:dyDescent="0.25">
      <c r="A11200" t="str">
        <f>"154963876248"</f>
        <v>154963876248</v>
      </c>
      <c r="B11200" t="s">
        <v>930</v>
      </c>
      <c r="C11200" t="s">
        <v>10263</v>
      </c>
      <c r="D11200" t="s">
        <v>41567</v>
      </c>
      <c r="E11200">
        <v>424007</v>
      </c>
      <c r="F11200" t="s">
        <v>1</v>
      </c>
      <c r="G11200" t="s">
        <v>2</v>
      </c>
      <c r="H11200" t="s">
        <v>34385</v>
      </c>
      <c r="I11200" t="s">
        <v>41568</v>
      </c>
      <c r="P11200" t="s">
        <v>216</v>
      </c>
      <c r="Y11200" t="s">
        <v>41569</v>
      </c>
    </row>
    <row r="11201" spans="1:25" x14ac:dyDescent="0.25">
      <c r="A11201" t="str">
        <f>"155008521929"</f>
        <v>155008521929</v>
      </c>
      <c r="B11201" t="s">
        <v>574</v>
      </c>
      <c r="C11201" t="s">
        <v>646</v>
      </c>
      <c r="D11201" t="s">
        <v>41570</v>
      </c>
      <c r="E11201">
        <v>424030</v>
      </c>
      <c r="F11201" t="s">
        <v>1</v>
      </c>
      <c r="G11201" t="s">
        <v>2</v>
      </c>
      <c r="H11201" t="s">
        <v>21470</v>
      </c>
      <c r="Y11201" t="s">
        <v>21475</v>
      </c>
    </row>
    <row r="11202" spans="1:25" x14ac:dyDescent="0.25">
      <c r="A11202" t="str">
        <f>"155021001074"</f>
        <v>155021001074</v>
      </c>
      <c r="B11202" t="s">
        <v>1078</v>
      </c>
      <c r="C11202" t="s">
        <v>25481</v>
      </c>
      <c r="D11202" t="s">
        <v>41571</v>
      </c>
      <c r="E11202">
        <v>424002</v>
      </c>
      <c r="F11202" t="s">
        <v>1</v>
      </c>
      <c r="G11202" t="s">
        <v>2</v>
      </c>
      <c r="H11202" t="s">
        <v>6319</v>
      </c>
      <c r="Y11202" t="s">
        <v>41572</v>
      </c>
    </row>
    <row r="11203" spans="1:25" x14ac:dyDescent="0.25">
      <c r="A11203" t="str">
        <f>"155086616809"</f>
        <v>155086616809</v>
      </c>
      <c r="B11203" t="s">
        <v>1611</v>
      </c>
      <c r="C11203" t="s">
        <v>14699</v>
      </c>
      <c r="D11203" t="s">
        <v>41573</v>
      </c>
      <c r="E11203">
        <v>424037</v>
      </c>
      <c r="F11203" t="s">
        <v>1</v>
      </c>
      <c r="G11203" t="s">
        <v>2</v>
      </c>
      <c r="H11203" t="s">
        <v>3216</v>
      </c>
      <c r="I11203" t="s">
        <v>41574</v>
      </c>
      <c r="M11203" t="s">
        <v>41575</v>
      </c>
      <c r="P11203" t="s">
        <v>330</v>
      </c>
      <c r="Y11203" t="s">
        <v>13404</v>
      </c>
    </row>
    <row r="11204" spans="1:25" x14ac:dyDescent="0.25">
      <c r="A11204" t="str">
        <f>"155194729731"</f>
        <v>155194729731</v>
      </c>
      <c r="B11204" t="s">
        <v>978</v>
      </c>
      <c r="C11204" t="s">
        <v>1659</v>
      </c>
      <c r="D11204" t="s">
        <v>7623</v>
      </c>
      <c r="E11204">
        <v>424005</v>
      </c>
      <c r="F11204" t="s">
        <v>1</v>
      </c>
      <c r="G11204" t="s">
        <v>2</v>
      </c>
      <c r="H11204" t="s">
        <v>6843</v>
      </c>
      <c r="I11204" t="s">
        <v>41576</v>
      </c>
      <c r="P11204" t="s">
        <v>11406</v>
      </c>
      <c r="Y11204" t="s">
        <v>41577</v>
      </c>
    </row>
    <row r="11205" spans="1:25" x14ac:dyDescent="0.25">
      <c r="A11205" t="str">
        <f>"155299688306"</f>
        <v>155299688306</v>
      </c>
      <c r="B11205" t="s">
        <v>32</v>
      </c>
      <c r="C11205" t="s">
        <v>41580</v>
      </c>
      <c r="D11205" t="s">
        <v>41578</v>
      </c>
      <c r="E11205">
        <v>424033</v>
      </c>
      <c r="F11205" t="s">
        <v>1</v>
      </c>
      <c r="G11205" t="s">
        <v>2</v>
      </c>
      <c r="H11205" t="s">
        <v>4225</v>
      </c>
      <c r="J11205" t="s">
        <v>41579</v>
      </c>
      <c r="P11205" t="s">
        <v>1027</v>
      </c>
      <c r="V11205" t="s">
        <v>41581</v>
      </c>
      <c r="Y11205" t="s">
        <v>24650</v>
      </c>
    </row>
    <row r="11206" spans="1:25" x14ac:dyDescent="0.25">
      <c r="A11206" t="str">
        <f>"155304055123"</f>
        <v>155304055123</v>
      </c>
      <c r="B11206" t="s">
        <v>574</v>
      </c>
      <c r="C11206" t="s">
        <v>646</v>
      </c>
      <c r="D11206" t="s">
        <v>41582</v>
      </c>
      <c r="E11206">
        <v>424037</v>
      </c>
      <c r="F11206" t="s">
        <v>1</v>
      </c>
      <c r="G11206" t="s">
        <v>2</v>
      </c>
      <c r="H11206" t="s">
        <v>20045</v>
      </c>
      <c r="P11206" t="s">
        <v>330</v>
      </c>
      <c r="Y11206" t="s">
        <v>41583</v>
      </c>
    </row>
    <row r="11207" spans="1:25" x14ac:dyDescent="0.25">
      <c r="A11207" t="str">
        <f>"155316647440"</f>
        <v>155316647440</v>
      </c>
      <c r="B11207" t="s">
        <v>18</v>
      </c>
      <c r="C11207" t="s">
        <v>143</v>
      </c>
      <c r="D11207" t="s">
        <v>41584</v>
      </c>
      <c r="E11207">
        <v>424006</v>
      </c>
      <c r="F11207" t="s">
        <v>1</v>
      </c>
      <c r="G11207" t="s">
        <v>2</v>
      </c>
      <c r="H11207" t="s">
        <v>1436</v>
      </c>
      <c r="J11207" t="s">
        <v>41585</v>
      </c>
      <c r="L11207" t="s">
        <v>8508</v>
      </c>
      <c r="M11207" t="s">
        <v>41586</v>
      </c>
      <c r="P11207" t="s">
        <v>5084</v>
      </c>
      <c r="Q11207" t="s">
        <v>41587</v>
      </c>
      <c r="Y11207" t="s">
        <v>1443</v>
      </c>
    </row>
    <row r="11208" spans="1:25" x14ac:dyDescent="0.25">
      <c r="A11208" t="str">
        <f>"155323150319"</f>
        <v>155323150319</v>
      </c>
      <c r="B11208" t="s">
        <v>290</v>
      </c>
      <c r="C11208" t="s">
        <v>23328</v>
      </c>
      <c r="D11208" t="s">
        <v>41588</v>
      </c>
      <c r="E11208">
        <v>424918</v>
      </c>
      <c r="F11208" t="s">
        <v>1</v>
      </c>
      <c r="G11208" t="s">
        <v>2</v>
      </c>
      <c r="H11208" t="s">
        <v>629</v>
      </c>
      <c r="J11208" t="s">
        <v>41589</v>
      </c>
      <c r="P11208" t="s">
        <v>630</v>
      </c>
      <c r="Y11208" t="s">
        <v>38230</v>
      </c>
    </row>
    <row r="11209" spans="1:25" x14ac:dyDescent="0.25">
      <c r="A11209" t="str">
        <f>"155336348746"</f>
        <v>155336348746</v>
      </c>
      <c r="B11209" t="s">
        <v>290</v>
      </c>
      <c r="C11209" t="s">
        <v>11114</v>
      </c>
      <c r="D11209" t="s">
        <v>41590</v>
      </c>
      <c r="E11209">
        <v>424000</v>
      </c>
      <c r="F11209" t="s">
        <v>1</v>
      </c>
      <c r="G11209" t="s">
        <v>2</v>
      </c>
      <c r="H11209" t="s">
        <v>28208</v>
      </c>
      <c r="J11209" t="s">
        <v>41591</v>
      </c>
      <c r="P11209" t="s">
        <v>216</v>
      </c>
      <c r="V11209" t="s">
        <v>41592</v>
      </c>
      <c r="Y11209" t="s">
        <v>41593</v>
      </c>
    </row>
    <row r="11210" spans="1:25" x14ac:dyDescent="0.25">
      <c r="A11210" t="str">
        <f>"155359374018"</f>
        <v>155359374018</v>
      </c>
      <c r="B11210" t="s">
        <v>930</v>
      </c>
      <c r="C11210" t="s">
        <v>35726</v>
      </c>
      <c r="D11210" t="s">
        <v>41594</v>
      </c>
      <c r="E11210">
        <v>424007</v>
      </c>
      <c r="F11210" t="s">
        <v>1</v>
      </c>
      <c r="G11210" t="s">
        <v>2</v>
      </c>
      <c r="H11210" t="s">
        <v>22873</v>
      </c>
      <c r="J11210" t="s">
        <v>41595</v>
      </c>
      <c r="P11210" t="s">
        <v>2050</v>
      </c>
      <c r="Y11210" t="s">
        <v>23004</v>
      </c>
    </row>
    <row r="11211" spans="1:25" x14ac:dyDescent="0.25">
      <c r="A11211" t="str">
        <f>"155400773460"</f>
        <v>155400773460</v>
      </c>
      <c r="B11211" t="s">
        <v>930</v>
      </c>
      <c r="C11211" t="s">
        <v>41597</v>
      </c>
      <c r="D11211" t="s">
        <v>41596</v>
      </c>
      <c r="F11211" t="s">
        <v>1</v>
      </c>
      <c r="G11211" t="s">
        <v>2</v>
      </c>
      <c r="H11211" t="s">
        <v>12610</v>
      </c>
      <c r="P11211" t="s">
        <v>362</v>
      </c>
      <c r="Q11211" t="s">
        <v>41598</v>
      </c>
      <c r="V11211" t="s">
        <v>41599</v>
      </c>
      <c r="Y11211" t="s">
        <v>26184</v>
      </c>
    </row>
    <row r="11212" spans="1:25" x14ac:dyDescent="0.25">
      <c r="A11212" t="str">
        <f>"155451621599"</f>
        <v>155451621599</v>
      </c>
      <c r="B11212" t="s">
        <v>1544</v>
      </c>
      <c r="C11212" t="s">
        <v>7974</v>
      </c>
      <c r="D11212" t="s">
        <v>41600</v>
      </c>
      <c r="E11212">
        <v>424000</v>
      </c>
      <c r="F11212" t="s">
        <v>1</v>
      </c>
      <c r="G11212" t="s">
        <v>2</v>
      </c>
      <c r="H11212" t="s">
        <v>4021</v>
      </c>
      <c r="Y11212" t="s">
        <v>22730</v>
      </c>
    </row>
    <row r="11213" spans="1:25" x14ac:dyDescent="0.25">
      <c r="A11213" t="str">
        <f>"155492871187"</f>
        <v>155492871187</v>
      </c>
      <c r="B11213" t="s">
        <v>117</v>
      </c>
      <c r="C11213" t="s">
        <v>873</v>
      </c>
      <c r="D11213" t="s">
        <v>873</v>
      </c>
      <c r="F11213" t="s">
        <v>1</v>
      </c>
      <c r="G11213" t="s">
        <v>2</v>
      </c>
      <c r="H11213" t="s">
        <v>31290</v>
      </c>
      <c r="Y11213" t="s">
        <v>41601</v>
      </c>
    </row>
    <row r="11214" spans="1:25" x14ac:dyDescent="0.25">
      <c r="A11214" t="str">
        <f>"155671824832"</f>
        <v>155671824832</v>
      </c>
      <c r="B11214" t="s">
        <v>978</v>
      </c>
      <c r="C11214" t="s">
        <v>41604</v>
      </c>
      <c r="D11214" t="s">
        <v>41602</v>
      </c>
      <c r="E11214">
        <v>424020</v>
      </c>
      <c r="F11214" t="s">
        <v>1</v>
      </c>
      <c r="G11214" t="s">
        <v>2</v>
      </c>
      <c r="H11214" t="s">
        <v>2112</v>
      </c>
      <c r="J11214" t="s">
        <v>41603</v>
      </c>
      <c r="P11214" t="s">
        <v>16184</v>
      </c>
      <c r="Y11214" t="s">
        <v>41605</v>
      </c>
    </row>
    <row r="11215" spans="1:25" x14ac:dyDescent="0.25">
      <c r="A11215" t="str">
        <f>"155685574310"</f>
        <v>155685574310</v>
      </c>
      <c r="B11215" t="s">
        <v>18</v>
      </c>
      <c r="C11215" t="s">
        <v>4522</v>
      </c>
      <c r="D11215" t="s">
        <v>25092</v>
      </c>
      <c r="F11215" t="s">
        <v>1</v>
      </c>
      <c r="G11215" t="s">
        <v>2</v>
      </c>
      <c r="H11215" t="s">
        <v>29203</v>
      </c>
      <c r="Y11215" t="s">
        <v>41606</v>
      </c>
    </row>
    <row r="11216" spans="1:25" x14ac:dyDescent="0.25">
      <c r="A11216" t="str">
        <f>"155689525834"</f>
        <v>155689525834</v>
      </c>
      <c r="B11216" t="s">
        <v>96</v>
      </c>
      <c r="C11216" t="s">
        <v>24441</v>
      </c>
      <c r="D11216" t="s">
        <v>29469</v>
      </c>
      <c r="E11216">
        <v>424006</v>
      </c>
      <c r="F11216" t="s">
        <v>1</v>
      </c>
      <c r="G11216" t="s">
        <v>2</v>
      </c>
      <c r="H11216" t="s">
        <v>15013</v>
      </c>
      <c r="Y11216" t="s">
        <v>41607</v>
      </c>
    </row>
    <row r="11217" spans="1:25" x14ac:dyDescent="0.25">
      <c r="A11217" t="str">
        <f>"155697864463"</f>
        <v>155697864463</v>
      </c>
      <c r="B11217" t="s">
        <v>574</v>
      </c>
      <c r="C11217" t="s">
        <v>9802</v>
      </c>
      <c r="D11217" t="s">
        <v>6102</v>
      </c>
      <c r="E11217">
        <v>424003</v>
      </c>
      <c r="F11217" t="s">
        <v>1</v>
      </c>
      <c r="G11217" t="s">
        <v>2</v>
      </c>
      <c r="H11217" t="s">
        <v>21660</v>
      </c>
      <c r="Y11217" t="s">
        <v>24917</v>
      </c>
    </row>
    <row r="11218" spans="1:25" x14ac:dyDescent="0.25">
      <c r="A11218" t="str">
        <f>"155708180328"</f>
        <v>155708180328</v>
      </c>
      <c r="B11218" t="s">
        <v>25</v>
      </c>
      <c r="C11218" t="s">
        <v>20320</v>
      </c>
      <c r="D11218" t="s">
        <v>41608</v>
      </c>
      <c r="F11218" t="s">
        <v>1</v>
      </c>
      <c r="G11218" t="s">
        <v>2</v>
      </c>
      <c r="H11218" t="s">
        <v>34575</v>
      </c>
      <c r="Y11218" t="s">
        <v>41609</v>
      </c>
    </row>
    <row r="11219" spans="1:25" x14ac:dyDescent="0.25">
      <c r="A11219" t="str">
        <f>"155716646180"</f>
        <v>155716646180</v>
      </c>
      <c r="B11219" t="s">
        <v>530</v>
      </c>
      <c r="C11219" t="s">
        <v>23950</v>
      </c>
      <c r="D11219" t="s">
        <v>23950</v>
      </c>
      <c r="F11219" t="s">
        <v>1</v>
      </c>
      <c r="G11219" t="s">
        <v>2</v>
      </c>
      <c r="H11219" t="s">
        <v>41610</v>
      </c>
      <c r="Y11219" t="s">
        <v>41611</v>
      </c>
    </row>
    <row r="11220" spans="1:25" x14ac:dyDescent="0.25">
      <c r="A11220" t="str">
        <f>"155726426835"</f>
        <v>155726426835</v>
      </c>
      <c r="B11220" t="s">
        <v>1182</v>
      </c>
      <c r="C11220" t="s">
        <v>41613</v>
      </c>
      <c r="D11220" t="s">
        <v>41612</v>
      </c>
      <c r="E11220">
        <v>424007</v>
      </c>
      <c r="F11220" t="s">
        <v>1</v>
      </c>
      <c r="G11220" t="s">
        <v>2</v>
      </c>
      <c r="H11220" t="s">
        <v>6794</v>
      </c>
      <c r="Y11220" t="s">
        <v>18462</v>
      </c>
    </row>
    <row r="11221" spans="1:25" x14ac:dyDescent="0.25">
      <c r="A11221" t="str">
        <f>"155734430460"</f>
        <v>155734430460</v>
      </c>
      <c r="B11221" t="s">
        <v>25</v>
      </c>
      <c r="C11221" t="s">
        <v>20320</v>
      </c>
      <c r="D11221" t="s">
        <v>41614</v>
      </c>
      <c r="E11221">
        <v>424031</v>
      </c>
      <c r="F11221" t="s">
        <v>1</v>
      </c>
      <c r="G11221" t="s">
        <v>2</v>
      </c>
      <c r="H11221" t="s">
        <v>11334</v>
      </c>
      <c r="Y11221" t="s">
        <v>41615</v>
      </c>
    </row>
    <row r="11222" spans="1:25" x14ac:dyDescent="0.25">
      <c r="A11222" t="str">
        <f>"155744553853"</f>
        <v>155744553853</v>
      </c>
      <c r="B11222" t="s">
        <v>1053</v>
      </c>
      <c r="C11222" t="s">
        <v>28649</v>
      </c>
      <c r="D11222" t="s">
        <v>41616</v>
      </c>
      <c r="E11222">
        <v>424004</v>
      </c>
      <c r="F11222" t="s">
        <v>1</v>
      </c>
      <c r="G11222" t="s">
        <v>2</v>
      </c>
      <c r="H11222" t="s">
        <v>40225</v>
      </c>
      <c r="I11222" t="s">
        <v>41617</v>
      </c>
      <c r="P11222" t="s">
        <v>4848</v>
      </c>
      <c r="Y11222" t="s">
        <v>40226</v>
      </c>
    </row>
    <row r="11223" spans="1:25" x14ac:dyDescent="0.25">
      <c r="A11223" t="str">
        <f>"155756120713"</f>
        <v>155756120713</v>
      </c>
      <c r="B11223" t="s">
        <v>3958</v>
      </c>
      <c r="C11223" t="s">
        <v>13978</v>
      </c>
      <c r="D11223" t="s">
        <v>41618</v>
      </c>
      <c r="E11223">
        <v>424032</v>
      </c>
      <c r="F11223" t="s">
        <v>1</v>
      </c>
      <c r="G11223" t="s">
        <v>2</v>
      </c>
      <c r="H11223" t="s">
        <v>26780</v>
      </c>
      <c r="Y11223" t="s">
        <v>29580</v>
      </c>
    </row>
    <row r="11224" spans="1:25" x14ac:dyDescent="0.25">
      <c r="A11224" t="str">
        <f>"155789758569"</f>
        <v>155789758569</v>
      </c>
      <c r="B11224" t="s">
        <v>290</v>
      </c>
      <c r="C11224" t="s">
        <v>290</v>
      </c>
      <c r="D11224" t="s">
        <v>22969</v>
      </c>
      <c r="E11224">
        <v>424000</v>
      </c>
      <c r="F11224" t="s">
        <v>1</v>
      </c>
      <c r="G11224" t="s">
        <v>2</v>
      </c>
      <c r="H11224" t="s">
        <v>12507</v>
      </c>
      <c r="I11224" t="s">
        <v>41619</v>
      </c>
      <c r="L11224" t="s">
        <v>2807</v>
      </c>
      <c r="P11224" t="s">
        <v>41620</v>
      </c>
      <c r="Q11224" t="s">
        <v>41621</v>
      </c>
      <c r="V11224" t="s">
        <v>41622</v>
      </c>
      <c r="Y11224" t="s">
        <v>41623</v>
      </c>
    </row>
    <row r="11225" spans="1:25" x14ac:dyDescent="0.25">
      <c r="A11225" t="str">
        <f>"155796860184"</f>
        <v>155796860184</v>
      </c>
      <c r="B11225" t="s">
        <v>3908</v>
      </c>
      <c r="C11225" t="s">
        <v>41625</v>
      </c>
      <c r="D11225" t="s">
        <v>41624</v>
      </c>
      <c r="E11225">
        <v>424002</v>
      </c>
      <c r="F11225" t="s">
        <v>1</v>
      </c>
      <c r="G11225" t="s">
        <v>2</v>
      </c>
      <c r="H11225" t="s">
        <v>3864</v>
      </c>
      <c r="Y11225" t="s">
        <v>3867</v>
      </c>
    </row>
    <row r="11226" spans="1:25" x14ac:dyDescent="0.25">
      <c r="A11226" t="str">
        <f>"155891050882"</f>
        <v>155891050882</v>
      </c>
      <c r="B11226" t="s">
        <v>1053</v>
      </c>
      <c r="C11226" t="s">
        <v>1927</v>
      </c>
      <c r="D11226" t="s">
        <v>7406</v>
      </c>
      <c r="E11226">
        <v>424007</v>
      </c>
      <c r="F11226" t="s">
        <v>1</v>
      </c>
      <c r="G11226" t="s">
        <v>2</v>
      </c>
      <c r="H11226" t="s">
        <v>1992</v>
      </c>
      <c r="L11226" t="s">
        <v>38788</v>
      </c>
      <c r="M11226" t="s">
        <v>38789</v>
      </c>
      <c r="Y11226" t="s">
        <v>41626</v>
      </c>
    </row>
    <row r="11227" spans="1:25" x14ac:dyDescent="0.25">
      <c r="A11227" t="str">
        <f>"155901560674"</f>
        <v>155901560674</v>
      </c>
      <c r="B11227" t="s">
        <v>2601</v>
      </c>
      <c r="C11227" t="s">
        <v>23216</v>
      </c>
      <c r="D11227" t="s">
        <v>36836</v>
      </c>
      <c r="E11227">
        <v>424000</v>
      </c>
      <c r="F11227" t="s">
        <v>1</v>
      </c>
      <c r="G11227" t="s">
        <v>2</v>
      </c>
      <c r="H11227" t="s">
        <v>1473</v>
      </c>
      <c r="I11227" t="s">
        <v>36837</v>
      </c>
      <c r="L11227" t="s">
        <v>41627</v>
      </c>
      <c r="P11227" t="s">
        <v>941</v>
      </c>
      <c r="Q11227" t="s">
        <v>36839</v>
      </c>
      <c r="V11227" t="s">
        <v>41628</v>
      </c>
      <c r="Y11227" t="s">
        <v>4067</v>
      </c>
    </row>
    <row r="11228" spans="1:25" x14ac:dyDescent="0.25">
      <c r="A11228" t="str">
        <f>"155925144114"</f>
        <v>155925144114</v>
      </c>
      <c r="B11228" t="s">
        <v>96</v>
      </c>
      <c r="C11228" t="s">
        <v>659</v>
      </c>
      <c r="D11228" t="s">
        <v>41629</v>
      </c>
      <c r="E11228">
        <v>424918</v>
      </c>
      <c r="F11228" t="s">
        <v>1</v>
      </c>
      <c r="G11228" t="s">
        <v>2</v>
      </c>
      <c r="H11228" t="s">
        <v>629</v>
      </c>
      <c r="P11228" t="s">
        <v>630</v>
      </c>
      <c r="Y11228" t="s">
        <v>41630</v>
      </c>
    </row>
    <row r="11229" spans="1:25" x14ac:dyDescent="0.25">
      <c r="A11229" t="str">
        <f>"155929483493"</f>
        <v>155929483493</v>
      </c>
      <c r="B11229" t="s">
        <v>348</v>
      </c>
      <c r="C11229" t="s">
        <v>26811</v>
      </c>
      <c r="D11229" t="s">
        <v>41631</v>
      </c>
      <c r="F11229" t="s">
        <v>1</v>
      </c>
      <c r="G11229" t="s">
        <v>2</v>
      </c>
      <c r="H11229" t="s">
        <v>19499</v>
      </c>
      <c r="P11229" t="s">
        <v>144</v>
      </c>
      <c r="Y11229" t="s">
        <v>41632</v>
      </c>
    </row>
    <row r="11230" spans="1:25" x14ac:dyDescent="0.25">
      <c r="A11230" t="str">
        <f>"155946604090"</f>
        <v>155946604090</v>
      </c>
      <c r="B11230" t="s">
        <v>930</v>
      </c>
      <c r="C11230" t="s">
        <v>4781</v>
      </c>
      <c r="D11230" t="s">
        <v>41633</v>
      </c>
      <c r="E11230">
        <v>424037</v>
      </c>
      <c r="F11230" t="s">
        <v>1</v>
      </c>
      <c r="G11230" t="s">
        <v>2</v>
      </c>
      <c r="H11230" t="s">
        <v>3765</v>
      </c>
      <c r="I11230" t="s">
        <v>41634</v>
      </c>
      <c r="P11230" t="s">
        <v>2580</v>
      </c>
      <c r="Y11230" t="s">
        <v>41635</v>
      </c>
    </row>
    <row r="11231" spans="1:25" x14ac:dyDescent="0.25">
      <c r="A11231" t="str">
        <f>"155952766707"</f>
        <v>155952766707</v>
      </c>
      <c r="B11231" t="s">
        <v>379</v>
      </c>
      <c r="C11231" t="s">
        <v>380</v>
      </c>
      <c r="D11231" t="s">
        <v>4269</v>
      </c>
      <c r="F11231" t="s">
        <v>1</v>
      </c>
      <c r="G11231" t="s">
        <v>2</v>
      </c>
      <c r="H11231" t="s">
        <v>3984</v>
      </c>
      <c r="Y11231" t="s">
        <v>41636</v>
      </c>
    </row>
    <row r="11232" spans="1:25" x14ac:dyDescent="0.25">
      <c r="A11232" t="str">
        <f>"155963461091"</f>
        <v>155963461091</v>
      </c>
      <c r="B11232" t="s">
        <v>7312</v>
      </c>
      <c r="C11232" t="s">
        <v>19097</v>
      </c>
      <c r="D11232" t="s">
        <v>26577</v>
      </c>
      <c r="E11232">
        <v>424003</v>
      </c>
      <c r="F11232" t="s">
        <v>1</v>
      </c>
      <c r="G11232" t="s">
        <v>2</v>
      </c>
      <c r="H11232" t="s">
        <v>38</v>
      </c>
      <c r="P11232" t="s">
        <v>216</v>
      </c>
      <c r="Y11232" t="s">
        <v>41637</v>
      </c>
    </row>
    <row r="11233" spans="1:25" x14ac:dyDescent="0.25">
      <c r="A11233" t="str">
        <f>"156014535393"</f>
        <v>156014535393</v>
      </c>
      <c r="B11233" t="s">
        <v>2104</v>
      </c>
      <c r="C11233" t="s">
        <v>21175</v>
      </c>
      <c r="D11233" t="s">
        <v>41638</v>
      </c>
      <c r="E11233">
        <v>424918</v>
      </c>
      <c r="F11233" t="s">
        <v>1</v>
      </c>
      <c r="G11233" t="s">
        <v>2</v>
      </c>
      <c r="H11233" t="s">
        <v>629</v>
      </c>
      <c r="P11233" t="s">
        <v>630</v>
      </c>
      <c r="Y11233" t="s">
        <v>41639</v>
      </c>
    </row>
    <row r="11234" spans="1:25" x14ac:dyDescent="0.25">
      <c r="A11234" t="str">
        <f>"156068614328"</f>
        <v>156068614328</v>
      </c>
      <c r="B11234" t="s">
        <v>456</v>
      </c>
      <c r="C11234" t="s">
        <v>19586</v>
      </c>
      <c r="D11234" t="s">
        <v>41640</v>
      </c>
      <c r="E11234">
        <v>424038</v>
      </c>
      <c r="F11234" t="s">
        <v>1</v>
      </c>
      <c r="G11234" t="s">
        <v>2</v>
      </c>
      <c r="H11234" t="s">
        <v>10772</v>
      </c>
      <c r="J11234" t="s">
        <v>41641</v>
      </c>
      <c r="M11234" t="s">
        <v>41642</v>
      </c>
      <c r="P11234" t="s">
        <v>390</v>
      </c>
      <c r="Y11234" t="s">
        <v>10776</v>
      </c>
    </row>
    <row r="11235" spans="1:25" x14ac:dyDescent="0.25">
      <c r="A11235" t="str">
        <f>"156084678893"</f>
        <v>156084678893</v>
      </c>
      <c r="B11235" t="s">
        <v>417</v>
      </c>
      <c r="C11235" t="s">
        <v>418</v>
      </c>
      <c r="D11235" t="s">
        <v>41643</v>
      </c>
      <c r="E11235">
        <v>424004</v>
      </c>
      <c r="F11235" t="s">
        <v>1</v>
      </c>
      <c r="G11235" t="s">
        <v>2</v>
      </c>
      <c r="H11235" t="s">
        <v>2133</v>
      </c>
      <c r="Y11235" t="s">
        <v>41644</v>
      </c>
    </row>
    <row r="11236" spans="1:25" x14ac:dyDescent="0.25">
      <c r="A11236" t="str">
        <f>"156085122746"</f>
        <v>156085122746</v>
      </c>
      <c r="B11236" t="s">
        <v>1152</v>
      </c>
      <c r="C11236" t="s">
        <v>32250</v>
      </c>
      <c r="D11236" t="s">
        <v>27044</v>
      </c>
      <c r="E11236">
        <v>424000</v>
      </c>
      <c r="F11236" t="s">
        <v>1</v>
      </c>
      <c r="G11236" t="s">
        <v>2</v>
      </c>
      <c r="H11236" t="s">
        <v>1531</v>
      </c>
      <c r="Y11236" t="s">
        <v>1707</v>
      </c>
    </row>
    <row r="11237" spans="1:25" x14ac:dyDescent="0.25">
      <c r="A11237" t="str">
        <f>"156096946491"</f>
        <v>156096946491</v>
      </c>
      <c r="B11237" t="s">
        <v>25</v>
      </c>
      <c r="C11237" t="s">
        <v>20320</v>
      </c>
      <c r="D11237" t="s">
        <v>41645</v>
      </c>
      <c r="E11237">
        <v>424031</v>
      </c>
      <c r="F11237" t="s">
        <v>1</v>
      </c>
      <c r="G11237" t="s">
        <v>2</v>
      </c>
      <c r="H11237" t="s">
        <v>4082</v>
      </c>
      <c r="Y11237" t="s">
        <v>41646</v>
      </c>
    </row>
    <row r="11238" spans="1:25" x14ac:dyDescent="0.25">
      <c r="A11238" t="str">
        <f>"156098925655"</f>
        <v>156098925655</v>
      </c>
      <c r="B11238" t="s">
        <v>96</v>
      </c>
      <c r="C11238" t="s">
        <v>16554</v>
      </c>
      <c r="D11238" t="s">
        <v>41647</v>
      </c>
      <c r="E11238">
        <v>424038</v>
      </c>
      <c r="F11238" t="s">
        <v>1</v>
      </c>
      <c r="G11238" t="s">
        <v>2</v>
      </c>
      <c r="H11238" t="s">
        <v>7597</v>
      </c>
      <c r="L11238" t="s">
        <v>41648</v>
      </c>
      <c r="M11238" t="s">
        <v>41649</v>
      </c>
      <c r="P11238" t="s">
        <v>1642</v>
      </c>
      <c r="Q11238" t="s">
        <v>41650</v>
      </c>
      <c r="S11238" t="s">
        <v>41651</v>
      </c>
      <c r="T11238" t="s">
        <v>41652</v>
      </c>
      <c r="V11238" t="s">
        <v>41653</v>
      </c>
      <c r="Y11238" t="s">
        <v>16150</v>
      </c>
    </row>
    <row r="11239" spans="1:25" x14ac:dyDescent="0.25">
      <c r="A11239" t="str">
        <f>"156133323394"</f>
        <v>156133323394</v>
      </c>
      <c r="B11239" t="s">
        <v>2790</v>
      </c>
      <c r="C11239" t="s">
        <v>3528</v>
      </c>
      <c r="D11239" t="s">
        <v>41654</v>
      </c>
      <c r="E11239">
        <v>424002</v>
      </c>
      <c r="F11239" t="s">
        <v>1</v>
      </c>
      <c r="G11239" t="s">
        <v>2</v>
      </c>
      <c r="H11239" t="s">
        <v>744</v>
      </c>
      <c r="I11239" t="s">
        <v>41655</v>
      </c>
      <c r="P11239" t="s">
        <v>748</v>
      </c>
      <c r="Y11239" t="s">
        <v>749</v>
      </c>
    </row>
    <row r="11240" spans="1:25" x14ac:dyDescent="0.25">
      <c r="A11240" t="str">
        <f>"156146258400"</f>
        <v>156146258400</v>
      </c>
      <c r="B11240" t="s">
        <v>25</v>
      </c>
      <c r="C11240" t="s">
        <v>20320</v>
      </c>
      <c r="D11240" t="s">
        <v>41656</v>
      </c>
      <c r="E11240">
        <v>424002</v>
      </c>
      <c r="F11240" t="s">
        <v>1</v>
      </c>
      <c r="G11240" t="s">
        <v>2</v>
      </c>
      <c r="H11240" t="s">
        <v>296</v>
      </c>
      <c r="Y11240" t="s">
        <v>41657</v>
      </c>
    </row>
    <row r="11241" spans="1:25" x14ac:dyDescent="0.25">
      <c r="A11241" t="str">
        <f>"156175471491"</f>
        <v>156175471491</v>
      </c>
      <c r="B11241" t="s">
        <v>319</v>
      </c>
      <c r="C11241" t="s">
        <v>320</v>
      </c>
      <c r="D11241" t="s">
        <v>2556</v>
      </c>
      <c r="E11241">
        <v>424918</v>
      </c>
      <c r="F11241" t="s">
        <v>1</v>
      </c>
      <c r="G11241" t="s">
        <v>2</v>
      </c>
      <c r="H11241" t="s">
        <v>41658</v>
      </c>
      <c r="I11241" t="s">
        <v>41659</v>
      </c>
      <c r="M11241" t="s">
        <v>12910</v>
      </c>
      <c r="P11241" t="s">
        <v>20275</v>
      </c>
      <c r="Y11241" t="s">
        <v>41660</v>
      </c>
    </row>
    <row r="11242" spans="1:25" x14ac:dyDescent="0.25">
      <c r="A11242" t="str">
        <f>"156184148832"</f>
        <v>156184148832</v>
      </c>
      <c r="B11242" t="s">
        <v>888</v>
      </c>
      <c r="C11242" t="s">
        <v>32801</v>
      </c>
      <c r="D11242" t="s">
        <v>2733</v>
      </c>
      <c r="E11242">
        <v>424004</v>
      </c>
      <c r="F11242" t="s">
        <v>1</v>
      </c>
      <c r="G11242" t="s">
        <v>2</v>
      </c>
      <c r="H11242" t="s">
        <v>229</v>
      </c>
      <c r="I11242" t="s">
        <v>41661</v>
      </c>
      <c r="P11242" t="s">
        <v>41662</v>
      </c>
      <c r="Y11242" t="s">
        <v>237</v>
      </c>
    </row>
    <row r="11243" spans="1:25" x14ac:dyDescent="0.25">
      <c r="A11243" t="str">
        <f>"156226696865"</f>
        <v>156226696865</v>
      </c>
      <c r="B11243" t="s">
        <v>348</v>
      </c>
      <c r="C11243" t="s">
        <v>41665</v>
      </c>
      <c r="D11243" t="s">
        <v>41663</v>
      </c>
      <c r="E11243">
        <v>424000</v>
      </c>
      <c r="F11243" t="s">
        <v>1</v>
      </c>
      <c r="G11243" t="s">
        <v>2</v>
      </c>
      <c r="H11243" t="s">
        <v>2202</v>
      </c>
      <c r="J11243" t="s">
        <v>41664</v>
      </c>
      <c r="Q11243" t="s">
        <v>41666</v>
      </c>
      <c r="Y11243" t="s">
        <v>2204</v>
      </c>
    </row>
    <row r="11244" spans="1:25" x14ac:dyDescent="0.25">
      <c r="A11244" t="str">
        <f>"156232613738"</f>
        <v>156232613738</v>
      </c>
      <c r="B11244" t="s">
        <v>574</v>
      </c>
      <c r="C11244" t="s">
        <v>952</v>
      </c>
      <c r="D11244" t="s">
        <v>35107</v>
      </c>
      <c r="E11244">
        <v>424000</v>
      </c>
      <c r="F11244" t="s">
        <v>1</v>
      </c>
      <c r="G11244" t="s">
        <v>2</v>
      </c>
      <c r="H11244" t="s">
        <v>92</v>
      </c>
      <c r="Y11244" t="s">
        <v>41667</v>
      </c>
    </row>
    <row r="11245" spans="1:25" x14ac:dyDescent="0.25">
      <c r="A11245" t="str">
        <f>"156254257713"</f>
        <v>156254257713</v>
      </c>
      <c r="B11245" t="s">
        <v>18</v>
      </c>
      <c r="C11245" t="s">
        <v>19545</v>
      </c>
      <c r="D11245" t="s">
        <v>41668</v>
      </c>
      <c r="E11245">
        <v>424006</v>
      </c>
      <c r="F11245" t="s">
        <v>1</v>
      </c>
      <c r="G11245" t="s">
        <v>2</v>
      </c>
      <c r="H11245" t="s">
        <v>41669</v>
      </c>
      <c r="J11245" t="s">
        <v>41670</v>
      </c>
      <c r="L11245" t="s">
        <v>41671</v>
      </c>
      <c r="M11245" t="s">
        <v>41672</v>
      </c>
      <c r="P11245" t="s">
        <v>260</v>
      </c>
      <c r="Y11245" t="s">
        <v>41673</v>
      </c>
    </row>
    <row r="11246" spans="1:25" x14ac:dyDescent="0.25">
      <c r="A11246" t="str">
        <f>"156286735459"</f>
        <v>156286735459</v>
      </c>
      <c r="B11246" t="s">
        <v>176</v>
      </c>
      <c r="C11246" t="s">
        <v>250</v>
      </c>
      <c r="D11246" t="s">
        <v>41674</v>
      </c>
      <c r="E11246">
        <v>424002</v>
      </c>
      <c r="F11246" t="s">
        <v>1</v>
      </c>
      <c r="G11246" t="s">
        <v>2</v>
      </c>
      <c r="H11246" t="s">
        <v>57</v>
      </c>
      <c r="I11246" t="s">
        <v>41675</v>
      </c>
      <c r="J11246" t="s">
        <v>41676</v>
      </c>
      <c r="P11246" t="s">
        <v>2572</v>
      </c>
      <c r="Y11246" t="s">
        <v>61</v>
      </c>
    </row>
    <row r="11247" spans="1:25" x14ac:dyDescent="0.25">
      <c r="A11247" t="str">
        <f>"156317975489"</f>
        <v>156317975489</v>
      </c>
      <c r="B11247" t="s">
        <v>574</v>
      </c>
      <c r="C11247" t="s">
        <v>646</v>
      </c>
      <c r="D11247" t="s">
        <v>41677</v>
      </c>
      <c r="E11247">
        <v>424039</v>
      </c>
      <c r="F11247" t="s">
        <v>1</v>
      </c>
      <c r="G11247" t="s">
        <v>2</v>
      </c>
      <c r="H11247" t="s">
        <v>10036</v>
      </c>
      <c r="Y11247" t="s">
        <v>41678</v>
      </c>
    </row>
    <row r="11248" spans="1:25" x14ac:dyDescent="0.25">
      <c r="A11248" t="str">
        <f>"156318468070"</f>
        <v>156318468070</v>
      </c>
      <c r="B11248" t="s">
        <v>930</v>
      </c>
      <c r="C11248" t="s">
        <v>41682</v>
      </c>
      <c r="D11248" t="s">
        <v>41679</v>
      </c>
      <c r="F11248" t="s">
        <v>1</v>
      </c>
      <c r="G11248" t="s">
        <v>2</v>
      </c>
      <c r="H11248" t="s">
        <v>20650</v>
      </c>
      <c r="I11248" t="s">
        <v>41680</v>
      </c>
      <c r="M11248" t="s">
        <v>41681</v>
      </c>
      <c r="P11248" t="s">
        <v>6400</v>
      </c>
      <c r="Y11248" t="s">
        <v>41683</v>
      </c>
    </row>
    <row r="11249" spans="1:25" x14ac:dyDescent="0.25">
      <c r="A11249" t="str">
        <f>"156321285483"</f>
        <v>156321285483</v>
      </c>
      <c r="B11249" t="s">
        <v>96</v>
      </c>
      <c r="C11249" t="s">
        <v>41684</v>
      </c>
      <c r="D11249" t="s">
        <v>9628</v>
      </c>
      <c r="E11249">
        <v>424038</v>
      </c>
      <c r="F11249" t="s">
        <v>1</v>
      </c>
      <c r="G11249" t="s">
        <v>2</v>
      </c>
      <c r="H11249" t="s">
        <v>16808</v>
      </c>
      <c r="P11249" t="s">
        <v>144</v>
      </c>
      <c r="Y11249" t="s">
        <v>41685</v>
      </c>
    </row>
    <row r="11250" spans="1:25" x14ac:dyDescent="0.25">
      <c r="A11250" t="str">
        <f>"156323884487"</f>
        <v>156323884487</v>
      </c>
      <c r="B11250" t="s">
        <v>388</v>
      </c>
      <c r="C11250" t="s">
        <v>7194</v>
      </c>
      <c r="D11250" t="s">
        <v>41686</v>
      </c>
      <c r="E11250">
        <v>424016</v>
      </c>
      <c r="F11250" t="s">
        <v>1</v>
      </c>
      <c r="G11250" t="s">
        <v>2</v>
      </c>
      <c r="H11250" t="s">
        <v>848</v>
      </c>
      <c r="P11250" t="s">
        <v>152</v>
      </c>
      <c r="Y11250" t="s">
        <v>855</v>
      </c>
    </row>
    <row r="11251" spans="1:25" x14ac:dyDescent="0.25">
      <c r="A11251" t="str">
        <f>"156343536644"</f>
        <v>156343536644</v>
      </c>
      <c r="B11251" t="s">
        <v>888</v>
      </c>
      <c r="C11251" t="s">
        <v>888</v>
      </c>
      <c r="D11251" t="s">
        <v>41687</v>
      </c>
      <c r="E11251">
        <v>424008</v>
      </c>
      <c r="F11251" t="s">
        <v>1</v>
      </c>
      <c r="G11251" t="s">
        <v>2</v>
      </c>
      <c r="H11251" t="s">
        <v>12163</v>
      </c>
      <c r="I11251" t="s">
        <v>41688</v>
      </c>
      <c r="L11251" t="s">
        <v>41689</v>
      </c>
      <c r="M11251" t="s">
        <v>41690</v>
      </c>
      <c r="P11251" t="s">
        <v>280</v>
      </c>
      <c r="Y11251" t="s">
        <v>41691</v>
      </c>
    </row>
    <row r="11252" spans="1:25" x14ac:dyDescent="0.25">
      <c r="A11252" t="str">
        <f>"156381776581"</f>
        <v>156381776581</v>
      </c>
      <c r="B11252" t="s">
        <v>18</v>
      </c>
      <c r="C11252" t="s">
        <v>41695</v>
      </c>
      <c r="D11252" t="s">
        <v>10018</v>
      </c>
      <c r="F11252" t="s">
        <v>1</v>
      </c>
      <c r="G11252" t="s">
        <v>2</v>
      </c>
      <c r="H11252" t="s">
        <v>7547</v>
      </c>
      <c r="J11252" t="s">
        <v>41692</v>
      </c>
      <c r="L11252" t="s">
        <v>41693</v>
      </c>
      <c r="M11252" t="s">
        <v>41694</v>
      </c>
      <c r="P11252" t="s">
        <v>6236</v>
      </c>
      <c r="Y11252" t="s">
        <v>41696</v>
      </c>
    </row>
    <row r="11253" spans="1:25" x14ac:dyDescent="0.25">
      <c r="A11253" t="str">
        <f>"156409161861"</f>
        <v>156409161861</v>
      </c>
      <c r="B11253" t="s">
        <v>25</v>
      </c>
      <c r="C11253" t="s">
        <v>9873</v>
      </c>
      <c r="D11253" t="s">
        <v>41697</v>
      </c>
      <c r="E11253">
        <v>424004</v>
      </c>
      <c r="F11253" t="s">
        <v>1</v>
      </c>
      <c r="G11253" t="s">
        <v>2</v>
      </c>
      <c r="H11253" t="s">
        <v>351</v>
      </c>
      <c r="I11253" t="s">
        <v>41698</v>
      </c>
      <c r="J11253" t="s">
        <v>41699</v>
      </c>
      <c r="P11253" t="s">
        <v>2258</v>
      </c>
      <c r="Y11253" t="s">
        <v>354</v>
      </c>
    </row>
    <row r="11254" spans="1:25" x14ac:dyDescent="0.25">
      <c r="A11254" t="str">
        <f>"156426242320"</f>
        <v>156426242320</v>
      </c>
      <c r="B11254" t="s">
        <v>738</v>
      </c>
      <c r="C11254" t="s">
        <v>739</v>
      </c>
      <c r="D11254" t="s">
        <v>20503</v>
      </c>
      <c r="F11254" t="s">
        <v>1</v>
      </c>
      <c r="G11254" t="s">
        <v>2</v>
      </c>
      <c r="H11254" t="s">
        <v>29987</v>
      </c>
      <c r="P11254" t="s">
        <v>605</v>
      </c>
      <c r="Y11254" t="s">
        <v>41700</v>
      </c>
    </row>
    <row r="11255" spans="1:25" x14ac:dyDescent="0.25">
      <c r="A11255" t="str">
        <f>"156426778068"</f>
        <v>156426778068</v>
      </c>
      <c r="B11255" t="s">
        <v>430</v>
      </c>
      <c r="C11255" t="s">
        <v>41702</v>
      </c>
      <c r="D11255" t="s">
        <v>41701</v>
      </c>
      <c r="E11255">
        <v>424000</v>
      </c>
      <c r="F11255" t="s">
        <v>1</v>
      </c>
      <c r="G11255" t="s">
        <v>2</v>
      </c>
      <c r="H11255" t="s">
        <v>265</v>
      </c>
      <c r="I11255" t="s">
        <v>35095</v>
      </c>
      <c r="J11255" t="s">
        <v>26834</v>
      </c>
      <c r="P11255" t="s">
        <v>133</v>
      </c>
      <c r="Q11255" t="s">
        <v>26836</v>
      </c>
      <c r="V11255" t="s">
        <v>26837</v>
      </c>
      <c r="Y11255" t="s">
        <v>11205</v>
      </c>
    </row>
    <row r="11256" spans="1:25" x14ac:dyDescent="0.25">
      <c r="A11256" t="str">
        <f>"156453389464"</f>
        <v>156453389464</v>
      </c>
      <c r="B11256" t="s">
        <v>18</v>
      </c>
      <c r="C11256" t="s">
        <v>959</v>
      </c>
      <c r="D11256" t="s">
        <v>41703</v>
      </c>
      <c r="E11256">
        <v>424008</v>
      </c>
      <c r="F11256" t="s">
        <v>1</v>
      </c>
      <c r="G11256" t="s">
        <v>2</v>
      </c>
      <c r="H11256" t="s">
        <v>41704</v>
      </c>
      <c r="I11256" t="s">
        <v>41705</v>
      </c>
      <c r="P11256" t="s">
        <v>260</v>
      </c>
      <c r="Y11256" t="s">
        <v>41706</v>
      </c>
    </row>
    <row r="11257" spans="1:25" x14ac:dyDescent="0.25">
      <c r="A11257" t="str">
        <f>"156472810710"</f>
        <v>156472810710</v>
      </c>
      <c r="B11257" t="s">
        <v>18</v>
      </c>
      <c r="C11257" t="s">
        <v>21140</v>
      </c>
      <c r="D11257" t="s">
        <v>41707</v>
      </c>
      <c r="E11257">
        <v>424000</v>
      </c>
      <c r="F11257" t="s">
        <v>1</v>
      </c>
      <c r="G11257" t="s">
        <v>2</v>
      </c>
      <c r="H11257" t="s">
        <v>4427</v>
      </c>
      <c r="I11257" t="s">
        <v>41708</v>
      </c>
      <c r="J11257" t="s">
        <v>41709</v>
      </c>
      <c r="L11257" t="s">
        <v>41710</v>
      </c>
      <c r="M11257" t="s">
        <v>41711</v>
      </c>
      <c r="P11257" t="s">
        <v>41712</v>
      </c>
      <c r="Q11257" t="s">
        <v>41713</v>
      </c>
      <c r="Y11257" t="s">
        <v>4431</v>
      </c>
    </row>
    <row r="11258" spans="1:25" x14ac:dyDescent="0.25">
      <c r="A11258" t="str">
        <f>"156480218354"</f>
        <v>156480218354</v>
      </c>
      <c r="B11258" t="s">
        <v>574</v>
      </c>
      <c r="C11258" t="s">
        <v>23520</v>
      </c>
      <c r="D11258" t="s">
        <v>41714</v>
      </c>
      <c r="E11258">
        <v>424032</v>
      </c>
      <c r="F11258" t="s">
        <v>1</v>
      </c>
      <c r="G11258" t="s">
        <v>2</v>
      </c>
      <c r="H11258" t="s">
        <v>24307</v>
      </c>
      <c r="Y11258" t="s">
        <v>24310</v>
      </c>
    </row>
    <row r="11259" spans="1:25" x14ac:dyDescent="0.25">
      <c r="A11259" t="str">
        <f>"156509530005"</f>
        <v>156509530005</v>
      </c>
      <c r="B11259" t="s">
        <v>469</v>
      </c>
      <c r="C11259" t="s">
        <v>41717</v>
      </c>
      <c r="D11259" t="s">
        <v>24383</v>
      </c>
      <c r="E11259">
        <v>424007</v>
      </c>
      <c r="F11259" t="s">
        <v>1</v>
      </c>
      <c r="G11259" t="s">
        <v>2</v>
      </c>
      <c r="H11259" t="s">
        <v>41715</v>
      </c>
      <c r="J11259" t="s">
        <v>41716</v>
      </c>
      <c r="P11259" t="s">
        <v>41718</v>
      </c>
      <c r="V11259" t="s">
        <v>41719</v>
      </c>
      <c r="Y11259" t="s">
        <v>41720</v>
      </c>
    </row>
    <row r="11260" spans="1:25" x14ac:dyDescent="0.25">
      <c r="A11260" t="str">
        <f>"156523208759"</f>
        <v>156523208759</v>
      </c>
      <c r="B11260" t="s">
        <v>1182</v>
      </c>
      <c r="C11260" t="s">
        <v>6011</v>
      </c>
      <c r="D11260" t="s">
        <v>22044</v>
      </c>
      <c r="E11260">
        <v>424000</v>
      </c>
      <c r="F11260" t="s">
        <v>1</v>
      </c>
      <c r="G11260" t="s">
        <v>2</v>
      </c>
      <c r="H11260" t="s">
        <v>4255</v>
      </c>
      <c r="J11260" t="s">
        <v>22046</v>
      </c>
      <c r="L11260" t="s">
        <v>22047</v>
      </c>
      <c r="M11260" t="s">
        <v>22048</v>
      </c>
      <c r="Y11260" t="s">
        <v>4256</v>
      </c>
    </row>
    <row r="11261" spans="1:25" x14ac:dyDescent="0.25">
      <c r="A11261" t="str">
        <f>"156576679571"</f>
        <v>156576679571</v>
      </c>
      <c r="B11261" t="s">
        <v>2178</v>
      </c>
      <c r="C11261" t="s">
        <v>3223</v>
      </c>
      <c r="D11261" t="s">
        <v>41721</v>
      </c>
      <c r="E11261">
        <v>424033</v>
      </c>
      <c r="F11261" t="s">
        <v>1</v>
      </c>
      <c r="G11261" t="s">
        <v>2</v>
      </c>
      <c r="H11261" t="s">
        <v>25565</v>
      </c>
      <c r="I11261" t="s">
        <v>41722</v>
      </c>
      <c r="P11261" t="s">
        <v>2839</v>
      </c>
      <c r="Y11261" t="s">
        <v>35026</v>
      </c>
    </row>
    <row r="11262" spans="1:25" x14ac:dyDescent="0.25">
      <c r="A11262" t="str">
        <f>"156620881698"</f>
        <v>156620881698</v>
      </c>
      <c r="B11262" t="s">
        <v>1053</v>
      </c>
      <c r="C11262" t="s">
        <v>41727</v>
      </c>
      <c r="D11262" t="s">
        <v>41723</v>
      </c>
      <c r="E11262">
        <v>424006</v>
      </c>
      <c r="F11262" t="s">
        <v>1</v>
      </c>
      <c r="G11262" t="s">
        <v>2</v>
      </c>
      <c r="H11262" t="s">
        <v>35806</v>
      </c>
      <c r="I11262" t="s">
        <v>41724</v>
      </c>
      <c r="L11262" t="s">
        <v>41725</v>
      </c>
      <c r="M11262" t="s">
        <v>41726</v>
      </c>
      <c r="P11262" t="s">
        <v>330</v>
      </c>
      <c r="Y11262" t="s">
        <v>41728</v>
      </c>
    </row>
    <row r="11263" spans="1:25" x14ac:dyDescent="0.25">
      <c r="A11263" t="str">
        <f>"156672385710"</f>
        <v>156672385710</v>
      </c>
      <c r="B11263" t="s">
        <v>2104</v>
      </c>
      <c r="C11263" t="s">
        <v>21175</v>
      </c>
      <c r="D11263" t="s">
        <v>41729</v>
      </c>
      <c r="E11263">
        <v>424002</v>
      </c>
      <c r="F11263" t="s">
        <v>1</v>
      </c>
      <c r="G11263" t="s">
        <v>2</v>
      </c>
      <c r="H11263" t="s">
        <v>11351</v>
      </c>
      <c r="J11263" t="s">
        <v>41730</v>
      </c>
      <c r="M11263" t="s">
        <v>41731</v>
      </c>
      <c r="P11263" t="s">
        <v>1306</v>
      </c>
      <c r="Y11263" t="s">
        <v>41732</v>
      </c>
    </row>
    <row r="11264" spans="1:25" x14ac:dyDescent="0.25">
      <c r="A11264" t="str">
        <f>"156675720255"</f>
        <v>156675720255</v>
      </c>
      <c r="B11264" t="s">
        <v>284</v>
      </c>
      <c r="C11264" t="s">
        <v>711</v>
      </c>
      <c r="D11264" t="s">
        <v>41733</v>
      </c>
      <c r="E11264">
        <v>424006</v>
      </c>
      <c r="F11264" t="s">
        <v>1</v>
      </c>
      <c r="G11264" t="s">
        <v>2</v>
      </c>
      <c r="H11264" t="s">
        <v>5846</v>
      </c>
      <c r="J11264" t="s">
        <v>17936</v>
      </c>
      <c r="P11264" t="s">
        <v>133</v>
      </c>
      <c r="Y11264" t="s">
        <v>17495</v>
      </c>
    </row>
    <row r="11265" spans="1:25" x14ac:dyDescent="0.25">
      <c r="A11265" t="str">
        <f>"156691282146"</f>
        <v>156691282146</v>
      </c>
      <c r="B11265" t="s">
        <v>687</v>
      </c>
      <c r="C11265" t="s">
        <v>41736</v>
      </c>
      <c r="D11265" t="s">
        <v>41734</v>
      </c>
      <c r="E11265">
        <v>424006</v>
      </c>
      <c r="F11265" t="s">
        <v>1</v>
      </c>
      <c r="G11265" t="s">
        <v>2</v>
      </c>
      <c r="H11265" t="s">
        <v>1645</v>
      </c>
      <c r="I11265" t="s">
        <v>41735</v>
      </c>
      <c r="P11265" t="s">
        <v>27</v>
      </c>
      <c r="Y11265" t="s">
        <v>4478</v>
      </c>
    </row>
    <row r="11266" spans="1:25" x14ac:dyDescent="0.25">
      <c r="A11266" t="str">
        <f>"156730716169"</f>
        <v>156730716169</v>
      </c>
      <c r="B11266" t="s">
        <v>574</v>
      </c>
      <c r="C11266" t="s">
        <v>646</v>
      </c>
      <c r="D11266" t="s">
        <v>163</v>
      </c>
      <c r="E11266">
        <v>424007</v>
      </c>
      <c r="F11266" t="s">
        <v>1</v>
      </c>
      <c r="G11266" t="s">
        <v>2</v>
      </c>
      <c r="H11266" t="s">
        <v>30559</v>
      </c>
      <c r="Y11266" t="s">
        <v>41737</v>
      </c>
    </row>
    <row r="11267" spans="1:25" x14ac:dyDescent="0.25">
      <c r="A11267" t="str">
        <f>"156734088711"</f>
        <v>156734088711</v>
      </c>
      <c r="B11267" t="s">
        <v>687</v>
      </c>
      <c r="C11267" t="s">
        <v>41739</v>
      </c>
      <c r="D11267" t="s">
        <v>41738</v>
      </c>
      <c r="E11267">
        <v>424038</v>
      </c>
      <c r="F11267" t="s">
        <v>1</v>
      </c>
      <c r="G11267" t="s">
        <v>2</v>
      </c>
      <c r="H11267" t="s">
        <v>14471</v>
      </c>
      <c r="Y11267" t="s">
        <v>18262</v>
      </c>
    </row>
    <row r="11268" spans="1:25" x14ac:dyDescent="0.25">
      <c r="A11268" t="str">
        <f>"156745969148"</f>
        <v>156745969148</v>
      </c>
      <c r="B11268" t="s">
        <v>930</v>
      </c>
      <c r="C11268" t="s">
        <v>28791</v>
      </c>
      <c r="D11268" t="s">
        <v>927</v>
      </c>
      <c r="F11268" t="s">
        <v>1</v>
      </c>
      <c r="G11268" t="s">
        <v>2</v>
      </c>
      <c r="H11268" t="s">
        <v>12610</v>
      </c>
      <c r="J11268" t="s">
        <v>41740</v>
      </c>
      <c r="P11268" t="s">
        <v>330</v>
      </c>
      <c r="Y11268" t="s">
        <v>41741</v>
      </c>
    </row>
    <row r="11269" spans="1:25" x14ac:dyDescent="0.25">
      <c r="A11269" t="str">
        <f>"156748258100"</f>
        <v>156748258100</v>
      </c>
      <c r="B11269" t="s">
        <v>1152</v>
      </c>
      <c r="C11269" t="s">
        <v>1385</v>
      </c>
      <c r="D11269" t="s">
        <v>28279</v>
      </c>
      <c r="E11269">
        <v>424005</v>
      </c>
      <c r="F11269" t="s">
        <v>1</v>
      </c>
      <c r="G11269" t="s">
        <v>2</v>
      </c>
      <c r="H11269" t="s">
        <v>34699</v>
      </c>
      <c r="Y11269" t="s">
        <v>41742</v>
      </c>
    </row>
    <row r="11270" spans="1:25" x14ac:dyDescent="0.25">
      <c r="A11270" t="str">
        <f>"156765453089"</f>
        <v>156765453089</v>
      </c>
      <c r="B11270" t="s">
        <v>1323</v>
      </c>
      <c r="C11270" t="s">
        <v>1324</v>
      </c>
      <c r="D11270" t="s">
        <v>41743</v>
      </c>
      <c r="E11270">
        <v>424002</v>
      </c>
      <c r="F11270" t="s">
        <v>1</v>
      </c>
      <c r="G11270" t="s">
        <v>2</v>
      </c>
      <c r="H11270" t="s">
        <v>6397</v>
      </c>
      <c r="L11270" t="s">
        <v>4465</v>
      </c>
      <c r="M11270" t="s">
        <v>35664</v>
      </c>
      <c r="P11270" t="s">
        <v>10133</v>
      </c>
      <c r="Q11270" t="s">
        <v>4468</v>
      </c>
      <c r="T11270" t="s">
        <v>40453</v>
      </c>
      <c r="U11270" t="s">
        <v>40454</v>
      </c>
      <c r="Y11270" t="s">
        <v>6401</v>
      </c>
    </row>
    <row r="11271" spans="1:25" x14ac:dyDescent="0.25">
      <c r="A11271" t="str">
        <f>"156814101825"</f>
        <v>156814101825</v>
      </c>
      <c r="B11271" t="s">
        <v>574</v>
      </c>
      <c r="C11271" t="s">
        <v>646</v>
      </c>
      <c r="D11271" t="s">
        <v>24036</v>
      </c>
      <c r="E11271">
        <v>424038</v>
      </c>
      <c r="F11271" t="s">
        <v>1</v>
      </c>
      <c r="G11271" t="s">
        <v>2</v>
      </c>
      <c r="H11271" t="s">
        <v>24788</v>
      </c>
      <c r="P11271" t="s">
        <v>9840</v>
      </c>
      <c r="Y11271" t="s">
        <v>41744</v>
      </c>
    </row>
    <row r="11272" spans="1:25" x14ac:dyDescent="0.25">
      <c r="A11272" t="str">
        <f>"156838504463"</f>
        <v>156838504463</v>
      </c>
      <c r="B11272" t="s">
        <v>1046</v>
      </c>
      <c r="C11272" t="s">
        <v>13439</v>
      </c>
      <c r="D11272" t="s">
        <v>41745</v>
      </c>
      <c r="E11272">
        <v>424000</v>
      </c>
      <c r="F11272" t="s">
        <v>1</v>
      </c>
      <c r="G11272" t="s">
        <v>2</v>
      </c>
      <c r="H11272" t="s">
        <v>128</v>
      </c>
      <c r="Y11272" t="s">
        <v>41746</v>
      </c>
    </row>
    <row r="11273" spans="1:25" x14ac:dyDescent="0.25">
      <c r="A11273" t="str">
        <f>"156877708763"</f>
        <v>156877708763</v>
      </c>
      <c r="B11273" t="s">
        <v>2846</v>
      </c>
      <c r="C11273" t="s">
        <v>5305</v>
      </c>
      <c r="D11273" t="s">
        <v>41747</v>
      </c>
      <c r="E11273">
        <v>424002</v>
      </c>
      <c r="F11273" t="s">
        <v>1</v>
      </c>
      <c r="G11273" t="s">
        <v>2</v>
      </c>
      <c r="H11273" t="s">
        <v>3864</v>
      </c>
      <c r="J11273" t="s">
        <v>41748</v>
      </c>
      <c r="L11273" t="s">
        <v>41749</v>
      </c>
      <c r="M11273" t="s">
        <v>41750</v>
      </c>
      <c r="P11273" t="s">
        <v>1760</v>
      </c>
      <c r="Q11273" t="s">
        <v>41751</v>
      </c>
      <c r="R11273" t="s">
        <v>41752</v>
      </c>
      <c r="U11273" t="s">
        <v>41753</v>
      </c>
      <c r="V11273" t="s">
        <v>41754</v>
      </c>
      <c r="Y11273" t="s">
        <v>3867</v>
      </c>
    </row>
    <row r="11274" spans="1:25" x14ac:dyDescent="0.25">
      <c r="A11274" t="str">
        <f>"156920958897"</f>
        <v>156920958897</v>
      </c>
      <c r="B11274" t="s">
        <v>176</v>
      </c>
      <c r="C11274" t="s">
        <v>566</v>
      </c>
      <c r="D11274" t="s">
        <v>9579</v>
      </c>
      <c r="E11274">
        <v>424039</v>
      </c>
      <c r="F11274" t="s">
        <v>1</v>
      </c>
      <c r="G11274" t="s">
        <v>2</v>
      </c>
      <c r="H11274" t="s">
        <v>9580</v>
      </c>
      <c r="I11274" t="s">
        <v>9581</v>
      </c>
      <c r="J11274" t="s">
        <v>41755</v>
      </c>
      <c r="M11274" t="s">
        <v>41756</v>
      </c>
      <c r="P11274" t="s">
        <v>330</v>
      </c>
      <c r="Q11274" t="s">
        <v>9585</v>
      </c>
      <c r="R11274" t="s">
        <v>41757</v>
      </c>
      <c r="T11274" t="s">
        <v>41758</v>
      </c>
      <c r="U11274" t="s">
        <v>41759</v>
      </c>
      <c r="V11274" t="s">
        <v>41760</v>
      </c>
      <c r="Y11274" t="s">
        <v>41761</v>
      </c>
    </row>
    <row r="11275" spans="1:25" x14ac:dyDescent="0.25">
      <c r="A11275" t="str">
        <f>"156935207579"</f>
        <v>156935207579</v>
      </c>
      <c r="B11275" t="s">
        <v>176</v>
      </c>
      <c r="C11275" t="s">
        <v>279</v>
      </c>
      <c r="D11275" t="s">
        <v>41762</v>
      </c>
      <c r="E11275">
        <v>424002</v>
      </c>
      <c r="F11275" t="s">
        <v>1</v>
      </c>
      <c r="G11275" t="s">
        <v>2</v>
      </c>
      <c r="H11275" t="s">
        <v>25759</v>
      </c>
      <c r="L11275" t="s">
        <v>14566</v>
      </c>
      <c r="M11275" t="s">
        <v>35664</v>
      </c>
      <c r="Y11275" t="s">
        <v>41763</v>
      </c>
    </row>
    <row r="11276" spans="1:25" x14ac:dyDescent="0.25">
      <c r="A11276" t="str">
        <f>"156946909220"</f>
        <v>156946909220</v>
      </c>
      <c r="B11276" t="s">
        <v>96</v>
      </c>
      <c r="C11276" t="s">
        <v>2285</v>
      </c>
      <c r="D11276" t="s">
        <v>21044</v>
      </c>
      <c r="E11276">
        <v>424000</v>
      </c>
      <c r="F11276" t="s">
        <v>1</v>
      </c>
      <c r="G11276" t="s">
        <v>2</v>
      </c>
      <c r="H11276" t="s">
        <v>7049</v>
      </c>
      <c r="J11276" t="s">
        <v>21045</v>
      </c>
      <c r="P11276" t="s">
        <v>312</v>
      </c>
      <c r="Q11276" t="s">
        <v>41764</v>
      </c>
      <c r="Y11276" t="s">
        <v>16917</v>
      </c>
    </row>
    <row r="11277" spans="1:25" x14ac:dyDescent="0.25">
      <c r="A11277" t="str">
        <f>"156973273421"</f>
        <v>156973273421</v>
      </c>
      <c r="B11277" t="s">
        <v>624</v>
      </c>
      <c r="C11277" t="s">
        <v>1637</v>
      </c>
      <c r="D11277" t="s">
        <v>41765</v>
      </c>
      <c r="E11277">
        <v>424006</v>
      </c>
      <c r="F11277" t="s">
        <v>1</v>
      </c>
      <c r="G11277" t="s">
        <v>2</v>
      </c>
      <c r="H11277" t="s">
        <v>1645</v>
      </c>
      <c r="J11277" t="s">
        <v>41766</v>
      </c>
      <c r="P11277" t="s">
        <v>9</v>
      </c>
      <c r="Y11277" t="s">
        <v>4478</v>
      </c>
    </row>
    <row r="11278" spans="1:25" x14ac:dyDescent="0.25">
      <c r="A11278" t="str">
        <f>"156993821421"</f>
        <v>156993821421</v>
      </c>
      <c r="B11278" t="s">
        <v>110</v>
      </c>
      <c r="C11278" t="s">
        <v>12676</v>
      </c>
      <c r="D11278" t="s">
        <v>41767</v>
      </c>
      <c r="E11278">
        <v>424002</v>
      </c>
      <c r="F11278" t="s">
        <v>1</v>
      </c>
      <c r="G11278" t="s">
        <v>2</v>
      </c>
      <c r="H11278" t="s">
        <v>5381</v>
      </c>
      <c r="Y11278" t="s">
        <v>41768</v>
      </c>
    </row>
    <row r="11279" spans="1:25" x14ac:dyDescent="0.25">
      <c r="A11279" t="str">
        <f>"157032732036"</f>
        <v>157032732036</v>
      </c>
      <c r="B11279" t="s">
        <v>188</v>
      </c>
      <c r="C11279" t="s">
        <v>8311</v>
      </c>
      <c r="D11279" t="s">
        <v>41769</v>
      </c>
      <c r="E11279">
        <v>424038</v>
      </c>
      <c r="F11279" t="s">
        <v>1</v>
      </c>
      <c r="G11279" t="s">
        <v>2</v>
      </c>
      <c r="H11279" t="s">
        <v>19499</v>
      </c>
      <c r="J11279" t="s">
        <v>41770</v>
      </c>
      <c r="L11279" t="s">
        <v>25071</v>
      </c>
      <c r="M11279" t="s">
        <v>25072</v>
      </c>
      <c r="P11279" t="s">
        <v>144</v>
      </c>
      <c r="Q11279" t="s">
        <v>25074</v>
      </c>
      <c r="R11279" t="s">
        <v>41771</v>
      </c>
      <c r="S11279" t="s">
        <v>25075</v>
      </c>
      <c r="T11279" t="s">
        <v>25076</v>
      </c>
      <c r="U11279" t="s">
        <v>25077</v>
      </c>
      <c r="V11279" t="s">
        <v>25078</v>
      </c>
      <c r="Y11279" t="s">
        <v>41772</v>
      </c>
    </row>
    <row r="11280" spans="1:25" x14ac:dyDescent="0.25">
      <c r="A11280" t="str">
        <f>"157041704852"</f>
        <v>157041704852</v>
      </c>
      <c r="B11280" t="s">
        <v>96</v>
      </c>
      <c r="C11280" t="s">
        <v>22202</v>
      </c>
      <c r="D11280" t="s">
        <v>41773</v>
      </c>
      <c r="E11280">
        <v>424038</v>
      </c>
      <c r="F11280" t="s">
        <v>1</v>
      </c>
      <c r="G11280" t="s">
        <v>2</v>
      </c>
      <c r="H11280" t="s">
        <v>2614</v>
      </c>
      <c r="Y11280" t="s">
        <v>41774</v>
      </c>
    </row>
    <row r="11281" spans="1:25" x14ac:dyDescent="0.25">
      <c r="A11281" t="str">
        <f>"157122743054"</f>
        <v>157122743054</v>
      </c>
      <c r="B11281" t="s">
        <v>530</v>
      </c>
      <c r="C11281" t="s">
        <v>23950</v>
      </c>
      <c r="D11281" t="s">
        <v>23950</v>
      </c>
      <c r="F11281" t="s">
        <v>1</v>
      </c>
      <c r="G11281" t="s">
        <v>2</v>
      </c>
      <c r="H11281" t="s">
        <v>41775</v>
      </c>
      <c r="Y11281" t="s">
        <v>41776</v>
      </c>
    </row>
    <row r="11282" spans="1:25" x14ac:dyDescent="0.25">
      <c r="A11282" t="str">
        <f>"157127649584"</f>
        <v>157127649584</v>
      </c>
      <c r="B11282" t="s">
        <v>96</v>
      </c>
      <c r="C11282" t="s">
        <v>893</v>
      </c>
      <c r="D11282" t="s">
        <v>41777</v>
      </c>
      <c r="E11282">
        <v>424000</v>
      </c>
      <c r="F11282" t="s">
        <v>1</v>
      </c>
      <c r="G11282" t="s">
        <v>2</v>
      </c>
      <c r="H11282" t="s">
        <v>1473</v>
      </c>
      <c r="J11282" t="s">
        <v>41778</v>
      </c>
      <c r="P11282" t="s">
        <v>941</v>
      </c>
      <c r="Q11282" t="s">
        <v>41779</v>
      </c>
      <c r="Y11282" t="s">
        <v>4067</v>
      </c>
    </row>
    <row r="11283" spans="1:25" x14ac:dyDescent="0.25">
      <c r="A11283" t="str">
        <f>"157191859758"</f>
        <v>157191859758</v>
      </c>
      <c r="B11283" t="s">
        <v>117</v>
      </c>
      <c r="C11283" t="s">
        <v>873</v>
      </c>
      <c r="D11283" t="s">
        <v>873</v>
      </c>
      <c r="E11283">
        <v>424031</v>
      </c>
      <c r="F11283" t="s">
        <v>1</v>
      </c>
      <c r="G11283" t="s">
        <v>2</v>
      </c>
      <c r="H11283" t="s">
        <v>41780</v>
      </c>
      <c r="Y11283" t="s">
        <v>41781</v>
      </c>
    </row>
    <row r="11284" spans="1:25" x14ac:dyDescent="0.25">
      <c r="A11284" t="str">
        <f>"157229257428"</f>
        <v>157229257428</v>
      </c>
      <c r="B11284" t="s">
        <v>930</v>
      </c>
      <c r="C11284" t="s">
        <v>10263</v>
      </c>
      <c r="D11284" t="s">
        <v>2161</v>
      </c>
      <c r="E11284">
        <v>424040</v>
      </c>
      <c r="F11284" t="s">
        <v>1</v>
      </c>
      <c r="G11284" t="s">
        <v>2</v>
      </c>
      <c r="H11284" t="s">
        <v>21033</v>
      </c>
      <c r="L11284" t="s">
        <v>8571</v>
      </c>
      <c r="M11284" t="s">
        <v>41782</v>
      </c>
      <c r="Y11284" t="s">
        <v>41783</v>
      </c>
    </row>
    <row r="11285" spans="1:25" x14ac:dyDescent="0.25">
      <c r="A11285" t="str">
        <f>"157238678014"</f>
        <v>157238678014</v>
      </c>
      <c r="B11285" t="s">
        <v>462</v>
      </c>
      <c r="C11285" t="s">
        <v>1140</v>
      </c>
      <c r="D11285" t="s">
        <v>41784</v>
      </c>
      <c r="E11285">
        <v>424002</v>
      </c>
      <c r="F11285" t="s">
        <v>1</v>
      </c>
      <c r="G11285" t="s">
        <v>2</v>
      </c>
      <c r="H11285" t="s">
        <v>3504</v>
      </c>
      <c r="I11285" t="s">
        <v>41785</v>
      </c>
      <c r="J11285" t="s">
        <v>41786</v>
      </c>
      <c r="P11285" t="s">
        <v>152</v>
      </c>
      <c r="Y11285" t="s">
        <v>3506</v>
      </c>
    </row>
    <row r="11286" spans="1:25" x14ac:dyDescent="0.25">
      <c r="A11286" t="str">
        <f>"157275858246"</f>
        <v>157275858246</v>
      </c>
      <c r="B11286" t="s">
        <v>888</v>
      </c>
      <c r="C11286" t="s">
        <v>41789</v>
      </c>
      <c r="D11286" t="s">
        <v>41787</v>
      </c>
      <c r="E11286">
        <v>424020</v>
      </c>
      <c r="F11286" t="s">
        <v>1</v>
      </c>
      <c r="G11286" t="s">
        <v>2</v>
      </c>
      <c r="H11286" t="s">
        <v>9442</v>
      </c>
      <c r="J11286" t="s">
        <v>41788</v>
      </c>
      <c r="P11286" t="s">
        <v>330</v>
      </c>
      <c r="Q11286" t="s">
        <v>41790</v>
      </c>
      <c r="U11286" t="s">
        <v>41791</v>
      </c>
      <c r="V11286" t="s">
        <v>41792</v>
      </c>
      <c r="Y11286" t="s">
        <v>41793</v>
      </c>
    </row>
    <row r="11287" spans="1:25" x14ac:dyDescent="0.25">
      <c r="A11287" t="str">
        <f>"157276355730"</f>
        <v>157276355730</v>
      </c>
      <c r="B11287" t="s">
        <v>2790</v>
      </c>
      <c r="C11287" t="s">
        <v>3528</v>
      </c>
      <c r="D11287" t="s">
        <v>41794</v>
      </c>
      <c r="E11287">
        <v>424031</v>
      </c>
      <c r="F11287" t="s">
        <v>1</v>
      </c>
      <c r="G11287" t="s">
        <v>2</v>
      </c>
      <c r="H11287" t="s">
        <v>18205</v>
      </c>
      <c r="I11287" t="s">
        <v>41795</v>
      </c>
      <c r="Y11287" t="s">
        <v>41796</v>
      </c>
    </row>
    <row r="11288" spans="1:25" x14ac:dyDescent="0.25">
      <c r="A11288" t="str">
        <f>"157296046500"</f>
        <v>157296046500</v>
      </c>
      <c r="B11288" t="s">
        <v>703</v>
      </c>
      <c r="C11288" t="s">
        <v>3518</v>
      </c>
      <c r="D11288" t="s">
        <v>41797</v>
      </c>
      <c r="F11288" t="s">
        <v>1</v>
      </c>
      <c r="G11288" t="s">
        <v>2</v>
      </c>
      <c r="H11288" t="s">
        <v>7547</v>
      </c>
      <c r="Y11288" t="s">
        <v>41798</v>
      </c>
    </row>
    <row r="11289" spans="1:25" x14ac:dyDescent="0.25">
      <c r="A11289" t="str">
        <f>"157323829001"</f>
        <v>157323829001</v>
      </c>
      <c r="B11289" t="s">
        <v>32</v>
      </c>
      <c r="C11289" t="s">
        <v>182</v>
      </c>
      <c r="D11289" t="s">
        <v>41799</v>
      </c>
      <c r="F11289" t="s">
        <v>1</v>
      </c>
      <c r="G11289" t="s">
        <v>2</v>
      </c>
      <c r="H11289" t="s">
        <v>27421</v>
      </c>
      <c r="Y11289" t="s">
        <v>41800</v>
      </c>
    </row>
    <row r="11290" spans="1:25" x14ac:dyDescent="0.25">
      <c r="A11290" t="str">
        <f>"157407122025"</f>
        <v>157407122025</v>
      </c>
      <c r="B11290" t="s">
        <v>574</v>
      </c>
      <c r="C11290" t="s">
        <v>646</v>
      </c>
      <c r="D11290" t="s">
        <v>41801</v>
      </c>
      <c r="E11290">
        <v>424019</v>
      </c>
      <c r="F11290" t="s">
        <v>1</v>
      </c>
      <c r="G11290" t="s">
        <v>2</v>
      </c>
      <c r="H11290" t="s">
        <v>23956</v>
      </c>
      <c r="Y11290" t="s">
        <v>41802</v>
      </c>
    </row>
    <row r="11291" spans="1:25" x14ac:dyDescent="0.25">
      <c r="A11291" t="str">
        <f>"157465684081"</f>
        <v>157465684081</v>
      </c>
      <c r="B11291" t="s">
        <v>96</v>
      </c>
      <c r="C11291" t="s">
        <v>5515</v>
      </c>
      <c r="D11291" t="s">
        <v>41803</v>
      </c>
      <c r="E11291">
        <v>424038</v>
      </c>
      <c r="F11291" t="s">
        <v>1</v>
      </c>
      <c r="G11291" t="s">
        <v>2</v>
      </c>
      <c r="H11291" t="s">
        <v>7597</v>
      </c>
      <c r="I11291" t="s">
        <v>41804</v>
      </c>
      <c r="L11291" t="s">
        <v>41805</v>
      </c>
      <c r="M11291" t="s">
        <v>41806</v>
      </c>
      <c r="P11291" t="s">
        <v>1642</v>
      </c>
      <c r="Q11291" t="s">
        <v>41807</v>
      </c>
      <c r="R11291" t="s">
        <v>41808</v>
      </c>
      <c r="T11291" t="s">
        <v>41809</v>
      </c>
      <c r="V11291" t="s">
        <v>41810</v>
      </c>
      <c r="Y11291" t="s">
        <v>41811</v>
      </c>
    </row>
    <row r="11292" spans="1:25" x14ac:dyDescent="0.25">
      <c r="A11292" t="str">
        <f>"157467802590"</f>
        <v>157467802590</v>
      </c>
      <c r="B11292" t="s">
        <v>1152</v>
      </c>
      <c r="C11292" t="s">
        <v>1153</v>
      </c>
      <c r="D11292" t="s">
        <v>10280</v>
      </c>
      <c r="E11292">
        <v>424028</v>
      </c>
      <c r="F11292" t="s">
        <v>1</v>
      </c>
      <c r="G11292" t="s">
        <v>2</v>
      </c>
      <c r="H11292" t="s">
        <v>41812</v>
      </c>
      <c r="I11292" t="s">
        <v>22092</v>
      </c>
      <c r="M11292" t="s">
        <v>10284</v>
      </c>
      <c r="P11292" t="s">
        <v>60</v>
      </c>
      <c r="Q11292" t="s">
        <v>10286</v>
      </c>
      <c r="R11292" t="s">
        <v>10287</v>
      </c>
      <c r="S11292" t="s">
        <v>10288</v>
      </c>
      <c r="T11292" t="s">
        <v>10289</v>
      </c>
      <c r="U11292" t="s">
        <v>10290</v>
      </c>
      <c r="V11292" t="s">
        <v>10291</v>
      </c>
      <c r="Y11292" t="s">
        <v>41813</v>
      </c>
    </row>
    <row r="11293" spans="1:25" x14ac:dyDescent="0.25">
      <c r="A11293" t="str">
        <f>"157525519686"</f>
        <v>157525519686</v>
      </c>
      <c r="B11293" t="s">
        <v>96</v>
      </c>
      <c r="C11293" t="s">
        <v>24042</v>
      </c>
      <c r="D11293" t="s">
        <v>24127</v>
      </c>
      <c r="E11293">
        <v>424006</v>
      </c>
      <c r="F11293" t="s">
        <v>1</v>
      </c>
      <c r="G11293" t="s">
        <v>2</v>
      </c>
      <c r="H11293" t="s">
        <v>41814</v>
      </c>
      <c r="Y11293" t="s">
        <v>41815</v>
      </c>
    </row>
    <row r="11294" spans="1:25" x14ac:dyDescent="0.25">
      <c r="A11294" t="str">
        <f>"157542727408"</f>
        <v>157542727408</v>
      </c>
      <c r="B11294" t="s">
        <v>2601</v>
      </c>
      <c r="C11294" t="s">
        <v>27941</v>
      </c>
      <c r="D11294" t="s">
        <v>41816</v>
      </c>
      <c r="E11294">
        <v>424000</v>
      </c>
      <c r="F11294" t="s">
        <v>1</v>
      </c>
      <c r="G11294" t="s">
        <v>2</v>
      </c>
      <c r="H11294" t="s">
        <v>92</v>
      </c>
      <c r="Y11294" t="s">
        <v>28397</v>
      </c>
    </row>
    <row r="11295" spans="1:25" x14ac:dyDescent="0.25">
      <c r="A11295" t="str">
        <f>"157565792034"</f>
        <v>157565792034</v>
      </c>
      <c r="B11295" t="s">
        <v>430</v>
      </c>
      <c r="C11295" t="s">
        <v>11849</v>
      </c>
      <c r="D11295" t="s">
        <v>41817</v>
      </c>
      <c r="E11295">
        <v>424000</v>
      </c>
      <c r="F11295" t="s">
        <v>1</v>
      </c>
      <c r="G11295" t="s">
        <v>2</v>
      </c>
      <c r="H11295" t="s">
        <v>7628</v>
      </c>
      <c r="I11295" t="s">
        <v>41818</v>
      </c>
      <c r="L11295" t="s">
        <v>41819</v>
      </c>
      <c r="M11295" t="s">
        <v>41820</v>
      </c>
      <c r="P11295" t="s">
        <v>330</v>
      </c>
      <c r="Q11295" t="s">
        <v>41821</v>
      </c>
      <c r="T11295" t="s">
        <v>41822</v>
      </c>
      <c r="V11295" t="s">
        <v>41823</v>
      </c>
      <c r="Y11295" t="s">
        <v>2476</v>
      </c>
    </row>
    <row r="11296" spans="1:25" x14ac:dyDescent="0.25">
      <c r="A11296" t="str">
        <f>"157591553688"</f>
        <v>157591553688</v>
      </c>
      <c r="B11296" t="s">
        <v>1544</v>
      </c>
      <c r="C11296" t="s">
        <v>7974</v>
      </c>
      <c r="D11296" t="s">
        <v>41824</v>
      </c>
      <c r="F11296" t="s">
        <v>1</v>
      </c>
      <c r="G11296" t="s">
        <v>2</v>
      </c>
      <c r="H11296" t="s">
        <v>24571</v>
      </c>
      <c r="J11296" t="s">
        <v>41825</v>
      </c>
      <c r="P11296" t="s">
        <v>1306</v>
      </c>
      <c r="Y11296" t="s">
        <v>41826</v>
      </c>
    </row>
    <row r="11297" spans="1:25" x14ac:dyDescent="0.25">
      <c r="A11297" t="str">
        <f>"157650554075"</f>
        <v>157650554075</v>
      </c>
      <c r="B11297" t="s">
        <v>519</v>
      </c>
      <c r="C11297" t="s">
        <v>41828</v>
      </c>
      <c r="D11297" t="s">
        <v>25119</v>
      </c>
      <c r="E11297">
        <v>424036</v>
      </c>
      <c r="F11297" t="s">
        <v>1</v>
      </c>
      <c r="G11297" t="s">
        <v>2</v>
      </c>
      <c r="H11297" t="s">
        <v>8222</v>
      </c>
      <c r="J11297" t="s">
        <v>41827</v>
      </c>
      <c r="P11297" t="s">
        <v>2738</v>
      </c>
      <c r="Y11297" t="s">
        <v>12963</v>
      </c>
    </row>
    <row r="11298" spans="1:25" x14ac:dyDescent="0.25">
      <c r="A11298" t="str">
        <f>"157738094573"</f>
        <v>157738094573</v>
      </c>
      <c r="B11298" t="s">
        <v>151</v>
      </c>
      <c r="C11298" t="s">
        <v>1034</v>
      </c>
      <c r="D11298" t="s">
        <v>10304</v>
      </c>
      <c r="E11298">
        <v>424028</v>
      </c>
      <c r="F11298" t="s">
        <v>1</v>
      </c>
      <c r="G11298" t="s">
        <v>2</v>
      </c>
      <c r="H11298" t="s">
        <v>3628</v>
      </c>
      <c r="P11298" t="s">
        <v>330</v>
      </c>
      <c r="Y11298" t="s">
        <v>41829</v>
      </c>
    </row>
    <row r="11299" spans="1:25" x14ac:dyDescent="0.25">
      <c r="A11299" t="str">
        <f>"157744301177"</f>
        <v>157744301177</v>
      </c>
      <c r="B11299" t="s">
        <v>1152</v>
      </c>
      <c r="C11299" t="s">
        <v>1385</v>
      </c>
      <c r="D11299" t="s">
        <v>1385</v>
      </c>
      <c r="E11299">
        <v>424005</v>
      </c>
      <c r="F11299" t="s">
        <v>1</v>
      </c>
      <c r="G11299" t="s">
        <v>2</v>
      </c>
      <c r="H11299" t="s">
        <v>20684</v>
      </c>
      <c r="Y11299" t="s">
        <v>41830</v>
      </c>
    </row>
    <row r="11300" spans="1:25" x14ac:dyDescent="0.25">
      <c r="A11300" t="str">
        <f>"157746807079"</f>
        <v>157746807079</v>
      </c>
      <c r="B11300" t="s">
        <v>1573</v>
      </c>
      <c r="C11300" t="s">
        <v>1574</v>
      </c>
      <c r="D11300" t="s">
        <v>12894</v>
      </c>
      <c r="E11300">
        <v>424004</v>
      </c>
      <c r="F11300" t="s">
        <v>1</v>
      </c>
      <c r="G11300" t="s">
        <v>2</v>
      </c>
      <c r="H11300" t="s">
        <v>9044</v>
      </c>
      <c r="I11300" t="s">
        <v>9045</v>
      </c>
      <c r="Q11300" t="s">
        <v>41831</v>
      </c>
      <c r="Y11300" t="s">
        <v>9046</v>
      </c>
    </row>
    <row r="11301" spans="1:25" x14ac:dyDescent="0.25">
      <c r="A11301" t="str">
        <f>"157846084798"</f>
        <v>157846084798</v>
      </c>
      <c r="B11301" t="s">
        <v>2601</v>
      </c>
      <c r="C11301" t="s">
        <v>27941</v>
      </c>
      <c r="D11301" t="s">
        <v>41832</v>
      </c>
      <c r="E11301">
        <v>424038</v>
      </c>
      <c r="F11301" t="s">
        <v>1</v>
      </c>
      <c r="G11301" t="s">
        <v>2</v>
      </c>
      <c r="H11301" t="s">
        <v>465</v>
      </c>
      <c r="J11301" t="s">
        <v>41833</v>
      </c>
      <c r="P11301" t="s">
        <v>98</v>
      </c>
      <c r="Y11301" t="s">
        <v>476</v>
      </c>
    </row>
    <row r="11302" spans="1:25" x14ac:dyDescent="0.25">
      <c r="A11302" t="str">
        <f>"157859290814"</f>
        <v>157859290814</v>
      </c>
      <c r="B11302" t="s">
        <v>1544</v>
      </c>
      <c r="C11302" t="s">
        <v>3596</v>
      </c>
      <c r="D11302" t="s">
        <v>3596</v>
      </c>
      <c r="F11302" t="s">
        <v>1</v>
      </c>
      <c r="G11302" t="s">
        <v>2</v>
      </c>
      <c r="H11302" t="s">
        <v>7547</v>
      </c>
      <c r="Y11302" t="s">
        <v>41834</v>
      </c>
    </row>
    <row r="11303" spans="1:25" x14ac:dyDescent="0.25">
      <c r="A11303" t="str">
        <f>"157874735220"</f>
        <v>157874735220</v>
      </c>
      <c r="B11303" t="s">
        <v>176</v>
      </c>
      <c r="C11303" t="s">
        <v>566</v>
      </c>
      <c r="D11303" t="s">
        <v>41835</v>
      </c>
      <c r="E11303">
        <v>424031</v>
      </c>
      <c r="F11303" t="s">
        <v>1</v>
      </c>
      <c r="G11303" t="s">
        <v>2</v>
      </c>
      <c r="H11303" t="s">
        <v>11334</v>
      </c>
      <c r="P11303" t="s">
        <v>330</v>
      </c>
      <c r="Y11303" t="s">
        <v>41836</v>
      </c>
    </row>
    <row r="11304" spans="1:25" x14ac:dyDescent="0.25">
      <c r="A11304" t="str">
        <f>"157875260811"</f>
        <v>157875260811</v>
      </c>
      <c r="B11304" t="s">
        <v>738</v>
      </c>
      <c r="C11304" t="s">
        <v>3363</v>
      </c>
      <c r="D11304" t="s">
        <v>41837</v>
      </c>
      <c r="E11304">
        <v>424005</v>
      </c>
      <c r="F11304" t="s">
        <v>1</v>
      </c>
      <c r="G11304" t="s">
        <v>2</v>
      </c>
      <c r="H11304" t="s">
        <v>41838</v>
      </c>
      <c r="I11304" t="s">
        <v>17185</v>
      </c>
      <c r="L11304" t="s">
        <v>8198</v>
      </c>
      <c r="M11304" t="s">
        <v>17186</v>
      </c>
      <c r="P11304" t="s">
        <v>21500</v>
      </c>
      <c r="Q11304" t="s">
        <v>17188</v>
      </c>
      <c r="Y11304" t="s">
        <v>15967</v>
      </c>
    </row>
    <row r="11305" spans="1:25" x14ac:dyDescent="0.25">
      <c r="A11305" t="str">
        <f>"157877950677"</f>
        <v>157877950677</v>
      </c>
      <c r="B11305" t="s">
        <v>456</v>
      </c>
      <c r="C11305" t="s">
        <v>41843</v>
      </c>
      <c r="D11305" t="s">
        <v>41839</v>
      </c>
      <c r="E11305">
        <v>424002</v>
      </c>
      <c r="F11305" t="s">
        <v>1</v>
      </c>
      <c r="G11305" t="s">
        <v>2</v>
      </c>
      <c r="H11305" t="s">
        <v>570</v>
      </c>
      <c r="I11305" t="s">
        <v>41840</v>
      </c>
      <c r="L11305" t="s">
        <v>41841</v>
      </c>
      <c r="M11305" t="s">
        <v>41842</v>
      </c>
      <c r="P11305" t="s">
        <v>144</v>
      </c>
      <c r="Q11305" t="s">
        <v>41844</v>
      </c>
      <c r="R11305" t="s">
        <v>41845</v>
      </c>
      <c r="T11305" t="s">
        <v>41846</v>
      </c>
      <c r="U11305" t="s">
        <v>41847</v>
      </c>
      <c r="V11305" t="s">
        <v>41848</v>
      </c>
      <c r="Y11305" t="s">
        <v>18782</v>
      </c>
    </row>
    <row r="11306" spans="1:25" x14ac:dyDescent="0.25">
      <c r="A11306" t="str">
        <f>"157893896851"</f>
        <v>157893896851</v>
      </c>
      <c r="B11306" t="s">
        <v>319</v>
      </c>
      <c r="C11306" t="s">
        <v>24358</v>
      </c>
      <c r="D11306" t="s">
        <v>41849</v>
      </c>
      <c r="E11306">
        <v>424002</v>
      </c>
      <c r="F11306" t="s">
        <v>1</v>
      </c>
      <c r="G11306" t="s">
        <v>2</v>
      </c>
      <c r="H11306" t="s">
        <v>57</v>
      </c>
      <c r="M11306" t="s">
        <v>41850</v>
      </c>
      <c r="Y11306" t="s">
        <v>3783</v>
      </c>
    </row>
    <row r="11307" spans="1:25" x14ac:dyDescent="0.25">
      <c r="A11307" t="str">
        <f>"157896994313"</f>
        <v>157896994313</v>
      </c>
      <c r="B11307" t="s">
        <v>574</v>
      </c>
      <c r="C11307" t="s">
        <v>646</v>
      </c>
      <c r="D11307" t="s">
        <v>8759</v>
      </c>
      <c r="E11307">
        <v>424000</v>
      </c>
      <c r="F11307" t="s">
        <v>1</v>
      </c>
      <c r="G11307" t="s">
        <v>2</v>
      </c>
      <c r="H11307" t="s">
        <v>24175</v>
      </c>
      <c r="Y11307" t="s">
        <v>41851</v>
      </c>
    </row>
    <row r="11308" spans="1:25" x14ac:dyDescent="0.25">
      <c r="A11308" t="str">
        <f>"157903140639"</f>
        <v>157903140639</v>
      </c>
      <c r="B11308" t="s">
        <v>96</v>
      </c>
      <c r="C11308" t="s">
        <v>26416</v>
      </c>
      <c r="D11308" t="s">
        <v>27474</v>
      </c>
      <c r="E11308">
        <v>424000</v>
      </c>
      <c r="F11308" t="s">
        <v>1</v>
      </c>
      <c r="G11308" t="s">
        <v>2</v>
      </c>
      <c r="H11308" t="s">
        <v>1531</v>
      </c>
      <c r="Y11308" t="s">
        <v>1707</v>
      </c>
    </row>
    <row r="11309" spans="1:25" x14ac:dyDescent="0.25">
      <c r="A11309" t="str">
        <f>"157931662110"</f>
        <v>157931662110</v>
      </c>
      <c r="B11309" t="s">
        <v>88</v>
      </c>
      <c r="C11309" t="s">
        <v>8056</v>
      </c>
      <c r="D11309" t="s">
        <v>23167</v>
      </c>
      <c r="E11309">
        <v>424038</v>
      </c>
      <c r="F11309" t="s">
        <v>1</v>
      </c>
      <c r="G11309" t="s">
        <v>2</v>
      </c>
      <c r="H11309" t="s">
        <v>16988</v>
      </c>
      <c r="J11309" t="s">
        <v>41852</v>
      </c>
      <c r="P11309" t="s">
        <v>21707</v>
      </c>
      <c r="Y11309" t="s">
        <v>24701</v>
      </c>
    </row>
    <row r="11310" spans="1:25" x14ac:dyDescent="0.25">
      <c r="A11310" t="str">
        <f>"157939453625"</f>
        <v>157939453625</v>
      </c>
      <c r="B11310" t="s">
        <v>1152</v>
      </c>
      <c r="C11310" t="s">
        <v>41856</v>
      </c>
      <c r="D11310" t="s">
        <v>41853</v>
      </c>
      <c r="E11310">
        <v>424028</v>
      </c>
      <c r="F11310" t="s">
        <v>1</v>
      </c>
      <c r="G11310" t="s">
        <v>2</v>
      </c>
      <c r="H11310" t="s">
        <v>23258</v>
      </c>
      <c r="I11310" t="s">
        <v>41854</v>
      </c>
      <c r="J11310" t="s">
        <v>41855</v>
      </c>
      <c r="P11310" t="s">
        <v>41857</v>
      </c>
      <c r="Y11310" t="s">
        <v>27565</v>
      </c>
    </row>
    <row r="11311" spans="1:25" x14ac:dyDescent="0.25">
      <c r="A11311" t="str">
        <f>"157946953392"</f>
        <v>157946953392</v>
      </c>
      <c r="B11311" t="s">
        <v>574</v>
      </c>
      <c r="C11311" t="s">
        <v>14269</v>
      </c>
      <c r="D11311" t="s">
        <v>24813</v>
      </c>
      <c r="E11311">
        <v>424039</v>
      </c>
      <c r="F11311" t="s">
        <v>1</v>
      </c>
      <c r="G11311" t="s">
        <v>2</v>
      </c>
      <c r="H11311" t="s">
        <v>23651</v>
      </c>
      <c r="Y11311" t="s">
        <v>41858</v>
      </c>
    </row>
    <row r="11312" spans="1:25" x14ac:dyDescent="0.25">
      <c r="A11312" t="str">
        <f>"158008291395"</f>
        <v>158008291395</v>
      </c>
      <c r="B11312" t="s">
        <v>3652</v>
      </c>
      <c r="C11312" t="s">
        <v>41864</v>
      </c>
      <c r="D11312" t="s">
        <v>41859</v>
      </c>
      <c r="E11312">
        <v>424007</v>
      </c>
      <c r="F11312" t="s">
        <v>1</v>
      </c>
      <c r="G11312" t="s">
        <v>2</v>
      </c>
      <c r="H11312" t="s">
        <v>3243</v>
      </c>
      <c r="I11312" t="s">
        <v>41860</v>
      </c>
      <c r="J11312" t="s">
        <v>41861</v>
      </c>
      <c r="L11312" t="s">
        <v>41862</v>
      </c>
      <c r="M11312" t="s">
        <v>41863</v>
      </c>
      <c r="P11312" t="s">
        <v>410</v>
      </c>
      <c r="Y11312" t="s">
        <v>41865</v>
      </c>
    </row>
    <row r="11313" spans="1:25" x14ac:dyDescent="0.25">
      <c r="A11313" t="str">
        <f>"158021535241"</f>
        <v>158021535241</v>
      </c>
      <c r="B11313" t="s">
        <v>32</v>
      </c>
      <c r="C11313" t="s">
        <v>40</v>
      </c>
      <c r="D11313" t="s">
        <v>40</v>
      </c>
      <c r="E11313">
        <v>424020</v>
      </c>
      <c r="F11313" t="s">
        <v>1</v>
      </c>
      <c r="G11313" t="s">
        <v>2</v>
      </c>
      <c r="H11313" t="s">
        <v>36368</v>
      </c>
      <c r="Y11313" t="s">
        <v>41866</v>
      </c>
    </row>
    <row r="11314" spans="1:25" x14ac:dyDescent="0.25">
      <c r="A11314" t="str">
        <f>"158038049999"</f>
        <v>158038049999</v>
      </c>
      <c r="B11314" t="s">
        <v>151</v>
      </c>
      <c r="C11314" t="s">
        <v>151</v>
      </c>
      <c r="D11314" t="s">
        <v>151</v>
      </c>
      <c r="E11314">
        <v>424007</v>
      </c>
      <c r="F11314" t="s">
        <v>1</v>
      </c>
      <c r="G11314" t="s">
        <v>2</v>
      </c>
      <c r="H11314" t="s">
        <v>1566</v>
      </c>
      <c r="J11314" t="s">
        <v>41867</v>
      </c>
      <c r="P11314" t="s">
        <v>2457</v>
      </c>
      <c r="Y11314" t="s">
        <v>2882</v>
      </c>
    </row>
    <row r="11315" spans="1:25" x14ac:dyDescent="0.25">
      <c r="A11315" t="str">
        <f>"158042502873"</f>
        <v>158042502873</v>
      </c>
      <c r="B11315" t="s">
        <v>25</v>
      </c>
      <c r="C11315" t="s">
        <v>20320</v>
      </c>
      <c r="D11315" t="s">
        <v>41868</v>
      </c>
      <c r="E11315">
        <v>424037</v>
      </c>
      <c r="F11315" t="s">
        <v>1</v>
      </c>
      <c r="G11315" t="s">
        <v>2</v>
      </c>
      <c r="H11315" t="s">
        <v>10936</v>
      </c>
      <c r="Y11315" t="s">
        <v>41869</v>
      </c>
    </row>
    <row r="11316" spans="1:25" x14ac:dyDescent="0.25">
      <c r="A11316" t="str">
        <f>"158064986379"</f>
        <v>158064986379</v>
      </c>
      <c r="B11316" t="s">
        <v>1152</v>
      </c>
      <c r="C11316" t="s">
        <v>21652</v>
      </c>
      <c r="D11316" t="s">
        <v>21650</v>
      </c>
      <c r="E11316">
        <v>424000</v>
      </c>
      <c r="F11316" t="s">
        <v>1</v>
      </c>
      <c r="G11316" t="s">
        <v>2</v>
      </c>
      <c r="H11316" t="s">
        <v>92</v>
      </c>
      <c r="J11316" t="s">
        <v>21651</v>
      </c>
      <c r="P11316" t="s">
        <v>41870</v>
      </c>
      <c r="Q11316" t="s">
        <v>21654</v>
      </c>
      <c r="Y11316" t="s">
        <v>41871</v>
      </c>
    </row>
    <row r="11317" spans="1:25" x14ac:dyDescent="0.25">
      <c r="A11317" t="str">
        <f>"158075778352"</f>
        <v>158075778352</v>
      </c>
      <c r="B11317" t="s">
        <v>640</v>
      </c>
      <c r="C11317" t="s">
        <v>641</v>
      </c>
      <c r="D11317" t="s">
        <v>12025</v>
      </c>
      <c r="E11317">
        <v>424000</v>
      </c>
      <c r="F11317" t="s">
        <v>1</v>
      </c>
      <c r="G11317" t="s">
        <v>2</v>
      </c>
      <c r="H11317" t="s">
        <v>3749</v>
      </c>
      <c r="I11317" t="s">
        <v>41872</v>
      </c>
      <c r="L11317" t="s">
        <v>41873</v>
      </c>
      <c r="M11317" t="s">
        <v>41874</v>
      </c>
      <c r="P11317" t="s">
        <v>26091</v>
      </c>
      <c r="Q11317" t="s">
        <v>41875</v>
      </c>
      <c r="Y11317" t="s">
        <v>41876</v>
      </c>
    </row>
    <row r="11318" spans="1:25" x14ac:dyDescent="0.25">
      <c r="A11318" t="str">
        <f>"158080338306"</f>
        <v>158080338306</v>
      </c>
      <c r="B11318" t="s">
        <v>430</v>
      </c>
      <c r="C11318" t="s">
        <v>8739</v>
      </c>
      <c r="D11318" t="s">
        <v>38901</v>
      </c>
      <c r="F11318" t="s">
        <v>1</v>
      </c>
      <c r="G11318" t="s">
        <v>2</v>
      </c>
      <c r="H11318" t="s">
        <v>33200</v>
      </c>
      <c r="P11318" t="s">
        <v>98</v>
      </c>
      <c r="Y11318" t="s">
        <v>41877</v>
      </c>
    </row>
    <row r="11319" spans="1:25" x14ac:dyDescent="0.25">
      <c r="A11319" t="str">
        <f>"158132993473"</f>
        <v>158132993473</v>
      </c>
      <c r="B11319" t="s">
        <v>1343</v>
      </c>
      <c r="C11319" t="s">
        <v>1344</v>
      </c>
      <c r="D11319" t="s">
        <v>41878</v>
      </c>
      <c r="E11319">
        <v>424028</v>
      </c>
      <c r="F11319" t="s">
        <v>1</v>
      </c>
      <c r="G11319" t="s">
        <v>2</v>
      </c>
      <c r="H11319" t="s">
        <v>7204</v>
      </c>
      <c r="Y11319" t="s">
        <v>41879</v>
      </c>
    </row>
    <row r="11320" spans="1:25" x14ac:dyDescent="0.25">
      <c r="A11320" t="str">
        <f>"158141043793"</f>
        <v>158141043793</v>
      </c>
      <c r="B11320" t="s">
        <v>96</v>
      </c>
      <c r="C11320" t="s">
        <v>893</v>
      </c>
      <c r="D11320" t="s">
        <v>41880</v>
      </c>
      <c r="E11320">
        <v>424000</v>
      </c>
      <c r="F11320" t="s">
        <v>1</v>
      </c>
      <c r="G11320" t="s">
        <v>2</v>
      </c>
      <c r="H11320" t="s">
        <v>1531</v>
      </c>
      <c r="P11320" t="s">
        <v>941</v>
      </c>
      <c r="Y11320" t="s">
        <v>1707</v>
      </c>
    </row>
    <row r="11321" spans="1:25" x14ac:dyDescent="0.25">
      <c r="A11321" t="str">
        <f>"158220269416"</f>
        <v>158220269416</v>
      </c>
      <c r="B11321" t="s">
        <v>574</v>
      </c>
      <c r="C11321" t="s">
        <v>40354</v>
      </c>
      <c r="D11321" t="s">
        <v>32395</v>
      </c>
      <c r="E11321">
        <v>424004</v>
      </c>
      <c r="F11321" t="s">
        <v>1</v>
      </c>
      <c r="G11321" t="s">
        <v>2</v>
      </c>
      <c r="H11321" t="s">
        <v>906</v>
      </c>
      <c r="J11321" t="s">
        <v>32396</v>
      </c>
      <c r="P11321" t="s">
        <v>14017</v>
      </c>
      <c r="Q11321" t="s">
        <v>40355</v>
      </c>
      <c r="Y11321" t="s">
        <v>41881</v>
      </c>
    </row>
    <row r="11322" spans="1:25" x14ac:dyDescent="0.25">
      <c r="A11322" t="str">
        <f>"158257731520"</f>
        <v>158257731520</v>
      </c>
      <c r="B11322" t="s">
        <v>1343</v>
      </c>
      <c r="C11322" t="s">
        <v>13544</v>
      </c>
      <c r="D11322" t="s">
        <v>38111</v>
      </c>
      <c r="E11322">
        <v>424000</v>
      </c>
      <c r="F11322" t="s">
        <v>1</v>
      </c>
      <c r="G11322" t="s">
        <v>2</v>
      </c>
      <c r="H11322" t="s">
        <v>1806</v>
      </c>
      <c r="J11322" t="s">
        <v>38112</v>
      </c>
      <c r="P11322" t="s">
        <v>941</v>
      </c>
      <c r="Y11322" t="s">
        <v>40814</v>
      </c>
    </row>
    <row r="11323" spans="1:25" x14ac:dyDescent="0.25">
      <c r="A11323" t="str">
        <f>"158264688669"</f>
        <v>158264688669</v>
      </c>
      <c r="B11323" t="s">
        <v>7</v>
      </c>
      <c r="C11323" t="s">
        <v>14013</v>
      </c>
      <c r="D11323" t="s">
        <v>41882</v>
      </c>
      <c r="E11323">
        <v>424006</v>
      </c>
      <c r="F11323" t="s">
        <v>1</v>
      </c>
      <c r="G11323" t="s">
        <v>2</v>
      </c>
      <c r="H11323" t="s">
        <v>24780</v>
      </c>
      <c r="I11323" t="s">
        <v>41883</v>
      </c>
      <c r="L11323" t="s">
        <v>26117</v>
      </c>
      <c r="M11323" t="s">
        <v>41884</v>
      </c>
      <c r="P11323" t="s">
        <v>235</v>
      </c>
      <c r="Q11323" t="s">
        <v>26119</v>
      </c>
      <c r="V11323" t="s">
        <v>41885</v>
      </c>
      <c r="Y11323" t="s">
        <v>24785</v>
      </c>
    </row>
    <row r="11324" spans="1:25" x14ac:dyDescent="0.25">
      <c r="A11324" t="str">
        <f>"158303147311"</f>
        <v>158303147311</v>
      </c>
      <c r="B11324" t="s">
        <v>408</v>
      </c>
      <c r="C11324" t="s">
        <v>25792</v>
      </c>
      <c r="D11324" t="s">
        <v>25790</v>
      </c>
      <c r="F11324" t="s">
        <v>1</v>
      </c>
      <c r="G11324" t="s">
        <v>2</v>
      </c>
      <c r="H11324" t="s">
        <v>26305</v>
      </c>
      <c r="P11324" t="s">
        <v>41886</v>
      </c>
      <c r="Y11324" t="s">
        <v>41887</v>
      </c>
    </row>
    <row r="11325" spans="1:25" x14ac:dyDescent="0.25">
      <c r="A11325" t="str">
        <f>"158312471409"</f>
        <v>158312471409</v>
      </c>
      <c r="B11325" t="s">
        <v>530</v>
      </c>
      <c r="C11325" t="s">
        <v>23950</v>
      </c>
      <c r="D11325" t="s">
        <v>23950</v>
      </c>
      <c r="F11325" t="s">
        <v>1</v>
      </c>
      <c r="G11325" t="s">
        <v>2</v>
      </c>
      <c r="H11325" t="s">
        <v>35987</v>
      </c>
      <c r="Y11325" t="s">
        <v>41888</v>
      </c>
    </row>
    <row r="11326" spans="1:25" x14ac:dyDescent="0.25">
      <c r="A11326" t="str">
        <f>"158314319215"</f>
        <v>158314319215</v>
      </c>
      <c r="B11326" t="s">
        <v>7</v>
      </c>
      <c r="C11326" t="s">
        <v>41893</v>
      </c>
      <c r="D11326" t="s">
        <v>41889</v>
      </c>
      <c r="E11326">
        <v>424008</v>
      </c>
      <c r="F11326" t="s">
        <v>1</v>
      </c>
      <c r="G11326" t="s">
        <v>2</v>
      </c>
      <c r="H11326" t="s">
        <v>1012</v>
      </c>
      <c r="J11326" t="s">
        <v>41890</v>
      </c>
      <c r="L11326" t="s">
        <v>41891</v>
      </c>
      <c r="M11326" t="s">
        <v>41892</v>
      </c>
      <c r="P11326" t="s">
        <v>27</v>
      </c>
      <c r="Q11326" t="s">
        <v>41894</v>
      </c>
      <c r="Y11326" t="s">
        <v>1016</v>
      </c>
    </row>
    <row r="11327" spans="1:25" x14ac:dyDescent="0.25">
      <c r="A11327" t="str">
        <f>"158325391567"</f>
        <v>158325391567</v>
      </c>
      <c r="B11327" t="s">
        <v>151</v>
      </c>
      <c r="C11327" t="s">
        <v>41899</v>
      </c>
      <c r="D11327" t="s">
        <v>41895</v>
      </c>
      <c r="E11327">
        <v>424038</v>
      </c>
      <c r="F11327" t="s">
        <v>1</v>
      </c>
      <c r="G11327" t="s">
        <v>2</v>
      </c>
      <c r="H11327" t="s">
        <v>546</v>
      </c>
      <c r="I11327" t="s">
        <v>41896</v>
      </c>
      <c r="L11327" t="s">
        <v>41897</v>
      </c>
      <c r="M11327" t="s">
        <v>41898</v>
      </c>
      <c r="P11327" t="s">
        <v>27</v>
      </c>
      <c r="Q11327" t="s">
        <v>41900</v>
      </c>
      <c r="T11327" t="s">
        <v>41901</v>
      </c>
      <c r="V11327" t="s">
        <v>41902</v>
      </c>
      <c r="Y11327" t="s">
        <v>549</v>
      </c>
    </row>
    <row r="11328" spans="1:25" x14ac:dyDescent="0.25">
      <c r="A11328" t="str">
        <f>"158363966563"</f>
        <v>158363966563</v>
      </c>
      <c r="B11328" t="s">
        <v>176</v>
      </c>
      <c r="C11328" t="s">
        <v>27547</v>
      </c>
      <c r="D11328" t="s">
        <v>27545</v>
      </c>
      <c r="E11328">
        <v>424039</v>
      </c>
      <c r="F11328" t="s">
        <v>1</v>
      </c>
      <c r="G11328" t="s">
        <v>2</v>
      </c>
      <c r="H11328" t="s">
        <v>41903</v>
      </c>
      <c r="Y11328" t="s">
        <v>41904</v>
      </c>
    </row>
    <row r="11329" spans="1:25" x14ac:dyDescent="0.25">
      <c r="A11329" t="str">
        <f>"158374683195"</f>
        <v>158374683195</v>
      </c>
      <c r="B11329" t="s">
        <v>716</v>
      </c>
      <c r="C11329" t="s">
        <v>38643</v>
      </c>
      <c r="D11329" t="s">
        <v>27741</v>
      </c>
      <c r="E11329">
        <v>424020</v>
      </c>
      <c r="F11329" t="s">
        <v>1</v>
      </c>
      <c r="G11329" t="s">
        <v>2</v>
      </c>
      <c r="H11329" t="s">
        <v>23512</v>
      </c>
      <c r="J11329" t="s">
        <v>41905</v>
      </c>
      <c r="L11329" t="s">
        <v>41906</v>
      </c>
      <c r="M11329" t="s">
        <v>41907</v>
      </c>
      <c r="P11329" t="s">
        <v>330</v>
      </c>
      <c r="Q11329" t="s">
        <v>41908</v>
      </c>
      <c r="Y11329" t="s">
        <v>41909</v>
      </c>
    </row>
    <row r="11330" spans="1:25" x14ac:dyDescent="0.25">
      <c r="A11330" t="str">
        <f>"158378860568"</f>
        <v>158378860568</v>
      </c>
      <c r="B11330" t="s">
        <v>176</v>
      </c>
      <c r="C11330" t="s">
        <v>250</v>
      </c>
      <c r="D11330" t="s">
        <v>41910</v>
      </c>
      <c r="E11330">
        <v>424002</v>
      </c>
      <c r="F11330" t="s">
        <v>1</v>
      </c>
      <c r="G11330" t="s">
        <v>2</v>
      </c>
      <c r="H11330" t="s">
        <v>8832</v>
      </c>
      <c r="I11330" t="s">
        <v>41911</v>
      </c>
      <c r="J11330" t="s">
        <v>41912</v>
      </c>
      <c r="M11330" t="s">
        <v>41913</v>
      </c>
      <c r="P11330" t="s">
        <v>41914</v>
      </c>
      <c r="Y11330" t="s">
        <v>36997</v>
      </c>
    </row>
    <row r="11331" spans="1:25" x14ac:dyDescent="0.25">
      <c r="A11331" t="str">
        <f>"158398343467"</f>
        <v>158398343467</v>
      </c>
      <c r="B11331" t="s">
        <v>96</v>
      </c>
      <c r="C11331" t="s">
        <v>8479</v>
      </c>
      <c r="D11331" t="s">
        <v>25173</v>
      </c>
      <c r="E11331">
        <v>424000</v>
      </c>
      <c r="F11331" t="s">
        <v>1</v>
      </c>
      <c r="G11331" t="s">
        <v>2</v>
      </c>
      <c r="H11331" t="s">
        <v>1531</v>
      </c>
      <c r="Y11331" t="s">
        <v>1707</v>
      </c>
    </row>
    <row r="11332" spans="1:25" x14ac:dyDescent="0.25">
      <c r="A11332" t="str">
        <f>"158430796682"</f>
        <v>158430796682</v>
      </c>
      <c r="B11332" t="s">
        <v>4084</v>
      </c>
      <c r="C11332" t="s">
        <v>7951</v>
      </c>
      <c r="D11332" t="s">
        <v>41915</v>
      </c>
      <c r="E11332">
        <v>424005</v>
      </c>
      <c r="F11332" t="s">
        <v>1</v>
      </c>
      <c r="G11332" t="s">
        <v>2</v>
      </c>
      <c r="H11332" t="s">
        <v>41916</v>
      </c>
      <c r="I11332" t="s">
        <v>41917</v>
      </c>
      <c r="M11332" t="s">
        <v>41918</v>
      </c>
      <c r="P11332" t="s">
        <v>41919</v>
      </c>
      <c r="Q11332" t="s">
        <v>41920</v>
      </c>
      <c r="Y11332" t="s">
        <v>41921</v>
      </c>
    </row>
    <row r="11333" spans="1:25" x14ac:dyDescent="0.25">
      <c r="A11333" t="str">
        <f>"158461372687"</f>
        <v>158461372687</v>
      </c>
      <c r="B11333" t="s">
        <v>930</v>
      </c>
      <c r="C11333" t="s">
        <v>41926</v>
      </c>
      <c r="D11333" t="s">
        <v>41922</v>
      </c>
      <c r="E11333">
        <v>424004</v>
      </c>
      <c r="F11333" t="s">
        <v>1</v>
      </c>
      <c r="G11333" t="s">
        <v>2</v>
      </c>
      <c r="H11333" t="s">
        <v>14351</v>
      </c>
      <c r="I11333" t="s">
        <v>41923</v>
      </c>
      <c r="L11333" t="s">
        <v>41924</v>
      </c>
      <c r="M11333" t="s">
        <v>41925</v>
      </c>
      <c r="P11333" t="s">
        <v>2280</v>
      </c>
      <c r="Q11333" t="s">
        <v>41927</v>
      </c>
      <c r="Y11333" t="s">
        <v>14356</v>
      </c>
    </row>
    <row r="11334" spans="1:25" x14ac:dyDescent="0.25">
      <c r="A11334" t="str">
        <f>"158465624850"</f>
        <v>158465624850</v>
      </c>
      <c r="B11334" t="s">
        <v>6609</v>
      </c>
      <c r="C11334" t="s">
        <v>41930</v>
      </c>
      <c r="D11334" t="s">
        <v>41928</v>
      </c>
      <c r="E11334">
        <v>424007</v>
      </c>
      <c r="F11334" t="s">
        <v>1</v>
      </c>
      <c r="G11334" t="s">
        <v>2</v>
      </c>
      <c r="H11334" t="s">
        <v>220</v>
      </c>
      <c r="J11334" t="s">
        <v>41929</v>
      </c>
      <c r="P11334" t="s">
        <v>1035</v>
      </c>
      <c r="Q11334" t="s">
        <v>41931</v>
      </c>
      <c r="Y11334" t="s">
        <v>41932</v>
      </c>
    </row>
    <row r="11335" spans="1:25" x14ac:dyDescent="0.25">
      <c r="A11335" t="str">
        <f>"158529948268"</f>
        <v>158529948268</v>
      </c>
      <c r="B11335" t="s">
        <v>687</v>
      </c>
      <c r="C11335" t="s">
        <v>41936</v>
      </c>
      <c r="D11335" t="s">
        <v>41933</v>
      </c>
      <c r="E11335">
        <v>424003</v>
      </c>
      <c r="F11335" t="s">
        <v>1</v>
      </c>
      <c r="G11335" t="s">
        <v>2</v>
      </c>
      <c r="H11335" t="s">
        <v>30504</v>
      </c>
      <c r="I11335" t="s">
        <v>41934</v>
      </c>
      <c r="J11335" t="s">
        <v>41935</v>
      </c>
      <c r="P11335" t="s">
        <v>390</v>
      </c>
      <c r="Y11335" t="s">
        <v>41937</v>
      </c>
    </row>
    <row r="11336" spans="1:25" x14ac:dyDescent="0.25">
      <c r="A11336" t="str">
        <f>"158541038286"</f>
        <v>158541038286</v>
      </c>
      <c r="B11336" t="s">
        <v>67</v>
      </c>
      <c r="C11336" t="s">
        <v>27252</v>
      </c>
      <c r="D11336" t="s">
        <v>41938</v>
      </c>
      <c r="E11336">
        <v>424039</v>
      </c>
      <c r="F11336" t="s">
        <v>1</v>
      </c>
      <c r="G11336" t="s">
        <v>2</v>
      </c>
      <c r="H11336" t="s">
        <v>5827</v>
      </c>
      <c r="I11336" t="s">
        <v>41939</v>
      </c>
      <c r="Y11336" t="s">
        <v>41940</v>
      </c>
    </row>
    <row r="11337" spans="1:25" x14ac:dyDescent="0.25">
      <c r="A11337" t="str">
        <f>"158549009069"</f>
        <v>158549009069</v>
      </c>
      <c r="B11337" t="s">
        <v>334</v>
      </c>
      <c r="C11337" t="s">
        <v>2551</v>
      </c>
      <c r="D11337" t="s">
        <v>41941</v>
      </c>
      <c r="E11337">
        <v>424006</v>
      </c>
      <c r="F11337" t="s">
        <v>1</v>
      </c>
      <c r="G11337" t="s">
        <v>2</v>
      </c>
      <c r="H11337" t="s">
        <v>1245</v>
      </c>
      <c r="I11337" t="s">
        <v>41942</v>
      </c>
      <c r="P11337" t="s">
        <v>27</v>
      </c>
      <c r="Y11337" t="s">
        <v>41943</v>
      </c>
    </row>
    <row r="11338" spans="1:25" x14ac:dyDescent="0.25">
      <c r="A11338" t="str">
        <f>"158561293413"</f>
        <v>158561293413</v>
      </c>
      <c r="B11338" t="s">
        <v>930</v>
      </c>
      <c r="C11338" t="s">
        <v>15966</v>
      </c>
      <c r="D11338" t="s">
        <v>41944</v>
      </c>
      <c r="E11338">
        <v>424004</v>
      </c>
      <c r="F11338" t="s">
        <v>1</v>
      </c>
      <c r="G11338" t="s">
        <v>2</v>
      </c>
      <c r="H11338" t="s">
        <v>41945</v>
      </c>
      <c r="J11338" t="s">
        <v>41946</v>
      </c>
      <c r="P11338" t="s">
        <v>696</v>
      </c>
      <c r="Y11338" t="s">
        <v>41947</v>
      </c>
    </row>
    <row r="11339" spans="1:25" x14ac:dyDescent="0.25">
      <c r="A11339" t="str">
        <f>"158570515114"</f>
        <v>158570515114</v>
      </c>
      <c r="B11339" t="s">
        <v>233</v>
      </c>
      <c r="C11339" t="s">
        <v>1897</v>
      </c>
      <c r="D11339" t="s">
        <v>10054</v>
      </c>
      <c r="E11339">
        <v>424038</v>
      </c>
      <c r="F11339" t="s">
        <v>1</v>
      </c>
      <c r="G11339" t="s">
        <v>2</v>
      </c>
      <c r="H11339" t="s">
        <v>1366</v>
      </c>
      <c r="Y11339" t="s">
        <v>7381</v>
      </c>
    </row>
    <row r="11340" spans="1:25" x14ac:dyDescent="0.25">
      <c r="A11340" t="str">
        <f>"158649568272"</f>
        <v>158649568272</v>
      </c>
      <c r="B11340" t="s">
        <v>687</v>
      </c>
      <c r="C11340" t="s">
        <v>5413</v>
      </c>
      <c r="D11340" t="s">
        <v>41948</v>
      </c>
      <c r="E11340">
        <v>424006</v>
      </c>
      <c r="F11340" t="s">
        <v>1</v>
      </c>
      <c r="G11340" t="s">
        <v>2</v>
      </c>
      <c r="H11340" t="s">
        <v>1483</v>
      </c>
      <c r="J11340" t="s">
        <v>41949</v>
      </c>
      <c r="P11340" t="s">
        <v>390</v>
      </c>
      <c r="Y11340" t="s">
        <v>12881</v>
      </c>
    </row>
    <row r="11341" spans="1:25" x14ac:dyDescent="0.25">
      <c r="A11341" t="str">
        <f>"158720057614"</f>
        <v>158720057614</v>
      </c>
      <c r="B11341" t="s">
        <v>430</v>
      </c>
      <c r="C11341" t="s">
        <v>41954</v>
      </c>
      <c r="D11341" t="s">
        <v>41950</v>
      </c>
      <c r="E11341">
        <v>424040</v>
      </c>
      <c r="F11341" t="s">
        <v>1</v>
      </c>
      <c r="G11341" t="s">
        <v>2</v>
      </c>
      <c r="H11341" t="s">
        <v>7989</v>
      </c>
      <c r="I11341" t="s">
        <v>41951</v>
      </c>
      <c r="J11341" t="s">
        <v>41952</v>
      </c>
      <c r="L11341" t="s">
        <v>41953</v>
      </c>
      <c r="P11341" t="s">
        <v>98</v>
      </c>
      <c r="Q11341" t="s">
        <v>41955</v>
      </c>
      <c r="V11341" t="s">
        <v>41956</v>
      </c>
      <c r="Y11341" t="s">
        <v>41957</v>
      </c>
    </row>
    <row r="11342" spans="1:25" x14ac:dyDescent="0.25">
      <c r="A11342" t="str">
        <f>"158721079324"</f>
        <v>158721079324</v>
      </c>
      <c r="B11342" t="s">
        <v>18</v>
      </c>
      <c r="C11342" t="s">
        <v>38949</v>
      </c>
      <c r="D11342" t="s">
        <v>41958</v>
      </c>
      <c r="E11342">
        <v>424006</v>
      </c>
      <c r="F11342" t="s">
        <v>1</v>
      </c>
      <c r="G11342" t="s">
        <v>2</v>
      </c>
      <c r="H11342" t="s">
        <v>2825</v>
      </c>
      <c r="I11342" t="s">
        <v>41959</v>
      </c>
      <c r="P11342" t="s">
        <v>1027</v>
      </c>
      <c r="Y11342" t="s">
        <v>2832</v>
      </c>
    </row>
    <row r="11343" spans="1:25" x14ac:dyDescent="0.25">
      <c r="A11343" t="str">
        <f>"158729590854"</f>
        <v>158729590854</v>
      </c>
      <c r="B11343" t="s">
        <v>574</v>
      </c>
      <c r="C11343" t="s">
        <v>646</v>
      </c>
      <c r="D11343" t="s">
        <v>41960</v>
      </c>
      <c r="E11343">
        <v>424000</v>
      </c>
      <c r="F11343" t="s">
        <v>1</v>
      </c>
      <c r="G11343" t="s">
        <v>2</v>
      </c>
      <c r="H11343" t="s">
        <v>164</v>
      </c>
      <c r="Y11343" t="s">
        <v>172</v>
      </c>
    </row>
    <row r="11344" spans="1:25" x14ac:dyDescent="0.25">
      <c r="A11344" t="str">
        <f>"158791193146"</f>
        <v>158791193146</v>
      </c>
      <c r="B11344" t="s">
        <v>574</v>
      </c>
      <c r="C11344" t="s">
        <v>646</v>
      </c>
      <c r="D11344" t="s">
        <v>4221</v>
      </c>
      <c r="F11344" t="s">
        <v>1</v>
      </c>
      <c r="G11344" t="s">
        <v>2</v>
      </c>
      <c r="H11344" t="s">
        <v>31172</v>
      </c>
      <c r="P11344" t="s">
        <v>216</v>
      </c>
      <c r="Y11344" t="s">
        <v>41961</v>
      </c>
    </row>
    <row r="11345" spans="1:25" x14ac:dyDescent="0.25">
      <c r="A11345" t="str">
        <f>"158803439405"</f>
        <v>158803439405</v>
      </c>
      <c r="B11345" t="s">
        <v>530</v>
      </c>
      <c r="C11345" t="s">
        <v>23950</v>
      </c>
      <c r="D11345" t="s">
        <v>23950</v>
      </c>
      <c r="F11345" t="s">
        <v>1</v>
      </c>
      <c r="G11345" t="s">
        <v>2</v>
      </c>
      <c r="H11345" t="s">
        <v>34563</v>
      </c>
      <c r="Y11345" t="s">
        <v>41962</v>
      </c>
    </row>
    <row r="11346" spans="1:25" x14ac:dyDescent="0.25">
      <c r="A11346" t="str">
        <f>"158803479936"</f>
        <v>158803479936</v>
      </c>
      <c r="B11346" t="s">
        <v>1046</v>
      </c>
      <c r="C11346" t="s">
        <v>22946</v>
      </c>
      <c r="D11346" t="s">
        <v>22946</v>
      </c>
      <c r="E11346">
        <v>424007</v>
      </c>
      <c r="F11346" t="s">
        <v>1</v>
      </c>
      <c r="G11346" t="s">
        <v>2</v>
      </c>
      <c r="H11346" t="s">
        <v>13918</v>
      </c>
      <c r="Y11346" t="s">
        <v>41963</v>
      </c>
    </row>
    <row r="11347" spans="1:25" x14ac:dyDescent="0.25">
      <c r="A11347" t="str">
        <f>"158847477146"</f>
        <v>158847477146</v>
      </c>
      <c r="B11347" t="s">
        <v>25</v>
      </c>
      <c r="C11347" t="s">
        <v>59</v>
      </c>
      <c r="D11347" t="s">
        <v>19041</v>
      </c>
      <c r="E11347">
        <v>424033</v>
      </c>
      <c r="F11347" t="s">
        <v>1</v>
      </c>
      <c r="G11347" t="s">
        <v>2</v>
      </c>
      <c r="H11347" t="s">
        <v>4300</v>
      </c>
      <c r="I11347" t="s">
        <v>41964</v>
      </c>
      <c r="J11347" t="s">
        <v>41965</v>
      </c>
      <c r="L11347" t="s">
        <v>41966</v>
      </c>
      <c r="P11347" t="s">
        <v>330</v>
      </c>
      <c r="Q11347" t="s">
        <v>41967</v>
      </c>
      <c r="Y11347" t="s">
        <v>10046</v>
      </c>
    </row>
    <row r="11348" spans="1:25" x14ac:dyDescent="0.25">
      <c r="A11348" t="str">
        <f>"158857513665"</f>
        <v>158857513665</v>
      </c>
      <c r="B11348" t="s">
        <v>687</v>
      </c>
      <c r="C11348" t="s">
        <v>41971</v>
      </c>
      <c r="D11348" t="s">
        <v>41968</v>
      </c>
      <c r="E11348">
        <v>424002</v>
      </c>
      <c r="F11348" t="s">
        <v>1</v>
      </c>
      <c r="G11348" t="s">
        <v>2</v>
      </c>
      <c r="H11348" t="s">
        <v>570</v>
      </c>
      <c r="J11348" t="s">
        <v>41969</v>
      </c>
      <c r="M11348" t="s">
        <v>41970</v>
      </c>
      <c r="P11348" t="s">
        <v>27</v>
      </c>
      <c r="Y11348" t="s">
        <v>18782</v>
      </c>
    </row>
    <row r="11349" spans="1:25" x14ac:dyDescent="0.25">
      <c r="A11349" t="str">
        <f>"158874252006"</f>
        <v>158874252006</v>
      </c>
      <c r="B11349" t="s">
        <v>290</v>
      </c>
      <c r="C11349" t="s">
        <v>11603</v>
      </c>
      <c r="D11349" t="s">
        <v>2733</v>
      </c>
      <c r="F11349" t="s">
        <v>1</v>
      </c>
      <c r="G11349" t="s">
        <v>2</v>
      </c>
      <c r="H11349" t="s">
        <v>25421</v>
      </c>
      <c r="P11349" t="s">
        <v>60</v>
      </c>
      <c r="Y11349" t="s">
        <v>41972</v>
      </c>
    </row>
    <row r="11350" spans="1:25" x14ac:dyDescent="0.25">
      <c r="A11350" t="str">
        <f>"158883114793"</f>
        <v>158883114793</v>
      </c>
      <c r="B11350" t="s">
        <v>88</v>
      </c>
      <c r="C11350" t="s">
        <v>41974</v>
      </c>
      <c r="D11350" t="s">
        <v>41973</v>
      </c>
      <c r="F11350" t="s">
        <v>1</v>
      </c>
      <c r="G11350" t="s">
        <v>2</v>
      </c>
      <c r="H11350" t="s">
        <v>19499</v>
      </c>
      <c r="P11350" t="s">
        <v>144</v>
      </c>
      <c r="Y11350" t="s">
        <v>41975</v>
      </c>
    </row>
    <row r="11351" spans="1:25" x14ac:dyDescent="0.25">
      <c r="A11351" t="str">
        <f>"158941862307"</f>
        <v>158941862307</v>
      </c>
      <c r="B11351" t="s">
        <v>687</v>
      </c>
      <c r="C11351" t="s">
        <v>41978</v>
      </c>
      <c r="D11351" t="s">
        <v>41976</v>
      </c>
      <c r="E11351">
        <v>424006</v>
      </c>
      <c r="F11351" t="s">
        <v>1</v>
      </c>
      <c r="G11351" t="s">
        <v>2</v>
      </c>
      <c r="H11351" t="s">
        <v>3436</v>
      </c>
      <c r="I11351" t="s">
        <v>41977</v>
      </c>
      <c r="P11351" t="s">
        <v>23388</v>
      </c>
      <c r="Q11351" t="s">
        <v>41979</v>
      </c>
      <c r="V11351" t="s">
        <v>41980</v>
      </c>
      <c r="Y11351" t="s">
        <v>3442</v>
      </c>
    </row>
    <row r="11352" spans="1:25" x14ac:dyDescent="0.25">
      <c r="A11352" t="str">
        <f>"158948717451"</f>
        <v>158948717451</v>
      </c>
      <c r="B11352" t="s">
        <v>482</v>
      </c>
      <c r="C11352" t="s">
        <v>4057</v>
      </c>
      <c r="D11352" t="s">
        <v>41981</v>
      </c>
      <c r="E11352">
        <v>424033</v>
      </c>
      <c r="F11352" t="s">
        <v>1</v>
      </c>
      <c r="G11352" t="s">
        <v>2</v>
      </c>
      <c r="H11352" t="s">
        <v>6126</v>
      </c>
      <c r="I11352" t="s">
        <v>41982</v>
      </c>
      <c r="L11352" t="s">
        <v>25022</v>
      </c>
      <c r="P11352" t="s">
        <v>27</v>
      </c>
      <c r="Q11352" t="s">
        <v>25023</v>
      </c>
      <c r="Y11352" t="s">
        <v>41983</v>
      </c>
    </row>
    <row r="11353" spans="1:25" x14ac:dyDescent="0.25">
      <c r="A11353" t="str">
        <f>"158960073684"</f>
        <v>158960073684</v>
      </c>
      <c r="B11353" t="s">
        <v>7312</v>
      </c>
      <c r="C11353" t="s">
        <v>9849</v>
      </c>
      <c r="D11353" t="s">
        <v>41984</v>
      </c>
      <c r="E11353">
        <v>424000</v>
      </c>
      <c r="F11353" t="s">
        <v>1</v>
      </c>
      <c r="G11353" t="s">
        <v>2</v>
      </c>
      <c r="H11353" t="s">
        <v>1531</v>
      </c>
      <c r="P11353" t="s">
        <v>31621</v>
      </c>
      <c r="Q11353" t="s">
        <v>41985</v>
      </c>
      <c r="Y11353" t="s">
        <v>1707</v>
      </c>
    </row>
    <row r="11354" spans="1:25" x14ac:dyDescent="0.25">
      <c r="A11354" t="str">
        <f>"158961105485"</f>
        <v>158961105485</v>
      </c>
      <c r="B11354" t="s">
        <v>1343</v>
      </c>
      <c r="C11354" t="s">
        <v>1344</v>
      </c>
      <c r="D11354" t="s">
        <v>41986</v>
      </c>
      <c r="E11354">
        <v>424033</v>
      </c>
      <c r="F11354" t="s">
        <v>1</v>
      </c>
      <c r="G11354" t="s">
        <v>2</v>
      </c>
      <c r="H11354" t="s">
        <v>4357</v>
      </c>
      <c r="Y11354" t="s">
        <v>9977</v>
      </c>
    </row>
    <row r="11355" spans="1:25" x14ac:dyDescent="0.25">
      <c r="A11355" t="str">
        <f>"158966571449"</f>
        <v>158966571449</v>
      </c>
      <c r="B11355" t="s">
        <v>2601</v>
      </c>
      <c r="C11355" t="s">
        <v>41989</v>
      </c>
      <c r="D11355" t="s">
        <v>41987</v>
      </c>
      <c r="E11355">
        <v>424002</v>
      </c>
      <c r="F11355" t="s">
        <v>1</v>
      </c>
      <c r="G11355" t="s">
        <v>2</v>
      </c>
      <c r="H11355" t="s">
        <v>3421</v>
      </c>
      <c r="I11355" t="s">
        <v>41988</v>
      </c>
      <c r="P11355" t="s">
        <v>27</v>
      </c>
      <c r="Y11355" t="s">
        <v>3425</v>
      </c>
    </row>
    <row r="11356" spans="1:25" x14ac:dyDescent="0.25">
      <c r="A11356" t="str">
        <f>"159004380168"</f>
        <v>159004380168</v>
      </c>
      <c r="B11356" t="s">
        <v>96</v>
      </c>
      <c r="C11356" t="s">
        <v>41995</v>
      </c>
      <c r="D11356" t="s">
        <v>41990</v>
      </c>
      <c r="E11356">
        <v>424002</v>
      </c>
      <c r="F11356" t="s">
        <v>1</v>
      </c>
      <c r="G11356" t="s">
        <v>2</v>
      </c>
      <c r="H11356" t="s">
        <v>1190</v>
      </c>
      <c r="I11356" t="s">
        <v>41991</v>
      </c>
      <c r="J11356" t="s">
        <v>41992</v>
      </c>
      <c r="L11356" t="s">
        <v>41993</v>
      </c>
      <c r="M11356" t="s">
        <v>41994</v>
      </c>
      <c r="P11356" t="s">
        <v>10416</v>
      </c>
      <c r="Q11356" t="s">
        <v>41996</v>
      </c>
      <c r="T11356" t="s">
        <v>41997</v>
      </c>
      <c r="V11356" t="s">
        <v>41998</v>
      </c>
      <c r="Y11356" t="s">
        <v>41999</v>
      </c>
    </row>
    <row r="11357" spans="1:25" x14ac:dyDescent="0.25">
      <c r="A11357" t="str">
        <f>"159046235664"</f>
        <v>159046235664</v>
      </c>
      <c r="B11357" t="s">
        <v>687</v>
      </c>
      <c r="C11357" t="s">
        <v>3552</v>
      </c>
      <c r="D11357" t="s">
        <v>2184</v>
      </c>
      <c r="E11357">
        <v>424006</v>
      </c>
      <c r="F11357" t="s">
        <v>1</v>
      </c>
      <c r="G11357" t="s">
        <v>2</v>
      </c>
      <c r="H11357" t="s">
        <v>2185</v>
      </c>
      <c r="I11357" t="s">
        <v>2186</v>
      </c>
      <c r="M11357" t="s">
        <v>42000</v>
      </c>
      <c r="P11357" t="s">
        <v>20</v>
      </c>
      <c r="V11357" t="s">
        <v>42001</v>
      </c>
      <c r="Y11357" t="s">
        <v>2191</v>
      </c>
    </row>
    <row r="11358" spans="1:25" x14ac:dyDescent="0.25">
      <c r="A11358" t="str">
        <f>"159066406556"</f>
        <v>159066406556</v>
      </c>
      <c r="B11358" t="s">
        <v>797</v>
      </c>
      <c r="C11358" t="s">
        <v>5123</v>
      </c>
      <c r="D11358" t="s">
        <v>42002</v>
      </c>
      <c r="E11358">
        <v>424003</v>
      </c>
      <c r="F11358" t="s">
        <v>1</v>
      </c>
      <c r="G11358" t="s">
        <v>2</v>
      </c>
      <c r="H11358" t="s">
        <v>7258</v>
      </c>
      <c r="L11358" t="s">
        <v>42003</v>
      </c>
      <c r="Y11358" t="s">
        <v>42004</v>
      </c>
    </row>
    <row r="11359" spans="1:25" x14ac:dyDescent="0.25">
      <c r="A11359" t="str">
        <f>"159100553027"</f>
        <v>159100553027</v>
      </c>
      <c r="B11359" t="s">
        <v>32</v>
      </c>
      <c r="C11359" t="s">
        <v>5809</v>
      </c>
      <c r="D11359" t="s">
        <v>42005</v>
      </c>
      <c r="E11359">
        <v>424002</v>
      </c>
      <c r="F11359" t="s">
        <v>1</v>
      </c>
      <c r="G11359" t="s">
        <v>2</v>
      </c>
      <c r="H11359" t="s">
        <v>570</v>
      </c>
      <c r="Y11359" t="s">
        <v>18782</v>
      </c>
    </row>
    <row r="11360" spans="1:25" x14ac:dyDescent="0.25">
      <c r="A11360" t="str">
        <f>"159120906556"</f>
        <v>159120906556</v>
      </c>
      <c r="B11360" t="s">
        <v>530</v>
      </c>
      <c r="C11360" t="s">
        <v>23950</v>
      </c>
      <c r="D11360" t="s">
        <v>23950</v>
      </c>
      <c r="F11360" t="s">
        <v>1</v>
      </c>
      <c r="G11360" t="s">
        <v>2</v>
      </c>
      <c r="H11360" t="s">
        <v>42006</v>
      </c>
      <c r="Y11360" t="s">
        <v>42007</v>
      </c>
    </row>
    <row r="11361" spans="1:25" x14ac:dyDescent="0.25">
      <c r="A11361" t="str">
        <f>"159128666221"</f>
        <v>159128666221</v>
      </c>
      <c r="B11361" t="s">
        <v>352</v>
      </c>
      <c r="C11361" t="s">
        <v>42008</v>
      </c>
      <c r="D11361" t="s">
        <v>35693</v>
      </c>
      <c r="F11361" t="s">
        <v>1</v>
      </c>
      <c r="G11361" t="s">
        <v>2</v>
      </c>
      <c r="H11361" t="s">
        <v>3984</v>
      </c>
      <c r="I11361" t="s">
        <v>35694</v>
      </c>
      <c r="J11361" t="s">
        <v>35695</v>
      </c>
      <c r="P11361" t="s">
        <v>27</v>
      </c>
      <c r="Y11361" t="s">
        <v>33590</v>
      </c>
    </row>
    <row r="11362" spans="1:25" x14ac:dyDescent="0.25">
      <c r="A11362" t="str">
        <f>"159146783023"</f>
        <v>159146783023</v>
      </c>
      <c r="B11362" t="s">
        <v>3544</v>
      </c>
      <c r="C11362" t="s">
        <v>11303</v>
      </c>
      <c r="D11362" t="s">
        <v>42009</v>
      </c>
      <c r="E11362">
        <v>424007</v>
      </c>
      <c r="F11362" t="s">
        <v>1</v>
      </c>
      <c r="G11362" t="s">
        <v>2</v>
      </c>
      <c r="H11362" t="s">
        <v>819</v>
      </c>
      <c r="I11362" t="s">
        <v>42010</v>
      </c>
      <c r="P11362" t="s">
        <v>20</v>
      </c>
      <c r="Y11362" t="s">
        <v>42011</v>
      </c>
    </row>
    <row r="11363" spans="1:25" x14ac:dyDescent="0.25">
      <c r="A11363" t="str">
        <f>"159158266288"</f>
        <v>159158266288</v>
      </c>
      <c r="B11363" t="s">
        <v>538</v>
      </c>
      <c r="C11363" t="s">
        <v>539</v>
      </c>
      <c r="D11363" t="s">
        <v>42012</v>
      </c>
      <c r="E11363">
        <v>424028</v>
      </c>
      <c r="F11363" t="s">
        <v>1</v>
      </c>
      <c r="G11363" t="s">
        <v>2</v>
      </c>
      <c r="H11363" t="s">
        <v>4480</v>
      </c>
      <c r="Y11363" t="s">
        <v>42013</v>
      </c>
    </row>
    <row r="11364" spans="1:25" x14ac:dyDescent="0.25">
      <c r="A11364" t="str">
        <f>"159187407836"</f>
        <v>159187407836</v>
      </c>
      <c r="B11364" t="s">
        <v>8011</v>
      </c>
      <c r="C11364" t="s">
        <v>42016</v>
      </c>
      <c r="D11364" t="s">
        <v>42014</v>
      </c>
      <c r="E11364">
        <v>424006</v>
      </c>
      <c r="F11364" t="s">
        <v>1</v>
      </c>
      <c r="G11364" t="s">
        <v>2</v>
      </c>
      <c r="H11364" t="s">
        <v>2775</v>
      </c>
      <c r="J11364" t="s">
        <v>42015</v>
      </c>
      <c r="P11364" t="s">
        <v>42017</v>
      </c>
      <c r="Y11364" t="s">
        <v>42018</v>
      </c>
    </row>
    <row r="11365" spans="1:25" x14ac:dyDescent="0.25">
      <c r="A11365" t="str">
        <f>"159193504369"</f>
        <v>159193504369</v>
      </c>
      <c r="B11365" t="s">
        <v>319</v>
      </c>
      <c r="C11365" t="s">
        <v>320</v>
      </c>
      <c r="D11365" t="s">
        <v>36773</v>
      </c>
      <c r="E11365">
        <v>424037</v>
      </c>
      <c r="F11365" t="s">
        <v>1</v>
      </c>
      <c r="G11365" t="s">
        <v>2</v>
      </c>
      <c r="H11365" t="s">
        <v>3216</v>
      </c>
      <c r="L11365" t="s">
        <v>7276</v>
      </c>
      <c r="M11365" t="s">
        <v>7277</v>
      </c>
      <c r="Y11365" t="s">
        <v>13404</v>
      </c>
    </row>
    <row r="11366" spans="1:25" x14ac:dyDescent="0.25">
      <c r="A11366" t="str">
        <f>"159222343891"</f>
        <v>159222343891</v>
      </c>
      <c r="B11366" t="s">
        <v>2104</v>
      </c>
      <c r="C11366" t="s">
        <v>42023</v>
      </c>
      <c r="D11366" t="s">
        <v>3297</v>
      </c>
      <c r="E11366">
        <v>424006</v>
      </c>
      <c r="F11366" t="s">
        <v>1</v>
      </c>
      <c r="G11366" t="s">
        <v>2</v>
      </c>
      <c r="H11366" t="s">
        <v>42019</v>
      </c>
      <c r="I11366" t="s">
        <v>42020</v>
      </c>
      <c r="L11366" t="s">
        <v>42021</v>
      </c>
      <c r="M11366" t="s">
        <v>42022</v>
      </c>
      <c r="P11366" t="s">
        <v>260</v>
      </c>
      <c r="Y11366" t="s">
        <v>8866</v>
      </c>
    </row>
    <row r="11367" spans="1:25" x14ac:dyDescent="0.25">
      <c r="A11367" t="str">
        <f>"159224436389"</f>
        <v>159224436389</v>
      </c>
      <c r="B11367" t="s">
        <v>123</v>
      </c>
      <c r="C11367" t="s">
        <v>18438</v>
      </c>
      <c r="D11367" t="s">
        <v>42024</v>
      </c>
      <c r="E11367">
        <v>424004</v>
      </c>
      <c r="F11367" t="s">
        <v>1</v>
      </c>
      <c r="G11367" t="s">
        <v>2</v>
      </c>
      <c r="H11367" t="s">
        <v>351</v>
      </c>
      <c r="I11367" t="s">
        <v>42025</v>
      </c>
      <c r="J11367" t="s">
        <v>42026</v>
      </c>
      <c r="P11367" t="s">
        <v>42027</v>
      </c>
      <c r="Y11367" t="s">
        <v>354</v>
      </c>
    </row>
    <row r="11368" spans="1:25" x14ac:dyDescent="0.25">
      <c r="A11368" t="str">
        <f>"159254749896"</f>
        <v>159254749896</v>
      </c>
      <c r="B11368" t="s">
        <v>1544</v>
      </c>
      <c r="C11368" t="s">
        <v>3596</v>
      </c>
      <c r="D11368" t="s">
        <v>42028</v>
      </c>
      <c r="E11368">
        <v>424000</v>
      </c>
      <c r="F11368" t="s">
        <v>1</v>
      </c>
      <c r="G11368" t="s">
        <v>2</v>
      </c>
      <c r="H11368" t="s">
        <v>4462</v>
      </c>
      <c r="I11368" t="s">
        <v>18219</v>
      </c>
      <c r="M11368" t="s">
        <v>42029</v>
      </c>
      <c r="P11368" t="s">
        <v>4543</v>
      </c>
      <c r="Y11368" t="s">
        <v>22222</v>
      </c>
    </row>
    <row r="11369" spans="1:25" x14ac:dyDescent="0.25">
      <c r="A11369" t="str">
        <f>"159301334772"</f>
        <v>159301334772</v>
      </c>
      <c r="B11369" t="s">
        <v>32</v>
      </c>
      <c r="C11369" t="s">
        <v>28032</v>
      </c>
      <c r="D11369" t="s">
        <v>42030</v>
      </c>
      <c r="E11369">
        <v>424003</v>
      </c>
      <c r="F11369" t="s">
        <v>1</v>
      </c>
      <c r="G11369" t="s">
        <v>2</v>
      </c>
      <c r="H11369" t="s">
        <v>22849</v>
      </c>
      <c r="Y11369" t="s">
        <v>25690</v>
      </c>
    </row>
    <row r="11370" spans="1:25" x14ac:dyDescent="0.25">
      <c r="A11370" t="str">
        <f>"159302026465"</f>
        <v>159302026465</v>
      </c>
      <c r="B11370" t="s">
        <v>716</v>
      </c>
      <c r="C11370" t="s">
        <v>26823</v>
      </c>
      <c r="D11370" t="s">
        <v>42031</v>
      </c>
      <c r="E11370">
        <v>424028</v>
      </c>
      <c r="F11370" t="s">
        <v>1</v>
      </c>
      <c r="G11370" t="s">
        <v>2</v>
      </c>
      <c r="H11370" t="s">
        <v>2388</v>
      </c>
      <c r="Y11370" t="s">
        <v>2390</v>
      </c>
    </row>
    <row r="11371" spans="1:25" x14ac:dyDescent="0.25">
      <c r="A11371" t="str">
        <f>"159349259514"</f>
        <v>159349259514</v>
      </c>
      <c r="B11371" t="s">
        <v>462</v>
      </c>
      <c r="C11371" t="s">
        <v>1140</v>
      </c>
      <c r="D11371" t="s">
        <v>42032</v>
      </c>
      <c r="E11371">
        <v>424003</v>
      </c>
      <c r="F11371" t="s">
        <v>1</v>
      </c>
      <c r="G11371" t="s">
        <v>2</v>
      </c>
      <c r="H11371" t="s">
        <v>1042</v>
      </c>
      <c r="L11371" t="s">
        <v>42033</v>
      </c>
      <c r="Y11371" t="s">
        <v>11321</v>
      </c>
    </row>
    <row r="11372" spans="1:25" x14ac:dyDescent="0.25">
      <c r="A11372" t="str">
        <f>"159363001685"</f>
        <v>159363001685</v>
      </c>
      <c r="B11372" t="s">
        <v>1222</v>
      </c>
      <c r="C11372" t="s">
        <v>22060</v>
      </c>
      <c r="D11372" t="s">
        <v>42034</v>
      </c>
      <c r="E11372">
        <v>424036</v>
      </c>
      <c r="F11372" t="s">
        <v>1</v>
      </c>
      <c r="G11372" t="s">
        <v>2</v>
      </c>
      <c r="H11372" t="s">
        <v>8222</v>
      </c>
      <c r="Y11372" t="s">
        <v>42035</v>
      </c>
    </row>
    <row r="11373" spans="1:25" x14ac:dyDescent="0.25">
      <c r="A11373" t="str">
        <f>"159412613974"</f>
        <v>159412613974</v>
      </c>
      <c r="B11373" t="s">
        <v>530</v>
      </c>
      <c r="C11373" t="s">
        <v>23950</v>
      </c>
      <c r="D11373" t="s">
        <v>23950</v>
      </c>
      <c r="E11373">
        <v>424028</v>
      </c>
      <c r="F11373" t="s">
        <v>1</v>
      </c>
      <c r="G11373" t="s">
        <v>2</v>
      </c>
      <c r="H11373" t="s">
        <v>42036</v>
      </c>
      <c r="Y11373" t="s">
        <v>42037</v>
      </c>
    </row>
    <row r="11374" spans="1:25" x14ac:dyDescent="0.25">
      <c r="A11374" t="str">
        <f>"159413641961"</f>
        <v>159413641961</v>
      </c>
      <c r="B11374" t="s">
        <v>1152</v>
      </c>
      <c r="C11374" t="s">
        <v>42041</v>
      </c>
      <c r="D11374" t="s">
        <v>42038</v>
      </c>
      <c r="F11374" t="s">
        <v>1</v>
      </c>
      <c r="G11374" t="s">
        <v>2</v>
      </c>
      <c r="H11374" t="s">
        <v>10476</v>
      </c>
      <c r="J11374" t="s">
        <v>42039</v>
      </c>
      <c r="L11374" t="s">
        <v>42040</v>
      </c>
      <c r="P11374" t="s">
        <v>14279</v>
      </c>
      <c r="Q11374" t="s">
        <v>42042</v>
      </c>
      <c r="U11374" t="s">
        <v>42043</v>
      </c>
      <c r="V11374" t="s">
        <v>42044</v>
      </c>
      <c r="Y11374" t="s">
        <v>13822</v>
      </c>
    </row>
    <row r="11375" spans="1:25" x14ac:dyDescent="0.25">
      <c r="A11375" t="str">
        <f>"159423503422"</f>
        <v>159423503422</v>
      </c>
      <c r="B11375" t="s">
        <v>654</v>
      </c>
      <c r="C11375" t="s">
        <v>2974</v>
      </c>
      <c r="D11375" t="s">
        <v>42045</v>
      </c>
      <c r="E11375">
        <v>424000</v>
      </c>
      <c r="F11375" t="s">
        <v>1</v>
      </c>
      <c r="G11375" t="s">
        <v>2</v>
      </c>
      <c r="H11375" t="s">
        <v>4098</v>
      </c>
      <c r="I11375" t="s">
        <v>42046</v>
      </c>
      <c r="P11375" t="s">
        <v>27</v>
      </c>
      <c r="Y11375" t="s">
        <v>42047</v>
      </c>
    </row>
    <row r="11376" spans="1:25" x14ac:dyDescent="0.25">
      <c r="A11376" t="str">
        <f>"159449886790"</f>
        <v>159449886790</v>
      </c>
      <c r="B11376" t="s">
        <v>25</v>
      </c>
      <c r="C11376" t="s">
        <v>59</v>
      </c>
      <c r="D11376" t="s">
        <v>42048</v>
      </c>
      <c r="E11376">
        <v>424000</v>
      </c>
      <c r="F11376" t="s">
        <v>1</v>
      </c>
      <c r="G11376" t="s">
        <v>2</v>
      </c>
      <c r="H11376" t="s">
        <v>42049</v>
      </c>
      <c r="J11376" t="s">
        <v>42050</v>
      </c>
      <c r="L11376" t="s">
        <v>19044</v>
      </c>
      <c r="M11376" t="s">
        <v>42051</v>
      </c>
      <c r="P11376" t="s">
        <v>330</v>
      </c>
      <c r="Y11376" t="s">
        <v>42052</v>
      </c>
    </row>
    <row r="11377" spans="1:25" x14ac:dyDescent="0.25">
      <c r="A11377" t="str">
        <f>"159466446227"</f>
        <v>159466446227</v>
      </c>
      <c r="B11377" t="s">
        <v>930</v>
      </c>
      <c r="C11377" t="s">
        <v>1096</v>
      </c>
      <c r="D11377" t="s">
        <v>42053</v>
      </c>
      <c r="E11377">
        <v>424003</v>
      </c>
      <c r="F11377" t="s">
        <v>1</v>
      </c>
      <c r="G11377" t="s">
        <v>2</v>
      </c>
      <c r="H11377" t="s">
        <v>2001</v>
      </c>
      <c r="I11377" t="s">
        <v>42054</v>
      </c>
      <c r="L11377" t="s">
        <v>42055</v>
      </c>
      <c r="P11377" t="s">
        <v>8133</v>
      </c>
      <c r="Q11377" t="s">
        <v>42056</v>
      </c>
      <c r="Y11377" t="s">
        <v>42057</v>
      </c>
    </row>
    <row r="11378" spans="1:25" x14ac:dyDescent="0.25">
      <c r="A11378" t="str">
        <f>"159484344081"</f>
        <v>159484344081</v>
      </c>
      <c r="B11378" t="s">
        <v>96</v>
      </c>
      <c r="C11378" t="s">
        <v>2285</v>
      </c>
      <c r="D11378" t="s">
        <v>42058</v>
      </c>
      <c r="E11378">
        <v>424000</v>
      </c>
      <c r="F11378" t="s">
        <v>1</v>
      </c>
      <c r="G11378" t="s">
        <v>2</v>
      </c>
      <c r="H11378" t="s">
        <v>1746</v>
      </c>
      <c r="Y11378" t="s">
        <v>42059</v>
      </c>
    </row>
    <row r="11379" spans="1:25" x14ac:dyDescent="0.25">
      <c r="A11379" t="str">
        <f>"159496153607"</f>
        <v>159496153607</v>
      </c>
      <c r="B11379" t="s">
        <v>574</v>
      </c>
      <c r="C11379" t="s">
        <v>952</v>
      </c>
      <c r="D11379" t="s">
        <v>3388</v>
      </c>
      <c r="E11379">
        <v>424008</v>
      </c>
      <c r="F11379" t="s">
        <v>1</v>
      </c>
      <c r="G11379" t="s">
        <v>2</v>
      </c>
      <c r="H11379" t="s">
        <v>1031</v>
      </c>
      <c r="J11379" t="s">
        <v>42060</v>
      </c>
      <c r="P11379" t="s">
        <v>1464</v>
      </c>
      <c r="Y11379" t="s">
        <v>42061</v>
      </c>
    </row>
    <row r="11380" spans="1:25" x14ac:dyDescent="0.25">
      <c r="A11380" t="str">
        <f>"159524313260"</f>
        <v>159524313260</v>
      </c>
      <c r="B11380" t="s">
        <v>233</v>
      </c>
      <c r="C11380" t="s">
        <v>42063</v>
      </c>
      <c r="D11380" t="s">
        <v>42062</v>
      </c>
      <c r="F11380" t="s">
        <v>1</v>
      </c>
      <c r="G11380" t="s">
        <v>2</v>
      </c>
      <c r="H11380" t="s">
        <v>9610</v>
      </c>
      <c r="Y11380" t="s">
        <v>9612</v>
      </c>
    </row>
    <row r="11381" spans="1:25" x14ac:dyDescent="0.25">
      <c r="A11381" t="str">
        <f>"159540604373"</f>
        <v>159540604373</v>
      </c>
      <c r="B11381" t="s">
        <v>388</v>
      </c>
      <c r="C11381" t="s">
        <v>7194</v>
      </c>
      <c r="D11381" t="s">
        <v>42064</v>
      </c>
      <c r="E11381">
        <v>424002</v>
      </c>
      <c r="F11381" t="s">
        <v>1</v>
      </c>
      <c r="G11381" t="s">
        <v>2</v>
      </c>
      <c r="H11381" t="s">
        <v>42065</v>
      </c>
      <c r="J11381" t="s">
        <v>42066</v>
      </c>
      <c r="P11381" t="s">
        <v>152</v>
      </c>
      <c r="Y11381" t="s">
        <v>42067</v>
      </c>
    </row>
    <row r="11382" spans="1:25" x14ac:dyDescent="0.25">
      <c r="A11382" t="str">
        <f>"159543241007"</f>
        <v>159543241007</v>
      </c>
      <c r="B11382" t="s">
        <v>530</v>
      </c>
      <c r="C11382" t="s">
        <v>23950</v>
      </c>
      <c r="D11382" t="s">
        <v>23950</v>
      </c>
      <c r="F11382" t="s">
        <v>1</v>
      </c>
      <c r="G11382" t="s">
        <v>2</v>
      </c>
      <c r="H11382" t="s">
        <v>27567</v>
      </c>
      <c r="Y11382" t="s">
        <v>42068</v>
      </c>
    </row>
    <row r="11383" spans="1:25" x14ac:dyDescent="0.25">
      <c r="A11383" t="str">
        <f>"159573057916"</f>
        <v>159573057916</v>
      </c>
      <c r="B11383" t="s">
        <v>1315</v>
      </c>
      <c r="C11383" t="s">
        <v>4274</v>
      </c>
      <c r="D11383" t="s">
        <v>42069</v>
      </c>
      <c r="E11383">
        <v>424007</v>
      </c>
      <c r="F11383" t="s">
        <v>1</v>
      </c>
      <c r="G11383" t="s">
        <v>2</v>
      </c>
      <c r="H11383" t="s">
        <v>14570</v>
      </c>
      <c r="I11383" t="s">
        <v>42070</v>
      </c>
      <c r="L11383" t="s">
        <v>42071</v>
      </c>
      <c r="M11383" t="s">
        <v>42072</v>
      </c>
      <c r="Y11383" t="s">
        <v>42073</v>
      </c>
    </row>
    <row r="11384" spans="1:25" x14ac:dyDescent="0.25">
      <c r="A11384" t="str">
        <f>"159606760499"</f>
        <v>159606760499</v>
      </c>
      <c r="B11384" t="s">
        <v>930</v>
      </c>
      <c r="C11384" t="s">
        <v>1096</v>
      </c>
      <c r="D11384" t="s">
        <v>42074</v>
      </c>
      <c r="E11384">
        <v>424005</v>
      </c>
      <c r="F11384" t="s">
        <v>1</v>
      </c>
      <c r="G11384" t="s">
        <v>2</v>
      </c>
      <c r="H11384" t="s">
        <v>42075</v>
      </c>
      <c r="J11384" t="s">
        <v>42076</v>
      </c>
      <c r="P11384" t="s">
        <v>152</v>
      </c>
      <c r="Y11384" t="s">
        <v>42077</v>
      </c>
    </row>
    <row r="11385" spans="1:25" x14ac:dyDescent="0.25">
      <c r="A11385" t="str">
        <f>"159629384153"</f>
        <v>159629384153</v>
      </c>
      <c r="B11385" t="s">
        <v>290</v>
      </c>
      <c r="C11385" t="s">
        <v>23328</v>
      </c>
      <c r="D11385" t="s">
        <v>42078</v>
      </c>
      <c r="E11385">
        <v>424000</v>
      </c>
      <c r="F11385" t="s">
        <v>1</v>
      </c>
      <c r="G11385" t="s">
        <v>2</v>
      </c>
      <c r="H11385" t="s">
        <v>31391</v>
      </c>
      <c r="I11385" t="s">
        <v>42079</v>
      </c>
      <c r="M11385" t="s">
        <v>42080</v>
      </c>
      <c r="P11385" t="s">
        <v>10225</v>
      </c>
      <c r="Y11385" t="s">
        <v>42081</v>
      </c>
    </row>
    <row r="11386" spans="1:25" x14ac:dyDescent="0.25">
      <c r="A11386" t="str">
        <f>"159634562742"</f>
        <v>159634562742</v>
      </c>
      <c r="B11386" t="s">
        <v>32</v>
      </c>
      <c r="C11386" t="s">
        <v>182</v>
      </c>
      <c r="D11386" t="s">
        <v>42082</v>
      </c>
      <c r="E11386">
        <v>424002</v>
      </c>
      <c r="F11386" t="s">
        <v>1</v>
      </c>
      <c r="G11386" t="s">
        <v>2</v>
      </c>
      <c r="H11386" t="s">
        <v>3877</v>
      </c>
      <c r="Y11386" t="s">
        <v>42083</v>
      </c>
    </row>
    <row r="11387" spans="1:25" x14ac:dyDescent="0.25">
      <c r="A11387" t="str">
        <f>"159654440436"</f>
        <v>159654440436</v>
      </c>
      <c r="B11387" t="s">
        <v>151</v>
      </c>
      <c r="C11387" t="s">
        <v>1034</v>
      </c>
      <c r="D11387" t="s">
        <v>42084</v>
      </c>
      <c r="E11387">
        <v>424031</v>
      </c>
      <c r="F11387" t="s">
        <v>1</v>
      </c>
      <c r="G11387" t="s">
        <v>2</v>
      </c>
      <c r="H11387" t="s">
        <v>10141</v>
      </c>
      <c r="I11387" t="s">
        <v>42085</v>
      </c>
      <c r="J11387" t="s">
        <v>42086</v>
      </c>
      <c r="P11387" t="s">
        <v>390</v>
      </c>
      <c r="Y11387" t="s">
        <v>10144</v>
      </c>
    </row>
    <row r="11388" spans="1:25" x14ac:dyDescent="0.25">
      <c r="A11388" t="str">
        <f>"159753217056"</f>
        <v>159753217056</v>
      </c>
      <c r="B11388" t="s">
        <v>3700</v>
      </c>
      <c r="C11388" t="s">
        <v>4023</v>
      </c>
      <c r="D11388" t="s">
        <v>42087</v>
      </c>
      <c r="E11388">
        <v>424002</v>
      </c>
      <c r="F11388" t="s">
        <v>1</v>
      </c>
      <c r="G11388" t="s">
        <v>2</v>
      </c>
      <c r="H11388" t="s">
        <v>6656</v>
      </c>
      <c r="I11388" t="s">
        <v>42088</v>
      </c>
      <c r="J11388" t="s">
        <v>42089</v>
      </c>
      <c r="P11388" t="s">
        <v>2923</v>
      </c>
      <c r="Y11388" t="s">
        <v>42090</v>
      </c>
    </row>
    <row r="11389" spans="1:25" x14ac:dyDescent="0.25">
      <c r="A11389" t="str">
        <f>"159754194223"</f>
        <v>159754194223</v>
      </c>
      <c r="B11389" t="s">
        <v>96</v>
      </c>
      <c r="C11389" t="s">
        <v>695</v>
      </c>
      <c r="D11389" t="s">
        <v>12083</v>
      </c>
      <c r="E11389">
        <v>424019</v>
      </c>
      <c r="F11389" t="s">
        <v>1</v>
      </c>
      <c r="G11389" t="s">
        <v>2</v>
      </c>
      <c r="H11389" t="s">
        <v>39916</v>
      </c>
      <c r="Y11389" t="s">
        <v>42091</v>
      </c>
    </row>
    <row r="11390" spans="1:25" x14ac:dyDescent="0.25">
      <c r="A11390" t="str">
        <f>"159770733642"</f>
        <v>159770733642</v>
      </c>
      <c r="B11390" t="s">
        <v>88</v>
      </c>
      <c r="C11390" t="s">
        <v>6066</v>
      </c>
      <c r="D11390" t="s">
        <v>42092</v>
      </c>
      <c r="E11390">
        <v>424002</v>
      </c>
      <c r="F11390" t="s">
        <v>1</v>
      </c>
      <c r="G11390" t="s">
        <v>2</v>
      </c>
      <c r="H11390" t="s">
        <v>570</v>
      </c>
      <c r="I11390" t="s">
        <v>42093</v>
      </c>
      <c r="Y11390" t="s">
        <v>18782</v>
      </c>
    </row>
    <row r="11391" spans="1:25" x14ac:dyDescent="0.25">
      <c r="A11391" t="str">
        <f>"159803327329"</f>
        <v>159803327329</v>
      </c>
      <c r="B11391" t="s">
        <v>290</v>
      </c>
      <c r="C11391" t="s">
        <v>11114</v>
      </c>
      <c r="D11391" t="s">
        <v>42094</v>
      </c>
      <c r="E11391">
        <v>424019</v>
      </c>
      <c r="F11391" t="s">
        <v>1</v>
      </c>
      <c r="G11391" t="s">
        <v>2</v>
      </c>
      <c r="H11391" t="s">
        <v>37538</v>
      </c>
      <c r="Y11391" t="s">
        <v>42095</v>
      </c>
    </row>
    <row r="11392" spans="1:25" x14ac:dyDescent="0.25">
      <c r="A11392" t="str">
        <f>"159807903166"</f>
        <v>159807903166</v>
      </c>
      <c r="B11392" t="s">
        <v>7312</v>
      </c>
      <c r="C11392" t="s">
        <v>42096</v>
      </c>
      <c r="D11392" t="s">
        <v>13544</v>
      </c>
      <c r="E11392">
        <v>424019</v>
      </c>
      <c r="F11392" t="s">
        <v>1</v>
      </c>
      <c r="G11392" t="s">
        <v>2</v>
      </c>
      <c r="H11392" t="s">
        <v>9271</v>
      </c>
      <c r="Y11392" t="s">
        <v>14680</v>
      </c>
    </row>
    <row r="11393" spans="1:25" x14ac:dyDescent="0.25">
      <c r="A11393" t="str">
        <f>"159839616687"</f>
        <v>159839616687</v>
      </c>
      <c r="B11393" t="s">
        <v>348</v>
      </c>
      <c r="C11393" t="s">
        <v>24364</v>
      </c>
      <c r="D11393" t="s">
        <v>42097</v>
      </c>
      <c r="E11393">
        <v>424006</v>
      </c>
      <c r="F11393" t="s">
        <v>1</v>
      </c>
      <c r="G11393" t="s">
        <v>2</v>
      </c>
      <c r="H11393" t="s">
        <v>2012</v>
      </c>
      <c r="J11393" t="s">
        <v>42098</v>
      </c>
      <c r="L11393" t="s">
        <v>42099</v>
      </c>
      <c r="M11393" t="s">
        <v>42100</v>
      </c>
      <c r="P11393" t="s">
        <v>2296</v>
      </c>
      <c r="Q11393" t="s">
        <v>42101</v>
      </c>
      <c r="R11393" t="s">
        <v>42102</v>
      </c>
      <c r="T11393" t="s">
        <v>42103</v>
      </c>
      <c r="V11393" t="s">
        <v>42104</v>
      </c>
      <c r="Y11393" t="s">
        <v>2016</v>
      </c>
    </row>
    <row r="11394" spans="1:25" x14ac:dyDescent="0.25">
      <c r="A11394" t="str">
        <f>"159872702857"</f>
        <v>159872702857</v>
      </c>
      <c r="B11394" t="s">
        <v>640</v>
      </c>
      <c r="C11394" t="s">
        <v>8265</v>
      </c>
      <c r="D11394" t="s">
        <v>42105</v>
      </c>
      <c r="E11394">
        <v>424002</v>
      </c>
      <c r="F11394" t="s">
        <v>1</v>
      </c>
      <c r="G11394" t="s">
        <v>2</v>
      </c>
      <c r="H11394" t="s">
        <v>6656</v>
      </c>
      <c r="Y11394" t="s">
        <v>11652</v>
      </c>
    </row>
    <row r="11395" spans="1:25" x14ac:dyDescent="0.25">
      <c r="A11395" t="str">
        <f>"159877337561"</f>
        <v>159877337561</v>
      </c>
      <c r="B11395" t="s">
        <v>176</v>
      </c>
      <c r="C11395" t="s">
        <v>42109</v>
      </c>
      <c r="D11395" t="s">
        <v>42106</v>
      </c>
      <c r="E11395">
        <v>424019</v>
      </c>
      <c r="F11395" t="s">
        <v>1</v>
      </c>
      <c r="G11395" t="s">
        <v>2</v>
      </c>
      <c r="H11395" t="s">
        <v>7863</v>
      </c>
      <c r="I11395" t="s">
        <v>42107</v>
      </c>
      <c r="J11395" t="s">
        <v>42108</v>
      </c>
      <c r="P11395" t="s">
        <v>4280</v>
      </c>
      <c r="Y11395" t="s">
        <v>42110</v>
      </c>
    </row>
    <row r="11396" spans="1:25" x14ac:dyDescent="0.25">
      <c r="A11396" t="str">
        <f>"159891456637"</f>
        <v>159891456637</v>
      </c>
      <c r="B11396" t="s">
        <v>1078</v>
      </c>
      <c r="C11396" t="s">
        <v>2306</v>
      </c>
      <c r="D11396" t="s">
        <v>42111</v>
      </c>
      <c r="E11396">
        <v>424038</v>
      </c>
      <c r="F11396" t="s">
        <v>1</v>
      </c>
      <c r="G11396" t="s">
        <v>2</v>
      </c>
      <c r="H11396" t="s">
        <v>2614</v>
      </c>
      <c r="P11396" t="s">
        <v>1760</v>
      </c>
      <c r="Y11396" t="s">
        <v>42112</v>
      </c>
    </row>
    <row r="11397" spans="1:25" x14ac:dyDescent="0.25">
      <c r="A11397" t="str">
        <f>"159906369076"</f>
        <v>159906369076</v>
      </c>
      <c r="B11397" t="s">
        <v>1152</v>
      </c>
      <c r="C11397" t="s">
        <v>1153</v>
      </c>
      <c r="D11397" t="s">
        <v>10280</v>
      </c>
      <c r="E11397">
        <v>424030</v>
      </c>
      <c r="F11397" t="s">
        <v>1</v>
      </c>
      <c r="G11397" t="s">
        <v>2</v>
      </c>
      <c r="H11397" t="s">
        <v>440</v>
      </c>
      <c r="I11397" t="s">
        <v>22092</v>
      </c>
      <c r="M11397" t="s">
        <v>10284</v>
      </c>
      <c r="Q11397" t="s">
        <v>10286</v>
      </c>
      <c r="R11397" t="s">
        <v>10287</v>
      </c>
      <c r="S11397" t="s">
        <v>10288</v>
      </c>
      <c r="T11397" t="s">
        <v>10289</v>
      </c>
      <c r="U11397" t="s">
        <v>10290</v>
      </c>
      <c r="V11397" t="s">
        <v>10291</v>
      </c>
      <c r="Y11397" t="s">
        <v>42113</v>
      </c>
    </row>
    <row r="11398" spans="1:25" x14ac:dyDescent="0.25">
      <c r="A11398" t="str">
        <f>"159912208283"</f>
        <v>159912208283</v>
      </c>
      <c r="B11398" t="s">
        <v>738</v>
      </c>
      <c r="C11398" t="s">
        <v>13603</v>
      </c>
      <c r="D11398" t="s">
        <v>42114</v>
      </c>
      <c r="E11398">
        <v>424040</v>
      </c>
      <c r="F11398" t="s">
        <v>1</v>
      </c>
      <c r="G11398" t="s">
        <v>2</v>
      </c>
      <c r="H11398" t="s">
        <v>22018</v>
      </c>
      <c r="I11398" t="s">
        <v>42115</v>
      </c>
      <c r="M11398" t="s">
        <v>42116</v>
      </c>
      <c r="Y11398" t="s">
        <v>42117</v>
      </c>
    </row>
    <row r="11399" spans="1:25" x14ac:dyDescent="0.25">
      <c r="A11399" t="str">
        <f>"159923086634"</f>
        <v>159923086634</v>
      </c>
      <c r="B11399" t="s">
        <v>25</v>
      </c>
      <c r="C11399" t="s">
        <v>20320</v>
      </c>
      <c r="D11399" t="s">
        <v>42118</v>
      </c>
      <c r="E11399">
        <v>424019</v>
      </c>
      <c r="F11399" t="s">
        <v>1</v>
      </c>
      <c r="G11399" t="s">
        <v>2</v>
      </c>
      <c r="H11399" t="s">
        <v>9271</v>
      </c>
      <c r="Y11399" t="s">
        <v>42119</v>
      </c>
    </row>
    <row r="11400" spans="1:25" x14ac:dyDescent="0.25">
      <c r="A11400" t="str">
        <f>"159931067875"</f>
        <v>159931067875</v>
      </c>
      <c r="B11400" t="s">
        <v>1611</v>
      </c>
      <c r="C11400" t="s">
        <v>3218</v>
      </c>
      <c r="D11400" t="s">
        <v>42120</v>
      </c>
      <c r="E11400">
        <v>424031</v>
      </c>
      <c r="F11400" t="s">
        <v>1</v>
      </c>
      <c r="G11400" t="s">
        <v>2</v>
      </c>
      <c r="H11400" t="s">
        <v>20058</v>
      </c>
      <c r="Y11400" t="s">
        <v>42121</v>
      </c>
    </row>
    <row r="11401" spans="1:25" x14ac:dyDescent="0.25">
      <c r="A11401" t="str">
        <f>"159949147359"</f>
        <v>159949147359</v>
      </c>
      <c r="B11401" t="s">
        <v>224</v>
      </c>
      <c r="C11401" t="s">
        <v>3240</v>
      </c>
      <c r="D11401" t="s">
        <v>42122</v>
      </c>
      <c r="E11401">
        <v>424006</v>
      </c>
      <c r="F11401" t="s">
        <v>1</v>
      </c>
      <c r="G11401" t="s">
        <v>2</v>
      </c>
      <c r="H11401" t="s">
        <v>2012</v>
      </c>
      <c r="J11401" t="s">
        <v>42123</v>
      </c>
      <c r="L11401" t="s">
        <v>42124</v>
      </c>
      <c r="M11401" t="s">
        <v>42125</v>
      </c>
      <c r="P11401" t="s">
        <v>280</v>
      </c>
      <c r="Y11401" t="s">
        <v>2016</v>
      </c>
    </row>
    <row r="11402" spans="1:25" x14ac:dyDescent="0.25">
      <c r="A11402" t="str">
        <f>"159974974693"</f>
        <v>159974974693</v>
      </c>
      <c r="B11402" t="s">
        <v>574</v>
      </c>
      <c r="C11402" t="s">
        <v>646</v>
      </c>
      <c r="D11402" t="s">
        <v>42126</v>
      </c>
      <c r="F11402" t="s">
        <v>1</v>
      </c>
      <c r="G11402" t="s">
        <v>2</v>
      </c>
      <c r="H11402" t="s">
        <v>16051</v>
      </c>
      <c r="Y11402" t="s">
        <v>42127</v>
      </c>
    </row>
    <row r="11403" spans="1:25" x14ac:dyDescent="0.25">
      <c r="A11403" t="str">
        <f>"159994667706"</f>
        <v>159994667706</v>
      </c>
      <c r="B11403" t="s">
        <v>1152</v>
      </c>
      <c r="C11403" t="s">
        <v>42130</v>
      </c>
      <c r="D11403" t="s">
        <v>42128</v>
      </c>
      <c r="E11403">
        <v>424000</v>
      </c>
      <c r="F11403" t="s">
        <v>1</v>
      </c>
      <c r="G11403" t="s">
        <v>2</v>
      </c>
      <c r="H11403" t="s">
        <v>1531</v>
      </c>
      <c r="J11403" t="s">
        <v>42129</v>
      </c>
      <c r="P11403" t="s">
        <v>2457</v>
      </c>
      <c r="Y11403" t="s">
        <v>1707</v>
      </c>
    </row>
    <row r="11404" spans="1:25" x14ac:dyDescent="0.25">
      <c r="A11404" t="str">
        <f>"160018186333"</f>
        <v>160018186333</v>
      </c>
      <c r="B11404" t="s">
        <v>96</v>
      </c>
      <c r="C11404" t="s">
        <v>42132</v>
      </c>
      <c r="D11404" t="s">
        <v>42131</v>
      </c>
      <c r="F11404" t="s">
        <v>1</v>
      </c>
      <c r="G11404" t="s">
        <v>2</v>
      </c>
      <c r="H11404" t="s">
        <v>2745</v>
      </c>
      <c r="Y11404" t="s">
        <v>2751</v>
      </c>
    </row>
    <row r="11405" spans="1:25" x14ac:dyDescent="0.25">
      <c r="A11405" t="str">
        <f>"160034477651"</f>
        <v>160034477651</v>
      </c>
      <c r="B11405" t="s">
        <v>96</v>
      </c>
      <c r="C11405" t="s">
        <v>2285</v>
      </c>
      <c r="D11405" t="s">
        <v>42133</v>
      </c>
      <c r="E11405">
        <v>424918</v>
      </c>
      <c r="F11405" t="s">
        <v>1</v>
      </c>
      <c r="G11405" t="s">
        <v>2</v>
      </c>
      <c r="H11405" t="s">
        <v>629</v>
      </c>
      <c r="P11405" t="s">
        <v>630</v>
      </c>
      <c r="Y11405" t="s">
        <v>42134</v>
      </c>
    </row>
    <row r="11406" spans="1:25" x14ac:dyDescent="0.25">
      <c r="A11406" t="str">
        <f>"160047212036"</f>
        <v>160047212036</v>
      </c>
      <c r="B11406" t="s">
        <v>574</v>
      </c>
      <c r="C11406" t="s">
        <v>646</v>
      </c>
      <c r="D11406" t="s">
        <v>28599</v>
      </c>
      <c r="E11406">
        <v>424008</v>
      </c>
      <c r="F11406" t="s">
        <v>1</v>
      </c>
      <c r="G11406" t="s">
        <v>2</v>
      </c>
      <c r="H11406" t="s">
        <v>7291</v>
      </c>
      <c r="Y11406" t="s">
        <v>42135</v>
      </c>
    </row>
    <row r="11407" spans="1:25" x14ac:dyDescent="0.25">
      <c r="A11407" t="str">
        <f>"160048309075"</f>
        <v>160048309075</v>
      </c>
      <c r="B11407" t="s">
        <v>930</v>
      </c>
      <c r="C11407" t="s">
        <v>42140</v>
      </c>
      <c r="D11407" t="s">
        <v>42136</v>
      </c>
      <c r="E11407">
        <v>424006</v>
      </c>
      <c r="F11407" t="s">
        <v>1</v>
      </c>
      <c r="G11407" t="s">
        <v>2</v>
      </c>
      <c r="H11407" t="s">
        <v>25538</v>
      </c>
      <c r="I11407" t="s">
        <v>42137</v>
      </c>
      <c r="L11407" t="s">
        <v>42138</v>
      </c>
      <c r="M11407" t="s">
        <v>42139</v>
      </c>
      <c r="P11407" t="s">
        <v>3690</v>
      </c>
      <c r="Q11407" t="s">
        <v>42141</v>
      </c>
      <c r="T11407" t="s">
        <v>42142</v>
      </c>
      <c r="U11407" t="s">
        <v>42143</v>
      </c>
      <c r="V11407" t="s">
        <v>42144</v>
      </c>
      <c r="Y11407" t="s">
        <v>25540</v>
      </c>
    </row>
    <row r="11408" spans="1:25" x14ac:dyDescent="0.25">
      <c r="A11408" t="str">
        <f>"160096132908"</f>
        <v>160096132908</v>
      </c>
      <c r="B11408" t="s">
        <v>25</v>
      </c>
      <c r="C11408" t="s">
        <v>20320</v>
      </c>
      <c r="D11408" t="s">
        <v>42145</v>
      </c>
      <c r="E11408">
        <v>424033</v>
      </c>
      <c r="F11408" t="s">
        <v>1</v>
      </c>
      <c r="G11408" t="s">
        <v>2</v>
      </c>
      <c r="H11408" t="s">
        <v>19261</v>
      </c>
      <c r="Y11408" t="s">
        <v>42146</v>
      </c>
    </row>
    <row r="11409" spans="1:25" x14ac:dyDescent="0.25">
      <c r="A11409" t="str">
        <f>"160118680423"</f>
        <v>160118680423</v>
      </c>
      <c r="B11409" t="s">
        <v>2846</v>
      </c>
      <c r="C11409" t="s">
        <v>29566</v>
      </c>
      <c r="D11409" t="s">
        <v>23390</v>
      </c>
      <c r="E11409">
        <v>424000</v>
      </c>
      <c r="F11409" t="s">
        <v>1</v>
      </c>
      <c r="G11409" t="s">
        <v>2</v>
      </c>
      <c r="H11409" t="s">
        <v>1531</v>
      </c>
      <c r="J11409" t="s">
        <v>23391</v>
      </c>
      <c r="P11409" t="s">
        <v>941</v>
      </c>
      <c r="Y11409" t="s">
        <v>1707</v>
      </c>
    </row>
    <row r="11410" spans="1:25" x14ac:dyDescent="0.25">
      <c r="A11410" t="str">
        <f>"160119490766"</f>
        <v>160119490766</v>
      </c>
      <c r="B11410" t="s">
        <v>32</v>
      </c>
      <c r="C11410" t="s">
        <v>20792</v>
      </c>
      <c r="D11410" t="s">
        <v>42147</v>
      </c>
      <c r="E11410">
        <v>424000</v>
      </c>
      <c r="F11410" t="s">
        <v>1</v>
      </c>
      <c r="G11410" t="s">
        <v>2</v>
      </c>
      <c r="H11410" t="s">
        <v>18608</v>
      </c>
      <c r="J11410" t="s">
        <v>42148</v>
      </c>
      <c r="P11410" t="s">
        <v>22164</v>
      </c>
      <c r="Q11410" t="s">
        <v>42149</v>
      </c>
      <c r="Y11410" t="s">
        <v>42150</v>
      </c>
    </row>
    <row r="11411" spans="1:25" x14ac:dyDescent="0.25">
      <c r="A11411" t="str">
        <f>"160185247366"</f>
        <v>160185247366</v>
      </c>
      <c r="B11411" t="s">
        <v>18</v>
      </c>
      <c r="C11411" t="s">
        <v>12269</v>
      </c>
      <c r="D11411" t="s">
        <v>42151</v>
      </c>
      <c r="F11411" t="s">
        <v>1</v>
      </c>
      <c r="G11411" t="s">
        <v>2</v>
      </c>
      <c r="H11411" t="s">
        <v>2745</v>
      </c>
      <c r="I11411" t="s">
        <v>42152</v>
      </c>
      <c r="P11411" t="s">
        <v>27</v>
      </c>
      <c r="Y11411" t="s">
        <v>2751</v>
      </c>
    </row>
    <row r="11412" spans="1:25" x14ac:dyDescent="0.25">
      <c r="A11412" t="str">
        <f>"160189650690"</f>
        <v>160189650690</v>
      </c>
      <c r="B11412" t="s">
        <v>18</v>
      </c>
      <c r="C11412" t="s">
        <v>143</v>
      </c>
      <c r="D11412" t="s">
        <v>958</v>
      </c>
      <c r="E11412">
        <v>424016</v>
      </c>
      <c r="F11412" t="s">
        <v>1</v>
      </c>
      <c r="G11412" t="s">
        <v>2</v>
      </c>
      <c r="H11412" t="s">
        <v>2637</v>
      </c>
      <c r="I11412" t="s">
        <v>42153</v>
      </c>
      <c r="Y11412" t="s">
        <v>2641</v>
      </c>
    </row>
    <row r="11413" spans="1:25" x14ac:dyDescent="0.25">
      <c r="A11413" t="str">
        <f>"160203691325"</f>
        <v>160203691325</v>
      </c>
      <c r="B11413" t="s">
        <v>654</v>
      </c>
      <c r="C11413" t="s">
        <v>2195</v>
      </c>
      <c r="D11413" t="s">
        <v>42154</v>
      </c>
      <c r="E11413">
        <v>424007</v>
      </c>
      <c r="F11413" t="s">
        <v>1</v>
      </c>
      <c r="G11413" t="s">
        <v>2</v>
      </c>
      <c r="H11413" t="s">
        <v>2609</v>
      </c>
      <c r="Y11413" t="s">
        <v>5834</v>
      </c>
    </row>
    <row r="11414" spans="1:25" x14ac:dyDescent="0.25">
      <c r="A11414" t="str">
        <f>"160208342370"</f>
        <v>160208342370</v>
      </c>
      <c r="B11414" t="s">
        <v>1152</v>
      </c>
      <c r="C11414" t="s">
        <v>1153</v>
      </c>
      <c r="D11414" t="s">
        <v>10280</v>
      </c>
      <c r="E11414">
        <v>424006</v>
      </c>
      <c r="F11414" t="s">
        <v>1</v>
      </c>
      <c r="G11414" t="s">
        <v>2</v>
      </c>
      <c r="H11414" t="s">
        <v>30817</v>
      </c>
      <c r="I11414" t="s">
        <v>22092</v>
      </c>
      <c r="M11414" t="s">
        <v>10284</v>
      </c>
      <c r="P11414" t="s">
        <v>330</v>
      </c>
      <c r="Q11414" t="s">
        <v>10286</v>
      </c>
      <c r="R11414" t="s">
        <v>10287</v>
      </c>
      <c r="S11414" t="s">
        <v>10288</v>
      </c>
      <c r="T11414" t="s">
        <v>10289</v>
      </c>
      <c r="U11414" t="s">
        <v>10290</v>
      </c>
      <c r="V11414" t="s">
        <v>10291</v>
      </c>
      <c r="Y11414" t="s">
        <v>42155</v>
      </c>
    </row>
    <row r="11415" spans="1:25" x14ac:dyDescent="0.25">
      <c r="A11415" t="str">
        <f>"160213289326"</f>
        <v>160213289326</v>
      </c>
      <c r="B11415" t="s">
        <v>1152</v>
      </c>
      <c r="C11415" t="s">
        <v>4682</v>
      </c>
      <c r="D11415" t="s">
        <v>42156</v>
      </c>
      <c r="E11415">
        <v>424006</v>
      </c>
      <c r="F11415" t="s">
        <v>1</v>
      </c>
      <c r="G11415" t="s">
        <v>2</v>
      </c>
      <c r="H11415" t="s">
        <v>478</v>
      </c>
      <c r="J11415" t="s">
        <v>42157</v>
      </c>
      <c r="Q11415" t="s">
        <v>42158</v>
      </c>
      <c r="Y11415" t="s">
        <v>926</v>
      </c>
    </row>
    <row r="11416" spans="1:25" x14ac:dyDescent="0.25">
      <c r="A11416" t="str">
        <f>"160277333049"</f>
        <v>160277333049</v>
      </c>
      <c r="B11416" t="s">
        <v>1493</v>
      </c>
      <c r="C11416" t="s">
        <v>25603</v>
      </c>
      <c r="D11416" t="s">
        <v>42159</v>
      </c>
      <c r="E11416">
        <v>424006</v>
      </c>
      <c r="F11416" t="s">
        <v>1</v>
      </c>
      <c r="G11416" t="s">
        <v>2</v>
      </c>
      <c r="H11416" t="s">
        <v>42160</v>
      </c>
      <c r="Y11416" t="s">
        <v>42161</v>
      </c>
    </row>
    <row r="11417" spans="1:25" x14ac:dyDescent="0.25">
      <c r="A11417" t="str">
        <f>"160279072662"</f>
        <v>160279072662</v>
      </c>
      <c r="B11417" t="s">
        <v>574</v>
      </c>
      <c r="C11417" t="s">
        <v>24608</v>
      </c>
      <c r="D11417" t="s">
        <v>31217</v>
      </c>
      <c r="F11417" t="s">
        <v>1</v>
      </c>
      <c r="G11417" t="s">
        <v>2</v>
      </c>
      <c r="H11417" t="s">
        <v>38816</v>
      </c>
      <c r="Y11417" t="s">
        <v>42162</v>
      </c>
    </row>
    <row r="11418" spans="1:25" x14ac:dyDescent="0.25">
      <c r="A11418" t="str">
        <f>"160307803174"</f>
        <v>160307803174</v>
      </c>
      <c r="B11418" t="s">
        <v>2055</v>
      </c>
      <c r="C11418" t="s">
        <v>42167</v>
      </c>
      <c r="D11418" t="s">
        <v>42163</v>
      </c>
      <c r="E11418">
        <v>424005</v>
      </c>
      <c r="F11418" t="s">
        <v>1</v>
      </c>
      <c r="G11418" t="s">
        <v>2</v>
      </c>
      <c r="H11418" t="s">
        <v>5843</v>
      </c>
      <c r="I11418" t="s">
        <v>42164</v>
      </c>
      <c r="J11418" t="s">
        <v>42165</v>
      </c>
      <c r="L11418" t="s">
        <v>1925</v>
      </c>
      <c r="M11418" t="s">
        <v>42166</v>
      </c>
      <c r="P11418" t="s">
        <v>280</v>
      </c>
      <c r="Y11418" t="s">
        <v>5844</v>
      </c>
    </row>
    <row r="11419" spans="1:25" x14ac:dyDescent="0.25">
      <c r="A11419" t="str">
        <f>"160318015252"</f>
        <v>160318015252</v>
      </c>
      <c r="B11419" t="s">
        <v>334</v>
      </c>
      <c r="C11419" t="s">
        <v>334</v>
      </c>
      <c r="D11419" t="s">
        <v>42168</v>
      </c>
      <c r="E11419">
        <v>424000</v>
      </c>
      <c r="F11419" t="s">
        <v>1</v>
      </c>
      <c r="G11419" t="s">
        <v>2</v>
      </c>
      <c r="H11419" t="s">
        <v>20776</v>
      </c>
      <c r="I11419" t="s">
        <v>41939</v>
      </c>
      <c r="L11419" t="s">
        <v>29711</v>
      </c>
      <c r="M11419" t="s">
        <v>29712</v>
      </c>
      <c r="Y11419" t="s">
        <v>42169</v>
      </c>
    </row>
    <row r="11420" spans="1:25" x14ac:dyDescent="0.25">
      <c r="A11420" t="str">
        <f>"160331952691"</f>
        <v>160331952691</v>
      </c>
      <c r="B11420" t="s">
        <v>930</v>
      </c>
      <c r="C11420" t="s">
        <v>17187</v>
      </c>
      <c r="D11420" t="s">
        <v>42170</v>
      </c>
      <c r="E11420">
        <v>424032</v>
      </c>
      <c r="F11420" t="s">
        <v>1</v>
      </c>
      <c r="G11420" t="s">
        <v>2</v>
      </c>
      <c r="H11420" t="s">
        <v>28540</v>
      </c>
      <c r="I11420" t="s">
        <v>42171</v>
      </c>
      <c r="L11420" t="s">
        <v>42172</v>
      </c>
      <c r="M11420" t="s">
        <v>42173</v>
      </c>
      <c r="P11420" t="s">
        <v>4280</v>
      </c>
      <c r="Q11420" t="s">
        <v>42174</v>
      </c>
      <c r="Y11420" t="s">
        <v>42175</v>
      </c>
    </row>
    <row r="11421" spans="1:25" x14ac:dyDescent="0.25">
      <c r="A11421" t="str">
        <f>"160346079712"</f>
        <v>160346079712</v>
      </c>
      <c r="B11421" t="s">
        <v>1611</v>
      </c>
      <c r="C11421" t="s">
        <v>3218</v>
      </c>
      <c r="D11421" t="s">
        <v>42176</v>
      </c>
      <c r="E11421">
        <v>424005</v>
      </c>
      <c r="F11421" t="s">
        <v>1</v>
      </c>
      <c r="G11421" t="s">
        <v>2</v>
      </c>
      <c r="H11421" t="s">
        <v>32279</v>
      </c>
      <c r="Y11421" t="s">
        <v>42177</v>
      </c>
    </row>
    <row r="11422" spans="1:25" x14ac:dyDescent="0.25">
      <c r="A11422" t="str">
        <f>"160397024261"</f>
        <v>160397024261</v>
      </c>
      <c r="B11422" t="s">
        <v>462</v>
      </c>
      <c r="C11422" t="s">
        <v>5618</v>
      </c>
      <c r="D11422" t="s">
        <v>42178</v>
      </c>
      <c r="E11422">
        <v>424006</v>
      </c>
      <c r="F11422" t="s">
        <v>1</v>
      </c>
      <c r="G11422" t="s">
        <v>2</v>
      </c>
      <c r="H11422" t="s">
        <v>4821</v>
      </c>
      <c r="Y11422" t="s">
        <v>4825</v>
      </c>
    </row>
    <row r="11423" spans="1:25" x14ac:dyDescent="0.25">
      <c r="A11423" t="str">
        <f>"160422762765"</f>
        <v>160422762765</v>
      </c>
      <c r="B11423" t="s">
        <v>25</v>
      </c>
      <c r="C11423" t="s">
        <v>4208</v>
      </c>
      <c r="D11423" t="s">
        <v>30704</v>
      </c>
      <c r="E11423">
        <v>424031</v>
      </c>
      <c r="F11423" t="s">
        <v>1</v>
      </c>
      <c r="G11423" t="s">
        <v>2</v>
      </c>
      <c r="H11423" t="s">
        <v>1524</v>
      </c>
      <c r="I11423" t="s">
        <v>42179</v>
      </c>
      <c r="J11423" t="s">
        <v>42180</v>
      </c>
      <c r="M11423" t="s">
        <v>42181</v>
      </c>
      <c r="P11423" t="s">
        <v>2258</v>
      </c>
      <c r="Y11423" t="s">
        <v>5358</v>
      </c>
    </row>
    <row r="11424" spans="1:25" x14ac:dyDescent="0.25">
      <c r="A11424" t="str">
        <f>"160472059225"</f>
        <v>160472059225</v>
      </c>
      <c r="B11424" t="s">
        <v>1544</v>
      </c>
      <c r="C11424" t="s">
        <v>15598</v>
      </c>
      <c r="D11424" t="s">
        <v>31657</v>
      </c>
      <c r="E11424">
        <v>424038</v>
      </c>
      <c r="F11424" t="s">
        <v>1</v>
      </c>
      <c r="G11424" t="s">
        <v>2</v>
      </c>
      <c r="H11424" t="s">
        <v>14026</v>
      </c>
      <c r="P11424" t="s">
        <v>27751</v>
      </c>
      <c r="Y11424" t="s">
        <v>42182</v>
      </c>
    </row>
    <row r="11425" spans="1:25" x14ac:dyDescent="0.25">
      <c r="A11425" t="str">
        <f>"160479708375"</f>
        <v>160479708375</v>
      </c>
      <c r="B11425" t="s">
        <v>96</v>
      </c>
      <c r="C11425" t="s">
        <v>893</v>
      </c>
      <c r="D11425" t="s">
        <v>42183</v>
      </c>
      <c r="E11425">
        <v>424000</v>
      </c>
      <c r="F11425" t="s">
        <v>1</v>
      </c>
      <c r="G11425" t="s">
        <v>2</v>
      </c>
      <c r="H11425" t="s">
        <v>92</v>
      </c>
      <c r="J11425" t="s">
        <v>42184</v>
      </c>
      <c r="Y11425" t="s">
        <v>28397</v>
      </c>
    </row>
    <row r="11426" spans="1:25" x14ac:dyDescent="0.25">
      <c r="A11426" t="str">
        <f>"160518145446"</f>
        <v>160518145446</v>
      </c>
      <c r="B11426" t="s">
        <v>530</v>
      </c>
      <c r="C11426" t="s">
        <v>23950</v>
      </c>
      <c r="D11426" t="s">
        <v>23950</v>
      </c>
      <c r="F11426" t="s">
        <v>1</v>
      </c>
      <c r="G11426" t="s">
        <v>2</v>
      </c>
      <c r="H11426" t="s">
        <v>42185</v>
      </c>
      <c r="Y11426" t="s">
        <v>42186</v>
      </c>
    </row>
    <row r="11427" spans="1:25" x14ac:dyDescent="0.25">
      <c r="A11427" t="str">
        <f>"160562465932"</f>
        <v>160562465932</v>
      </c>
      <c r="B11427" t="s">
        <v>96</v>
      </c>
      <c r="C11427" t="s">
        <v>893</v>
      </c>
      <c r="D11427" t="s">
        <v>42187</v>
      </c>
      <c r="E11427">
        <v>424000</v>
      </c>
      <c r="F11427" t="s">
        <v>1</v>
      </c>
      <c r="G11427" t="s">
        <v>2</v>
      </c>
      <c r="H11427" t="s">
        <v>92</v>
      </c>
      <c r="Y11427" t="s">
        <v>28397</v>
      </c>
    </row>
    <row r="11428" spans="1:25" x14ac:dyDescent="0.25">
      <c r="A11428" t="str">
        <f>"160692775791"</f>
        <v>160692775791</v>
      </c>
      <c r="B11428" t="s">
        <v>1152</v>
      </c>
      <c r="C11428" t="s">
        <v>8449</v>
      </c>
      <c r="D11428" t="s">
        <v>42188</v>
      </c>
      <c r="E11428">
        <v>424006</v>
      </c>
      <c r="F11428" t="s">
        <v>1</v>
      </c>
      <c r="G11428" t="s">
        <v>2</v>
      </c>
      <c r="H11428" t="s">
        <v>478</v>
      </c>
      <c r="I11428" t="s">
        <v>42189</v>
      </c>
      <c r="J11428" t="s">
        <v>42190</v>
      </c>
      <c r="L11428" t="s">
        <v>42191</v>
      </c>
      <c r="M11428" t="s">
        <v>42192</v>
      </c>
      <c r="P11428" t="s">
        <v>17892</v>
      </c>
      <c r="R11428" t="s">
        <v>42193</v>
      </c>
      <c r="Y11428" t="s">
        <v>926</v>
      </c>
    </row>
    <row r="11429" spans="1:25" x14ac:dyDescent="0.25">
      <c r="A11429" t="str">
        <f>"160705736540"</f>
        <v>160705736540</v>
      </c>
      <c r="B11429" t="s">
        <v>1046</v>
      </c>
      <c r="C11429" t="s">
        <v>22946</v>
      </c>
      <c r="D11429" t="s">
        <v>22946</v>
      </c>
      <c r="E11429">
        <v>424038</v>
      </c>
      <c r="F11429" t="s">
        <v>1</v>
      </c>
      <c r="G11429" t="s">
        <v>2</v>
      </c>
      <c r="H11429" t="s">
        <v>30317</v>
      </c>
      <c r="Y11429" t="s">
        <v>42194</v>
      </c>
    </row>
    <row r="11430" spans="1:25" x14ac:dyDescent="0.25">
      <c r="A11430" t="str">
        <f>"160723464471"</f>
        <v>160723464471</v>
      </c>
      <c r="B11430" t="s">
        <v>96</v>
      </c>
      <c r="C11430" t="s">
        <v>42196</v>
      </c>
      <c r="D11430" t="s">
        <v>11478</v>
      </c>
      <c r="E11430">
        <v>424002</v>
      </c>
      <c r="F11430" t="s">
        <v>1</v>
      </c>
      <c r="G11430" t="s">
        <v>2</v>
      </c>
      <c r="H11430" t="s">
        <v>744</v>
      </c>
      <c r="J11430" t="s">
        <v>42195</v>
      </c>
      <c r="P11430" t="s">
        <v>1080</v>
      </c>
      <c r="Y11430" t="s">
        <v>42197</v>
      </c>
    </row>
    <row r="11431" spans="1:25" x14ac:dyDescent="0.25">
      <c r="A11431" t="str">
        <f>"160724563277"</f>
        <v>160724563277</v>
      </c>
      <c r="B11431" t="s">
        <v>1729</v>
      </c>
      <c r="C11431" t="s">
        <v>1730</v>
      </c>
      <c r="D11431" t="s">
        <v>42198</v>
      </c>
      <c r="E11431">
        <v>424003</v>
      </c>
      <c r="F11431" t="s">
        <v>1</v>
      </c>
      <c r="G11431" t="s">
        <v>2</v>
      </c>
      <c r="H11431" t="s">
        <v>34135</v>
      </c>
      <c r="Y11431" t="s">
        <v>42199</v>
      </c>
    </row>
    <row r="11432" spans="1:25" x14ac:dyDescent="0.25">
      <c r="A11432" t="str">
        <f>"160731900659"</f>
        <v>160731900659</v>
      </c>
      <c r="B11432" t="s">
        <v>888</v>
      </c>
      <c r="C11432" t="s">
        <v>42203</v>
      </c>
      <c r="D11432" t="s">
        <v>42200</v>
      </c>
      <c r="E11432">
        <v>424002</v>
      </c>
      <c r="F11432" t="s">
        <v>1</v>
      </c>
      <c r="G11432" t="s">
        <v>2</v>
      </c>
      <c r="H11432" t="s">
        <v>57</v>
      </c>
      <c r="L11432" t="s">
        <v>42201</v>
      </c>
      <c r="M11432" t="s">
        <v>42202</v>
      </c>
      <c r="P11432" t="s">
        <v>20</v>
      </c>
      <c r="Q11432" t="s">
        <v>42204</v>
      </c>
      <c r="Y11432" t="s">
        <v>3783</v>
      </c>
    </row>
    <row r="11433" spans="1:25" x14ac:dyDescent="0.25">
      <c r="A11433" t="str">
        <f>"160753985888"</f>
        <v>160753985888</v>
      </c>
      <c r="B11433" t="s">
        <v>348</v>
      </c>
      <c r="C11433" t="s">
        <v>42207</v>
      </c>
      <c r="D11433" t="s">
        <v>42205</v>
      </c>
      <c r="E11433">
        <v>424000</v>
      </c>
      <c r="F11433" t="s">
        <v>1</v>
      </c>
      <c r="G11433" t="s">
        <v>2</v>
      </c>
      <c r="H11433" t="s">
        <v>1806</v>
      </c>
      <c r="J11433" t="s">
        <v>42206</v>
      </c>
      <c r="P11433" t="s">
        <v>1855</v>
      </c>
      <c r="Y11433" t="s">
        <v>38030</v>
      </c>
    </row>
    <row r="11434" spans="1:25" x14ac:dyDescent="0.25">
      <c r="A11434" t="str">
        <f>"160765369243"</f>
        <v>160765369243</v>
      </c>
      <c r="B11434" t="s">
        <v>6478</v>
      </c>
      <c r="C11434" t="s">
        <v>9854</v>
      </c>
      <c r="D11434" t="s">
        <v>42208</v>
      </c>
      <c r="E11434">
        <v>424000</v>
      </c>
      <c r="F11434" t="s">
        <v>1</v>
      </c>
      <c r="G11434" t="s">
        <v>2</v>
      </c>
      <c r="H11434" t="s">
        <v>211</v>
      </c>
      <c r="I11434" t="s">
        <v>42209</v>
      </c>
      <c r="L11434" t="s">
        <v>3001</v>
      </c>
      <c r="M11434" t="s">
        <v>3002</v>
      </c>
      <c r="Y11434" t="s">
        <v>4742</v>
      </c>
    </row>
    <row r="11435" spans="1:25" x14ac:dyDescent="0.25">
      <c r="A11435" t="str">
        <f>"160789345988"</f>
        <v>160789345988</v>
      </c>
      <c r="B11435" t="s">
        <v>456</v>
      </c>
      <c r="C11435" t="s">
        <v>2773</v>
      </c>
      <c r="D11435" t="s">
        <v>42210</v>
      </c>
      <c r="E11435">
        <v>424038</v>
      </c>
      <c r="F11435" t="s">
        <v>1</v>
      </c>
      <c r="G11435" t="s">
        <v>2</v>
      </c>
      <c r="H11435" t="s">
        <v>42211</v>
      </c>
      <c r="J11435" t="s">
        <v>42212</v>
      </c>
      <c r="L11435" t="s">
        <v>42213</v>
      </c>
      <c r="P11435" t="s">
        <v>27</v>
      </c>
      <c r="Y11435" t="s">
        <v>42214</v>
      </c>
    </row>
    <row r="11436" spans="1:25" x14ac:dyDescent="0.25">
      <c r="A11436" t="str">
        <f>"160868634532"</f>
        <v>160868634532</v>
      </c>
      <c r="B11436" t="s">
        <v>574</v>
      </c>
      <c r="C11436" t="s">
        <v>646</v>
      </c>
      <c r="D11436" t="s">
        <v>42215</v>
      </c>
      <c r="F11436" t="s">
        <v>1</v>
      </c>
      <c r="G11436" t="s">
        <v>2</v>
      </c>
      <c r="H11436" t="s">
        <v>3984</v>
      </c>
      <c r="Y11436" t="s">
        <v>42216</v>
      </c>
    </row>
    <row r="11437" spans="1:25" x14ac:dyDescent="0.25">
      <c r="A11437" t="str">
        <f>"160896039579"</f>
        <v>160896039579</v>
      </c>
      <c r="B11437" t="s">
        <v>2104</v>
      </c>
      <c r="C11437" t="s">
        <v>13387</v>
      </c>
      <c r="D11437" t="s">
        <v>42217</v>
      </c>
      <c r="E11437">
        <v>424031</v>
      </c>
      <c r="F11437" t="s">
        <v>1</v>
      </c>
      <c r="G11437" t="s">
        <v>2</v>
      </c>
      <c r="H11437" t="s">
        <v>19611</v>
      </c>
      <c r="Y11437" t="s">
        <v>42218</v>
      </c>
    </row>
    <row r="11438" spans="1:25" x14ac:dyDescent="0.25">
      <c r="A11438" t="str">
        <f>"161040508635"</f>
        <v>161040508635</v>
      </c>
      <c r="B11438" t="s">
        <v>1611</v>
      </c>
      <c r="C11438" t="s">
        <v>26250</v>
      </c>
      <c r="D11438" t="s">
        <v>42219</v>
      </c>
      <c r="E11438">
        <v>424005</v>
      </c>
      <c r="F11438" t="s">
        <v>1</v>
      </c>
      <c r="G11438" t="s">
        <v>2</v>
      </c>
      <c r="H11438" t="s">
        <v>5429</v>
      </c>
      <c r="I11438" t="s">
        <v>42220</v>
      </c>
      <c r="M11438" t="s">
        <v>42221</v>
      </c>
      <c r="P11438" t="s">
        <v>21948</v>
      </c>
      <c r="Y11438" t="s">
        <v>5431</v>
      </c>
    </row>
    <row r="11439" spans="1:25" x14ac:dyDescent="0.25">
      <c r="A11439" t="str">
        <f>"161137785489"</f>
        <v>161137785489</v>
      </c>
      <c r="B11439" t="s">
        <v>25</v>
      </c>
      <c r="C11439" t="s">
        <v>24938</v>
      </c>
      <c r="D11439" t="s">
        <v>42222</v>
      </c>
      <c r="E11439">
        <v>424019</v>
      </c>
      <c r="F11439" t="s">
        <v>1</v>
      </c>
      <c r="G11439" t="s">
        <v>2</v>
      </c>
      <c r="H11439" t="s">
        <v>27095</v>
      </c>
      <c r="I11439" t="s">
        <v>24408</v>
      </c>
      <c r="L11439" t="s">
        <v>5239</v>
      </c>
      <c r="M11439" t="s">
        <v>42223</v>
      </c>
      <c r="Y11439" t="s">
        <v>42224</v>
      </c>
    </row>
    <row r="11440" spans="1:25" x14ac:dyDescent="0.25">
      <c r="A11440" t="str">
        <f>"161151258121"</f>
        <v>161151258121</v>
      </c>
      <c r="B11440" t="s">
        <v>1343</v>
      </c>
      <c r="C11440" t="s">
        <v>5984</v>
      </c>
      <c r="D11440" t="s">
        <v>6511</v>
      </c>
      <c r="E11440">
        <v>424038</v>
      </c>
      <c r="F11440" t="s">
        <v>1</v>
      </c>
      <c r="G11440" t="s">
        <v>2</v>
      </c>
      <c r="H11440" t="s">
        <v>2614</v>
      </c>
      <c r="Y11440" t="s">
        <v>2617</v>
      </c>
    </row>
    <row r="11441" spans="1:25" x14ac:dyDescent="0.25">
      <c r="A11441" t="str">
        <f>"161171107286"</f>
        <v>161171107286</v>
      </c>
      <c r="B11441" t="s">
        <v>456</v>
      </c>
      <c r="C11441" t="s">
        <v>2773</v>
      </c>
      <c r="D11441" t="s">
        <v>42225</v>
      </c>
      <c r="F11441" t="s">
        <v>1</v>
      </c>
      <c r="G11441" t="s">
        <v>2</v>
      </c>
      <c r="H11441" t="s">
        <v>42226</v>
      </c>
      <c r="I11441" t="s">
        <v>21772</v>
      </c>
      <c r="L11441" t="s">
        <v>42227</v>
      </c>
      <c r="M11441" t="s">
        <v>42228</v>
      </c>
      <c r="P11441" t="s">
        <v>4998</v>
      </c>
      <c r="Y11441" t="s">
        <v>42229</v>
      </c>
    </row>
    <row r="11442" spans="1:25" x14ac:dyDescent="0.25">
      <c r="A11442" t="str">
        <f>"161178894922"</f>
        <v>161178894922</v>
      </c>
      <c r="B11442" t="s">
        <v>117</v>
      </c>
      <c r="C11442" t="s">
        <v>118</v>
      </c>
      <c r="D11442" t="s">
        <v>42230</v>
      </c>
      <c r="E11442">
        <v>424007</v>
      </c>
      <c r="F11442" t="s">
        <v>1</v>
      </c>
      <c r="G11442" t="s">
        <v>2</v>
      </c>
      <c r="H11442" t="s">
        <v>42231</v>
      </c>
      <c r="Y11442" t="s">
        <v>42232</v>
      </c>
    </row>
    <row r="11443" spans="1:25" x14ac:dyDescent="0.25">
      <c r="A11443" t="str">
        <f>"161186410817"</f>
        <v>161186410817</v>
      </c>
      <c r="B11443" t="s">
        <v>25</v>
      </c>
      <c r="C11443" t="s">
        <v>59</v>
      </c>
      <c r="D11443" t="s">
        <v>42233</v>
      </c>
      <c r="E11443">
        <v>424002</v>
      </c>
      <c r="F11443" t="s">
        <v>1</v>
      </c>
      <c r="G11443" t="s">
        <v>2</v>
      </c>
      <c r="H11443" t="s">
        <v>823</v>
      </c>
      <c r="J11443" t="s">
        <v>42234</v>
      </c>
      <c r="P11443" t="s">
        <v>42235</v>
      </c>
      <c r="Y11443" t="s">
        <v>828</v>
      </c>
    </row>
    <row r="11444" spans="1:25" x14ac:dyDescent="0.25">
      <c r="A11444" t="str">
        <f>"161204121118"</f>
        <v>161204121118</v>
      </c>
      <c r="B11444" t="s">
        <v>1758</v>
      </c>
      <c r="C11444" t="s">
        <v>42237</v>
      </c>
      <c r="D11444" t="s">
        <v>42236</v>
      </c>
      <c r="E11444">
        <v>424038</v>
      </c>
      <c r="F11444" t="s">
        <v>1</v>
      </c>
      <c r="G11444" t="s">
        <v>2</v>
      </c>
      <c r="H11444" t="s">
        <v>2529</v>
      </c>
      <c r="Y11444" t="s">
        <v>42238</v>
      </c>
    </row>
    <row r="11445" spans="1:25" x14ac:dyDescent="0.25">
      <c r="A11445" t="str">
        <f>"161220071162"</f>
        <v>161220071162</v>
      </c>
      <c r="B11445" t="s">
        <v>7312</v>
      </c>
      <c r="C11445" t="s">
        <v>19097</v>
      </c>
      <c r="D11445" t="s">
        <v>14144</v>
      </c>
      <c r="E11445">
        <v>424918</v>
      </c>
      <c r="F11445" t="s">
        <v>1</v>
      </c>
      <c r="G11445" t="s">
        <v>2</v>
      </c>
      <c r="H11445" t="s">
        <v>629</v>
      </c>
      <c r="P11445" t="s">
        <v>630</v>
      </c>
      <c r="Y11445" t="s">
        <v>1744</v>
      </c>
    </row>
    <row r="11446" spans="1:25" x14ac:dyDescent="0.25">
      <c r="A11446" t="str">
        <f>"161260588799"</f>
        <v>161260588799</v>
      </c>
      <c r="B11446" t="s">
        <v>290</v>
      </c>
      <c r="C11446" t="s">
        <v>23328</v>
      </c>
      <c r="D11446" t="s">
        <v>42239</v>
      </c>
      <c r="E11446">
        <v>424038</v>
      </c>
      <c r="F11446" t="s">
        <v>1</v>
      </c>
      <c r="G11446" t="s">
        <v>2</v>
      </c>
      <c r="H11446" t="s">
        <v>1366</v>
      </c>
      <c r="Y11446" t="s">
        <v>42240</v>
      </c>
    </row>
    <row r="11447" spans="1:25" x14ac:dyDescent="0.25">
      <c r="A11447" t="str">
        <f>"161282244012"</f>
        <v>161282244012</v>
      </c>
      <c r="B11447" t="s">
        <v>703</v>
      </c>
      <c r="C11447" t="s">
        <v>42244</v>
      </c>
      <c r="D11447" t="s">
        <v>42241</v>
      </c>
      <c r="E11447">
        <v>424028</v>
      </c>
      <c r="F11447" t="s">
        <v>1</v>
      </c>
      <c r="G11447" t="s">
        <v>2</v>
      </c>
      <c r="H11447" t="s">
        <v>42242</v>
      </c>
      <c r="I11447" t="s">
        <v>42243</v>
      </c>
      <c r="L11447" t="s">
        <v>32507</v>
      </c>
      <c r="M11447" t="s">
        <v>32508</v>
      </c>
      <c r="P11447" t="s">
        <v>2738</v>
      </c>
      <c r="Y11447" t="s">
        <v>42245</v>
      </c>
    </row>
    <row r="11448" spans="1:25" x14ac:dyDescent="0.25">
      <c r="A11448" t="str">
        <f>"161315694323"</f>
        <v>161315694323</v>
      </c>
      <c r="B11448" t="s">
        <v>456</v>
      </c>
      <c r="C11448" t="s">
        <v>42249</v>
      </c>
      <c r="D11448" t="s">
        <v>42246</v>
      </c>
      <c r="E11448">
        <v>424038</v>
      </c>
      <c r="F11448" t="s">
        <v>1</v>
      </c>
      <c r="G11448" t="s">
        <v>2</v>
      </c>
      <c r="H11448" t="s">
        <v>6550</v>
      </c>
      <c r="I11448" t="s">
        <v>42247</v>
      </c>
      <c r="L11448" t="s">
        <v>42248</v>
      </c>
      <c r="P11448" t="s">
        <v>1760</v>
      </c>
      <c r="Y11448" t="s">
        <v>11401</v>
      </c>
    </row>
    <row r="11449" spans="1:25" x14ac:dyDescent="0.25">
      <c r="A11449" t="str">
        <f>"161377837290"</f>
        <v>161377837290</v>
      </c>
      <c r="B11449" t="s">
        <v>1315</v>
      </c>
      <c r="C11449" t="s">
        <v>8951</v>
      </c>
      <c r="D11449" t="s">
        <v>42250</v>
      </c>
      <c r="E11449">
        <v>424005</v>
      </c>
      <c r="F11449" t="s">
        <v>1</v>
      </c>
      <c r="G11449" t="s">
        <v>2</v>
      </c>
      <c r="H11449" t="s">
        <v>1310</v>
      </c>
      <c r="J11449" t="s">
        <v>42251</v>
      </c>
      <c r="P11449" t="s">
        <v>280</v>
      </c>
      <c r="Y11449" t="s">
        <v>42252</v>
      </c>
    </row>
    <row r="11450" spans="1:25" x14ac:dyDescent="0.25">
      <c r="A11450" t="str">
        <f>"161381218614"</f>
        <v>161381218614</v>
      </c>
      <c r="B11450" t="s">
        <v>117</v>
      </c>
      <c r="C11450" t="s">
        <v>873</v>
      </c>
      <c r="D11450" t="s">
        <v>873</v>
      </c>
      <c r="E11450">
        <v>424030</v>
      </c>
      <c r="F11450" t="s">
        <v>1</v>
      </c>
      <c r="G11450" t="s">
        <v>2</v>
      </c>
      <c r="H11450" t="s">
        <v>34081</v>
      </c>
      <c r="Y11450" t="s">
        <v>42253</v>
      </c>
    </row>
    <row r="11451" spans="1:25" x14ac:dyDescent="0.25">
      <c r="A11451" t="str">
        <f>"161385572035"</f>
        <v>161385572035</v>
      </c>
      <c r="B11451" t="s">
        <v>379</v>
      </c>
      <c r="C11451" t="s">
        <v>42258</v>
      </c>
      <c r="D11451" t="s">
        <v>42254</v>
      </c>
      <c r="E11451">
        <v>424000</v>
      </c>
      <c r="F11451" t="s">
        <v>1</v>
      </c>
      <c r="G11451" t="s">
        <v>2</v>
      </c>
      <c r="H11451" t="s">
        <v>3454</v>
      </c>
      <c r="I11451" t="s">
        <v>42255</v>
      </c>
      <c r="L11451" t="s">
        <v>42256</v>
      </c>
      <c r="M11451" t="s">
        <v>42257</v>
      </c>
      <c r="P11451" t="s">
        <v>27</v>
      </c>
      <c r="Q11451" t="s">
        <v>42259</v>
      </c>
      <c r="Y11451" t="s">
        <v>1634</v>
      </c>
    </row>
    <row r="11452" spans="1:25" x14ac:dyDescent="0.25">
      <c r="A11452" t="str">
        <f>"161502491150"</f>
        <v>161502491150</v>
      </c>
      <c r="B11452" t="s">
        <v>1053</v>
      </c>
      <c r="C11452" t="s">
        <v>1927</v>
      </c>
      <c r="D11452" t="s">
        <v>42260</v>
      </c>
      <c r="E11452">
        <v>424006</v>
      </c>
      <c r="F11452" t="s">
        <v>1</v>
      </c>
      <c r="G11452" t="s">
        <v>2</v>
      </c>
      <c r="H11452" t="s">
        <v>5290</v>
      </c>
      <c r="Y11452" t="s">
        <v>5293</v>
      </c>
    </row>
    <row r="11453" spans="1:25" x14ac:dyDescent="0.25">
      <c r="A11453" t="str">
        <f>"161505236295"</f>
        <v>161505236295</v>
      </c>
      <c r="B11453" t="s">
        <v>10383</v>
      </c>
      <c r="C11453" t="s">
        <v>24146</v>
      </c>
      <c r="D11453" t="s">
        <v>24146</v>
      </c>
      <c r="F11453" t="s">
        <v>1</v>
      </c>
      <c r="G11453" t="s">
        <v>2</v>
      </c>
      <c r="H11453" t="s">
        <v>41610</v>
      </c>
      <c r="Y11453" t="s">
        <v>42261</v>
      </c>
    </row>
    <row r="11454" spans="1:25" x14ac:dyDescent="0.25">
      <c r="A11454" t="str">
        <f>"161509212453"</f>
        <v>161509212453</v>
      </c>
      <c r="B11454" t="s">
        <v>519</v>
      </c>
      <c r="C11454" t="s">
        <v>42265</v>
      </c>
      <c r="D11454" t="s">
        <v>42262</v>
      </c>
      <c r="E11454">
        <v>424031</v>
      </c>
      <c r="F11454" t="s">
        <v>1</v>
      </c>
      <c r="G11454" t="s">
        <v>2</v>
      </c>
      <c r="H11454" t="s">
        <v>239</v>
      </c>
      <c r="L11454" t="s">
        <v>42263</v>
      </c>
      <c r="M11454" t="s">
        <v>42264</v>
      </c>
      <c r="T11454" t="s">
        <v>42266</v>
      </c>
      <c r="Y11454" t="s">
        <v>246</v>
      </c>
    </row>
    <row r="11455" spans="1:25" x14ac:dyDescent="0.25">
      <c r="A11455" t="str">
        <f>"161511121345"</f>
        <v>161511121345</v>
      </c>
      <c r="B11455" t="s">
        <v>930</v>
      </c>
      <c r="C11455" t="s">
        <v>16823</v>
      </c>
      <c r="D11455" t="s">
        <v>16819</v>
      </c>
      <c r="F11455" t="s">
        <v>1</v>
      </c>
      <c r="G11455" t="s">
        <v>2</v>
      </c>
      <c r="H11455" t="s">
        <v>40625</v>
      </c>
      <c r="J11455" t="s">
        <v>42267</v>
      </c>
      <c r="M11455" t="s">
        <v>16822</v>
      </c>
      <c r="P11455" t="s">
        <v>1441</v>
      </c>
      <c r="Q11455" t="s">
        <v>16825</v>
      </c>
      <c r="Y11455" t="s">
        <v>42268</v>
      </c>
    </row>
    <row r="11456" spans="1:25" x14ac:dyDescent="0.25">
      <c r="A11456" t="str">
        <f>"161532191107"</f>
        <v>161532191107</v>
      </c>
      <c r="B11456" t="s">
        <v>574</v>
      </c>
      <c r="C11456" t="s">
        <v>8436</v>
      </c>
      <c r="D11456" t="s">
        <v>31263</v>
      </c>
      <c r="E11456">
        <v>424037</v>
      </c>
      <c r="F11456" t="s">
        <v>1</v>
      </c>
      <c r="G11456" t="s">
        <v>2</v>
      </c>
      <c r="H11456" t="s">
        <v>2381</v>
      </c>
      <c r="Y11456" t="s">
        <v>29037</v>
      </c>
    </row>
    <row r="11457" spans="1:25" x14ac:dyDescent="0.25">
      <c r="A11457" t="str">
        <f>"161610065251"</f>
        <v>161610065251</v>
      </c>
      <c r="B11457" t="s">
        <v>1611</v>
      </c>
      <c r="C11457" t="s">
        <v>3218</v>
      </c>
      <c r="D11457" t="s">
        <v>42269</v>
      </c>
      <c r="E11457">
        <v>424037</v>
      </c>
      <c r="F11457" t="s">
        <v>1</v>
      </c>
      <c r="G11457" t="s">
        <v>2</v>
      </c>
      <c r="H11457" t="s">
        <v>42270</v>
      </c>
      <c r="Y11457" t="s">
        <v>42271</v>
      </c>
    </row>
    <row r="11458" spans="1:25" x14ac:dyDescent="0.25">
      <c r="A11458" t="str">
        <f>"161706578318"</f>
        <v>161706578318</v>
      </c>
      <c r="B11458" t="s">
        <v>96</v>
      </c>
      <c r="C11458" t="s">
        <v>10313</v>
      </c>
      <c r="D11458" t="s">
        <v>37022</v>
      </c>
      <c r="E11458">
        <v>424000</v>
      </c>
      <c r="F11458" t="s">
        <v>1</v>
      </c>
      <c r="G11458" t="s">
        <v>2</v>
      </c>
      <c r="H11458" t="s">
        <v>1473</v>
      </c>
      <c r="P11458" t="s">
        <v>941</v>
      </c>
      <c r="Y11458" t="s">
        <v>31021</v>
      </c>
    </row>
    <row r="11459" spans="1:25" x14ac:dyDescent="0.25">
      <c r="A11459" t="str">
        <f>"161740994423"</f>
        <v>161740994423</v>
      </c>
      <c r="B11459" t="s">
        <v>574</v>
      </c>
      <c r="C11459" t="s">
        <v>646</v>
      </c>
      <c r="D11459" t="s">
        <v>12590</v>
      </c>
      <c r="E11459">
        <v>424037</v>
      </c>
      <c r="F11459" t="s">
        <v>1</v>
      </c>
      <c r="G11459" t="s">
        <v>2</v>
      </c>
      <c r="H11459" t="s">
        <v>37003</v>
      </c>
      <c r="P11459" t="s">
        <v>2457</v>
      </c>
      <c r="Y11459" t="s">
        <v>42272</v>
      </c>
    </row>
    <row r="11460" spans="1:25" x14ac:dyDescent="0.25">
      <c r="A11460" t="str">
        <f>"161753984587"</f>
        <v>161753984587</v>
      </c>
      <c r="B11460" t="s">
        <v>18</v>
      </c>
      <c r="C11460" t="s">
        <v>143</v>
      </c>
      <c r="D11460" t="s">
        <v>42273</v>
      </c>
      <c r="E11460">
        <v>424007</v>
      </c>
      <c r="F11460" t="s">
        <v>1</v>
      </c>
      <c r="G11460" t="s">
        <v>2</v>
      </c>
      <c r="H11460" t="s">
        <v>16598</v>
      </c>
      <c r="Y11460" t="s">
        <v>16603</v>
      </c>
    </row>
    <row r="11461" spans="1:25" x14ac:dyDescent="0.25">
      <c r="A11461" t="str">
        <f>"161819209290"</f>
        <v>161819209290</v>
      </c>
      <c r="B11461" t="s">
        <v>284</v>
      </c>
      <c r="C11461" t="s">
        <v>2462</v>
      </c>
      <c r="D11461" t="s">
        <v>12211</v>
      </c>
      <c r="E11461">
        <v>424028</v>
      </c>
      <c r="F11461" t="s">
        <v>1</v>
      </c>
      <c r="G11461" t="s">
        <v>2</v>
      </c>
      <c r="H11461" t="s">
        <v>42274</v>
      </c>
      <c r="J11461" t="s">
        <v>42275</v>
      </c>
      <c r="P11461" t="s">
        <v>330</v>
      </c>
      <c r="Y11461" t="s">
        <v>42276</v>
      </c>
    </row>
    <row r="11462" spans="1:25" x14ac:dyDescent="0.25">
      <c r="A11462" t="str">
        <f>"161831267464"</f>
        <v>161831267464</v>
      </c>
      <c r="B11462" t="s">
        <v>930</v>
      </c>
      <c r="C11462" t="s">
        <v>927</v>
      </c>
      <c r="D11462" t="s">
        <v>42277</v>
      </c>
      <c r="E11462">
        <v>424003</v>
      </c>
      <c r="F11462" t="s">
        <v>1</v>
      </c>
      <c r="G11462" t="s">
        <v>2</v>
      </c>
      <c r="H11462" t="s">
        <v>23765</v>
      </c>
      <c r="Y11462" t="s">
        <v>42278</v>
      </c>
    </row>
    <row r="11463" spans="1:25" x14ac:dyDescent="0.25">
      <c r="A11463" t="str">
        <f>"161895918096"</f>
        <v>161895918096</v>
      </c>
      <c r="B11463" t="s">
        <v>574</v>
      </c>
      <c r="C11463" t="s">
        <v>646</v>
      </c>
      <c r="D11463" t="s">
        <v>25486</v>
      </c>
      <c r="E11463">
        <v>424037</v>
      </c>
      <c r="F11463" t="s">
        <v>1</v>
      </c>
      <c r="G11463" t="s">
        <v>2</v>
      </c>
      <c r="H11463" t="s">
        <v>30634</v>
      </c>
      <c r="I11463" t="s">
        <v>25488</v>
      </c>
      <c r="P11463" t="s">
        <v>647</v>
      </c>
      <c r="Y11463" t="s">
        <v>42279</v>
      </c>
    </row>
    <row r="11464" spans="1:25" x14ac:dyDescent="0.25">
      <c r="A11464" t="str">
        <f>"161927770890"</f>
        <v>161927770890</v>
      </c>
      <c r="B11464" t="s">
        <v>1352</v>
      </c>
      <c r="C11464" t="s">
        <v>1353</v>
      </c>
      <c r="D11464" t="s">
        <v>21037</v>
      </c>
      <c r="E11464">
        <v>424918</v>
      </c>
      <c r="F11464" t="s">
        <v>1</v>
      </c>
      <c r="G11464" t="s">
        <v>2</v>
      </c>
      <c r="H11464" t="s">
        <v>629</v>
      </c>
      <c r="P11464" t="s">
        <v>630</v>
      </c>
      <c r="Y11464" t="s">
        <v>42280</v>
      </c>
    </row>
    <row r="11465" spans="1:25" x14ac:dyDescent="0.25">
      <c r="A11465" t="str">
        <f>"161938679204"</f>
        <v>161938679204</v>
      </c>
      <c r="B11465" t="s">
        <v>687</v>
      </c>
      <c r="C11465" t="s">
        <v>7047</v>
      </c>
      <c r="D11465" t="s">
        <v>42281</v>
      </c>
      <c r="E11465">
        <v>424007</v>
      </c>
      <c r="F11465" t="s">
        <v>1</v>
      </c>
      <c r="G11465" t="s">
        <v>2</v>
      </c>
      <c r="H11465" t="s">
        <v>16598</v>
      </c>
      <c r="I11465" t="s">
        <v>33676</v>
      </c>
      <c r="M11465" t="s">
        <v>42282</v>
      </c>
      <c r="Y11465" t="s">
        <v>16603</v>
      </c>
    </row>
    <row r="11466" spans="1:25" x14ac:dyDescent="0.25">
      <c r="A11466" t="str">
        <f>"161948792626"</f>
        <v>161948792626</v>
      </c>
      <c r="B11466" t="s">
        <v>1617</v>
      </c>
      <c r="C11466" t="s">
        <v>21001</v>
      </c>
      <c r="D11466" t="s">
        <v>20999</v>
      </c>
      <c r="E11466">
        <v>424030</v>
      </c>
      <c r="F11466" t="s">
        <v>1</v>
      </c>
      <c r="G11466" t="s">
        <v>2</v>
      </c>
      <c r="H11466" t="s">
        <v>30497</v>
      </c>
      <c r="Y11466" t="s">
        <v>42283</v>
      </c>
    </row>
    <row r="11467" spans="1:25" x14ac:dyDescent="0.25">
      <c r="A11467" t="str">
        <f>"161970061972"</f>
        <v>161970061972</v>
      </c>
      <c r="B11467" t="s">
        <v>3008</v>
      </c>
      <c r="C11467" t="s">
        <v>4616</v>
      </c>
      <c r="D11467" t="s">
        <v>42284</v>
      </c>
      <c r="E11467">
        <v>424006</v>
      </c>
      <c r="F11467" t="s">
        <v>1</v>
      </c>
      <c r="G11467" t="s">
        <v>2</v>
      </c>
      <c r="H11467" t="s">
        <v>42285</v>
      </c>
      <c r="I11467" t="s">
        <v>42286</v>
      </c>
      <c r="L11467" t="s">
        <v>42287</v>
      </c>
      <c r="M11467" t="s">
        <v>42288</v>
      </c>
      <c r="P11467" t="s">
        <v>1027</v>
      </c>
      <c r="Q11467" t="s">
        <v>42289</v>
      </c>
      <c r="R11467" t="s">
        <v>42290</v>
      </c>
      <c r="T11467" t="s">
        <v>42291</v>
      </c>
      <c r="U11467" t="s">
        <v>42292</v>
      </c>
      <c r="V11467" t="s">
        <v>42293</v>
      </c>
      <c r="Y11467" t="s">
        <v>42294</v>
      </c>
    </row>
    <row r="11468" spans="1:25" x14ac:dyDescent="0.25">
      <c r="A11468" t="str">
        <f>"161972541886"</f>
        <v>161972541886</v>
      </c>
      <c r="B11468" t="s">
        <v>530</v>
      </c>
      <c r="C11468" t="s">
        <v>23950</v>
      </c>
      <c r="D11468" t="s">
        <v>23950</v>
      </c>
      <c r="F11468" t="s">
        <v>1</v>
      </c>
      <c r="G11468" t="s">
        <v>2</v>
      </c>
      <c r="H11468" t="s">
        <v>27019</v>
      </c>
      <c r="Y11468" t="s">
        <v>42295</v>
      </c>
    </row>
    <row r="11469" spans="1:25" x14ac:dyDescent="0.25">
      <c r="A11469" t="str">
        <f>"161973423671"</f>
        <v>161973423671</v>
      </c>
      <c r="B11469" t="s">
        <v>8117</v>
      </c>
      <c r="C11469" t="s">
        <v>8118</v>
      </c>
      <c r="D11469" t="s">
        <v>42296</v>
      </c>
      <c r="F11469" t="s">
        <v>1</v>
      </c>
      <c r="G11469" t="s">
        <v>2</v>
      </c>
      <c r="H11469" t="s">
        <v>757</v>
      </c>
      <c r="J11469" t="s">
        <v>18588</v>
      </c>
      <c r="L11469" t="s">
        <v>42297</v>
      </c>
      <c r="M11469" t="s">
        <v>42298</v>
      </c>
      <c r="Y11469" t="s">
        <v>760</v>
      </c>
    </row>
    <row r="11470" spans="1:25" x14ac:dyDescent="0.25">
      <c r="A11470" t="str">
        <f>"162047294386"</f>
        <v>162047294386</v>
      </c>
      <c r="B11470" t="s">
        <v>88</v>
      </c>
      <c r="C11470" t="s">
        <v>6066</v>
      </c>
      <c r="D11470" t="s">
        <v>42299</v>
      </c>
      <c r="F11470" t="s">
        <v>1</v>
      </c>
      <c r="G11470" t="s">
        <v>2</v>
      </c>
      <c r="H11470" t="s">
        <v>21000</v>
      </c>
      <c r="Y11470" t="s">
        <v>42300</v>
      </c>
    </row>
    <row r="11471" spans="1:25" x14ac:dyDescent="0.25">
      <c r="A11471" t="str">
        <f>"162057363344"</f>
        <v>162057363344</v>
      </c>
      <c r="B11471" t="s">
        <v>1573</v>
      </c>
      <c r="C11471" t="s">
        <v>1817</v>
      </c>
      <c r="D11471" t="s">
        <v>42301</v>
      </c>
      <c r="E11471">
        <v>424020</v>
      </c>
      <c r="F11471" t="s">
        <v>1</v>
      </c>
      <c r="G11471" t="s">
        <v>2</v>
      </c>
      <c r="H11471" t="s">
        <v>23</v>
      </c>
      <c r="Y11471" t="s">
        <v>42302</v>
      </c>
    </row>
    <row r="11472" spans="1:25" x14ac:dyDescent="0.25">
      <c r="A11472" t="str">
        <f>"162108184358"</f>
        <v>162108184358</v>
      </c>
      <c r="B11472" t="s">
        <v>348</v>
      </c>
      <c r="C11472" t="s">
        <v>42305</v>
      </c>
      <c r="D11472" t="s">
        <v>42303</v>
      </c>
      <c r="E11472">
        <v>424000</v>
      </c>
      <c r="F11472" t="s">
        <v>1</v>
      </c>
      <c r="G11472" t="s">
        <v>2</v>
      </c>
      <c r="H11472" t="s">
        <v>20628</v>
      </c>
      <c r="I11472" t="s">
        <v>42304</v>
      </c>
      <c r="P11472" t="s">
        <v>941</v>
      </c>
      <c r="Q11472" t="s">
        <v>42306</v>
      </c>
      <c r="Y11472" t="s">
        <v>3754</v>
      </c>
    </row>
    <row r="11473" spans="1:25" x14ac:dyDescent="0.25">
      <c r="A11473" t="str">
        <f>"162170554303"</f>
        <v>162170554303</v>
      </c>
      <c r="B11473" t="s">
        <v>1343</v>
      </c>
      <c r="C11473" t="s">
        <v>13544</v>
      </c>
      <c r="D11473" t="s">
        <v>37869</v>
      </c>
      <c r="F11473" t="s">
        <v>1</v>
      </c>
      <c r="G11473" t="s">
        <v>2</v>
      </c>
      <c r="H11473" t="s">
        <v>19499</v>
      </c>
      <c r="P11473" t="s">
        <v>144</v>
      </c>
      <c r="Y11473" t="s">
        <v>42307</v>
      </c>
    </row>
    <row r="11474" spans="1:25" x14ac:dyDescent="0.25">
      <c r="A11474" t="str">
        <f>"162221008015"</f>
        <v>162221008015</v>
      </c>
      <c r="B11474" t="s">
        <v>574</v>
      </c>
      <c r="C11474" t="s">
        <v>646</v>
      </c>
      <c r="D11474" t="s">
        <v>26237</v>
      </c>
      <c r="E11474">
        <v>424016</v>
      </c>
      <c r="F11474" t="s">
        <v>1</v>
      </c>
      <c r="G11474" t="s">
        <v>2</v>
      </c>
      <c r="H11474" t="s">
        <v>5561</v>
      </c>
      <c r="Y11474" t="s">
        <v>42308</v>
      </c>
    </row>
    <row r="11475" spans="1:25" x14ac:dyDescent="0.25">
      <c r="A11475" t="str">
        <f>"162263593188"</f>
        <v>162263593188</v>
      </c>
      <c r="B11475" t="s">
        <v>96</v>
      </c>
      <c r="C11475" t="s">
        <v>695</v>
      </c>
      <c r="D11475" t="s">
        <v>23756</v>
      </c>
      <c r="E11475">
        <v>424036</v>
      </c>
      <c r="F11475" t="s">
        <v>1</v>
      </c>
      <c r="G11475" t="s">
        <v>2</v>
      </c>
      <c r="H11475" t="s">
        <v>5317</v>
      </c>
      <c r="Y11475" t="s">
        <v>13728</v>
      </c>
    </row>
    <row r="11476" spans="1:25" x14ac:dyDescent="0.25">
      <c r="A11476" t="str">
        <f>"162286974184"</f>
        <v>162286974184</v>
      </c>
      <c r="B11476" t="s">
        <v>1611</v>
      </c>
      <c r="C11476" t="s">
        <v>42311</v>
      </c>
      <c r="D11476" t="s">
        <v>42309</v>
      </c>
      <c r="E11476">
        <v>424002</v>
      </c>
      <c r="F11476" t="s">
        <v>1</v>
      </c>
      <c r="G11476" t="s">
        <v>2</v>
      </c>
      <c r="H11476" t="s">
        <v>16370</v>
      </c>
      <c r="I11476" t="s">
        <v>42310</v>
      </c>
      <c r="P11476" t="s">
        <v>42312</v>
      </c>
      <c r="Y11476" t="s">
        <v>42313</v>
      </c>
    </row>
    <row r="11477" spans="1:25" x14ac:dyDescent="0.25">
      <c r="A11477" t="str">
        <f>"162296698361"</f>
        <v>162296698361</v>
      </c>
      <c r="B11477" t="s">
        <v>96</v>
      </c>
      <c r="C11477" t="s">
        <v>8479</v>
      </c>
      <c r="D11477" t="s">
        <v>32641</v>
      </c>
      <c r="E11477">
        <v>424000</v>
      </c>
      <c r="F11477" t="s">
        <v>1</v>
      </c>
      <c r="G11477" t="s">
        <v>2</v>
      </c>
      <c r="H11477" t="s">
        <v>1531</v>
      </c>
      <c r="Y11477" t="s">
        <v>1707</v>
      </c>
    </row>
    <row r="11478" spans="1:25" x14ac:dyDescent="0.25">
      <c r="A11478" t="str">
        <f>"162298140685"</f>
        <v>162298140685</v>
      </c>
      <c r="B11478" t="s">
        <v>1262</v>
      </c>
      <c r="C11478" t="s">
        <v>1263</v>
      </c>
      <c r="D11478" t="s">
        <v>42314</v>
      </c>
      <c r="E11478">
        <v>424006</v>
      </c>
      <c r="F11478" t="s">
        <v>1</v>
      </c>
      <c r="G11478" t="s">
        <v>2</v>
      </c>
      <c r="H11478" t="s">
        <v>2012</v>
      </c>
      <c r="J11478" t="s">
        <v>42315</v>
      </c>
      <c r="P11478" t="s">
        <v>27</v>
      </c>
      <c r="Y11478" t="s">
        <v>2016</v>
      </c>
    </row>
    <row r="11479" spans="1:25" x14ac:dyDescent="0.25">
      <c r="A11479" t="str">
        <f>"162304406886"</f>
        <v>162304406886</v>
      </c>
      <c r="B11479" t="s">
        <v>388</v>
      </c>
      <c r="C11479" t="s">
        <v>42317</v>
      </c>
      <c r="D11479" t="s">
        <v>42316</v>
      </c>
      <c r="E11479">
        <v>424006</v>
      </c>
      <c r="F11479" t="s">
        <v>1</v>
      </c>
      <c r="G11479" t="s">
        <v>2</v>
      </c>
      <c r="H11479" t="s">
        <v>451</v>
      </c>
      <c r="Y11479" t="s">
        <v>42318</v>
      </c>
    </row>
    <row r="11480" spans="1:25" x14ac:dyDescent="0.25">
      <c r="A11480" t="str">
        <f>"162332620679"</f>
        <v>162332620679</v>
      </c>
      <c r="B11480" t="s">
        <v>110</v>
      </c>
      <c r="C11480" t="s">
        <v>111</v>
      </c>
      <c r="D11480" t="s">
        <v>4989</v>
      </c>
      <c r="E11480">
        <v>424003</v>
      </c>
      <c r="F11480" t="s">
        <v>1</v>
      </c>
      <c r="G11480" t="s">
        <v>2</v>
      </c>
      <c r="H11480" t="s">
        <v>4546</v>
      </c>
      <c r="Y11480" t="s">
        <v>5427</v>
      </c>
    </row>
    <row r="11481" spans="1:25" x14ac:dyDescent="0.25">
      <c r="A11481" t="str">
        <f>"162359416362"</f>
        <v>162359416362</v>
      </c>
      <c r="B11481" t="s">
        <v>456</v>
      </c>
      <c r="C11481" t="s">
        <v>2773</v>
      </c>
      <c r="D11481" t="s">
        <v>42319</v>
      </c>
      <c r="E11481">
        <v>424007</v>
      </c>
      <c r="F11481" t="s">
        <v>1</v>
      </c>
      <c r="G11481" t="s">
        <v>2</v>
      </c>
      <c r="H11481" t="s">
        <v>23286</v>
      </c>
      <c r="J11481" t="s">
        <v>24643</v>
      </c>
      <c r="L11481" t="s">
        <v>42320</v>
      </c>
      <c r="P11481" t="s">
        <v>280</v>
      </c>
      <c r="Y11481" t="s">
        <v>42321</v>
      </c>
    </row>
    <row r="11482" spans="1:25" x14ac:dyDescent="0.25">
      <c r="A11482" t="str">
        <f>"162430413032"</f>
        <v>162430413032</v>
      </c>
      <c r="B11482" t="s">
        <v>176</v>
      </c>
      <c r="C11482" t="s">
        <v>566</v>
      </c>
      <c r="D11482" t="s">
        <v>29327</v>
      </c>
      <c r="E11482">
        <v>424030</v>
      </c>
      <c r="F11482" t="s">
        <v>1</v>
      </c>
      <c r="G11482" t="s">
        <v>2</v>
      </c>
      <c r="H11482" t="s">
        <v>42322</v>
      </c>
      <c r="Y11482" t="s">
        <v>42323</v>
      </c>
    </row>
    <row r="11483" spans="1:25" x14ac:dyDescent="0.25">
      <c r="A11483" t="str">
        <f>"162450633462"</f>
        <v>162450633462</v>
      </c>
      <c r="B11483" t="s">
        <v>290</v>
      </c>
      <c r="C11483" t="s">
        <v>291</v>
      </c>
      <c r="D11483" t="s">
        <v>42324</v>
      </c>
      <c r="E11483">
        <v>424040</v>
      </c>
      <c r="F11483" t="s">
        <v>1</v>
      </c>
      <c r="G11483" t="s">
        <v>2</v>
      </c>
      <c r="H11483" t="s">
        <v>26021</v>
      </c>
      <c r="P11483" t="s">
        <v>330</v>
      </c>
      <c r="Y11483" t="s">
        <v>42325</v>
      </c>
    </row>
    <row r="11484" spans="1:25" x14ac:dyDescent="0.25">
      <c r="A11484" t="str">
        <f>"162476841074"</f>
        <v>162476841074</v>
      </c>
      <c r="B11484" t="s">
        <v>430</v>
      </c>
      <c r="C11484" t="s">
        <v>2431</v>
      </c>
      <c r="D11484" t="s">
        <v>2431</v>
      </c>
      <c r="E11484">
        <v>424007</v>
      </c>
      <c r="F11484" t="s">
        <v>1</v>
      </c>
      <c r="G11484" t="s">
        <v>2</v>
      </c>
      <c r="H11484" t="s">
        <v>5178</v>
      </c>
      <c r="P11484" t="s">
        <v>2731</v>
      </c>
      <c r="Y11484" t="s">
        <v>42326</v>
      </c>
    </row>
    <row r="11485" spans="1:25" x14ac:dyDescent="0.25">
      <c r="A11485" t="str">
        <f>"162512749272"</f>
        <v>162512749272</v>
      </c>
      <c r="B11485" t="s">
        <v>1343</v>
      </c>
      <c r="C11485" t="s">
        <v>1344</v>
      </c>
      <c r="D11485" t="s">
        <v>1340</v>
      </c>
      <c r="E11485">
        <v>424038</v>
      </c>
      <c r="F11485" t="s">
        <v>1</v>
      </c>
      <c r="G11485" t="s">
        <v>2</v>
      </c>
      <c r="H11485" t="s">
        <v>6247</v>
      </c>
      <c r="Y11485" t="s">
        <v>42327</v>
      </c>
    </row>
    <row r="11486" spans="1:25" x14ac:dyDescent="0.25">
      <c r="A11486" t="str">
        <f>"162523700759"</f>
        <v>162523700759</v>
      </c>
      <c r="B11486" t="s">
        <v>188</v>
      </c>
      <c r="C11486" t="s">
        <v>24568</v>
      </c>
      <c r="D11486" t="s">
        <v>24568</v>
      </c>
      <c r="E11486">
        <v>424038</v>
      </c>
      <c r="F11486" t="s">
        <v>1</v>
      </c>
      <c r="G11486" t="s">
        <v>2</v>
      </c>
      <c r="H11486" t="s">
        <v>7597</v>
      </c>
      <c r="P11486" t="s">
        <v>1642</v>
      </c>
      <c r="Y11486" t="s">
        <v>42328</v>
      </c>
    </row>
    <row r="11487" spans="1:25" x14ac:dyDescent="0.25">
      <c r="A11487" t="str">
        <f>"162544416232"</f>
        <v>162544416232</v>
      </c>
      <c r="B11487" t="s">
        <v>348</v>
      </c>
      <c r="C11487" t="s">
        <v>4366</v>
      </c>
      <c r="D11487" t="s">
        <v>10554</v>
      </c>
      <c r="F11487" t="s">
        <v>1</v>
      </c>
      <c r="G11487" t="s">
        <v>2</v>
      </c>
      <c r="H11487" t="s">
        <v>138</v>
      </c>
      <c r="P11487" t="s">
        <v>144</v>
      </c>
      <c r="Y11487" t="s">
        <v>42329</v>
      </c>
    </row>
    <row r="11488" spans="1:25" x14ac:dyDescent="0.25">
      <c r="A11488" t="str">
        <f>"162579370364"</f>
        <v>162579370364</v>
      </c>
      <c r="B11488" t="s">
        <v>96</v>
      </c>
      <c r="C11488" t="s">
        <v>24441</v>
      </c>
      <c r="D11488" t="s">
        <v>42330</v>
      </c>
      <c r="E11488">
        <v>424038</v>
      </c>
      <c r="F11488" t="s">
        <v>1</v>
      </c>
      <c r="G11488" t="s">
        <v>2</v>
      </c>
      <c r="H11488" t="s">
        <v>7597</v>
      </c>
      <c r="P11488" t="s">
        <v>1642</v>
      </c>
      <c r="Y11488" t="s">
        <v>16150</v>
      </c>
    </row>
    <row r="11489" spans="1:25" x14ac:dyDescent="0.25">
      <c r="A11489" t="str">
        <f>"162603409156"</f>
        <v>162603409156</v>
      </c>
      <c r="B11489" t="s">
        <v>123</v>
      </c>
      <c r="C11489" t="s">
        <v>196</v>
      </c>
      <c r="D11489" t="s">
        <v>10573</v>
      </c>
      <c r="E11489">
        <v>424031</v>
      </c>
      <c r="F11489" t="s">
        <v>1</v>
      </c>
      <c r="G11489" t="s">
        <v>2</v>
      </c>
      <c r="H11489" t="s">
        <v>1936</v>
      </c>
      <c r="I11489" t="s">
        <v>42331</v>
      </c>
      <c r="L11489" t="s">
        <v>194</v>
      </c>
      <c r="M11489" t="s">
        <v>195</v>
      </c>
      <c r="Y11489" t="s">
        <v>42332</v>
      </c>
    </row>
    <row r="11490" spans="1:25" x14ac:dyDescent="0.25">
      <c r="A11490" t="str">
        <f>"162607308205"</f>
        <v>162607308205</v>
      </c>
      <c r="B11490" t="s">
        <v>1343</v>
      </c>
      <c r="C11490" t="s">
        <v>5308</v>
      </c>
      <c r="D11490" t="s">
        <v>42333</v>
      </c>
      <c r="E11490">
        <v>424038</v>
      </c>
      <c r="F11490" t="s">
        <v>1</v>
      </c>
      <c r="G11490" t="s">
        <v>2</v>
      </c>
      <c r="H11490" t="s">
        <v>2614</v>
      </c>
      <c r="P11490" t="s">
        <v>10150</v>
      </c>
      <c r="Y11490" t="s">
        <v>42334</v>
      </c>
    </row>
    <row r="11491" spans="1:25" x14ac:dyDescent="0.25">
      <c r="A11491" t="str">
        <f>"162609532200"</f>
        <v>162609532200</v>
      </c>
      <c r="B11491" t="s">
        <v>388</v>
      </c>
      <c r="C11491" t="s">
        <v>5565</v>
      </c>
      <c r="D11491" t="s">
        <v>17820</v>
      </c>
      <c r="E11491">
        <v>424031</v>
      </c>
      <c r="F11491" t="s">
        <v>1</v>
      </c>
      <c r="G11491" t="s">
        <v>2</v>
      </c>
      <c r="H11491" t="s">
        <v>8799</v>
      </c>
      <c r="I11491" t="s">
        <v>17821</v>
      </c>
      <c r="P11491" t="s">
        <v>152</v>
      </c>
      <c r="Y11491" t="s">
        <v>20938</v>
      </c>
    </row>
    <row r="11492" spans="1:25" x14ac:dyDescent="0.25">
      <c r="A11492" t="str">
        <f>"162610682826"</f>
        <v>162610682826</v>
      </c>
      <c r="B11492" t="s">
        <v>930</v>
      </c>
      <c r="C11492" t="s">
        <v>42337</v>
      </c>
      <c r="D11492" t="s">
        <v>42335</v>
      </c>
      <c r="F11492" t="s">
        <v>1</v>
      </c>
      <c r="G11492" t="s">
        <v>2</v>
      </c>
      <c r="H11492" t="s">
        <v>25877</v>
      </c>
      <c r="J11492" t="s">
        <v>42336</v>
      </c>
      <c r="P11492" t="s">
        <v>28097</v>
      </c>
      <c r="Y11492" t="s">
        <v>21223</v>
      </c>
    </row>
    <row r="11493" spans="1:25" x14ac:dyDescent="0.25">
      <c r="A11493" t="str">
        <f>"162703842295"</f>
        <v>162703842295</v>
      </c>
      <c r="B11493" t="s">
        <v>530</v>
      </c>
      <c r="C11493" t="s">
        <v>23950</v>
      </c>
      <c r="D11493" t="s">
        <v>23950</v>
      </c>
      <c r="F11493" t="s">
        <v>1</v>
      </c>
      <c r="G11493" t="s">
        <v>2</v>
      </c>
      <c r="H11493" t="s">
        <v>42338</v>
      </c>
      <c r="Y11493" t="s">
        <v>42339</v>
      </c>
    </row>
    <row r="11494" spans="1:25" x14ac:dyDescent="0.25">
      <c r="A11494" t="str">
        <f>"162724662708"</f>
        <v>162724662708</v>
      </c>
      <c r="B11494" t="s">
        <v>96</v>
      </c>
      <c r="C11494" t="s">
        <v>893</v>
      </c>
      <c r="D11494" t="s">
        <v>42340</v>
      </c>
      <c r="E11494">
        <v>424002</v>
      </c>
      <c r="F11494" t="s">
        <v>1</v>
      </c>
      <c r="G11494" t="s">
        <v>2</v>
      </c>
      <c r="H11494" t="s">
        <v>744</v>
      </c>
      <c r="P11494" t="s">
        <v>748</v>
      </c>
      <c r="Y11494" t="s">
        <v>749</v>
      </c>
    </row>
    <row r="11495" spans="1:25" x14ac:dyDescent="0.25">
      <c r="A11495" t="str">
        <f>"162733371821"</f>
        <v>162733371821</v>
      </c>
      <c r="B11495" t="s">
        <v>3573</v>
      </c>
      <c r="C11495" t="s">
        <v>42342</v>
      </c>
      <c r="D11495" t="s">
        <v>42341</v>
      </c>
      <c r="E11495">
        <v>424020</v>
      </c>
      <c r="F11495" t="s">
        <v>1</v>
      </c>
      <c r="G11495" t="s">
        <v>2</v>
      </c>
      <c r="H11495" t="s">
        <v>1837</v>
      </c>
      <c r="Y11495" t="s">
        <v>1842</v>
      </c>
    </row>
    <row r="11496" spans="1:25" x14ac:dyDescent="0.25">
      <c r="A11496" t="str">
        <f>"162784253740"</f>
        <v>162784253740</v>
      </c>
      <c r="B11496" t="s">
        <v>96</v>
      </c>
      <c r="C11496" t="s">
        <v>33433</v>
      </c>
      <c r="D11496" t="s">
        <v>42343</v>
      </c>
      <c r="E11496">
        <v>424007</v>
      </c>
      <c r="F11496" t="s">
        <v>1</v>
      </c>
      <c r="G11496" t="s">
        <v>2</v>
      </c>
      <c r="H11496" t="s">
        <v>5178</v>
      </c>
      <c r="P11496" t="s">
        <v>2731</v>
      </c>
      <c r="Y11496" t="s">
        <v>42344</v>
      </c>
    </row>
    <row r="11497" spans="1:25" x14ac:dyDescent="0.25">
      <c r="A11497" t="str">
        <f>"162795772604"</f>
        <v>162795772604</v>
      </c>
      <c r="B11497" t="s">
        <v>703</v>
      </c>
      <c r="C11497" t="s">
        <v>2129</v>
      </c>
      <c r="D11497" t="s">
        <v>42345</v>
      </c>
      <c r="E11497">
        <v>424007</v>
      </c>
      <c r="F11497" t="s">
        <v>1</v>
      </c>
      <c r="G11497" t="s">
        <v>2</v>
      </c>
      <c r="H11497" t="s">
        <v>10252</v>
      </c>
      <c r="J11497" t="s">
        <v>42346</v>
      </c>
      <c r="P11497" t="s">
        <v>799</v>
      </c>
      <c r="Y11497" t="s">
        <v>10258</v>
      </c>
    </row>
    <row r="11498" spans="1:25" x14ac:dyDescent="0.25">
      <c r="A11498" t="str">
        <f>"162796641204"</f>
        <v>162796641204</v>
      </c>
      <c r="B11498" t="s">
        <v>456</v>
      </c>
      <c r="C11498" t="s">
        <v>2773</v>
      </c>
      <c r="D11498" t="s">
        <v>42347</v>
      </c>
      <c r="E11498">
        <v>424007</v>
      </c>
      <c r="F11498" t="s">
        <v>1</v>
      </c>
      <c r="G11498" t="s">
        <v>2</v>
      </c>
      <c r="H11498" t="s">
        <v>10252</v>
      </c>
      <c r="J11498" t="s">
        <v>42348</v>
      </c>
      <c r="L11498" t="s">
        <v>42349</v>
      </c>
      <c r="M11498" t="s">
        <v>42350</v>
      </c>
      <c r="P11498" t="s">
        <v>42351</v>
      </c>
      <c r="Y11498" t="s">
        <v>10258</v>
      </c>
    </row>
    <row r="11499" spans="1:25" x14ac:dyDescent="0.25">
      <c r="A11499" t="str">
        <f>"162847008096"</f>
        <v>162847008096</v>
      </c>
      <c r="B11499" t="s">
        <v>96</v>
      </c>
      <c r="C11499" t="s">
        <v>42353</v>
      </c>
      <c r="D11499" t="s">
        <v>42352</v>
      </c>
      <c r="E11499">
        <v>424020</v>
      </c>
      <c r="F11499" t="s">
        <v>1</v>
      </c>
      <c r="G11499" t="s">
        <v>2</v>
      </c>
      <c r="H11499" t="s">
        <v>14120</v>
      </c>
      <c r="P11499" t="s">
        <v>6263</v>
      </c>
      <c r="Q11499" t="s">
        <v>42354</v>
      </c>
      <c r="Y11499" t="s">
        <v>42355</v>
      </c>
    </row>
    <row r="11500" spans="1:25" x14ac:dyDescent="0.25">
      <c r="A11500" t="str">
        <f>"162874131515"</f>
        <v>162874131515</v>
      </c>
      <c r="B11500" t="s">
        <v>188</v>
      </c>
      <c r="C11500" t="s">
        <v>24568</v>
      </c>
      <c r="D11500" t="s">
        <v>24568</v>
      </c>
      <c r="E11500">
        <v>424007</v>
      </c>
      <c r="F11500" t="s">
        <v>1</v>
      </c>
      <c r="G11500" t="s">
        <v>2</v>
      </c>
      <c r="H11500" t="s">
        <v>3794</v>
      </c>
      <c r="P11500" t="s">
        <v>3799</v>
      </c>
      <c r="Y11500" t="s">
        <v>42356</v>
      </c>
    </row>
    <row r="11501" spans="1:25" x14ac:dyDescent="0.25">
      <c r="A11501" t="str">
        <f>"162877685883"</f>
        <v>162877685883</v>
      </c>
      <c r="B11501" t="s">
        <v>574</v>
      </c>
      <c r="C11501" t="s">
        <v>24952</v>
      </c>
      <c r="D11501" t="s">
        <v>24951</v>
      </c>
      <c r="E11501">
        <v>424033</v>
      </c>
      <c r="F11501" t="s">
        <v>1</v>
      </c>
      <c r="G11501" t="s">
        <v>2</v>
      </c>
      <c r="H11501" t="s">
        <v>22482</v>
      </c>
      <c r="Y11501" t="s">
        <v>42357</v>
      </c>
    </row>
    <row r="11502" spans="1:25" x14ac:dyDescent="0.25">
      <c r="A11502" t="str">
        <f>"162879353812"</f>
        <v>162879353812</v>
      </c>
      <c r="B11502" t="s">
        <v>123</v>
      </c>
      <c r="C11502" t="s">
        <v>424</v>
      </c>
      <c r="D11502" t="s">
        <v>5772</v>
      </c>
      <c r="F11502" t="s">
        <v>1</v>
      </c>
      <c r="G11502" t="s">
        <v>2</v>
      </c>
      <c r="H11502" t="s">
        <v>11570</v>
      </c>
      <c r="I11502" t="s">
        <v>5774</v>
      </c>
      <c r="P11502" t="s">
        <v>4998</v>
      </c>
      <c r="Y11502" t="s">
        <v>42358</v>
      </c>
    </row>
    <row r="11503" spans="1:25" x14ac:dyDescent="0.25">
      <c r="A11503" t="str">
        <f>"162955813070"</f>
        <v>162955813070</v>
      </c>
      <c r="B11503" t="s">
        <v>482</v>
      </c>
      <c r="C11503" t="s">
        <v>23942</v>
      </c>
      <c r="D11503" t="s">
        <v>42359</v>
      </c>
      <c r="E11503">
        <v>424019</v>
      </c>
      <c r="F11503" t="s">
        <v>1</v>
      </c>
      <c r="G11503" t="s">
        <v>2</v>
      </c>
      <c r="H11503" t="s">
        <v>15506</v>
      </c>
      <c r="I11503" t="s">
        <v>31551</v>
      </c>
      <c r="L11503" t="s">
        <v>7977</v>
      </c>
      <c r="M11503" t="s">
        <v>7978</v>
      </c>
      <c r="Y11503" t="s">
        <v>17180</v>
      </c>
    </row>
    <row r="11504" spans="1:25" x14ac:dyDescent="0.25">
      <c r="A11504" t="str">
        <f>"162996513909"</f>
        <v>162996513909</v>
      </c>
      <c r="B11504" t="s">
        <v>1053</v>
      </c>
      <c r="C11504" t="s">
        <v>42364</v>
      </c>
      <c r="D11504" t="s">
        <v>42360</v>
      </c>
      <c r="E11504">
        <v>424007</v>
      </c>
      <c r="F11504" t="s">
        <v>1</v>
      </c>
      <c r="G11504" t="s">
        <v>2</v>
      </c>
      <c r="H11504" t="s">
        <v>4869</v>
      </c>
      <c r="J11504" t="s">
        <v>42361</v>
      </c>
      <c r="L11504" t="s">
        <v>42362</v>
      </c>
      <c r="M11504" t="s">
        <v>42363</v>
      </c>
      <c r="P11504" t="s">
        <v>1160</v>
      </c>
      <c r="Y11504" t="s">
        <v>5759</v>
      </c>
    </row>
    <row r="11505" spans="1:25" x14ac:dyDescent="0.25">
      <c r="A11505" t="str">
        <f>"162999144412"</f>
        <v>162999144412</v>
      </c>
      <c r="B11505" t="s">
        <v>930</v>
      </c>
      <c r="C11505" t="s">
        <v>927</v>
      </c>
      <c r="D11505" t="s">
        <v>42365</v>
      </c>
      <c r="E11505">
        <v>424033</v>
      </c>
      <c r="F11505" t="s">
        <v>1</v>
      </c>
      <c r="G11505" t="s">
        <v>2</v>
      </c>
      <c r="H11505" t="s">
        <v>35052</v>
      </c>
      <c r="Y11505" t="s">
        <v>42366</v>
      </c>
    </row>
    <row r="11506" spans="1:25" x14ac:dyDescent="0.25">
      <c r="A11506" t="str">
        <f>"163019281898"</f>
        <v>163019281898</v>
      </c>
      <c r="B11506" t="s">
        <v>176</v>
      </c>
      <c r="C11506" t="s">
        <v>250</v>
      </c>
      <c r="D11506" t="s">
        <v>42367</v>
      </c>
      <c r="E11506">
        <v>424033</v>
      </c>
      <c r="F11506" t="s">
        <v>1</v>
      </c>
      <c r="G11506" t="s">
        <v>2</v>
      </c>
      <c r="H11506" t="s">
        <v>1383</v>
      </c>
      <c r="J11506" t="s">
        <v>42368</v>
      </c>
      <c r="L11506" t="s">
        <v>42369</v>
      </c>
      <c r="M11506" t="s">
        <v>42370</v>
      </c>
      <c r="P11506" t="s">
        <v>42371</v>
      </c>
      <c r="Y11506" t="s">
        <v>1387</v>
      </c>
    </row>
    <row r="11507" spans="1:25" x14ac:dyDescent="0.25">
      <c r="A11507" t="str">
        <f>"163021782578"</f>
        <v>163021782578</v>
      </c>
      <c r="B11507" t="s">
        <v>456</v>
      </c>
      <c r="C11507" t="s">
        <v>17904</v>
      </c>
      <c r="D11507" t="s">
        <v>42372</v>
      </c>
      <c r="E11507">
        <v>424918</v>
      </c>
      <c r="F11507" t="s">
        <v>1</v>
      </c>
      <c r="G11507" t="s">
        <v>2</v>
      </c>
      <c r="H11507" t="s">
        <v>629</v>
      </c>
      <c r="P11507" t="s">
        <v>630</v>
      </c>
      <c r="Y11507" t="s">
        <v>1744</v>
      </c>
    </row>
    <row r="11508" spans="1:25" x14ac:dyDescent="0.25">
      <c r="A11508" t="str">
        <f>"163066856073"</f>
        <v>163066856073</v>
      </c>
      <c r="B11508" t="s">
        <v>96</v>
      </c>
      <c r="C11508" t="s">
        <v>8479</v>
      </c>
      <c r="D11508" t="s">
        <v>20943</v>
      </c>
      <c r="E11508">
        <v>424000</v>
      </c>
      <c r="F11508" t="s">
        <v>1</v>
      </c>
      <c r="G11508" t="s">
        <v>2</v>
      </c>
      <c r="H11508" t="s">
        <v>92</v>
      </c>
      <c r="P11508" t="s">
        <v>144</v>
      </c>
      <c r="Y11508" t="s">
        <v>42373</v>
      </c>
    </row>
    <row r="11509" spans="1:25" x14ac:dyDescent="0.25">
      <c r="A11509" t="str">
        <f>"163079533906"</f>
        <v>163079533906</v>
      </c>
      <c r="B11509" t="s">
        <v>2790</v>
      </c>
      <c r="C11509" t="s">
        <v>3528</v>
      </c>
      <c r="D11509" t="s">
        <v>42374</v>
      </c>
      <c r="E11509">
        <v>424031</v>
      </c>
      <c r="F11509" t="s">
        <v>1</v>
      </c>
      <c r="G11509" t="s">
        <v>2</v>
      </c>
      <c r="H11509" t="s">
        <v>4141</v>
      </c>
      <c r="I11509" t="s">
        <v>36086</v>
      </c>
      <c r="J11509" t="s">
        <v>42375</v>
      </c>
      <c r="P11509" t="s">
        <v>144</v>
      </c>
      <c r="Y11509" t="s">
        <v>42376</v>
      </c>
    </row>
    <row r="11510" spans="1:25" x14ac:dyDescent="0.25">
      <c r="A11510" t="str">
        <f>"163109058307"</f>
        <v>163109058307</v>
      </c>
      <c r="B11510" t="s">
        <v>96</v>
      </c>
      <c r="C11510" t="s">
        <v>12339</v>
      </c>
      <c r="D11510" t="s">
        <v>42377</v>
      </c>
      <c r="E11510">
        <v>424000</v>
      </c>
      <c r="F11510" t="s">
        <v>1</v>
      </c>
      <c r="G11510" t="s">
        <v>2</v>
      </c>
      <c r="H11510" t="s">
        <v>3749</v>
      </c>
      <c r="Y11510" t="s">
        <v>42378</v>
      </c>
    </row>
    <row r="11511" spans="1:25" x14ac:dyDescent="0.25">
      <c r="A11511" t="str">
        <f>"163135731598"</f>
        <v>163135731598</v>
      </c>
      <c r="B11511" t="s">
        <v>7312</v>
      </c>
      <c r="C11511" t="s">
        <v>42379</v>
      </c>
      <c r="D11511" t="s">
        <v>29317</v>
      </c>
      <c r="E11511">
        <v>424019</v>
      </c>
      <c r="F11511" t="s">
        <v>1</v>
      </c>
      <c r="G11511" t="s">
        <v>2</v>
      </c>
      <c r="H11511" t="s">
        <v>12105</v>
      </c>
      <c r="Y11511" t="s">
        <v>42380</v>
      </c>
    </row>
    <row r="11512" spans="1:25" x14ac:dyDescent="0.25">
      <c r="A11512" t="str">
        <f>"163169916468"</f>
        <v>163169916468</v>
      </c>
      <c r="B11512" t="s">
        <v>716</v>
      </c>
      <c r="C11512" t="s">
        <v>38643</v>
      </c>
      <c r="D11512" t="s">
        <v>42381</v>
      </c>
      <c r="E11512">
        <v>424004</v>
      </c>
      <c r="F11512" t="s">
        <v>1</v>
      </c>
      <c r="G11512" t="s">
        <v>2</v>
      </c>
      <c r="H11512" t="s">
        <v>14351</v>
      </c>
      <c r="I11512" t="s">
        <v>42382</v>
      </c>
      <c r="J11512" t="s">
        <v>42383</v>
      </c>
      <c r="P11512" t="s">
        <v>42384</v>
      </c>
      <c r="V11512" t="s">
        <v>42385</v>
      </c>
      <c r="Y11512" t="s">
        <v>42386</v>
      </c>
    </row>
    <row r="11513" spans="1:25" x14ac:dyDescent="0.25">
      <c r="A11513" t="str">
        <f>"163170951967"</f>
        <v>163170951967</v>
      </c>
      <c r="B11513" t="s">
        <v>2601</v>
      </c>
      <c r="C11513" t="s">
        <v>42391</v>
      </c>
      <c r="D11513" t="s">
        <v>42387</v>
      </c>
      <c r="E11513">
        <v>424038</v>
      </c>
      <c r="F11513" t="s">
        <v>1</v>
      </c>
      <c r="G11513" t="s">
        <v>2</v>
      </c>
      <c r="H11513" t="s">
        <v>7597</v>
      </c>
      <c r="J11513" t="s">
        <v>42388</v>
      </c>
      <c r="L11513" t="s">
        <v>42389</v>
      </c>
      <c r="M11513" t="s">
        <v>42390</v>
      </c>
      <c r="P11513" t="s">
        <v>1642</v>
      </c>
      <c r="Q11513" t="s">
        <v>42392</v>
      </c>
      <c r="V11513" t="s">
        <v>42393</v>
      </c>
      <c r="Y11513" t="s">
        <v>42394</v>
      </c>
    </row>
    <row r="11514" spans="1:25" x14ac:dyDescent="0.25">
      <c r="A11514" t="str">
        <f>"163204928903"</f>
        <v>163204928903</v>
      </c>
      <c r="B11514" t="s">
        <v>430</v>
      </c>
      <c r="C11514" t="s">
        <v>612</v>
      </c>
      <c r="D11514" t="s">
        <v>42395</v>
      </c>
      <c r="E11514">
        <v>424006</v>
      </c>
      <c r="F11514" t="s">
        <v>1</v>
      </c>
      <c r="G11514" t="s">
        <v>2</v>
      </c>
      <c r="H11514" t="s">
        <v>393</v>
      </c>
      <c r="Y11514" t="s">
        <v>23160</v>
      </c>
    </row>
    <row r="11515" spans="1:25" x14ac:dyDescent="0.25">
      <c r="A11515" t="str">
        <f>"163230527102"</f>
        <v>163230527102</v>
      </c>
      <c r="B11515" t="s">
        <v>96</v>
      </c>
      <c r="C11515" t="s">
        <v>29320</v>
      </c>
      <c r="D11515" t="s">
        <v>12115</v>
      </c>
      <c r="E11515">
        <v>424006</v>
      </c>
      <c r="F11515" t="s">
        <v>1</v>
      </c>
      <c r="G11515" t="s">
        <v>2</v>
      </c>
      <c r="H11515" t="s">
        <v>2557</v>
      </c>
      <c r="Y11515" t="s">
        <v>42396</v>
      </c>
    </row>
    <row r="11516" spans="1:25" x14ac:dyDescent="0.25">
      <c r="A11516" t="str">
        <f>"163246155072"</f>
        <v>163246155072</v>
      </c>
      <c r="B11516" t="s">
        <v>25</v>
      </c>
      <c r="C11516" t="s">
        <v>24938</v>
      </c>
      <c r="D11516" t="s">
        <v>42397</v>
      </c>
      <c r="E11516">
        <v>424004</v>
      </c>
      <c r="F11516" t="s">
        <v>1</v>
      </c>
      <c r="G11516" t="s">
        <v>2</v>
      </c>
      <c r="H11516" t="s">
        <v>42398</v>
      </c>
      <c r="I11516" t="s">
        <v>13091</v>
      </c>
      <c r="M11516" t="s">
        <v>42399</v>
      </c>
      <c r="Y11516" t="s">
        <v>42400</v>
      </c>
    </row>
    <row r="11517" spans="1:25" x14ac:dyDescent="0.25">
      <c r="A11517" t="str">
        <f>"163249276188"</f>
        <v>163249276188</v>
      </c>
      <c r="B11517" t="s">
        <v>328</v>
      </c>
      <c r="C11517" t="s">
        <v>1920</v>
      </c>
      <c r="D11517" t="s">
        <v>14745</v>
      </c>
      <c r="E11517">
        <v>424031</v>
      </c>
      <c r="F11517" t="s">
        <v>1</v>
      </c>
      <c r="G11517" t="s">
        <v>2</v>
      </c>
      <c r="H11517" t="s">
        <v>3962</v>
      </c>
      <c r="J11517" t="s">
        <v>42401</v>
      </c>
      <c r="P11517" t="s">
        <v>5396</v>
      </c>
      <c r="Y11517" t="s">
        <v>19108</v>
      </c>
    </row>
    <row r="11518" spans="1:25" x14ac:dyDescent="0.25">
      <c r="A11518" t="str">
        <f>"163251792905"</f>
        <v>163251792905</v>
      </c>
      <c r="B11518" t="s">
        <v>1611</v>
      </c>
      <c r="C11518" t="s">
        <v>42403</v>
      </c>
      <c r="D11518" t="s">
        <v>42402</v>
      </c>
      <c r="E11518">
        <v>424006</v>
      </c>
      <c r="F11518" t="s">
        <v>1</v>
      </c>
      <c r="G11518" t="s">
        <v>2</v>
      </c>
      <c r="H11518" t="s">
        <v>14875</v>
      </c>
      <c r="Y11518" t="s">
        <v>42404</v>
      </c>
    </row>
    <row r="11519" spans="1:25" x14ac:dyDescent="0.25">
      <c r="A11519" t="str">
        <f>"163257905112"</f>
        <v>163257905112</v>
      </c>
      <c r="B11519" t="s">
        <v>1573</v>
      </c>
      <c r="C11519" t="s">
        <v>1817</v>
      </c>
      <c r="D11519" t="s">
        <v>42405</v>
      </c>
      <c r="E11519">
        <v>424039</v>
      </c>
      <c r="F11519" t="s">
        <v>1</v>
      </c>
      <c r="G11519" t="s">
        <v>2</v>
      </c>
      <c r="H11519" t="s">
        <v>23651</v>
      </c>
      <c r="Y11519" t="s">
        <v>42406</v>
      </c>
    </row>
    <row r="11520" spans="1:25" x14ac:dyDescent="0.25">
      <c r="A11520" t="str">
        <f>"163299691357"</f>
        <v>163299691357</v>
      </c>
      <c r="B11520" t="s">
        <v>530</v>
      </c>
      <c r="C11520" t="s">
        <v>23950</v>
      </c>
      <c r="D11520" t="s">
        <v>23950</v>
      </c>
      <c r="F11520" t="s">
        <v>1</v>
      </c>
      <c r="G11520" t="s">
        <v>2</v>
      </c>
      <c r="H11520" t="s">
        <v>24047</v>
      </c>
      <c r="Y11520" t="s">
        <v>42407</v>
      </c>
    </row>
    <row r="11521" spans="1:25" x14ac:dyDescent="0.25">
      <c r="A11521" t="str">
        <f>"163308422677"</f>
        <v>163308422677</v>
      </c>
      <c r="B11521" t="s">
        <v>96</v>
      </c>
      <c r="C11521" t="s">
        <v>507</v>
      </c>
      <c r="D11521" t="s">
        <v>42408</v>
      </c>
      <c r="E11521">
        <v>424031</v>
      </c>
      <c r="F11521" t="s">
        <v>1</v>
      </c>
      <c r="G11521" t="s">
        <v>2</v>
      </c>
      <c r="H11521" t="s">
        <v>1524</v>
      </c>
      <c r="J11521" t="s">
        <v>42409</v>
      </c>
      <c r="P11521" t="s">
        <v>280</v>
      </c>
      <c r="Y11521" t="s">
        <v>5358</v>
      </c>
    </row>
    <row r="11522" spans="1:25" x14ac:dyDescent="0.25">
      <c r="A11522" t="str">
        <f>"163318918618"</f>
        <v>163318918618</v>
      </c>
      <c r="B11522" t="s">
        <v>1046</v>
      </c>
      <c r="C11522" t="s">
        <v>2695</v>
      </c>
      <c r="D11522" t="s">
        <v>42410</v>
      </c>
      <c r="E11522">
        <v>424000</v>
      </c>
      <c r="F11522" t="s">
        <v>1</v>
      </c>
      <c r="G11522" t="s">
        <v>2</v>
      </c>
      <c r="H11522" t="s">
        <v>2547</v>
      </c>
      <c r="I11522" t="s">
        <v>42411</v>
      </c>
      <c r="Y11522" t="s">
        <v>6500</v>
      </c>
    </row>
    <row r="11523" spans="1:25" x14ac:dyDescent="0.25">
      <c r="A11523" t="str">
        <f>"163342550852"</f>
        <v>163342550852</v>
      </c>
      <c r="B11523" t="s">
        <v>96</v>
      </c>
      <c r="C11523" t="s">
        <v>5155</v>
      </c>
      <c r="D11523" t="s">
        <v>893</v>
      </c>
      <c r="E11523">
        <v>424007</v>
      </c>
      <c r="F11523" t="s">
        <v>1</v>
      </c>
      <c r="G11523" t="s">
        <v>2</v>
      </c>
      <c r="H11523" t="s">
        <v>5178</v>
      </c>
      <c r="P11523" t="s">
        <v>2731</v>
      </c>
      <c r="Y11523" t="s">
        <v>42412</v>
      </c>
    </row>
    <row r="11524" spans="1:25" x14ac:dyDescent="0.25">
      <c r="A11524" t="str">
        <f>"163376814414"</f>
        <v>163376814414</v>
      </c>
      <c r="B11524" t="s">
        <v>1352</v>
      </c>
      <c r="C11524" t="s">
        <v>1353</v>
      </c>
      <c r="D11524" t="s">
        <v>22566</v>
      </c>
      <c r="E11524">
        <v>424038</v>
      </c>
      <c r="F11524" t="s">
        <v>1</v>
      </c>
      <c r="G11524" t="s">
        <v>2</v>
      </c>
      <c r="H11524" t="s">
        <v>2614</v>
      </c>
      <c r="Y11524" t="s">
        <v>2617</v>
      </c>
    </row>
    <row r="11525" spans="1:25" x14ac:dyDescent="0.25">
      <c r="A11525" t="str">
        <f>"163423506190"</f>
        <v>163423506190</v>
      </c>
      <c r="B11525" t="s">
        <v>2601</v>
      </c>
      <c r="C11525" t="s">
        <v>36838</v>
      </c>
      <c r="D11525" t="s">
        <v>42413</v>
      </c>
      <c r="E11525">
        <v>424000</v>
      </c>
      <c r="F11525" t="s">
        <v>1</v>
      </c>
      <c r="G11525" t="s">
        <v>2</v>
      </c>
      <c r="H11525" t="s">
        <v>265</v>
      </c>
      <c r="Y11525" t="s">
        <v>42414</v>
      </c>
    </row>
    <row r="11526" spans="1:25" x14ac:dyDescent="0.25">
      <c r="A11526" t="str">
        <f>"163439514807"</f>
        <v>163439514807</v>
      </c>
      <c r="B11526" t="s">
        <v>319</v>
      </c>
      <c r="C11526" t="s">
        <v>320</v>
      </c>
      <c r="D11526" t="s">
        <v>27900</v>
      </c>
      <c r="E11526">
        <v>424040</v>
      </c>
      <c r="F11526" t="s">
        <v>1</v>
      </c>
      <c r="G11526" t="s">
        <v>2</v>
      </c>
      <c r="H11526" t="s">
        <v>5602</v>
      </c>
      <c r="I11526" t="s">
        <v>42415</v>
      </c>
      <c r="L11526" t="s">
        <v>27901</v>
      </c>
      <c r="M11526" t="s">
        <v>27902</v>
      </c>
      <c r="P11526" t="s">
        <v>2738</v>
      </c>
      <c r="Q11526" t="s">
        <v>27903</v>
      </c>
      <c r="T11526" t="s">
        <v>42416</v>
      </c>
      <c r="V11526" t="s">
        <v>42417</v>
      </c>
      <c r="Y11526" t="s">
        <v>42418</v>
      </c>
    </row>
    <row r="11527" spans="1:25" x14ac:dyDescent="0.25">
      <c r="A11527" t="str">
        <f>"163442148507"</f>
        <v>163442148507</v>
      </c>
      <c r="B11527" t="s">
        <v>1617</v>
      </c>
      <c r="C11527" t="s">
        <v>21001</v>
      </c>
      <c r="D11527" t="s">
        <v>21001</v>
      </c>
      <c r="E11527">
        <v>424006</v>
      </c>
      <c r="F11527" t="s">
        <v>1</v>
      </c>
      <c r="G11527" t="s">
        <v>2</v>
      </c>
      <c r="H11527" t="s">
        <v>21558</v>
      </c>
      <c r="Y11527" t="s">
        <v>42419</v>
      </c>
    </row>
    <row r="11528" spans="1:25" x14ac:dyDescent="0.25">
      <c r="A11528" t="str">
        <f>"163444539160"</f>
        <v>163444539160</v>
      </c>
      <c r="B11528" t="s">
        <v>530</v>
      </c>
      <c r="C11528" t="s">
        <v>23950</v>
      </c>
      <c r="D11528" t="s">
        <v>23950</v>
      </c>
      <c r="E11528">
        <v>424037</v>
      </c>
      <c r="F11528" t="s">
        <v>1</v>
      </c>
      <c r="G11528" t="s">
        <v>2</v>
      </c>
      <c r="H11528" t="s">
        <v>42420</v>
      </c>
      <c r="Y11528" t="s">
        <v>42421</v>
      </c>
    </row>
    <row r="11529" spans="1:25" x14ac:dyDescent="0.25">
      <c r="A11529" t="str">
        <f>"163525543339"</f>
        <v>163525543339</v>
      </c>
      <c r="B11529" t="s">
        <v>1053</v>
      </c>
      <c r="C11529" t="s">
        <v>42426</v>
      </c>
      <c r="D11529" t="s">
        <v>42422</v>
      </c>
      <c r="E11529">
        <v>424006</v>
      </c>
      <c r="F11529" t="s">
        <v>1</v>
      </c>
      <c r="G11529" t="s">
        <v>2</v>
      </c>
      <c r="H11529" t="s">
        <v>5146</v>
      </c>
      <c r="J11529" t="s">
        <v>42423</v>
      </c>
      <c r="L11529" t="s">
        <v>42424</v>
      </c>
      <c r="M11529" t="s">
        <v>42425</v>
      </c>
      <c r="P11529" t="s">
        <v>20700</v>
      </c>
      <c r="Q11529" t="s">
        <v>42427</v>
      </c>
      <c r="Y11529" t="s">
        <v>5149</v>
      </c>
    </row>
    <row r="11530" spans="1:25" x14ac:dyDescent="0.25">
      <c r="A11530" t="str">
        <f>"163543379652"</f>
        <v>163543379652</v>
      </c>
      <c r="B11530" t="s">
        <v>96</v>
      </c>
      <c r="C11530" t="s">
        <v>24042</v>
      </c>
      <c r="D11530" t="s">
        <v>24127</v>
      </c>
      <c r="F11530" t="s">
        <v>1</v>
      </c>
      <c r="G11530" t="s">
        <v>2</v>
      </c>
      <c r="H11530" t="s">
        <v>3500</v>
      </c>
      <c r="Y11530" t="s">
        <v>42428</v>
      </c>
    </row>
    <row r="11531" spans="1:25" x14ac:dyDescent="0.25">
      <c r="A11531" t="str">
        <f>"163634480022"</f>
        <v>163634480022</v>
      </c>
      <c r="B11531" t="s">
        <v>1152</v>
      </c>
      <c r="C11531" t="s">
        <v>29482</v>
      </c>
      <c r="D11531" t="s">
        <v>42429</v>
      </c>
      <c r="E11531">
        <v>424038</v>
      </c>
      <c r="F11531" t="s">
        <v>1</v>
      </c>
      <c r="G11531" t="s">
        <v>2</v>
      </c>
      <c r="H11531" t="s">
        <v>6550</v>
      </c>
      <c r="I11531" t="s">
        <v>42430</v>
      </c>
      <c r="J11531" t="s">
        <v>42431</v>
      </c>
      <c r="P11531" t="s">
        <v>216</v>
      </c>
      <c r="Y11531" t="s">
        <v>6552</v>
      </c>
    </row>
    <row r="11532" spans="1:25" x14ac:dyDescent="0.25">
      <c r="A11532" t="str">
        <f>"163703191735"</f>
        <v>163703191735</v>
      </c>
      <c r="B11532" t="s">
        <v>319</v>
      </c>
      <c r="C11532" t="s">
        <v>320</v>
      </c>
      <c r="D11532" t="s">
        <v>37153</v>
      </c>
      <c r="E11532">
        <v>424038</v>
      </c>
      <c r="F11532" t="s">
        <v>1</v>
      </c>
      <c r="G11532" t="s">
        <v>2</v>
      </c>
      <c r="H11532" t="s">
        <v>7518</v>
      </c>
      <c r="P11532" t="s">
        <v>17892</v>
      </c>
      <c r="Y11532" t="s">
        <v>42432</v>
      </c>
    </row>
    <row r="11533" spans="1:25" x14ac:dyDescent="0.25">
      <c r="A11533" t="str">
        <f>"163706692644"</f>
        <v>163706692644</v>
      </c>
      <c r="B11533" t="s">
        <v>574</v>
      </c>
      <c r="C11533" t="s">
        <v>24922</v>
      </c>
      <c r="D11533" t="s">
        <v>33564</v>
      </c>
      <c r="E11533">
        <v>424036</v>
      </c>
      <c r="F11533" t="s">
        <v>1</v>
      </c>
      <c r="G11533" t="s">
        <v>2</v>
      </c>
      <c r="H11533" t="s">
        <v>7305</v>
      </c>
      <c r="P11533" t="s">
        <v>216</v>
      </c>
      <c r="Y11533" t="s">
        <v>7306</v>
      </c>
    </row>
    <row r="11534" spans="1:25" x14ac:dyDescent="0.25">
      <c r="A11534" t="str">
        <f>"163727828589"</f>
        <v>163727828589</v>
      </c>
      <c r="B11534" t="s">
        <v>25</v>
      </c>
      <c r="C11534" t="s">
        <v>24938</v>
      </c>
      <c r="D11534" t="s">
        <v>42433</v>
      </c>
      <c r="E11534">
        <v>424019</v>
      </c>
      <c r="F11534" t="s">
        <v>1</v>
      </c>
      <c r="G11534" t="s">
        <v>2</v>
      </c>
      <c r="H11534" t="s">
        <v>24407</v>
      </c>
      <c r="I11534" t="s">
        <v>24408</v>
      </c>
      <c r="L11534" t="s">
        <v>42434</v>
      </c>
      <c r="M11534" t="s">
        <v>42435</v>
      </c>
      <c r="Y11534" t="s">
        <v>42436</v>
      </c>
    </row>
    <row r="11535" spans="1:25" x14ac:dyDescent="0.25">
      <c r="A11535" t="str">
        <f>"163752331312"</f>
        <v>163752331312</v>
      </c>
      <c r="B11535" t="s">
        <v>290</v>
      </c>
      <c r="C11535" t="s">
        <v>11114</v>
      </c>
      <c r="D11535" t="s">
        <v>42437</v>
      </c>
      <c r="F11535" t="s">
        <v>1</v>
      </c>
      <c r="G11535" t="s">
        <v>2</v>
      </c>
      <c r="H11535" t="s">
        <v>19499</v>
      </c>
      <c r="P11535" t="s">
        <v>42438</v>
      </c>
      <c r="Y11535" t="s">
        <v>42439</v>
      </c>
    </row>
    <row r="11536" spans="1:25" x14ac:dyDescent="0.25">
      <c r="A11536" t="str">
        <f>"163763594324"</f>
        <v>163763594324</v>
      </c>
      <c r="B11536" t="s">
        <v>1352</v>
      </c>
      <c r="C11536" t="s">
        <v>33490</v>
      </c>
      <c r="D11536" t="s">
        <v>42440</v>
      </c>
      <c r="F11536" t="s">
        <v>1</v>
      </c>
      <c r="G11536" t="s">
        <v>2</v>
      </c>
      <c r="H11536" t="s">
        <v>19499</v>
      </c>
      <c r="P11536" t="s">
        <v>144</v>
      </c>
      <c r="Y11536" t="s">
        <v>24185</v>
      </c>
    </row>
    <row r="11537" spans="1:25" x14ac:dyDescent="0.25">
      <c r="A11537" t="str">
        <f>"163767844248"</f>
        <v>163767844248</v>
      </c>
      <c r="B11537" t="s">
        <v>32</v>
      </c>
      <c r="C11537" t="s">
        <v>20137</v>
      </c>
      <c r="D11537" t="s">
        <v>42441</v>
      </c>
      <c r="E11537">
        <v>424019</v>
      </c>
      <c r="F11537" t="s">
        <v>1</v>
      </c>
      <c r="G11537" t="s">
        <v>2</v>
      </c>
      <c r="H11537" t="s">
        <v>10061</v>
      </c>
      <c r="Y11537" t="s">
        <v>42442</v>
      </c>
    </row>
    <row r="11538" spans="1:25" x14ac:dyDescent="0.25">
      <c r="A11538" t="str">
        <f>"163773744417"</f>
        <v>163773744417</v>
      </c>
      <c r="B11538" t="s">
        <v>1222</v>
      </c>
      <c r="C11538" t="s">
        <v>2114</v>
      </c>
      <c r="D11538" t="s">
        <v>42443</v>
      </c>
      <c r="E11538">
        <v>424003</v>
      </c>
      <c r="F11538" t="s">
        <v>1</v>
      </c>
      <c r="G11538" t="s">
        <v>2</v>
      </c>
      <c r="H11538" t="s">
        <v>5311</v>
      </c>
      <c r="P11538" t="s">
        <v>42444</v>
      </c>
      <c r="Y11538" t="s">
        <v>10521</v>
      </c>
    </row>
    <row r="11539" spans="1:25" x14ac:dyDescent="0.25">
      <c r="A11539" t="str">
        <f>"163790618783"</f>
        <v>163790618783</v>
      </c>
      <c r="B11539" t="s">
        <v>687</v>
      </c>
      <c r="C11539" t="s">
        <v>14728</v>
      </c>
      <c r="D11539" t="s">
        <v>42445</v>
      </c>
      <c r="F11539" t="s">
        <v>1</v>
      </c>
      <c r="G11539" t="s">
        <v>2</v>
      </c>
      <c r="H11539" t="s">
        <v>25588</v>
      </c>
      <c r="Y11539" t="s">
        <v>42446</v>
      </c>
    </row>
    <row r="11540" spans="1:25" x14ac:dyDescent="0.25">
      <c r="A11540" t="str">
        <f>"163804297306"</f>
        <v>163804297306</v>
      </c>
      <c r="B11540" t="s">
        <v>1230</v>
      </c>
      <c r="C11540" t="s">
        <v>2526</v>
      </c>
      <c r="D11540" t="s">
        <v>42447</v>
      </c>
      <c r="F11540" t="s">
        <v>1</v>
      </c>
      <c r="G11540" t="s">
        <v>2</v>
      </c>
      <c r="H11540" t="s">
        <v>3984</v>
      </c>
      <c r="I11540" t="s">
        <v>13855</v>
      </c>
      <c r="L11540" t="s">
        <v>42448</v>
      </c>
      <c r="M11540" t="s">
        <v>42449</v>
      </c>
      <c r="P11540" t="s">
        <v>1731</v>
      </c>
      <c r="Y11540" t="s">
        <v>42450</v>
      </c>
    </row>
    <row r="11541" spans="1:25" x14ac:dyDescent="0.25">
      <c r="A11541" t="str">
        <f>"163843399210"</f>
        <v>163843399210</v>
      </c>
      <c r="B11541" t="s">
        <v>290</v>
      </c>
      <c r="C11541" t="s">
        <v>290</v>
      </c>
      <c r="D11541" t="s">
        <v>20572</v>
      </c>
      <c r="E11541">
        <v>424030</v>
      </c>
      <c r="F11541" t="s">
        <v>1</v>
      </c>
      <c r="G11541" t="s">
        <v>2</v>
      </c>
      <c r="H11541" t="s">
        <v>42451</v>
      </c>
      <c r="Y11541" t="s">
        <v>42452</v>
      </c>
    </row>
    <row r="11542" spans="1:25" x14ac:dyDescent="0.25">
      <c r="A11542" t="str">
        <f>"163857249027"</f>
        <v>163857249027</v>
      </c>
      <c r="B11542" t="s">
        <v>1544</v>
      </c>
      <c r="C11542" t="s">
        <v>15598</v>
      </c>
      <c r="D11542" t="s">
        <v>42453</v>
      </c>
      <c r="E11542">
        <v>424036</v>
      </c>
      <c r="F11542" t="s">
        <v>1</v>
      </c>
      <c r="G11542" t="s">
        <v>2</v>
      </c>
      <c r="H11542" t="s">
        <v>5509</v>
      </c>
      <c r="Y11542" t="s">
        <v>42454</v>
      </c>
    </row>
    <row r="11543" spans="1:25" x14ac:dyDescent="0.25">
      <c r="A11543" t="str">
        <f>"163865789844"</f>
        <v>163865789844</v>
      </c>
      <c r="B11543" t="s">
        <v>18</v>
      </c>
      <c r="C11543" t="s">
        <v>2593</v>
      </c>
      <c r="D11543" t="s">
        <v>42455</v>
      </c>
      <c r="E11543">
        <v>424019</v>
      </c>
      <c r="F11543" t="s">
        <v>1</v>
      </c>
      <c r="G11543" t="s">
        <v>2</v>
      </c>
      <c r="H11543" t="s">
        <v>20692</v>
      </c>
      <c r="I11543" t="s">
        <v>42456</v>
      </c>
      <c r="P11543" t="s">
        <v>20695</v>
      </c>
      <c r="Y11543" t="s">
        <v>20697</v>
      </c>
    </row>
    <row r="11544" spans="1:25" x14ac:dyDescent="0.25">
      <c r="A11544" t="str">
        <f>"163867516237"</f>
        <v>163867516237</v>
      </c>
      <c r="B11544" t="s">
        <v>1222</v>
      </c>
      <c r="C11544" t="s">
        <v>42459</v>
      </c>
      <c r="D11544" t="s">
        <v>42457</v>
      </c>
      <c r="E11544">
        <v>424000</v>
      </c>
      <c r="F11544" t="s">
        <v>1</v>
      </c>
      <c r="G11544" t="s">
        <v>2</v>
      </c>
      <c r="H11544" t="s">
        <v>34149</v>
      </c>
      <c r="J11544" t="s">
        <v>42458</v>
      </c>
      <c r="P11544" t="s">
        <v>28768</v>
      </c>
      <c r="Y11544" t="s">
        <v>42460</v>
      </c>
    </row>
    <row r="11545" spans="1:25" x14ac:dyDescent="0.25">
      <c r="A11545" t="str">
        <f>"163979870830"</f>
        <v>163979870830</v>
      </c>
      <c r="B11545" t="s">
        <v>188</v>
      </c>
      <c r="C11545" t="s">
        <v>23982</v>
      </c>
      <c r="D11545" t="s">
        <v>23982</v>
      </c>
      <c r="E11545">
        <v>424028</v>
      </c>
      <c r="F11545" t="s">
        <v>1</v>
      </c>
      <c r="G11545" t="s">
        <v>2</v>
      </c>
      <c r="H11545" t="s">
        <v>41812</v>
      </c>
      <c r="Y11545" t="s">
        <v>42461</v>
      </c>
    </row>
    <row r="11546" spans="1:25" x14ac:dyDescent="0.25">
      <c r="A11546" t="str">
        <f>"163984683648"</f>
        <v>163984683648</v>
      </c>
      <c r="B11546" t="s">
        <v>96</v>
      </c>
      <c r="C11546" t="s">
        <v>893</v>
      </c>
      <c r="D11546" t="s">
        <v>28781</v>
      </c>
      <c r="E11546">
        <v>424918</v>
      </c>
      <c r="F11546" t="s">
        <v>1</v>
      </c>
      <c r="G11546" t="s">
        <v>2</v>
      </c>
      <c r="H11546" t="s">
        <v>629</v>
      </c>
      <c r="P11546" t="s">
        <v>630</v>
      </c>
      <c r="Y11546" t="s">
        <v>1744</v>
      </c>
    </row>
    <row r="11547" spans="1:25" x14ac:dyDescent="0.25">
      <c r="A11547" t="str">
        <f>"164012465110"</f>
        <v>164012465110</v>
      </c>
      <c r="B11547" t="s">
        <v>1053</v>
      </c>
      <c r="C11547" t="s">
        <v>42465</v>
      </c>
      <c r="D11547" t="s">
        <v>42462</v>
      </c>
      <c r="E11547">
        <v>424007</v>
      </c>
      <c r="F11547" t="s">
        <v>1</v>
      </c>
      <c r="G11547" t="s">
        <v>2</v>
      </c>
      <c r="H11547" t="s">
        <v>220</v>
      </c>
      <c r="I11547" t="s">
        <v>42463</v>
      </c>
      <c r="J11547" t="s">
        <v>42464</v>
      </c>
      <c r="P11547" t="s">
        <v>20</v>
      </c>
      <c r="Y11547" t="s">
        <v>227</v>
      </c>
    </row>
    <row r="11548" spans="1:25" x14ac:dyDescent="0.25">
      <c r="A11548" t="str">
        <f>"164099166093"</f>
        <v>164099166093</v>
      </c>
      <c r="B11548" t="s">
        <v>6609</v>
      </c>
      <c r="C11548" t="s">
        <v>42469</v>
      </c>
      <c r="D11548" t="s">
        <v>42466</v>
      </c>
      <c r="E11548">
        <v>424007</v>
      </c>
      <c r="F11548" t="s">
        <v>1</v>
      </c>
      <c r="G11548" t="s">
        <v>2</v>
      </c>
      <c r="H11548" t="s">
        <v>10252</v>
      </c>
      <c r="I11548" t="s">
        <v>42467</v>
      </c>
      <c r="M11548" t="s">
        <v>42468</v>
      </c>
      <c r="P11548" t="s">
        <v>27</v>
      </c>
      <c r="V11548" t="s">
        <v>42470</v>
      </c>
      <c r="Y11548" t="s">
        <v>10258</v>
      </c>
    </row>
    <row r="11549" spans="1:25" x14ac:dyDescent="0.25">
      <c r="A11549" t="str">
        <f>"164133091279"</f>
        <v>164133091279</v>
      </c>
      <c r="B11549" t="s">
        <v>1573</v>
      </c>
      <c r="C11549" t="s">
        <v>3282</v>
      </c>
      <c r="D11549" t="s">
        <v>24854</v>
      </c>
      <c r="E11549">
        <v>424032</v>
      </c>
      <c r="F11549" t="s">
        <v>1</v>
      </c>
      <c r="G11549" t="s">
        <v>2</v>
      </c>
      <c r="H11549" t="s">
        <v>2250</v>
      </c>
      <c r="I11549" t="s">
        <v>3279</v>
      </c>
      <c r="P11549" t="s">
        <v>216</v>
      </c>
      <c r="Y11549" t="s">
        <v>42471</v>
      </c>
    </row>
    <row r="11550" spans="1:25" x14ac:dyDescent="0.25">
      <c r="A11550" t="str">
        <f>"164143723470"</f>
        <v>164143723470</v>
      </c>
      <c r="B11550" t="s">
        <v>290</v>
      </c>
      <c r="C11550" t="s">
        <v>2737</v>
      </c>
      <c r="D11550" t="s">
        <v>42472</v>
      </c>
      <c r="E11550">
        <v>424033</v>
      </c>
      <c r="F11550" t="s">
        <v>1</v>
      </c>
      <c r="G11550" t="s">
        <v>2</v>
      </c>
      <c r="H11550" t="s">
        <v>3984</v>
      </c>
      <c r="I11550" t="s">
        <v>42473</v>
      </c>
      <c r="P11550" t="s">
        <v>133</v>
      </c>
      <c r="Y11550" t="s">
        <v>42474</v>
      </c>
    </row>
    <row r="11551" spans="1:25" x14ac:dyDescent="0.25">
      <c r="A11551" t="str">
        <f>"164154205481"</f>
        <v>164154205481</v>
      </c>
      <c r="B11551" t="s">
        <v>290</v>
      </c>
      <c r="C11551" t="s">
        <v>290</v>
      </c>
      <c r="D11551" t="s">
        <v>15669</v>
      </c>
      <c r="E11551">
        <v>424918</v>
      </c>
      <c r="F11551" t="s">
        <v>1</v>
      </c>
      <c r="G11551" t="s">
        <v>2</v>
      </c>
      <c r="H11551" t="s">
        <v>8531</v>
      </c>
      <c r="I11551" t="s">
        <v>29644</v>
      </c>
      <c r="P11551" t="s">
        <v>216</v>
      </c>
      <c r="Y11551" t="s">
        <v>8541</v>
      </c>
    </row>
    <row r="11552" spans="1:25" x14ac:dyDescent="0.25">
      <c r="A11552" t="str">
        <f>"164162618416"</f>
        <v>164162618416</v>
      </c>
      <c r="B11552" t="s">
        <v>123</v>
      </c>
      <c r="C11552" t="s">
        <v>196</v>
      </c>
      <c r="D11552" t="s">
        <v>42475</v>
      </c>
      <c r="E11552">
        <v>424037</v>
      </c>
      <c r="F11552" t="s">
        <v>1</v>
      </c>
      <c r="G11552" t="s">
        <v>2</v>
      </c>
      <c r="H11552" t="s">
        <v>315</v>
      </c>
      <c r="L11552" t="s">
        <v>194</v>
      </c>
      <c r="M11552" t="s">
        <v>42476</v>
      </c>
      <c r="P11552" t="s">
        <v>42477</v>
      </c>
      <c r="Y11552" t="s">
        <v>42478</v>
      </c>
    </row>
    <row r="11553" spans="1:25" x14ac:dyDescent="0.25">
      <c r="A11553" t="str">
        <f>"164163635699"</f>
        <v>164163635699</v>
      </c>
      <c r="B11553" t="s">
        <v>96</v>
      </c>
      <c r="C11553" t="s">
        <v>2285</v>
      </c>
      <c r="D11553" t="s">
        <v>31437</v>
      </c>
      <c r="E11553">
        <v>424028</v>
      </c>
      <c r="F11553" t="s">
        <v>1</v>
      </c>
      <c r="G11553" t="s">
        <v>2</v>
      </c>
      <c r="H11553" t="s">
        <v>5034</v>
      </c>
      <c r="Y11553" t="s">
        <v>5036</v>
      </c>
    </row>
    <row r="11554" spans="1:25" x14ac:dyDescent="0.25">
      <c r="A11554" t="str">
        <f>"164202285169"</f>
        <v>164202285169</v>
      </c>
      <c r="B11554" t="s">
        <v>1222</v>
      </c>
      <c r="C11554" t="s">
        <v>2114</v>
      </c>
      <c r="D11554" t="s">
        <v>17205</v>
      </c>
      <c r="E11554">
        <v>424030</v>
      </c>
      <c r="F11554" t="s">
        <v>1</v>
      </c>
      <c r="G11554" t="s">
        <v>2</v>
      </c>
      <c r="H11554" t="s">
        <v>440</v>
      </c>
      <c r="I11554" t="s">
        <v>42479</v>
      </c>
      <c r="P11554" t="s">
        <v>3822</v>
      </c>
      <c r="Y11554" t="s">
        <v>42480</v>
      </c>
    </row>
    <row r="11555" spans="1:25" x14ac:dyDescent="0.25">
      <c r="A11555" t="str">
        <f>"164218172028"</f>
        <v>164218172028</v>
      </c>
      <c r="B11555" t="s">
        <v>591</v>
      </c>
      <c r="C11555" t="s">
        <v>592</v>
      </c>
      <c r="D11555" t="s">
        <v>24042</v>
      </c>
      <c r="E11555">
        <v>424032</v>
      </c>
      <c r="F11555" t="s">
        <v>1</v>
      </c>
      <c r="G11555" t="s">
        <v>2</v>
      </c>
      <c r="H11555" t="s">
        <v>24307</v>
      </c>
      <c r="Y11555" t="s">
        <v>24310</v>
      </c>
    </row>
    <row r="11556" spans="1:25" x14ac:dyDescent="0.25">
      <c r="A11556" t="str">
        <f>"164270323382"</f>
        <v>164270323382</v>
      </c>
      <c r="B11556" t="s">
        <v>348</v>
      </c>
      <c r="C11556" t="s">
        <v>5728</v>
      </c>
      <c r="D11556" t="s">
        <v>33257</v>
      </c>
      <c r="E11556">
        <v>424006</v>
      </c>
      <c r="F11556" t="s">
        <v>1</v>
      </c>
      <c r="G11556" t="s">
        <v>2</v>
      </c>
      <c r="H11556" t="s">
        <v>1645</v>
      </c>
      <c r="M11556" t="s">
        <v>42481</v>
      </c>
      <c r="P11556" t="s">
        <v>27</v>
      </c>
      <c r="T11556" t="s">
        <v>42482</v>
      </c>
      <c r="Y11556" t="s">
        <v>4478</v>
      </c>
    </row>
    <row r="11557" spans="1:25" x14ac:dyDescent="0.25">
      <c r="A11557" t="str">
        <f>"164291222498"</f>
        <v>164291222498</v>
      </c>
      <c r="B11557" t="s">
        <v>1352</v>
      </c>
      <c r="C11557" t="s">
        <v>20722</v>
      </c>
      <c r="D11557" t="s">
        <v>4725</v>
      </c>
      <c r="E11557">
        <v>424040</v>
      </c>
      <c r="F11557" t="s">
        <v>1</v>
      </c>
      <c r="G11557" t="s">
        <v>2</v>
      </c>
      <c r="H11557" t="s">
        <v>7989</v>
      </c>
      <c r="P11557" t="s">
        <v>1027</v>
      </c>
      <c r="Y11557" t="s">
        <v>42483</v>
      </c>
    </row>
    <row r="11558" spans="1:25" x14ac:dyDescent="0.25">
      <c r="A11558" t="str">
        <f>"164303628856"</f>
        <v>164303628856</v>
      </c>
      <c r="B11558" t="s">
        <v>348</v>
      </c>
      <c r="C11558" t="s">
        <v>5728</v>
      </c>
      <c r="D11558" t="s">
        <v>42484</v>
      </c>
      <c r="E11558">
        <v>424007</v>
      </c>
      <c r="F11558" t="s">
        <v>1</v>
      </c>
      <c r="G11558" t="s">
        <v>2</v>
      </c>
      <c r="H11558" t="s">
        <v>5647</v>
      </c>
      <c r="J11558" t="s">
        <v>42485</v>
      </c>
      <c r="L11558" t="s">
        <v>42486</v>
      </c>
      <c r="P11558" t="s">
        <v>2280</v>
      </c>
      <c r="Q11558" t="s">
        <v>42487</v>
      </c>
      <c r="Y11558" t="s">
        <v>12500</v>
      </c>
    </row>
    <row r="11559" spans="1:25" x14ac:dyDescent="0.25">
      <c r="A11559" t="str">
        <f>"164307513802"</f>
        <v>164307513802</v>
      </c>
      <c r="B11559" t="s">
        <v>574</v>
      </c>
      <c r="C11559" t="s">
        <v>646</v>
      </c>
      <c r="D11559" t="s">
        <v>32463</v>
      </c>
      <c r="E11559">
        <v>424028</v>
      </c>
      <c r="F11559" t="s">
        <v>1</v>
      </c>
      <c r="G11559" t="s">
        <v>2</v>
      </c>
      <c r="H11559" t="s">
        <v>3359</v>
      </c>
      <c r="Y11559" t="s">
        <v>15441</v>
      </c>
    </row>
    <row r="11560" spans="1:25" x14ac:dyDescent="0.25">
      <c r="A11560" t="str">
        <f>"164329552476"</f>
        <v>164329552476</v>
      </c>
      <c r="B11560" t="s">
        <v>96</v>
      </c>
      <c r="C11560" t="s">
        <v>695</v>
      </c>
      <c r="D11560" t="s">
        <v>22550</v>
      </c>
      <c r="E11560">
        <v>424005</v>
      </c>
      <c r="F11560" t="s">
        <v>1</v>
      </c>
      <c r="G11560" t="s">
        <v>2</v>
      </c>
      <c r="H11560" t="s">
        <v>1298</v>
      </c>
      <c r="I11560" t="s">
        <v>42488</v>
      </c>
      <c r="J11560" t="s">
        <v>26188</v>
      </c>
      <c r="P11560" t="s">
        <v>2079</v>
      </c>
      <c r="Y11560" t="s">
        <v>1301</v>
      </c>
    </row>
    <row r="11561" spans="1:25" x14ac:dyDescent="0.25">
      <c r="A11561" t="str">
        <f>"164350714692"</f>
        <v>164350714692</v>
      </c>
      <c r="B11561" t="s">
        <v>319</v>
      </c>
      <c r="C11561" t="s">
        <v>320</v>
      </c>
      <c r="D11561" t="s">
        <v>27399</v>
      </c>
      <c r="E11561">
        <v>424002</v>
      </c>
      <c r="F11561" t="s">
        <v>1</v>
      </c>
      <c r="G11561" t="s">
        <v>2</v>
      </c>
      <c r="H11561" t="s">
        <v>6344</v>
      </c>
      <c r="I11561" t="s">
        <v>24130</v>
      </c>
      <c r="M11561" t="s">
        <v>42489</v>
      </c>
      <c r="P11561" t="s">
        <v>2457</v>
      </c>
      <c r="Y11561" t="s">
        <v>42490</v>
      </c>
    </row>
    <row r="11562" spans="1:25" x14ac:dyDescent="0.25">
      <c r="A11562" t="str">
        <f>"164403849620"</f>
        <v>164403849620</v>
      </c>
      <c r="B11562" t="s">
        <v>88</v>
      </c>
      <c r="C11562" t="s">
        <v>42495</v>
      </c>
      <c r="D11562" t="s">
        <v>42491</v>
      </c>
      <c r="F11562" t="s">
        <v>1</v>
      </c>
      <c r="G11562" t="s">
        <v>2</v>
      </c>
      <c r="H11562" t="s">
        <v>138</v>
      </c>
      <c r="I11562" t="s">
        <v>42492</v>
      </c>
      <c r="L11562" t="s">
        <v>42493</v>
      </c>
      <c r="M11562" t="s">
        <v>42494</v>
      </c>
      <c r="P11562" t="s">
        <v>144</v>
      </c>
      <c r="Q11562" t="s">
        <v>42496</v>
      </c>
      <c r="T11562" t="s">
        <v>42497</v>
      </c>
      <c r="V11562" t="s">
        <v>42498</v>
      </c>
      <c r="Y11562" t="s">
        <v>146</v>
      </c>
    </row>
    <row r="11563" spans="1:25" x14ac:dyDescent="0.25">
      <c r="A11563" t="str">
        <f>"164423233819"</f>
        <v>164423233819</v>
      </c>
      <c r="B11563" t="s">
        <v>790</v>
      </c>
      <c r="C11563" t="s">
        <v>4583</v>
      </c>
      <c r="D11563" t="s">
        <v>42499</v>
      </c>
      <c r="E11563">
        <v>424039</v>
      </c>
      <c r="F11563" t="s">
        <v>1</v>
      </c>
      <c r="G11563" t="s">
        <v>2</v>
      </c>
      <c r="H11563" t="s">
        <v>42500</v>
      </c>
      <c r="I11563" t="s">
        <v>42501</v>
      </c>
      <c r="J11563" t="s">
        <v>42502</v>
      </c>
      <c r="L11563" t="s">
        <v>42503</v>
      </c>
      <c r="P11563" t="s">
        <v>12317</v>
      </c>
      <c r="Y11563" t="s">
        <v>42504</v>
      </c>
    </row>
    <row r="11564" spans="1:25" x14ac:dyDescent="0.25">
      <c r="A11564" t="str">
        <f>"164438855549"</f>
        <v>164438855549</v>
      </c>
      <c r="B11564" t="s">
        <v>1053</v>
      </c>
      <c r="C11564" t="s">
        <v>1927</v>
      </c>
      <c r="D11564" t="s">
        <v>42505</v>
      </c>
      <c r="F11564" t="s">
        <v>1</v>
      </c>
      <c r="G11564" t="s">
        <v>2</v>
      </c>
      <c r="H11564" t="s">
        <v>3984</v>
      </c>
      <c r="J11564" t="s">
        <v>23220</v>
      </c>
      <c r="P11564" t="s">
        <v>2280</v>
      </c>
      <c r="Y11564" t="s">
        <v>4409</v>
      </c>
    </row>
    <row r="11565" spans="1:25" x14ac:dyDescent="0.25">
      <c r="A11565" t="str">
        <f>"164443528254"</f>
        <v>164443528254</v>
      </c>
      <c r="B11565" t="s">
        <v>930</v>
      </c>
      <c r="C11565" t="s">
        <v>13865</v>
      </c>
      <c r="D11565" t="s">
        <v>42506</v>
      </c>
      <c r="E11565">
        <v>424007</v>
      </c>
      <c r="F11565" t="s">
        <v>1</v>
      </c>
      <c r="G11565" t="s">
        <v>2</v>
      </c>
      <c r="H11565" t="s">
        <v>33258</v>
      </c>
      <c r="J11565" t="s">
        <v>42507</v>
      </c>
      <c r="P11565" t="s">
        <v>42508</v>
      </c>
      <c r="Y11565" t="s">
        <v>33260</v>
      </c>
    </row>
    <row r="11566" spans="1:25" x14ac:dyDescent="0.25">
      <c r="A11566" t="str">
        <f>"164504929713"</f>
        <v>164504929713</v>
      </c>
      <c r="B11566" t="s">
        <v>430</v>
      </c>
      <c r="C11566" t="s">
        <v>42511</v>
      </c>
      <c r="D11566" t="s">
        <v>42509</v>
      </c>
      <c r="E11566">
        <v>424000</v>
      </c>
      <c r="F11566" t="s">
        <v>1</v>
      </c>
      <c r="G11566" t="s">
        <v>2</v>
      </c>
      <c r="H11566" t="s">
        <v>2671</v>
      </c>
      <c r="J11566" t="s">
        <v>42510</v>
      </c>
      <c r="P11566" t="s">
        <v>42512</v>
      </c>
      <c r="Q11566" t="s">
        <v>42513</v>
      </c>
      <c r="V11566" t="s">
        <v>42514</v>
      </c>
      <c r="Y11566" t="s">
        <v>2674</v>
      </c>
    </row>
    <row r="11567" spans="1:25" x14ac:dyDescent="0.25">
      <c r="A11567" t="str">
        <f>"164521949457"</f>
        <v>164521949457</v>
      </c>
      <c r="B11567" t="s">
        <v>1544</v>
      </c>
      <c r="C11567" t="s">
        <v>27433</v>
      </c>
      <c r="D11567" t="s">
        <v>42515</v>
      </c>
      <c r="E11567">
        <v>424038</v>
      </c>
      <c r="F11567" t="s">
        <v>1</v>
      </c>
      <c r="G11567" t="s">
        <v>2</v>
      </c>
      <c r="H11567" t="s">
        <v>34776</v>
      </c>
      <c r="P11567" t="s">
        <v>24553</v>
      </c>
      <c r="Q11567" t="s">
        <v>42516</v>
      </c>
      <c r="V11567" t="s">
        <v>42517</v>
      </c>
      <c r="Y11567" t="s">
        <v>42518</v>
      </c>
    </row>
    <row r="11568" spans="1:25" x14ac:dyDescent="0.25">
      <c r="A11568" t="str">
        <f>"164532118687"</f>
        <v>164532118687</v>
      </c>
      <c r="B11568" t="s">
        <v>1343</v>
      </c>
      <c r="C11568" t="s">
        <v>13544</v>
      </c>
      <c r="D11568" t="s">
        <v>13544</v>
      </c>
      <c r="E11568">
        <v>424003</v>
      </c>
      <c r="F11568" t="s">
        <v>1</v>
      </c>
      <c r="G11568" t="s">
        <v>2</v>
      </c>
      <c r="H11568" t="s">
        <v>720</v>
      </c>
      <c r="Y11568" t="s">
        <v>26503</v>
      </c>
    </row>
    <row r="11569" spans="1:25" x14ac:dyDescent="0.25">
      <c r="A11569" t="str">
        <f>"164556855608"</f>
        <v>164556855608</v>
      </c>
      <c r="B11569" t="s">
        <v>1544</v>
      </c>
      <c r="C11569" t="s">
        <v>15598</v>
      </c>
      <c r="D11569" t="s">
        <v>23165</v>
      </c>
      <c r="F11569" t="s">
        <v>1</v>
      </c>
      <c r="G11569" t="s">
        <v>2</v>
      </c>
      <c r="H11569" t="s">
        <v>757</v>
      </c>
      <c r="P11569" t="s">
        <v>7436</v>
      </c>
      <c r="Y11569" t="s">
        <v>42519</v>
      </c>
    </row>
    <row r="11570" spans="1:25" x14ac:dyDescent="0.25">
      <c r="A11570" t="str">
        <f>"164579188119"</f>
        <v>164579188119</v>
      </c>
      <c r="B11570" t="s">
        <v>123</v>
      </c>
      <c r="C11570" t="s">
        <v>196</v>
      </c>
      <c r="D11570" t="s">
        <v>42520</v>
      </c>
      <c r="E11570">
        <v>424002</v>
      </c>
      <c r="F11570" t="s">
        <v>1</v>
      </c>
      <c r="G11570" t="s">
        <v>2</v>
      </c>
      <c r="H11570" t="s">
        <v>23778</v>
      </c>
      <c r="I11570" t="s">
        <v>35652</v>
      </c>
      <c r="L11570" t="s">
        <v>194</v>
      </c>
      <c r="M11570" t="s">
        <v>195</v>
      </c>
      <c r="P11570" t="s">
        <v>330</v>
      </c>
      <c r="Y11570" t="s">
        <v>42521</v>
      </c>
    </row>
    <row r="11571" spans="1:25" x14ac:dyDescent="0.25">
      <c r="A11571" t="str">
        <f>"164587505668"</f>
        <v>164587505668</v>
      </c>
      <c r="B11571" t="s">
        <v>654</v>
      </c>
      <c r="C11571" t="s">
        <v>14448</v>
      </c>
      <c r="D11571" t="s">
        <v>42522</v>
      </c>
      <c r="E11571">
        <v>424006</v>
      </c>
      <c r="F11571" t="s">
        <v>1</v>
      </c>
      <c r="G11571" t="s">
        <v>2</v>
      </c>
      <c r="H11571" t="s">
        <v>1890</v>
      </c>
      <c r="P11571" t="s">
        <v>312</v>
      </c>
      <c r="Y11571" t="s">
        <v>42523</v>
      </c>
    </row>
    <row r="11572" spans="1:25" x14ac:dyDescent="0.25">
      <c r="A11572" t="str">
        <f>"164596248587"</f>
        <v>164596248587</v>
      </c>
      <c r="B11572" t="s">
        <v>96</v>
      </c>
      <c r="C11572" t="s">
        <v>24441</v>
      </c>
      <c r="D11572" t="s">
        <v>42524</v>
      </c>
      <c r="E11572">
        <v>424000</v>
      </c>
      <c r="F11572" t="s">
        <v>1</v>
      </c>
      <c r="G11572" t="s">
        <v>2</v>
      </c>
      <c r="H11572" t="s">
        <v>10803</v>
      </c>
      <c r="Y11572" t="s">
        <v>10805</v>
      </c>
    </row>
    <row r="11573" spans="1:25" x14ac:dyDescent="0.25">
      <c r="A11573" t="str">
        <f>"164596747838"</f>
        <v>164596747838</v>
      </c>
      <c r="B11573" t="s">
        <v>640</v>
      </c>
      <c r="C11573" t="s">
        <v>663</v>
      </c>
      <c r="D11573" t="s">
        <v>42525</v>
      </c>
      <c r="E11573">
        <v>424003</v>
      </c>
      <c r="F11573" t="s">
        <v>1</v>
      </c>
      <c r="G11573" t="s">
        <v>2</v>
      </c>
      <c r="H11573" t="s">
        <v>1725</v>
      </c>
      <c r="Y11573" t="s">
        <v>42526</v>
      </c>
    </row>
    <row r="11574" spans="1:25" x14ac:dyDescent="0.25">
      <c r="A11574" t="str">
        <f>"164608789361"</f>
        <v>164608789361</v>
      </c>
      <c r="B11574" t="s">
        <v>1053</v>
      </c>
      <c r="C11574" t="s">
        <v>11751</v>
      </c>
      <c r="D11574" t="s">
        <v>18776</v>
      </c>
      <c r="E11574">
        <v>424016</v>
      </c>
      <c r="F11574" t="s">
        <v>1</v>
      </c>
      <c r="G11574" t="s">
        <v>2</v>
      </c>
      <c r="H11574" t="s">
        <v>11267</v>
      </c>
      <c r="I11574" t="s">
        <v>42527</v>
      </c>
      <c r="P11574" t="s">
        <v>20</v>
      </c>
      <c r="Y11574" t="s">
        <v>42528</v>
      </c>
    </row>
    <row r="11575" spans="1:25" x14ac:dyDescent="0.25">
      <c r="A11575" t="str">
        <f>"164633381112"</f>
        <v>164633381112</v>
      </c>
      <c r="B11575" t="s">
        <v>930</v>
      </c>
      <c r="C11575" t="s">
        <v>42532</v>
      </c>
      <c r="D11575" t="s">
        <v>42529</v>
      </c>
      <c r="E11575">
        <v>424007</v>
      </c>
      <c r="F11575" t="s">
        <v>1</v>
      </c>
      <c r="G11575" t="s">
        <v>2</v>
      </c>
      <c r="H11575" t="s">
        <v>42530</v>
      </c>
      <c r="I11575" t="s">
        <v>13415</v>
      </c>
      <c r="M11575" t="s">
        <v>42531</v>
      </c>
      <c r="Y11575" t="s">
        <v>42533</v>
      </c>
    </row>
    <row r="11576" spans="1:25" x14ac:dyDescent="0.25">
      <c r="A11576" t="str">
        <f>"164689353695"</f>
        <v>164689353695</v>
      </c>
      <c r="B11576" t="s">
        <v>96</v>
      </c>
      <c r="C11576" t="s">
        <v>42534</v>
      </c>
      <c r="D11576" t="s">
        <v>40243</v>
      </c>
      <c r="E11576">
        <v>424005</v>
      </c>
      <c r="F11576" t="s">
        <v>1</v>
      </c>
      <c r="G11576" t="s">
        <v>2</v>
      </c>
      <c r="H11576" t="s">
        <v>7480</v>
      </c>
      <c r="Y11576" t="s">
        <v>7482</v>
      </c>
    </row>
    <row r="11577" spans="1:25" x14ac:dyDescent="0.25">
      <c r="A11577" t="str">
        <f>"164700413804"</f>
        <v>164700413804</v>
      </c>
      <c r="B11577" t="s">
        <v>803</v>
      </c>
      <c r="C11577" t="s">
        <v>3088</v>
      </c>
      <c r="D11577" t="s">
        <v>42535</v>
      </c>
      <c r="E11577">
        <v>424007</v>
      </c>
      <c r="F11577" t="s">
        <v>1</v>
      </c>
      <c r="G11577" t="s">
        <v>2</v>
      </c>
      <c r="H11577" t="s">
        <v>7196</v>
      </c>
      <c r="I11577" t="s">
        <v>42536</v>
      </c>
      <c r="J11577" t="s">
        <v>42537</v>
      </c>
      <c r="L11577" t="s">
        <v>42538</v>
      </c>
      <c r="M11577" t="s">
        <v>42539</v>
      </c>
      <c r="P11577" t="s">
        <v>799</v>
      </c>
      <c r="Q11577" t="s">
        <v>42540</v>
      </c>
      <c r="Y11577" t="s">
        <v>42541</v>
      </c>
    </row>
    <row r="11578" spans="1:25" x14ac:dyDescent="0.25">
      <c r="A11578" t="str">
        <f>"164701775716"</f>
        <v>164701775716</v>
      </c>
      <c r="B11578" t="s">
        <v>18</v>
      </c>
      <c r="C11578" t="s">
        <v>143</v>
      </c>
      <c r="D11578" t="s">
        <v>33257</v>
      </c>
      <c r="E11578">
        <v>424007</v>
      </c>
      <c r="F11578" t="s">
        <v>1</v>
      </c>
      <c r="G11578" t="s">
        <v>2</v>
      </c>
      <c r="H11578" t="s">
        <v>26309</v>
      </c>
      <c r="I11578" t="s">
        <v>42542</v>
      </c>
      <c r="P11578" t="s">
        <v>20</v>
      </c>
      <c r="Y11578" t="s">
        <v>42543</v>
      </c>
    </row>
    <row r="11579" spans="1:25" x14ac:dyDescent="0.25">
      <c r="A11579" t="str">
        <f>"164723433029"</f>
        <v>164723433029</v>
      </c>
      <c r="B11579" t="s">
        <v>160</v>
      </c>
      <c r="C11579" t="s">
        <v>2479</v>
      </c>
      <c r="D11579" t="s">
        <v>42544</v>
      </c>
      <c r="F11579" t="s">
        <v>1</v>
      </c>
      <c r="G11579" t="s">
        <v>2</v>
      </c>
      <c r="H11579" t="s">
        <v>29536</v>
      </c>
      <c r="Y11579" t="s">
        <v>42545</v>
      </c>
    </row>
    <row r="11580" spans="1:25" x14ac:dyDescent="0.25">
      <c r="A11580" t="str">
        <f>"164725718232"</f>
        <v>164725718232</v>
      </c>
      <c r="B11580" t="s">
        <v>25</v>
      </c>
      <c r="C11580" t="s">
        <v>13425</v>
      </c>
      <c r="D11580" t="s">
        <v>42546</v>
      </c>
      <c r="E11580">
        <v>424031</v>
      </c>
      <c r="F11580" t="s">
        <v>1</v>
      </c>
      <c r="G11580" t="s">
        <v>2</v>
      </c>
      <c r="H11580" t="s">
        <v>10559</v>
      </c>
      <c r="Y11580" t="s">
        <v>42547</v>
      </c>
    </row>
    <row r="11581" spans="1:25" x14ac:dyDescent="0.25">
      <c r="A11581" t="str">
        <f>"164829590268"</f>
        <v>164829590268</v>
      </c>
      <c r="B11581" t="s">
        <v>1352</v>
      </c>
      <c r="C11581" t="s">
        <v>2093</v>
      </c>
      <c r="D11581" t="s">
        <v>6723</v>
      </c>
      <c r="E11581">
        <v>424031</v>
      </c>
      <c r="F11581" t="s">
        <v>1</v>
      </c>
      <c r="G11581" t="s">
        <v>2</v>
      </c>
      <c r="H11581" t="s">
        <v>239</v>
      </c>
      <c r="I11581" t="s">
        <v>42548</v>
      </c>
      <c r="P11581" t="s">
        <v>42549</v>
      </c>
      <c r="Y11581" t="s">
        <v>246</v>
      </c>
    </row>
    <row r="11582" spans="1:25" x14ac:dyDescent="0.25">
      <c r="A11582" t="str">
        <f>"164834913955"</f>
        <v>164834913955</v>
      </c>
      <c r="B11582" t="s">
        <v>32</v>
      </c>
      <c r="C11582" t="s">
        <v>42554</v>
      </c>
      <c r="D11582" t="s">
        <v>42550</v>
      </c>
      <c r="E11582">
        <v>424003</v>
      </c>
      <c r="F11582" t="s">
        <v>1</v>
      </c>
      <c r="G11582" t="s">
        <v>2</v>
      </c>
      <c r="H11582" t="s">
        <v>7152</v>
      </c>
      <c r="I11582" t="s">
        <v>42551</v>
      </c>
      <c r="J11582" t="s">
        <v>42552</v>
      </c>
      <c r="M11582" t="s">
        <v>42553</v>
      </c>
      <c r="P11582" t="s">
        <v>13820</v>
      </c>
      <c r="Y11582" t="s">
        <v>7157</v>
      </c>
    </row>
    <row r="11583" spans="1:25" x14ac:dyDescent="0.25">
      <c r="A11583" t="str">
        <f>"164838050822"</f>
        <v>164838050822</v>
      </c>
      <c r="B11583" t="s">
        <v>430</v>
      </c>
      <c r="C11583" t="s">
        <v>940</v>
      </c>
      <c r="D11583" t="s">
        <v>42555</v>
      </c>
      <c r="E11583">
        <v>424003</v>
      </c>
      <c r="F11583" t="s">
        <v>1</v>
      </c>
      <c r="G11583" t="s">
        <v>2</v>
      </c>
      <c r="H11583" t="s">
        <v>15497</v>
      </c>
      <c r="Y11583" t="s">
        <v>42556</v>
      </c>
    </row>
    <row r="11584" spans="1:25" x14ac:dyDescent="0.25">
      <c r="A11584" t="str">
        <f>"164885737858"</f>
        <v>164885737858</v>
      </c>
      <c r="B11584" t="s">
        <v>123</v>
      </c>
      <c r="C11584" t="s">
        <v>196</v>
      </c>
      <c r="D11584" t="s">
        <v>42557</v>
      </c>
      <c r="E11584">
        <v>424020</v>
      </c>
      <c r="F11584" t="s">
        <v>1</v>
      </c>
      <c r="G11584" t="s">
        <v>2</v>
      </c>
      <c r="H11584" t="s">
        <v>10825</v>
      </c>
      <c r="J11584" t="s">
        <v>42558</v>
      </c>
      <c r="P11584" t="s">
        <v>42559</v>
      </c>
      <c r="Q11584" t="s">
        <v>42560</v>
      </c>
      <c r="Y11584" t="s">
        <v>26856</v>
      </c>
    </row>
    <row r="11585" spans="1:25" x14ac:dyDescent="0.25">
      <c r="A11585" t="str">
        <f>"164894643234"</f>
        <v>164894643234</v>
      </c>
      <c r="B11585" t="s">
        <v>25</v>
      </c>
      <c r="C11585" t="s">
        <v>4458</v>
      </c>
      <c r="D11585" t="s">
        <v>42561</v>
      </c>
      <c r="E11585">
        <v>424002</v>
      </c>
      <c r="F11585" t="s">
        <v>1</v>
      </c>
      <c r="G11585" t="s">
        <v>2</v>
      </c>
      <c r="H11585" t="s">
        <v>2338</v>
      </c>
      <c r="J11585" t="s">
        <v>42562</v>
      </c>
      <c r="P11585" t="s">
        <v>42563</v>
      </c>
      <c r="Y11585" t="s">
        <v>2954</v>
      </c>
    </row>
    <row r="11586" spans="1:25" x14ac:dyDescent="0.25">
      <c r="A11586" t="str">
        <f>"164895812427"</f>
        <v>164895812427</v>
      </c>
      <c r="B11586" t="s">
        <v>1544</v>
      </c>
      <c r="C11586" t="s">
        <v>15598</v>
      </c>
      <c r="D11586" t="s">
        <v>11206</v>
      </c>
      <c r="E11586">
        <v>424008</v>
      </c>
      <c r="F11586" t="s">
        <v>1</v>
      </c>
      <c r="G11586" t="s">
        <v>2</v>
      </c>
      <c r="H11586" t="s">
        <v>11207</v>
      </c>
      <c r="I11586" t="s">
        <v>11208</v>
      </c>
      <c r="P11586" t="s">
        <v>330</v>
      </c>
      <c r="Y11586" t="s">
        <v>42564</v>
      </c>
    </row>
    <row r="11587" spans="1:25" x14ac:dyDescent="0.25">
      <c r="A11587" t="str">
        <f>"164897788995"</f>
        <v>164897788995</v>
      </c>
      <c r="B11587" t="s">
        <v>803</v>
      </c>
      <c r="C11587" t="s">
        <v>17261</v>
      </c>
      <c r="D11587" t="s">
        <v>17258</v>
      </c>
      <c r="F11587" t="s">
        <v>1</v>
      </c>
      <c r="G11587" t="s">
        <v>2</v>
      </c>
      <c r="H11587" t="s">
        <v>7547</v>
      </c>
      <c r="Y11587" t="s">
        <v>42565</v>
      </c>
    </row>
    <row r="11588" spans="1:25" x14ac:dyDescent="0.25">
      <c r="A11588" t="str">
        <f>"164902750359"</f>
        <v>164902750359</v>
      </c>
      <c r="B11588" t="s">
        <v>7312</v>
      </c>
      <c r="C11588" t="s">
        <v>36256</v>
      </c>
      <c r="D11588" t="s">
        <v>42566</v>
      </c>
      <c r="E11588">
        <v>424000</v>
      </c>
      <c r="F11588" t="s">
        <v>1</v>
      </c>
      <c r="G11588" t="s">
        <v>2</v>
      </c>
      <c r="H11588" t="s">
        <v>3471</v>
      </c>
      <c r="Y11588" t="s">
        <v>37234</v>
      </c>
    </row>
    <row r="11589" spans="1:25" x14ac:dyDescent="0.25">
      <c r="A11589" t="str">
        <f>"164915474755"</f>
        <v>164915474755</v>
      </c>
      <c r="B11589" t="s">
        <v>188</v>
      </c>
      <c r="C11589" t="s">
        <v>8311</v>
      </c>
      <c r="D11589" t="s">
        <v>42567</v>
      </c>
      <c r="E11589">
        <v>424000</v>
      </c>
      <c r="F11589" t="s">
        <v>1</v>
      </c>
      <c r="G11589" t="s">
        <v>2</v>
      </c>
      <c r="H11589" t="s">
        <v>1531</v>
      </c>
      <c r="I11589" t="s">
        <v>42568</v>
      </c>
      <c r="L11589" t="s">
        <v>42569</v>
      </c>
      <c r="Y11589" t="s">
        <v>4373</v>
      </c>
    </row>
    <row r="11590" spans="1:25" x14ac:dyDescent="0.25">
      <c r="A11590" t="str">
        <f>"164940884469"</f>
        <v>164940884469</v>
      </c>
      <c r="B11590" t="s">
        <v>1262</v>
      </c>
      <c r="C11590" t="s">
        <v>1263</v>
      </c>
      <c r="D11590" t="s">
        <v>42570</v>
      </c>
      <c r="F11590" t="s">
        <v>1</v>
      </c>
      <c r="G11590" t="s">
        <v>2</v>
      </c>
      <c r="H11590" t="s">
        <v>42571</v>
      </c>
      <c r="Y11590" t="s">
        <v>42572</v>
      </c>
    </row>
    <row r="11591" spans="1:25" x14ac:dyDescent="0.25">
      <c r="A11591" t="str">
        <f>"164941683162"</f>
        <v>164941683162</v>
      </c>
      <c r="B11591" t="s">
        <v>16429</v>
      </c>
      <c r="C11591" t="s">
        <v>16430</v>
      </c>
      <c r="D11591" t="s">
        <v>42573</v>
      </c>
      <c r="E11591">
        <v>424036</v>
      </c>
      <c r="F11591" t="s">
        <v>1</v>
      </c>
      <c r="G11591" t="s">
        <v>2</v>
      </c>
      <c r="H11591" t="s">
        <v>16512</v>
      </c>
      <c r="J11591" t="s">
        <v>16513</v>
      </c>
      <c r="L11591" t="s">
        <v>42574</v>
      </c>
      <c r="M11591" t="s">
        <v>42575</v>
      </c>
      <c r="P11591" t="s">
        <v>6710</v>
      </c>
      <c r="Y11591" t="s">
        <v>16514</v>
      </c>
    </row>
    <row r="11592" spans="1:25" x14ac:dyDescent="0.25">
      <c r="A11592" t="str">
        <f>"164949476190"</f>
        <v>164949476190</v>
      </c>
      <c r="B11592" t="s">
        <v>430</v>
      </c>
      <c r="C11592" t="s">
        <v>16178</v>
      </c>
      <c r="D11592" t="s">
        <v>42576</v>
      </c>
      <c r="E11592">
        <v>424028</v>
      </c>
      <c r="F11592" t="s">
        <v>1</v>
      </c>
      <c r="G11592" t="s">
        <v>2</v>
      </c>
      <c r="H11592" t="s">
        <v>24503</v>
      </c>
      <c r="J11592" t="s">
        <v>42577</v>
      </c>
      <c r="Y11592" t="s">
        <v>42578</v>
      </c>
    </row>
    <row r="11593" spans="1:25" x14ac:dyDescent="0.25">
      <c r="A11593" t="str">
        <f>"164987999709"</f>
        <v>164987999709</v>
      </c>
      <c r="B11593" t="s">
        <v>290</v>
      </c>
      <c r="C11593" t="s">
        <v>290</v>
      </c>
      <c r="D11593" t="s">
        <v>42579</v>
      </c>
      <c r="E11593">
        <v>424000</v>
      </c>
      <c r="F11593" t="s">
        <v>1</v>
      </c>
      <c r="G11593" t="s">
        <v>2</v>
      </c>
      <c r="H11593" t="s">
        <v>128</v>
      </c>
      <c r="I11593" t="s">
        <v>42580</v>
      </c>
      <c r="P11593" t="s">
        <v>1306</v>
      </c>
      <c r="Y11593" t="s">
        <v>42581</v>
      </c>
    </row>
    <row r="11594" spans="1:25" x14ac:dyDescent="0.25">
      <c r="A11594" t="str">
        <f>"164991022367"</f>
        <v>164991022367</v>
      </c>
      <c r="B11594" t="s">
        <v>1182</v>
      </c>
      <c r="C11594" t="s">
        <v>42586</v>
      </c>
      <c r="D11594" t="s">
        <v>42582</v>
      </c>
      <c r="F11594" t="s">
        <v>1</v>
      </c>
      <c r="G11594" t="s">
        <v>2</v>
      </c>
      <c r="H11594" t="s">
        <v>42583</v>
      </c>
      <c r="I11594" t="s">
        <v>42584</v>
      </c>
      <c r="L11594" t="s">
        <v>2127</v>
      </c>
      <c r="M11594" t="s">
        <v>42585</v>
      </c>
      <c r="P11594" t="s">
        <v>390</v>
      </c>
      <c r="Y11594" t="s">
        <v>42587</v>
      </c>
    </row>
    <row r="11595" spans="1:25" x14ac:dyDescent="0.25">
      <c r="A11595" t="str">
        <f>"165017963740"</f>
        <v>165017963740</v>
      </c>
      <c r="B11595" t="s">
        <v>1222</v>
      </c>
      <c r="C11595" t="s">
        <v>42589</v>
      </c>
      <c r="D11595" t="s">
        <v>42588</v>
      </c>
      <c r="E11595">
        <v>424016</v>
      </c>
      <c r="F11595" t="s">
        <v>1</v>
      </c>
      <c r="G11595" t="s">
        <v>2</v>
      </c>
      <c r="H11595" t="s">
        <v>5561</v>
      </c>
      <c r="Y11595" t="s">
        <v>5567</v>
      </c>
    </row>
    <row r="11596" spans="1:25" x14ac:dyDescent="0.25">
      <c r="A11596" t="str">
        <f>"165039532697"</f>
        <v>165039532697</v>
      </c>
      <c r="B11596" t="s">
        <v>25</v>
      </c>
      <c r="C11596" t="s">
        <v>20320</v>
      </c>
      <c r="D11596" t="s">
        <v>42590</v>
      </c>
      <c r="E11596">
        <v>424016</v>
      </c>
      <c r="F11596" t="s">
        <v>1</v>
      </c>
      <c r="G11596" t="s">
        <v>2</v>
      </c>
      <c r="H11596" t="s">
        <v>34906</v>
      </c>
      <c r="Y11596" t="s">
        <v>42591</v>
      </c>
    </row>
    <row r="11597" spans="1:25" x14ac:dyDescent="0.25">
      <c r="A11597" t="str">
        <f>"165122135803"</f>
        <v>165122135803</v>
      </c>
      <c r="B11597" t="s">
        <v>430</v>
      </c>
      <c r="C11597" t="s">
        <v>16178</v>
      </c>
      <c r="D11597" t="s">
        <v>42592</v>
      </c>
      <c r="F11597" t="s">
        <v>1</v>
      </c>
      <c r="G11597" t="s">
        <v>2</v>
      </c>
      <c r="H11597" t="s">
        <v>3984</v>
      </c>
      <c r="Y11597" t="s">
        <v>42593</v>
      </c>
    </row>
    <row r="11598" spans="1:25" x14ac:dyDescent="0.25">
      <c r="A11598" t="str">
        <f>"165141727519"</f>
        <v>165141727519</v>
      </c>
      <c r="B11598" t="s">
        <v>456</v>
      </c>
      <c r="C11598" t="s">
        <v>42598</v>
      </c>
      <c r="D11598" t="s">
        <v>42594</v>
      </c>
      <c r="F11598" t="s">
        <v>1</v>
      </c>
      <c r="G11598" t="s">
        <v>2</v>
      </c>
      <c r="H11598" t="s">
        <v>3984</v>
      </c>
      <c r="I11598" t="s">
        <v>42595</v>
      </c>
      <c r="L11598" t="s">
        <v>42596</v>
      </c>
      <c r="M11598" t="s">
        <v>42597</v>
      </c>
      <c r="P11598" t="s">
        <v>1160</v>
      </c>
      <c r="Q11598" t="s">
        <v>42599</v>
      </c>
      <c r="Y11598" t="s">
        <v>4409</v>
      </c>
    </row>
    <row r="11599" spans="1:25" x14ac:dyDescent="0.25">
      <c r="A11599" t="str">
        <f>"165157459086"</f>
        <v>165157459086</v>
      </c>
      <c r="B11599" t="s">
        <v>1053</v>
      </c>
      <c r="C11599" t="s">
        <v>27043</v>
      </c>
      <c r="D11599" t="s">
        <v>42600</v>
      </c>
      <c r="E11599">
        <v>424030</v>
      </c>
      <c r="F11599" t="s">
        <v>1</v>
      </c>
      <c r="G11599" t="s">
        <v>2</v>
      </c>
      <c r="H11599" t="s">
        <v>42601</v>
      </c>
      <c r="J11599" t="s">
        <v>42602</v>
      </c>
      <c r="P11599" t="s">
        <v>27</v>
      </c>
      <c r="Y11599" t="s">
        <v>42603</v>
      </c>
    </row>
    <row r="11600" spans="1:25" x14ac:dyDescent="0.25">
      <c r="A11600" t="str">
        <f>"165208352491"</f>
        <v>165208352491</v>
      </c>
      <c r="B11600" t="s">
        <v>703</v>
      </c>
      <c r="C11600" t="s">
        <v>13909</v>
      </c>
      <c r="D11600" t="s">
        <v>42604</v>
      </c>
      <c r="E11600">
        <v>424006</v>
      </c>
      <c r="F11600" t="s">
        <v>1</v>
      </c>
      <c r="G11600" t="s">
        <v>2</v>
      </c>
      <c r="H11600" t="s">
        <v>42605</v>
      </c>
      <c r="J11600" t="s">
        <v>42606</v>
      </c>
      <c r="L11600" t="s">
        <v>42607</v>
      </c>
      <c r="P11600" t="s">
        <v>330</v>
      </c>
      <c r="Q11600" t="s">
        <v>42608</v>
      </c>
      <c r="Y11600" t="s">
        <v>42609</v>
      </c>
    </row>
    <row r="11601" spans="1:25" x14ac:dyDescent="0.25">
      <c r="A11601" t="str">
        <f>"165234577936"</f>
        <v>165234577936</v>
      </c>
      <c r="B11601" t="s">
        <v>930</v>
      </c>
      <c r="C11601" t="s">
        <v>10263</v>
      </c>
      <c r="D11601" t="s">
        <v>10263</v>
      </c>
      <c r="E11601">
        <v>424026</v>
      </c>
      <c r="F11601" t="s">
        <v>1</v>
      </c>
      <c r="G11601" t="s">
        <v>2</v>
      </c>
      <c r="H11601" t="s">
        <v>12899</v>
      </c>
      <c r="Y11601" t="s">
        <v>42610</v>
      </c>
    </row>
    <row r="11602" spans="1:25" x14ac:dyDescent="0.25">
      <c r="A11602" t="str">
        <f>"165247683269"</f>
        <v>165247683269</v>
      </c>
      <c r="B11602" t="s">
        <v>290</v>
      </c>
      <c r="C11602" t="s">
        <v>36996</v>
      </c>
      <c r="D11602" t="s">
        <v>42611</v>
      </c>
      <c r="E11602">
        <v>424000</v>
      </c>
      <c r="F11602" t="s">
        <v>1</v>
      </c>
      <c r="G11602" t="s">
        <v>2</v>
      </c>
      <c r="H11602" t="s">
        <v>42612</v>
      </c>
      <c r="I11602" t="s">
        <v>42613</v>
      </c>
      <c r="J11602" t="s">
        <v>42614</v>
      </c>
      <c r="L11602" t="s">
        <v>42615</v>
      </c>
      <c r="M11602" t="s">
        <v>42616</v>
      </c>
      <c r="P11602" t="s">
        <v>42617</v>
      </c>
      <c r="V11602" t="s">
        <v>42618</v>
      </c>
      <c r="Y11602" t="s">
        <v>42619</v>
      </c>
    </row>
    <row r="11603" spans="1:25" x14ac:dyDescent="0.25">
      <c r="A11603" t="str">
        <f>"165289217103"</f>
        <v>165289217103</v>
      </c>
      <c r="B11603" t="s">
        <v>3094</v>
      </c>
      <c r="C11603" t="s">
        <v>3095</v>
      </c>
      <c r="D11603" t="s">
        <v>42620</v>
      </c>
      <c r="E11603">
        <v>424004</v>
      </c>
      <c r="F11603" t="s">
        <v>1</v>
      </c>
      <c r="G11603" t="s">
        <v>2</v>
      </c>
      <c r="H11603" t="s">
        <v>229</v>
      </c>
      <c r="I11603" t="s">
        <v>12931</v>
      </c>
      <c r="K11603" t="s">
        <v>42621</v>
      </c>
      <c r="P11603" t="s">
        <v>1071</v>
      </c>
      <c r="Y11603" t="s">
        <v>237</v>
      </c>
    </row>
    <row r="11604" spans="1:25" x14ac:dyDescent="0.25">
      <c r="A11604" t="str">
        <f>"165295816159"</f>
        <v>165295816159</v>
      </c>
      <c r="B11604" t="s">
        <v>1152</v>
      </c>
      <c r="C11604" t="s">
        <v>1153</v>
      </c>
      <c r="D11604" t="s">
        <v>10280</v>
      </c>
      <c r="E11604">
        <v>424033</v>
      </c>
      <c r="F11604" t="s">
        <v>1</v>
      </c>
      <c r="G11604" t="s">
        <v>2</v>
      </c>
      <c r="H11604" t="s">
        <v>2597</v>
      </c>
      <c r="I11604" t="s">
        <v>22092</v>
      </c>
      <c r="M11604" t="s">
        <v>10284</v>
      </c>
      <c r="Q11604" t="s">
        <v>10286</v>
      </c>
      <c r="R11604" t="s">
        <v>10287</v>
      </c>
      <c r="S11604" t="s">
        <v>10288</v>
      </c>
      <c r="T11604" t="s">
        <v>10289</v>
      </c>
      <c r="U11604" t="s">
        <v>10290</v>
      </c>
      <c r="V11604" t="s">
        <v>10291</v>
      </c>
      <c r="Y11604" t="s">
        <v>42622</v>
      </c>
    </row>
    <row r="11605" spans="1:25" x14ac:dyDescent="0.25">
      <c r="A11605" t="str">
        <f>"165319942891"</f>
        <v>165319942891</v>
      </c>
      <c r="B11605" t="s">
        <v>1061</v>
      </c>
      <c r="C11605" t="s">
        <v>26953</v>
      </c>
      <c r="D11605" t="s">
        <v>42623</v>
      </c>
      <c r="F11605" t="s">
        <v>1</v>
      </c>
      <c r="G11605" t="s">
        <v>2</v>
      </c>
      <c r="H11605" t="s">
        <v>31690</v>
      </c>
      <c r="Y11605" t="s">
        <v>42624</v>
      </c>
    </row>
    <row r="11606" spans="1:25" x14ac:dyDescent="0.25">
      <c r="A11606" t="str">
        <f>"165327608883"</f>
        <v>165327608883</v>
      </c>
      <c r="B11606" t="s">
        <v>117</v>
      </c>
      <c r="C11606" t="s">
        <v>118</v>
      </c>
      <c r="D11606" t="s">
        <v>42625</v>
      </c>
      <c r="F11606" t="s">
        <v>1</v>
      </c>
      <c r="G11606" t="s">
        <v>2</v>
      </c>
      <c r="H11606" t="s">
        <v>8078</v>
      </c>
      <c r="Y11606" t="s">
        <v>42626</v>
      </c>
    </row>
    <row r="11607" spans="1:25" x14ac:dyDescent="0.25">
      <c r="A11607" t="str">
        <f>"165331895589"</f>
        <v>165331895589</v>
      </c>
      <c r="B11607" t="s">
        <v>530</v>
      </c>
      <c r="C11607" t="s">
        <v>23950</v>
      </c>
      <c r="D11607" t="s">
        <v>23950</v>
      </c>
      <c r="F11607" t="s">
        <v>1</v>
      </c>
      <c r="G11607" t="s">
        <v>2</v>
      </c>
      <c r="H11607" t="s">
        <v>42627</v>
      </c>
      <c r="Y11607" t="s">
        <v>42628</v>
      </c>
    </row>
    <row r="11608" spans="1:25" x14ac:dyDescent="0.25">
      <c r="A11608" t="str">
        <f>"165338016900"</f>
        <v>165338016900</v>
      </c>
      <c r="B11608" t="s">
        <v>96</v>
      </c>
      <c r="C11608" t="s">
        <v>695</v>
      </c>
      <c r="D11608" t="s">
        <v>22550</v>
      </c>
      <c r="E11608">
        <v>424033</v>
      </c>
      <c r="F11608" t="s">
        <v>1</v>
      </c>
      <c r="G11608" t="s">
        <v>2</v>
      </c>
      <c r="H11608" t="s">
        <v>1383</v>
      </c>
      <c r="J11608" t="s">
        <v>42629</v>
      </c>
      <c r="P11608" t="s">
        <v>390</v>
      </c>
      <c r="Y11608" t="s">
        <v>1387</v>
      </c>
    </row>
    <row r="11609" spans="1:25" x14ac:dyDescent="0.25">
      <c r="A11609" t="str">
        <f>"165341612080"</f>
        <v>165341612080</v>
      </c>
      <c r="B11609" t="s">
        <v>7</v>
      </c>
      <c r="C11609" t="s">
        <v>42631</v>
      </c>
      <c r="D11609" t="s">
        <v>28876</v>
      </c>
      <c r="E11609">
        <v>424002</v>
      </c>
      <c r="F11609" t="s">
        <v>1</v>
      </c>
      <c r="G11609" t="s">
        <v>2</v>
      </c>
      <c r="H11609" t="s">
        <v>42630</v>
      </c>
      <c r="Y11609" t="s">
        <v>24301</v>
      </c>
    </row>
    <row r="11610" spans="1:25" x14ac:dyDescent="0.25">
      <c r="A11610" t="str">
        <f>"165414860420"</f>
        <v>165414860420</v>
      </c>
      <c r="B11610" t="s">
        <v>67</v>
      </c>
      <c r="C11610" t="s">
        <v>832</v>
      </c>
      <c r="D11610" t="s">
        <v>42632</v>
      </c>
      <c r="E11610">
        <v>424000</v>
      </c>
      <c r="F11610" t="s">
        <v>1</v>
      </c>
      <c r="G11610" t="s">
        <v>2</v>
      </c>
      <c r="H11610" t="s">
        <v>5615</v>
      </c>
      <c r="Y11610" t="s">
        <v>42633</v>
      </c>
    </row>
    <row r="11611" spans="1:25" x14ac:dyDescent="0.25">
      <c r="A11611" t="str">
        <f>"165485178862"</f>
        <v>165485178862</v>
      </c>
      <c r="B11611" t="s">
        <v>18</v>
      </c>
      <c r="C11611" t="s">
        <v>12289</v>
      </c>
      <c r="D11611" t="s">
        <v>42634</v>
      </c>
      <c r="E11611">
        <v>424008</v>
      </c>
      <c r="F11611" t="s">
        <v>1</v>
      </c>
      <c r="G11611" t="s">
        <v>2</v>
      </c>
      <c r="H11611" t="s">
        <v>1031</v>
      </c>
      <c r="I11611" t="s">
        <v>42635</v>
      </c>
      <c r="P11611" t="s">
        <v>2580</v>
      </c>
      <c r="Y11611" t="s">
        <v>42636</v>
      </c>
    </row>
    <row r="11612" spans="1:25" x14ac:dyDescent="0.25">
      <c r="A11612" t="str">
        <f>"165537417118"</f>
        <v>165537417118</v>
      </c>
      <c r="B11612" t="s">
        <v>430</v>
      </c>
      <c r="C11612" t="s">
        <v>612</v>
      </c>
      <c r="D11612" t="s">
        <v>42637</v>
      </c>
      <c r="E11612">
        <v>424036</v>
      </c>
      <c r="F11612" t="s">
        <v>1</v>
      </c>
      <c r="G11612" t="s">
        <v>2</v>
      </c>
      <c r="H11612" t="s">
        <v>7305</v>
      </c>
      <c r="I11612" t="s">
        <v>42638</v>
      </c>
      <c r="P11612" t="s">
        <v>10632</v>
      </c>
      <c r="Y11612" t="s">
        <v>42639</v>
      </c>
    </row>
    <row r="11613" spans="1:25" x14ac:dyDescent="0.25">
      <c r="A11613" t="str">
        <f>"165538598195"</f>
        <v>165538598195</v>
      </c>
      <c r="B11613" t="s">
        <v>96</v>
      </c>
      <c r="C11613" t="s">
        <v>659</v>
      </c>
      <c r="D11613" t="s">
        <v>42640</v>
      </c>
      <c r="E11613">
        <v>424918</v>
      </c>
      <c r="F11613" t="s">
        <v>1</v>
      </c>
      <c r="G11613" t="s">
        <v>2</v>
      </c>
      <c r="H11613" t="s">
        <v>629</v>
      </c>
      <c r="P11613" t="s">
        <v>630</v>
      </c>
      <c r="Y11613" t="s">
        <v>42641</v>
      </c>
    </row>
    <row r="11614" spans="1:25" x14ac:dyDescent="0.25">
      <c r="A11614" t="str">
        <f>"165554285902"</f>
        <v>165554285902</v>
      </c>
      <c r="B11614" t="s">
        <v>176</v>
      </c>
      <c r="C11614" t="s">
        <v>4741</v>
      </c>
      <c r="D11614" t="s">
        <v>42642</v>
      </c>
      <c r="E11614">
        <v>424000</v>
      </c>
      <c r="F11614" t="s">
        <v>1</v>
      </c>
      <c r="G11614" t="s">
        <v>2</v>
      </c>
      <c r="H11614" t="s">
        <v>211</v>
      </c>
      <c r="I11614" t="s">
        <v>4738</v>
      </c>
      <c r="P11614" t="s">
        <v>330</v>
      </c>
      <c r="Y11614" t="s">
        <v>4742</v>
      </c>
    </row>
    <row r="11615" spans="1:25" x14ac:dyDescent="0.25">
      <c r="A11615" t="str">
        <f>"165570142174"</f>
        <v>165570142174</v>
      </c>
      <c r="B11615" t="s">
        <v>224</v>
      </c>
      <c r="C11615" t="s">
        <v>41077</v>
      </c>
      <c r="D11615" t="s">
        <v>42643</v>
      </c>
      <c r="F11615" t="s">
        <v>1</v>
      </c>
      <c r="G11615" t="s">
        <v>2</v>
      </c>
      <c r="H11615" t="s">
        <v>42644</v>
      </c>
      <c r="I11615" t="s">
        <v>42645</v>
      </c>
      <c r="P11615" t="s">
        <v>27</v>
      </c>
      <c r="Y11615" t="s">
        <v>42646</v>
      </c>
    </row>
    <row r="11616" spans="1:25" x14ac:dyDescent="0.25">
      <c r="A11616" t="str">
        <f>"165597241274"</f>
        <v>165597241274</v>
      </c>
      <c r="B11616" t="s">
        <v>530</v>
      </c>
      <c r="C11616" t="s">
        <v>23950</v>
      </c>
      <c r="D11616" t="s">
        <v>23950</v>
      </c>
      <c r="F11616" t="s">
        <v>1</v>
      </c>
      <c r="G11616" t="s">
        <v>2</v>
      </c>
      <c r="H11616" t="s">
        <v>7547</v>
      </c>
      <c r="Y11616" t="s">
        <v>42647</v>
      </c>
    </row>
    <row r="11617" spans="1:25" x14ac:dyDescent="0.25">
      <c r="A11617" t="str">
        <f>"165606593932"</f>
        <v>165606593932</v>
      </c>
      <c r="B11617" t="s">
        <v>18</v>
      </c>
      <c r="C11617" t="s">
        <v>143</v>
      </c>
      <c r="D11617" t="s">
        <v>42648</v>
      </c>
      <c r="E11617">
        <v>424005</v>
      </c>
      <c r="F11617" t="s">
        <v>1</v>
      </c>
      <c r="G11617" t="s">
        <v>2</v>
      </c>
      <c r="H11617" t="s">
        <v>25885</v>
      </c>
      <c r="Y11617" t="s">
        <v>42649</v>
      </c>
    </row>
    <row r="11618" spans="1:25" x14ac:dyDescent="0.25">
      <c r="A11618" t="str">
        <f>"165651489098"</f>
        <v>165651489098</v>
      </c>
      <c r="B11618" t="s">
        <v>1053</v>
      </c>
      <c r="C11618" t="s">
        <v>42653</v>
      </c>
      <c r="D11618" t="s">
        <v>29123</v>
      </c>
      <c r="E11618">
        <v>424004</v>
      </c>
      <c r="F11618" t="s">
        <v>1</v>
      </c>
      <c r="G11618" t="s">
        <v>2</v>
      </c>
      <c r="H11618" t="s">
        <v>30720</v>
      </c>
      <c r="I11618" t="s">
        <v>42650</v>
      </c>
      <c r="L11618" t="s">
        <v>42651</v>
      </c>
      <c r="M11618" t="s">
        <v>42652</v>
      </c>
      <c r="P11618" t="s">
        <v>9523</v>
      </c>
      <c r="Y11618" t="s">
        <v>42654</v>
      </c>
    </row>
    <row r="11619" spans="1:25" x14ac:dyDescent="0.25">
      <c r="A11619" t="str">
        <f>"165655739824"</f>
        <v>165655739824</v>
      </c>
      <c r="B11619" t="s">
        <v>624</v>
      </c>
      <c r="C11619" t="s">
        <v>42658</v>
      </c>
      <c r="D11619" t="s">
        <v>32710</v>
      </c>
      <c r="E11619">
        <v>424028</v>
      </c>
      <c r="F11619" t="s">
        <v>1</v>
      </c>
      <c r="G11619" t="s">
        <v>2</v>
      </c>
      <c r="H11619" t="s">
        <v>13799</v>
      </c>
      <c r="I11619" t="s">
        <v>42655</v>
      </c>
      <c r="L11619" t="s">
        <v>42656</v>
      </c>
      <c r="M11619" t="s">
        <v>42657</v>
      </c>
      <c r="P11619" t="s">
        <v>27</v>
      </c>
      <c r="Q11619" t="s">
        <v>42659</v>
      </c>
      <c r="T11619" t="s">
        <v>26538</v>
      </c>
      <c r="V11619" t="s">
        <v>42660</v>
      </c>
      <c r="Y11619" t="s">
        <v>42661</v>
      </c>
    </row>
    <row r="11620" spans="1:25" x14ac:dyDescent="0.25">
      <c r="A11620" t="str">
        <f>"165694314987"</f>
        <v>165694314987</v>
      </c>
      <c r="B11620" t="s">
        <v>7312</v>
      </c>
      <c r="C11620" t="s">
        <v>21136</v>
      </c>
      <c r="D11620" t="s">
        <v>42662</v>
      </c>
      <c r="E11620">
        <v>424039</v>
      </c>
      <c r="F11620" t="s">
        <v>1</v>
      </c>
      <c r="G11620" t="s">
        <v>2</v>
      </c>
      <c r="H11620" t="s">
        <v>5827</v>
      </c>
      <c r="Y11620" t="s">
        <v>23921</v>
      </c>
    </row>
    <row r="11621" spans="1:25" x14ac:dyDescent="0.25">
      <c r="A11621" t="str">
        <f>"165697588040"</f>
        <v>165697588040</v>
      </c>
      <c r="B11621" t="s">
        <v>25</v>
      </c>
      <c r="C11621" t="s">
        <v>59</v>
      </c>
      <c r="D11621" t="s">
        <v>28081</v>
      </c>
      <c r="E11621">
        <v>424008</v>
      </c>
      <c r="F11621" t="s">
        <v>1</v>
      </c>
      <c r="G11621" t="s">
        <v>2</v>
      </c>
      <c r="H11621" t="s">
        <v>1012</v>
      </c>
      <c r="J11621" t="s">
        <v>28082</v>
      </c>
      <c r="P11621" t="s">
        <v>4848</v>
      </c>
      <c r="Y11621" t="s">
        <v>1016</v>
      </c>
    </row>
    <row r="11622" spans="1:25" x14ac:dyDescent="0.25">
      <c r="A11622" t="str">
        <f>"165715024322"</f>
        <v>165715024322</v>
      </c>
      <c r="B11622" t="s">
        <v>456</v>
      </c>
      <c r="C11622" t="s">
        <v>1522</v>
      </c>
      <c r="D11622" t="s">
        <v>27951</v>
      </c>
      <c r="E11622">
        <v>424020</v>
      </c>
      <c r="F11622" t="s">
        <v>1</v>
      </c>
      <c r="G11622" t="s">
        <v>2</v>
      </c>
      <c r="H11622" t="s">
        <v>3565</v>
      </c>
      <c r="Y11622" t="s">
        <v>9278</v>
      </c>
    </row>
    <row r="11623" spans="1:25" x14ac:dyDescent="0.25">
      <c r="A11623" t="str">
        <f>"165715917127"</f>
        <v>165715917127</v>
      </c>
      <c r="B11623" t="s">
        <v>25</v>
      </c>
      <c r="C11623" t="s">
        <v>20320</v>
      </c>
      <c r="D11623" t="s">
        <v>42663</v>
      </c>
      <c r="E11623">
        <v>424020</v>
      </c>
      <c r="F11623" t="s">
        <v>1</v>
      </c>
      <c r="G11623" t="s">
        <v>2</v>
      </c>
      <c r="H11623" t="s">
        <v>121</v>
      </c>
      <c r="Y11623" t="s">
        <v>42664</v>
      </c>
    </row>
    <row r="11624" spans="1:25" x14ac:dyDescent="0.25">
      <c r="A11624" t="str">
        <f>"165721053147"</f>
        <v>165721053147</v>
      </c>
      <c r="B11624" t="s">
        <v>530</v>
      </c>
      <c r="C11624" t="s">
        <v>10576</v>
      </c>
      <c r="D11624" t="s">
        <v>42665</v>
      </c>
      <c r="E11624">
        <v>424005</v>
      </c>
      <c r="F11624" t="s">
        <v>1</v>
      </c>
      <c r="G11624" t="s">
        <v>2</v>
      </c>
      <c r="H11624" t="s">
        <v>5843</v>
      </c>
      <c r="J11624" t="s">
        <v>17005</v>
      </c>
      <c r="P11624" t="s">
        <v>390</v>
      </c>
      <c r="Y11624" t="s">
        <v>5844</v>
      </c>
    </row>
    <row r="11625" spans="1:25" x14ac:dyDescent="0.25">
      <c r="A11625" t="str">
        <f>"165738949114"</f>
        <v>165738949114</v>
      </c>
      <c r="B11625" t="s">
        <v>417</v>
      </c>
      <c r="C11625" t="s">
        <v>418</v>
      </c>
      <c r="D11625" t="s">
        <v>5070</v>
      </c>
      <c r="E11625">
        <v>424007</v>
      </c>
      <c r="F11625" t="s">
        <v>1</v>
      </c>
      <c r="G11625" t="s">
        <v>2</v>
      </c>
      <c r="H11625" t="s">
        <v>32041</v>
      </c>
      <c r="I11625" t="s">
        <v>42666</v>
      </c>
      <c r="P11625" t="s">
        <v>381</v>
      </c>
      <c r="Y11625" t="s">
        <v>42667</v>
      </c>
    </row>
    <row r="11626" spans="1:25" x14ac:dyDescent="0.25">
      <c r="A11626" t="str">
        <f>"165739105857"</f>
        <v>165739105857</v>
      </c>
      <c r="B11626" t="s">
        <v>348</v>
      </c>
      <c r="C11626" t="s">
        <v>42671</v>
      </c>
      <c r="D11626" t="s">
        <v>42668</v>
      </c>
      <c r="E11626">
        <v>424032</v>
      </c>
      <c r="F11626" t="s">
        <v>1</v>
      </c>
      <c r="G11626" t="s">
        <v>2</v>
      </c>
      <c r="H11626" t="s">
        <v>42669</v>
      </c>
      <c r="I11626" t="s">
        <v>42670</v>
      </c>
      <c r="P11626" t="s">
        <v>3690</v>
      </c>
      <c r="Y11626" t="s">
        <v>42672</v>
      </c>
    </row>
    <row r="11627" spans="1:25" x14ac:dyDescent="0.25">
      <c r="A11627" t="str">
        <f>"165783720834"</f>
        <v>165783720834</v>
      </c>
      <c r="B11627" t="s">
        <v>716</v>
      </c>
      <c r="C11627" t="s">
        <v>717</v>
      </c>
      <c r="D11627" t="s">
        <v>717</v>
      </c>
      <c r="E11627">
        <v>424007</v>
      </c>
      <c r="F11627" t="s">
        <v>1</v>
      </c>
      <c r="G11627" t="s">
        <v>2</v>
      </c>
      <c r="H11627" t="s">
        <v>9471</v>
      </c>
      <c r="I11627" t="s">
        <v>28114</v>
      </c>
      <c r="Y11627" t="s">
        <v>42673</v>
      </c>
    </row>
    <row r="11628" spans="1:25" x14ac:dyDescent="0.25">
      <c r="A11628" t="str">
        <f>"165804653957"</f>
        <v>165804653957</v>
      </c>
      <c r="B11628" t="s">
        <v>96</v>
      </c>
      <c r="C11628" t="s">
        <v>42679</v>
      </c>
      <c r="D11628" t="s">
        <v>42674</v>
      </c>
      <c r="F11628" t="s">
        <v>1</v>
      </c>
      <c r="G11628" t="s">
        <v>2</v>
      </c>
      <c r="H11628" t="s">
        <v>19499</v>
      </c>
      <c r="I11628" t="s">
        <v>42675</v>
      </c>
      <c r="J11628" t="s">
        <v>42676</v>
      </c>
      <c r="L11628" t="s">
        <v>42677</v>
      </c>
      <c r="M11628" t="s">
        <v>42678</v>
      </c>
      <c r="P11628" t="s">
        <v>14834</v>
      </c>
      <c r="Q11628" t="s">
        <v>42680</v>
      </c>
      <c r="V11628" t="s">
        <v>42681</v>
      </c>
      <c r="Y11628" t="s">
        <v>42682</v>
      </c>
    </row>
    <row r="11629" spans="1:25" x14ac:dyDescent="0.25">
      <c r="A11629" t="str">
        <f>"165874986120"</f>
        <v>165874986120</v>
      </c>
      <c r="B11629" t="s">
        <v>519</v>
      </c>
      <c r="C11629" t="s">
        <v>27917</v>
      </c>
      <c r="D11629" t="s">
        <v>42683</v>
      </c>
      <c r="F11629" t="s">
        <v>1</v>
      </c>
      <c r="G11629" t="s">
        <v>2</v>
      </c>
      <c r="H11629" t="s">
        <v>15435</v>
      </c>
      <c r="I11629" t="s">
        <v>42684</v>
      </c>
      <c r="L11629" t="s">
        <v>581</v>
      </c>
      <c r="M11629" t="s">
        <v>582</v>
      </c>
      <c r="Y11629" t="s">
        <v>27918</v>
      </c>
    </row>
    <row r="11630" spans="1:25" x14ac:dyDescent="0.25">
      <c r="A11630" t="str">
        <f>"165878365495"</f>
        <v>165878365495</v>
      </c>
      <c r="B11630" t="s">
        <v>930</v>
      </c>
      <c r="C11630" t="s">
        <v>42688</v>
      </c>
      <c r="D11630" t="s">
        <v>42685</v>
      </c>
      <c r="F11630" t="s">
        <v>1</v>
      </c>
      <c r="G11630" t="s">
        <v>2</v>
      </c>
      <c r="H11630" t="s">
        <v>12450</v>
      </c>
      <c r="J11630" t="s">
        <v>42686</v>
      </c>
      <c r="L11630" t="s">
        <v>13614</v>
      </c>
      <c r="M11630" t="s">
        <v>42687</v>
      </c>
      <c r="P11630" t="s">
        <v>2050</v>
      </c>
      <c r="Q11630" t="s">
        <v>42689</v>
      </c>
      <c r="Y11630" t="s">
        <v>12460</v>
      </c>
    </row>
    <row r="11631" spans="1:25" x14ac:dyDescent="0.25">
      <c r="A11631" t="str">
        <f>"165886249626"</f>
        <v>165886249626</v>
      </c>
      <c r="B11631" t="s">
        <v>117</v>
      </c>
      <c r="C11631" t="s">
        <v>118</v>
      </c>
      <c r="D11631" t="s">
        <v>42690</v>
      </c>
      <c r="E11631">
        <v>424037</v>
      </c>
      <c r="F11631" t="s">
        <v>1</v>
      </c>
      <c r="G11631" t="s">
        <v>2</v>
      </c>
      <c r="H11631" t="s">
        <v>42691</v>
      </c>
      <c r="Y11631" t="s">
        <v>42692</v>
      </c>
    </row>
    <row r="11632" spans="1:25" x14ac:dyDescent="0.25">
      <c r="A11632" t="str">
        <f>"165920013809"</f>
        <v>165920013809</v>
      </c>
      <c r="B11632" t="s">
        <v>96</v>
      </c>
      <c r="C11632" t="s">
        <v>20353</v>
      </c>
      <c r="D11632" t="s">
        <v>20353</v>
      </c>
      <c r="E11632">
        <v>424033</v>
      </c>
      <c r="F11632" t="s">
        <v>1</v>
      </c>
      <c r="G11632" t="s">
        <v>2</v>
      </c>
      <c r="H11632" t="s">
        <v>10720</v>
      </c>
      <c r="Y11632" t="s">
        <v>42693</v>
      </c>
    </row>
    <row r="11633" spans="1:25" x14ac:dyDescent="0.25">
      <c r="A11633" t="str">
        <f>"165943226195"</f>
        <v>165943226195</v>
      </c>
      <c r="B11633" t="s">
        <v>117</v>
      </c>
      <c r="C11633" t="s">
        <v>873</v>
      </c>
      <c r="D11633" t="s">
        <v>873</v>
      </c>
      <c r="E11633">
        <v>424000</v>
      </c>
      <c r="F11633" t="s">
        <v>1</v>
      </c>
      <c r="G11633" t="s">
        <v>2</v>
      </c>
      <c r="H11633" t="s">
        <v>11438</v>
      </c>
      <c r="Y11633" t="s">
        <v>42694</v>
      </c>
    </row>
    <row r="11634" spans="1:25" x14ac:dyDescent="0.25">
      <c r="A11634" t="str">
        <f>"165954115449"</f>
        <v>165954115449</v>
      </c>
      <c r="B11634" t="s">
        <v>96</v>
      </c>
      <c r="C11634" t="s">
        <v>22202</v>
      </c>
      <c r="D11634" t="s">
        <v>42695</v>
      </c>
      <c r="E11634">
        <v>424002</v>
      </c>
      <c r="F11634" t="s">
        <v>1</v>
      </c>
      <c r="G11634" t="s">
        <v>2</v>
      </c>
      <c r="H11634" t="s">
        <v>12917</v>
      </c>
      <c r="Y11634" t="s">
        <v>12919</v>
      </c>
    </row>
    <row r="11635" spans="1:25" x14ac:dyDescent="0.25">
      <c r="A11635" t="str">
        <f>"166017106992"</f>
        <v>166017106992</v>
      </c>
      <c r="B11635" t="s">
        <v>1617</v>
      </c>
      <c r="C11635" t="s">
        <v>21001</v>
      </c>
      <c r="D11635" t="s">
        <v>20999</v>
      </c>
      <c r="E11635">
        <v>424028</v>
      </c>
      <c r="F11635" t="s">
        <v>1</v>
      </c>
      <c r="G11635" t="s">
        <v>2</v>
      </c>
      <c r="H11635" t="s">
        <v>28383</v>
      </c>
      <c r="Y11635" t="s">
        <v>42696</v>
      </c>
    </row>
    <row r="11636" spans="1:25" x14ac:dyDescent="0.25">
      <c r="A11636" t="str">
        <f>"166022990091"</f>
        <v>166022990091</v>
      </c>
      <c r="B11636" t="s">
        <v>1046</v>
      </c>
      <c r="C11636" t="s">
        <v>3808</v>
      </c>
      <c r="D11636" t="s">
        <v>42697</v>
      </c>
      <c r="E11636">
        <v>424000</v>
      </c>
      <c r="F11636" t="s">
        <v>1</v>
      </c>
      <c r="G11636" t="s">
        <v>2</v>
      </c>
      <c r="H11636" t="s">
        <v>128</v>
      </c>
      <c r="Y11636" t="s">
        <v>42698</v>
      </c>
    </row>
    <row r="11637" spans="1:25" x14ac:dyDescent="0.25">
      <c r="A11637" t="str">
        <f>"166042729658"</f>
        <v>166042729658</v>
      </c>
      <c r="B11637" t="s">
        <v>530</v>
      </c>
      <c r="C11637" t="s">
        <v>23950</v>
      </c>
      <c r="D11637" t="s">
        <v>23950</v>
      </c>
      <c r="E11637">
        <v>424039</v>
      </c>
      <c r="F11637" t="s">
        <v>1</v>
      </c>
      <c r="G11637" t="s">
        <v>2</v>
      </c>
      <c r="H11637" t="s">
        <v>42699</v>
      </c>
      <c r="Y11637" t="s">
        <v>42700</v>
      </c>
    </row>
    <row r="11638" spans="1:25" x14ac:dyDescent="0.25">
      <c r="A11638" t="str">
        <f>"166113473413"</f>
        <v>166113473413</v>
      </c>
      <c r="B11638" t="s">
        <v>1053</v>
      </c>
      <c r="C11638" t="s">
        <v>4372</v>
      </c>
      <c r="D11638" t="s">
        <v>42701</v>
      </c>
      <c r="E11638">
        <v>424007</v>
      </c>
      <c r="F11638" t="s">
        <v>1</v>
      </c>
      <c r="G11638" t="s">
        <v>2</v>
      </c>
      <c r="H11638" t="s">
        <v>3243</v>
      </c>
      <c r="I11638" t="s">
        <v>42702</v>
      </c>
      <c r="J11638" t="s">
        <v>24377</v>
      </c>
      <c r="L11638" t="s">
        <v>42703</v>
      </c>
      <c r="M11638" t="s">
        <v>42704</v>
      </c>
      <c r="P11638" t="s">
        <v>42705</v>
      </c>
      <c r="Y11638" t="s">
        <v>17226</v>
      </c>
    </row>
    <row r="11639" spans="1:25" x14ac:dyDescent="0.25">
      <c r="A11639" t="str">
        <f>"166115245832"</f>
        <v>166115245832</v>
      </c>
      <c r="B11639" t="s">
        <v>160</v>
      </c>
      <c r="C11639" t="s">
        <v>15654</v>
      </c>
      <c r="D11639" t="s">
        <v>7290</v>
      </c>
      <c r="E11639">
        <v>424032</v>
      </c>
      <c r="F11639" t="s">
        <v>1</v>
      </c>
      <c r="G11639" t="s">
        <v>2</v>
      </c>
      <c r="H11639" t="s">
        <v>6220</v>
      </c>
      <c r="I11639" t="s">
        <v>42706</v>
      </c>
      <c r="P11639" t="s">
        <v>280</v>
      </c>
      <c r="Y11639" t="s">
        <v>42707</v>
      </c>
    </row>
    <row r="11640" spans="1:25" x14ac:dyDescent="0.25">
      <c r="A11640" t="str">
        <f>"166128212762"</f>
        <v>166128212762</v>
      </c>
      <c r="B11640" t="s">
        <v>7312</v>
      </c>
      <c r="C11640" t="s">
        <v>19097</v>
      </c>
      <c r="D11640" t="s">
        <v>42708</v>
      </c>
      <c r="E11640">
        <v>424032</v>
      </c>
      <c r="F11640" t="s">
        <v>1</v>
      </c>
      <c r="G11640" t="s">
        <v>2</v>
      </c>
      <c r="H11640" t="s">
        <v>3508</v>
      </c>
      <c r="J11640" t="s">
        <v>42709</v>
      </c>
      <c r="P11640" t="s">
        <v>584</v>
      </c>
      <c r="Y11640" t="s">
        <v>3514</v>
      </c>
    </row>
    <row r="11641" spans="1:25" x14ac:dyDescent="0.25">
      <c r="A11641" t="str">
        <f>"166154241730"</f>
        <v>166154241730</v>
      </c>
      <c r="B11641" t="s">
        <v>290</v>
      </c>
      <c r="C11641" t="s">
        <v>23328</v>
      </c>
      <c r="D11641" t="s">
        <v>35383</v>
      </c>
      <c r="E11641">
        <v>424003</v>
      </c>
      <c r="F11641" t="s">
        <v>1</v>
      </c>
      <c r="G11641" t="s">
        <v>2</v>
      </c>
      <c r="H11641" t="s">
        <v>28200</v>
      </c>
      <c r="P11641" t="s">
        <v>27</v>
      </c>
      <c r="Y11641" t="s">
        <v>28206</v>
      </c>
    </row>
    <row r="11642" spans="1:25" x14ac:dyDescent="0.25">
      <c r="A11642" t="str">
        <f>"166172520013"</f>
        <v>166172520013</v>
      </c>
      <c r="B11642" t="s">
        <v>1046</v>
      </c>
      <c r="C11642" t="s">
        <v>22946</v>
      </c>
      <c r="D11642" t="s">
        <v>22946</v>
      </c>
      <c r="E11642">
        <v>424003</v>
      </c>
      <c r="F11642" t="s">
        <v>1</v>
      </c>
      <c r="G11642" t="s">
        <v>2</v>
      </c>
      <c r="H11642" t="s">
        <v>42710</v>
      </c>
      <c r="Y11642" t="s">
        <v>42711</v>
      </c>
    </row>
    <row r="11643" spans="1:25" x14ac:dyDescent="0.25">
      <c r="A11643" t="str">
        <f>"166183470487"</f>
        <v>166183470487</v>
      </c>
      <c r="B11643" t="s">
        <v>1152</v>
      </c>
      <c r="C11643" t="s">
        <v>1153</v>
      </c>
      <c r="D11643" t="s">
        <v>24071</v>
      </c>
      <c r="E11643">
        <v>424003</v>
      </c>
      <c r="F11643" t="s">
        <v>1</v>
      </c>
      <c r="G11643" t="s">
        <v>2</v>
      </c>
      <c r="H11643" t="s">
        <v>22594</v>
      </c>
      <c r="P11643" t="s">
        <v>1505</v>
      </c>
      <c r="Y11643" t="s">
        <v>42712</v>
      </c>
    </row>
    <row r="11644" spans="1:25" x14ac:dyDescent="0.25">
      <c r="A11644" t="str">
        <f>"166228126770"</f>
        <v>166228126770</v>
      </c>
      <c r="B11644" t="s">
        <v>1053</v>
      </c>
      <c r="C11644" t="s">
        <v>1927</v>
      </c>
      <c r="D11644" t="s">
        <v>42713</v>
      </c>
      <c r="F11644" t="s">
        <v>1</v>
      </c>
      <c r="G11644" t="s">
        <v>2</v>
      </c>
      <c r="H11644" t="s">
        <v>2745</v>
      </c>
      <c r="J11644" t="s">
        <v>42714</v>
      </c>
      <c r="P11644" t="s">
        <v>330</v>
      </c>
      <c r="Y11644" t="s">
        <v>20246</v>
      </c>
    </row>
    <row r="11645" spans="1:25" x14ac:dyDescent="0.25">
      <c r="A11645" t="str">
        <f>"166248733396"</f>
        <v>166248733396</v>
      </c>
      <c r="B11645" t="s">
        <v>2178</v>
      </c>
      <c r="C11645" t="s">
        <v>3223</v>
      </c>
      <c r="D11645" t="s">
        <v>29330</v>
      </c>
      <c r="E11645">
        <v>424002</v>
      </c>
      <c r="F11645" t="s">
        <v>1</v>
      </c>
      <c r="G11645" t="s">
        <v>2</v>
      </c>
      <c r="H11645" t="s">
        <v>2714</v>
      </c>
      <c r="L11645" t="s">
        <v>42715</v>
      </c>
      <c r="Y11645" t="s">
        <v>42716</v>
      </c>
    </row>
    <row r="11646" spans="1:25" x14ac:dyDescent="0.25">
      <c r="A11646" t="str">
        <f>"166305675243"</f>
        <v>166305675243</v>
      </c>
      <c r="B11646" t="s">
        <v>574</v>
      </c>
      <c r="C11646" t="s">
        <v>24405</v>
      </c>
      <c r="D11646" t="s">
        <v>42717</v>
      </c>
      <c r="E11646">
        <v>424003</v>
      </c>
      <c r="F11646" t="s">
        <v>1</v>
      </c>
      <c r="G11646" t="s">
        <v>2</v>
      </c>
      <c r="H11646" t="s">
        <v>4546</v>
      </c>
      <c r="Y11646" t="s">
        <v>5427</v>
      </c>
    </row>
    <row r="11647" spans="1:25" x14ac:dyDescent="0.25">
      <c r="A11647" t="str">
        <f>"166346002297"</f>
        <v>166346002297</v>
      </c>
      <c r="B11647" t="s">
        <v>738</v>
      </c>
      <c r="C11647" t="s">
        <v>739</v>
      </c>
      <c r="D11647" t="s">
        <v>42718</v>
      </c>
      <c r="F11647" t="s">
        <v>1</v>
      </c>
      <c r="G11647" t="s">
        <v>2</v>
      </c>
      <c r="H11647" t="s">
        <v>42719</v>
      </c>
      <c r="I11647" t="s">
        <v>42720</v>
      </c>
      <c r="Y11647" t="s">
        <v>42721</v>
      </c>
    </row>
    <row r="11648" spans="1:25" x14ac:dyDescent="0.25">
      <c r="A11648" t="str">
        <f>"166358360824"</f>
        <v>166358360824</v>
      </c>
      <c r="B11648" t="s">
        <v>1046</v>
      </c>
      <c r="C11648" t="s">
        <v>22946</v>
      </c>
      <c r="D11648" t="s">
        <v>22946</v>
      </c>
      <c r="E11648">
        <v>424002</v>
      </c>
      <c r="F11648" t="s">
        <v>1</v>
      </c>
      <c r="G11648" t="s">
        <v>2</v>
      </c>
      <c r="H11648" t="s">
        <v>11597</v>
      </c>
      <c r="Y11648" t="s">
        <v>42722</v>
      </c>
    </row>
    <row r="11649" spans="1:25" x14ac:dyDescent="0.25">
      <c r="A11649" t="str">
        <f>"166399736053"</f>
        <v>166399736053</v>
      </c>
      <c r="B11649" t="s">
        <v>2062</v>
      </c>
      <c r="C11649" t="s">
        <v>3293</v>
      </c>
      <c r="D11649" t="s">
        <v>42723</v>
      </c>
      <c r="E11649">
        <v>424002</v>
      </c>
      <c r="F11649" t="s">
        <v>1</v>
      </c>
      <c r="G11649" t="s">
        <v>2</v>
      </c>
      <c r="H11649" t="s">
        <v>11351</v>
      </c>
      <c r="I11649" t="s">
        <v>42724</v>
      </c>
      <c r="L11649" t="s">
        <v>42725</v>
      </c>
      <c r="M11649" t="s">
        <v>42726</v>
      </c>
      <c r="P11649" t="s">
        <v>6467</v>
      </c>
      <c r="Q11649" t="s">
        <v>42727</v>
      </c>
      <c r="T11649" t="s">
        <v>42728</v>
      </c>
      <c r="V11649" t="s">
        <v>42729</v>
      </c>
      <c r="Y11649" t="s">
        <v>42730</v>
      </c>
    </row>
    <row r="11650" spans="1:25" x14ac:dyDescent="0.25">
      <c r="A11650" t="str">
        <f>"166431144249"</f>
        <v>166431144249</v>
      </c>
      <c r="B11650" t="s">
        <v>469</v>
      </c>
      <c r="C11650" t="s">
        <v>470</v>
      </c>
      <c r="D11650" t="s">
        <v>42731</v>
      </c>
      <c r="E11650">
        <v>424032</v>
      </c>
      <c r="F11650" t="s">
        <v>1</v>
      </c>
      <c r="G11650" t="s">
        <v>2</v>
      </c>
      <c r="H11650" t="s">
        <v>11716</v>
      </c>
      <c r="Y11650" t="s">
        <v>42732</v>
      </c>
    </row>
    <row r="11651" spans="1:25" x14ac:dyDescent="0.25">
      <c r="A11651" t="str">
        <f>"166435002470"</f>
        <v>166435002470</v>
      </c>
      <c r="B11651" t="s">
        <v>687</v>
      </c>
      <c r="C11651" t="s">
        <v>42735</v>
      </c>
      <c r="D11651" t="s">
        <v>42733</v>
      </c>
      <c r="E11651">
        <v>424003</v>
      </c>
      <c r="F11651" t="s">
        <v>1</v>
      </c>
      <c r="G11651" t="s">
        <v>2</v>
      </c>
      <c r="H11651" t="s">
        <v>5311</v>
      </c>
      <c r="I11651" t="s">
        <v>42734</v>
      </c>
      <c r="P11651" t="s">
        <v>280</v>
      </c>
      <c r="Y11651" t="s">
        <v>10521</v>
      </c>
    </row>
    <row r="11652" spans="1:25" x14ac:dyDescent="0.25">
      <c r="A11652" t="str">
        <f>"166446820060"</f>
        <v>166446820060</v>
      </c>
      <c r="B11652" t="s">
        <v>334</v>
      </c>
      <c r="C11652" t="s">
        <v>42738</v>
      </c>
      <c r="D11652" t="s">
        <v>11826</v>
      </c>
      <c r="E11652">
        <v>424003</v>
      </c>
      <c r="F11652" t="s">
        <v>1</v>
      </c>
      <c r="G11652" t="s">
        <v>2</v>
      </c>
      <c r="H11652" t="s">
        <v>11258</v>
      </c>
      <c r="I11652" t="s">
        <v>42736</v>
      </c>
      <c r="L11652" t="s">
        <v>11828</v>
      </c>
      <c r="M11652" t="s">
        <v>42737</v>
      </c>
      <c r="P11652" t="s">
        <v>42739</v>
      </c>
      <c r="Y11652" t="s">
        <v>42740</v>
      </c>
    </row>
    <row r="11653" spans="1:25" x14ac:dyDescent="0.25">
      <c r="A11653" t="str">
        <f>"166487914024"</f>
        <v>166487914024</v>
      </c>
      <c r="B11653" t="s">
        <v>3008</v>
      </c>
      <c r="C11653" t="s">
        <v>42743</v>
      </c>
      <c r="D11653" t="s">
        <v>33085</v>
      </c>
      <c r="E11653">
        <v>424032</v>
      </c>
      <c r="F11653" t="s">
        <v>1</v>
      </c>
      <c r="G11653" t="s">
        <v>2</v>
      </c>
      <c r="H11653" t="s">
        <v>4504</v>
      </c>
      <c r="I11653" t="s">
        <v>42741</v>
      </c>
      <c r="L11653" t="s">
        <v>42742</v>
      </c>
      <c r="Q11653" t="s">
        <v>42744</v>
      </c>
      <c r="Y11653" t="s">
        <v>4510</v>
      </c>
    </row>
    <row r="11654" spans="1:25" x14ac:dyDescent="0.25">
      <c r="A11654" t="str">
        <f>"166494944307"</f>
        <v>166494944307</v>
      </c>
      <c r="B11654" t="s">
        <v>25</v>
      </c>
      <c r="C11654" t="s">
        <v>59</v>
      </c>
      <c r="D11654" t="s">
        <v>42745</v>
      </c>
      <c r="E11654">
        <v>424006</v>
      </c>
      <c r="F11654" t="s">
        <v>1</v>
      </c>
      <c r="G11654" t="s">
        <v>2</v>
      </c>
      <c r="H11654" t="s">
        <v>751</v>
      </c>
      <c r="I11654" t="s">
        <v>42746</v>
      </c>
      <c r="P11654" t="s">
        <v>152</v>
      </c>
      <c r="Y11654" t="s">
        <v>755</v>
      </c>
    </row>
    <row r="11655" spans="1:25" x14ac:dyDescent="0.25">
      <c r="A11655" t="str">
        <f>"166494951107"</f>
        <v>166494951107</v>
      </c>
      <c r="B11655" t="s">
        <v>4888</v>
      </c>
      <c r="C11655" t="s">
        <v>4889</v>
      </c>
      <c r="D11655" t="s">
        <v>22695</v>
      </c>
      <c r="F11655" t="s">
        <v>1</v>
      </c>
      <c r="G11655" t="s">
        <v>2</v>
      </c>
      <c r="H11655" t="s">
        <v>15073</v>
      </c>
      <c r="I11655" t="s">
        <v>42747</v>
      </c>
      <c r="L11655" t="s">
        <v>42748</v>
      </c>
      <c r="M11655" t="s">
        <v>42749</v>
      </c>
      <c r="P11655" t="s">
        <v>27</v>
      </c>
      <c r="Q11655" t="s">
        <v>42750</v>
      </c>
      <c r="R11655" t="s">
        <v>42751</v>
      </c>
      <c r="T11655" t="s">
        <v>42752</v>
      </c>
      <c r="U11655" t="s">
        <v>42753</v>
      </c>
      <c r="V11655" t="s">
        <v>42754</v>
      </c>
      <c r="Y11655" t="s">
        <v>42755</v>
      </c>
    </row>
    <row r="11656" spans="1:25" x14ac:dyDescent="0.25">
      <c r="A11656" t="str">
        <f>"166500356958"</f>
        <v>166500356958</v>
      </c>
      <c r="B11656" t="s">
        <v>25</v>
      </c>
      <c r="C11656" t="s">
        <v>13425</v>
      </c>
      <c r="D11656" t="s">
        <v>13425</v>
      </c>
      <c r="E11656">
        <v>424002</v>
      </c>
      <c r="F11656" t="s">
        <v>1</v>
      </c>
      <c r="G11656" t="s">
        <v>2</v>
      </c>
      <c r="H11656" t="s">
        <v>1190</v>
      </c>
      <c r="Y11656" t="s">
        <v>42756</v>
      </c>
    </row>
    <row r="11657" spans="1:25" x14ac:dyDescent="0.25">
      <c r="A11657" t="str">
        <f>"166515612833"</f>
        <v>166515612833</v>
      </c>
      <c r="B11657" t="s">
        <v>2818</v>
      </c>
      <c r="C11657" t="s">
        <v>6466</v>
      </c>
      <c r="D11657" t="s">
        <v>42757</v>
      </c>
      <c r="E11657">
        <v>424006</v>
      </c>
      <c r="F11657" t="s">
        <v>1</v>
      </c>
      <c r="G11657" t="s">
        <v>2</v>
      </c>
      <c r="H11657" t="s">
        <v>928</v>
      </c>
      <c r="J11657" t="s">
        <v>42758</v>
      </c>
      <c r="L11657" t="s">
        <v>42759</v>
      </c>
      <c r="M11657" t="s">
        <v>42760</v>
      </c>
      <c r="P11657" t="s">
        <v>6400</v>
      </c>
      <c r="Y11657" t="s">
        <v>42761</v>
      </c>
    </row>
    <row r="11658" spans="1:25" x14ac:dyDescent="0.25">
      <c r="A11658" t="str">
        <f>"166532982250"</f>
        <v>166532982250</v>
      </c>
      <c r="B11658" t="s">
        <v>379</v>
      </c>
      <c r="C11658" t="s">
        <v>766</v>
      </c>
      <c r="D11658" t="s">
        <v>42762</v>
      </c>
      <c r="E11658">
        <v>424033</v>
      </c>
      <c r="F11658" t="s">
        <v>1</v>
      </c>
      <c r="G11658" t="s">
        <v>2</v>
      </c>
      <c r="H11658" t="s">
        <v>1383</v>
      </c>
      <c r="Y11658" t="s">
        <v>1387</v>
      </c>
    </row>
    <row r="11659" spans="1:25" x14ac:dyDescent="0.25">
      <c r="A11659" t="str">
        <f>"166539176889"</f>
        <v>166539176889</v>
      </c>
      <c r="B11659" t="s">
        <v>930</v>
      </c>
      <c r="C11659" t="s">
        <v>28791</v>
      </c>
      <c r="D11659" t="s">
        <v>42763</v>
      </c>
      <c r="E11659">
        <v>424007</v>
      </c>
      <c r="F11659" t="s">
        <v>1</v>
      </c>
      <c r="G11659" t="s">
        <v>2</v>
      </c>
      <c r="H11659" t="s">
        <v>23896</v>
      </c>
      <c r="J11659" t="s">
        <v>42764</v>
      </c>
      <c r="L11659" t="s">
        <v>42765</v>
      </c>
      <c r="M11659" t="s">
        <v>42766</v>
      </c>
      <c r="P11659" t="s">
        <v>280</v>
      </c>
      <c r="V11659" t="s">
        <v>42767</v>
      </c>
      <c r="Y11659" t="s">
        <v>23992</v>
      </c>
    </row>
    <row r="11660" spans="1:25" x14ac:dyDescent="0.25">
      <c r="A11660" t="str">
        <f>"166543711120"</f>
        <v>166543711120</v>
      </c>
      <c r="B11660" t="s">
        <v>32</v>
      </c>
      <c r="C11660" t="s">
        <v>20137</v>
      </c>
      <c r="D11660" t="s">
        <v>22117</v>
      </c>
      <c r="E11660">
        <v>424038</v>
      </c>
      <c r="F11660" t="s">
        <v>1</v>
      </c>
      <c r="G11660" t="s">
        <v>2</v>
      </c>
      <c r="H11660" t="s">
        <v>7597</v>
      </c>
      <c r="I11660" t="s">
        <v>42768</v>
      </c>
      <c r="M11660" t="s">
        <v>22120</v>
      </c>
      <c r="P11660" t="s">
        <v>1642</v>
      </c>
      <c r="Y11660" t="s">
        <v>42769</v>
      </c>
    </row>
    <row r="11661" spans="1:25" x14ac:dyDescent="0.25">
      <c r="A11661" t="str">
        <f>"166566700433"</f>
        <v>166566700433</v>
      </c>
      <c r="B11661" t="s">
        <v>319</v>
      </c>
      <c r="C11661" t="s">
        <v>320</v>
      </c>
      <c r="D11661" t="s">
        <v>2556</v>
      </c>
      <c r="E11661">
        <v>424038</v>
      </c>
      <c r="F11661" t="s">
        <v>1</v>
      </c>
      <c r="G11661" t="s">
        <v>2</v>
      </c>
      <c r="H11661" t="s">
        <v>16024</v>
      </c>
      <c r="I11661" t="s">
        <v>42770</v>
      </c>
      <c r="L11661" t="s">
        <v>2559</v>
      </c>
      <c r="M11661" t="s">
        <v>17901</v>
      </c>
      <c r="P11661" t="s">
        <v>2561</v>
      </c>
      <c r="Y11661" t="s">
        <v>42771</v>
      </c>
    </row>
    <row r="11662" spans="1:25" x14ac:dyDescent="0.25">
      <c r="A11662" t="str">
        <f>"166567376772"</f>
        <v>166567376772</v>
      </c>
      <c r="B11662" t="s">
        <v>25</v>
      </c>
      <c r="C11662" t="s">
        <v>59</v>
      </c>
      <c r="D11662" t="s">
        <v>34214</v>
      </c>
      <c r="E11662">
        <v>424019</v>
      </c>
      <c r="F11662" t="s">
        <v>1</v>
      </c>
      <c r="G11662" t="s">
        <v>2</v>
      </c>
      <c r="H11662" t="s">
        <v>27536</v>
      </c>
      <c r="Y11662" t="s">
        <v>42772</v>
      </c>
    </row>
    <row r="11663" spans="1:25" x14ac:dyDescent="0.25">
      <c r="A11663" t="str">
        <f>"166603944031"</f>
        <v>166603944031</v>
      </c>
      <c r="B11663" t="s">
        <v>3008</v>
      </c>
      <c r="C11663" t="s">
        <v>42774</v>
      </c>
      <c r="D11663" t="s">
        <v>42773</v>
      </c>
      <c r="E11663">
        <v>424007</v>
      </c>
      <c r="F11663" t="s">
        <v>1</v>
      </c>
      <c r="G11663" t="s">
        <v>2</v>
      </c>
      <c r="H11663" t="s">
        <v>3243</v>
      </c>
      <c r="Y11663" t="s">
        <v>3249</v>
      </c>
    </row>
    <row r="11664" spans="1:25" x14ac:dyDescent="0.25">
      <c r="A11664" t="str">
        <f>"166635639802"</f>
        <v>166635639802</v>
      </c>
      <c r="B11664" t="s">
        <v>1182</v>
      </c>
      <c r="C11664" t="s">
        <v>29478</v>
      </c>
      <c r="D11664" t="s">
        <v>42775</v>
      </c>
      <c r="E11664">
        <v>424005</v>
      </c>
      <c r="F11664" t="s">
        <v>1</v>
      </c>
      <c r="G11664" t="s">
        <v>2</v>
      </c>
      <c r="H11664" t="s">
        <v>1310</v>
      </c>
      <c r="J11664" t="s">
        <v>13233</v>
      </c>
      <c r="P11664" t="s">
        <v>152</v>
      </c>
      <c r="Y11664" t="s">
        <v>3926</v>
      </c>
    </row>
    <row r="11665" spans="1:25" x14ac:dyDescent="0.25">
      <c r="A11665" t="str">
        <f>"166639305027"</f>
        <v>166639305027</v>
      </c>
      <c r="B11665" t="s">
        <v>519</v>
      </c>
      <c r="C11665" t="s">
        <v>583</v>
      </c>
      <c r="D11665" t="s">
        <v>42776</v>
      </c>
      <c r="E11665">
        <v>424031</v>
      </c>
      <c r="F11665" t="s">
        <v>1</v>
      </c>
      <c r="G11665" t="s">
        <v>2</v>
      </c>
      <c r="H11665" t="s">
        <v>5151</v>
      </c>
      <c r="I11665" t="s">
        <v>42777</v>
      </c>
      <c r="Y11665" t="s">
        <v>10009</v>
      </c>
    </row>
    <row r="11666" spans="1:25" x14ac:dyDescent="0.25">
      <c r="A11666" t="str">
        <f>"166668026162"</f>
        <v>166668026162</v>
      </c>
      <c r="B11666" t="s">
        <v>2790</v>
      </c>
      <c r="C11666" t="s">
        <v>3528</v>
      </c>
      <c r="D11666" t="s">
        <v>4943</v>
      </c>
      <c r="E11666">
        <v>424000</v>
      </c>
      <c r="F11666" t="s">
        <v>1</v>
      </c>
      <c r="G11666" t="s">
        <v>2</v>
      </c>
      <c r="H11666" t="s">
        <v>4648</v>
      </c>
      <c r="I11666" t="s">
        <v>42778</v>
      </c>
      <c r="L11666" t="s">
        <v>4071</v>
      </c>
      <c r="M11666" t="s">
        <v>42779</v>
      </c>
      <c r="P11666" t="s">
        <v>42780</v>
      </c>
      <c r="Y11666" t="s">
        <v>4649</v>
      </c>
    </row>
    <row r="11667" spans="1:25" x14ac:dyDescent="0.25">
      <c r="A11667" t="str">
        <f>"166707685463"</f>
        <v>166707685463</v>
      </c>
      <c r="B11667" t="s">
        <v>319</v>
      </c>
      <c r="C11667" t="s">
        <v>320</v>
      </c>
      <c r="D11667" t="s">
        <v>2556</v>
      </c>
      <c r="E11667">
        <v>424038</v>
      </c>
      <c r="F11667" t="s">
        <v>1</v>
      </c>
      <c r="G11667" t="s">
        <v>2</v>
      </c>
      <c r="H11667" t="s">
        <v>16024</v>
      </c>
      <c r="I11667" t="s">
        <v>42770</v>
      </c>
      <c r="L11667" t="s">
        <v>2559</v>
      </c>
      <c r="M11667" t="s">
        <v>17901</v>
      </c>
      <c r="P11667" t="s">
        <v>2561</v>
      </c>
      <c r="Y11667" t="s">
        <v>42781</v>
      </c>
    </row>
    <row r="11668" spans="1:25" x14ac:dyDescent="0.25">
      <c r="A11668" t="str">
        <f>"166776464052"</f>
        <v>166776464052</v>
      </c>
      <c r="B11668" t="s">
        <v>1544</v>
      </c>
      <c r="C11668" t="s">
        <v>15598</v>
      </c>
      <c r="D11668" t="s">
        <v>23165</v>
      </c>
      <c r="E11668">
        <v>424032</v>
      </c>
      <c r="F11668" t="s">
        <v>1</v>
      </c>
      <c r="G11668" t="s">
        <v>2</v>
      </c>
      <c r="H11668" t="s">
        <v>24307</v>
      </c>
      <c r="Y11668" t="s">
        <v>42782</v>
      </c>
    </row>
    <row r="11669" spans="1:25" x14ac:dyDescent="0.25">
      <c r="A11669" t="str">
        <f>"166800656101"</f>
        <v>166800656101</v>
      </c>
      <c r="B11669" t="s">
        <v>96</v>
      </c>
      <c r="C11669" t="s">
        <v>12115</v>
      </c>
      <c r="D11669" t="s">
        <v>12115</v>
      </c>
      <c r="E11669">
        <v>424036</v>
      </c>
      <c r="F11669" t="s">
        <v>1</v>
      </c>
      <c r="G11669" t="s">
        <v>2</v>
      </c>
      <c r="H11669" t="s">
        <v>12575</v>
      </c>
      <c r="J11669" t="s">
        <v>12117</v>
      </c>
      <c r="P11669" t="s">
        <v>4671</v>
      </c>
      <c r="Y11669" t="s">
        <v>42783</v>
      </c>
    </row>
    <row r="11670" spans="1:25" x14ac:dyDescent="0.25">
      <c r="A11670" t="str">
        <f>"166835672716"</f>
        <v>166835672716</v>
      </c>
      <c r="B11670" t="s">
        <v>1053</v>
      </c>
      <c r="C11670" t="s">
        <v>42787</v>
      </c>
      <c r="D11670" t="s">
        <v>42784</v>
      </c>
      <c r="E11670">
        <v>424038</v>
      </c>
      <c r="F11670" t="s">
        <v>1</v>
      </c>
      <c r="G11670" t="s">
        <v>2</v>
      </c>
      <c r="H11670" t="s">
        <v>24788</v>
      </c>
      <c r="I11670" t="s">
        <v>42785</v>
      </c>
      <c r="J11670" t="s">
        <v>42786</v>
      </c>
      <c r="P11670" t="s">
        <v>10486</v>
      </c>
      <c r="Q11670" t="s">
        <v>42788</v>
      </c>
      <c r="V11670" t="s">
        <v>42789</v>
      </c>
      <c r="Y11670" t="s">
        <v>42790</v>
      </c>
    </row>
    <row r="11671" spans="1:25" x14ac:dyDescent="0.25">
      <c r="A11671" t="str">
        <f>"166843491132"</f>
        <v>166843491132</v>
      </c>
      <c r="B11671" t="s">
        <v>12407</v>
      </c>
      <c r="C11671" t="s">
        <v>14577</v>
      </c>
      <c r="D11671" t="s">
        <v>42791</v>
      </c>
      <c r="E11671">
        <v>424004</v>
      </c>
      <c r="F11671" t="s">
        <v>1</v>
      </c>
      <c r="G11671" t="s">
        <v>2</v>
      </c>
      <c r="H11671" t="s">
        <v>186</v>
      </c>
      <c r="J11671" t="s">
        <v>42792</v>
      </c>
      <c r="P11671" t="s">
        <v>280</v>
      </c>
      <c r="Y11671" t="s">
        <v>190</v>
      </c>
    </row>
    <row r="11672" spans="1:25" x14ac:dyDescent="0.25">
      <c r="A11672" t="str">
        <f>"166893867093"</f>
        <v>166893867093</v>
      </c>
      <c r="B11672" t="s">
        <v>18</v>
      </c>
      <c r="C11672" t="s">
        <v>1419</v>
      </c>
      <c r="D11672" t="s">
        <v>42793</v>
      </c>
      <c r="E11672">
        <v>424002</v>
      </c>
      <c r="F11672" t="s">
        <v>1</v>
      </c>
      <c r="G11672" t="s">
        <v>2</v>
      </c>
      <c r="H11672" t="s">
        <v>6319</v>
      </c>
      <c r="Y11672" t="s">
        <v>42794</v>
      </c>
    </row>
    <row r="11673" spans="1:25" x14ac:dyDescent="0.25">
      <c r="A11673" t="str">
        <f>"166982253264"</f>
        <v>166982253264</v>
      </c>
      <c r="B11673" t="s">
        <v>110</v>
      </c>
      <c r="C11673" t="s">
        <v>5755</v>
      </c>
      <c r="D11673" t="s">
        <v>42795</v>
      </c>
      <c r="E11673">
        <v>424038</v>
      </c>
      <c r="F11673" t="s">
        <v>1</v>
      </c>
      <c r="G11673" t="s">
        <v>2</v>
      </c>
      <c r="H11673" t="s">
        <v>21388</v>
      </c>
      <c r="I11673" t="s">
        <v>42796</v>
      </c>
      <c r="J11673" t="s">
        <v>42797</v>
      </c>
      <c r="L11673" t="s">
        <v>42798</v>
      </c>
      <c r="M11673" t="s">
        <v>42799</v>
      </c>
      <c r="P11673" t="s">
        <v>2438</v>
      </c>
      <c r="Y11673" t="s">
        <v>24293</v>
      </c>
    </row>
    <row r="11674" spans="1:25" x14ac:dyDescent="0.25">
      <c r="A11674" t="str">
        <f>"166992254337"</f>
        <v>166992254337</v>
      </c>
      <c r="B11674" t="s">
        <v>574</v>
      </c>
      <c r="C11674" t="s">
        <v>646</v>
      </c>
      <c r="D11674" t="s">
        <v>4221</v>
      </c>
      <c r="E11674">
        <v>424033</v>
      </c>
      <c r="F11674" t="s">
        <v>1</v>
      </c>
      <c r="G11674" t="s">
        <v>2</v>
      </c>
      <c r="H11674" t="s">
        <v>2597</v>
      </c>
      <c r="Y11674" t="s">
        <v>42800</v>
      </c>
    </row>
    <row r="11675" spans="1:25" x14ac:dyDescent="0.25">
      <c r="A11675" t="str">
        <f>"166993417375"</f>
        <v>166993417375</v>
      </c>
      <c r="B11675" t="s">
        <v>25</v>
      </c>
      <c r="C11675" t="s">
        <v>20320</v>
      </c>
      <c r="D11675" t="s">
        <v>42801</v>
      </c>
      <c r="E11675">
        <v>424033</v>
      </c>
      <c r="F11675" t="s">
        <v>1</v>
      </c>
      <c r="G11675" t="s">
        <v>2</v>
      </c>
      <c r="H11675" t="s">
        <v>42802</v>
      </c>
      <c r="Y11675" t="s">
        <v>42803</v>
      </c>
    </row>
    <row r="11676" spans="1:25" x14ac:dyDescent="0.25">
      <c r="A11676" t="str">
        <f>"166993621836"</f>
        <v>166993621836</v>
      </c>
      <c r="B11676" t="s">
        <v>574</v>
      </c>
      <c r="C11676" t="s">
        <v>10644</v>
      </c>
      <c r="D11676" t="s">
        <v>3388</v>
      </c>
      <c r="E11676">
        <v>424031</v>
      </c>
      <c r="F11676" t="s">
        <v>1</v>
      </c>
      <c r="G11676" t="s">
        <v>2</v>
      </c>
      <c r="H11676" t="s">
        <v>16588</v>
      </c>
      <c r="I11676" t="s">
        <v>42804</v>
      </c>
      <c r="P11676" t="s">
        <v>9840</v>
      </c>
      <c r="Y11676" t="s">
        <v>42805</v>
      </c>
    </row>
    <row r="11677" spans="1:25" x14ac:dyDescent="0.25">
      <c r="A11677" t="str">
        <f>"166993764365"</f>
        <v>166993764365</v>
      </c>
      <c r="B11677" t="s">
        <v>1152</v>
      </c>
      <c r="C11677" t="s">
        <v>4063</v>
      </c>
      <c r="D11677" t="s">
        <v>42806</v>
      </c>
      <c r="E11677">
        <v>424000</v>
      </c>
      <c r="F11677" t="s">
        <v>1</v>
      </c>
      <c r="G11677" t="s">
        <v>2</v>
      </c>
      <c r="H11677" t="s">
        <v>28208</v>
      </c>
      <c r="I11677" t="s">
        <v>17268</v>
      </c>
      <c r="P11677" t="s">
        <v>17269</v>
      </c>
      <c r="Q11677" t="s">
        <v>42807</v>
      </c>
      <c r="Y11677" t="s">
        <v>42808</v>
      </c>
    </row>
    <row r="11678" spans="1:25" x14ac:dyDescent="0.25">
      <c r="A11678" t="str">
        <f>"167009373664"</f>
        <v>167009373664</v>
      </c>
      <c r="B11678" t="s">
        <v>18</v>
      </c>
      <c r="C11678" t="s">
        <v>1419</v>
      </c>
      <c r="D11678" t="s">
        <v>42809</v>
      </c>
      <c r="E11678">
        <v>424036</v>
      </c>
      <c r="F11678" t="s">
        <v>1</v>
      </c>
      <c r="G11678" t="s">
        <v>2</v>
      </c>
      <c r="H11678" t="s">
        <v>8222</v>
      </c>
      <c r="Y11678" t="s">
        <v>42810</v>
      </c>
    </row>
    <row r="11679" spans="1:25" x14ac:dyDescent="0.25">
      <c r="A11679" t="str">
        <f>"167025821868"</f>
        <v>167025821868</v>
      </c>
      <c r="B11679" t="s">
        <v>530</v>
      </c>
      <c r="C11679" t="s">
        <v>23950</v>
      </c>
      <c r="D11679" t="s">
        <v>23950</v>
      </c>
      <c r="E11679">
        <v>424006</v>
      </c>
      <c r="F11679" t="s">
        <v>1</v>
      </c>
      <c r="G11679" t="s">
        <v>2</v>
      </c>
      <c r="H11679" t="s">
        <v>5846</v>
      </c>
      <c r="Y11679" t="s">
        <v>42811</v>
      </c>
    </row>
    <row r="11680" spans="1:25" x14ac:dyDescent="0.25">
      <c r="A11680" t="str">
        <f>"167070559192"</f>
        <v>167070559192</v>
      </c>
      <c r="B11680" t="s">
        <v>574</v>
      </c>
      <c r="C11680" t="s">
        <v>952</v>
      </c>
      <c r="D11680" t="s">
        <v>3388</v>
      </c>
      <c r="E11680">
        <v>424039</v>
      </c>
      <c r="F11680" t="s">
        <v>1</v>
      </c>
      <c r="G11680" t="s">
        <v>2</v>
      </c>
      <c r="H11680" t="s">
        <v>23651</v>
      </c>
      <c r="Y11680" t="s">
        <v>42812</v>
      </c>
    </row>
    <row r="11681" spans="1:25" x14ac:dyDescent="0.25">
      <c r="A11681" t="str">
        <f>"167074236730"</f>
        <v>167074236730</v>
      </c>
      <c r="B11681" t="s">
        <v>1053</v>
      </c>
      <c r="C11681" t="s">
        <v>42817</v>
      </c>
      <c r="D11681" t="s">
        <v>42813</v>
      </c>
      <c r="E11681">
        <v>424006</v>
      </c>
      <c r="F11681" t="s">
        <v>1</v>
      </c>
      <c r="G11681" t="s">
        <v>2</v>
      </c>
      <c r="H11681" t="s">
        <v>28010</v>
      </c>
      <c r="I11681" t="s">
        <v>42814</v>
      </c>
      <c r="J11681" t="s">
        <v>22625</v>
      </c>
      <c r="L11681" t="s">
        <v>42815</v>
      </c>
      <c r="M11681" t="s">
        <v>42816</v>
      </c>
      <c r="P11681" t="s">
        <v>27</v>
      </c>
      <c r="Q11681" t="s">
        <v>42818</v>
      </c>
      <c r="R11681" t="s">
        <v>42819</v>
      </c>
      <c r="Y11681" t="s">
        <v>42820</v>
      </c>
    </row>
    <row r="11682" spans="1:25" x14ac:dyDescent="0.25">
      <c r="A11682" t="str">
        <f>"167080251260"</f>
        <v>167080251260</v>
      </c>
      <c r="B11682" t="s">
        <v>1152</v>
      </c>
      <c r="C11682" t="s">
        <v>8449</v>
      </c>
      <c r="D11682" t="s">
        <v>42821</v>
      </c>
      <c r="E11682">
        <v>424031</v>
      </c>
      <c r="F11682" t="s">
        <v>1</v>
      </c>
      <c r="G11682" t="s">
        <v>2</v>
      </c>
      <c r="H11682" t="s">
        <v>413</v>
      </c>
      <c r="I11682" t="s">
        <v>42822</v>
      </c>
      <c r="J11682" t="s">
        <v>42823</v>
      </c>
      <c r="P11682" t="s">
        <v>10285</v>
      </c>
      <c r="Q11682" t="s">
        <v>42824</v>
      </c>
      <c r="Y11682" t="s">
        <v>1421</v>
      </c>
    </row>
    <row r="11683" spans="1:25" x14ac:dyDescent="0.25">
      <c r="A11683" t="str">
        <f>"167125920917"</f>
        <v>167125920917</v>
      </c>
      <c r="B11683" t="s">
        <v>930</v>
      </c>
      <c r="C11683" t="s">
        <v>11882</v>
      </c>
      <c r="D11683" t="s">
        <v>1094</v>
      </c>
      <c r="E11683">
        <v>424007</v>
      </c>
      <c r="F11683" t="s">
        <v>1</v>
      </c>
      <c r="G11683" t="s">
        <v>2</v>
      </c>
      <c r="H11683" t="s">
        <v>33136</v>
      </c>
      <c r="J11683" t="s">
        <v>42825</v>
      </c>
      <c r="P11683" t="s">
        <v>3938</v>
      </c>
      <c r="Y11683" t="s">
        <v>42826</v>
      </c>
    </row>
    <row r="11684" spans="1:25" x14ac:dyDescent="0.25">
      <c r="A11684" t="str">
        <f>"167133640578"</f>
        <v>167133640578</v>
      </c>
      <c r="B11684" t="s">
        <v>462</v>
      </c>
      <c r="C11684" t="s">
        <v>1140</v>
      </c>
      <c r="D11684" t="s">
        <v>42827</v>
      </c>
      <c r="E11684">
        <v>424006</v>
      </c>
      <c r="F11684" t="s">
        <v>1</v>
      </c>
      <c r="G11684" t="s">
        <v>2</v>
      </c>
      <c r="H11684" t="s">
        <v>1436</v>
      </c>
      <c r="I11684" t="s">
        <v>42828</v>
      </c>
      <c r="L11684" t="s">
        <v>42829</v>
      </c>
      <c r="M11684" t="s">
        <v>42830</v>
      </c>
      <c r="P11684" t="s">
        <v>42831</v>
      </c>
      <c r="Y11684" t="s">
        <v>1443</v>
      </c>
    </row>
    <row r="11685" spans="1:25" x14ac:dyDescent="0.25">
      <c r="A11685" t="str">
        <f>"167161209645"</f>
        <v>167161209645</v>
      </c>
      <c r="B11685" t="s">
        <v>348</v>
      </c>
      <c r="C11685" t="s">
        <v>4366</v>
      </c>
      <c r="D11685" t="s">
        <v>42832</v>
      </c>
      <c r="E11685">
        <v>424036</v>
      </c>
      <c r="F11685" t="s">
        <v>1</v>
      </c>
      <c r="G11685" t="s">
        <v>2</v>
      </c>
      <c r="H11685" t="s">
        <v>2291</v>
      </c>
      <c r="J11685" t="s">
        <v>42833</v>
      </c>
      <c r="P11685" t="s">
        <v>42834</v>
      </c>
      <c r="Y11685" t="s">
        <v>2872</v>
      </c>
    </row>
    <row r="11686" spans="1:25" x14ac:dyDescent="0.25">
      <c r="A11686" t="str">
        <f>"167220860458"</f>
        <v>167220860458</v>
      </c>
      <c r="B11686" t="s">
        <v>469</v>
      </c>
      <c r="C11686" t="s">
        <v>42839</v>
      </c>
      <c r="D11686" t="s">
        <v>42835</v>
      </c>
      <c r="E11686">
        <v>424019</v>
      </c>
      <c r="F11686" t="s">
        <v>1</v>
      </c>
      <c r="G11686" t="s">
        <v>2</v>
      </c>
      <c r="H11686" t="s">
        <v>16472</v>
      </c>
      <c r="I11686" t="s">
        <v>42836</v>
      </c>
      <c r="L11686" t="s">
        <v>42837</v>
      </c>
      <c r="M11686" t="s">
        <v>42838</v>
      </c>
      <c r="P11686" t="s">
        <v>42840</v>
      </c>
      <c r="Q11686" t="s">
        <v>42841</v>
      </c>
      <c r="V11686" t="s">
        <v>42842</v>
      </c>
      <c r="Y11686" t="s">
        <v>42843</v>
      </c>
    </row>
    <row r="11687" spans="1:25" x14ac:dyDescent="0.25">
      <c r="A11687" t="str">
        <f>"167304225119"</f>
        <v>167304225119</v>
      </c>
      <c r="B11687" t="s">
        <v>746</v>
      </c>
      <c r="C11687" t="s">
        <v>29723</v>
      </c>
      <c r="D11687" t="s">
        <v>42844</v>
      </c>
      <c r="E11687">
        <v>424000</v>
      </c>
      <c r="F11687" t="s">
        <v>1</v>
      </c>
      <c r="G11687" t="s">
        <v>2</v>
      </c>
      <c r="H11687" t="s">
        <v>5523</v>
      </c>
      <c r="I11687" t="s">
        <v>42845</v>
      </c>
      <c r="J11687" t="s">
        <v>42846</v>
      </c>
      <c r="P11687" t="s">
        <v>42847</v>
      </c>
      <c r="Y11687" t="s">
        <v>5529</v>
      </c>
    </row>
    <row r="11688" spans="1:25" x14ac:dyDescent="0.25">
      <c r="A11688" t="str">
        <f>"167308862464"</f>
        <v>167308862464</v>
      </c>
      <c r="B11688" t="s">
        <v>2790</v>
      </c>
      <c r="C11688" t="s">
        <v>39782</v>
      </c>
      <c r="D11688" t="s">
        <v>30266</v>
      </c>
      <c r="E11688">
        <v>424000</v>
      </c>
      <c r="F11688" t="s">
        <v>1</v>
      </c>
      <c r="G11688" t="s">
        <v>2</v>
      </c>
      <c r="H11688" t="s">
        <v>2193</v>
      </c>
      <c r="I11688" t="s">
        <v>42848</v>
      </c>
      <c r="L11688" t="s">
        <v>30269</v>
      </c>
      <c r="M11688" t="s">
        <v>42849</v>
      </c>
      <c r="P11688" t="s">
        <v>9</v>
      </c>
      <c r="Y11688" t="s">
        <v>42850</v>
      </c>
    </row>
    <row r="11689" spans="1:25" x14ac:dyDescent="0.25">
      <c r="A11689" t="str">
        <f>"167326737245"</f>
        <v>167326737245</v>
      </c>
      <c r="B11689" t="s">
        <v>1299</v>
      </c>
      <c r="C11689" t="s">
        <v>33894</v>
      </c>
      <c r="D11689" t="s">
        <v>42851</v>
      </c>
      <c r="F11689" t="s">
        <v>1</v>
      </c>
      <c r="G11689" t="s">
        <v>2</v>
      </c>
      <c r="H11689" t="s">
        <v>25588</v>
      </c>
      <c r="Y11689" t="s">
        <v>42852</v>
      </c>
    </row>
    <row r="11690" spans="1:25" x14ac:dyDescent="0.25">
      <c r="A11690" t="str">
        <f>"167338929197"</f>
        <v>167338929197</v>
      </c>
      <c r="B11690" t="s">
        <v>519</v>
      </c>
      <c r="C11690" t="s">
        <v>42855</v>
      </c>
      <c r="D11690" t="s">
        <v>42853</v>
      </c>
      <c r="E11690">
        <v>424007</v>
      </c>
      <c r="F11690" t="s">
        <v>1</v>
      </c>
      <c r="G11690" t="s">
        <v>2</v>
      </c>
      <c r="H11690" t="s">
        <v>819</v>
      </c>
      <c r="J11690" t="s">
        <v>42854</v>
      </c>
      <c r="P11690" t="s">
        <v>1270</v>
      </c>
      <c r="Q11690" t="s">
        <v>42856</v>
      </c>
      <c r="Y11690" t="s">
        <v>38554</v>
      </c>
    </row>
    <row r="11691" spans="1:25" x14ac:dyDescent="0.25">
      <c r="A11691" t="str">
        <f>"167367286623"</f>
        <v>167367286623</v>
      </c>
      <c r="B11691" t="s">
        <v>25</v>
      </c>
      <c r="C11691" t="s">
        <v>20320</v>
      </c>
      <c r="D11691" t="s">
        <v>42857</v>
      </c>
      <c r="E11691">
        <v>424019</v>
      </c>
      <c r="F11691" t="s">
        <v>1</v>
      </c>
      <c r="G11691" t="s">
        <v>2</v>
      </c>
      <c r="H11691" t="s">
        <v>42858</v>
      </c>
      <c r="J11691" t="s">
        <v>27350</v>
      </c>
      <c r="M11691" t="s">
        <v>27351</v>
      </c>
      <c r="P11691" t="s">
        <v>330</v>
      </c>
      <c r="Q11691" t="s">
        <v>28550</v>
      </c>
      <c r="Y11691" t="s">
        <v>42859</v>
      </c>
    </row>
    <row r="11692" spans="1:25" x14ac:dyDescent="0.25">
      <c r="A11692" t="str">
        <f>"167421457307"</f>
        <v>167421457307</v>
      </c>
      <c r="B11692" t="s">
        <v>7312</v>
      </c>
      <c r="C11692" t="s">
        <v>21136</v>
      </c>
      <c r="D11692" t="s">
        <v>42860</v>
      </c>
      <c r="E11692">
        <v>424000</v>
      </c>
      <c r="F11692" t="s">
        <v>1</v>
      </c>
      <c r="G11692" t="s">
        <v>2</v>
      </c>
      <c r="H11692" t="s">
        <v>1531</v>
      </c>
      <c r="J11692" t="s">
        <v>42861</v>
      </c>
      <c r="Y11692" t="s">
        <v>1707</v>
      </c>
    </row>
    <row r="11693" spans="1:25" x14ac:dyDescent="0.25">
      <c r="A11693" t="str">
        <f>"167446042181"</f>
        <v>167446042181</v>
      </c>
      <c r="B11693" t="s">
        <v>151</v>
      </c>
      <c r="C11693" t="s">
        <v>881</v>
      </c>
      <c r="D11693" t="s">
        <v>42862</v>
      </c>
      <c r="E11693">
        <v>424019</v>
      </c>
      <c r="F11693" t="s">
        <v>1</v>
      </c>
      <c r="G11693" t="s">
        <v>2</v>
      </c>
      <c r="H11693" t="s">
        <v>37538</v>
      </c>
      <c r="J11693" t="s">
        <v>42863</v>
      </c>
      <c r="L11693" t="s">
        <v>42864</v>
      </c>
      <c r="M11693" t="s">
        <v>42865</v>
      </c>
      <c r="P11693" t="s">
        <v>280</v>
      </c>
      <c r="Y11693" t="s">
        <v>42866</v>
      </c>
    </row>
    <row r="11694" spans="1:25" x14ac:dyDescent="0.25">
      <c r="A11694" t="str">
        <f>"167470232125"</f>
        <v>167470232125</v>
      </c>
      <c r="B11694" t="s">
        <v>1152</v>
      </c>
      <c r="C11694" t="s">
        <v>1159</v>
      </c>
      <c r="D11694" t="s">
        <v>42867</v>
      </c>
      <c r="E11694">
        <v>424007</v>
      </c>
      <c r="F11694" t="s">
        <v>1</v>
      </c>
      <c r="G11694" t="s">
        <v>2</v>
      </c>
      <c r="H11694" t="s">
        <v>42868</v>
      </c>
      <c r="J11694" t="s">
        <v>42869</v>
      </c>
      <c r="L11694" t="s">
        <v>42870</v>
      </c>
      <c r="M11694" t="s">
        <v>42871</v>
      </c>
      <c r="P11694" t="s">
        <v>330</v>
      </c>
      <c r="Y11694" t="s">
        <v>42872</v>
      </c>
    </row>
    <row r="11695" spans="1:25" x14ac:dyDescent="0.25">
      <c r="A11695" t="str">
        <f>"167501015683"</f>
        <v>167501015683</v>
      </c>
      <c r="B11695" t="s">
        <v>1152</v>
      </c>
      <c r="C11695" t="s">
        <v>1159</v>
      </c>
      <c r="D11695" t="s">
        <v>42873</v>
      </c>
      <c r="E11695">
        <v>424031</v>
      </c>
      <c r="F11695" t="s">
        <v>1</v>
      </c>
      <c r="G11695" t="s">
        <v>2</v>
      </c>
      <c r="H11695" t="s">
        <v>9966</v>
      </c>
      <c r="I11695" t="s">
        <v>42874</v>
      </c>
      <c r="M11695" t="s">
        <v>42875</v>
      </c>
      <c r="P11695" t="s">
        <v>2457</v>
      </c>
      <c r="Y11695" t="s">
        <v>9972</v>
      </c>
    </row>
    <row r="11696" spans="1:25" x14ac:dyDescent="0.25">
      <c r="A11696" t="str">
        <f>"167542350883"</f>
        <v>167542350883</v>
      </c>
      <c r="B11696" t="s">
        <v>233</v>
      </c>
      <c r="C11696" t="s">
        <v>34636</v>
      </c>
      <c r="D11696" t="s">
        <v>42876</v>
      </c>
      <c r="E11696">
        <v>424002</v>
      </c>
      <c r="F11696" t="s">
        <v>1</v>
      </c>
      <c r="G11696" t="s">
        <v>2</v>
      </c>
      <c r="H11696" t="s">
        <v>662</v>
      </c>
      <c r="P11696" t="s">
        <v>642</v>
      </c>
      <c r="Y11696" t="s">
        <v>3342</v>
      </c>
    </row>
    <row r="11697" spans="1:25" x14ac:dyDescent="0.25">
      <c r="A11697" t="str">
        <f>"167551397153"</f>
        <v>167551397153</v>
      </c>
      <c r="B11697" t="s">
        <v>160</v>
      </c>
      <c r="C11697" t="s">
        <v>2327</v>
      </c>
      <c r="D11697" t="s">
        <v>42877</v>
      </c>
      <c r="E11697">
        <v>424019</v>
      </c>
      <c r="F11697" t="s">
        <v>1</v>
      </c>
      <c r="G11697" t="s">
        <v>2</v>
      </c>
      <c r="H11697" t="s">
        <v>33263</v>
      </c>
      <c r="Y11697" t="s">
        <v>42878</v>
      </c>
    </row>
    <row r="11698" spans="1:25" x14ac:dyDescent="0.25">
      <c r="A11698" t="str">
        <f>"167615822965"</f>
        <v>167615822965</v>
      </c>
      <c r="B11698" t="s">
        <v>978</v>
      </c>
      <c r="C11698" t="s">
        <v>1659</v>
      </c>
      <c r="D11698" t="s">
        <v>42879</v>
      </c>
      <c r="E11698">
        <v>424003</v>
      </c>
      <c r="F11698" t="s">
        <v>1</v>
      </c>
      <c r="G11698" t="s">
        <v>2</v>
      </c>
      <c r="H11698" t="s">
        <v>38</v>
      </c>
      <c r="I11698" t="s">
        <v>38637</v>
      </c>
      <c r="L11698" t="s">
        <v>46</v>
      </c>
      <c r="M11698" t="s">
        <v>42880</v>
      </c>
      <c r="P11698" t="s">
        <v>3039</v>
      </c>
      <c r="Y11698" t="s">
        <v>42881</v>
      </c>
    </row>
    <row r="11699" spans="1:25" x14ac:dyDescent="0.25">
      <c r="A11699" t="str">
        <f>"167616483351"</f>
        <v>167616483351</v>
      </c>
      <c r="B11699" t="s">
        <v>1152</v>
      </c>
      <c r="C11699" t="s">
        <v>1153</v>
      </c>
      <c r="D11699" t="s">
        <v>10280</v>
      </c>
      <c r="E11699">
        <v>424007</v>
      </c>
      <c r="F11699" t="s">
        <v>1</v>
      </c>
      <c r="G11699" t="s">
        <v>2</v>
      </c>
      <c r="H11699" t="s">
        <v>35818</v>
      </c>
      <c r="Y11699" t="s">
        <v>42882</v>
      </c>
    </row>
    <row r="11700" spans="1:25" x14ac:dyDescent="0.25">
      <c r="A11700" t="str">
        <f>"167653221973"</f>
        <v>167653221973</v>
      </c>
      <c r="B11700" t="s">
        <v>1046</v>
      </c>
      <c r="C11700" t="s">
        <v>32452</v>
      </c>
      <c r="D11700" t="s">
        <v>17866</v>
      </c>
      <c r="F11700" t="s">
        <v>1</v>
      </c>
      <c r="G11700" t="s">
        <v>2</v>
      </c>
      <c r="H11700" t="s">
        <v>27403</v>
      </c>
      <c r="Y11700" t="s">
        <v>42883</v>
      </c>
    </row>
    <row r="11701" spans="1:25" x14ac:dyDescent="0.25">
      <c r="A11701" t="str">
        <f>"167657663781"</f>
        <v>167657663781</v>
      </c>
      <c r="B11701" t="s">
        <v>530</v>
      </c>
      <c r="C11701" t="s">
        <v>23950</v>
      </c>
      <c r="D11701" t="s">
        <v>23950</v>
      </c>
      <c r="E11701">
        <v>424002</v>
      </c>
      <c r="F11701" t="s">
        <v>1</v>
      </c>
      <c r="G11701" t="s">
        <v>2</v>
      </c>
      <c r="H11701" t="s">
        <v>823</v>
      </c>
      <c r="Y11701" t="s">
        <v>42884</v>
      </c>
    </row>
    <row r="11702" spans="1:25" x14ac:dyDescent="0.25">
      <c r="A11702" t="str">
        <f>"167684599283"</f>
        <v>167684599283</v>
      </c>
      <c r="B11702" t="s">
        <v>117</v>
      </c>
      <c r="C11702" t="s">
        <v>873</v>
      </c>
      <c r="D11702" t="s">
        <v>870</v>
      </c>
      <c r="F11702" t="s">
        <v>1</v>
      </c>
      <c r="G11702" t="s">
        <v>2</v>
      </c>
      <c r="H11702" t="s">
        <v>30138</v>
      </c>
      <c r="P11702" t="s">
        <v>330</v>
      </c>
      <c r="Y11702" t="s">
        <v>42885</v>
      </c>
    </row>
    <row r="11703" spans="1:25" x14ac:dyDescent="0.25">
      <c r="A11703" t="str">
        <f>"167746165295"</f>
        <v>167746165295</v>
      </c>
      <c r="B11703" t="s">
        <v>123</v>
      </c>
      <c r="C11703" t="s">
        <v>10249</v>
      </c>
      <c r="D11703" t="s">
        <v>14790</v>
      </c>
      <c r="E11703">
        <v>424002</v>
      </c>
      <c r="F11703" t="s">
        <v>1</v>
      </c>
      <c r="G11703" t="s">
        <v>2</v>
      </c>
      <c r="H11703" t="s">
        <v>781</v>
      </c>
      <c r="Y11703" t="s">
        <v>42886</v>
      </c>
    </row>
    <row r="11704" spans="1:25" x14ac:dyDescent="0.25">
      <c r="A11704" t="str">
        <f>"167781127915"</f>
        <v>167781127915</v>
      </c>
      <c r="B11704" t="s">
        <v>2055</v>
      </c>
      <c r="C11704" t="s">
        <v>42888</v>
      </c>
      <c r="D11704" t="s">
        <v>42887</v>
      </c>
      <c r="E11704">
        <v>424004</v>
      </c>
      <c r="F11704" t="s">
        <v>1</v>
      </c>
      <c r="G11704" t="s">
        <v>2</v>
      </c>
      <c r="H11704" t="s">
        <v>15365</v>
      </c>
      <c r="Y11704" t="s">
        <v>42889</v>
      </c>
    </row>
    <row r="11705" spans="1:25" x14ac:dyDescent="0.25">
      <c r="A11705" t="str">
        <f>"167843312172"</f>
        <v>167843312172</v>
      </c>
      <c r="B11705" t="s">
        <v>7312</v>
      </c>
      <c r="C11705" t="s">
        <v>19097</v>
      </c>
      <c r="D11705" t="s">
        <v>17643</v>
      </c>
      <c r="E11705">
        <v>424002</v>
      </c>
      <c r="F11705" t="s">
        <v>1</v>
      </c>
      <c r="G11705" t="s">
        <v>2</v>
      </c>
      <c r="H11705" t="s">
        <v>5692</v>
      </c>
      <c r="P11705" t="s">
        <v>340</v>
      </c>
      <c r="Y11705" t="s">
        <v>42890</v>
      </c>
    </row>
    <row r="11706" spans="1:25" x14ac:dyDescent="0.25">
      <c r="A11706" t="str">
        <f>"167860023141"</f>
        <v>167860023141</v>
      </c>
      <c r="B11706" t="s">
        <v>1343</v>
      </c>
      <c r="C11706" t="s">
        <v>1344</v>
      </c>
      <c r="D11706" t="s">
        <v>42891</v>
      </c>
      <c r="E11706">
        <v>424002</v>
      </c>
      <c r="F11706" t="s">
        <v>1</v>
      </c>
      <c r="G11706" t="s">
        <v>2</v>
      </c>
      <c r="H11706" t="s">
        <v>11341</v>
      </c>
      <c r="P11706" t="s">
        <v>112</v>
      </c>
      <c r="Y11706" t="s">
        <v>11344</v>
      </c>
    </row>
    <row r="11707" spans="1:25" x14ac:dyDescent="0.25">
      <c r="A11707" t="str">
        <f>"167893931297"</f>
        <v>167893931297</v>
      </c>
      <c r="B11707" t="s">
        <v>1152</v>
      </c>
      <c r="C11707" t="s">
        <v>10452</v>
      </c>
      <c r="D11707" t="s">
        <v>42892</v>
      </c>
      <c r="E11707">
        <v>424020</v>
      </c>
      <c r="F11707" t="s">
        <v>1</v>
      </c>
      <c r="G11707" t="s">
        <v>2</v>
      </c>
      <c r="H11707" t="s">
        <v>802</v>
      </c>
      <c r="Y11707" t="s">
        <v>42893</v>
      </c>
    </row>
    <row r="11708" spans="1:25" x14ac:dyDescent="0.25">
      <c r="A11708" t="str">
        <f>"167965200640"</f>
        <v>167965200640</v>
      </c>
      <c r="B11708" t="s">
        <v>32</v>
      </c>
      <c r="C11708" t="s">
        <v>40</v>
      </c>
      <c r="D11708" t="s">
        <v>42894</v>
      </c>
      <c r="E11708">
        <v>424028</v>
      </c>
      <c r="F11708" t="s">
        <v>1</v>
      </c>
      <c r="G11708" t="s">
        <v>2</v>
      </c>
      <c r="H11708" t="s">
        <v>3628</v>
      </c>
      <c r="I11708" t="s">
        <v>42895</v>
      </c>
      <c r="P11708" t="s">
        <v>2731</v>
      </c>
      <c r="Y11708" t="s">
        <v>42896</v>
      </c>
    </row>
    <row r="11709" spans="1:25" x14ac:dyDescent="0.25">
      <c r="A11709" t="str">
        <f>"167966340559"</f>
        <v>167966340559</v>
      </c>
      <c r="B11709" t="s">
        <v>1573</v>
      </c>
      <c r="C11709" t="s">
        <v>42899</v>
      </c>
      <c r="D11709" t="s">
        <v>42897</v>
      </c>
      <c r="E11709">
        <v>424006</v>
      </c>
      <c r="F11709" t="s">
        <v>1</v>
      </c>
      <c r="G11709" t="s">
        <v>2</v>
      </c>
      <c r="H11709" t="s">
        <v>5846</v>
      </c>
      <c r="J11709" t="s">
        <v>42898</v>
      </c>
      <c r="P11709" t="s">
        <v>362</v>
      </c>
      <c r="Y11709" t="s">
        <v>17495</v>
      </c>
    </row>
    <row r="11710" spans="1:25" x14ac:dyDescent="0.25">
      <c r="A11710" t="str">
        <f>"168031873226"</f>
        <v>168031873226</v>
      </c>
      <c r="B11710" t="s">
        <v>123</v>
      </c>
      <c r="C11710" t="s">
        <v>424</v>
      </c>
      <c r="D11710" t="s">
        <v>27358</v>
      </c>
      <c r="E11710">
        <v>424019</v>
      </c>
      <c r="F11710" t="s">
        <v>1</v>
      </c>
      <c r="G11710" t="s">
        <v>2</v>
      </c>
      <c r="H11710" t="s">
        <v>42900</v>
      </c>
      <c r="Y11710" t="s">
        <v>42901</v>
      </c>
    </row>
    <row r="11711" spans="1:25" x14ac:dyDescent="0.25">
      <c r="A11711" t="str">
        <f>"168034450864"</f>
        <v>168034450864</v>
      </c>
      <c r="B11711" t="s">
        <v>3573</v>
      </c>
      <c r="C11711" t="s">
        <v>42903</v>
      </c>
      <c r="D11711" t="s">
        <v>42902</v>
      </c>
      <c r="E11711">
        <v>424000</v>
      </c>
      <c r="F11711" t="s">
        <v>1</v>
      </c>
      <c r="G11711" t="s">
        <v>2</v>
      </c>
      <c r="H11711" t="s">
        <v>7628</v>
      </c>
      <c r="P11711" t="s">
        <v>330</v>
      </c>
      <c r="Y11711" t="s">
        <v>8052</v>
      </c>
    </row>
    <row r="11712" spans="1:25" x14ac:dyDescent="0.25">
      <c r="A11712" t="str">
        <f>"168039213769"</f>
        <v>168039213769</v>
      </c>
      <c r="B11712" t="s">
        <v>224</v>
      </c>
      <c r="C11712" t="s">
        <v>815</v>
      </c>
      <c r="D11712" t="s">
        <v>42904</v>
      </c>
      <c r="E11712">
        <v>424039</v>
      </c>
      <c r="F11712" t="s">
        <v>1</v>
      </c>
      <c r="G11712" t="s">
        <v>2</v>
      </c>
      <c r="H11712" t="s">
        <v>10036</v>
      </c>
      <c r="Y11712" t="s">
        <v>40466</v>
      </c>
    </row>
    <row r="11713" spans="1:25" x14ac:dyDescent="0.25">
      <c r="A11713" t="str">
        <f>"168049471981"</f>
        <v>168049471981</v>
      </c>
      <c r="B11713" t="s">
        <v>1493</v>
      </c>
      <c r="C11713" t="s">
        <v>31932</v>
      </c>
      <c r="D11713" t="s">
        <v>42905</v>
      </c>
      <c r="E11713">
        <v>424004</v>
      </c>
      <c r="F11713" t="s">
        <v>1</v>
      </c>
      <c r="G11713" t="s">
        <v>2</v>
      </c>
      <c r="H11713" t="s">
        <v>9044</v>
      </c>
      <c r="P11713" t="s">
        <v>2280</v>
      </c>
      <c r="Y11713" t="s">
        <v>9046</v>
      </c>
    </row>
    <row r="11714" spans="1:25" x14ac:dyDescent="0.25">
      <c r="A11714" t="str">
        <f>"168069277721"</f>
        <v>168069277721</v>
      </c>
      <c r="B11714" t="s">
        <v>25</v>
      </c>
      <c r="C11714" t="s">
        <v>1005</v>
      </c>
      <c r="D11714" t="s">
        <v>42906</v>
      </c>
      <c r="E11714">
        <v>424006</v>
      </c>
      <c r="F11714" t="s">
        <v>1</v>
      </c>
      <c r="G11714" t="s">
        <v>2</v>
      </c>
      <c r="H11714" t="s">
        <v>42907</v>
      </c>
      <c r="Y11714" t="s">
        <v>42908</v>
      </c>
    </row>
    <row r="11715" spans="1:25" x14ac:dyDescent="0.25">
      <c r="A11715" t="str">
        <f>"168084853358"</f>
        <v>168084853358</v>
      </c>
      <c r="B11715" t="s">
        <v>25</v>
      </c>
      <c r="C11715" t="s">
        <v>20320</v>
      </c>
      <c r="D11715" t="s">
        <v>42909</v>
      </c>
      <c r="E11715">
        <v>424002</v>
      </c>
      <c r="F11715" t="s">
        <v>1</v>
      </c>
      <c r="G11715" t="s">
        <v>2</v>
      </c>
      <c r="H11715" t="s">
        <v>1946</v>
      </c>
      <c r="Y11715" t="s">
        <v>42910</v>
      </c>
    </row>
    <row r="11716" spans="1:25" x14ac:dyDescent="0.25">
      <c r="A11716" t="str">
        <f>"168125588552"</f>
        <v>168125588552</v>
      </c>
      <c r="B11716" t="s">
        <v>462</v>
      </c>
      <c r="C11716" t="s">
        <v>5618</v>
      </c>
      <c r="D11716" t="s">
        <v>42911</v>
      </c>
      <c r="E11716">
        <v>424000</v>
      </c>
      <c r="F11716" t="s">
        <v>1</v>
      </c>
      <c r="G11716" t="s">
        <v>2</v>
      </c>
      <c r="H11716" t="s">
        <v>12303</v>
      </c>
      <c r="I11716" t="s">
        <v>42912</v>
      </c>
      <c r="J11716" t="s">
        <v>42913</v>
      </c>
      <c r="L11716" t="s">
        <v>42914</v>
      </c>
      <c r="M11716" t="s">
        <v>42915</v>
      </c>
      <c r="P11716" t="s">
        <v>235</v>
      </c>
      <c r="Q11716" t="s">
        <v>42916</v>
      </c>
      <c r="R11716" t="s">
        <v>42917</v>
      </c>
      <c r="T11716" t="s">
        <v>42918</v>
      </c>
      <c r="U11716" t="s">
        <v>42919</v>
      </c>
      <c r="V11716" t="s">
        <v>42920</v>
      </c>
      <c r="Y11716" t="s">
        <v>42921</v>
      </c>
    </row>
    <row r="11717" spans="1:25" x14ac:dyDescent="0.25">
      <c r="A11717" t="str">
        <f>"168249571981"</f>
        <v>168249571981</v>
      </c>
      <c r="B11717" t="s">
        <v>160</v>
      </c>
      <c r="C11717" t="s">
        <v>1666</v>
      </c>
      <c r="D11717" t="s">
        <v>42922</v>
      </c>
      <c r="E11717">
        <v>424028</v>
      </c>
      <c r="F11717" t="s">
        <v>1</v>
      </c>
      <c r="G11717" t="s">
        <v>2</v>
      </c>
      <c r="H11717" t="s">
        <v>18467</v>
      </c>
      <c r="J11717" t="s">
        <v>24023</v>
      </c>
      <c r="P11717" t="s">
        <v>152</v>
      </c>
      <c r="Y11717" t="s">
        <v>42923</v>
      </c>
    </row>
    <row r="11718" spans="1:25" x14ac:dyDescent="0.25">
      <c r="A11718" t="str">
        <f>"168256412394"</f>
        <v>168256412394</v>
      </c>
      <c r="B11718" t="s">
        <v>397</v>
      </c>
      <c r="C11718" t="s">
        <v>33475</v>
      </c>
      <c r="D11718" t="s">
        <v>33475</v>
      </c>
      <c r="E11718">
        <v>424006</v>
      </c>
      <c r="F11718" t="s">
        <v>1</v>
      </c>
      <c r="G11718" t="s">
        <v>2</v>
      </c>
      <c r="H11718" t="s">
        <v>5290</v>
      </c>
      <c r="I11718" t="s">
        <v>42924</v>
      </c>
      <c r="M11718" t="s">
        <v>42925</v>
      </c>
      <c r="P11718" t="s">
        <v>458</v>
      </c>
      <c r="Y11718" t="s">
        <v>42926</v>
      </c>
    </row>
    <row r="11719" spans="1:25" x14ac:dyDescent="0.25">
      <c r="A11719" t="str">
        <f>"168282904953"</f>
        <v>168282904953</v>
      </c>
      <c r="B11719" t="s">
        <v>530</v>
      </c>
      <c r="C11719" t="s">
        <v>23950</v>
      </c>
      <c r="D11719" t="s">
        <v>23950</v>
      </c>
      <c r="F11719" t="s">
        <v>1</v>
      </c>
      <c r="G11719" t="s">
        <v>2</v>
      </c>
      <c r="H11719" t="s">
        <v>42927</v>
      </c>
      <c r="Y11719" t="s">
        <v>42928</v>
      </c>
    </row>
    <row r="11720" spans="1:25" x14ac:dyDescent="0.25">
      <c r="A11720" t="str">
        <f>"168286794743"</f>
        <v>168286794743</v>
      </c>
      <c r="B11720" t="s">
        <v>67</v>
      </c>
      <c r="C11720" t="s">
        <v>27252</v>
      </c>
      <c r="D11720" t="s">
        <v>10280</v>
      </c>
      <c r="E11720">
        <v>424003</v>
      </c>
      <c r="F11720" t="s">
        <v>1</v>
      </c>
      <c r="G11720" t="s">
        <v>2</v>
      </c>
      <c r="H11720" t="s">
        <v>28076</v>
      </c>
      <c r="Y11720" t="s">
        <v>42929</v>
      </c>
    </row>
    <row r="11721" spans="1:25" x14ac:dyDescent="0.25">
      <c r="A11721" t="str">
        <f>"168292925487"</f>
        <v>168292925487</v>
      </c>
      <c r="B11721" t="s">
        <v>430</v>
      </c>
      <c r="C11721" t="s">
        <v>16178</v>
      </c>
      <c r="D11721" t="s">
        <v>10135</v>
      </c>
      <c r="E11721">
        <v>424000</v>
      </c>
      <c r="F11721" t="s">
        <v>1</v>
      </c>
      <c r="G11721" t="s">
        <v>2</v>
      </c>
      <c r="H11721" t="s">
        <v>7628</v>
      </c>
      <c r="Y11721" t="s">
        <v>42930</v>
      </c>
    </row>
    <row r="11722" spans="1:25" x14ac:dyDescent="0.25">
      <c r="A11722" t="str">
        <f>"168369221828"</f>
        <v>168369221828</v>
      </c>
      <c r="B11722" t="s">
        <v>574</v>
      </c>
      <c r="C11722" t="s">
        <v>9802</v>
      </c>
      <c r="D11722" t="s">
        <v>14735</v>
      </c>
      <c r="E11722">
        <v>424032</v>
      </c>
      <c r="F11722" t="s">
        <v>1</v>
      </c>
      <c r="G11722" t="s">
        <v>2</v>
      </c>
      <c r="H11722" t="s">
        <v>30668</v>
      </c>
      <c r="Y11722" t="s">
        <v>42931</v>
      </c>
    </row>
    <row r="11723" spans="1:25" x14ac:dyDescent="0.25">
      <c r="A11723" t="str">
        <f>"168447571830"</f>
        <v>168447571830</v>
      </c>
      <c r="B11723" t="s">
        <v>32</v>
      </c>
      <c r="C11723" t="s">
        <v>42935</v>
      </c>
      <c r="D11723" t="s">
        <v>42932</v>
      </c>
      <c r="E11723">
        <v>424002</v>
      </c>
      <c r="F11723" t="s">
        <v>1</v>
      </c>
      <c r="G11723" t="s">
        <v>2</v>
      </c>
      <c r="H11723" t="s">
        <v>1208</v>
      </c>
      <c r="J11723" t="s">
        <v>42933</v>
      </c>
      <c r="L11723" t="s">
        <v>42934</v>
      </c>
      <c r="P11723" t="s">
        <v>2457</v>
      </c>
      <c r="V11723" t="s">
        <v>42936</v>
      </c>
      <c r="Y11723" t="s">
        <v>42937</v>
      </c>
    </row>
    <row r="11724" spans="1:25" x14ac:dyDescent="0.25">
      <c r="A11724" t="str">
        <f>"168473586142"</f>
        <v>168473586142</v>
      </c>
      <c r="B11724" t="s">
        <v>96</v>
      </c>
      <c r="C11724" t="s">
        <v>695</v>
      </c>
      <c r="D11724" t="s">
        <v>35278</v>
      </c>
      <c r="F11724" t="s">
        <v>1</v>
      </c>
      <c r="G11724" t="s">
        <v>2</v>
      </c>
      <c r="H11724" t="s">
        <v>26558</v>
      </c>
      <c r="Y11724" t="s">
        <v>42938</v>
      </c>
    </row>
    <row r="11725" spans="1:25" x14ac:dyDescent="0.25">
      <c r="A11725" t="str">
        <f>"168492384934"</f>
        <v>168492384934</v>
      </c>
      <c r="B11725" t="s">
        <v>1352</v>
      </c>
      <c r="C11725" t="s">
        <v>1353</v>
      </c>
      <c r="D11725" t="s">
        <v>37400</v>
      </c>
      <c r="E11725">
        <v>424007</v>
      </c>
      <c r="F11725" t="s">
        <v>1</v>
      </c>
      <c r="G11725" t="s">
        <v>2</v>
      </c>
      <c r="H11725" t="s">
        <v>5178</v>
      </c>
      <c r="P11725" t="s">
        <v>2731</v>
      </c>
      <c r="Y11725" t="s">
        <v>42939</v>
      </c>
    </row>
    <row r="11726" spans="1:25" x14ac:dyDescent="0.25">
      <c r="A11726" t="str">
        <f>"168492938168"</f>
        <v>168492938168</v>
      </c>
      <c r="B11726" t="s">
        <v>456</v>
      </c>
      <c r="C11726" t="s">
        <v>42943</v>
      </c>
      <c r="D11726" t="s">
        <v>5813</v>
      </c>
      <c r="E11726">
        <v>424000</v>
      </c>
      <c r="F11726" t="s">
        <v>1</v>
      </c>
      <c r="G11726" t="s">
        <v>2</v>
      </c>
      <c r="H11726" t="s">
        <v>5814</v>
      </c>
      <c r="I11726" t="s">
        <v>42940</v>
      </c>
      <c r="L11726" t="s">
        <v>42941</v>
      </c>
      <c r="M11726" t="s">
        <v>42942</v>
      </c>
      <c r="P11726" t="s">
        <v>2979</v>
      </c>
      <c r="Q11726" t="s">
        <v>42944</v>
      </c>
      <c r="Y11726" t="s">
        <v>42945</v>
      </c>
    </row>
    <row r="11727" spans="1:25" x14ac:dyDescent="0.25">
      <c r="A11727" t="str">
        <f>"168513817010"</f>
        <v>168513817010</v>
      </c>
      <c r="B11727" t="s">
        <v>188</v>
      </c>
      <c r="C11727" t="s">
        <v>8311</v>
      </c>
      <c r="D11727" t="s">
        <v>42946</v>
      </c>
      <c r="E11727">
        <v>424038</v>
      </c>
      <c r="F11727" t="s">
        <v>1</v>
      </c>
      <c r="G11727" t="s">
        <v>2</v>
      </c>
      <c r="H11727" t="s">
        <v>6550</v>
      </c>
      <c r="J11727" t="s">
        <v>42947</v>
      </c>
      <c r="L11727" t="s">
        <v>42948</v>
      </c>
      <c r="M11727" t="s">
        <v>42949</v>
      </c>
      <c r="P11727" t="s">
        <v>696</v>
      </c>
      <c r="Q11727" t="s">
        <v>42950</v>
      </c>
      <c r="T11727" t="s">
        <v>42951</v>
      </c>
      <c r="Y11727" t="s">
        <v>6552</v>
      </c>
    </row>
    <row r="11728" spans="1:25" x14ac:dyDescent="0.25">
      <c r="A11728" t="str">
        <f>"168522806664"</f>
        <v>168522806664</v>
      </c>
      <c r="B11728" t="s">
        <v>469</v>
      </c>
      <c r="C11728" t="s">
        <v>42953</v>
      </c>
      <c r="D11728" t="s">
        <v>42952</v>
      </c>
      <c r="E11728">
        <v>424002</v>
      </c>
      <c r="F11728" t="s">
        <v>1</v>
      </c>
      <c r="G11728" t="s">
        <v>2</v>
      </c>
      <c r="H11728" t="s">
        <v>2164</v>
      </c>
      <c r="J11728" t="s">
        <v>37704</v>
      </c>
      <c r="P11728" t="s">
        <v>42954</v>
      </c>
      <c r="Q11728" t="s">
        <v>37706</v>
      </c>
      <c r="V11728" t="s">
        <v>42955</v>
      </c>
      <c r="Y11728" t="s">
        <v>42956</v>
      </c>
    </row>
    <row r="11729" spans="1:25" x14ac:dyDescent="0.25">
      <c r="A11729" t="str">
        <f>"168546707647"</f>
        <v>168546707647</v>
      </c>
      <c r="B11729" t="s">
        <v>430</v>
      </c>
      <c r="C11729" t="s">
        <v>18171</v>
      </c>
      <c r="D11729" t="s">
        <v>42957</v>
      </c>
      <c r="F11729" t="s">
        <v>1</v>
      </c>
      <c r="G11729" t="s">
        <v>2</v>
      </c>
      <c r="H11729" t="s">
        <v>4857</v>
      </c>
      <c r="I11729" t="s">
        <v>42958</v>
      </c>
      <c r="P11729" t="s">
        <v>9533</v>
      </c>
      <c r="Y11729" t="s">
        <v>42959</v>
      </c>
    </row>
    <row r="11730" spans="1:25" x14ac:dyDescent="0.25">
      <c r="A11730" t="str">
        <f>"168622678841"</f>
        <v>168622678841</v>
      </c>
      <c r="B11730" t="s">
        <v>88</v>
      </c>
      <c r="C11730" t="s">
        <v>17429</v>
      </c>
      <c r="D11730" t="s">
        <v>42960</v>
      </c>
      <c r="E11730">
        <v>424000</v>
      </c>
      <c r="F11730" t="s">
        <v>1</v>
      </c>
      <c r="G11730" t="s">
        <v>2</v>
      </c>
      <c r="H11730" t="s">
        <v>937</v>
      </c>
      <c r="J11730" t="s">
        <v>42961</v>
      </c>
      <c r="L11730" t="s">
        <v>42962</v>
      </c>
      <c r="P11730" t="s">
        <v>941</v>
      </c>
      <c r="Q11730" t="s">
        <v>42963</v>
      </c>
      <c r="Y11730" t="s">
        <v>942</v>
      </c>
    </row>
    <row r="11731" spans="1:25" x14ac:dyDescent="0.25">
      <c r="A11731" t="str">
        <f>"168635704863"</f>
        <v>168635704863</v>
      </c>
      <c r="B11731" t="s">
        <v>1544</v>
      </c>
      <c r="C11731" t="s">
        <v>15598</v>
      </c>
      <c r="D11731" t="s">
        <v>23165</v>
      </c>
      <c r="E11731">
        <v>424002</v>
      </c>
      <c r="F11731" t="s">
        <v>1</v>
      </c>
      <c r="G11731" t="s">
        <v>2</v>
      </c>
      <c r="H11731" t="s">
        <v>7502</v>
      </c>
      <c r="Y11731" t="s">
        <v>42964</v>
      </c>
    </row>
    <row r="11732" spans="1:25" x14ac:dyDescent="0.25">
      <c r="A11732" t="str">
        <f>"168647765661"</f>
        <v>168647765661</v>
      </c>
      <c r="B11732" t="s">
        <v>1078</v>
      </c>
      <c r="C11732" t="s">
        <v>42967</v>
      </c>
      <c r="D11732" t="s">
        <v>42965</v>
      </c>
      <c r="F11732" t="s">
        <v>1</v>
      </c>
      <c r="G11732" t="s">
        <v>2</v>
      </c>
      <c r="H11732" t="s">
        <v>138</v>
      </c>
      <c r="I11732" t="s">
        <v>42966</v>
      </c>
      <c r="L11732" t="s">
        <v>20564</v>
      </c>
      <c r="M11732" t="s">
        <v>20565</v>
      </c>
      <c r="P11732" t="s">
        <v>144</v>
      </c>
      <c r="Y11732" t="s">
        <v>22212</v>
      </c>
    </row>
    <row r="11733" spans="1:25" x14ac:dyDescent="0.25">
      <c r="A11733" t="str">
        <f>"168741863823"</f>
        <v>168741863823</v>
      </c>
      <c r="B11733" t="s">
        <v>574</v>
      </c>
      <c r="C11733" t="s">
        <v>24952</v>
      </c>
      <c r="D11733" t="s">
        <v>24951</v>
      </c>
      <c r="E11733">
        <v>424031</v>
      </c>
      <c r="F11733" t="s">
        <v>1</v>
      </c>
      <c r="G11733" t="s">
        <v>2</v>
      </c>
      <c r="H11733" t="s">
        <v>42968</v>
      </c>
      <c r="Y11733" t="s">
        <v>42969</v>
      </c>
    </row>
    <row r="11734" spans="1:25" x14ac:dyDescent="0.25">
      <c r="A11734" t="str">
        <f>"168757131863"</f>
        <v>168757131863</v>
      </c>
      <c r="B11734" t="s">
        <v>117</v>
      </c>
      <c r="C11734" t="s">
        <v>118</v>
      </c>
      <c r="D11734" t="s">
        <v>42970</v>
      </c>
      <c r="F11734" t="s">
        <v>1</v>
      </c>
      <c r="G11734" t="s">
        <v>2</v>
      </c>
      <c r="H11734" t="s">
        <v>7547</v>
      </c>
      <c r="Y11734" t="s">
        <v>42971</v>
      </c>
    </row>
    <row r="11735" spans="1:25" x14ac:dyDescent="0.25">
      <c r="A11735" t="str">
        <f>"168794492629"</f>
        <v>168794492629</v>
      </c>
      <c r="B11735" t="s">
        <v>352</v>
      </c>
      <c r="C11735" t="s">
        <v>15594</v>
      </c>
      <c r="D11735" t="s">
        <v>16444</v>
      </c>
      <c r="E11735">
        <v>424002</v>
      </c>
      <c r="F11735" t="s">
        <v>1</v>
      </c>
      <c r="G11735" t="s">
        <v>2</v>
      </c>
      <c r="H11735" t="s">
        <v>57</v>
      </c>
      <c r="I11735" t="s">
        <v>42972</v>
      </c>
      <c r="P11735" t="s">
        <v>20</v>
      </c>
      <c r="Y11735" t="s">
        <v>3783</v>
      </c>
    </row>
    <row r="11736" spans="1:25" x14ac:dyDescent="0.25">
      <c r="A11736" t="str">
        <f>"168795320600"</f>
        <v>168795320600</v>
      </c>
      <c r="B11736" t="s">
        <v>319</v>
      </c>
      <c r="C11736" t="s">
        <v>320</v>
      </c>
      <c r="D11736" t="s">
        <v>2556</v>
      </c>
      <c r="E11736">
        <v>424031</v>
      </c>
      <c r="F11736" t="s">
        <v>1</v>
      </c>
      <c r="G11736" t="s">
        <v>2</v>
      </c>
      <c r="H11736" t="s">
        <v>3962</v>
      </c>
      <c r="I11736" t="s">
        <v>42973</v>
      </c>
      <c r="L11736" t="s">
        <v>2559</v>
      </c>
      <c r="M11736" t="s">
        <v>17901</v>
      </c>
      <c r="P11736" t="s">
        <v>2561</v>
      </c>
      <c r="Y11736" t="s">
        <v>42974</v>
      </c>
    </row>
    <row r="11737" spans="1:25" x14ac:dyDescent="0.25">
      <c r="A11737" t="str">
        <f>"168799088044"</f>
        <v>168799088044</v>
      </c>
      <c r="B11737" t="s">
        <v>352</v>
      </c>
      <c r="C11737" t="s">
        <v>9444</v>
      </c>
      <c r="D11737" t="s">
        <v>42975</v>
      </c>
      <c r="E11737">
        <v>424037</v>
      </c>
      <c r="F11737" t="s">
        <v>1</v>
      </c>
      <c r="G11737" t="s">
        <v>2</v>
      </c>
      <c r="H11737" t="s">
        <v>2781</v>
      </c>
      <c r="I11737" t="s">
        <v>42976</v>
      </c>
      <c r="J11737" t="s">
        <v>42977</v>
      </c>
      <c r="L11737" t="s">
        <v>42978</v>
      </c>
      <c r="M11737" t="s">
        <v>42979</v>
      </c>
      <c r="P11737" t="s">
        <v>280</v>
      </c>
      <c r="Q11737" t="s">
        <v>42980</v>
      </c>
      <c r="Y11737" t="s">
        <v>42981</v>
      </c>
    </row>
    <row r="11738" spans="1:25" x14ac:dyDescent="0.25">
      <c r="A11738" t="str">
        <f>"168807055637"</f>
        <v>168807055637</v>
      </c>
      <c r="B11738" t="s">
        <v>96</v>
      </c>
      <c r="C11738" t="s">
        <v>695</v>
      </c>
      <c r="D11738" t="s">
        <v>42982</v>
      </c>
      <c r="E11738">
        <v>424038</v>
      </c>
      <c r="F11738" t="s">
        <v>1</v>
      </c>
      <c r="G11738" t="s">
        <v>2</v>
      </c>
      <c r="H11738" t="s">
        <v>2103</v>
      </c>
      <c r="J11738" t="s">
        <v>42983</v>
      </c>
      <c r="P11738" t="s">
        <v>312</v>
      </c>
      <c r="Y11738" t="s">
        <v>2323</v>
      </c>
    </row>
    <row r="11739" spans="1:25" x14ac:dyDescent="0.25">
      <c r="A11739" t="str">
        <f>"168881464572"</f>
        <v>168881464572</v>
      </c>
      <c r="B11739" t="s">
        <v>6478</v>
      </c>
      <c r="C11739" t="s">
        <v>27250</v>
      </c>
      <c r="D11739" t="s">
        <v>31358</v>
      </c>
      <c r="E11739">
        <v>424036</v>
      </c>
      <c r="F11739" t="s">
        <v>1</v>
      </c>
      <c r="G11739" t="s">
        <v>2</v>
      </c>
      <c r="H11739" t="s">
        <v>42984</v>
      </c>
      <c r="J11739" t="s">
        <v>42985</v>
      </c>
      <c r="M11739" t="s">
        <v>31360</v>
      </c>
      <c r="P11739" t="s">
        <v>42986</v>
      </c>
      <c r="Q11739" t="s">
        <v>42987</v>
      </c>
      <c r="Y11739" t="s">
        <v>42988</v>
      </c>
    </row>
    <row r="11740" spans="1:25" x14ac:dyDescent="0.25">
      <c r="A11740" t="str">
        <f>"168894475551"</f>
        <v>168894475551</v>
      </c>
      <c r="B11740" t="s">
        <v>738</v>
      </c>
      <c r="C11740" t="s">
        <v>13603</v>
      </c>
      <c r="D11740" t="s">
        <v>42989</v>
      </c>
      <c r="F11740" t="s">
        <v>1</v>
      </c>
      <c r="G11740" t="s">
        <v>2</v>
      </c>
      <c r="H11740" t="s">
        <v>10476</v>
      </c>
      <c r="J11740" t="s">
        <v>42990</v>
      </c>
      <c r="M11740" t="s">
        <v>42991</v>
      </c>
      <c r="P11740" t="s">
        <v>330</v>
      </c>
      <c r="Q11740" t="s">
        <v>42992</v>
      </c>
      <c r="Y11740" t="s">
        <v>13822</v>
      </c>
    </row>
    <row r="11741" spans="1:25" x14ac:dyDescent="0.25">
      <c r="A11741" t="str">
        <f>"168894711863"</f>
        <v>168894711863</v>
      </c>
      <c r="B11741" t="s">
        <v>18</v>
      </c>
      <c r="C11741" t="s">
        <v>12714</v>
      </c>
      <c r="D11741" t="s">
        <v>42993</v>
      </c>
      <c r="E11741">
        <v>424006</v>
      </c>
      <c r="F11741" t="s">
        <v>1</v>
      </c>
      <c r="G11741" t="s">
        <v>2</v>
      </c>
      <c r="H11741" t="s">
        <v>35806</v>
      </c>
      <c r="I11741" t="s">
        <v>42994</v>
      </c>
      <c r="L11741" t="s">
        <v>42995</v>
      </c>
      <c r="M11741" t="s">
        <v>42996</v>
      </c>
      <c r="P11741" t="s">
        <v>16824</v>
      </c>
      <c r="Y11741" t="s">
        <v>42997</v>
      </c>
    </row>
    <row r="11742" spans="1:25" x14ac:dyDescent="0.25">
      <c r="A11742" t="str">
        <f>"168917552813"</f>
        <v>168917552813</v>
      </c>
      <c r="B11742" t="s">
        <v>290</v>
      </c>
      <c r="C11742" t="s">
        <v>23328</v>
      </c>
      <c r="D11742" t="s">
        <v>24921</v>
      </c>
      <c r="E11742">
        <v>424032</v>
      </c>
      <c r="F11742" t="s">
        <v>1</v>
      </c>
      <c r="G11742" t="s">
        <v>2</v>
      </c>
      <c r="H11742" t="s">
        <v>30668</v>
      </c>
      <c r="Y11742" t="s">
        <v>42998</v>
      </c>
    </row>
    <row r="11743" spans="1:25" x14ac:dyDescent="0.25">
      <c r="A11743" t="str">
        <f>"168948362342"</f>
        <v>168948362342</v>
      </c>
      <c r="B11743" t="s">
        <v>397</v>
      </c>
      <c r="C11743" t="s">
        <v>15205</v>
      </c>
      <c r="D11743" t="s">
        <v>42999</v>
      </c>
      <c r="E11743">
        <v>424002</v>
      </c>
      <c r="F11743" t="s">
        <v>1</v>
      </c>
      <c r="G11743" t="s">
        <v>2</v>
      </c>
      <c r="H11743" t="s">
        <v>9915</v>
      </c>
      <c r="I11743" t="s">
        <v>43000</v>
      </c>
      <c r="P11743" t="s">
        <v>7390</v>
      </c>
      <c r="Y11743" t="s">
        <v>9922</v>
      </c>
    </row>
    <row r="11744" spans="1:25" x14ac:dyDescent="0.25">
      <c r="A11744" t="str">
        <f>"168980118179"</f>
        <v>168980118179</v>
      </c>
      <c r="B11744" t="s">
        <v>290</v>
      </c>
      <c r="C11744" t="s">
        <v>43002</v>
      </c>
      <c r="D11744" t="s">
        <v>43001</v>
      </c>
      <c r="E11744">
        <v>424000</v>
      </c>
      <c r="F11744" t="s">
        <v>1</v>
      </c>
      <c r="G11744" t="s">
        <v>2</v>
      </c>
      <c r="H11744" t="s">
        <v>937</v>
      </c>
      <c r="P11744" t="s">
        <v>13205</v>
      </c>
      <c r="Q11744" t="s">
        <v>43003</v>
      </c>
      <c r="Y11744" t="s">
        <v>43004</v>
      </c>
    </row>
    <row r="11745" spans="1:25" x14ac:dyDescent="0.25">
      <c r="A11745" t="str">
        <f>"169004439183"</f>
        <v>169004439183</v>
      </c>
      <c r="B11745" t="s">
        <v>80</v>
      </c>
      <c r="C11745" t="s">
        <v>3295</v>
      </c>
      <c r="D11745" t="s">
        <v>43005</v>
      </c>
      <c r="E11745">
        <v>424006</v>
      </c>
      <c r="F11745" t="s">
        <v>1</v>
      </c>
      <c r="G11745" t="s">
        <v>2</v>
      </c>
      <c r="H11745" t="s">
        <v>9851</v>
      </c>
      <c r="I11745" t="s">
        <v>634</v>
      </c>
      <c r="J11745" t="s">
        <v>43006</v>
      </c>
      <c r="L11745" t="s">
        <v>43007</v>
      </c>
      <c r="P11745" t="s">
        <v>43008</v>
      </c>
      <c r="Q11745" t="s">
        <v>43009</v>
      </c>
      <c r="Y11745" t="s">
        <v>43010</v>
      </c>
    </row>
    <row r="11746" spans="1:25" x14ac:dyDescent="0.25">
      <c r="A11746" t="str">
        <f>"169026096831"</f>
        <v>169026096831</v>
      </c>
      <c r="B11746" t="s">
        <v>1343</v>
      </c>
      <c r="C11746" t="s">
        <v>1344</v>
      </c>
      <c r="D11746" t="s">
        <v>20882</v>
      </c>
      <c r="E11746">
        <v>424000</v>
      </c>
      <c r="F11746" t="s">
        <v>1</v>
      </c>
      <c r="G11746" t="s">
        <v>2</v>
      </c>
      <c r="H11746" t="s">
        <v>1473</v>
      </c>
      <c r="P11746" t="s">
        <v>941</v>
      </c>
      <c r="Y11746" t="s">
        <v>4067</v>
      </c>
    </row>
    <row r="11747" spans="1:25" x14ac:dyDescent="0.25">
      <c r="A11747" t="str">
        <f>"169088638256"</f>
        <v>169088638256</v>
      </c>
      <c r="B11747" t="s">
        <v>574</v>
      </c>
      <c r="C11747" t="s">
        <v>14269</v>
      </c>
      <c r="D11747" t="s">
        <v>43011</v>
      </c>
      <c r="E11747">
        <v>424020</v>
      </c>
      <c r="F11747" t="s">
        <v>1</v>
      </c>
      <c r="G11747" t="s">
        <v>2</v>
      </c>
      <c r="H11747" t="s">
        <v>23516</v>
      </c>
      <c r="Y11747" t="s">
        <v>43012</v>
      </c>
    </row>
    <row r="11748" spans="1:25" x14ac:dyDescent="0.25">
      <c r="A11748" t="str">
        <f>"169151655549"</f>
        <v>169151655549</v>
      </c>
      <c r="B11748" t="s">
        <v>176</v>
      </c>
      <c r="C11748" t="s">
        <v>27547</v>
      </c>
      <c r="D11748" t="s">
        <v>27545</v>
      </c>
      <c r="F11748" t="s">
        <v>1</v>
      </c>
      <c r="G11748" t="s">
        <v>2</v>
      </c>
      <c r="H11748" t="s">
        <v>43013</v>
      </c>
      <c r="Y11748" t="s">
        <v>43014</v>
      </c>
    </row>
    <row r="11749" spans="1:25" x14ac:dyDescent="0.25">
      <c r="A11749" t="str">
        <f>"169166204463"</f>
        <v>169166204463</v>
      </c>
      <c r="B11749" t="s">
        <v>96</v>
      </c>
      <c r="C11749" t="s">
        <v>311</v>
      </c>
      <c r="D11749" t="s">
        <v>23204</v>
      </c>
      <c r="E11749">
        <v>424918</v>
      </c>
      <c r="F11749" t="s">
        <v>1</v>
      </c>
      <c r="G11749" t="s">
        <v>2</v>
      </c>
      <c r="H11749" t="s">
        <v>629</v>
      </c>
      <c r="P11749" t="s">
        <v>630</v>
      </c>
      <c r="Y11749" t="s">
        <v>43015</v>
      </c>
    </row>
    <row r="11750" spans="1:25" x14ac:dyDescent="0.25">
      <c r="A11750" t="str">
        <f>"169254864813"</f>
        <v>169254864813</v>
      </c>
      <c r="B11750" t="s">
        <v>348</v>
      </c>
      <c r="C11750" t="s">
        <v>30209</v>
      </c>
      <c r="D11750" t="s">
        <v>43016</v>
      </c>
      <c r="E11750">
        <v>424028</v>
      </c>
      <c r="F11750" t="s">
        <v>1</v>
      </c>
      <c r="G11750" t="s">
        <v>2</v>
      </c>
      <c r="H11750" t="s">
        <v>3359</v>
      </c>
      <c r="Y11750" t="s">
        <v>43017</v>
      </c>
    </row>
    <row r="11751" spans="1:25" x14ac:dyDescent="0.25">
      <c r="A11751" t="str">
        <f>"169260700026"</f>
        <v>169260700026</v>
      </c>
      <c r="B11751" t="s">
        <v>2104</v>
      </c>
      <c r="C11751" t="s">
        <v>21175</v>
      </c>
      <c r="D11751" t="s">
        <v>43018</v>
      </c>
      <c r="E11751">
        <v>424019</v>
      </c>
      <c r="F11751" t="s">
        <v>1</v>
      </c>
      <c r="G11751" t="s">
        <v>2</v>
      </c>
      <c r="H11751" t="s">
        <v>1801</v>
      </c>
      <c r="J11751" t="s">
        <v>43019</v>
      </c>
      <c r="P11751" t="s">
        <v>26289</v>
      </c>
      <c r="Q11751" t="s">
        <v>43020</v>
      </c>
      <c r="Y11751" t="s">
        <v>43021</v>
      </c>
    </row>
    <row r="11752" spans="1:25" x14ac:dyDescent="0.25">
      <c r="A11752" t="str">
        <f>"169267070847"</f>
        <v>169267070847</v>
      </c>
      <c r="B11752" t="s">
        <v>348</v>
      </c>
      <c r="C11752" t="s">
        <v>43022</v>
      </c>
      <c r="D11752" t="s">
        <v>35510</v>
      </c>
      <c r="E11752">
        <v>424016</v>
      </c>
      <c r="F11752" t="s">
        <v>1</v>
      </c>
      <c r="G11752" t="s">
        <v>2</v>
      </c>
      <c r="H11752" t="s">
        <v>848</v>
      </c>
      <c r="Y11752" t="s">
        <v>855</v>
      </c>
    </row>
    <row r="11753" spans="1:25" x14ac:dyDescent="0.25">
      <c r="A11753" t="str">
        <f>"169267879467"</f>
        <v>169267879467</v>
      </c>
      <c r="B11753" t="s">
        <v>1702</v>
      </c>
      <c r="C11753" t="s">
        <v>2265</v>
      </c>
      <c r="D11753" t="s">
        <v>31837</v>
      </c>
      <c r="E11753">
        <v>424000</v>
      </c>
      <c r="F11753" t="s">
        <v>1</v>
      </c>
      <c r="G11753" t="s">
        <v>2</v>
      </c>
      <c r="H11753" t="s">
        <v>43023</v>
      </c>
      <c r="Y11753" t="s">
        <v>43024</v>
      </c>
    </row>
    <row r="11754" spans="1:25" x14ac:dyDescent="0.25">
      <c r="A11754" t="str">
        <f>"169325513055"</f>
        <v>169325513055</v>
      </c>
      <c r="B11754" t="s">
        <v>32</v>
      </c>
      <c r="C11754" t="s">
        <v>14135</v>
      </c>
      <c r="D11754" t="s">
        <v>182</v>
      </c>
      <c r="E11754">
        <v>424038</v>
      </c>
      <c r="F11754" t="s">
        <v>1</v>
      </c>
      <c r="G11754" t="s">
        <v>2</v>
      </c>
      <c r="H11754" t="s">
        <v>1366</v>
      </c>
      <c r="Y11754" t="s">
        <v>25446</v>
      </c>
    </row>
    <row r="11755" spans="1:25" x14ac:dyDescent="0.25">
      <c r="A11755" t="str">
        <f>"169445420196"</f>
        <v>169445420196</v>
      </c>
      <c r="B11755" t="s">
        <v>654</v>
      </c>
      <c r="C11755" t="s">
        <v>14448</v>
      </c>
      <c r="D11755" t="s">
        <v>4776</v>
      </c>
      <c r="E11755">
        <v>424033</v>
      </c>
      <c r="F11755" t="s">
        <v>1</v>
      </c>
      <c r="G11755" t="s">
        <v>2</v>
      </c>
      <c r="H11755" t="s">
        <v>43025</v>
      </c>
      <c r="Y11755" t="s">
        <v>43026</v>
      </c>
    </row>
    <row r="11756" spans="1:25" x14ac:dyDescent="0.25">
      <c r="A11756" t="str">
        <f>"169477210119"</f>
        <v>169477210119</v>
      </c>
      <c r="B11756" t="s">
        <v>738</v>
      </c>
      <c r="C11756" t="s">
        <v>739</v>
      </c>
      <c r="D11756" t="s">
        <v>43027</v>
      </c>
      <c r="E11756">
        <v>424040</v>
      </c>
      <c r="F11756" t="s">
        <v>1</v>
      </c>
      <c r="G11756" t="s">
        <v>2</v>
      </c>
      <c r="H11756" t="s">
        <v>7989</v>
      </c>
      <c r="I11756" t="s">
        <v>43028</v>
      </c>
      <c r="J11756" t="s">
        <v>43029</v>
      </c>
      <c r="P11756" t="s">
        <v>340</v>
      </c>
      <c r="Y11756" t="s">
        <v>11906</v>
      </c>
    </row>
    <row r="11757" spans="1:25" x14ac:dyDescent="0.25">
      <c r="A11757" t="str">
        <f>"169518703699"</f>
        <v>169518703699</v>
      </c>
      <c r="B11757" t="s">
        <v>1475</v>
      </c>
      <c r="C11757" t="s">
        <v>1476</v>
      </c>
      <c r="D11757" t="s">
        <v>43030</v>
      </c>
      <c r="E11757">
        <v>424918</v>
      </c>
      <c r="F11757" t="s">
        <v>1</v>
      </c>
      <c r="G11757" t="s">
        <v>2</v>
      </c>
      <c r="H11757" t="s">
        <v>629</v>
      </c>
      <c r="I11757" t="s">
        <v>43031</v>
      </c>
      <c r="L11757" t="s">
        <v>3619</v>
      </c>
      <c r="M11757" t="s">
        <v>43032</v>
      </c>
      <c r="P11757" t="s">
        <v>630</v>
      </c>
      <c r="Q11757" t="s">
        <v>43033</v>
      </c>
      <c r="Y11757" t="s">
        <v>43034</v>
      </c>
    </row>
    <row r="11758" spans="1:25" x14ac:dyDescent="0.25">
      <c r="A11758" t="str">
        <f>"169522262558"</f>
        <v>169522262558</v>
      </c>
      <c r="B11758" t="s">
        <v>334</v>
      </c>
      <c r="C11758" t="s">
        <v>2551</v>
      </c>
      <c r="D11758" t="s">
        <v>43035</v>
      </c>
      <c r="E11758">
        <v>424006</v>
      </c>
      <c r="F11758" t="s">
        <v>1</v>
      </c>
      <c r="G11758" t="s">
        <v>2</v>
      </c>
      <c r="H11758" t="s">
        <v>1709</v>
      </c>
      <c r="I11758" t="s">
        <v>43036</v>
      </c>
      <c r="L11758" t="s">
        <v>43037</v>
      </c>
      <c r="M11758" t="s">
        <v>43038</v>
      </c>
      <c r="P11758" t="s">
        <v>27</v>
      </c>
      <c r="Y11758" t="s">
        <v>43039</v>
      </c>
    </row>
    <row r="11759" spans="1:25" x14ac:dyDescent="0.25">
      <c r="A11759" t="str">
        <f>"169563325738"</f>
        <v>169563325738</v>
      </c>
      <c r="B11759" t="s">
        <v>18</v>
      </c>
      <c r="C11759" t="s">
        <v>43042</v>
      </c>
      <c r="D11759" t="s">
        <v>43040</v>
      </c>
      <c r="E11759">
        <v>424020</v>
      </c>
      <c r="F11759" t="s">
        <v>1</v>
      </c>
      <c r="G11759" t="s">
        <v>2</v>
      </c>
      <c r="H11759" t="s">
        <v>6262</v>
      </c>
      <c r="I11759" t="s">
        <v>43041</v>
      </c>
      <c r="P11759" t="s">
        <v>6263</v>
      </c>
      <c r="Y11759" t="s">
        <v>23184</v>
      </c>
    </row>
    <row r="11760" spans="1:25" x14ac:dyDescent="0.25">
      <c r="A11760" t="str">
        <f>"169598855908"</f>
        <v>169598855908</v>
      </c>
      <c r="B11760" t="s">
        <v>417</v>
      </c>
      <c r="C11760" t="s">
        <v>418</v>
      </c>
      <c r="D11760" t="s">
        <v>417</v>
      </c>
      <c r="E11760">
        <v>424002</v>
      </c>
      <c r="F11760" t="s">
        <v>1</v>
      </c>
      <c r="G11760" t="s">
        <v>2</v>
      </c>
      <c r="H11760" t="s">
        <v>31471</v>
      </c>
      <c r="I11760" t="s">
        <v>43043</v>
      </c>
      <c r="P11760" t="s">
        <v>381</v>
      </c>
      <c r="Y11760" t="s">
        <v>43044</v>
      </c>
    </row>
    <row r="11761" spans="1:25" x14ac:dyDescent="0.25">
      <c r="A11761" t="str">
        <f>"169638375827"</f>
        <v>169638375827</v>
      </c>
      <c r="B11761" t="s">
        <v>530</v>
      </c>
      <c r="C11761" t="s">
        <v>23950</v>
      </c>
      <c r="D11761" t="s">
        <v>23950</v>
      </c>
      <c r="E11761">
        <v>424005</v>
      </c>
      <c r="F11761" t="s">
        <v>1</v>
      </c>
      <c r="G11761" t="s">
        <v>2</v>
      </c>
      <c r="H11761" t="s">
        <v>28440</v>
      </c>
      <c r="Y11761" t="s">
        <v>43045</v>
      </c>
    </row>
    <row r="11762" spans="1:25" x14ac:dyDescent="0.25">
      <c r="A11762" t="str">
        <f>"169677272409"</f>
        <v>169677272409</v>
      </c>
      <c r="B11762" t="s">
        <v>123</v>
      </c>
      <c r="C11762" t="s">
        <v>196</v>
      </c>
      <c r="D11762" t="s">
        <v>43046</v>
      </c>
      <c r="E11762">
        <v>424007</v>
      </c>
      <c r="F11762" t="s">
        <v>1</v>
      </c>
      <c r="G11762" t="s">
        <v>2</v>
      </c>
      <c r="H11762" t="s">
        <v>5647</v>
      </c>
      <c r="I11762" t="s">
        <v>43047</v>
      </c>
      <c r="P11762" t="s">
        <v>2923</v>
      </c>
      <c r="Y11762" t="s">
        <v>12500</v>
      </c>
    </row>
    <row r="11763" spans="1:25" x14ac:dyDescent="0.25">
      <c r="A11763" t="str">
        <f>"169681407555"</f>
        <v>169681407555</v>
      </c>
      <c r="B11763" t="s">
        <v>2601</v>
      </c>
      <c r="C11763" t="s">
        <v>31140</v>
      </c>
      <c r="D11763" t="s">
        <v>43048</v>
      </c>
      <c r="E11763">
        <v>424002</v>
      </c>
      <c r="F11763" t="s">
        <v>1</v>
      </c>
      <c r="G11763" t="s">
        <v>2</v>
      </c>
      <c r="H11763" t="s">
        <v>570</v>
      </c>
      <c r="I11763" t="s">
        <v>43049</v>
      </c>
      <c r="J11763" t="s">
        <v>43050</v>
      </c>
      <c r="P11763" t="s">
        <v>1027</v>
      </c>
      <c r="Y11763" t="s">
        <v>43051</v>
      </c>
    </row>
    <row r="11764" spans="1:25" x14ac:dyDescent="0.25">
      <c r="A11764" t="str">
        <f>"169735638325"</f>
        <v>169735638325</v>
      </c>
      <c r="B11764" t="s">
        <v>574</v>
      </c>
      <c r="C11764" t="s">
        <v>14269</v>
      </c>
      <c r="D11764" t="s">
        <v>43052</v>
      </c>
      <c r="F11764" t="s">
        <v>1</v>
      </c>
      <c r="G11764" t="s">
        <v>2</v>
      </c>
      <c r="H11764" t="s">
        <v>24011</v>
      </c>
      <c r="Y11764" t="s">
        <v>39769</v>
      </c>
    </row>
    <row r="11765" spans="1:25" x14ac:dyDescent="0.25">
      <c r="A11765" t="str">
        <f>"169745137889"</f>
        <v>169745137889</v>
      </c>
      <c r="B11765" t="s">
        <v>117</v>
      </c>
      <c r="C11765" t="s">
        <v>873</v>
      </c>
      <c r="D11765" t="s">
        <v>873</v>
      </c>
      <c r="E11765">
        <v>424039</v>
      </c>
      <c r="F11765" t="s">
        <v>1</v>
      </c>
      <c r="G11765" t="s">
        <v>2</v>
      </c>
      <c r="H11765" t="s">
        <v>43053</v>
      </c>
      <c r="Y11765" t="s">
        <v>43054</v>
      </c>
    </row>
    <row r="11766" spans="1:25" x14ac:dyDescent="0.25">
      <c r="A11766" t="str">
        <f>"169769567283"</f>
        <v>169769567283</v>
      </c>
      <c r="B11766" t="s">
        <v>32</v>
      </c>
      <c r="C11766" t="s">
        <v>5623</v>
      </c>
      <c r="D11766" t="s">
        <v>43055</v>
      </c>
      <c r="E11766">
        <v>424007</v>
      </c>
      <c r="F11766" t="s">
        <v>1</v>
      </c>
      <c r="G11766" t="s">
        <v>2</v>
      </c>
      <c r="H11766" t="s">
        <v>11776</v>
      </c>
      <c r="I11766" t="s">
        <v>43056</v>
      </c>
      <c r="Y11766" t="s">
        <v>43057</v>
      </c>
    </row>
    <row r="11767" spans="1:25" x14ac:dyDescent="0.25">
      <c r="A11767" t="str">
        <f>"169796066487"</f>
        <v>169796066487</v>
      </c>
      <c r="B11767" t="s">
        <v>530</v>
      </c>
      <c r="C11767" t="s">
        <v>23950</v>
      </c>
      <c r="D11767" t="s">
        <v>23950</v>
      </c>
      <c r="E11767">
        <v>424019</v>
      </c>
      <c r="F11767" t="s">
        <v>1</v>
      </c>
      <c r="G11767" t="s">
        <v>2</v>
      </c>
      <c r="H11767" t="s">
        <v>1460</v>
      </c>
      <c r="Y11767" t="s">
        <v>43058</v>
      </c>
    </row>
    <row r="11768" spans="1:25" x14ac:dyDescent="0.25">
      <c r="A11768" t="str">
        <f>"169805227627"</f>
        <v>169805227627</v>
      </c>
      <c r="B11768" t="s">
        <v>574</v>
      </c>
      <c r="C11768" t="s">
        <v>646</v>
      </c>
      <c r="D11768" t="s">
        <v>24036</v>
      </c>
      <c r="E11768">
        <v>424007</v>
      </c>
      <c r="F11768" t="s">
        <v>1</v>
      </c>
      <c r="G11768" t="s">
        <v>2</v>
      </c>
      <c r="H11768" t="s">
        <v>4411</v>
      </c>
      <c r="Y11768" t="s">
        <v>43059</v>
      </c>
    </row>
    <row r="11769" spans="1:25" x14ac:dyDescent="0.25">
      <c r="A11769" t="str">
        <f>"169821493336"</f>
        <v>169821493336</v>
      </c>
      <c r="B11769" t="s">
        <v>32</v>
      </c>
      <c r="C11769" t="s">
        <v>20137</v>
      </c>
      <c r="D11769" t="s">
        <v>22117</v>
      </c>
      <c r="E11769">
        <v>424033</v>
      </c>
      <c r="F11769" t="s">
        <v>1</v>
      </c>
      <c r="G11769" t="s">
        <v>2</v>
      </c>
      <c r="H11769" t="s">
        <v>2597</v>
      </c>
      <c r="I11769" t="s">
        <v>43060</v>
      </c>
      <c r="M11769" t="s">
        <v>22120</v>
      </c>
      <c r="P11769" t="s">
        <v>2738</v>
      </c>
      <c r="Y11769" t="s">
        <v>43061</v>
      </c>
    </row>
    <row r="11770" spans="1:25" x14ac:dyDescent="0.25">
      <c r="A11770" t="str">
        <f>"169832439409"</f>
        <v>169832439409</v>
      </c>
      <c r="B11770" t="s">
        <v>1046</v>
      </c>
      <c r="C11770" t="s">
        <v>34157</v>
      </c>
      <c r="D11770" t="s">
        <v>43062</v>
      </c>
      <c r="E11770">
        <v>424038</v>
      </c>
      <c r="F11770" t="s">
        <v>1</v>
      </c>
      <c r="G11770" t="s">
        <v>2</v>
      </c>
      <c r="H11770" t="s">
        <v>7597</v>
      </c>
      <c r="J11770" t="s">
        <v>43063</v>
      </c>
      <c r="P11770" t="s">
        <v>1642</v>
      </c>
      <c r="Y11770" t="s">
        <v>16150</v>
      </c>
    </row>
    <row r="11771" spans="1:25" x14ac:dyDescent="0.25">
      <c r="A11771" t="str">
        <f>"169844232655"</f>
        <v>169844232655</v>
      </c>
      <c r="B11771" t="s">
        <v>284</v>
      </c>
      <c r="C11771" t="s">
        <v>285</v>
      </c>
      <c r="D11771" t="s">
        <v>43064</v>
      </c>
      <c r="F11771" t="s">
        <v>1</v>
      </c>
      <c r="G11771" t="s">
        <v>2</v>
      </c>
      <c r="H11771" t="s">
        <v>25451</v>
      </c>
      <c r="I11771" t="s">
        <v>43065</v>
      </c>
      <c r="L11771" t="s">
        <v>27533</v>
      </c>
      <c r="M11771" t="s">
        <v>27534</v>
      </c>
      <c r="P11771" t="s">
        <v>2362</v>
      </c>
      <c r="Q11771" t="s">
        <v>43066</v>
      </c>
      <c r="Y11771" t="s">
        <v>43067</v>
      </c>
    </row>
    <row r="11772" spans="1:25" x14ac:dyDescent="0.25">
      <c r="A11772" t="str">
        <f>"169847292711"</f>
        <v>169847292711</v>
      </c>
      <c r="B11772" t="s">
        <v>624</v>
      </c>
      <c r="C11772" t="s">
        <v>625</v>
      </c>
      <c r="D11772" t="s">
        <v>43068</v>
      </c>
      <c r="F11772" t="s">
        <v>1</v>
      </c>
      <c r="G11772" t="s">
        <v>2</v>
      </c>
      <c r="H11772" t="s">
        <v>43069</v>
      </c>
      <c r="P11772" t="s">
        <v>390</v>
      </c>
      <c r="Y11772" t="s">
        <v>43070</v>
      </c>
    </row>
    <row r="11773" spans="1:25" x14ac:dyDescent="0.25">
      <c r="A11773" t="str">
        <f>"169898245084"</f>
        <v>169898245084</v>
      </c>
      <c r="B11773" t="s">
        <v>18</v>
      </c>
      <c r="C11773" t="s">
        <v>43075</v>
      </c>
      <c r="D11773" t="s">
        <v>43071</v>
      </c>
      <c r="E11773">
        <v>424004</v>
      </c>
      <c r="F11773" t="s">
        <v>1</v>
      </c>
      <c r="G11773" t="s">
        <v>2</v>
      </c>
      <c r="H11773" t="s">
        <v>906</v>
      </c>
      <c r="I11773" t="s">
        <v>43072</v>
      </c>
      <c r="J11773" t="s">
        <v>43073</v>
      </c>
      <c r="L11773" t="s">
        <v>43074</v>
      </c>
      <c r="P11773" t="s">
        <v>3938</v>
      </c>
      <c r="Y11773" t="s">
        <v>7005</v>
      </c>
    </row>
    <row r="11774" spans="1:25" x14ac:dyDescent="0.25">
      <c r="A11774" t="str">
        <f>"169957026068"</f>
        <v>169957026068</v>
      </c>
      <c r="B11774" t="s">
        <v>25</v>
      </c>
      <c r="C11774" t="s">
        <v>59</v>
      </c>
      <c r="D11774" t="s">
        <v>43076</v>
      </c>
      <c r="F11774" t="s">
        <v>1</v>
      </c>
      <c r="G11774" t="s">
        <v>2</v>
      </c>
      <c r="H11774" t="s">
        <v>3984</v>
      </c>
      <c r="J11774" t="s">
        <v>43077</v>
      </c>
      <c r="M11774" t="s">
        <v>43078</v>
      </c>
      <c r="P11774" t="s">
        <v>43079</v>
      </c>
      <c r="Y11774" t="s">
        <v>4409</v>
      </c>
    </row>
    <row r="11775" spans="1:25" x14ac:dyDescent="0.25">
      <c r="A11775" t="str">
        <f>"169966667010"</f>
        <v>169966667010</v>
      </c>
      <c r="B11775" t="s">
        <v>1544</v>
      </c>
      <c r="C11775" t="s">
        <v>3596</v>
      </c>
      <c r="D11775" t="s">
        <v>43080</v>
      </c>
      <c r="E11775">
        <v>424000</v>
      </c>
      <c r="F11775" t="s">
        <v>1</v>
      </c>
      <c r="G11775" t="s">
        <v>2</v>
      </c>
      <c r="H11775" t="s">
        <v>30154</v>
      </c>
      <c r="Y11775" t="s">
        <v>43081</v>
      </c>
    </row>
    <row r="11776" spans="1:25" x14ac:dyDescent="0.25">
      <c r="A11776" t="str">
        <f>"169985735014"</f>
        <v>169985735014</v>
      </c>
      <c r="B11776" t="s">
        <v>624</v>
      </c>
      <c r="C11776" t="s">
        <v>24400</v>
      </c>
      <c r="D11776" t="s">
        <v>43082</v>
      </c>
      <c r="E11776">
        <v>424000</v>
      </c>
      <c r="F11776" t="s">
        <v>1</v>
      </c>
      <c r="G11776" t="s">
        <v>2</v>
      </c>
      <c r="H11776" t="s">
        <v>265</v>
      </c>
      <c r="P11776" t="s">
        <v>410</v>
      </c>
      <c r="Y11776" t="s">
        <v>43083</v>
      </c>
    </row>
    <row r="11777" spans="1:25" x14ac:dyDescent="0.25">
      <c r="A11777" t="str">
        <f>"169998503112"</f>
        <v>169998503112</v>
      </c>
      <c r="B11777" t="s">
        <v>352</v>
      </c>
      <c r="C11777" t="s">
        <v>43087</v>
      </c>
      <c r="D11777" t="s">
        <v>43084</v>
      </c>
      <c r="F11777" t="s">
        <v>1</v>
      </c>
      <c r="G11777" t="s">
        <v>2</v>
      </c>
      <c r="H11777" t="s">
        <v>22441</v>
      </c>
      <c r="J11777" t="s">
        <v>43085</v>
      </c>
      <c r="L11777" t="s">
        <v>17793</v>
      </c>
      <c r="M11777" t="s">
        <v>43086</v>
      </c>
      <c r="P11777" t="s">
        <v>2738</v>
      </c>
      <c r="U11777" t="s">
        <v>43088</v>
      </c>
      <c r="V11777" t="s">
        <v>43089</v>
      </c>
      <c r="Y11777" t="s">
        <v>32183</v>
      </c>
    </row>
    <row r="11778" spans="1:25" x14ac:dyDescent="0.25">
      <c r="A11778" t="str">
        <f>"170051778586"</f>
        <v>170051778586</v>
      </c>
      <c r="B11778" t="s">
        <v>96</v>
      </c>
      <c r="C11778" t="s">
        <v>23587</v>
      </c>
      <c r="D11778" t="s">
        <v>22550</v>
      </c>
      <c r="E11778">
        <v>424005</v>
      </c>
      <c r="F11778" t="s">
        <v>1</v>
      </c>
      <c r="G11778" t="s">
        <v>2</v>
      </c>
      <c r="H11778" t="s">
        <v>1148</v>
      </c>
      <c r="Y11778" t="s">
        <v>32116</v>
      </c>
    </row>
    <row r="11779" spans="1:25" x14ac:dyDescent="0.25">
      <c r="A11779" t="str">
        <f>"170071727298"</f>
        <v>170071727298</v>
      </c>
      <c r="B11779" t="s">
        <v>888</v>
      </c>
      <c r="C11779" t="s">
        <v>4712</v>
      </c>
      <c r="D11779" t="s">
        <v>43090</v>
      </c>
      <c r="E11779">
        <v>424006</v>
      </c>
      <c r="F11779" t="s">
        <v>1</v>
      </c>
      <c r="G11779" t="s">
        <v>2</v>
      </c>
      <c r="H11779" t="s">
        <v>6451</v>
      </c>
      <c r="I11779" t="s">
        <v>9956</v>
      </c>
      <c r="J11779" t="s">
        <v>9957</v>
      </c>
      <c r="P11779" t="s">
        <v>1441</v>
      </c>
      <c r="Y11779" t="s">
        <v>6457</v>
      </c>
    </row>
    <row r="11780" spans="1:25" x14ac:dyDescent="0.25">
      <c r="A11780" t="str">
        <f>"170097803226"</f>
        <v>170097803226</v>
      </c>
      <c r="B11780" t="s">
        <v>1352</v>
      </c>
      <c r="C11780" t="s">
        <v>1353</v>
      </c>
      <c r="D11780" t="s">
        <v>43091</v>
      </c>
      <c r="E11780">
        <v>424019</v>
      </c>
      <c r="F11780" t="s">
        <v>1</v>
      </c>
      <c r="G11780" t="s">
        <v>2</v>
      </c>
      <c r="H11780" t="s">
        <v>39916</v>
      </c>
      <c r="Y11780" t="s">
        <v>43092</v>
      </c>
    </row>
    <row r="11781" spans="1:25" x14ac:dyDescent="0.25">
      <c r="A11781" t="str">
        <f>"170132293866"</f>
        <v>170132293866</v>
      </c>
      <c r="B11781" t="s">
        <v>2790</v>
      </c>
      <c r="C11781" t="s">
        <v>3528</v>
      </c>
      <c r="D11781" t="s">
        <v>28836</v>
      </c>
      <c r="E11781">
        <v>424002</v>
      </c>
      <c r="F11781" t="s">
        <v>1</v>
      </c>
      <c r="G11781" t="s">
        <v>2</v>
      </c>
      <c r="H11781" t="s">
        <v>7025</v>
      </c>
      <c r="M11781" t="s">
        <v>43093</v>
      </c>
      <c r="Y11781" t="s">
        <v>43094</v>
      </c>
    </row>
    <row r="11782" spans="1:25" x14ac:dyDescent="0.25">
      <c r="A11782" t="str">
        <f>"170150699353"</f>
        <v>170150699353</v>
      </c>
      <c r="B11782" t="s">
        <v>88</v>
      </c>
      <c r="C11782" t="s">
        <v>4246</v>
      </c>
      <c r="D11782" t="s">
        <v>43095</v>
      </c>
      <c r="E11782">
        <v>424006</v>
      </c>
      <c r="F11782" t="s">
        <v>1</v>
      </c>
      <c r="G11782" t="s">
        <v>2</v>
      </c>
      <c r="H11782" t="s">
        <v>8622</v>
      </c>
      <c r="I11782" t="s">
        <v>43096</v>
      </c>
      <c r="L11782" t="s">
        <v>43097</v>
      </c>
      <c r="Y11782" t="s">
        <v>43098</v>
      </c>
    </row>
    <row r="11783" spans="1:25" x14ac:dyDescent="0.25">
      <c r="A11783" t="str">
        <f>"170155465055"</f>
        <v>170155465055</v>
      </c>
      <c r="B11783" t="s">
        <v>3008</v>
      </c>
      <c r="C11783" t="s">
        <v>31639</v>
      </c>
      <c r="D11783" t="s">
        <v>43099</v>
      </c>
      <c r="E11783">
        <v>424000</v>
      </c>
      <c r="F11783" t="s">
        <v>1</v>
      </c>
      <c r="G11783" t="s">
        <v>2</v>
      </c>
      <c r="H11783" t="s">
        <v>3749</v>
      </c>
      <c r="Y11783" t="s">
        <v>43100</v>
      </c>
    </row>
    <row r="11784" spans="1:25" x14ac:dyDescent="0.25">
      <c r="A11784" t="str">
        <f>"170196799425"</f>
        <v>170196799425</v>
      </c>
      <c r="B11784" t="s">
        <v>1152</v>
      </c>
      <c r="C11784" t="s">
        <v>43102</v>
      </c>
      <c r="D11784" t="s">
        <v>43101</v>
      </c>
      <c r="E11784">
        <v>424037</v>
      </c>
      <c r="F11784" t="s">
        <v>1</v>
      </c>
      <c r="G11784" t="s">
        <v>2</v>
      </c>
      <c r="H11784" t="s">
        <v>37762</v>
      </c>
      <c r="Y11784" t="s">
        <v>43103</v>
      </c>
    </row>
    <row r="11785" spans="1:25" x14ac:dyDescent="0.25">
      <c r="A11785" t="str">
        <f>"170199931302"</f>
        <v>170199931302</v>
      </c>
      <c r="B11785" t="s">
        <v>930</v>
      </c>
      <c r="C11785" t="s">
        <v>1096</v>
      </c>
      <c r="D11785" t="s">
        <v>43104</v>
      </c>
      <c r="E11785">
        <v>424006</v>
      </c>
      <c r="F11785" t="s">
        <v>1</v>
      </c>
      <c r="G11785" t="s">
        <v>2</v>
      </c>
      <c r="H11785" t="s">
        <v>5290</v>
      </c>
      <c r="I11785" t="s">
        <v>43105</v>
      </c>
      <c r="M11785" t="s">
        <v>43106</v>
      </c>
      <c r="P11785" t="s">
        <v>27</v>
      </c>
      <c r="Y11785" t="s">
        <v>42926</v>
      </c>
    </row>
    <row r="11786" spans="1:25" x14ac:dyDescent="0.25">
      <c r="A11786" t="str">
        <f>"170231072848"</f>
        <v>170231072848</v>
      </c>
      <c r="B11786" t="s">
        <v>1222</v>
      </c>
      <c r="C11786" t="s">
        <v>43109</v>
      </c>
      <c r="D11786" t="s">
        <v>43107</v>
      </c>
      <c r="E11786">
        <v>424002</v>
      </c>
      <c r="F11786" t="s">
        <v>1</v>
      </c>
      <c r="G11786" t="s">
        <v>2</v>
      </c>
      <c r="H11786" t="s">
        <v>14916</v>
      </c>
      <c r="J11786" t="s">
        <v>43108</v>
      </c>
      <c r="P11786" t="s">
        <v>43110</v>
      </c>
      <c r="Q11786" t="s">
        <v>43111</v>
      </c>
      <c r="V11786" t="s">
        <v>43112</v>
      </c>
      <c r="Y11786" t="s">
        <v>43113</v>
      </c>
    </row>
    <row r="11787" spans="1:25" x14ac:dyDescent="0.25">
      <c r="A11787" t="str">
        <f>"170268257342"</f>
        <v>170268257342</v>
      </c>
      <c r="B11787" t="s">
        <v>32</v>
      </c>
      <c r="C11787" t="s">
        <v>182</v>
      </c>
      <c r="D11787" t="s">
        <v>43114</v>
      </c>
      <c r="E11787">
        <v>424016</v>
      </c>
      <c r="F11787" t="s">
        <v>1</v>
      </c>
      <c r="G11787" t="s">
        <v>2</v>
      </c>
      <c r="H11787" t="s">
        <v>16436</v>
      </c>
      <c r="Y11787" t="s">
        <v>43115</v>
      </c>
    </row>
    <row r="11788" spans="1:25" x14ac:dyDescent="0.25">
      <c r="A11788" t="str">
        <f>"170353569423"</f>
        <v>170353569423</v>
      </c>
      <c r="B11788" t="s">
        <v>574</v>
      </c>
      <c r="C11788" t="s">
        <v>23462</v>
      </c>
      <c r="D11788" t="s">
        <v>41181</v>
      </c>
      <c r="E11788">
        <v>424039</v>
      </c>
      <c r="F11788" t="s">
        <v>1</v>
      </c>
      <c r="G11788" t="s">
        <v>2</v>
      </c>
      <c r="H11788" t="s">
        <v>10036</v>
      </c>
      <c r="Y11788" t="s">
        <v>40466</v>
      </c>
    </row>
    <row r="11789" spans="1:25" x14ac:dyDescent="0.25">
      <c r="A11789" t="str">
        <f>"170358649204"</f>
        <v>170358649204</v>
      </c>
      <c r="B11789" t="s">
        <v>18</v>
      </c>
      <c r="C11789" t="s">
        <v>43120</v>
      </c>
      <c r="D11789" t="s">
        <v>43116</v>
      </c>
      <c r="E11789">
        <v>424038</v>
      </c>
      <c r="F11789" t="s">
        <v>1</v>
      </c>
      <c r="G11789" t="s">
        <v>2</v>
      </c>
      <c r="H11789" t="s">
        <v>21388</v>
      </c>
      <c r="I11789" t="s">
        <v>43117</v>
      </c>
      <c r="L11789" t="s">
        <v>43118</v>
      </c>
      <c r="M11789" t="s">
        <v>43119</v>
      </c>
      <c r="P11789" t="s">
        <v>133</v>
      </c>
      <c r="Y11789" t="s">
        <v>24293</v>
      </c>
    </row>
    <row r="11790" spans="1:25" x14ac:dyDescent="0.25">
      <c r="A11790" t="str">
        <f>"170361782417"</f>
        <v>170361782417</v>
      </c>
      <c r="B11790" t="s">
        <v>379</v>
      </c>
      <c r="C11790" t="s">
        <v>766</v>
      </c>
      <c r="D11790" t="s">
        <v>28425</v>
      </c>
      <c r="E11790">
        <v>424000</v>
      </c>
      <c r="F11790" t="s">
        <v>1</v>
      </c>
      <c r="G11790" t="s">
        <v>2</v>
      </c>
      <c r="H11790" t="s">
        <v>1531</v>
      </c>
      <c r="I11790" t="s">
        <v>28426</v>
      </c>
      <c r="M11790" t="s">
        <v>28427</v>
      </c>
      <c r="P11790" t="s">
        <v>1027</v>
      </c>
      <c r="Q11790" t="s">
        <v>28428</v>
      </c>
      <c r="V11790" t="s">
        <v>28429</v>
      </c>
      <c r="Y11790" t="s">
        <v>1707</v>
      </c>
    </row>
    <row r="11791" spans="1:25" x14ac:dyDescent="0.25">
      <c r="A11791" t="str">
        <f>"170378911937"</f>
        <v>170378911937</v>
      </c>
      <c r="B11791" t="s">
        <v>9815</v>
      </c>
      <c r="C11791" t="s">
        <v>43125</v>
      </c>
      <c r="D11791" t="s">
        <v>43121</v>
      </c>
      <c r="E11791">
        <v>424006</v>
      </c>
      <c r="F11791" t="s">
        <v>1</v>
      </c>
      <c r="G11791" t="s">
        <v>2</v>
      </c>
      <c r="H11791" t="s">
        <v>492</v>
      </c>
      <c r="I11791" t="s">
        <v>43122</v>
      </c>
      <c r="L11791" t="s">
        <v>43123</v>
      </c>
      <c r="M11791" t="s">
        <v>43124</v>
      </c>
      <c r="P11791" t="s">
        <v>43126</v>
      </c>
      <c r="Q11791" t="s">
        <v>43127</v>
      </c>
      <c r="T11791" t="s">
        <v>43128</v>
      </c>
      <c r="U11791" t="s">
        <v>43129</v>
      </c>
      <c r="V11791" t="s">
        <v>43130</v>
      </c>
      <c r="Y11791" t="s">
        <v>29002</v>
      </c>
    </row>
    <row r="11792" spans="1:25" x14ac:dyDescent="0.25">
      <c r="A11792" t="str">
        <f>"170393332689"</f>
        <v>170393332689</v>
      </c>
      <c r="B11792" t="s">
        <v>290</v>
      </c>
      <c r="C11792" t="s">
        <v>290</v>
      </c>
      <c r="D11792" t="s">
        <v>43131</v>
      </c>
      <c r="F11792" t="s">
        <v>1</v>
      </c>
      <c r="G11792" t="s">
        <v>2</v>
      </c>
      <c r="H11792" t="s">
        <v>37500</v>
      </c>
      <c r="Y11792" t="s">
        <v>43132</v>
      </c>
    </row>
    <row r="11793" spans="1:25" x14ac:dyDescent="0.25">
      <c r="A11793" t="str">
        <f>"170404453585"</f>
        <v>170404453585</v>
      </c>
      <c r="B11793" t="s">
        <v>18</v>
      </c>
      <c r="C11793" t="s">
        <v>959</v>
      </c>
      <c r="D11793" t="s">
        <v>10308</v>
      </c>
      <c r="E11793">
        <v>424002</v>
      </c>
      <c r="F11793" t="s">
        <v>1</v>
      </c>
      <c r="G11793" t="s">
        <v>2</v>
      </c>
      <c r="H11793" t="s">
        <v>3864</v>
      </c>
      <c r="I11793" t="s">
        <v>43133</v>
      </c>
      <c r="J11793" t="s">
        <v>43134</v>
      </c>
      <c r="P11793" t="s">
        <v>133</v>
      </c>
      <c r="Y11793" t="s">
        <v>3867</v>
      </c>
    </row>
    <row r="11794" spans="1:25" x14ac:dyDescent="0.25">
      <c r="A11794" t="str">
        <f>"170457354985"</f>
        <v>170457354985</v>
      </c>
      <c r="B11794" t="s">
        <v>1046</v>
      </c>
      <c r="C11794" t="s">
        <v>22946</v>
      </c>
      <c r="D11794" t="s">
        <v>22946</v>
      </c>
      <c r="E11794">
        <v>424002</v>
      </c>
      <c r="F11794" t="s">
        <v>1</v>
      </c>
      <c r="G11794" t="s">
        <v>2</v>
      </c>
      <c r="H11794" t="s">
        <v>2664</v>
      </c>
      <c r="Y11794" t="s">
        <v>43135</v>
      </c>
    </row>
    <row r="11795" spans="1:25" x14ac:dyDescent="0.25">
      <c r="A11795" t="str">
        <f>"170467290437"</f>
        <v>170467290437</v>
      </c>
      <c r="B11795" t="s">
        <v>290</v>
      </c>
      <c r="C11795" t="s">
        <v>290</v>
      </c>
      <c r="D11795" t="s">
        <v>43136</v>
      </c>
      <c r="E11795">
        <v>424031</v>
      </c>
      <c r="F11795" t="s">
        <v>1</v>
      </c>
      <c r="G11795" t="s">
        <v>2</v>
      </c>
      <c r="H11795" t="s">
        <v>34672</v>
      </c>
      <c r="P11795" t="s">
        <v>16170</v>
      </c>
      <c r="Y11795" t="s">
        <v>37194</v>
      </c>
    </row>
    <row r="11796" spans="1:25" x14ac:dyDescent="0.25">
      <c r="A11796" t="str">
        <f>"170501214542"</f>
        <v>170501214542</v>
      </c>
      <c r="B11796" t="s">
        <v>574</v>
      </c>
      <c r="C11796" t="s">
        <v>24933</v>
      </c>
      <c r="D11796" t="s">
        <v>43137</v>
      </c>
      <c r="E11796">
        <v>424005</v>
      </c>
      <c r="F11796" t="s">
        <v>1</v>
      </c>
      <c r="G11796" t="s">
        <v>2</v>
      </c>
      <c r="H11796" t="s">
        <v>5843</v>
      </c>
      <c r="Y11796" t="s">
        <v>5844</v>
      </c>
    </row>
    <row r="11797" spans="1:25" x14ac:dyDescent="0.25">
      <c r="A11797" t="str">
        <f>"170542165993"</f>
        <v>170542165993</v>
      </c>
      <c r="B11797" t="s">
        <v>1222</v>
      </c>
      <c r="C11797" t="s">
        <v>2114</v>
      </c>
      <c r="D11797" t="s">
        <v>43138</v>
      </c>
      <c r="E11797">
        <v>424007</v>
      </c>
      <c r="F11797" t="s">
        <v>1</v>
      </c>
      <c r="G11797" t="s">
        <v>2</v>
      </c>
      <c r="H11797" t="s">
        <v>5178</v>
      </c>
      <c r="P11797" t="s">
        <v>2731</v>
      </c>
      <c r="Y11797" t="s">
        <v>43139</v>
      </c>
    </row>
    <row r="11798" spans="1:25" x14ac:dyDescent="0.25">
      <c r="A11798" t="str">
        <f>"170551249979"</f>
        <v>170551249979</v>
      </c>
      <c r="B11798" t="s">
        <v>284</v>
      </c>
      <c r="C11798" t="s">
        <v>2462</v>
      </c>
      <c r="D11798" t="s">
        <v>43140</v>
      </c>
      <c r="E11798">
        <v>424003</v>
      </c>
      <c r="F11798" t="s">
        <v>1</v>
      </c>
      <c r="G11798" t="s">
        <v>2</v>
      </c>
      <c r="H11798" t="s">
        <v>13303</v>
      </c>
      <c r="J11798" t="s">
        <v>43141</v>
      </c>
      <c r="P11798" t="s">
        <v>280</v>
      </c>
      <c r="Y11798" t="s">
        <v>30377</v>
      </c>
    </row>
    <row r="11799" spans="1:25" x14ac:dyDescent="0.25">
      <c r="A11799" t="str">
        <f>"170579980722"</f>
        <v>170579980722</v>
      </c>
      <c r="B11799" t="s">
        <v>18</v>
      </c>
      <c r="C11799" t="s">
        <v>959</v>
      </c>
      <c r="D11799" t="s">
        <v>43142</v>
      </c>
      <c r="E11799">
        <v>424002</v>
      </c>
      <c r="F11799" t="s">
        <v>1</v>
      </c>
      <c r="G11799" t="s">
        <v>2</v>
      </c>
      <c r="H11799" t="s">
        <v>6656</v>
      </c>
      <c r="J11799" t="s">
        <v>43143</v>
      </c>
      <c r="P11799" t="s">
        <v>1528</v>
      </c>
      <c r="Y11799" t="s">
        <v>11652</v>
      </c>
    </row>
    <row r="11800" spans="1:25" x14ac:dyDescent="0.25">
      <c r="A11800" t="str">
        <f>"170586885585"</f>
        <v>170586885585</v>
      </c>
      <c r="B11800" t="s">
        <v>1544</v>
      </c>
      <c r="C11800" t="s">
        <v>30567</v>
      </c>
      <c r="D11800" t="s">
        <v>43144</v>
      </c>
      <c r="E11800">
        <v>424031</v>
      </c>
      <c r="F11800" t="s">
        <v>1</v>
      </c>
      <c r="G11800" t="s">
        <v>2</v>
      </c>
      <c r="H11800" t="s">
        <v>30565</v>
      </c>
      <c r="I11800" t="s">
        <v>43145</v>
      </c>
      <c r="P11800" t="s">
        <v>1505</v>
      </c>
      <c r="Y11800" t="s">
        <v>30568</v>
      </c>
    </row>
    <row r="11801" spans="1:25" x14ac:dyDescent="0.25">
      <c r="A11801" t="str">
        <f>"170594483771"</f>
        <v>170594483771</v>
      </c>
      <c r="B11801" t="s">
        <v>574</v>
      </c>
      <c r="C11801" t="s">
        <v>24952</v>
      </c>
      <c r="D11801" t="s">
        <v>24952</v>
      </c>
      <c r="E11801">
        <v>424002</v>
      </c>
      <c r="F11801" t="s">
        <v>1</v>
      </c>
      <c r="G11801" t="s">
        <v>2</v>
      </c>
      <c r="H11801" t="s">
        <v>1874</v>
      </c>
      <c r="I11801" t="s">
        <v>43146</v>
      </c>
      <c r="P11801" t="s">
        <v>280</v>
      </c>
      <c r="Y11801" t="s">
        <v>27133</v>
      </c>
    </row>
    <row r="11802" spans="1:25" x14ac:dyDescent="0.25">
      <c r="A11802" t="str">
        <f>"170608011485"</f>
        <v>170608011485</v>
      </c>
      <c r="B11802" t="s">
        <v>1152</v>
      </c>
      <c r="C11802" t="s">
        <v>1153</v>
      </c>
      <c r="D11802" t="s">
        <v>10280</v>
      </c>
      <c r="E11802">
        <v>424032</v>
      </c>
      <c r="F11802" t="s">
        <v>1</v>
      </c>
      <c r="G11802" t="s">
        <v>2</v>
      </c>
      <c r="H11802" t="s">
        <v>11716</v>
      </c>
      <c r="I11802" t="s">
        <v>22092</v>
      </c>
      <c r="M11802" t="s">
        <v>10284</v>
      </c>
      <c r="Q11802" t="s">
        <v>10286</v>
      </c>
      <c r="R11802" t="s">
        <v>10287</v>
      </c>
      <c r="S11802" t="s">
        <v>10288</v>
      </c>
      <c r="T11802" t="s">
        <v>10289</v>
      </c>
      <c r="U11802" t="s">
        <v>10290</v>
      </c>
      <c r="V11802" t="s">
        <v>10291</v>
      </c>
      <c r="Y11802" t="s">
        <v>43147</v>
      </c>
    </row>
    <row r="11803" spans="1:25" x14ac:dyDescent="0.25">
      <c r="A11803" t="str">
        <f>"170615911607"</f>
        <v>170615911607</v>
      </c>
      <c r="B11803" t="s">
        <v>96</v>
      </c>
      <c r="C11803" t="s">
        <v>43149</v>
      </c>
      <c r="D11803" t="s">
        <v>34723</v>
      </c>
      <c r="E11803">
        <v>424007</v>
      </c>
      <c r="F11803" t="s">
        <v>1</v>
      </c>
      <c r="G11803" t="s">
        <v>2</v>
      </c>
      <c r="H11803" t="s">
        <v>30559</v>
      </c>
      <c r="J11803" t="s">
        <v>43148</v>
      </c>
      <c r="P11803" t="s">
        <v>2050</v>
      </c>
      <c r="Y11803" t="s">
        <v>32195</v>
      </c>
    </row>
    <row r="11804" spans="1:25" x14ac:dyDescent="0.25">
      <c r="A11804" t="str">
        <f>"170625393604"</f>
        <v>170625393604</v>
      </c>
      <c r="B11804" t="s">
        <v>1343</v>
      </c>
      <c r="C11804" t="s">
        <v>1344</v>
      </c>
      <c r="D11804" t="s">
        <v>34307</v>
      </c>
      <c r="E11804">
        <v>424038</v>
      </c>
      <c r="F11804" t="s">
        <v>1</v>
      </c>
      <c r="G11804" t="s">
        <v>2</v>
      </c>
      <c r="H11804" t="s">
        <v>7597</v>
      </c>
      <c r="P11804" t="s">
        <v>1642</v>
      </c>
      <c r="Y11804" t="s">
        <v>16150</v>
      </c>
    </row>
    <row r="11805" spans="1:25" x14ac:dyDescent="0.25">
      <c r="A11805" t="str">
        <f>"170636793945"</f>
        <v>170636793945</v>
      </c>
      <c r="B11805" t="s">
        <v>7</v>
      </c>
      <c r="C11805" t="s">
        <v>29772</v>
      </c>
      <c r="D11805" t="s">
        <v>43150</v>
      </c>
      <c r="E11805">
        <v>424007</v>
      </c>
      <c r="F11805" t="s">
        <v>1</v>
      </c>
      <c r="G11805" t="s">
        <v>2</v>
      </c>
      <c r="H11805" t="s">
        <v>5647</v>
      </c>
      <c r="I11805" t="s">
        <v>43151</v>
      </c>
      <c r="P11805" t="s">
        <v>330</v>
      </c>
      <c r="Y11805" t="s">
        <v>43152</v>
      </c>
    </row>
    <row r="11806" spans="1:25" x14ac:dyDescent="0.25">
      <c r="A11806" t="str">
        <f>"170664967591"</f>
        <v>170664967591</v>
      </c>
      <c r="B11806" t="s">
        <v>1544</v>
      </c>
      <c r="C11806" t="s">
        <v>30062</v>
      </c>
      <c r="D11806" t="s">
        <v>26988</v>
      </c>
      <c r="E11806">
        <v>424007</v>
      </c>
      <c r="F11806" t="s">
        <v>1</v>
      </c>
      <c r="G11806" t="s">
        <v>2</v>
      </c>
      <c r="H11806" t="s">
        <v>23983</v>
      </c>
      <c r="I11806" t="s">
        <v>43153</v>
      </c>
      <c r="P11806" t="s">
        <v>16766</v>
      </c>
      <c r="Y11806" t="s">
        <v>43154</v>
      </c>
    </row>
    <row r="11807" spans="1:25" x14ac:dyDescent="0.25">
      <c r="A11807" t="str">
        <f>"170792406493"</f>
        <v>170792406493</v>
      </c>
      <c r="B11807" t="s">
        <v>1152</v>
      </c>
      <c r="C11807" t="s">
        <v>1153</v>
      </c>
      <c r="D11807" t="s">
        <v>43155</v>
      </c>
      <c r="E11807">
        <v>424006</v>
      </c>
      <c r="F11807" t="s">
        <v>1</v>
      </c>
      <c r="G11807" t="s">
        <v>2</v>
      </c>
      <c r="H11807" t="s">
        <v>43156</v>
      </c>
      <c r="I11807" t="s">
        <v>27189</v>
      </c>
      <c r="L11807" t="s">
        <v>27190</v>
      </c>
      <c r="M11807" t="s">
        <v>27191</v>
      </c>
      <c r="P11807" t="s">
        <v>410</v>
      </c>
      <c r="Q11807" t="s">
        <v>27192</v>
      </c>
      <c r="T11807" t="s">
        <v>27194</v>
      </c>
      <c r="V11807" t="s">
        <v>27195</v>
      </c>
      <c r="Y11807" t="s">
        <v>43157</v>
      </c>
    </row>
    <row r="11808" spans="1:25" x14ac:dyDescent="0.25">
      <c r="A11808" t="str">
        <f>"170826768196"</f>
        <v>170826768196</v>
      </c>
      <c r="B11808" t="s">
        <v>1152</v>
      </c>
      <c r="C11808" t="s">
        <v>1153</v>
      </c>
      <c r="D11808" t="s">
        <v>10280</v>
      </c>
      <c r="E11808">
        <v>424003</v>
      </c>
      <c r="F11808" t="s">
        <v>1</v>
      </c>
      <c r="G11808" t="s">
        <v>2</v>
      </c>
      <c r="H11808" t="s">
        <v>1725</v>
      </c>
      <c r="I11808" t="s">
        <v>22092</v>
      </c>
      <c r="M11808" t="s">
        <v>10284</v>
      </c>
      <c r="Q11808" t="s">
        <v>10286</v>
      </c>
      <c r="R11808" t="s">
        <v>10287</v>
      </c>
      <c r="S11808" t="s">
        <v>10288</v>
      </c>
      <c r="T11808" t="s">
        <v>10289</v>
      </c>
      <c r="U11808" t="s">
        <v>10290</v>
      </c>
      <c r="V11808" t="s">
        <v>10291</v>
      </c>
      <c r="Y11808" t="s">
        <v>43158</v>
      </c>
    </row>
    <row r="11809" spans="1:25" x14ac:dyDescent="0.25">
      <c r="A11809" t="str">
        <f>"170846803131"</f>
        <v>170846803131</v>
      </c>
      <c r="B11809" t="s">
        <v>1152</v>
      </c>
      <c r="C11809" t="s">
        <v>1385</v>
      </c>
      <c r="D11809" t="s">
        <v>1385</v>
      </c>
      <c r="E11809">
        <v>424036</v>
      </c>
      <c r="F11809" t="s">
        <v>1</v>
      </c>
      <c r="G11809" t="s">
        <v>2</v>
      </c>
      <c r="H11809" t="s">
        <v>17259</v>
      </c>
      <c r="P11809" t="s">
        <v>390</v>
      </c>
      <c r="Y11809" t="s">
        <v>43159</v>
      </c>
    </row>
    <row r="11810" spans="1:25" x14ac:dyDescent="0.25">
      <c r="A11810" t="str">
        <f>"170853957977"</f>
        <v>170853957977</v>
      </c>
      <c r="B11810" t="s">
        <v>18</v>
      </c>
      <c r="C11810" t="s">
        <v>43162</v>
      </c>
      <c r="D11810" t="s">
        <v>43160</v>
      </c>
      <c r="E11810">
        <v>424006</v>
      </c>
      <c r="F11810" t="s">
        <v>1</v>
      </c>
      <c r="G11810" t="s">
        <v>2</v>
      </c>
      <c r="H11810" t="s">
        <v>8622</v>
      </c>
      <c r="J11810" t="s">
        <v>43161</v>
      </c>
      <c r="P11810" t="s">
        <v>5084</v>
      </c>
      <c r="Y11810" t="s">
        <v>8866</v>
      </c>
    </row>
    <row r="11811" spans="1:25" x14ac:dyDescent="0.25">
      <c r="A11811" t="str">
        <f>"170875388004"</f>
        <v>170875388004</v>
      </c>
      <c r="B11811" t="s">
        <v>96</v>
      </c>
      <c r="C11811" t="s">
        <v>893</v>
      </c>
      <c r="D11811" t="s">
        <v>43163</v>
      </c>
      <c r="E11811">
        <v>424000</v>
      </c>
      <c r="F11811" t="s">
        <v>1</v>
      </c>
      <c r="G11811" t="s">
        <v>2</v>
      </c>
      <c r="H11811" t="s">
        <v>1531</v>
      </c>
      <c r="J11811" t="s">
        <v>43164</v>
      </c>
      <c r="P11811" t="s">
        <v>941</v>
      </c>
      <c r="Y11811" t="s">
        <v>43165</v>
      </c>
    </row>
    <row r="11812" spans="1:25" x14ac:dyDescent="0.25">
      <c r="A11812" t="str">
        <f>"170928582776"</f>
        <v>170928582776</v>
      </c>
      <c r="B11812" t="s">
        <v>703</v>
      </c>
      <c r="C11812" t="s">
        <v>43168</v>
      </c>
      <c r="D11812" t="s">
        <v>10963</v>
      </c>
      <c r="E11812">
        <v>424004</v>
      </c>
      <c r="F11812" t="s">
        <v>1</v>
      </c>
      <c r="G11812" t="s">
        <v>2</v>
      </c>
      <c r="H11812" t="s">
        <v>43166</v>
      </c>
      <c r="J11812" t="s">
        <v>43167</v>
      </c>
      <c r="P11812" t="s">
        <v>330</v>
      </c>
      <c r="Y11812" t="s">
        <v>43169</v>
      </c>
    </row>
    <row r="11813" spans="1:25" x14ac:dyDescent="0.25">
      <c r="A11813" t="str">
        <f>"170992356499"</f>
        <v>170992356499</v>
      </c>
      <c r="B11813" t="s">
        <v>574</v>
      </c>
      <c r="C11813" t="s">
        <v>14269</v>
      </c>
      <c r="D11813" t="s">
        <v>43170</v>
      </c>
      <c r="E11813">
        <v>424038</v>
      </c>
      <c r="F11813" t="s">
        <v>1</v>
      </c>
      <c r="G11813" t="s">
        <v>2</v>
      </c>
      <c r="H11813" t="s">
        <v>21507</v>
      </c>
      <c r="P11813" t="s">
        <v>799</v>
      </c>
      <c r="Y11813" t="s">
        <v>43171</v>
      </c>
    </row>
    <row r="11814" spans="1:25" x14ac:dyDescent="0.25">
      <c r="A11814" t="str">
        <f>"171006280067"</f>
        <v>171006280067</v>
      </c>
      <c r="B11814" t="s">
        <v>352</v>
      </c>
      <c r="C11814" t="s">
        <v>43174</v>
      </c>
      <c r="D11814" t="s">
        <v>43172</v>
      </c>
      <c r="E11814">
        <v>424000</v>
      </c>
      <c r="F11814" t="s">
        <v>1</v>
      </c>
      <c r="G11814" t="s">
        <v>2</v>
      </c>
      <c r="H11814" t="s">
        <v>3471</v>
      </c>
      <c r="J11814" t="s">
        <v>43173</v>
      </c>
      <c r="P11814" t="s">
        <v>1760</v>
      </c>
      <c r="Y11814" t="s">
        <v>37234</v>
      </c>
    </row>
    <row r="11815" spans="1:25" x14ac:dyDescent="0.25">
      <c r="A11815" t="str">
        <f>"171049217020"</f>
        <v>171049217020</v>
      </c>
      <c r="B11815" t="s">
        <v>7</v>
      </c>
      <c r="C11815" t="s">
        <v>38363</v>
      </c>
      <c r="D11815" t="s">
        <v>43175</v>
      </c>
      <c r="E11815">
        <v>424004</v>
      </c>
      <c r="F11815" t="s">
        <v>1</v>
      </c>
      <c r="G11815" t="s">
        <v>2</v>
      </c>
      <c r="H11815" t="s">
        <v>40209</v>
      </c>
      <c r="I11815" t="s">
        <v>8371</v>
      </c>
      <c r="L11815" t="s">
        <v>43176</v>
      </c>
      <c r="M11815" t="s">
        <v>43177</v>
      </c>
      <c r="P11815" t="s">
        <v>330</v>
      </c>
      <c r="Q11815" t="s">
        <v>43178</v>
      </c>
      <c r="Y11815" t="s">
        <v>43179</v>
      </c>
    </row>
    <row r="11816" spans="1:25" x14ac:dyDescent="0.25">
      <c r="A11816" t="str">
        <f>"171070989580"</f>
        <v>171070989580</v>
      </c>
      <c r="B11816" t="s">
        <v>738</v>
      </c>
      <c r="C11816" t="s">
        <v>739</v>
      </c>
      <c r="D11816" t="s">
        <v>2578</v>
      </c>
      <c r="E11816">
        <v>424007</v>
      </c>
      <c r="F11816" t="s">
        <v>1</v>
      </c>
      <c r="G11816" t="s">
        <v>2</v>
      </c>
      <c r="H11816" t="s">
        <v>20520</v>
      </c>
      <c r="P11816" t="s">
        <v>696</v>
      </c>
      <c r="Y11816" t="s">
        <v>43180</v>
      </c>
    </row>
    <row r="11817" spans="1:25" x14ac:dyDescent="0.25">
      <c r="A11817" t="str">
        <f>"171091922655"</f>
        <v>171091922655</v>
      </c>
      <c r="B11817" t="s">
        <v>67</v>
      </c>
      <c r="C11817" t="s">
        <v>269</v>
      </c>
      <c r="D11817" t="s">
        <v>43181</v>
      </c>
      <c r="E11817">
        <v>424003</v>
      </c>
      <c r="F11817" t="s">
        <v>1</v>
      </c>
      <c r="G11817" t="s">
        <v>2</v>
      </c>
      <c r="H11817" t="s">
        <v>6518</v>
      </c>
      <c r="P11817" t="s">
        <v>21813</v>
      </c>
      <c r="Y11817" t="s">
        <v>17171</v>
      </c>
    </row>
    <row r="11818" spans="1:25" x14ac:dyDescent="0.25">
      <c r="A11818" t="str">
        <f>"171124074192"</f>
        <v>171124074192</v>
      </c>
      <c r="B11818" t="s">
        <v>519</v>
      </c>
      <c r="C11818" t="s">
        <v>2009</v>
      </c>
      <c r="D11818" t="s">
        <v>43182</v>
      </c>
      <c r="E11818">
        <v>424039</v>
      </c>
      <c r="F11818" t="s">
        <v>1</v>
      </c>
      <c r="G11818" t="s">
        <v>2</v>
      </c>
      <c r="H11818" t="s">
        <v>43183</v>
      </c>
      <c r="Y11818" t="s">
        <v>43184</v>
      </c>
    </row>
    <row r="11819" spans="1:25" x14ac:dyDescent="0.25">
      <c r="A11819" t="str">
        <f>"171130191113"</f>
        <v>171130191113</v>
      </c>
      <c r="B11819" t="s">
        <v>1152</v>
      </c>
      <c r="C11819" t="s">
        <v>1385</v>
      </c>
      <c r="D11819" t="s">
        <v>43185</v>
      </c>
      <c r="F11819" t="s">
        <v>1</v>
      </c>
      <c r="G11819" t="s">
        <v>2</v>
      </c>
      <c r="H11819" t="s">
        <v>43186</v>
      </c>
      <c r="Y11819" t="s">
        <v>43187</v>
      </c>
    </row>
    <row r="11820" spans="1:25" x14ac:dyDescent="0.25">
      <c r="A11820" t="str">
        <f>"171161222007"</f>
        <v>171161222007</v>
      </c>
      <c r="B11820" t="s">
        <v>930</v>
      </c>
      <c r="C11820" t="s">
        <v>927</v>
      </c>
      <c r="D11820" t="s">
        <v>927</v>
      </c>
      <c r="E11820">
        <v>424032</v>
      </c>
      <c r="F11820" t="s">
        <v>1</v>
      </c>
      <c r="G11820" t="s">
        <v>2</v>
      </c>
      <c r="H11820" t="s">
        <v>29920</v>
      </c>
      <c r="P11820" t="s">
        <v>30553</v>
      </c>
      <c r="Y11820" t="s">
        <v>43188</v>
      </c>
    </row>
    <row r="11821" spans="1:25" x14ac:dyDescent="0.25">
      <c r="A11821" t="str">
        <f>"171169022944"</f>
        <v>171169022944</v>
      </c>
      <c r="B11821" t="s">
        <v>2601</v>
      </c>
      <c r="C11821" t="s">
        <v>24678</v>
      </c>
      <c r="D11821" t="s">
        <v>43189</v>
      </c>
      <c r="E11821">
        <v>424028</v>
      </c>
      <c r="F11821" t="s">
        <v>1</v>
      </c>
      <c r="G11821" t="s">
        <v>2</v>
      </c>
      <c r="H11821" t="s">
        <v>24739</v>
      </c>
      <c r="Y11821" t="s">
        <v>43190</v>
      </c>
    </row>
    <row r="11822" spans="1:25" x14ac:dyDescent="0.25">
      <c r="A11822" t="str">
        <f>"171256658781"</f>
        <v>171256658781</v>
      </c>
      <c r="B11822" t="s">
        <v>574</v>
      </c>
      <c r="C11822" t="s">
        <v>24952</v>
      </c>
      <c r="D11822" t="s">
        <v>24951</v>
      </c>
      <c r="E11822">
        <v>424038</v>
      </c>
      <c r="F11822" t="s">
        <v>1</v>
      </c>
      <c r="G11822" t="s">
        <v>2</v>
      </c>
      <c r="H11822" t="s">
        <v>16183</v>
      </c>
      <c r="P11822" t="s">
        <v>144</v>
      </c>
      <c r="Y11822" t="s">
        <v>43191</v>
      </c>
    </row>
    <row r="11823" spans="1:25" x14ac:dyDescent="0.25">
      <c r="A11823" t="str">
        <f>"171262544663"</f>
        <v>171262544663</v>
      </c>
      <c r="B11823" t="s">
        <v>7</v>
      </c>
      <c r="C11823" t="s">
        <v>8041</v>
      </c>
      <c r="D11823" t="s">
        <v>15919</v>
      </c>
      <c r="E11823">
        <v>424007</v>
      </c>
      <c r="F11823" t="s">
        <v>1</v>
      </c>
      <c r="G11823" t="s">
        <v>2</v>
      </c>
      <c r="H11823" t="s">
        <v>13918</v>
      </c>
      <c r="Y11823" t="s">
        <v>13920</v>
      </c>
    </row>
    <row r="11824" spans="1:25" x14ac:dyDescent="0.25">
      <c r="A11824" t="str">
        <f>"171294270308"</f>
        <v>171294270308</v>
      </c>
      <c r="B11824" t="s">
        <v>574</v>
      </c>
      <c r="C11824" t="s">
        <v>646</v>
      </c>
      <c r="D11824" t="s">
        <v>3057</v>
      </c>
      <c r="E11824">
        <v>424003</v>
      </c>
      <c r="F11824" t="s">
        <v>1</v>
      </c>
      <c r="G11824" t="s">
        <v>2</v>
      </c>
      <c r="H11824" t="s">
        <v>5311</v>
      </c>
      <c r="P11824" t="s">
        <v>9803</v>
      </c>
      <c r="Y11824" t="s">
        <v>43192</v>
      </c>
    </row>
    <row r="11825" spans="1:25" x14ac:dyDescent="0.25">
      <c r="A11825" t="str">
        <f>"171320329557"</f>
        <v>171320329557</v>
      </c>
      <c r="B11825" t="s">
        <v>519</v>
      </c>
      <c r="C11825" t="s">
        <v>41828</v>
      </c>
      <c r="D11825" t="s">
        <v>43193</v>
      </c>
      <c r="E11825">
        <v>424007</v>
      </c>
      <c r="F11825" t="s">
        <v>1</v>
      </c>
      <c r="G11825" t="s">
        <v>2</v>
      </c>
      <c r="H11825" t="s">
        <v>356</v>
      </c>
      <c r="I11825" t="s">
        <v>43194</v>
      </c>
      <c r="L11825" t="s">
        <v>43195</v>
      </c>
      <c r="M11825" t="s">
        <v>43196</v>
      </c>
      <c r="P11825" t="s">
        <v>8133</v>
      </c>
      <c r="Q11825" t="s">
        <v>43197</v>
      </c>
      <c r="Y11825" t="s">
        <v>13825</v>
      </c>
    </row>
    <row r="11826" spans="1:25" x14ac:dyDescent="0.25">
      <c r="A11826" t="str">
        <f>"171327001386"</f>
        <v>171327001386</v>
      </c>
      <c r="B11826" t="s">
        <v>1152</v>
      </c>
      <c r="C11826" t="s">
        <v>43202</v>
      </c>
      <c r="D11826" t="s">
        <v>43198</v>
      </c>
      <c r="E11826">
        <v>424037</v>
      </c>
      <c r="F11826" t="s">
        <v>1</v>
      </c>
      <c r="G11826" t="s">
        <v>2</v>
      </c>
      <c r="H11826" t="s">
        <v>13232</v>
      </c>
      <c r="I11826" t="s">
        <v>43199</v>
      </c>
      <c r="L11826" t="s">
        <v>43200</v>
      </c>
      <c r="M11826" t="s">
        <v>43201</v>
      </c>
      <c r="P11826" t="s">
        <v>2457</v>
      </c>
      <c r="Q11826" t="s">
        <v>43203</v>
      </c>
      <c r="V11826" t="s">
        <v>43204</v>
      </c>
      <c r="Y11826" t="s">
        <v>13235</v>
      </c>
    </row>
    <row r="11827" spans="1:25" x14ac:dyDescent="0.25">
      <c r="A11827" t="str">
        <f>"171370772113"</f>
        <v>171370772113</v>
      </c>
      <c r="B11827" t="s">
        <v>117</v>
      </c>
      <c r="C11827" t="s">
        <v>118</v>
      </c>
      <c r="D11827" t="s">
        <v>31617</v>
      </c>
      <c r="F11827" t="s">
        <v>1</v>
      </c>
      <c r="G11827" t="s">
        <v>2</v>
      </c>
      <c r="H11827" t="s">
        <v>26719</v>
      </c>
      <c r="Y11827" t="s">
        <v>43205</v>
      </c>
    </row>
    <row r="11828" spans="1:25" x14ac:dyDescent="0.25">
      <c r="A11828" t="str">
        <f>"171422734779"</f>
        <v>171422734779</v>
      </c>
      <c r="B11828" t="s">
        <v>2104</v>
      </c>
      <c r="C11828" t="s">
        <v>2105</v>
      </c>
      <c r="D11828" t="s">
        <v>43206</v>
      </c>
      <c r="E11828">
        <v>424028</v>
      </c>
      <c r="F11828" t="s">
        <v>1</v>
      </c>
      <c r="G11828" t="s">
        <v>2</v>
      </c>
      <c r="H11828" t="s">
        <v>43207</v>
      </c>
      <c r="Y11828" t="s">
        <v>43208</v>
      </c>
    </row>
    <row r="11829" spans="1:25" x14ac:dyDescent="0.25">
      <c r="A11829" t="str">
        <f>"171426210148"</f>
        <v>171426210148</v>
      </c>
      <c r="B11829" t="s">
        <v>160</v>
      </c>
      <c r="C11829" t="s">
        <v>2479</v>
      </c>
      <c r="D11829" t="s">
        <v>43209</v>
      </c>
      <c r="E11829">
        <v>424033</v>
      </c>
      <c r="F11829" t="s">
        <v>1</v>
      </c>
      <c r="G11829" t="s">
        <v>2</v>
      </c>
      <c r="H11829" t="s">
        <v>43210</v>
      </c>
      <c r="Y11829" t="s">
        <v>43211</v>
      </c>
    </row>
    <row r="11830" spans="1:25" x14ac:dyDescent="0.25">
      <c r="A11830" t="str">
        <f>"171452767404"</f>
        <v>171452767404</v>
      </c>
      <c r="B11830" t="s">
        <v>96</v>
      </c>
      <c r="C11830" t="s">
        <v>695</v>
      </c>
      <c r="D11830" t="s">
        <v>12115</v>
      </c>
      <c r="E11830">
        <v>424020</v>
      </c>
      <c r="F11830" t="s">
        <v>1</v>
      </c>
      <c r="G11830" t="s">
        <v>2</v>
      </c>
      <c r="H11830" t="s">
        <v>23</v>
      </c>
      <c r="Y11830" t="s">
        <v>43212</v>
      </c>
    </row>
    <row r="11831" spans="1:25" x14ac:dyDescent="0.25">
      <c r="A11831" t="str">
        <f>"171456969772"</f>
        <v>171456969772</v>
      </c>
      <c r="B11831" t="s">
        <v>379</v>
      </c>
      <c r="C11831" t="s">
        <v>43216</v>
      </c>
      <c r="D11831" t="s">
        <v>43213</v>
      </c>
      <c r="E11831">
        <v>424000</v>
      </c>
      <c r="F11831" t="s">
        <v>1</v>
      </c>
      <c r="G11831" t="s">
        <v>2</v>
      </c>
      <c r="H11831" t="s">
        <v>1531</v>
      </c>
      <c r="I11831" t="s">
        <v>43214</v>
      </c>
      <c r="L11831" t="s">
        <v>43215</v>
      </c>
      <c r="P11831" t="s">
        <v>5689</v>
      </c>
      <c r="Y11831" t="s">
        <v>1707</v>
      </c>
    </row>
    <row r="11832" spans="1:25" x14ac:dyDescent="0.25">
      <c r="A11832" t="str">
        <f>"171476187384"</f>
        <v>171476187384</v>
      </c>
      <c r="B11832" t="s">
        <v>1061</v>
      </c>
      <c r="C11832" t="s">
        <v>25591</v>
      </c>
      <c r="D11832" t="s">
        <v>25591</v>
      </c>
      <c r="F11832" t="s">
        <v>1</v>
      </c>
      <c r="G11832" t="s">
        <v>2</v>
      </c>
      <c r="H11832" t="s">
        <v>28444</v>
      </c>
      <c r="Y11832" t="s">
        <v>43217</v>
      </c>
    </row>
    <row r="11833" spans="1:25" x14ac:dyDescent="0.25">
      <c r="A11833" t="str">
        <f>"171498705628"</f>
        <v>171498705628</v>
      </c>
      <c r="B11833" t="s">
        <v>319</v>
      </c>
      <c r="C11833" t="s">
        <v>320</v>
      </c>
      <c r="D11833" t="s">
        <v>10276</v>
      </c>
      <c r="E11833">
        <v>424039</v>
      </c>
      <c r="F11833" t="s">
        <v>1</v>
      </c>
      <c r="G11833" t="s">
        <v>2</v>
      </c>
      <c r="H11833" t="s">
        <v>2729</v>
      </c>
      <c r="P11833" t="s">
        <v>16240</v>
      </c>
      <c r="Y11833" t="s">
        <v>43218</v>
      </c>
    </row>
    <row r="11834" spans="1:25" x14ac:dyDescent="0.25">
      <c r="A11834" t="str">
        <f>"171519558146"</f>
        <v>171519558146</v>
      </c>
      <c r="B11834" t="s">
        <v>96</v>
      </c>
      <c r="C11834" t="s">
        <v>16462</v>
      </c>
      <c r="D11834" t="s">
        <v>43219</v>
      </c>
      <c r="E11834">
        <v>424019</v>
      </c>
      <c r="F11834" t="s">
        <v>1</v>
      </c>
      <c r="G11834" t="s">
        <v>2</v>
      </c>
      <c r="H11834" t="s">
        <v>12105</v>
      </c>
      <c r="Y11834" t="s">
        <v>14260</v>
      </c>
    </row>
    <row r="11835" spans="1:25" x14ac:dyDescent="0.25">
      <c r="A11835" t="str">
        <f>"171533590794"</f>
        <v>171533590794</v>
      </c>
      <c r="B11835" t="s">
        <v>1352</v>
      </c>
      <c r="C11835" t="s">
        <v>1353</v>
      </c>
      <c r="D11835" t="s">
        <v>43220</v>
      </c>
      <c r="F11835" t="s">
        <v>1</v>
      </c>
      <c r="G11835" t="s">
        <v>2</v>
      </c>
      <c r="H11835" t="s">
        <v>1003</v>
      </c>
      <c r="I11835" t="s">
        <v>43221</v>
      </c>
      <c r="L11835" t="s">
        <v>43222</v>
      </c>
      <c r="M11835" t="s">
        <v>43223</v>
      </c>
      <c r="P11835" t="s">
        <v>7053</v>
      </c>
      <c r="Q11835" t="s">
        <v>43224</v>
      </c>
      <c r="V11835" t="s">
        <v>43225</v>
      </c>
      <c r="Y11835" t="s">
        <v>1006</v>
      </c>
    </row>
    <row r="11836" spans="1:25" x14ac:dyDescent="0.25">
      <c r="A11836" t="str">
        <f>"171538910970"</f>
        <v>171538910970</v>
      </c>
      <c r="B11836" t="s">
        <v>188</v>
      </c>
      <c r="C11836" t="s">
        <v>43230</v>
      </c>
      <c r="D11836" t="s">
        <v>43226</v>
      </c>
      <c r="E11836">
        <v>424037</v>
      </c>
      <c r="F11836" t="s">
        <v>1</v>
      </c>
      <c r="G11836" t="s">
        <v>2</v>
      </c>
      <c r="H11836" t="s">
        <v>3115</v>
      </c>
      <c r="I11836" t="s">
        <v>43227</v>
      </c>
      <c r="L11836" t="s">
        <v>43228</v>
      </c>
      <c r="M11836" t="s">
        <v>43229</v>
      </c>
      <c r="P11836" t="s">
        <v>144</v>
      </c>
      <c r="Y11836" t="s">
        <v>3117</v>
      </c>
    </row>
    <row r="11837" spans="1:25" x14ac:dyDescent="0.25">
      <c r="A11837" t="str">
        <f>"171543246079"</f>
        <v>171543246079</v>
      </c>
      <c r="B11837" t="s">
        <v>447</v>
      </c>
      <c r="C11837" t="s">
        <v>1592</v>
      </c>
      <c r="D11837" t="s">
        <v>43231</v>
      </c>
      <c r="E11837">
        <v>424037</v>
      </c>
      <c r="F11837" t="s">
        <v>1</v>
      </c>
      <c r="G11837" t="s">
        <v>2</v>
      </c>
      <c r="H11837" t="s">
        <v>315</v>
      </c>
      <c r="I11837" t="s">
        <v>43232</v>
      </c>
      <c r="P11837" t="s">
        <v>9840</v>
      </c>
      <c r="Y11837" t="s">
        <v>7715</v>
      </c>
    </row>
    <row r="11838" spans="1:25" x14ac:dyDescent="0.25">
      <c r="A11838" t="str">
        <f>"171551855965"</f>
        <v>171551855965</v>
      </c>
      <c r="B11838" t="s">
        <v>1061</v>
      </c>
      <c r="C11838" t="s">
        <v>43236</v>
      </c>
      <c r="D11838" t="s">
        <v>43233</v>
      </c>
      <c r="F11838" t="s">
        <v>1</v>
      </c>
      <c r="G11838" t="s">
        <v>2</v>
      </c>
      <c r="H11838" t="s">
        <v>43234</v>
      </c>
      <c r="I11838" t="s">
        <v>43235</v>
      </c>
      <c r="P11838" t="s">
        <v>144</v>
      </c>
      <c r="Q11838" t="s">
        <v>43237</v>
      </c>
      <c r="V11838" t="s">
        <v>43238</v>
      </c>
      <c r="Y11838" t="s">
        <v>43239</v>
      </c>
    </row>
    <row r="11839" spans="1:25" x14ac:dyDescent="0.25">
      <c r="A11839" t="str">
        <f>"171564530867"</f>
        <v>171564530867</v>
      </c>
      <c r="B11839" t="s">
        <v>284</v>
      </c>
      <c r="C11839" t="s">
        <v>43243</v>
      </c>
      <c r="D11839" t="s">
        <v>43240</v>
      </c>
      <c r="E11839">
        <v>424006</v>
      </c>
      <c r="F11839" t="s">
        <v>1</v>
      </c>
      <c r="G11839" t="s">
        <v>2</v>
      </c>
      <c r="H11839" t="s">
        <v>14949</v>
      </c>
      <c r="I11839" t="s">
        <v>43241</v>
      </c>
      <c r="J11839" t="s">
        <v>43242</v>
      </c>
      <c r="P11839" t="s">
        <v>4043</v>
      </c>
      <c r="Y11839" t="s">
        <v>13598</v>
      </c>
    </row>
    <row r="11840" spans="1:25" x14ac:dyDescent="0.25">
      <c r="A11840" t="str">
        <f>"171571423699"</f>
        <v>171571423699</v>
      </c>
      <c r="B11840" t="s">
        <v>1758</v>
      </c>
      <c r="C11840" t="s">
        <v>8089</v>
      </c>
      <c r="D11840" t="s">
        <v>43244</v>
      </c>
      <c r="E11840">
        <v>424038</v>
      </c>
      <c r="F11840" t="s">
        <v>1</v>
      </c>
      <c r="G11840" t="s">
        <v>2</v>
      </c>
      <c r="H11840" t="s">
        <v>23978</v>
      </c>
      <c r="Y11840" t="s">
        <v>43245</v>
      </c>
    </row>
    <row r="11841" spans="1:25" x14ac:dyDescent="0.25">
      <c r="A11841" t="str">
        <f>"171575422824"</f>
        <v>171575422824</v>
      </c>
      <c r="B11841" t="s">
        <v>930</v>
      </c>
      <c r="C11841" t="s">
        <v>43248</v>
      </c>
      <c r="D11841" t="s">
        <v>43246</v>
      </c>
      <c r="E11841">
        <v>424016</v>
      </c>
      <c r="F11841" t="s">
        <v>1</v>
      </c>
      <c r="G11841" t="s">
        <v>2</v>
      </c>
      <c r="H11841" t="s">
        <v>37510</v>
      </c>
      <c r="I11841" t="s">
        <v>43247</v>
      </c>
      <c r="P11841" t="s">
        <v>1160</v>
      </c>
      <c r="Y11841" t="s">
        <v>43249</v>
      </c>
    </row>
    <row r="11842" spans="1:25" x14ac:dyDescent="0.25">
      <c r="A11842" t="str">
        <f>"171707358139"</f>
        <v>171707358139</v>
      </c>
      <c r="B11842" t="s">
        <v>7312</v>
      </c>
      <c r="C11842" t="s">
        <v>19097</v>
      </c>
      <c r="D11842" t="s">
        <v>24252</v>
      </c>
      <c r="E11842">
        <v>424006</v>
      </c>
      <c r="F11842" t="s">
        <v>1</v>
      </c>
      <c r="G11842" t="s">
        <v>2</v>
      </c>
      <c r="H11842" t="s">
        <v>43250</v>
      </c>
      <c r="Y11842" t="s">
        <v>43251</v>
      </c>
    </row>
    <row r="11843" spans="1:25" x14ac:dyDescent="0.25">
      <c r="A11843" t="str">
        <f>"171749145366"</f>
        <v>171749145366</v>
      </c>
      <c r="B11843" t="s">
        <v>430</v>
      </c>
      <c r="C11843" t="s">
        <v>940</v>
      </c>
      <c r="D11843" t="s">
        <v>43252</v>
      </c>
      <c r="E11843">
        <v>424020</v>
      </c>
      <c r="F11843" t="s">
        <v>1</v>
      </c>
      <c r="G11843" t="s">
        <v>2</v>
      </c>
      <c r="H11843" t="s">
        <v>43253</v>
      </c>
      <c r="J11843" t="s">
        <v>43254</v>
      </c>
      <c r="P11843" t="s">
        <v>10083</v>
      </c>
      <c r="Y11843" t="s">
        <v>43255</v>
      </c>
    </row>
    <row r="11844" spans="1:25" x14ac:dyDescent="0.25">
      <c r="A11844" t="str">
        <f>"171753573070"</f>
        <v>171753573070</v>
      </c>
      <c r="B11844" t="s">
        <v>1343</v>
      </c>
      <c r="C11844" t="s">
        <v>5984</v>
      </c>
      <c r="D11844" t="s">
        <v>43256</v>
      </c>
      <c r="E11844">
        <v>424033</v>
      </c>
      <c r="F11844" t="s">
        <v>1</v>
      </c>
      <c r="G11844" t="s">
        <v>2</v>
      </c>
      <c r="H11844" t="s">
        <v>76</v>
      </c>
      <c r="Y11844" t="s">
        <v>17629</v>
      </c>
    </row>
    <row r="11845" spans="1:25" x14ac:dyDescent="0.25">
      <c r="A11845" t="str">
        <f>"171772850255"</f>
        <v>171772850255</v>
      </c>
      <c r="B11845" t="s">
        <v>243</v>
      </c>
      <c r="C11845" t="s">
        <v>259</v>
      </c>
      <c r="D11845" t="s">
        <v>43257</v>
      </c>
      <c r="E11845">
        <v>424006</v>
      </c>
      <c r="F11845" t="s">
        <v>1</v>
      </c>
      <c r="G11845" t="s">
        <v>2</v>
      </c>
      <c r="H11845" t="s">
        <v>1195</v>
      </c>
      <c r="J11845" t="s">
        <v>43258</v>
      </c>
      <c r="Y11845" t="s">
        <v>1201</v>
      </c>
    </row>
    <row r="11846" spans="1:25" x14ac:dyDescent="0.25">
      <c r="A11846" t="str">
        <f>"171776098179"</f>
        <v>171776098179</v>
      </c>
      <c r="B11846" t="s">
        <v>117</v>
      </c>
      <c r="C11846" t="s">
        <v>873</v>
      </c>
      <c r="D11846" t="s">
        <v>870</v>
      </c>
      <c r="E11846">
        <v>424019</v>
      </c>
      <c r="F11846" t="s">
        <v>1</v>
      </c>
      <c r="G11846" t="s">
        <v>2</v>
      </c>
      <c r="H11846" t="s">
        <v>174</v>
      </c>
      <c r="Y11846" t="s">
        <v>43259</v>
      </c>
    </row>
    <row r="11847" spans="1:25" x14ac:dyDescent="0.25">
      <c r="A11847" t="str">
        <f>"171801121168"</f>
        <v>171801121168</v>
      </c>
      <c r="B11847" t="s">
        <v>978</v>
      </c>
      <c r="C11847" t="s">
        <v>43260</v>
      </c>
      <c r="D11847" t="s">
        <v>13619</v>
      </c>
      <c r="F11847" t="s">
        <v>1</v>
      </c>
      <c r="G11847" t="s">
        <v>2</v>
      </c>
      <c r="H11847" t="s">
        <v>26218</v>
      </c>
      <c r="Y11847" t="s">
        <v>43261</v>
      </c>
    </row>
    <row r="11848" spans="1:25" x14ac:dyDescent="0.25">
      <c r="A11848" t="str">
        <f>"171851926051"</f>
        <v>171851926051</v>
      </c>
      <c r="B11848" t="s">
        <v>1617</v>
      </c>
      <c r="C11848" t="s">
        <v>21001</v>
      </c>
      <c r="D11848" t="s">
        <v>17501</v>
      </c>
      <c r="E11848">
        <v>424006</v>
      </c>
      <c r="F11848" t="s">
        <v>1</v>
      </c>
      <c r="G11848" t="s">
        <v>2</v>
      </c>
      <c r="H11848" t="s">
        <v>478</v>
      </c>
      <c r="I11848" t="s">
        <v>43262</v>
      </c>
      <c r="P11848" t="s">
        <v>27</v>
      </c>
      <c r="Y11848" t="s">
        <v>926</v>
      </c>
    </row>
    <row r="11849" spans="1:25" x14ac:dyDescent="0.25">
      <c r="A11849" t="str">
        <f>"171874680939"</f>
        <v>171874680939</v>
      </c>
      <c r="B11849" t="s">
        <v>456</v>
      </c>
      <c r="C11849" t="s">
        <v>43267</v>
      </c>
      <c r="D11849" t="s">
        <v>43263</v>
      </c>
      <c r="E11849">
        <v>424006</v>
      </c>
      <c r="F11849" t="s">
        <v>1</v>
      </c>
      <c r="G11849" t="s">
        <v>2</v>
      </c>
      <c r="H11849" t="s">
        <v>8622</v>
      </c>
      <c r="I11849" t="s">
        <v>43264</v>
      </c>
      <c r="L11849" t="s">
        <v>43265</v>
      </c>
      <c r="M11849" t="s">
        <v>43266</v>
      </c>
      <c r="P11849" t="s">
        <v>2738</v>
      </c>
      <c r="Y11849" t="s">
        <v>8866</v>
      </c>
    </row>
    <row r="11850" spans="1:25" x14ac:dyDescent="0.25">
      <c r="A11850" t="str">
        <f>"171888897525"</f>
        <v>171888897525</v>
      </c>
      <c r="B11850" t="s">
        <v>80</v>
      </c>
      <c r="C11850" t="s">
        <v>3295</v>
      </c>
      <c r="D11850" t="s">
        <v>20951</v>
      </c>
      <c r="E11850">
        <v>424030</v>
      </c>
      <c r="F11850" t="s">
        <v>1</v>
      </c>
      <c r="G11850" t="s">
        <v>2</v>
      </c>
      <c r="H11850" t="s">
        <v>440</v>
      </c>
      <c r="L11850" t="s">
        <v>43268</v>
      </c>
      <c r="M11850" t="s">
        <v>21439</v>
      </c>
      <c r="Q11850" t="s">
        <v>43269</v>
      </c>
      <c r="Y11850" t="s">
        <v>4115</v>
      </c>
    </row>
    <row r="11851" spans="1:25" x14ac:dyDescent="0.25">
      <c r="A11851" t="str">
        <f>"171976976345"</f>
        <v>171976976345</v>
      </c>
      <c r="B11851" t="s">
        <v>32</v>
      </c>
      <c r="C11851" t="s">
        <v>20137</v>
      </c>
      <c r="D11851" t="s">
        <v>43270</v>
      </c>
      <c r="E11851">
        <v>424000</v>
      </c>
      <c r="F11851" t="s">
        <v>1</v>
      </c>
      <c r="G11851" t="s">
        <v>2</v>
      </c>
      <c r="H11851" t="s">
        <v>837</v>
      </c>
      <c r="J11851" t="s">
        <v>43271</v>
      </c>
      <c r="P11851" t="s">
        <v>43272</v>
      </c>
      <c r="Q11851" t="s">
        <v>43273</v>
      </c>
      <c r="Y11851" t="s">
        <v>2964</v>
      </c>
    </row>
    <row r="11852" spans="1:25" x14ac:dyDescent="0.25">
      <c r="A11852" t="str">
        <f>"172040013756"</f>
        <v>172040013756</v>
      </c>
      <c r="B11852" t="s">
        <v>2178</v>
      </c>
      <c r="C11852" t="s">
        <v>2179</v>
      </c>
      <c r="D11852" t="s">
        <v>43274</v>
      </c>
      <c r="E11852">
        <v>424002</v>
      </c>
      <c r="F11852" t="s">
        <v>1</v>
      </c>
      <c r="G11852" t="s">
        <v>2</v>
      </c>
      <c r="H11852" t="s">
        <v>43275</v>
      </c>
      <c r="Y11852" t="s">
        <v>43276</v>
      </c>
    </row>
    <row r="11853" spans="1:25" x14ac:dyDescent="0.25">
      <c r="A11853" t="str">
        <f>"172057130347"</f>
        <v>172057130347</v>
      </c>
      <c r="B11853" t="s">
        <v>574</v>
      </c>
      <c r="C11853" t="s">
        <v>646</v>
      </c>
      <c r="D11853" t="s">
        <v>35107</v>
      </c>
      <c r="E11853">
        <v>424033</v>
      </c>
      <c r="F11853" t="s">
        <v>1</v>
      </c>
      <c r="G11853" t="s">
        <v>2</v>
      </c>
      <c r="H11853" t="s">
        <v>1782</v>
      </c>
      <c r="P11853" t="s">
        <v>1027</v>
      </c>
      <c r="Y11853" t="s">
        <v>24609</v>
      </c>
    </row>
    <row r="11854" spans="1:25" x14ac:dyDescent="0.25">
      <c r="A11854" t="str">
        <f>"172061279865"</f>
        <v>172061279865</v>
      </c>
      <c r="B11854" t="s">
        <v>3908</v>
      </c>
      <c r="C11854" t="s">
        <v>41625</v>
      </c>
      <c r="D11854" t="s">
        <v>43277</v>
      </c>
      <c r="E11854">
        <v>424004</v>
      </c>
      <c r="F11854" t="s">
        <v>1</v>
      </c>
      <c r="G11854" t="s">
        <v>2</v>
      </c>
      <c r="H11854" t="s">
        <v>13630</v>
      </c>
      <c r="Y11854" t="s">
        <v>22090</v>
      </c>
    </row>
    <row r="11855" spans="1:25" x14ac:dyDescent="0.25">
      <c r="A11855" t="str">
        <f>"172071252113"</f>
        <v>172071252113</v>
      </c>
      <c r="B11855" t="s">
        <v>1544</v>
      </c>
      <c r="C11855" t="s">
        <v>15598</v>
      </c>
      <c r="D11855" t="s">
        <v>30028</v>
      </c>
      <c r="E11855">
        <v>424038</v>
      </c>
      <c r="F11855" t="s">
        <v>1</v>
      </c>
      <c r="G11855" t="s">
        <v>2</v>
      </c>
      <c r="H11855" t="s">
        <v>546</v>
      </c>
      <c r="P11855" t="s">
        <v>3799</v>
      </c>
      <c r="Y11855" t="s">
        <v>43278</v>
      </c>
    </row>
    <row r="11856" spans="1:25" x14ac:dyDescent="0.25">
      <c r="A11856" t="str">
        <f>"172108109918"</f>
        <v>172108109918</v>
      </c>
      <c r="B11856" t="s">
        <v>2601</v>
      </c>
      <c r="C11856" t="s">
        <v>24678</v>
      </c>
      <c r="D11856" t="s">
        <v>30692</v>
      </c>
      <c r="E11856">
        <v>424000</v>
      </c>
      <c r="F11856" t="s">
        <v>1</v>
      </c>
      <c r="G11856" t="s">
        <v>2</v>
      </c>
      <c r="H11856" t="s">
        <v>265</v>
      </c>
      <c r="Y11856" t="s">
        <v>43279</v>
      </c>
    </row>
    <row r="11857" spans="1:25" x14ac:dyDescent="0.25">
      <c r="A11857" t="str">
        <f>"172171414763"</f>
        <v>172171414763</v>
      </c>
      <c r="B11857" t="s">
        <v>1152</v>
      </c>
      <c r="C11857" t="s">
        <v>19644</v>
      </c>
      <c r="D11857" t="s">
        <v>43280</v>
      </c>
      <c r="E11857">
        <v>424000</v>
      </c>
      <c r="F11857" t="s">
        <v>1</v>
      </c>
      <c r="G11857" t="s">
        <v>2</v>
      </c>
      <c r="H11857" t="s">
        <v>43281</v>
      </c>
      <c r="J11857" t="s">
        <v>43282</v>
      </c>
      <c r="L11857" t="s">
        <v>43283</v>
      </c>
      <c r="M11857" t="s">
        <v>43284</v>
      </c>
      <c r="P11857" t="s">
        <v>216</v>
      </c>
      <c r="Q11857" t="s">
        <v>43285</v>
      </c>
      <c r="V11857" t="s">
        <v>43286</v>
      </c>
      <c r="Y11857" t="s">
        <v>43287</v>
      </c>
    </row>
    <row r="11858" spans="1:25" x14ac:dyDescent="0.25">
      <c r="A11858" t="str">
        <f>"172242517417"</f>
        <v>172242517417</v>
      </c>
      <c r="B11858" t="s">
        <v>96</v>
      </c>
      <c r="C11858" t="s">
        <v>893</v>
      </c>
      <c r="D11858" t="s">
        <v>43288</v>
      </c>
      <c r="E11858">
        <v>424000</v>
      </c>
      <c r="F11858" t="s">
        <v>1</v>
      </c>
      <c r="G11858" t="s">
        <v>2</v>
      </c>
      <c r="H11858" t="s">
        <v>1473</v>
      </c>
      <c r="P11858" t="s">
        <v>941</v>
      </c>
      <c r="Y11858" t="s">
        <v>4067</v>
      </c>
    </row>
    <row r="11859" spans="1:25" x14ac:dyDescent="0.25">
      <c r="A11859" t="str">
        <f>"172296955803"</f>
        <v>172296955803</v>
      </c>
      <c r="B11859" t="s">
        <v>1573</v>
      </c>
      <c r="C11859" t="s">
        <v>43291</v>
      </c>
      <c r="D11859" t="s">
        <v>43289</v>
      </c>
      <c r="E11859">
        <v>424002</v>
      </c>
      <c r="F11859" t="s">
        <v>1</v>
      </c>
      <c r="G11859" t="s">
        <v>2</v>
      </c>
      <c r="H11859" t="s">
        <v>19152</v>
      </c>
      <c r="I11859" t="s">
        <v>43290</v>
      </c>
      <c r="P11859" t="s">
        <v>1120</v>
      </c>
      <c r="V11859" t="s">
        <v>43292</v>
      </c>
      <c r="Y11859" t="s">
        <v>43293</v>
      </c>
    </row>
    <row r="11860" spans="1:25" x14ac:dyDescent="0.25">
      <c r="A11860" t="str">
        <f>"172331131093"</f>
        <v>172331131093</v>
      </c>
      <c r="B11860" t="s">
        <v>640</v>
      </c>
      <c r="C11860" t="s">
        <v>43299</v>
      </c>
      <c r="D11860" t="s">
        <v>43294</v>
      </c>
      <c r="E11860">
        <v>424000</v>
      </c>
      <c r="F11860" t="s">
        <v>1</v>
      </c>
      <c r="G11860" t="s">
        <v>2</v>
      </c>
      <c r="H11860" t="s">
        <v>128</v>
      </c>
      <c r="I11860" t="s">
        <v>43295</v>
      </c>
      <c r="K11860" t="s">
        <v>43296</v>
      </c>
      <c r="L11860" t="s">
        <v>43297</v>
      </c>
      <c r="M11860" t="s">
        <v>43298</v>
      </c>
      <c r="P11860" t="s">
        <v>43300</v>
      </c>
      <c r="Q11860" t="s">
        <v>43301</v>
      </c>
      <c r="Y11860" t="s">
        <v>43302</v>
      </c>
    </row>
    <row r="11861" spans="1:25" x14ac:dyDescent="0.25">
      <c r="A11861" t="str">
        <f>"172358145116"</f>
        <v>172358145116</v>
      </c>
      <c r="B11861" t="s">
        <v>18</v>
      </c>
      <c r="C11861" t="s">
        <v>26544</v>
      </c>
      <c r="D11861" t="s">
        <v>7960</v>
      </c>
      <c r="E11861">
        <v>424006</v>
      </c>
      <c r="F11861" t="s">
        <v>1</v>
      </c>
      <c r="G11861" t="s">
        <v>2</v>
      </c>
      <c r="H11861" t="s">
        <v>1245</v>
      </c>
      <c r="I11861" t="s">
        <v>43303</v>
      </c>
      <c r="L11861" t="s">
        <v>43304</v>
      </c>
      <c r="M11861" t="s">
        <v>43305</v>
      </c>
      <c r="Y11861" t="s">
        <v>41943</v>
      </c>
    </row>
    <row r="11862" spans="1:25" x14ac:dyDescent="0.25">
      <c r="A11862" t="str">
        <f>"172392038675"</f>
        <v>172392038675</v>
      </c>
      <c r="B11862" t="s">
        <v>2062</v>
      </c>
      <c r="C11862" t="s">
        <v>3293</v>
      </c>
      <c r="D11862" t="s">
        <v>43306</v>
      </c>
      <c r="F11862" t="s">
        <v>1</v>
      </c>
      <c r="G11862" t="s">
        <v>2</v>
      </c>
      <c r="H11862" t="s">
        <v>26431</v>
      </c>
      <c r="Y11862" t="s">
        <v>43307</v>
      </c>
    </row>
    <row r="11863" spans="1:25" x14ac:dyDescent="0.25">
      <c r="A11863" t="str">
        <f>"172440666035"</f>
        <v>172440666035</v>
      </c>
      <c r="B11863" t="s">
        <v>8011</v>
      </c>
      <c r="C11863" t="s">
        <v>24988</v>
      </c>
      <c r="D11863" t="s">
        <v>43308</v>
      </c>
      <c r="E11863">
        <v>424007</v>
      </c>
      <c r="F11863" t="s">
        <v>1</v>
      </c>
      <c r="G11863" t="s">
        <v>2</v>
      </c>
      <c r="H11863" t="s">
        <v>5281</v>
      </c>
      <c r="P11863" t="s">
        <v>941</v>
      </c>
      <c r="Y11863" t="s">
        <v>16121</v>
      </c>
    </row>
    <row r="11864" spans="1:25" x14ac:dyDescent="0.25">
      <c r="A11864" t="str">
        <f>"172447095590"</f>
        <v>172447095590</v>
      </c>
      <c r="B11864" t="s">
        <v>160</v>
      </c>
      <c r="C11864" t="s">
        <v>1666</v>
      </c>
      <c r="D11864" t="s">
        <v>43309</v>
      </c>
      <c r="E11864">
        <v>424040</v>
      </c>
      <c r="F11864" t="s">
        <v>1</v>
      </c>
      <c r="G11864" t="s">
        <v>2</v>
      </c>
      <c r="H11864" t="s">
        <v>7927</v>
      </c>
      <c r="Y11864" t="s">
        <v>19950</v>
      </c>
    </row>
    <row r="11865" spans="1:25" x14ac:dyDescent="0.25">
      <c r="A11865" t="str">
        <f>"172450959294"</f>
        <v>172450959294</v>
      </c>
      <c r="B11865" t="s">
        <v>88</v>
      </c>
      <c r="C11865" t="s">
        <v>6066</v>
      </c>
      <c r="D11865" t="s">
        <v>43310</v>
      </c>
      <c r="E11865">
        <v>424918</v>
      </c>
      <c r="F11865" t="s">
        <v>1</v>
      </c>
      <c r="G11865" t="s">
        <v>2</v>
      </c>
      <c r="H11865" t="s">
        <v>629</v>
      </c>
      <c r="P11865" t="s">
        <v>630</v>
      </c>
      <c r="Y11865" t="s">
        <v>1744</v>
      </c>
    </row>
    <row r="11866" spans="1:25" x14ac:dyDescent="0.25">
      <c r="A11866" t="str">
        <f>"172477426739"</f>
        <v>172477426739</v>
      </c>
      <c r="B11866" t="s">
        <v>117</v>
      </c>
      <c r="C11866" t="s">
        <v>873</v>
      </c>
      <c r="D11866" t="s">
        <v>873</v>
      </c>
      <c r="E11866">
        <v>424006</v>
      </c>
      <c r="F11866" t="s">
        <v>1</v>
      </c>
      <c r="G11866" t="s">
        <v>2</v>
      </c>
      <c r="H11866" t="s">
        <v>9984</v>
      </c>
      <c r="Y11866" t="s">
        <v>43311</v>
      </c>
    </row>
    <row r="11867" spans="1:25" x14ac:dyDescent="0.25">
      <c r="A11867" t="str">
        <f>"172530977406"</f>
        <v>172530977406</v>
      </c>
      <c r="B11867" t="s">
        <v>7312</v>
      </c>
      <c r="C11867" t="s">
        <v>19097</v>
      </c>
      <c r="D11867" t="s">
        <v>43312</v>
      </c>
      <c r="E11867">
        <v>424038</v>
      </c>
      <c r="F11867" t="s">
        <v>1</v>
      </c>
      <c r="G11867" t="s">
        <v>2</v>
      </c>
      <c r="H11867" t="s">
        <v>19362</v>
      </c>
      <c r="I11867" t="s">
        <v>43313</v>
      </c>
      <c r="L11867" t="s">
        <v>43314</v>
      </c>
      <c r="M11867" t="s">
        <v>43315</v>
      </c>
      <c r="Q11867" t="s">
        <v>43316</v>
      </c>
      <c r="Y11867" t="s">
        <v>30429</v>
      </c>
    </row>
    <row r="11868" spans="1:25" x14ac:dyDescent="0.25">
      <c r="A11868" t="str">
        <f>"172532444476"</f>
        <v>172532444476</v>
      </c>
      <c r="B11868" t="s">
        <v>188</v>
      </c>
      <c r="C11868" t="s">
        <v>23982</v>
      </c>
      <c r="D11868" t="s">
        <v>23982</v>
      </c>
      <c r="F11868" t="s">
        <v>1</v>
      </c>
      <c r="G11868" t="s">
        <v>2</v>
      </c>
      <c r="H11868" t="s">
        <v>31690</v>
      </c>
      <c r="Y11868" t="s">
        <v>43317</v>
      </c>
    </row>
    <row r="11869" spans="1:25" x14ac:dyDescent="0.25">
      <c r="A11869" t="str">
        <f>"172594109970"</f>
        <v>172594109970</v>
      </c>
      <c r="B11869" t="s">
        <v>80</v>
      </c>
      <c r="C11869" t="s">
        <v>3295</v>
      </c>
      <c r="D11869" t="s">
        <v>43318</v>
      </c>
      <c r="E11869">
        <v>424000</v>
      </c>
      <c r="F11869" t="s">
        <v>1</v>
      </c>
      <c r="G11869" t="s">
        <v>2</v>
      </c>
      <c r="H11869" t="s">
        <v>1531</v>
      </c>
      <c r="I11869" t="s">
        <v>24031</v>
      </c>
      <c r="J11869" t="s">
        <v>43319</v>
      </c>
      <c r="P11869" t="s">
        <v>2457</v>
      </c>
      <c r="Y11869" t="s">
        <v>1707</v>
      </c>
    </row>
    <row r="11870" spans="1:25" x14ac:dyDescent="0.25">
      <c r="A11870" t="str">
        <f>"172658318178"</f>
        <v>172658318178</v>
      </c>
      <c r="B11870" t="s">
        <v>96</v>
      </c>
      <c r="C11870" t="s">
        <v>507</v>
      </c>
      <c r="D11870" t="s">
        <v>4535</v>
      </c>
      <c r="E11870">
        <v>424020</v>
      </c>
      <c r="F11870" t="s">
        <v>1</v>
      </c>
      <c r="G11870" t="s">
        <v>2</v>
      </c>
      <c r="H11870" t="s">
        <v>1837</v>
      </c>
      <c r="Y11870" t="s">
        <v>43320</v>
      </c>
    </row>
    <row r="11871" spans="1:25" x14ac:dyDescent="0.25">
      <c r="A11871" t="str">
        <f>"172667626226"</f>
        <v>172667626226</v>
      </c>
      <c r="B11871" t="s">
        <v>96</v>
      </c>
      <c r="C11871" t="s">
        <v>43324</v>
      </c>
      <c r="D11871" t="s">
        <v>43321</v>
      </c>
      <c r="F11871" t="s">
        <v>1</v>
      </c>
      <c r="G11871" t="s">
        <v>2</v>
      </c>
      <c r="H11871" t="s">
        <v>43322</v>
      </c>
      <c r="J11871" t="s">
        <v>43323</v>
      </c>
      <c r="P11871" t="s">
        <v>1027</v>
      </c>
      <c r="Q11871" t="s">
        <v>43325</v>
      </c>
      <c r="V11871" t="s">
        <v>43326</v>
      </c>
      <c r="Y11871" t="s">
        <v>18164</v>
      </c>
    </row>
    <row r="11872" spans="1:25" x14ac:dyDescent="0.25">
      <c r="A11872" t="str">
        <f>"172670157738"</f>
        <v>172670157738</v>
      </c>
      <c r="B11872" t="s">
        <v>348</v>
      </c>
      <c r="C11872" t="s">
        <v>13749</v>
      </c>
      <c r="D11872" t="s">
        <v>43327</v>
      </c>
      <c r="F11872" t="s">
        <v>1</v>
      </c>
      <c r="G11872" t="s">
        <v>2</v>
      </c>
      <c r="H11872" t="s">
        <v>138</v>
      </c>
      <c r="I11872" t="s">
        <v>43328</v>
      </c>
      <c r="J11872" t="s">
        <v>43329</v>
      </c>
      <c r="L11872" t="s">
        <v>43330</v>
      </c>
      <c r="M11872" t="s">
        <v>43331</v>
      </c>
      <c r="P11872" t="s">
        <v>144</v>
      </c>
      <c r="Q11872" t="s">
        <v>43332</v>
      </c>
      <c r="R11872" t="s">
        <v>43333</v>
      </c>
      <c r="T11872" t="s">
        <v>43334</v>
      </c>
      <c r="U11872" t="s">
        <v>43335</v>
      </c>
      <c r="V11872" t="s">
        <v>43336</v>
      </c>
      <c r="Y11872" t="s">
        <v>43337</v>
      </c>
    </row>
    <row r="11873" spans="1:25" x14ac:dyDescent="0.25">
      <c r="A11873" t="str">
        <f>"172671519605"</f>
        <v>172671519605</v>
      </c>
      <c r="B11873" t="s">
        <v>1573</v>
      </c>
      <c r="C11873" t="s">
        <v>1753</v>
      </c>
      <c r="D11873" t="s">
        <v>43338</v>
      </c>
      <c r="E11873">
        <v>424008</v>
      </c>
      <c r="F11873" t="s">
        <v>1</v>
      </c>
      <c r="G11873" t="s">
        <v>2</v>
      </c>
      <c r="H11873" t="s">
        <v>11060</v>
      </c>
      <c r="I11873" t="s">
        <v>43339</v>
      </c>
      <c r="J11873" t="s">
        <v>43340</v>
      </c>
      <c r="L11873" t="s">
        <v>43341</v>
      </c>
      <c r="M11873" t="s">
        <v>43342</v>
      </c>
      <c r="P11873" t="s">
        <v>43343</v>
      </c>
      <c r="Q11873" t="s">
        <v>43344</v>
      </c>
      <c r="Y11873" t="s">
        <v>11964</v>
      </c>
    </row>
    <row r="11874" spans="1:25" x14ac:dyDescent="0.25">
      <c r="A11874" t="str">
        <f>"172681427518"</f>
        <v>172681427518</v>
      </c>
      <c r="B11874" t="s">
        <v>574</v>
      </c>
      <c r="C11874" t="s">
        <v>21020</v>
      </c>
      <c r="D11874" t="s">
        <v>25486</v>
      </c>
      <c r="F11874" t="s">
        <v>1</v>
      </c>
      <c r="G11874" t="s">
        <v>2</v>
      </c>
      <c r="H11874" t="s">
        <v>25791</v>
      </c>
      <c r="I11874" t="s">
        <v>43345</v>
      </c>
      <c r="L11874" t="s">
        <v>18047</v>
      </c>
      <c r="M11874" t="s">
        <v>18048</v>
      </c>
      <c r="P11874" t="s">
        <v>647</v>
      </c>
      <c r="Y11874" t="s">
        <v>40332</v>
      </c>
    </row>
    <row r="11875" spans="1:25" x14ac:dyDescent="0.25">
      <c r="A11875" t="str">
        <f>"172695421411"</f>
        <v>172695421411</v>
      </c>
      <c r="B11875" t="s">
        <v>43347</v>
      </c>
      <c r="C11875" t="s">
        <v>43348</v>
      </c>
      <c r="D11875" t="s">
        <v>43346</v>
      </c>
      <c r="E11875">
        <v>424038</v>
      </c>
      <c r="F11875" t="s">
        <v>1</v>
      </c>
      <c r="G11875" t="s">
        <v>2</v>
      </c>
      <c r="H11875" t="s">
        <v>28025</v>
      </c>
      <c r="Y11875" t="s">
        <v>43349</v>
      </c>
    </row>
    <row r="11876" spans="1:25" x14ac:dyDescent="0.25">
      <c r="A11876" t="str">
        <f>"172709365039"</f>
        <v>172709365039</v>
      </c>
      <c r="B11876" t="s">
        <v>18</v>
      </c>
      <c r="C11876" t="s">
        <v>43355</v>
      </c>
      <c r="D11876" t="s">
        <v>43350</v>
      </c>
      <c r="E11876">
        <v>424007</v>
      </c>
      <c r="F11876" t="s">
        <v>1</v>
      </c>
      <c r="G11876" t="s">
        <v>2</v>
      </c>
      <c r="H11876" t="s">
        <v>14570</v>
      </c>
      <c r="I11876" t="s">
        <v>43351</v>
      </c>
      <c r="K11876" t="s">
        <v>43352</v>
      </c>
      <c r="L11876" t="s">
        <v>43353</v>
      </c>
      <c r="M11876" t="s">
        <v>43354</v>
      </c>
      <c r="P11876" t="s">
        <v>20</v>
      </c>
      <c r="Y11876" t="s">
        <v>43356</v>
      </c>
    </row>
    <row r="11877" spans="1:25" x14ac:dyDescent="0.25">
      <c r="A11877" t="str">
        <f>"172791271165"</f>
        <v>172791271165</v>
      </c>
      <c r="B11877" t="s">
        <v>1152</v>
      </c>
      <c r="C11877" t="s">
        <v>43359</v>
      </c>
      <c r="D11877" t="s">
        <v>43357</v>
      </c>
      <c r="E11877">
        <v>424003</v>
      </c>
      <c r="F11877" t="s">
        <v>1</v>
      </c>
      <c r="G11877" t="s">
        <v>2</v>
      </c>
      <c r="H11877" t="s">
        <v>16294</v>
      </c>
      <c r="J11877" t="s">
        <v>43358</v>
      </c>
      <c r="P11877" t="s">
        <v>2738</v>
      </c>
      <c r="Y11877" t="s">
        <v>43360</v>
      </c>
    </row>
    <row r="11878" spans="1:25" x14ac:dyDescent="0.25">
      <c r="A11878" t="str">
        <f>"172796797679"</f>
        <v>172796797679</v>
      </c>
      <c r="B11878" t="s">
        <v>1343</v>
      </c>
      <c r="C11878" t="s">
        <v>5984</v>
      </c>
      <c r="D11878" t="s">
        <v>26605</v>
      </c>
      <c r="E11878">
        <v>424039</v>
      </c>
      <c r="F11878" t="s">
        <v>1</v>
      </c>
      <c r="G11878" t="s">
        <v>2</v>
      </c>
      <c r="H11878" t="s">
        <v>5827</v>
      </c>
      <c r="Y11878" t="s">
        <v>43361</v>
      </c>
    </row>
    <row r="11879" spans="1:25" x14ac:dyDescent="0.25">
      <c r="A11879" t="str">
        <f>"172830272640"</f>
        <v>172830272640</v>
      </c>
      <c r="B11879" t="s">
        <v>123</v>
      </c>
      <c r="C11879" t="s">
        <v>424</v>
      </c>
      <c r="D11879" t="s">
        <v>43362</v>
      </c>
      <c r="E11879">
        <v>424003</v>
      </c>
      <c r="F11879" t="s">
        <v>1</v>
      </c>
      <c r="G11879" t="s">
        <v>2</v>
      </c>
      <c r="H11879" t="s">
        <v>43363</v>
      </c>
      <c r="I11879" t="s">
        <v>43364</v>
      </c>
      <c r="K11879" t="s">
        <v>43365</v>
      </c>
      <c r="L11879" t="s">
        <v>43366</v>
      </c>
      <c r="M11879" t="s">
        <v>43367</v>
      </c>
      <c r="P11879" t="s">
        <v>425</v>
      </c>
      <c r="Y11879" t="s">
        <v>43368</v>
      </c>
    </row>
    <row r="11880" spans="1:25" x14ac:dyDescent="0.25">
      <c r="A11880" t="str">
        <f>"172850813274"</f>
        <v>172850813274</v>
      </c>
      <c r="B11880" t="s">
        <v>3008</v>
      </c>
      <c r="C11880" t="s">
        <v>43373</v>
      </c>
      <c r="D11880" t="s">
        <v>43369</v>
      </c>
      <c r="E11880">
        <v>424016</v>
      </c>
      <c r="F11880" t="s">
        <v>1</v>
      </c>
      <c r="G11880" t="s">
        <v>2</v>
      </c>
      <c r="H11880" t="s">
        <v>5561</v>
      </c>
      <c r="I11880" t="s">
        <v>43370</v>
      </c>
      <c r="L11880" t="s">
        <v>43371</v>
      </c>
      <c r="M11880" t="s">
        <v>43372</v>
      </c>
      <c r="P11880" t="s">
        <v>696</v>
      </c>
      <c r="Y11880" t="s">
        <v>5567</v>
      </c>
    </row>
    <row r="11881" spans="1:25" x14ac:dyDescent="0.25">
      <c r="A11881" t="str">
        <f>"172871616657"</f>
        <v>172871616657</v>
      </c>
      <c r="B11881" t="s">
        <v>930</v>
      </c>
      <c r="C11881" t="s">
        <v>37050</v>
      </c>
      <c r="D11881" t="s">
        <v>43374</v>
      </c>
      <c r="E11881">
        <v>424007</v>
      </c>
      <c r="F11881" t="s">
        <v>1</v>
      </c>
      <c r="G11881" t="s">
        <v>2</v>
      </c>
      <c r="H11881" t="s">
        <v>20520</v>
      </c>
      <c r="P11881" t="s">
        <v>696</v>
      </c>
      <c r="Y11881" t="s">
        <v>43375</v>
      </c>
    </row>
    <row r="11882" spans="1:25" x14ac:dyDescent="0.25">
      <c r="A11882" t="str">
        <f>"172875805192"</f>
        <v>172875805192</v>
      </c>
      <c r="B11882" t="s">
        <v>25</v>
      </c>
      <c r="C11882" t="s">
        <v>59</v>
      </c>
      <c r="D11882" t="s">
        <v>43376</v>
      </c>
      <c r="E11882">
        <v>424019</v>
      </c>
      <c r="F11882" t="s">
        <v>1</v>
      </c>
      <c r="G11882" t="s">
        <v>2</v>
      </c>
      <c r="H11882" t="s">
        <v>15506</v>
      </c>
      <c r="I11882" t="s">
        <v>43377</v>
      </c>
      <c r="L11882" t="s">
        <v>43378</v>
      </c>
      <c r="M11882" t="s">
        <v>43379</v>
      </c>
      <c r="P11882" t="s">
        <v>15033</v>
      </c>
      <c r="Q11882" t="s">
        <v>43380</v>
      </c>
      <c r="R11882" t="s">
        <v>43381</v>
      </c>
      <c r="T11882" t="s">
        <v>43382</v>
      </c>
      <c r="U11882" t="s">
        <v>43383</v>
      </c>
      <c r="V11882" t="s">
        <v>43384</v>
      </c>
      <c r="Y11882" t="s">
        <v>17180</v>
      </c>
    </row>
    <row r="11883" spans="1:25" x14ac:dyDescent="0.25">
      <c r="A11883" t="str">
        <f>"172939034637"</f>
        <v>172939034637</v>
      </c>
      <c r="B11883" t="s">
        <v>96</v>
      </c>
      <c r="C11883" t="s">
        <v>7601</v>
      </c>
      <c r="D11883" t="s">
        <v>43385</v>
      </c>
      <c r="E11883">
        <v>424038</v>
      </c>
      <c r="F11883" t="s">
        <v>1</v>
      </c>
      <c r="G11883" t="s">
        <v>2</v>
      </c>
      <c r="H11883" t="s">
        <v>7597</v>
      </c>
      <c r="I11883" t="s">
        <v>43386</v>
      </c>
      <c r="L11883" t="s">
        <v>43387</v>
      </c>
      <c r="M11883" t="s">
        <v>43388</v>
      </c>
      <c r="P11883" t="s">
        <v>1642</v>
      </c>
      <c r="Q11883" t="s">
        <v>43389</v>
      </c>
      <c r="R11883" t="s">
        <v>43390</v>
      </c>
      <c r="T11883" t="s">
        <v>43391</v>
      </c>
      <c r="U11883" t="s">
        <v>43392</v>
      </c>
      <c r="V11883" t="s">
        <v>43393</v>
      </c>
      <c r="Y11883" t="s">
        <v>43394</v>
      </c>
    </row>
    <row r="11884" spans="1:25" x14ac:dyDescent="0.25">
      <c r="A11884" t="str">
        <f>"172958203888"</f>
        <v>172958203888</v>
      </c>
      <c r="B11884" t="s">
        <v>290</v>
      </c>
      <c r="C11884" t="s">
        <v>290</v>
      </c>
      <c r="D11884" t="s">
        <v>43395</v>
      </c>
      <c r="E11884">
        <v>424000</v>
      </c>
      <c r="F11884" t="s">
        <v>1</v>
      </c>
      <c r="G11884" t="s">
        <v>2</v>
      </c>
      <c r="H11884" t="s">
        <v>6578</v>
      </c>
      <c r="J11884" t="s">
        <v>43396</v>
      </c>
      <c r="P11884" t="s">
        <v>10285</v>
      </c>
      <c r="Y11884" t="s">
        <v>43397</v>
      </c>
    </row>
    <row r="11885" spans="1:25" x14ac:dyDescent="0.25">
      <c r="A11885" t="str">
        <f>"172960063685"</f>
        <v>172960063685</v>
      </c>
      <c r="B11885" t="s">
        <v>96</v>
      </c>
      <c r="C11885" t="s">
        <v>23587</v>
      </c>
      <c r="D11885" t="s">
        <v>19801</v>
      </c>
      <c r="E11885">
        <v>424036</v>
      </c>
      <c r="F11885" t="s">
        <v>1</v>
      </c>
      <c r="G11885" t="s">
        <v>2</v>
      </c>
      <c r="H11885" t="s">
        <v>5294</v>
      </c>
      <c r="I11885" t="s">
        <v>43398</v>
      </c>
      <c r="P11885" t="s">
        <v>39631</v>
      </c>
      <c r="Y11885" t="s">
        <v>10139</v>
      </c>
    </row>
    <row r="11886" spans="1:25" x14ac:dyDescent="0.25">
      <c r="A11886" t="str">
        <f>"172968582966"</f>
        <v>172968582966</v>
      </c>
      <c r="B11886" t="s">
        <v>160</v>
      </c>
      <c r="C11886" t="s">
        <v>2479</v>
      </c>
      <c r="D11886" t="s">
        <v>43399</v>
      </c>
      <c r="F11886" t="s">
        <v>1</v>
      </c>
      <c r="G11886" t="s">
        <v>2</v>
      </c>
      <c r="H11886" t="s">
        <v>7547</v>
      </c>
      <c r="Y11886" t="s">
        <v>43400</v>
      </c>
    </row>
    <row r="11887" spans="1:25" x14ac:dyDescent="0.25">
      <c r="A11887" t="str">
        <f>"172996970587"</f>
        <v>172996970587</v>
      </c>
      <c r="B11887" t="s">
        <v>456</v>
      </c>
      <c r="C11887" t="s">
        <v>2773</v>
      </c>
      <c r="D11887" t="s">
        <v>43401</v>
      </c>
      <c r="E11887">
        <v>424019</v>
      </c>
      <c r="F11887" t="s">
        <v>1</v>
      </c>
      <c r="G11887" t="s">
        <v>2</v>
      </c>
      <c r="H11887" t="s">
        <v>20692</v>
      </c>
      <c r="M11887" t="s">
        <v>43402</v>
      </c>
      <c r="P11887" t="s">
        <v>2406</v>
      </c>
      <c r="Q11887" t="s">
        <v>43403</v>
      </c>
      <c r="R11887" t="s">
        <v>43404</v>
      </c>
      <c r="U11887" t="s">
        <v>43405</v>
      </c>
      <c r="V11887" t="s">
        <v>43406</v>
      </c>
      <c r="Y11887" t="s">
        <v>20697</v>
      </c>
    </row>
    <row r="11888" spans="1:25" x14ac:dyDescent="0.25">
      <c r="A11888" t="str">
        <f>"173016471669"</f>
        <v>173016471669</v>
      </c>
      <c r="B11888" t="s">
        <v>160</v>
      </c>
      <c r="C11888" t="s">
        <v>43411</v>
      </c>
      <c r="D11888" t="s">
        <v>43407</v>
      </c>
      <c r="E11888">
        <v>424004</v>
      </c>
      <c r="F11888" t="s">
        <v>1</v>
      </c>
      <c r="G11888" t="s">
        <v>2</v>
      </c>
      <c r="H11888" t="s">
        <v>17461</v>
      </c>
      <c r="I11888" t="s">
        <v>43408</v>
      </c>
      <c r="L11888" t="s">
        <v>43409</v>
      </c>
      <c r="M11888" t="s">
        <v>43410</v>
      </c>
      <c r="P11888" t="s">
        <v>43412</v>
      </c>
      <c r="Y11888" t="s">
        <v>43413</v>
      </c>
    </row>
    <row r="11889" spans="1:25" x14ac:dyDescent="0.25">
      <c r="A11889" t="str">
        <f>"173022441158"</f>
        <v>173022441158</v>
      </c>
      <c r="B11889" t="s">
        <v>1352</v>
      </c>
      <c r="C11889" t="s">
        <v>11624</v>
      </c>
      <c r="D11889" t="s">
        <v>43414</v>
      </c>
      <c r="E11889">
        <v>424006</v>
      </c>
      <c r="F11889" t="s">
        <v>1</v>
      </c>
      <c r="G11889" t="s">
        <v>2</v>
      </c>
      <c r="H11889" t="s">
        <v>751</v>
      </c>
      <c r="Y11889" t="s">
        <v>43415</v>
      </c>
    </row>
    <row r="11890" spans="1:25" x14ac:dyDescent="0.25">
      <c r="A11890" t="str">
        <f>"173028833317"</f>
        <v>173028833317</v>
      </c>
      <c r="B11890" t="s">
        <v>3573</v>
      </c>
      <c r="C11890" t="s">
        <v>5816</v>
      </c>
      <c r="D11890" t="s">
        <v>43416</v>
      </c>
      <c r="E11890">
        <v>424033</v>
      </c>
      <c r="F11890" t="s">
        <v>1</v>
      </c>
      <c r="G11890" t="s">
        <v>2</v>
      </c>
      <c r="H11890" t="s">
        <v>38404</v>
      </c>
      <c r="J11890" t="s">
        <v>43417</v>
      </c>
      <c r="M11890" t="s">
        <v>43418</v>
      </c>
      <c r="P11890" t="s">
        <v>27</v>
      </c>
      <c r="Y11890" t="s">
        <v>30583</v>
      </c>
    </row>
    <row r="11891" spans="1:25" x14ac:dyDescent="0.25">
      <c r="A11891" t="str">
        <f>"173073032136"</f>
        <v>173073032136</v>
      </c>
      <c r="B11891" t="s">
        <v>117</v>
      </c>
      <c r="C11891" t="s">
        <v>118</v>
      </c>
      <c r="D11891" t="s">
        <v>43419</v>
      </c>
      <c r="F11891" t="s">
        <v>1</v>
      </c>
      <c r="G11891" t="s">
        <v>2</v>
      </c>
      <c r="H11891" t="s">
        <v>7547</v>
      </c>
      <c r="Y11891" t="s">
        <v>43420</v>
      </c>
    </row>
    <row r="11892" spans="1:25" x14ac:dyDescent="0.25">
      <c r="A11892" t="str">
        <f>"173073544805"</f>
        <v>173073544805</v>
      </c>
      <c r="B11892" t="s">
        <v>123</v>
      </c>
      <c r="C11892" t="s">
        <v>196</v>
      </c>
      <c r="D11892" t="s">
        <v>43421</v>
      </c>
      <c r="E11892">
        <v>424038</v>
      </c>
      <c r="F11892" t="s">
        <v>1</v>
      </c>
      <c r="G11892" t="s">
        <v>2</v>
      </c>
      <c r="H11892" t="s">
        <v>16988</v>
      </c>
      <c r="J11892" t="s">
        <v>43422</v>
      </c>
      <c r="Y11892" t="s">
        <v>21440</v>
      </c>
    </row>
    <row r="11893" spans="1:25" x14ac:dyDescent="0.25">
      <c r="A11893" t="str">
        <f>"173168605789"</f>
        <v>173168605789</v>
      </c>
      <c r="B11893" t="s">
        <v>3094</v>
      </c>
      <c r="C11893" t="s">
        <v>3095</v>
      </c>
      <c r="D11893" t="s">
        <v>43423</v>
      </c>
      <c r="E11893">
        <v>424038</v>
      </c>
      <c r="F11893" t="s">
        <v>1</v>
      </c>
      <c r="G11893" t="s">
        <v>2</v>
      </c>
      <c r="H11893" t="s">
        <v>546</v>
      </c>
      <c r="Y11893" t="s">
        <v>40723</v>
      </c>
    </row>
    <row r="11894" spans="1:25" x14ac:dyDescent="0.25">
      <c r="A11894" t="str">
        <f>"173175888047"</f>
        <v>173175888047</v>
      </c>
      <c r="B11894" t="s">
        <v>25</v>
      </c>
      <c r="C11894" t="s">
        <v>4458</v>
      </c>
      <c r="D11894" t="s">
        <v>43424</v>
      </c>
      <c r="E11894">
        <v>424002</v>
      </c>
      <c r="F11894" t="s">
        <v>1</v>
      </c>
      <c r="G11894" t="s">
        <v>2</v>
      </c>
      <c r="H11894" t="s">
        <v>57</v>
      </c>
      <c r="I11894" t="s">
        <v>43425</v>
      </c>
      <c r="P11894" t="s">
        <v>43426</v>
      </c>
      <c r="Y11894" t="s">
        <v>3783</v>
      </c>
    </row>
    <row r="11895" spans="1:25" x14ac:dyDescent="0.25">
      <c r="A11895" t="str">
        <f>"173248706851"</f>
        <v>173248706851</v>
      </c>
      <c r="B11895" t="s">
        <v>930</v>
      </c>
      <c r="C11895" t="s">
        <v>1096</v>
      </c>
      <c r="D11895" t="s">
        <v>26036</v>
      </c>
      <c r="E11895">
        <v>424032</v>
      </c>
      <c r="F11895" t="s">
        <v>1</v>
      </c>
      <c r="G11895" t="s">
        <v>2</v>
      </c>
      <c r="H11895" t="s">
        <v>29920</v>
      </c>
      <c r="Y11895" t="s">
        <v>43427</v>
      </c>
    </row>
    <row r="11896" spans="1:25" x14ac:dyDescent="0.25">
      <c r="A11896" t="str">
        <f>"173270392279"</f>
        <v>173270392279</v>
      </c>
      <c r="B11896" t="s">
        <v>1053</v>
      </c>
      <c r="C11896" t="s">
        <v>11751</v>
      </c>
      <c r="D11896" t="s">
        <v>16023</v>
      </c>
      <c r="E11896">
        <v>424033</v>
      </c>
      <c r="F11896" t="s">
        <v>1</v>
      </c>
      <c r="G11896" t="s">
        <v>2</v>
      </c>
      <c r="H11896" t="s">
        <v>10720</v>
      </c>
      <c r="I11896" t="s">
        <v>32984</v>
      </c>
      <c r="J11896" t="s">
        <v>43428</v>
      </c>
      <c r="P11896" t="s">
        <v>2951</v>
      </c>
      <c r="Y11896" t="s">
        <v>10723</v>
      </c>
    </row>
    <row r="11897" spans="1:25" x14ac:dyDescent="0.25">
      <c r="A11897" t="str">
        <f>"173348015202"</f>
        <v>173348015202</v>
      </c>
      <c r="B11897" t="s">
        <v>888</v>
      </c>
      <c r="C11897" t="s">
        <v>15845</v>
      </c>
      <c r="D11897" t="s">
        <v>43429</v>
      </c>
      <c r="E11897">
        <v>424006</v>
      </c>
      <c r="F11897" t="s">
        <v>1</v>
      </c>
      <c r="G11897" t="s">
        <v>2</v>
      </c>
      <c r="H11897" t="s">
        <v>2628</v>
      </c>
      <c r="J11897" t="s">
        <v>43430</v>
      </c>
      <c r="L11897" t="s">
        <v>43431</v>
      </c>
      <c r="M11897" t="s">
        <v>43432</v>
      </c>
      <c r="P11897" t="s">
        <v>27</v>
      </c>
      <c r="Y11897" t="s">
        <v>12552</v>
      </c>
    </row>
    <row r="11898" spans="1:25" x14ac:dyDescent="0.25">
      <c r="A11898" t="str">
        <f>"173368630454"</f>
        <v>173368630454</v>
      </c>
      <c r="B11898" t="s">
        <v>348</v>
      </c>
      <c r="C11898" t="s">
        <v>43437</v>
      </c>
      <c r="D11898" t="s">
        <v>43433</v>
      </c>
      <c r="E11898">
        <v>424000</v>
      </c>
      <c r="F11898" t="s">
        <v>1</v>
      </c>
      <c r="G11898" t="s">
        <v>2</v>
      </c>
      <c r="H11898" t="s">
        <v>34581</v>
      </c>
      <c r="I11898" t="s">
        <v>43434</v>
      </c>
      <c r="L11898" t="s">
        <v>43435</v>
      </c>
      <c r="M11898" t="s">
        <v>43436</v>
      </c>
      <c r="P11898" t="s">
        <v>7701</v>
      </c>
      <c r="Y11898" t="s">
        <v>43438</v>
      </c>
    </row>
    <row r="11899" spans="1:25" x14ac:dyDescent="0.25">
      <c r="A11899" t="str">
        <f>"173372550183"</f>
        <v>173372550183</v>
      </c>
      <c r="B11899" t="s">
        <v>7312</v>
      </c>
      <c r="C11899" t="s">
        <v>42379</v>
      </c>
      <c r="D11899" t="s">
        <v>43439</v>
      </c>
      <c r="E11899">
        <v>424028</v>
      </c>
      <c r="F11899" t="s">
        <v>1</v>
      </c>
      <c r="G11899" t="s">
        <v>2</v>
      </c>
      <c r="H11899" t="s">
        <v>5034</v>
      </c>
      <c r="J11899" t="s">
        <v>43440</v>
      </c>
      <c r="P11899" t="s">
        <v>941</v>
      </c>
      <c r="Y11899" t="s">
        <v>5036</v>
      </c>
    </row>
    <row r="11900" spans="1:25" x14ac:dyDescent="0.25">
      <c r="A11900" t="str">
        <f>"173469890739"</f>
        <v>173469890739</v>
      </c>
      <c r="B11900" t="s">
        <v>16429</v>
      </c>
      <c r="C11900" t="s">
        <v>16430</v>
      </c>
      <c r="D11900" t="s">
        <v>16430</v>
      </c>
      <c r="E11900">
        <v>424019</v>
      </c>
      <c r="F11900" t="s">
        <v>1</v>
      </c>
      <c r="G11900" t="s">
        <v>2</v>
      </c>
      <c r="H11900" t="s">
        <v>1801</v>
      </c>
      <c r="Y11900" t="s">
        <v>43441</v>
      </c>
    </row>
    <row r="11901" spans="1:25" x14ac:dyDescent="0.25">
      <c r="A11901" t="str">
        <f>"173501412315"</f>
        <v>173501412315</v>
      </c>
      <c r="B11901" t="s">
        <v>18</v>
      </c>
      <c r="C11901" t="s">
        <v>4522</v>
      </c>
      <c r="D11901" t="s">
        <v>33919</v>
      </c>
      <c r="E11901">
        <v>424006</v>
      </c>
      <c r="F11901" t="s">
        <v>1</v>
      </c>
      <c r="G11901" t="s">
        <v>2</v>
      </c>
      <c r="H11901" t="s">
        <v>2012</v>
      </c>
      <c r="J11901" t="s">
        <v>43442</v>
      </c>
      <c r="P11901" t="s">
        <v>2280</v>
      </c>
      <c r="Y11901" t="s">
        <v>2016</v>
      </c>
    </row>
    <row r="11902" spans="1:25" x14ac:dyDescent="0.25">
      <c r="A11902" t="str">
        <f>"173533727797"</f>
        <v>173533727797</v>
      </c>
      <c r="B11902" t="s">
        <v>574</v>
      </c>
      <c r="C11902" t="s">
        <v>43444</v>
      </c>
      <c r="D11902" t="s">
        <v>43443</v>
      </c>
      <c r="E11902">
        <v>424026</v>
      </c>
      <c r="F11902" t="s">
        <v>1</v>
      </c>
      <c r="G11902" t="s">
        <v>2</v>
      </c>
      <c r="H11902" t="s">
        <v>7964</v>
      </c>
      <c r="Y11902" t="s">
        <v>6422</v>
      </c>
    </row>
    <row r="11903" spans="1:25" x14ac:dyDescent="0.25">
      <c r="A11903" t="str">
        <f>"173585379635"</f>
        <v>173585379635</v>
      </c>
      <c r="B11903" t="s">
        <v>456</v>
      </c>
      <c r="C11903" t="s">
        <v>2773</v>
      </c>
      <c r="D11903" t="s">
        <v>43445</v>
      </c>
      <c r="E11903">
        <v>424006</v>
      </c>
      <c r="F11903" t="s">
        <v>1</v>
      </c>
      <c r="G11903" t="s">
        <v>2</v>
      </c>
      <c r="H11903" t="s">
        <v>8622</v>
      </c>
      <c r="I11903" t="s">
        <v>43446</v>
      </c>
      <c r="M11903" t="s">
        <v>43447</v>
      </c>
      <c r="Y11903" t="s">
        <v>8866</v>
      </c>
    </row>
    <row r="11904" spans="1:25" x14ac:dyDescent="0.25">
      <c r="A11904" t="str">
        <f>"173599486690"</f>
        <v>173599486690</v>
      </c>
      <c r="B11904" t="s">
        <v>574</v>
      </c>
      <c r="C11904" t="s">
        <v>43450</v>
      </c>
      <c r="D11904" t="s">
        <v>43448</v>
      </c>
      <c r="E11904">
        <v>424033</v>
      </c>
      <c r="F11904" t="s">
        <v>1</v>
      </c>
      <c r="G11904" t="s">
        <v>2</v>
      </c>
      <c r="H11904" t="s">
        <v>1782</v>
      </c>
      <c r="J11904" t="s">
        <v>43449</v>
      </c>
      <c r="P11904" t="s">
        <v>30553</v>
      </c>
      <c r="Q11904" t="s">
        <v>43451</v>
      </c>
      <c r="V11904" t="s">
        <v>43452</v>
      </c>
      <c r="Y11904" t="s">
        <v>43453</v>
      </c>
    </row>
    <row r="11905" spans="1:25" x14ac:dyDescent="0.25">
      <c r="A11905" t="str">
        <f>"173606360121"</f>
        <v>173606360121</v>
      </c>
      <c r="B11905" t="s">
        <v>1475</v>
      </c>
      <c r="C11905" t="s">
        <v>1476</v>
      </c>
      <c r="D11905" t="s">
        <v>25068</v>
      </c>
      <c r="F11905" t="s">
        <v>1</v>
      </c>
      <c r="G11905" t="s">
        <v>2</v>
      </c>
      <c r="H11905" t="s">
        <v>19499</v>
      </c>
      <c r="J11905" t="s">
        <v>41770</v>
      </c>
      <c r="P11905" t="s">
        <v>144</v>
      </c>
      <c r="Y11905" t="s">
        <v>24185</v>
      </c>
    </row>
    <row r="11906" spans="1:25" x14ac:dyDescent="0.25">
      <c r="A11906" t="str">
        <f>"173653021763"</f>
        <v>173653021763</v>
      </c>
      <c r="B11906" t="s">
        <v>408</v>
      </c>
      <c r="C11906" t="s">
        <v>25792</v>
      </c>
      <c r="D11906" t="s">
        <v>25790</v>
      </c>
      <c r="F11906" t="s">
        <v>1</v>
      </c>
      <c r="G11906" t="s">
        <v>2</v>
      </c>
      <c r="H11906" t="s">
        <v>39290</v>
      </c>
      <c r="Y11906" t="s">
        <v>43454</v>
      </c>
    </row>
    <row r="11907" spans="1:25" x14ac:dyDescent="0.25">
      <c r="A11907" t="str">
        <f>"173655591081"</f>
        <v>173655591081</v>
      </c>
      <c r="B11907" t="s">
        <v>25</v>
      </c>
      <c r="C11907" t="s">
        <v>5632</v>
      </c>
      <c r="D11907" t="s">
        <v>43455</v>
      </c>
      <c r="E11907">
        <v>424000</v>
      </c>
      <c r="F11907" t="s">
        <v>1</v>
      </c>
      <c r="G11907" t="s">
        <v>2</v>
      </c>
      <c r="H11907" t="s">
        <v>937</v>
      </c>
      <c r="L11907" t="s">
        <v>43456</v>
      </c>
      <c r="M11907" t="s">
        <v>43457</v>
      </c>
      <c r="P11907" t="s">
        <v>152</v>
      </c>
      <c r="Q11907" t="s">
        <v>43458</v>
      </c>
      <c r="V11907" t="s">
        <v>43459</v>
      </c>
      <c r="Y11907" t="s">
        <v>43460</v>
      </c>
    </row>
    <row r="11908" spans="1:25" x14ac:dyDescent="0.25">
      <c r="A11908" t="str">
        <f>"173764113281"</f>
        <v>173764113281</v>
      </c>
      <c r="B11908" t="s">
        <v>1573</v>
      </c>
      <c r="C11908" t="s">
        <v>3282</v>
      </c>
      <c r="D11908" t="s">
        <v>24854</v>
      </c>
      <c r="E11908">
        <v>424019</v>
      </c>
      <c r="F11908" t="s">
        <v>1</v>
      </c>
      <c r="G11908" t="s">
        <v>2</v>
      </c>
      <c r="H11908" t="s">
        <v>33263</v>
      </c>
      <c r="I11908" t="s">
        <v>3279</v>
      </c>
      <c r="P11908" t="s">
        <v>216</v>
      </c>
      <c r="Y11908" t="s">
        <v>43461</v>
      </c>
    </row>
    <row r="11909" spans="1:25" x14ac:dyDescent="0.25">
      <c r="A11909" t="str">
        <f>"173808322321"</f>
        <v>173808322321</v>
      </c>
      <c r="B11909" t="s">
        <v>1758</v>
      </c>
      <c r="C11909" t="s">
        <v>8089</v>
      </c>
      <c r="D11909" t="s">
        <v>1805</v>
      </c>
      <c r="E11909">
        <v>424020</v>
      </c>
      <c r="F11909" t="s">
        <v>1</v>
      </c>
      <c r="G11909" t="s">
        <v>2</v>
      </c>
      <c r="H11909" t="s">
        <v>24402</v>
      </c>
      <c r="P11909" t="s">
        <v>43462</v>
      </c>
      <c r="Y11909" t="s">
        <v>43463</v>
      </c>
    </row>
    <row r="11910" spans="1:25" x14ac:dyDescent="0.25">
      <c r="A11910" t="str">
        <f>"173812737875"</f>
        <v>173812737875</v>
      </c>
      <c r="B11910" t="s">
        <v>176</v>
      </c>
      <c r="C11910" t="s">
        <v>279</v>
      </c>
      <c r="D11910" t="s">
        <v>43464</v>
      </c>
      <c r="E11910">
        <v>424006</v>
      </c>
      <c r="F11910" t="s">
        <v>1</v>
      </c>
      <c r="G11910" t="s">
        <v>2</v>
      </c>
      <c r="H11910" t="s">
        <v>22633</v>
      </c>
      <c r="I11910" t="s">
        <v>43465</v>
      </c>
      <c r="L11910" t="s">
        <v>2444</v>
      </c>
      <c r="M11910" t="s">
        <v>29191</v>
      </c>
      <c r="P11910" t="s">
        <v>20</v>
      </c>
      <c r="Y11910" t="s">
        <v>43466</v>
      </c>
    </row>
    <row r="11911" spans="1:25" x14ac:dyDescent="0.25">
      <c r="A11911" t="str">
        <f>"173915358365"</f>
        <v>173915358365</v>
      </c>
      <c r="B11911" t="s">
        <v>18</v>
      </c>
      <c r="C11911" t="s">
        <v>43471</v>
      </c>
      <c r="D11911" t="s">
        <v>43467</v>
      </c>
      <c r="F11911" t="s">
        <v>1</v>
      </c>
      <c r="G11911" t="s">
        <v>2</v>
      </c>
      <c r="H11911" t="s">
        <v>36305</v>
      </c>
      <c r="J11911" t="s">
        <v>43468</v>
      </c>
      <c r="L11911" t="s">
        <v>43469</v>
      </c>
      <c r="M11911" t="s">
        <v>43470</v>
      </c>
      <c r="P11911" t="s">
        <v>6400</v>
      </c>
      <c r="Y11911" t="s">
        <v>43472</v>
      </c>
    </row>
    <row r="11912" spans="1:25" x14ac:dyDescent="0.25">
      <c r="A11912" t="str">
        <f>"173921004428"</f>
        <v>173921004428</v>
      </c>
      <c r="B11912" t="s">
        <v>530</v>
      </c>
      <c r="C11912" t="s">
        <v>5046</v>
      </c>
      <c r="D11912" t="s">
        <v>43473</v>
      </c>
      <c r="E11912">
        <v>424002</v>
      </c>
      <c r="F11912" t="s">
        <v>1</v>
      </c>
      <c r="G11912" t="s">
        <v>2</v>
      </c>
      <c r="H11912" t="s">
        <v>8832</v>
      </c>
      <c r="J11912" t="s">
        <v>43474</v>
      </c>
      <c r="P11912" t="s">
        <v>152</v>
      </c>
      <c r="Y11912" t="s">
        <v>8902</v>
      </c>
    </row>
    <row r="11913" spans="1:25" x14ac:dyDescent="0.25">
      <c r="A11913" t="str">
        <f>"173938827495"</f>
        <v>173938827495</v>
      </c>
      <c r="B11913" t="s">
        <v>2846</v>
      </c>
      <c r="C11913" t="s">
        <v>43479</v>
      </c>
      <c r="D11913" t="s">
        <v>43475</v>
      </c>
      <c r="F11913" t="s">
        <v>1</v>
      </c>
      <c r="G11913" t="s">
        <v>2</v>
      </c>
      <c r="H11913" t="s">
        <v>12450</v>
      </c>
      <c r="I11913" t="s">
        <v>43476</v>
      </c>
      <c r="L11913" t="s">
        <v>43477</v>
      </c>
      <c r="M11913" t="s">
        <v>43478</v>
      </c>
      <c r="P11913" t="s">
        <v>2050</v>
      </c>
      <c r="Q11913" t="s">
        <v>43480</v>
      </c>
      <c r="Y11913" t="s">
        <v>12460</v>
      </c>
    </row>
    <row r="11914" spans="1:25" x14ac:dyDescent="0.25">
      <c r="A11914" t="str">
        <f>"173940206167"</f>
        <v>173940206167</v>
      </c>
      <c r="B11914" t="s">
        <v>1053</v>
      </c>
      <c r="C11914" t="s">
        <v>43484</v>
      </c>
      <c r="D11914" t="s">
        <v>11910</v>
      </c>
      <c r="E11914">
        <v>424007</v>
      </c>
      <c r="F11914" t="s">
        <v>1</v>
      </c>
      <c r="G11914" t="s">
        <v>2</v>
      </c>
      <c r="H11914" t="s">
        <v>15418</v>
      </c>
      <c r="J11914" t="s">
        <v>43481</v>
      </c>
      <c r="L11914" t="s">
        <v>43482</v>
      </c>
      <c r="M11914" t="s">
        <v>43483</v>
      </c>
      <c r="P11914" t="s">
        <v>60</v>
      </c>
      <c r="Q11914" t="s">
        <v>22066</v>
      </c>
      <c r="Y11914" t="s">
        <v>43485</v>
      </c>
    </row>
    <row r="11915" spans="1:25" x14ac:dyDescent="0.25">
      <c r="A11915" t="str">
        <f>"173955044202"</f>
        <v>173955044202</v>
      </c>
      <c r="B11915" t="s">
        <v>348</v>
      </c>
      <c r="C11915" t="s">
        <v>36374</v>
      </c>
      <c r="D11915" t="s">
        <v>43486</v>
      </c>
      <c r="E11915">
        <v>424026</v>
      </c>
      <c r="F11915" t="s">
        <v>1</v>
      </c>
      <c r="G11915" t="s">
        <v>2</v>
      </c>
      <c r="H11915" t="s">
        <v>7964</v>
      </c>
      <c r="Y11915" t="s">
        <v>6422</v>
      </c>
    </row>
    <row r="11916" spans="1:25" x14ac:dyDescent="0.25">
      <c r="A11916" t="str">
        <f>"174019866592"</f>
        <v>174019866592</v>
      </c>
      <c r="B11916" t="s">
        <v>4084</v>
      </c>
      <c r="C11916" t="s">
        <v>9688</v>
      </c>
      <c r="D11916" t="s">
        <v>43487</v>
      </c>
      <c r="E11916">
        <v>424003</v>
      </c>
      <c r="F11916" t="s">
        <v>1</v>
      </c>
      <c r="G11916" t="s">
        <v>2</v>
      </c>
      <c r="H11916" t="s">
        <v>31243</v>
      </c>
      <c r="I11916" t="s">
        <v>43488</v>
      </c>
      <c r="P11916" t="s">
        <v>43489</v>
      </c>
      <c r="Y11916" t="s">
        <v>43490</v>
      </c>
    </row>
    <row r="11917" spans="1:25" x14ac:dyDescent="0.25">
      <c r="A11917" t="str">
        <f>"174021162284"</f>
        <v>174021162284</v>
      </c>
      <c r="B11917" t="s">
        <v>88</v>
      </c>
      <c r="C11917" t="s">
        <v>23421</v>
      </c>
      <c r="D11917" t="s">
        <v>36167</v>
      </c>
      <c r="E11917">
        <v>424007</v>
      </c>
      <c r="F11917" t="s">
        <v>1</v>
      </c>
      <c r="G11917" t="s">
        <v>2</v>
      </c>
      <c r="H11917" t="s">
        <v>23667</v>
      </c>
      <c r="Y11917" t="s">
        <v>26960</v>
      </c>
    </row>
    <row r="11918" spans="1:25" x14ac:dyDescent="0.25">
      <c r="A11918" t="str">
        <f>"174028618530"</f>
        <v>174028618530</v>
      </c>
      <c r="B11918" t="s">
        <v>530</v>
      </c>
      <c r="C11918" t="s">
        <v>23950</v>
      </c>
      <c r="D11918" t="s">
        <v>23950</v>
      </c>
      <c r="F11918" t="s">
        <v>1</v>
      </c>
      <c r="G11918" t="s">
        <v>2</v>
      </c>
      <c r="H11918" t="s">
        <v>27308</v>
      </c>
      <c r="Y11918" t="s">
        <v>43491</v>
      </c>
    </row>
    <row r="11919" spans="1:25" x14ac:dyDescent="0.25">
      <c r="A11919" t="str">
        <f>"174084909015"</f>
        <v>174084909015</v>
      </c>
      <c r="B11919" t="s">
        <v>32077</v>
      </c>
      <c r="C11919" t="s">
        <v>43496</v>
      </c>
      <c r="D11919" t="s">
        <v>43492</v>
      </c>
      <c r="E11919">
        <v>424006</v>
      </c>
      <c r="F11919" t="s">
        <v>1</v>
      </c>
      <c r="G11919" t="s">
        <v>2</v>
      </c>
      <c r="H11919" t="s">
        <v>8622</v>
      </c>
      <c r="I11919" t="s">
        <v>43493</v>
      </c>
      <c r="L11919" t="s">
        <v>43494</v>
      </c>
      <c r="M11919" t="s">
        <v>43495</v>
      </c>
      <c r="P11919" t="s">
        <v>2280</v>
      </c>
      <c r="Q11919" t="s">
        <v>43497</v>
      </c>
      <c r="U11919" t="s">
        <v>43498</v>
      </c>
      <c r="V11919" t="s">
        <v>43499</v>
      </c>
      <c r="Y11919" t="s">
        <v>8866</v>
      </c>
    </row>
    <row r="11920" spans="1:25" x14ac:dyDescent="0.25">
      <c r="A11920" t="str">
        <f>"174114173398"</f>
        <v>174114173398</v>
      </c>
      <c r="B11920" t="s">
        <v>7</v>
      </c>
      <c r="C11920" t="s">
        <v>21467</v>
      </c>
      <c r="D11920" t="s">
        <v>43500</v>
      </c>
      <c r="E11920">
        <v>424033</v>
      </c>
      <c r="F11920" t="s">
        <v>1</v>
      </c>
      <c r="G11920" t="s">
        <v>2</v>
      </c>
      <c r="H11920" t="s">
        <v>4225</v>
      </c>
      <c r="P11920" t="s">
        <v>4006</v>
      </c>
      <c r="Q11920" t="s">
        <v>43501</v>
      </c>
      <c r="T11920" t="s">
        <v>43502</v>
      </c>
      <c r="V11920" t="s">
        <v>43503</v>
      </c>
      <c r="Y11920" t="s">
        <v>24650</v>
      </c>
    </row>
    <row r="11921" spans="1:25" x14ac:dyDescent="0.25">
      <c r="A11921" t="str">
        <f>"174117702961"</f>
        <v>174117702961</v>
      </c>
      <c r="B11921" t="s">
        <v>32</v>
      </c>
      <c r="C11921" t="s">
        <v>40</v>
      </c>
      <c r="D11921" t="s">
        <v>40</v>
      </c>
      <c r="E11921">
        <v>424019</v>
      </c>
      <c r="F11921" t="s">
        <v>1</v>
      </c>
      <c r="G11921" t="s">
        <v>2</v>
      </c>
      <c r="H11921" t="s">
        <v>40971</v>
      </c>
      <c r="Y11921" t="s">
        <v>43504</v>
      </c>
    </row>
    <row r="11922" spans="1:25" x14ac:dyDescent="0.25">
      <c r="A11922" t="str">
        <f>"174132581158"</f>
        <v>174132581158</v>
      </c>
      <c r="B11922" t="s">
        <v>176</v>
      </c>
      <c r="C11922" t="s">
        <v>566</v>
      </c>
      <c r="D11922" t="s">
        <v>43505</v>
      </c>
      <c r="E11922">
        <v>424004</v>
      </c>
      <c r="F11922" t="s">
        <v>1</v>
      </c>
      <c r="G11922" t="s">
        <v>2</v>
      </c>
      <c r="H11922" t="s">
        <v>43506</v>
      </c>
      <c r="I11922" t="s">
        <v>43507</v>
      </c>
      <c r="J11922" t="s">
        <v>43508</v>
      </c>
      <c r="L11922" t="s">
        <v>43509</v>
      </c>
      <c r="M11922" t="s">
        <v>43510</v>
      </c>
      <c r="P11922" t="s">
        <v>330</v>
      </c>
      <c r="Q11922" t="s">
        <v>43511</v>
      </c>
      <c r="Y11922" t="s">
        <v>43512</v>
      </c>
    </row>
    <row r="11923" spans="1:25" x14ac:dyDescent="0.25">
      <c r="A11923" t="str">
        <f>"174164411853"</f>
        <v>174164411853</v>
      </c>
      <c r="B11923" t="s">
        <v>18</v>
      </c>
      <c r="C11923" t="s">
        <v>4522</v>
      </c>
      <c r="D11923" t="s">
        <v>23975</v>
      </c>
      <c r="E11923">
        <v>424005</v>
      </c>
      <c r="F11923" t="s">
        <v>1</v>
      </c>
      <c r="G11923" t="s">
        <v>2</v>
      </c>
      <c r="H11923" t="s">
        <v>6843</v>
      </c>
      <c r="Y11923" t="s">
        <v>43513</v>
      </c>
    </row>
    <row r="11924" spans="1:25" x14ac:dyDescent="0.25">
      <c r="A11924" t="str">
        <f>"174218869520"</f>
        <v>174218869520</v>
      </c>
      <c r="B11924" t="s">
        <v>32</v>
      </c>
      <c r="C11924" t="s">
        <v>5809</v>
      </c>
      <c r="D11924" t="s">
        <v>7716</v>
      </c>
      <c r="E11924">
        <v>424004</v>
      </c>
      <c r="F11924" t="s">
        <v>1</v>
      </c>
      <c r="G11924" t="s">
        <v>2</v>
      </c>
      <c r="H11924" t="s">
        <v>2392</v>
      </c>
      <c r="Y11924" t="s">
        <v>43514</v>
      </c>
    </row>
    <row r="11925" spans="1:25" x14ac:dyDescent="0.25">
      <c r="A11925" t="str">
        <f>"174223454140"</f>
        <v>174223454140</v>
      </c>
      <c r="B11925" t="s">
        <v>790</v>
      </c>
      <c r="C11925" t="s">
        <v>25438</v>
      </c>
      <c r="D11925" t="s">
        <v>43515</v>
      </c>
      <c r="E11925">
        <v>424003</v>
      </c>
      <c r="F11925" t="s">
        <v>1</v>
      </c>
      <c r="G11925" t="s">
        <v>2</v>
      </c>
      <c r="H11925" t="s">
        <v>3158</v>
      </c>
      <c r="I11925" t="s">
        <v>43516</v>
      </c>
      <c r="J11925" t="s">
        <v>43517</v>
      </c>
      <c r="M11925" t="s">
        <v>43518</v>
      </c>
      <c r="P11925" t="s">
        <v>27</v>
      </c>
      <c r="Q11925" t="s">
        <v>43519</v>
      </c>
      <c r="Y11925" t="s">
        <v>6780</v>
      </c>
    </row>
    <row r="11926" spans="1:25" x14ac:dyDescent="0.25">
      <c r="A11926" t="str">
        <f>"174227200246"</f>
        <v>174227200246</v>
      </c>
      <c r="B11926" t="s">
        <v>746</v>
      </c>
      <c r="C11926" t="s">
        <v>22905</v>
      </c>
      <c r="D11926" t="s">
        <v>43520</v>
      </c>
      <c r="E11926">
        <v>424000</v>
      </c>
      <c r="F11926" t="s">
        <v>1</v>
      </c>
      <c r="G11926" t="s">
        <v>2</v>
      </c>
      <c r="H11926" t="s">
        <v>8365</v>
      </c>
      <c r="I11926" t="s">
        <v>43521</v>
      </c>
      <c r="L11926" t="s">
        <v>43522</v>
      </c>
      <c r="M11926" t="s">
        <v>43523</v>
      </c>
      <c r="P11926" t="s">
        <v>27</v>
      </c>
      <c r="Q11926" t="s">
        <v>43524</v>
      </c>
      <c r="S11926" t="s">
        <v>43525</v>
      </c>
      <c r="T11926" t="s">
        <v>43526</v>
      </c>
      <c r="U11926" t="s">
        <v>43527</v>
      </c>
      <c r="V11926" t="s">
        <v>43528</v>
      </c>
      <c r="Y11926" t="s">
        <v>43529</v>
      </c>
    </row>
    <row r="11927" spans="1:25" x14ac:dyDescent="0.25">
      <c r="A11927" t="str">
        <f>"174351444181"</f>
        <v>174351444181</v>
      </c>
      <c r="B11927" t="s">
        <v>930</v>
      </c>
      <c r="C11927" t="s">
        <v>15966</v>
      </c>
      <c r="D11927" t="s">
        <v>43530</v>
      </c>
      <c r="E11927">
        <v>424026</v>
      </c>
      <c r="F11927" t="s">
        <v>1</v>
      </c>
      <c r="G11927" t="s">
        <v>2</v>
      </c>
      <c r="H11927" t="s">
        <v>43531</v>
      </c>
      <c r="I11927" t="s">
        <v>43532</v>
      </c>
      <c r="P11927" t="s">
        <v>2580</v>
      </c>
      <c r="Y11927" t="s">
        <v>43533</v>
      </c>
    </row>
    <row r="11928" spans="1:25" x14ac:dyDescent="0.25">
      <c r="A11928" t="str">
        <f>"174363254740"</f>
        <v>174363254740</v>
      </c>
      <c r="B11928" t="s">
        <v>1152</v>
      </c>
      <c r="C11928" t="s">
        <v>43538</v>
      </c>
      <c r="D11928" t="s">
        <v>43534</v>
      </c>
      <c r="E11928">
        <v>424006</v>
      </c>
      <c r="F11928" t="s">
        <v>1</v>
      </c>
      <c r="G11928" t="s">
        <v>2</v>
      </c>
      <c r="H11928" t="s">
        <v>1890</v>
      </c>
      <c r="I11928" t="s">
        <v>43535</v>
      </c>
      <c r="L11928" t="s">
        <v>43536</v>
      </c>
      <c r="M11928" t="s">
        <v>43537</v>
      </c>
      <c r="P11928" t="s">
        <v>27</v>
      </c>
      <c r="Q11928" t="s">
        <v>43539</v>
      </c>
      <c r="Y11928" t="s">
        <v>19385</v>
      </c>
    </row>
    <row r="11929" spans="1:25" x14ac:dyDescent="0.25">
      <c r="A11929" t="str">
        <f>"174378727537"</f>
        <v>174378727537</v>
      </c>
      <c r="B11929" t="s">
        <v>1323</v>
      </c>
      <c r="C11929" t="s">
        <v>1324</v>
      </c>
      <c r="D11929" t="s">
        <v>43540</v>
      </c>
      <c r="E11929">
        <v>424031</v>
      </c>
      <c r="F11929" t="s">
        <v>1</v>
      </c>
      <c r="G11929" t="s">
        <v>2</v>
      </c>
      <c r="H11929" t="s">
        <v>887</v>
      </c>
      <c r="L11929" t="s">
        <v>4465</v>
      </c>
      <c r="M11929" t="s">
        <v>35664</v>
      </c>
      <c r="P11929" t="s">
        <v>20</v>
      </c>
      <c r="Q11929" t="s">
        <v>4468</v>
      </c>
      <c r="T11929" t="s">
        <v>40453</v>
      </c>
      <c r="U11929" t="s">
        <v>40454</v>
      </c>
      <c r="Y11929" t="s">
        <v>890</v>
      </c>
    </row>
    <row r="11930" spans="1:25" x14ac:dyDescent="0.25">
      <c r="A11930" t="str">
        <f>"174393599897"</f>
        <v>174393599897</v>
      </c>
      <c r="B11930" t="s">
        <v>574</v>
      </c>
      <c r="C11930" t="s">
        <v>22533</v>
      </c>
      <c r="D11930" t="s">
        <v>34843</v>
      </c>
      <c r="E11930">
        <v>424033</v>
      </c>
      <c r="F11930" t="s">
        <v>1</v>
      </c>
      <c r="G11930" t="s">
        <v>2</v>
      </c>
      <c r="H11930" t="s">
        <v>2597</v>
      </c>
      <c r="I11930" t="s">
        <v>21924</v>
      </c>
      <c r="M11930" t="s">
        <v>21925</v>
      </c>
      <c r="P11930" t="s">
        <v>133</v>
      </c>
      <c r="Y11930" t="s">
        <v>2718</v>
      </c>
    </row>
    <row r="11931" spans="1:25" x14ac:dyDescent="0.25">
      <c r="A11931" t="str">
        <f>"174401911866"</f>
        <v>174401911866</v>
      </c>
      <c r="B11931" t="s">
        <v>1544</v>
      </c>
      <c r="C11931" t="s">
        <v>40607</v>
      </c>
      <c r="D11931" t="s">
        <v>43541</v>
      </c>
      <c r="E11931">
        <v>424036</v>
      </c>
      <c r="F11931" t="s">
        <v>1</v>
      </c>
      <c r="G11931" t="s">
        <v>2</v>
      </c>
      <c r="H11931" t="s">
        <v>31630</v>
      </c>
      <c r="Y11931" t="s">
        <v>43542</v>
      </c>
    </row>
    <row r="11932" spans="1:25" x14ac:dyDescent="0.25">
      <c r="A11932" t="str">
        <f>"174423327109"</f>
        <v>174423327109</v>
      </c>
      <c r="B11932" t="s">
        <v>18</v>
      </c>
      <c r="C11932" t="s">
        <v>16412</v>
      </c>
      <c r="D11932" t="s">
        <v>43543</v>
      </c>
      <c r="E11932">
        <v>424033</v>
      </c>
      <c r="F11932" t="s">
        <v>1</v>
      </c>
      <c r="G11932" t="s">
        <v>2</v>
      </c>
      <c r="H11932" t="s">
        <v>4225</v>
      </c>
      <c r="Y11932" t="s">
        <v>43544</v>
      </c>
    </row>
    <row r="11933" spans="1:25" x14ac:dyDescent="0.25">
      <c r="A11933" t="str">
        <f>"174434693672"</f>
        <v>174434693672</v>
      </c>
      <c r="B11933" t="s">
        <v>469</v>
      </c>
      <c r="C11933" t="s">
        <v>43545</v>
      </c>
      <c r="D11933" t="s">
        <v>21345</v>
      </c>
      <c r="E11933">
        <v>424004</v>
      </c>
      <c r="F11933" t="s">
        <v>1</v>
      </c>
      <c r="G11933" t="s">
        <v>2</v>
      </c>
      <c r="H11933" t="s">
        <v>23522</v>
      </c>
      <c r="L11933" t="s">
        <v>11157</v>
      </c>
      <c r="M11933" t="s">
        <v>28491</v>
      </c>
      <c r="P11933" t="s">
        <v>23594</v>
      </c>
      <c r="Y11933" t="s">
        <v>43546</v>
      </c>
    </row>
    <row r="11934" spans="1:25" x14ac:dyDescent="0.25">
      <c r="A11934" t="str">
        <f>"174458696337"</f>
        <v>174458696337</v>
      </c>
      <c r="B11934" t="s">
        <v>1152</v>
      </c>
      <c r="C11934" t="s">
        <v>43550</v>
      </c>
      <c r="D11934" t="s">
        <v>43547</v>
      </c>
      <c r="E11934">
        <v>424000</v>
      </c>
      <c r="F11934" t="s">
        <v>1</v>
      </c>
      <c r="G11934" t="s">
        <v>2</v>
      </c>
      <c r="H11934" t="s">
        <v>7122</v>
      </c>
      <c r="J11934" t="s">
        <v>43548</v>
      </c>
      <c r="M11934" t="s">
        <v>43549</v>
      </c>
      <c r="P11934" t="s">
        <v>144</v>
      </c>
      <c r="Y11934" t="s">
        <v>43551</v>
      </c>
    </row>
    <row r="11935" spans="1:25" x14ac:dyDescent="0.25">
      <c r="A11935" t="str">
        <f>"174461597914"</f>
        <v>174461597914</v>
      </c>
      <c r="B11935" t="s">
        <v>224</v>
      </c>
      <c r="C11935" t="s">
        <v>815</v>
      </c>
      <c r="D11935" t="s">
        <v>13761</v>
      </c>
      <c r="E11935">
        <v>424032</v>
      </c>
      <c r="F11935" t="s">
        <v>1</v>
      </c>
      <c r="G11935" t="s">
        <v>2</v>
      </c>
      <c r="H11935" t="s">
        <v>5699</v>
      </c>
      <c r="Y11935" t="s">
        <v>43552</v>
      </c>
    </row>
    <row r="11936" spans="1:25" x14ac:dyDescent="0.25">
      <c r="A11936" t="str">
        <f>"174609441650"</f>
        <v>174609441650</v>
      </c>
      <c r="B11936" t="s">
        <v>32</v>
      </c>
      <c r="C11936" t="s">
        <v>43555</v>
      </c>
      <c r="D11936" t="s">
        <v>43553</v>
      </c>
      <c r="E11936">
        <v>424003</v>
      </c>
      <c r="F11936" t="s">
        <v>1</v>
      </c>
      <c r="G11936" t="s">
        <v>2</v>
      </c>
      <c r="H11936" t="s">
        <v>775</v>
      </c>
      <c r="J11936" t="s">
        <v>43554</v>
      </c>
      <c r="P11936" t="s">
        <v>144</v>
      </c>
      <c r="V11936" t="s">
        <v>43556</v>
      </c>
      <c r="Y11936" t="s">
        <v>6686</v>
      </c>
    </row>
    <row r="11937" spans="1:25" x14ac:dyDescent="0.25">
      <c r="A11937" t="str">
        <f>"174637211143"</f>
        <v>174637211143</v>
      </c>
      <c r="B11937" t="s">
        <v>18</v>
      </c>
      <c r="C11937" t="s">
        <v>4522</v>
      </c>
      <c r="D11937" t="s">
        <v>43557</v>
      </c>
      <c r="E11937">
        <v>424007</v>
      </c>
      <c r="F11937" t="s">
        <v>1</v>
      </c>
      <c r="G11937" t="s">
        <v>2</v>
      </c>
      <c r="H11937" t="s">
        <v>434</v>
      </c>
      <c r="Y11937" t="s">
        <v>43558</v>
      </c>
    </row>
    <row r="11938" spans="1:25" x14ac:dyDescent="0.25">
      <c r="A11938" t="str">
        <f>"174676493911"</f>
        <v>174676493911</v>
      </c>
      <c r="B11938" t="s">
        <v>930</v>
      </c>
      <c r="C11938" t="s">
        <v>927</v>
      </c>
      <c r="D11938" t="s">
        <v>927</v>
      </c>
      <c r="E11938">
        <v>424016</v>
      </c>
      <c r="F11938" t="s">
        <v>1</v>
      </c>
      <c r="G11938" t="s">
        <v>2</v>
      </c>
      <c r="H11938" t="s">
        <v>8165</v>
      </c>
      <c r="I11938" t="s">
        <v>43559</v>
      </c>
      <c r="P11938" t="s">
        <v>43560</v>
      </c>
      <c r="Y11938" t="s">
        <v>43561</v>
      </c>
    </row>
    <row r="11939" spans="1:25" x14ac:dyDescent="0.25">
      <c r="A11939" t="str">
        <f>"174713769684"</f>
        <v>174713769684</v>
      </c>
      <c r="B11939" t="s">
        <v>1053</v>
      </c>
      <c r="C11939" t="s">
        <v>1927</v>
      </c>
      <c r="D11939" t="s">
        <v>43562</v>
      </c>
      <c r="F11939" t="s">
        <v>1</v>
      </c>
      <c r="G11939" t="s">
        <v>2</v>
      </c>
      <c r="H11939" t="s">
        <v>32125</v>
      </c>
      <c r="Y11939" t="s">
        <v>43563</v>
      </c>
    </row>
    <row r="11940" spans="1:25" x14ac:dyDescent="0.25">
      <c r="A11940" t="str">
        <f>"174766612651"</f>
        <v>174766612651</v>
      </c>
      <c r="B11940" t="s">
        <v>790</v>
      </c>
      <c r="C11940" t="s">
        <v>13430</v>
      </c>
      <c r="D11940" t="s">
        <v>39759</v>
      </c>
      <c r="E11940">
        <v>424000</v>
      </c>
      <c r="F11940" t="s">
        <v>1</v>
      </c>
      <c r="G11940" t="s">
        <v>2</v>
      </c>
      <c r="H11940" t="s">
        <v>10357</v>
      </c>
      <c r="I11940" t="s">
        <v>43564</v>
      </c>
      <c r="L11940" t="s">
        <v>43565</v>
      </c>
      <c r="M11940" t="s">
        <v>43566</v>
      </c>
      <c r="P11940" t="s">
        <v>112</v>
      </c>
      <c r="Q11940" t="s">
        <v>43567</v>
      </c>
      <c r="T11940" t="s">
        <v>43568</v>
      </c>
      <c r="V11940" t="s">
        <v>43569</v>
      </c>
      <c r="Y11940" t="s">
        <v>43570</v>
      </c>
    </row>
    <row r="11941" spans="1:25" x14ac:dyDescent="0.25">
      <c r="A11941" t="str">
        <f>"174797426657"</f>
        <v>174797426657</v>
      </c>
      <c r="B11941" t="s">
        <v>1061</v>
      </c>
      <c r="C11941" t="s">
        <v>25591</v>
      </c>
      <c r="D11941" t="s">
        <v>43571</v>
      </c>
      <c r="F11941" t="s">
        <v>1</v>
      </c>
      <c r="G11941" t="s">
        <v>2</v>
      </c>
      <c r="H11941" t="s">
        <v>33523</v>
      </c>
      <c r="Y11941" t="s">
        <v>43572</v>
      </c>
    </row>
    <row r="11942" spans="1:25" x14ac:dyDescent="0.25">
      <c r="A11942" t="str">
        <f>"174829330243"</f>
        <v>174829330243</v>
      </c>
      <c r="B11942" t="s">
        <v>1053</v>
      </c>
      <c r="C11942" t="s">
        <v>22716</v>
      </c>
      <c r="D11942" t="s">
        <v>43573</v>
      </c>
      <c r="E11942">
        <v>424020</v>
      </c>
      <c r="F11942" t="s">
        <v>1</v>
      </c>
      <c r="G11942" t="s">
        <v>2</v>
      </c>
      <c r="H11942" t="s">
        <v>1837</v>
      </c>
      <c r="J11942" t="s">
        <v>43574</v>
      </c>
      <c r="L11942" t="s">
        <v>43575</v>
      </c>
      <c r="P11942" t="s">
        <v>3938</v>
      </c>
      <c r="Y11942" t="s">
        <v>1842</v>
      </c>
    </row>
    <row r="11943" spans="1:25" x14ac:dyDescent="0.25">
      <c r="A11943" t="str">
        <f>"174836614629"</f>
        <v>174836614629</v>
      </c>
      <c r="B11943" t="s">
        <v>25</v>
      </c>
      <c r="C11943" t="s">
        <v>20320</v>
      </c>
      <c r="D11943" t="s">
        <v>43576</v>
      </c>
      <c r="E11943">
        <v>424008</v>
      </c>
      <c r="F11943" t="s">
        <v>1</v>
      </c>
      <c r="G11943" t="s">
        <v>2</v>
      </c>
      <c r="H11943" t="s">
        <v>27421</v>
      </c>
      <c r="Y11943" t="s">
        <v>43577</v>
      </c>
    </row>
    <row r="11944" spans="1:25" x14ac:dyDescent="0.25">
      <c r="A11944" t="str">
        <f>"174888613936"</f>
        <v>174888613936</v>
      </c>
      <c r="B11944" t="s">
        <v>123</v>
      </c>
      <c r="C11944" t="s">
        <v>424</v>
      </c>
      <c r="D11944" t="s">
        <v>43578</v>
      </c>
      <c r="E11944">
        <v>424000</v>
      </c>
      <c r="F11944" t="s">
        <v>1</v>
      </c>
      <c r="G11944" t="s">
        <v>2</v>
      </c>
      <c r="H11944" t="s">
        <v>523</v>
      </c>
      <c r="I11944" t="s">
        <v>43579</v>
      </c>
      <c r="L11944" t="s">
        <v>27673</v>
      </c>
      <c r="M11944" t="s">
        <v>27674</v>
      </c>
      <c r="Y11944" t="s">
        <v>526</v>
      </c>
    </row>
    <row r="11945" spans="1:25" x14ac:dyDescent="0.25">
      <c r="A11945" t="str">
        <f>"174891568317"</f>
        <v>174891568317</v>
      </c>
      <c r="B11945" t="s">
        <v>1152</v>
      </c>
      <c r="C11945" t="s">
        <v>1385</v>
      </c>
      <c r="D11945" t="s">
        <v>28279</v>
      </c>
      <c r="F11945" t="s">
        <v>1</v>
      </c>
      <c r="G11945" t="s">
        <v>2</v>
      </c>
      <c r="H11945" t="s">
        <v>12204</v>
      </c>
      <c r="Y11945" t="s">
        <v>43580</v>
      </c>
    </row>
    <row r="11946" spans="1:25" x14ac:dyDescent="0.25">
      <c r="A11946" t="str">
        <f>"174926383366"</f>
        <v>174926383366</v>
      </c>
      <c r="B11946" t="s">
        <v>1323</v>
      </c>
      <c r="C11946" t="s">
        <v>1324</v>
      </c>
      <c r="D11946" t="s">
        <v>43581</v>
      </c>
      <c r="E11946">
        <v>424031</v>
      </c>
      <c r="F11946" t="s">
        <v>1</v>
      </c>
      <c r="G11946" t="s">
        <v>2</v>
      </c>
      <c r="H11946" t="s">
        <v>25309</v>
      </c>
      <c r="I11946" t="s">
        <v>43582</v>
      </c>
      <c r="L11946" t="s">
        <v>14566</v>
      </c>
      <c r="M11946" t="s">
        <v>4466</v>
      </c>
      <c r="P11946" t="s">
        <v>43583</v>
      </c>
      <c r="Y11946" t="s">
        <v>43584</v>
      </c>
    </row>
    <row r="11947" spans="1:25" x14ac:dyDescent="0.25">
      <c r="A11947" t="str">
        <f>"174954149125"</f>
        <v>174954149125</v>
      </c>
      <c r="B11947" t="s">
        <v>574</v>
      </c>
      <c r="C11947" t="s">
        <v>43589</v>
      </c>
      <c r="D11947" t="s">
        <v>43585</v>
      </c>
      <c r="E11947">
        <v>424033</v>
      </c>
      <c r="F11947" t="s">
        <v>1</v>
      </c>
      <c r="G11947" t="s">
        <v>2</v>
      </c>
      <c r="H11947" t="s">
        <v>4225</v>
      </c>
      <c r="J11947" t="s">
        <v>43586</v>
      </c>
      <c r="L11947" t="s">
        <v>43587</v>
      </c>
      <c r="M11947" t="s">
        <v>43588</v>
      </c>
      <c r="P11947" t="s">
        <v>12947</v>
      </c>
      <c r="Q11947" t="s">
        <v>43590</v>
      </c>
      <c r="V11947" t="s">
        <v>43591</v>
      </c>
      <c r="Y11947" t="s">
        <v>43592</v>
      </c>
    </row>
    <row r="11948" spans="1:25" x14ac:dyDescent="0.25">
      <c r="A11948" t="str">
        <f>"174954978570"</f>
        <v>174954978570</v>
      </c>
      <c r="B11948" t="s">
        <v>654</v>
      </c>
      <c r="C11948" t="s">
        <v>17804</v>
      </c>
      <c r="D11948" t="s">
        <v>43593</v>
      </c>
      <c r="E11948">
        <v>424031</v>
      </c>
      <c r="F11948" t="s">
        <v>1</v>
      </c>
      <c r="G11948" t="s">
        <v>2</v>
      </c>
      <c r="H11948" t="s">
        <v>2353</v>
      </c>
      <c r="I11948" t="s">
        <v>43594</v>
      </c>
      <c r="K11948" t="s">
        <v>43594</v>
      </c>
      <c r="P11948" t="s">
        <v>27</v>
      </c>
      <c r="Y11948" t="s">
        <v>2356</v>
      </c>
    </row>
    <row r="11949" spans="1:25" x14ac:dyDescent="0.25">
      <c r="A11949" t="str">
        <f>"174972389783"</f>
        <v>174972389783</v>
      </c>
      <c r="B11949" t="s">
        <v>574</v>
      </c>
      <c r="C11949" t="s">
        <v>32712</v>
      </c>
      <c r="D11949" t="s">
        <v>39411</v>
      </c>
      <c r="E11949">
        <v>424007</v>
      </c>
      <c r="F11949" t="s">
        <v>1</v>
      </c>
      <c r="G11949" t="s">
        <v>2</v>
      </c>
      <c r="H11949" t="s">
        <v>16696</v>
      </c>
      <c r="I11949" t="s">
        <v>39412</v>
      </c>
      <c r="L11949" t="s">
        <v>32711</v>
      </c>
      <c r="Q11949" t="s">
        <v>26537</v>
      </c>
      <c r="Y11949" t="s">
        <v>34173</v>
      </c>
    </row>
    <row r="11950" spans="1:25" x14ac:dyDescent="0.25">
      <c r="A11950" t="str">
        <f>"175001375660"</f>
        <v>175001375660</v>
      </c>
      <c r="B11950" t="s">
        <v>1046</v>
      </c>
      <c r="C11950" t="s">
        <v>34157</v>
      </c>
      <c r="D11950" t="s">
        <v>43595</v>
      </c>
      <c r="F11950" t="s">
        <v>1</v>
      </c>
      <c r="G11950" t="s">
        <v>2</v>
      </c>
      <c r="H11950" t="s">
        <v>4446</v>
      </c>
      <c r="Y11950" t="s">
        <v>43596</v>
      </c>
    </row>
    <row r="11951" spans="1:25" x14ac:dyDescent="0.25">
      <c r="A11951" t="str">
        <f>"175015529176"</f>
        <v>175015529176</v>
      </c>
      <c r="B11951" t="s">
        <v>96</v>
      </c>
      <c r="C11951" t="s">
        <v>893</v>
      </c>
      <c r="D11951" t="s">
        <v>43597</v>
      </c>
      <c r="E11951">
        <v>424000</v>
      </c>
      <c r="F11951" t="s">
        <v>1</v>
      </c>
      <c r="G11951" t="s">
        <v>2</v>
      </c>
      <c r="H11951" t="s">
        <v>92</v>
      </c>
      <c r="Y11951" t="s">
        <v>28397</v>
      </c>
    </row>
    <row r="11952" spans="1:25" x14ac:dyDescent="0.25">
      <c r="A11952" t="str">
        <f>"175023987290"</f>
        <v>175023987290</v>
      </c>
      <c r="B11952" t="s">
        <v>96</v>
      </c>
      <c r="C11952" t="s">
        <v>659</v>
      </c>
      <c r="D11952" t="s">
        <v>3831</v>
      </c>
      <c r="E11952">
        <v>424019</v>
      </c>
      <c r="F11952" t="s">
        <v>1</v>
      </c>
      <c r="G11952" t="s">
        <v>2</v>
      </c>
      <c r="H11952" t="s">
        <v>1801</v>
      </c>
      <c r="Y11952" t="s">
        <v>1804</v>
      </c>
    </row>
    <row r="11953" spans="1:25" x14ac:dyDescent="0.25">
      <c r="A11953" t="str">
        <f>"175072634484"</f>
        <v>175072634484</v>
      </c>
      <c r="B11953" t="s">
        <v>3700</v>
      </c>
      <c r="C11953" t="s">
        <v>4023</v>
      </c>
      <c r="D11953" t="s">
        <v>43598</v>
      </c>
      <c r="E11953">
        <v>424038</v>
      </c>
      <c r="F11953" t="s">
        <v>1</v>
      </c>
      <c r="G11953" t="s">
        <v>2</v>
      </c>
      <c r="H11953" t="s">
        <v>21507</v>
      </c>
      <c r="P11953" t="s">
        <v>43599</v>
      </c>
      <c r="Y11953" t="s">
        <v>43600</v>
      </c>
    </row>
    <row r="11954" spans="1:25" x14ac:dyDescent="0.25">
      <c r="A11954" t="str">
        <f>"175152972971"</f>
        <v>175152972971</v>
      </c>
      <c r="B11954" t="s">
        <v>96</v>
      </c>
      <c r="C11954" t="s">
        <v>893</v>
      </c>
      <c r="D11954" t="s">
        <v>27591</v>
      </c>
      <c r="E11954">
        <v>424000</v>
      </c>
      <c r="F11954" t="s">
        <v>1</v>
      </c>
      <c r="G11954" t="s">
        <v>2</v>
      </c>
      <c r="H11954" t="s">
        <v>92</v>
      </c>
      <c r="P11954" t="s">
        <v>98</v>
      </c>
      <c r="Y11954" t="s">
        <v>28397</v>
      </c>
    </row>
    <row r="11955" spans="1:25" x14ac:dyDescent="0.25">
      <c r="A11955" t="str">
        <f>"175164089006"</f>
        <v>175164089006</v>
      </c>
      <c r="B11955" t="s">
        <v>348</v>
      </c>
      <c r="C11955" t="s">
        <v>4366</v>
      </c>
      <c r="D11955" t="s">
        <v>43601</v>
      </c>
      <c r="E11955">
        <v>424000</v>
      </c>
      <c r="F11955" t="s">
        <v>1</v>
      </c>
      <c r="G11955" t="s">
        <v>2</v>
      </c>
      <c r="H11955" t="s">
        <v>1746</v>
      </c>
      <c r="Y11955" t="s">
        <v>43602</v>
      </c>
    </row>
    <row r="11956" spans="1:25" x14ac:dyDescent="0.25">
      <c r="A11956" t="str">
        <f>"175234123270"</f>
        <v>175234123270</v>
      </c>
      <c r="B11956" t="s">
        <v>117</v>
      </c>
      <c r="C11956" t="s">
        <v>6850</v>
      </c>
      <c r="D11956" t="s">
        <v>43603</v>
      </c>
      <c r="E11956">
        <v>424007</v>
      </c>
      <c r="F11956" t="s">
        <v>1</v>
      </c>
      <c r="G11956" t="s">
        <v>2</v>
      </c>
      <c r="H11956" t="s">
        <v>14570</v>
      </c>
      <c r="I11956" t="s">
        <v>34450</v>
      </c>
      <c r="P11956" t="s">
        <v>43604</v>
      </c>
      <c r="Y11956" t="s">
        <v>43605</v>
      </c>
    </row>
    <row r="11957" spans="1:25" x14ac:dyDescent="0.25">
      <c r="A11957" t="str">
        <f>"175257255183"</f>
        <v>175257255183</v>
      </c>
      <c r="B11957" t="s">
        <v>1343</v>
      </c>
      <c r="C11957" t="s">
        <v>5308</v>
      </c>
      <c r="D11957" t="s">
        <v>24040</v>
      </c>
      <c r="E11957">
        <v>424003</v>
      </c>
      <c r="F11957" t="s">
        <v>1</v>
      </c>
      <c r="G11957" t="s">
        <v>2</v>
      </c>
      <c r="H11957" t="s">
        <v>28076</v>
      </c>
      <c r="P11957" t="s">
        <v>15510</v>
      </c>
      <c r="Y11957" t="s">
        <v>43606</v>
      </c>
    </row>
    <row r="11958" spans="1:25" x14ac:dyDescent="0.25">
      <c r="A11958" t="str">
        <f>"175280043869"</f>
        <v>175280043869</v>
      </c>
      <c r="B11958" t="s">
        <v>88</v>
      </c>
      <c r="C11958" t="s">
        <v>6066</v>
      </c>
      <c r="D11958" t="s">
        <v>43607</v>
      </c>
      <c r="E11958">
        <v>424020</v>
      </c>
      <c r="F11958" t="s">
        <v>1</v>
      </c>
      <c r="G11958" t="s">
        <v>2</v>
      </c>
      <c r="H11958" t="s">
        <v>43608</v>
      </c>
      <c r="Q11958" t="s">
        <v>43609</v>
      </c>
      <c r="Y11958" t="s">
        <v>43610</v>
      </c>
    </row>
    <row r="11959" spans="1:25" x14ac:dyDescent="0.25">
      <c r="A11959" t="str">
        <f>"175292904237"</f>
        <v>175292904237</v>
      </c>
      <c r="B11959" t="s">
        <v>80</v>
      </c>
      <c r="C11959" t="s">
        <v>3295</v>
      </c>
      <c r="D11959" t="s">
        <v>31430</v>
      </c>
      <c r="E11959">
        <v>424006</v>
      </c>
      <c r="F11959" t="s">
        <v>1</v>
      </c>
      <c r="G11959" t="s">
        <v>2</v>
      </c>
      <c r="H11959" t="s">
        <v>43611</v>
      </c>
      <c r="J11959" t="s">
        <v>31431</v>
      </c>
      <c r="P11959" t="s">
        <v>43612</v>
      </c>
      <c r="Y11959" t="s">
        <v>43613</v>
      </c>
    </row>
    <row r="11960" spans="1:25" x14ac:dyDescent="0.25">
      <c r="A11960" t="str">
        <f>"175300401041"</f>
        <v>175300401041</v>
      </c>
      <c r="B11960" t="s">
        <v>25</v>
      </c>
      <c r="C11960" t="s">
        <v>59</v>
      </c>
      <c r="D11960" t="s">
        <v>33412</v>
      </c>
      <c r="E11960">
        <v>424037</v>
      </c>
      <c r="F11960" t="s">
        <v>1</v>
      </c>
      <c r="G11960" t="s">
        <v>2</v>
      </c>
      <c r="H11960" t="s">
        <v>1849</v>
      </c>
      <c r="Y11960" t="s">
        <v>43614</v>
      </c>
    </row>
    <row r="11961" spans="1:25" x14ac:dyDescent="0.25">
      <c r="A11961" t="str">
        <f>"175309047913"</f>
        <v>175309047913</v>
      </c>
      <c r="B11961" t="s">
        <v>530</v>
      </c>
      <c r="C11961" t="s">
        <v>23950</v>
      </c>
      <c r="D11961" t="s">
        <v>23950</v>
      </c>
      <c r="F11961" t="s">
        <v>1</v>
      </c>
      <c r="G11961" t="s">
        <v>2</v>
      </c>
      <c r="H11961" t="s">
        <v>43615</v>
      </c>
      <c r="Y11961" t="s">
        <v>43616</v>
      </c>
    </row>
    <row r="11962" spans="1:25" x14ac:dyDescent="0.25">
      <c r="A11962" t="str">
        <f>"175335646589"</f>
        <v>175335646589</v>
      </c>
      <c r="B11962" t="s">
        <v>176</v>
      </c>
      <c r="C11962" t="s">
        <v>566</v>
      </c>
      <c r="D11962" t="s">
        <v>43617</v>
      </c>
      <c r="F11962" t="s">
        <v>1</v>
      </c>
      <c r="G11962" t="s">
        <v>2</v>
      </c>
      <c r="H11962" t="s">
        <v>3984</v>
      </c>
      <c r="Y11962" t="s">
        <v>43618</v>
      </c>
    </row>
    <row r="11963" spans="1:25" x14ac:dyDescent="0.25">
      <c r="A11963" t="str">
        <f>"175343347965"</f>
        <v>175343347965</v>
      </c>
      <c r="B11963" t="s">
        <v>1343</v>
      </c>
      <c r="C11963" t="s">
        <v>5308</v>
      </c>
      <c r="D11963" t="s">
        <v>28775</v>
      </c>
      <c r="E11963">
        <v>424038</v>
      </c>
      <c r="F11963" t="s">
        <v>1</v>
      </c>
      <c r="G11963" t="s">
        <v>2</v>
      </c>
      <c r="H11963" t="s">
        <v>7597</v>
      </c>
      <c r="P11963" t="s">
        <v>1642</v>
      </c>
      <c r="Y11963" t="s">
        <v>43619</v>
      </c>
    </row>
    <row r="11964" spans="1:25" x14ac:dyDescent="0.25">
      <c r="A11964" t="str">
        <f>"175380000653"</f>
        <v>175380000653</v>
      </c>
      <c r="B11964" t="s">
        <v>1078</v>
      </c>
      <c r="C11964" t="s">
        <v>25481</v>
      </c>
      <c r="D11964" t="s">
        <v>43620</v>
      </c>
      <c r="E11964">
        <v>424038</v>
      </c>
      <c r="F11964" t="s">
        <v>1</v>
      </c>
      <c r="G11964" t="s">
        <v>2</v>
      </c>
      <c r="H11964" t="s">
        <v>21507</v>
      </c>
      <c r="Y11964" t="s">
        <v>43621</v>
      </c>
    </row>
    <row r="11965" spans="1:25" x14ac:dyDescent="0.25">
      <c r="A11965" t="str">
        <f>"175409007581"</f>
        <v>175409007581</v>
      </c>
      <c r="B11965" t="s">
        <v>1323</v>
      </c>
      <c r="C11965" t="s">
        <v>1324</v>
      </c>
      <c r="D11965" t="s">
        <v>28627</v>
      </c>
      <c r="E11965">
        <v>424002</v>
      </c>
      <c r="F11965" t="s">
        <v>1</v>
      </c>
      <c r="G11965" t="s">
        <v>2</v>
      </c>
      <c r="H11965" t="s">
        <v>8677</v>
      </c>
      <c r="I11965" t="s">
        <v>43622</v>
      </c>
      <c r="L11965" t="s">
        <v>14566</v>
      </c>
      <c r="M11965" t="s">
        <v>35664</v>
      </c>
      <c r="P11965" t="s">
        <v>32834</v>
      </c>
      <c r="Y11965" t="s">
        <v>43623</v>
      </c>
    </row>
    <row r="11966" spans="1:25" x14ac:dyDescent="0.25">
      <c r="A11966" t="str">
        <f>"175410372106"</f>
        <v>175410372106</v>
      </c>
      <c r="B11966" t="s">
        <v>930</v>
      </c>
      <c r="C11966" t="s">
        <v>43626</v>
      </c>
      <c r="D11966" t="s">
        <v>23105</v>
      </c>
      <c r="E11966">
        <v>424006</v>
      </c>
      <c r="F11966" t="s">
        <v>1</v>
      </c>
      <c r="G11966" t="s">
        <v>2</v>
      </c>
      <c r="H11966" t="s">
        <v>43624</v>
      </c>
      <c r="I11966" t="s">
        <v>43625</v>
      </c>
      <c r="P11966" t="s">
        <v>1160</v>
      </c>
      <c r="Y11966" t="s">
        <v>43627</v>
      </c>
    </row>
    <row r="11967" spans="1:25" x14ac:dyDescent="0.25">
      <c r="A11967" t="str">
        <f>"175479749611"</f>
        <v>175479749611</v>
      </c>
      <c r="B11967" t="s">
        <v>591</v>
      </c>
      <c r="C11967" t="s">
        <v>7358</v>
      </c>
      <c r="D11967" t="s">
        <v>43628</v>
      </c>
      <c r="E11967">
        <v>424016</v>
      </c>
      <c r="F11967" t="s">
        <v>1</v>
      </c>
      <c r="G11967" t="s">
        <v>2</v>
      </c>
      <c r="H11967" t="s">
        <v>5652</v>
      </c>
      <c r="Y11967" t="s">
        <v>43629</v>
      </c>
    </row>
    <row r="11968" spans="1:25" x14ac:dyDescent="0.25">
      <c r="A11968" t="str">
        <f>"175523914083"</f>
        <v>175523914083</v>
      </c>
      <c r="B11968" t="s">
        <v>117</v>
      </c>
      <c r="C11968" t="s">
        <v>873</v>
      </c>
      <c r="D11968" t="s">
        <v>873</v>
      </c>
      <c r="E11968">
        <v>424038</v>
      </c>
      <c r="F11968" t="s">
        <v>1</v>
      </c>
      <c r="G11968" t="s">
        <v>2</v>
      </c>
      <c r="H11968" t="s">
        <v>28558</v>
      </c>
      <c r="Y11968" t="s">
        <v>43630</v>
      </c>
    </row>
    <row r="11969" spans="1:25" x14ac:dyDescent="0.25">
      <c r="A11969" t="str">
        <f>"175534831641"</f>
        <v>175534831641</v>
      </c>
      <c r="B11969" t="s">
        <v>96</v>
      </c>
      <c r="C11969" t="s">
        <v>2285</v>
      </c>
      <c r="D11969" t="s">
        <v>25925</v>
      </c>
      <c r="E11969">
        <v>424038</v>
      </c>
      <c r="F11969" t="s">
        <v>1</v>
      </c>
      <c r="G11969" t="s">
        <v>2</v>
      </c>
      <c r="H11969" t="s">
        <v>1366</v>
      </c>
      <c r="I11969" t="s">
        <v>43631</v>
      </c>
      <c r="P11969" t="s">
        <v>1039</v>
      </c>
      <c r="Y11969" t="s">
        <v>43632</v>
      </c>
    </row>
    <row r="11970" spans="1:25" x14ac:dyDescent="0.25">
      <c r="A11970" t="str">
        <f>"175536977669"</f>
        <v>175536977669</v>
      </c>
      <c r="B11970" t="s">
        <v>797</v>
      </c>
      <c r="C11970" t="s">
        <v>5123</v>
      </c>
      <c r="D11970" t="s">
        <v>43633</v>
      </c>
      <c r="E11970">
        <v>424004</v>
      </c>
      <c r="F11970" t="s">
        <v>1</v>
      </c>
      <c r="G11970" t="s">
        <v>2</v>
      </c>
      <c r="H11970" t="s">
        <v>4036</v>
      </c>
      <c r="J11970" t="s">
        <v>43634</v>
      </c>
      <c r="P11970" t="s">
        <v>799</v>
      </c>
      <c r="Y11970" t="s">
        <v>23789</v>
      </c>
    </row>
    <row r="11971" spans="1:25" x14ac:dyDescent="0.25">
      <c r="A11971" t="str">
        <f>"175541451352"</f>
        <v>175541451352</v>
      </c>
      <c r="B11971" t="s">
        <v>18</v>
      </c>
      <c r="C11971" t="s">
        <v>12714</v>
      </c>
      <c r="D11971" t="s">
        <v>43635</v>
      </c>
      <c r="E11971">
        <v>424006</v>
      </c>
      <c r="F11971" t="s">
        <v>1</v>
      </c>
      <c r="G11971" t="s">
        <v>2</v>
      </c>
      <c r="H11971" t="s">
        <v>2012</v>
      </c>
      <c r="Y11971" t="s">
        <v>43636</v>
      </c>
    </row>
    <row r="11972" spans="1:25" x14ac:dyDescent="0.25">
      <c r="A11972" t="str">
        <f>"175602267634"</f>
        <v>175602267634</v>
      </c>
      <c r="B11972" t="s">
        <v>10986</v>
      </c>
      <c r="C11972" t="s">
        <v>23436</v>
      </c>
      <c r="D11972" t="s">
        <v>43637</v>
      </c>
      <c r="E11972">
        <v>424037</v>
      </c>
      <c r="F11972" t="s">
        <v>1</v>
      </c>
      <c r="G11972" t="s">
        <v>2</v>
      </c>
      <c r="H11972" t="s">
        <v>1849</v>
      </c>
      <c r="Y11972" t="s">
        <v>12620</v>
      </c>
    </row>
    <row r="11973" spans="1:25" x14ac:dyDescent="0.25">
      <c r="A11973" t="str">
        <f>"175619033378"</f>
        <v>175619033378</v>
      </c>
      <c r="B11973" t="s">
        <v>131</v>
      </c>
      <c r="C11973" t="s">
        <v>8826</v>
      </c>
      <c r="D11973" t="s">
        <v>43638</v>
      </c>
      <c r="E11973">
        <v>424000</v>
      </c>
      <c r="F11973" t="s">
        <v>1</v>
      </c>
      <c r="G11973" t="s">
        <v>2</v>
      </c>
      <c r="H11973" t="s">
        <v>128</v>
      </c>
      <c r="L11973" t="s">
        <v>43639</v>
      </c>
      <c r="M11973" t="s">
        <v>130</v>
      </c>
      <c r="P11973" t="s">
        <v>27965</v>
      </c>
      <c r="Q11973" t="s">
        <v>43640</v>
      </c>
      <c r="Y11973" t="s">
        <v>5640</v>
      </c>
    </row>
    <row r="11974" spans="1:25" x14ac:dyDescent="0.25">
      <c r="A11974" t="str">
        <f>"175633939378"</f>
        <v>175633939378</v>
      </c>
      <c r="B11974" t="s">
        <v>7</v>
      </c>
      <c r="C11974" t="s">
        <v>43645</v>
      </c>
      <c r="D11974" t="s">
        <v>43641</v>
      </c>
      <c r="E11974">
        <v>424000</v>
      </c>
      <c r="F11974" t="s">
        <v>1</v>
      </c>
      <c r="G11974" t="s">
        <v>2</v>
      </c>
      <c r="H11974" t="s">
        <v>5398</v>
      </c>
      <c r="I11974" t="s">
        <v>43642</v>
      </c>
      <c r="J11974" t="s">
        <v>43643</v>
      </c>
      <c r="M11974" t="s">
        <v>43644</v>
      </c>
      <c r="P11974" t="s">
        <v>27</v>
      </c>
      <c r="Y11974" t="s">
        <v>26148</v>
      </c>
    </row>
    <row r="11975" spans="1:25" x14ac:dyDescent="0.25">
      <c r="A11975" t="str">
        <f>"175639327672"</f>
        <v>175639327672</v>
      </c>
      <c r="B11975" t="s">
        <v>131</v>
      </c>
      <c r="C11975" t="s">
        <v>22364</v>
      </c>
      <c r="D11975" t="s">
        <v>43646</v>
      </c>
      <c r="E11975">
        <v>424006</v>
      </c>
      <c r="F11975" t="s">
        <v>1</v>
      </c>
      <c r="G11975" t="s">
        <v>2</v>
      </c>
      <c r="H11975" t="s">
        <v>478</v>
      </c>
      <c r="I11975" t="s">
        <v>43647</v>
      </c>
      <c r="J11975" t="s">
        <v>43648</v>
      </c>
      <c r="L11975" t="s">
        <v>43649</v>
      </c>
      <c r="M11975" t="s">
        <v>43650</v>
      </c>
      <c r="P11975" t="s">
        <v>1035</v>
      </c>
      <c r="Q11975" t="s">
        <v>43651</v>
      </c>
      <c r="T11975" t="s">
        <v>43652</v>
      </c>
      <c r="V11975" t="s">
        <v>43653</v>
      </c>
      <c r="Y11975" t="s">
        <v>926</v>
      </c>
    </row>
    <row r="11976" spans="1:25" x14ac:dyDescent="0.25">
      <c r="A11976" t="str">
        <f>"175687850491"</f>
        <v>175687850491</v>
      </c>
      <c r="B11976" t="s">
        <v>319</v>
      </c>
      <c r="C11976" t="s">
        <v>320</v>
      </c>
      <c r="D11976" t="s">
        <v>36773</v>
      </c>
      <c r="E11976">
        <v>424039</v>
      </c>
      <c r="F11976" t="s">
        <v>1</v>
      </c>
      <c r="G11976" t="s">
        <v>2</v>
      </c>
      <c r="H11976" t="s">
        <v>10277</v>
      </c>
      <c r="L11976" t="s">
        <v>7276</v>
      </c>
      <c r="M11976" t="s">
        <v>7277</v>
      </c>
      <c r="Y11976" t="s">
        <v>43654</v>
      </c>
    </row>
    <row r="11977" spans="1:25" x14ac:dyDescent="0.25">
      <c r="A11977" t="str">
        <f>"175697402280"</f>
        <v>175697402280</v>
      </c>
      <c r="B11977" t="s">
        <v>96</v>
      </c>
      <c r="C11977" t="s">
        <v>893</v>
      </c>
      <c r="D11977" t="s">
        <v>6813</v>
      </c>
      <c r="E11977">
        <v>424002</v>
      </c>
      <c r="F11977" t="s">
        <v>1</v>
      </c>
      <c r="G11977" t="s">
        <v>2</v>
      </c>
      <c r="H11977" t="s">
        <v>744</v>
      </c>
      <c r="P11977" t="s">
        <v>748</v>
      </c>
      <c r="Y11977" t="s">
        <v>749</v>
      </c>
    </row>
    <row r="11978" spans="1:25" x14ac:dyDescent="0.25">
      <c r="A11978" t="str">
        <f>"175703856451"</f>
        <v>175703856451</v>
      </c>
      <c r="B11978" t="s">
        <v>96</v>
      </c>
      <c r="C11978" t="s">
        <v>893</v>
      </c>
      <c r="D11978" t="s">
        <v>43655</v>
      </c>
      <c r="E11978">
        <v>424000</v>
      </c>
      <c r="F11978" t="s">
        <v>1</v>
      </c>
      <c r="G11978" t="s">
        <v>2</v>
      </c>
      <c r="H11978" t="s">
        <v>1473</v>
      </c>
      <c r="P11978" t="s">
        <v>941</v>
      </c>
      <c r="Y11978" t="s">
        <v>4067</v>
      </c>
    </row>
    <row r="11979" spans="1:25" x14ac:dyDescent="0.25">
      <c r="A11979" t="str">
        <f>"175706229580"</f>
        <v>175706229580</v>
      </c>
      <c r="B11979" t="s">
        <v>462</v>
      </c>
      <c r="C11979" t="s">
        <v>5618</v>
      </c>
      <c r="D11979" t="s">
        <v>5614</v>
      </c>
      <c r="E11979">
        <v>424004</v>
      </c>
      <c r="F11979" t="s">
        <v>1</v>
      </c>
      <c r="G11979" t="s">
        <v>2</v>
      </c>
      <c r="H11979" t="s">
        <v>17461</v>
      </c>
      <c r="I11979" t="s">
        <v>43656</v>
      </c>
      <c r="P11979" t="s">
        <v>43657</v>
      </c>
      <c r="Y11979" t="s">
        <v>20082</v>
      </c>
    </row>
    <row r="11980" spans="1:25" x14ac:dyDescent="0.25">
      <c r="A11980" t="str">
        <f>"175713299986"</f>
        <v>175713299986</v>
      </c>
      <c r="B11980" t="s">
        <v>841</v>
      </c>
      <c r="C11980" t="s">
        <v>26937</v>
      </c>
      <c r="D11980" t="s">
        <v>43658</v>
      </c>
      <c r="E11980">
        <v>424019</v>
      </c>
      <c r="F11980" t="s">
        <v>1</v>
      </c>
      <c r="G11980" t="s">
        <v>2</v>
      </c>
      <c r="H11980" t="s">
        <v>20084</v>
      </c>
      <c r="I11980" t="s">
        <v>43659</v>
      </c>
      <c r="L11980" t="s">
        <v>43660</v>
      </c>
      <c r="Q11980" t="s">
        <v>43661</v>
      </c>
      <c r="S11980" t="s">
        <v>43662</v>
      </c>
      <c r="U11980" t="s">
        <v>43663</v>
      </c>
      <c r="V11980" t="s">
        <v>43664</v>
      </c>
      <c r="Y11980" t="s">
        <v>43665</v>
      </c>
    </row>
    <row r="11981" spans="1:25" x14ac:dyDescent="0.25">
      <c r="A11981" t="str">
        <f>"175746764316"</f>
        <v>175746764316</v>
      </c>
      <c r="B11981" t="s">
        <v>67</v>
      </c>
      <c r="C11981" t="s">
        <v>27252</v>
      </c>
      <c r="D11981" t="s">
        <v>10280</v>
      </c>
      <c r="E11981">
        <v>424037</v>
      </c>
      <c r="F11981" t="s">
        <v>1</v>
      </c>
      <c r="G11981" t="s">
        <v>2</v>
      </c>
      <c r="H11981" t="s">
        <v>18150</v>
      </c>
      <c r="Y11981" t="s">
        <v>18155</v>
      </c>
    </row>
    <row r="11982" spans="1:25" x14ac:dyDescent="0.25">
      <c r="A11982" t="str">
        <f>"175748978160"</f>
        <v>175748978160</v>
      </c>
      <c r="B11982" t="s">
        <v>574</v>
      </c>
      <c r="C11982" t="s">
        <v>24608</v>
      </c>
      <c r="D11982" t="s">
        <v>24604</v>
      </c>
      <c r="E11982">
        <v>424039</v>
      </c>
      <c r="F11982" t="s">
        <v>1</v>
      </c>
      <c r="G11982" t="s">
        <v>2</v>
      </c>
      <c r="H11982" t="s">
        <v>10036</v>
      </c>
      <c r="I11982" t="s">
        <v>32087</v>
      </c>
      <c r="L11982" t="s">
        <v>24606</v>
      </c>
      <c r="M11982" t="s">
        <v>24607</v>
      </c>
      <c r="Y11982" t="s">
        <v>41374</v>
      </c>
    </row>
    <row r="11983" spans="1:25" x14ac:dyDescent="0.25">
      <c r="A11983" t="str">
        <f>"175804606518"</f>
        <v>175804606518</v>
      </c>
      <c r="B11983" t="s">
        <v>160</v>
      </c>
      <c r="C11983" t="s">
        <v>1666</v>
      </c>
      <c r="D11983" t="s">
        <v>43666</v>
      </c>
      <c r="E11983">
        <v>424000</v>
      </c>
      <c r="F11983" t="s">
        <v>1</v>
      </c>
      <c r="G11983" t="s">
        <v>2</v>
      </c>
      <c r="H11983" t="s">
        <v>34149</v>
      </c>
      <c r="P11983" t="s">
        <v>20</v>
      </c>
      <c r="Y11983" t="s">
        <v>43667</v>
      </c>
    </row>
    <row r="11984" spans="1:25" x14ac:dyDescent="0.25">
      <c r="A11984" t="str">
        <f>"175879404909"</f>
        <v>175879404909</v>
      </c>
      <c r="B11984" t="s">
        <v>96</v>
      </c>
      <c r="C11984" t="s">
        <v>893</v>
      </c>
      <c r="D11984" t="s">
        <v>43668</v>
      </c>
      <c r="E11984">
        <v>424000</v>
      </c>
      <c r="F11984" t="s">
        <v>1</v>
      </c>
      <c r="G11984" t="s">
        <v>2</v>
      </c>
      <c r="H11984" t="s">
        <v>6578</v>
      </c>
      <c r="Y11984" t="s">
        <v>43669</v>
      </c>
    </row>
    <row r="11985" spans="1:25" x14ac:dyDescent="0.25">
      <c r="A11985" t="str">
        <f>"175943115894"</f>
        <v>175943115894</v>
      </c>
      <c r="B11985" t="s">
        <v>319</v>
      </c>
      <c r="C11985" t="s">
        <v>320</v>
      </c>
      <c r="D11985" t="s">
        <v>24129</v>
      </c>
      <c r="E11985">
        <v>424033</v>
      </c>
      <c r="F11985" t="s">
        <v>1</v>
      </c>
      <c r="G11985" t="s">
        <v>2</v>
      </c>
      <c r="H11985" t="s">
        <v>22045</v>
      </c>
      <c r="Y11985" t="s">
        <v>43670</v>
      </c>
    </row>
    <row r="11986" spans="1:25" x14ac:dyDescent="0.25">
      <c r="A11986" t="str">
        <f>"175943988608"</f>
        <v>175943988608</v>
      </c>
      <c r="B11986" t="s">
        <v>1046</v>
      </c>
      <c r="C11986" t="s">
        <v>34157</v>
      </c>
      <c r="D11986" t="s">
        <v>43671</v>
      </c>
      <c r="E11986">
        <v>424019</v>
      </c>
      <c r="F11986" t="s">
        <v>1</v>
      </c>
      <c r="G11986" t="s">
        <v>2</v>
      </c>
      <c r="H11986" t="s">
        <v>19290</v>
      </c>
      <c r="P11986" t="s">
        <v>98</v>
      </c>
      <c r="Q11986" t="s">
        <v>43672</v>
      </c>
      <c r="Y11986" t="s">
        <v>43673</v>
      </c>
    </row>
    <row r="11987" spans="1:25" x14ac:dyDescent="0.25">
      <c r="A11987" t="str">
        <f>"175955503632"</f>
        <v>175955503632</v>
      </c>
      <c r="B11987" t="s">
        <v>430</v>
      </c>
      <c r="C11987" t="s">
        <v>16178</v>
      </c>
      <c r="D11987" t="s">
        <v>10135</v>
      </c>
      <c r="F11987" t="s">
        <v>1</v>
      </c>
      <c r="G11987" t="s">
        <v>2</v>
      </c>
      <c r="H11987" t="s">
        <v>31427</v>
      </c>
      <c r="Y11987" t="s">
        <v>43674</v>
      </c>
    </row>
    <row r="11988" spans="1:25" x14ac:dyDescent="0.25">
      <c r="A11988" t="str">
        <f>"175996931724"</f>
        <v>175996931724</v>
      </c>
      <c r="B11988" t="s">
        <v>160</v>
      </c>
      <c r="C11988" t="s">
        <v>2479</v>
      </c>
      <c r="D11988" t="s">
        <v>43675</v>
      </c>
      <c r="F11988" t="s">
        <v>1</v>
      </c>
      <c r="G11988" t="s">
        <v>2</v>
      </c>
      <c r="H11988" t="s">
        <v>7547</v>
      </c>
      <c r="Y11988" t="s">
        <v>43676</v>
      </c>
    </row>
    <row r="11989" spans="1:25" x14ac:dyDescent="0.25">
      <c r="A11989" t="str">
        <f>"176033635796"</f>
        <v>176033635796</v>
      </c>
      <c r="B11989" t="s">
        <v>417</v>
      </c>
      <c r="C11989" t="s">
        <v>418</v>
      </c>
      <c r="D11989" t="s">
        <v>417</v>
      </c>
      <c r="E11989">
        <v>424002</v>
      </c>
      <c r="F11989" t="s">
        <v>1</v>
      </c>
      <c r="G11989" t="s">
        <v>2</v>
      </c>
      <c r="H11989" t="s">
        <v>2898</v>
      </c>
      <c r="Y11989" t="s">
        <v>43677</v>
      </c>
    </row>
    <row r="11990" spans="1:25" x14ac:dyDescent="0.25">
      <c r="A11990" t="str">
        <f>"176055564786"</f>
        <v>176055564786</v>
      </c>
      <c r="B11990" t="s">
        <v>1053</v>
      </c>
      <c r="C11990" t="s">
        <v>14298</v>
      </c>
      <c r="D11990" t="s">
        <v>8759</v>
      </c>
      <c r="E11990">
        <v>424005</v>
      </c>
      <c r="F11990" t="s">
        <v>1</v>
      </c>
      <c r="G11990" t="s">
        <v>2</v>
      </c>
      <c r="H11990" t="s">
        <v>43678</v>
      </c>
      <c r="P11990" t="s">
        <v>330</v>
      </c>
      <c r="Y11990" t="s">
        <v>43679</v>
      </c>
    </row>
    <row r="11991" spans="1:25" x14ac:dyDescent="0.25">
      <c r="A11991" t="str">
        <f>"176080915915"</f>
        <v>176080915915</v>
      </c>
      <c r="B11991" t="s">
        <v>10383</v>
      </c>
      <c r="C11991" t="s">
        <v>24146</v>
      </c>
      <c r="D11991" t="s">
        <v>24146</v>
      </c>
      <c r="F11991" t="s">
        <v>1</v>
      </c>
      <c r="G11991" t="s">
        <v>2</v>
      </c>
      <c r="H11991" t="s">
        <v>27403</v>
      </c>
      <c r="Y11991" t="s">
        <v>43680</v>
      </c>
    </row>
    <row r="11992" spans="1:25" x14ac:dyDescent="0.25">
      <c r="A11992" t="str">
        <f>"176110922584"</f>
        <v>176110922584</v>
      </c>
      <c r="B11992" t="s">
        <v>123</v>
      </c>
      <c r="C11992" t="s">
        <v>124</v>
      </c>
      <c r="D11992" t="s">
        <v>14041</v>
      </c>
      <c r="E11992">
        <v>424038</v>
      </c>
      <c r="F11992" t="s">
        <v>1</v>
      </c>
      <c r="G11992" t="s">
        <v>2</v>
      </c>
      <c r="H11992" t="s">
        <v>16988</v>
      </c>
      <c r="Y11992" t="s">
        <v>24701</v>
      </c>
    </row>
    <row r="11993" spans="1:25" x14ac:dyDescent="0.25">
      <c r="A11993" t="str">
        <f>"176136615005"</f>
        <v>176136615005</v>
      </c>
      <c r="B11993" t="s">
        <v>3200</v>
      </c>
      <c r="C11993" t="s">
        <v>18948</v>
      </c>
      <c r="D11993" t="s">
        <v>36950</v>
      </c>
      <c r="F11993" t="s">
        <v>1</v>
      </c>
      <c r="G11993" t="s">
        <v>2</v>
      </c>
      <c r="H11993" t="s">
        <v>25588</v>
      </c>
      <c r="Y11993" t="s">
        <v>43681</v>
      </c>
    </row>
    <row r="11994" spans="1:25" x14ac:dyDescent="0.25">
      <c r="A11994" t="str">
        <f>"176235072113"</f>
        <v>176235072113</v>
      </c>
      <c r="B11994" t="s">
        <v>1544</v>
      </c>
      <c r="C11994" t="s">
        <v>15598</v>
      </c>
      <c r="D11994" t="s">
        <v>6369</v>
      </c>
      <c r="F11994" t="s">
        <v>1</v>
      </c>
      <c r="G11994" t="s">
        <v>2</v>
      </c>
      <c r="H11994" t="s">
        <v>24384</v>
      </c>
      <c r="Y11994" t="s">
        <v>43682</v>
      </c>
    </row>
    <row r="11995" spans="1:25" x14ac:dyDescent="0.25">
      <c r="A11995" t="str">
        <f>"176245515823"</f>
        <v>176245515823</v>
      </c>
      <c r="B11995" t="s">
        <v>1262</v>
      </c>
      <c r="C11995" t="s">
        <v>1263</v>
      </c>
      <c r="D11995" t="s">
        <v>43683</v>
      </c>
      <c r="E11995">
        <v>424007</v>
      </c>
      <c r="F11995" t="s">
        <v>1</v>
      </c>
      <c r="G11995" t="s">
        <v>2</v>
      </c>
      <c r="H11995" t="s">
        <v>9500</v>
      </c>
      <c r="J11995" t="s">
        <v>43684</v>
      </c>
      <c r="P11995" t="s">
        <v>280</v>
      </c>
      <c r="Y11995" t="s">
        <v>9503</v>
      </c>
    </row>
    <row r="11996" spans="1:25" x14ac:dyDescent="0.25">
      <c r="A11996" t="str">
        <f>"176305757242"</f>
        <v>176305757242</v>
      </c>
      <c r="B11996" t="s">
        <v>1611</v>
      </c>
      <c r="C11996" t="s">
        <v>11688</v>
      </c>
      <c r="D11996" t="s">
        <v>43685</v>
      </c>
      <c r="E11996">
        <v>424005</v>
      </c>
      <c r="F11996" t="s">
        <v>1</v>
      </c>
      <c r="G11996" t="s">
        <v>2</v>
      </c>
      <c r="H11996" t="s">
        <v>8983</v>
      </c>
      <c r="P11996" t="s">
        <v>3690</v>
      </c>
      <c r="Y11996" t="s">
        <v>43686</v>
      </c>
    </row>
    <row r="11997" spans="1:25" x14ac:dyDescent="0.25">
      <c r="A11997" t="str">
        <f>"176306990413"</f>
        <v>176306990413</v>
      </c>
      <c r="B11997" t="s">
        <v>96</v>
      </c>
      <c r="C11997" t="s">
        <v>43688</v>
      </c>
      <c r="D11997" t="s">
        <v>43687</v>
      </c>
      <c r="E11997">
        <v>424000</v>
      </c>
      <c r="F11997" t="s">
        <v>1</v>
      </c>
      <c r="G11997" t="s">
        <v>2</v>
      </c>
      <c r="H11997" t="s">
        <v>1473</v>
      </c>
      <c r="P11997" t="s">
        <v>941</v>
      </c>
      <c r="Y11997" t="s">
        <v>4067</v>
      </c>
    </row>
    <row r="11998" spans="1:25" x14ac:dyDescent="0.25">
      <c r="A11998" t="str">
        <f>"176322343260"</f>
        <v>176322343260</v>
      </c>
      <c r="B11998" t="s">
        <v>530</v>
      </c>
      <c r="C11998" t="s">
        <v>23950</v>
      </c>
      <c r="D11998" t="s">
        <v>23950</v>
      </c>
      <c r="E11998">
        <v>424007</v>
      </c>
      <c r="F11998" t="s">
        <v>1</v>
      </c>
      <c r="G11998" t="s">
        <v>2</v>
      </c>
      <c r="H11998" t="s">
        <v>5647</v>
      </c>
      <c r="Y11998" t="s">
        <v>43689</v>
      </c>
    </row>
    <row r="11999" spans="1:25" x14ac:dyDescent="0.25">
      <c r="A11999" t="str">
        <f>"176326414988"</f>
        <v>176326414988</v>
      </c>
      <c r="B11999" t="s">
        <v>469</v>
      </c>
      <c r="C11999" t="s">
        <v>16091</v>
      </c>
      <c r="D11999" t="s">
        <v>43690</v>
      </c>
      <c r="E11999">
        <v>424037</v>
      </c>
      <c r="F11999" t="s">
        <v>1</v>
      </c>
      <c r="G11999" t="s">
        <v>2</v>
      </c>
      <c r="H11999" t="s">
        <v>3278</v>
      </c>
      <c r="I11999" t="s">
        <v>43691</v>
      </c>
      <c r="L11999" t="s">
        <v>16920</v>
      </c>
      <c r="M11999" t="s">
        <v>43692</v>
      </c>
      <c r="P11999" t="s">
        <v>43693</v>
      </c>
      <c r="Q11999" t="s">
        <v>43694</v>
      </c>
      <c r="Y11999" t="s">
        <v>43695</v>
      </c>
    </row>
    <row r="12000" spans="1:25" x14ac:dyDescent="0.25">
      <c r="A12000" t="str">
        <f>"176349594103"</f>
        <v>176349594103</v>
      </c>
      <c r="B12000" t="s">
        <v>117</v>
      </c>
      <c r="C12000" t="s">
        <v>873</v>
      </c>
      <c r="D12000" t="s">
        <v>873</v>
      </c>
      <c r="E12000">
        <v>424002</v>
      </c>
      <c r="F12000" t="s">
        <v>1</v>
      </c>
      <c r="G12000" t="s">
        <v>2</v>
      </c>
      <c r="H12000" t="s">
        <v>23778</v>
      </c>
      <c r="Y12000" t="s">
        <v>43696</v>
      </c>
    </row>
    <row r="12001" spans="1:25" x14ac:dyDescent="0.25">
      <c r="A12001" t="str">
        <f>"176356329167"</f>
        <v>176356329167</v>
      </c>
      <c r="B12001" t="s">
        <v>1573</v>
      </c>
      <c r="C12001" t="s">
        <v>10961</v>
      </c>
      <c r="D12001" t="s">
        <v>43697</v>
      </c>
      <c r="E12001">
        <v>424007</v>
      </c>
      <c r="F12001" t="s">
        <v>1</v>
      </c>
      <c r="G12001" t="s">
        <v>2</v>
      </c>
      <c r="H12001" t="s">
        <v>9406</v>
      </c>
      <c r="J12001" t="s">
        <v>43698</v>
      </c>
      <c r="P12001" t="s">
        <v>280</v>
      </c>
      <c r="Y12001" t="s">
        <v>17587</v>
      </c>
    </row>
    <row r="12002" spans="1:25" x14ac:dyDescent="0.25">
      <c r="A12002" t="str">
        <f>"176372282354"</f>
        <v>176372282354</v>
      </c>
      <c r="B12002" t="s">
        <v>96</v>
      </c>
      <c r="C12002" t="s">
        <v>507</v>
      </c>
      <c r="D12002" t="s">
        <v>43699</v>
      </c>
      <c r="F12002" t="s">
        <v>1</v>
      </c>
      <c r="G12002" t="s">
        <v>2</v>
      </c>
      <c r="H12002" t="s">
        <v>19499</v>
      </c>
      <c r="J12002" t="s">
        <v>43700</v>
      </c>
      <c r="M12002" t="s">
        <v>43701</v>
      </c>
      <c r="P12002" t="s">
        <v>144</v>
      </c>
      <c r="Q12002" t="s">
        <v>43702</v>
      </c>
      <c r="Y12002" t="s">
        <v>43703</v>
      </c>
    </row>
    <row r="12003" spans="1:25" x14ac:dyDescent="0.25">
      <c r="A12003" t="str">
        <f>"176372581575"</f>
        <v>176372581575</v>
      </c>
      <c r="B12003" t="s">
        <v>25</v>
      </c>
      <c r="C12003" t="s">
        <v>20320</v>
      </c>
      <c r="D12003" t="s">
        <v>43704</v>
      </c>
      <c r="E12003">
        <v>424003</v>
      </c>
      <c r="F12003" t="s">
        <v>1</v>
      </c>
      <c r="G12003" t="s">
        <v>2</v>
      </c>
      <c r="H12003" t="s">
        <v>10082</v>
      </c>
      <c r="Y12003" t="s">
        <v>43705</v>
      </c>
    </row>
    <row r="12004" spans="1:25" x14ac:dyDescent="0.25">
      <c r="A12004" t="str">
        <f>"176382340421"</f>
        <v>176382340421</v>
      </c>
      <c r="B12004" t="s">
        <v>352</v>
      </c>
      <c r="C12004" t="s">
        <v>43708</v>
      </c>
      <c r="D12004" t="s">
        <v>43706</v>
      </c>
      <c r="E12004">
        <v>424031</v>
      </c>
      <c r="F12004" t="s">
        <v>1</v>
      </c>
      <c r="G12004" t="s">
        <v>2</v>
      </c>
      <c r="H12004" t="s">
        <v>1524</v>
      </c>
      <c r="I12004" t="s">
        <v>43707</v>
      </c>
      <c r="P12004" t="s">
        <v>3456</v>
      </c>
      <c r="Y12004" t="s">
        <v>5358</v>
      </c>
    </row>
    <row r="12005" spans="1:25" x14ac:dyDescent="0.25">
      <c r="A12005" t="str">
        <f>"176392585976"</f>
        <v>176392585976</v>
      </c>
      <c r="B12005" t="s">
        <v>1573</v>
      </c>
      <c r="C12005" t="s">
        <v>37732</v>
      </c>
      <c r="D12005" t="s">
        <v>43709</v>
      </c>
      <c r="E12005">
        <v>424028</v>
      </c>
      <c r="F12005" t="s">
        <v>1</v>
      </c>
      <c r="G12005" t="s">
        <v>2</v>
      </c>
      <c r="H12005" t="s">
        <v>24503</v>
      </c>
      <c r="P12005" t="s">
        <v>216</v>
      </c>
      <c r="Y12005" t="s">
        <v>43710</v>
      </c>
    </row>
    <row r="12006" spans="1:25" x14ac:dyDescent="0.25">
      <c r="A12006" t="str">
        <f>"176401221014"</f>
        <v>176401221014</v>
      </c>
      <c r="B12006" t="s">
        <v>25</v>
      </c>
      <c r="C12006" t="s">
        <v>13425</v>
      </c>
      <c r="D12006" t="s">
        <v>12894</v>
      </c>
      <c r="E12006">
        <v>424002</v>
      </c>
      <c r="F12006" t="s">
        <v>1</v>
      </c>
      <c r="G12006" t="s">
        <v>2</v>
      </c>
      <c r="H12006" t="s">
        <v>6656</v>
      </c>
      <c r="Y12006" t="s">
        <v>43711</v>
      </c>
    </row>
    <row r="12007" spans="1:25" x14ac:dyDescent="0.25">
      <c r="A12007" t="str">
        <f>"176409801205"</f>
        <v>176409801205</v>
      </c>
      <c r="B12007" t="s">
        <v>319</v>
      </c>
      <c r="C12007" t="s">
        <v>320</v>
      </c>
      <c r="D12007" t="s">
        <v>37153</v>
      </c>
      <c r="E12007">
        <v>424039</v>
      </c>
      <c r="F12007" t="s">
        <v>1</v>
      </c>
      <c r="G12007" t="s">
        <v>2</v>
      </c>
      <c r="H12007" t="s">
        <v>42500</v>
      </c>
      <c r="P12007" t="s">
        <v>2457</v>
      </c>
      <c r="Y12007" t="s">
        <v>42504</v>
      </c>
    </row>
    <row r="12008" spans="1:25" x14ac:dyDescent="0.25">
      <c r="A12008" t="str">
        <f>"176432429170"</f>
        <v>176432429170</v>
      </c>
      <c r="B12008" t="s">
        <v>1343</v>
      </c>
      <c r="C12008" t="s">
        <v>13544</v>
      </c>
      <c r="D12008" t="s">
        <v>40356</v>
      </c>
      <c r="E12008">
        <v>424002</v>
      </c>
      <c r="F12008" t="s">
        <v>1</v>
      </c>
      <c r="G12008" t="s">
        <v>2</v>
      </c>
      <c r="H12008" t="s">
        <v>5162</v>
      </c>
      <c r="P12008" t="s">
        <v>941</v>
      </c>
      <c r="Y12008" t="s">
        <v>5931</v>
      </c>
    </row>
    <row r="12009" spans="1:25" x14ac:dyDescent="0.25">
      <c r="A12009" t="str">
        <f>"176463669505"</f>
        <v>176463669505</v>
      </c>
      <c r="B12009" t="s">
        <v>930</v>
      </c>
      <c r="C12009" t="s">
        <v>10263</v>
      </c>
      <c r="D12009" t="s">
        <v>43712</v>
      </c>
      <c r="E12009">
        <v>424008</v>
      </c>
      <c r="F12009" t="s">
        <v>1</v>
      </c>
      <c r="G12009" t="s">
        <v>2</v>
      </c>
      <c r="H12009" t="s">
        <v>43713</v>
      </c>
      <c r="I12009" t="s">
        <v>12070</v>
      </c>
      <c r="P12009" t="s">
        <v>330</v>
      </c>
      <c r="Y12009" t="s">
        <v>43714</v>
      </c>
    </row>
    <row r="12010" spans="1:25" x14ac:dyDescent="0.25">
      <c r="A12010" t="str">
        <f>"176496229721"</f>
        <v>176496229721</v>
      </c>
      <c r="B12010" t="s">
        <v>530</v>
      </c>
      <c r="C12010" t="s">
        <v>23950</v>
      </c>
      <c r="D12010" t="s">
        <v>23950</v>
      </c>
      <c r="F12010" t="s">
        <v>1</v>
      </c>
      <c r="G12010" t="s">
        <v>2</v>
      </c>
      <c r="H12010" t="s">
        <v>25017</v>
      </c>
      <c r="Y12010" t="s">
        <v>43715</v>
      </c>
    </row>
    <row r="12011" spans="1:25" x14ac:dyDescent="0.25">
      <c r="A12011" t="str">
        <f>"176505183807"</f>
        <v>176505183807</v>
      </c>
      <c r="B12011" t="s">
        <v>4888</v>
      </c>
      <c r="C12011" t="s">
        <v>43717</v>
      </c>
      <c r="D12011" t="s">
        <v>43716</v>
      </c>
      <c r="E12011">
        <v>424032</v>
      </c>
      <c r="F12011" t="s">
        <v>1</v>
      </c>
      <c r="G12011" t="s">
        <v>2</v>
      </c>
      <c r="H12011" t="s">
        <v>4808</v>
      </c>
      <c r="I12011" t="s">
        <v>11360</v>
      </c>
      <c r="P12011" t="s">
        <v>20</v>
      </c>
      <c r="V12011" t="s">
        <v>43718</v>
      </c>
      <c r="Y12011" t="s">
        <v>4812</v>
      </c>
    </row>
    <row r="12012" spans="1:25" x14ac:dyDescent="0.25">
      <c r="A12012" t="str">
        <f>"176558276109"</f>
        <v>176558276109</v>
      </c>
      <c r="B12012" t="s">
        <v>5840</v>
      </c>
      <c r="C12012" t="s">
        <v>43723</v>
      </c>
      <c r="D12012" t="s">
        <v>43719</v>
      </c>
      <c r="E12012">
        <v>424002</v>
      </c>
      <c r="F12012" t="s">
        <v>1</v>
      </c>
      <c r="G12012" t="s">
        <v>2</v>
      </c>
      <c r="H12012" t="s">
        <v>570</v>
      </c>
      <c r="I12012" t="s">
        <v>43720</v>
      </c>
      <c r="L12012" t="s">
        <v>43721</v>
      </c>
      <c r="M12012" t="s">
        <v>43722</v>
      </c>
      <c r="P12012" t="s">
        <v>390</v>
      </c>
      <c r="Q12012" t="s">
        <v>43724</v>
      </c>
      <c r="T12012" t="s">
        <v>43725</v>
      </c>
      <c r="U12012" t="s">
        <v>43726</v>
      </c>
      <c r="V12012" t="s">
        <v>43727</v>
      </c>
      <c r="Y12012" t="s">
        <v>18782</v>
      </c>
    </row>
    <row r="12013" spans="1:25" x14ac:dyDescent="0.25">
      <c r="A12013" t="str">
        <f>"176581190185"</f>
        <v>176581190185</v>
      </c>
      <c r="B12013" t="s">
        <v>1758</v>
      </c>
      <c r="C12013" t="s">
        <v>8089</v>
      </c>
      <c r="D12013" t="s">
        <v>29582</v>
      </c>
      <c r="E12013">
        <v>424019</v>
      </c>
      <c r="F12013" t="s">
        <v>1</v>
      </c>
      <c r="G12013" t="s">
        <v>2</v>
      </c>
      <c r="H12013" t="s">
        <v>7785</v>
      </c>
      <c r="I12013" t="s">
        <v>43728</v>
      </c>
      <c r="L12013" t="s">
        <v>43729</v>
      </c>
      <c r="M12013" t="s">
        <v>43730</v>
      </c>
      <c r="P12013" t="s">
        <v>98</v>
      </c>
      <c r="Q12013" t="s">
        <v>43731</v>
      </c>
      <c r="T12013" t="s">
        <v>43732</v>
      </c>
      <c r="V12013" t="s">
        <v>43733</v>
      </c>
      <c r="Y12013" t="s">
        <v>43734</v>
      </c>
    </row>
    <row r="12014" spans="1:25" x14ac:dyDescent="0.25">
      <c r="A12014" t="str">
        <f>"176602335226"</f>
        <v>176602335226</v>
      </c>
      <c r="B12014" t="s">
        <v>1604</v>
      </c>
      <c r="C12014" t="s">
        <v>43740</v>
      </c>
      <c r="D12014" t="s">
        <v>43735</v>
      </c>
      <c r="E12014">
        <v>424006</v>
      </c>
      <c r="F12014" t="s">
        <v>1</v>
      </c>
      <c r="G12014" t="s">
        <v>2</v>
      </c>
      <c r="H12014" t="s">
        <v>5761</v>
      </c>
      <c r="I12014" t="s">
        <v>43736</v>
      </c>
      <c r="J12014" t="s">
        <v>43737</v>
      </c>
      <c r="L12014" t="s">
        <v>43738</v>
      </c>
      <c r="M12014" t="s">
        <v>43739</v>
      </c>
      <c r="P12014" t="s">
        <v>216</v>
      </c>
      <c r="Y12014" t="s">
        <v>5764</v>
      </c>
    </row>
    <row r="12015" spans="1:25" x14ac:dyDescent="0.25">
      <c r="A12015" t="str">
        <f>"176609732726"</f>
        <v>176609732726</v>
      </c>
      <c r="B12015" t="s">
        <v>654</v>
      </c>
      <c r="C12015" t="s">
        <v>1283</v>
      </c>
      <c r="D12015" t="s">
        <v>43741</v>
      </c>
      <c r="E12015">
        <v>424020</v>
      </c>
      <c r="F12015" t="s">
        <v>1</v>
      </c>
      <c r="G12015" t="s">
        <v>2</v>
      </c>
      <c r="H12015" t="s">
        <v>27549</v>
      </c>
      <c r="P12015" t="s">
        <v>11727</v>
      </c>
      <c r="Y12015" t="s">
        <v>34854</v>
      </c>
    </row>
    <row r="12016" spans="1:25" x14ac:dyDescent="0.25">
      <c r="A12016" t="str">
        <f>"176616975465"</f>
        <v>176616975465</v>
      </c>
      <c r="B12016" t="s">
        <v>348</v>
      </c>
      <c r="C12016" t="s">
        <v>5728</v>
      </c>
      <c r="D12016" t="s">
        <v>37313</v>
      </c>
      <c r="E12016">
        <v>424033</v>
      </c>
      <c r="F12016" t="s">
        <v>1</v>
      </c>
      <c r="G12016" t="s">
        <v>2</v>
      </c>
      <c r="H12016" t="s">
        <v>22290</v>
      </c>
      <c r="J12016" t="s">
        <v>43742</v>
      </c>
      <c r="L12016" t="s">
        <v>37315</v>
      </c>
      <c r="M12016" t="s">
        <v>37316</v>
      </c>
      <c r="P12016" t="s">
        <v>27</v>
      </c>
      <c r="Q12016" t="s">
        <v>43743</v>
      </c>
      <c r="Y12016" t="s">
        <v>43744</v>
      </c>
    </row>
    <row r="12017" spans="1:25" x14ac:dyDescent="0.25">
      <c r="A12017" t="str">
        <f>"176633581214"</f>
        <v>176633581214</v>
      </c>
      <c r="B12017" t="s">
        <v>456</v>
      </c>
      <c r="C12017" t="s">
        <v>17904</v>
      </c>
      <c r="D12017" t="s">
        <v>43745</v>
      </c>
      <c r="E12017">
        <v>424000</v>
      </c>
      <c r="F12017" t="s">
        <v>1</v>
      </c>
      <c r="G12017" t="s">
        <v>2</v>
      </c>
      <c r="H12017" t="s">
        <v>1473</v>
      </c>
      <c r="P12017" t="s">
        <v>941</v>
      </c>
      <c r="Y12017" t="s">
        <v>31021</v>
      </c>
    </row>
    <row r="12018" spans="1:25" x14ac:dyDescent="0.25">
      <c r="A12018" t="str">
        <f>"176685594147"</f>
        <v>176685594147</v>
      </c>
      <c r="B12018" t="s">
        <v>1611</v>
      </c>
      <c r="C12018" t="s">
        <v>43750</v>
      </c>
      <c r="D12018" t="s">
        <v>43746</v>
      </c>
      <c r="E12018">
        <v>424033</v>
      </c>
      <c r="F12018" t="s">
        <v>1</v>
      </c>
      <c r="G12018" t="s">
        <v>2</v>
      </c>
      <c r="H12018" t="s">
        <v>38404</v>
      </c>
      <c r="I12018" t="s">
        <v>43747</v>
      </c>
      <c r="L12018" t="s">
        <v>43748</v>
      </c>
      <c r="M12018" t="s">
        <v>43749</v>
      </c>
      <c r="P12018" t="s">
        <v>43751</v>
      </c>
      <c r="U12018" t="s">
        <v>43752</v>
      </c>
      <c r="V12018" t="s">
        <v>43753</v>
      </c>
      <c r="Y12018" t="s">
        <v>43754</v>
      </c>
    </row>
    <row r="12019" spans="1:25" x14ac:dyDescent="0.25">
      <c r="A12019" t="str">
        <f>"176702707176"</f>
        <v>176702707176</v>
      </c>
      <c r="B12019" t="s">
        <v>32</v>
      </c>
      <c r="C12019" t="s">
        <v>182</v>
      </c>
      <c r="D12019" t="s">
        <v>43755</v>
      </c>
      <c r="E12019">
        <v>424040</v>
      </c>
      <c r="F12019" t="s">
        <v>1</v>
      </c>
      <c r="G12019" t="s">
        <v>2</v>
      </c>
      <c r="H12019" t="s">
        <v>7989</v>
      </c>
      <c r="J12019" t="s">
        <v>43756</v>
      </c>
      <c r="P12019" t="s">
        <v>20764</v>
      </c>
      <c r="Y12019" t="s">
        <v>11906</v>
      </c>
    </row>
    <row r="12020" spans="1:25" x14ac:dyDescent="0.25">
      <c r="A12020" t="str">
        <f>"176720537166"</f>
        <v>176720537166</v>
      </c>
      <c r="B12020" t="s">
        <v>348</v>
      </c>
      <c r="C12020" t="s">
        <v>14131</v>
      </c>
      <c r="D12020" t="s">
        <v>30413</v>
      </c>
      <c r="E12020">
        <v>424019</v>
      </c>
      <c r="F12020" t="s">
        <v>1</v>
      </c>
      <c r="G12020" t="s">
        <v>2</v>
      </c>
      <c r="H12020" t="s">
        <v>7785</v>
      </c>
      <c r="J12020" t="s">
        <v>43757</v>
      </c>
      <c r="L12020" t="s">
        <v>30415</v>
      </c>
      <c r="M12020" t="s">
        <v>30416</v>
      </c>
      <c r="P12020" t="s">
        <v>98</v>
      </c>
      <c r="Y12020" t="s">
        <v>43758</v>
      </c>
    </row>
    <row r="12021" spans="1:25" x14ac:dyDescent="0.25">
      <c r="A12021" t="str">
        <f>"176730446057"</f>
        <v>176730446057</v>
      </c>
      <c r="B12021" t="s">
        <v>430</v>
      </c>
      <c r="C12021" t="s">
        <v>16178</v>
      </c>
      <c r="D12021" t="s">
        <v>10135</v>
      </c>
      <c r="E12021">
        <v>424005</v>
      </c>
      <c r="F12021" t="s">
        <v>1</v>
      </c>
      <c r="G12021" t="s">
        <v>2</v>
      </c>
      <c r="H12021" t="s">
        <v>7480</v>
      </c>
      <c r="Y12021" t="s">
        <v>43759</v>
      </c>
    </row>
    <row r="12022" spans="1:25" x14ac:dyDescent="0.25">
      <c r="A12022" t="str">
        <f>"176739803263"</f>
        <v>176739803263</v>
      </c>
      <c r="B12022" t="s">
        <v>530</v>
      </c>
      <c r="C12022" t="s">
        <v>23950</v>
      </c>
      <c r="D12022" t="s">
        <v>23950</v>
      </c>
      <c r="E12022">
        <v>424007</v>
      </c>
      <c r="F12022" t="s">
        <v>1</v>
      </c>
      <c r="G12022" t="s">
        <v>2</v>
      </c>
      <c r="H12022" t="s">
        <v>10411</v>
      </c>
      <c r="Y12022" t="s">
        <v>43760</v>
      </c>
    </row>
    <row r="12023" spans="1:25" x14ac:dyDescent="0.25">
      <c r="A12023" t="str">
        <f>"176757444020"</f>
        <v>176757444020</v>
      </c>
      <c r="B12023" t="s">
        <v>574</v>
      </c>
      <c r="C12023" t="s">
        <v>646</v>
      </c>
      <c r="D12023" t="s">
        <v>31708</v>
      </c>
      <c r="E12023">
        <v>424037</v>
      </c>
      <c r="F12023" t="s">
        <v>1</v>
      </c>
      <c r="G12023" t="s">
        <v>2</v>
      </c>
      <c r="H12023" t="s">
        <v>16732</v>
      </c>
      <c r="P12023" t="s">
        <v>2457</v>
      </c>
      <c r="Y12023" t="s">
        <v>16735</v>
      </c>
    </row>
    <row r="12024" spans="1:25" x14ac:dyDescent="0.25">
      <c r="A12024" t="str">
        <f>"176767078544"</f>
        <v>176767078544</v>
      </c>
      <c r="B12024" t="s">
        <v>574</v>
      </c>
      <c r="C12024" t="s">
        <v>646</v>
      </c>
      <c r="D12024" t="s">
        <v>43761</v>
      </c>
      <c r="E12024">
        <v>424008</v>
      </c>
      <c r="F12024" t="s">
        <v>1</v>
      </c>
      <c r="G12024" t="s">
        <v>2</v>
      </c>
      <c r="H12024" t="s">
        <v>43762</v>
      </c>
      <c r="J12024" t="s">
        <v>43763</v>
      </c>
      <c r="P12024" t="s">
        <v>60</v>
      </c>
      <c r="Y12024" t="s">
        <v>43764</v>
      </c>
    </row>
    <row r="12025" spans="1:25" x14ac:dyDescent="0.25">
      <c r="A12025" t="str">
        <f>"176768654734"</f>
        <v>176768654734</v>
      </c>
      <c r="B12025" t="s">
        <v>1343</v>
      </c>
      <c r="C12025" t="s">
        <v>28301</v>
      </c>
      <c r="D12025" t="s">
        <v>43765</v>
      </c>
      <c r="E12025">
        <v>424000</v>
      </c>
      <c r="F12025" t="s">
        <v>1</v>
      </c>
      <c r="G12025" t="s">
        <v>2</v>
      </c>
      <c r="H12025" t="s">
        <v>1531</v>
      </c>
      <c r="J12025" t="s">
        <v>43766</v>
      </c>
      <c r="L12025" t="s">
        <v>43767</v>
      </c>
      <c r="M12025" t="s">
        <v>43768</v>
      </c>
      <c r="P12025" t="s">
        <v>312</v>
      </c>
      <c r="Q12025" t="s">
        <v>43769</v>
      </c>
      <c r="T12025" t="s">
        <v>43770</v>
      </c>
      <c r="V12025" t="s">
        <v>43771</v>
      </c>
      <c r="Y12025" t="s">
        <v>4373</v>
      </c>
    </row>
    <row r="12026" spans="1:25" x14ac:dyDescent="0.25">
      <c r="A12026" t="str">
        <f>"176814118055"</f>
        <v>176814118055</v>
      </c>
      <c r="B12026" t="s">
        <v>18</v>
      </c>
      <c r="C12026" t="s">
        <v>43773</v>
      </c>
      <c r="D12026" t="s">
        <v>43772</v>
      </c>
      <c r="E12026">
        <v>424006</v>
      </c>
      <c r="F12026" t="s">
        <v>1</v>
      </c>
      <c r="G12026" t="s">
        <v>2</v>
      </c>
      <c r="H12026" t="s">
        <v>5290</v>
      </c>
      <c r="P12026" t="s">
        <v>216</v>
      </c>
      <c r="Y12026" t="s">
        <v>5293</v>
      </c>
    </row>
    <row r="12027" spans="1:25" x14ac:dyDescent="0.25">
      <c r="A12027" t="str">
        <f>"176859415464"</f>
        <v>176859415464</v>
      </c>
      <c r="B12027" t="s">
        <v>654</v>
      </c>
      <c r="C12027" t="s">
        <v>43777</v>
      </c>
      <c r="D12027" t="s">
        <v>43774</v>
      </c>
      <c r="F12027" t="s">
        <v>1</v>
      </c>
      <c r="G12027" t="s">
        <v>2</v>
      </c>
      <c r="H12027" t="s">
        <v>24257</v>
      </c>
      <c r="I12027" t="s">
        <v>43775</v>
      </c>
      <c r="L12027" t="s">
        <v>7616</v>
      </c>
      <c r="M12027" t="s">
        <v>43776</v>
      </c>
      <c r="P12027" t="s">
        <v>280</v>
      </c>
      <c r="Y12027" t="s">
        <v>24260</v>
      </c>
    </row>
    <row r="12028" spans="1:25" x14ac:dyDescent="0.25">
      <c r="A12028" t="str">
        <f>"176863142729"</f>
        <v>176863142729</v>
      </c>
      <c r="B12028" t="s">
        <v>797</v>
      </c>
      <c r="C12028" t="s">
        <v>43779</v>
      </c>
      <c r="D12028" t="s">
        <v>43778</v>
      </c>
      <c r="E12028">
        <v>424003</v>
      </c>
      <c r="F12028" t="s">
        <v>1</v>
      </c>
      <c r="G12028" t="s">
        <v>2</v>
      </c>
      <c r="H12028" t="s">
        <v>34364</v>
      </c>
      <c r="L12028" t="s">
        <v>34366</v>
      </c>
      <c r="M12028" t="s">
        <v>34367</v>
      </c>
      <c r="Y12028" t="s">
        <v>43780</v>
      </c>
    </row>
    <row r="12029" spans="1:25" x14ac:dyDescent="0.25">
      <c r="A12029" t="str">
        <f>"176913509779"</f>
        <v>176913509779</v>
      </c>
      <c r="B12029" t="s">
        <v>1262</v>
      </c>
      <c r="C12029" t="s">
        <v>18398</v>
      </c>
      <c r="D12029" t="s">
        <v>43781</v>
      </c>
      <c r="E12029">
        <v>424000</v>
      </c>
      <c r="F12029" t="s">
        <v>1</v>
      </c>
      <c r="G12029" t="s">
        <v>2</v>
      </c>
      <c r="H12029" t="s">
        <v>3465</v>
      </c>
      <c r="I12029" t="s">
        <v>43782</v>
      </c>
      <c r="P12029" t="s">
        <v>2979</v>
      </c>
      <c r="Y12029" t="s">
        <v>43783</v>
      </c>
    </row>
    <row r="12030" spans="1:25" x14ac:dyDescent="0.25">
      <c r="A12030" t="str">
        <f>"176993026974"</f>
        <v>176993026974</v>
      </c>
      <c r="B12030" t="s">
        <v>574</v>
      </c>
      <c r="C12030" t="s">
        <v>646</v>
      </c>
      <c r="D12030" t="s">
        <v>39411</v>
      </c>
      <c r="E12030">
        <v>424040</v>
      </c>
      <c r="F12030" t="s">
        <v>1</v>
      </c>
      <c r="G12030" t="s">
        <v>2</v>
      </c>
      <c r="H12030" t="s">
        <v>5602</v>
      </c>
      <c r="J12030" t="s">
        <v>43784</v>
      </c>
      <c r="P12030" t="s">
        <v>216</v>
      </c>
      <c r="Y12030" t="s">
        <v>5606</v>
      </c>
    </row>
    <row r="12031" spans="1:25" x14ac:dyDescent="0.25">
      <c r="A12031" t="str">
        <f>"177044074927"</f>
        <v>177044074927</v>
      </c>
      <c r="B12031" t="s">
        <v>456</v>
      </c>
      <c r="C12031" t="s">
        <v>31739</v>
      </c>
      <c r="D12031" t="s">
        <v>43785</v>
      </c>
      <c r="E12031">
        <v>424039</v>
      </c>
      <c r="F12031" t="s">
        <v>1</v>
      </c>
      <c r="G12031" t="s">
        <v>2</v>
      </c>
      <c r="H12031" t="s">
        <v>5195</v>
      </c>
      <c r="I12031" t="s">
        <v>43786</v>
      </c>
      <c r="L12031" t="s">
        <v>43787</v>
      </c>
      <c r="M12031" t="s">
        <v>43788</v>
      </c>
      <c r="P12031" t="s">
        <v>1642</v>
      </c>
      <c r="Q12031" t="s">
        <v>43789</v>
      </c>
      <c r="R12031" t="s">
        <v>43790</v>
      </c>
      <c r="V12031" t="s">
        <v>43791</v>
      </c>
      <c r="Y12031" t="s">
        <v>5196</v>
      </c>
    </row>
    <row r="12032" spans="1:25" x14ac:dyDescent="0.25">
      <c r="A12032" t="str">
        <f>"177052060796"</f>
        <v>177052060796</v>
      </c>
      <c r="B12032" t="s">
        <v>1046</v>
      </c>
      <c r="C12032" t="s">
        <v>22946</v>
      </c>
      <c r="D12032" t="s">
        <v>22946</v>
      </c>
      <c r="F12032" t="s">
        <v>1</v>
      </c>
      <c r="G12032" t="s">
        <v>2</v>
      </c>
      <c r="H12032" t="s">
        <v>35021</v>
      </c>
      <c r="Y12032" t="s">
        <v>43792</v>
      </c>
    </row>
    <row r="12033" spans="1:25" x14ac:dyDescent="0.25">
      <c r="A12033" t="str">
        <f>"177092954968"</f>
        <v>177092954968</v>
      </c>
      <c r="B12033" t="s">
        <v>1611</v>
      </c>
      <c r="C12033" t="s">
        <v>3218</v>
      </c>
      <c r="D12033" t="s">
        <v>43793</v>
      </c>
      <c r="E12033">
        <v>424005</v>
      </c>
      <c r="F12033" t="s">
        <v>1</v>
      </c>
      <c r="G12033" t="s">
        <v>2</v>
      </c>
      <c r="H12033" t="s">
        <v>5429</v>
      </c>
      <c r="I12033" t="s">
        <v>43794</v>
      </c>
      <c r="M12033" t="s">
        <v>43795</v>
      </c>
      <c r="P12033" t="s">
        <v>20</v>
      </c>
      <c r="Y12033" t="s">
        <v>5431</v>
      </c>
    </row>
    <row r="12034" spans="1:25" x14ac:dyDescent="0.25">
      <c r="A12034" t="str">
        <f>"177178033230"</f>
        <v>177178033230</v>
      </c>
      <c r="B12034" t="s">
        <v>188</v>
      </c>
      <c r="C12034" t="s">
        <v>24568</v>
      </c>
      <c r="D12034" t="s">
        <v>24568</v>
      </c>
      <c r="F12034" t="s">
        <v>1</v>
      </c>
      <c r="G12034" t="s">
        <v>2</v>
      </c>
      <c r="H12034" t="s">
        <v>29821</v>
      </c>
      <c r="Y12034" t="s">
        <v>43796</v>
      </c>
    </row>
    <row r="12035" spans="1:25" x14ac:dyDescent="0.25">
      <c r="A12035" t="str">
        <f>"177210896710"</f>
        <v>177210896710</v>
      </c>
      <c r="B12035" t="s">
        <v>654</v>
      </c>
      <c r="C12035" t="s">
        <v>2195</v>
      </c>
      <c r="D12035" t="s">
        <v>25782</v>
      </c>
      <c r="E12035">
        <v>424000</v>
      </c>
      <c r="F12035" t="s">
        <v>1</v>
      </c>
      <c r="G12035" t="s">
        <v>2</v>
      </c>
      <c r="H12035" t="s">
        <v>6974</v>
      </c>
      <c r="I12035" t="s">
        <v>25784</v>
      </c>
      <c r="M12035" t="s">
        <v>25785</v>
      </c>
      <c r="P12035" t="s">
        <v>43797</v>
      </c>
      <c r="Y12035" t="s">
        <v>28402</v>
      </c>
    </row>
    <row r="12036" spans="1:25" x14ac:dyDescent="0.25">
      <c r="A12036" t="str">
        <f>"177218184500"</f>
        <v>177218184500</v>
      </c>
      <c r="B12036" t="s">
        <v>2474</v>
      </c>
      <c r="C12036" t="s">
        <v>2475</v>
      </c>
      <c r="D12036" t="s">
        <v>43798</v>
      </c>
      <c r="E12036">
        <v>424002</v>
      </c>
      <c r="F12036" t="s">
        <v>1</v>
      </c>
      <c r="G12036" t="s">
        <v>2</v>
      </c>
      <c r="H12036" t="s">
        <v>8677</v>
      </c>
      <c r="Y12036" t="s">
        <v>8681</v>
      </c>
    </row>
    <row r="12037" spans="1:25" x14ac:dyDescent="0.25">
      <c r="A12037" t="str">
        <f>"177219225494"</f>
        <v>177219225494</v>
      </c>
      <c r="B12037" t="s">
        <v>716</v>
      </c>
      <c r="C12037" t="s">
        <v>717</v>
      </c>
      <c r="D12037" t="s">
        <v>43799</v>
      </c>
      <c r="E12037">
        <v>424004</v>
      </c>
      <c r="F12037" t="s">
        <v>1</v>
      </c>
      <c r="G12037" t="s">
        <v>2</v>
      </c>
      <c r="H12037" t="s">
        <v>351</v>
      </c>
      <c r="I12037" t="s">
        <v>43800</v>
      </c>
      <c r="J12037" t="s">
        <v>43801</v>
      </c>
      <c r="P12037" t="s">
        <v>330</v>
      </c>
      <c r="Y12037" t="s">
        <v>354</v>
      </c>
    </row>
    <row r="12038" spans="1:25" x14ac:dyDescent="0.25">
      <c r="A12038" t="str">
        <f>"177274429529"</f>
        <v>177274429529</v>
      </c>
      <c r="B12038" t="s">
        <v>1053</v>
      </c>
      <c r="C12038" t="s">
        <v>43807</v>
      </c>
      <c r="D12038" t="s">
        <v>43802</v>
      </c>
      <c r="E12038">
        <v>424007</v>
      </c>
      <c r="F12038" t="s">
        <v>1</v>
      </c>
      <c r="G12038" t="s">
        <v>2</v>
      </c>
      <c r="H12038" t="s">
        <v>43803</v>
      </c>
      <c r="I12038" t="s">
        <v>43804</v>
      </c>
      <c r="L12038" t="s">
        <v>43805</v>
      </c>
      <c r="M12038" t="s">
        <v>43806</v>
      </c>
      <c r="P12038" t="s">
        <v>280</v>
      </c>
      <c r="Y12038" t="s">
        <v>43808</v>
      </c>
    </row>
    <row r="12039" spans="1:25" x14ac:dyDescent="0.25">
      <c r="A12039" t="str">
        <f>"177312863932"</f>
        <v>177312863932</v>
      </c>
      <c r="B12039" t="s">
        <v>1391</v>
      </c>
      <c r="C12039" t="s">
        <v>34209</v>
      </c>
      <c r="D12039" t="s">
        <v>43809</v>
      </c>
      <c r="E12039">
        <v>424003</v>
      </c>
      <c r="F12039" t="s">
        <v>1</v>
      </c>
      <c r="G12039" t="s">
        <v>2</v>
      </c>
      <c r="H12039" t="s">
        <v>9811</v>
      </c>
      <c r="I12039" t="s">
        <v>21854</v>
      </c>
      <c r="L12039" t="s">
        <v>21855</v>
      </c>
      <c r="M12039" t="s">
        <v>21856</v>
      </c>
      <c r="P12039" t="s">
        <v>8256</v>
      </c>
      <c r="Y12039" t="s">
        <v>43810</v>
      </c>
    </row>
    <row r="12040" spans="1:25" x14ac:dyDescent="0.25">
      <c r="A12040" t="str">
        <f>"177333000784"</f>
        <v>177333000784</v>
      </c>
      <c r="B12040" t="s">
        <v>574</v>
      </c>
      <c r="C12040" t="s">
        <v>8884</v>
      </c>
      <c r="D12040" t="s">
        <v>43811</v>
      </c>
      <c r="F12040" t="s">
        <v>1</v>
      </c>
      <c r="G12040" t="s">
        <v>2</v>
      </c>
      <c r="H12040" t="s">
        <v>25036</v>
      </c>
      <c r="J12040" t="s">
        <v>43812</v>
      </c>
      <c r="P12040" t="s">
        <v>216</v>
      </c>
      <c r="Y12040" t="s">
        <v>25041</v>
      </c>
    </row>
    <row r="12041" spans="1:25" x14ac:dyDescent="0.25">
      <c r="A12041" t="str">
        <f>"177427422182"</f>
        <v>177427422182</v>
      </c>
      <c r="B12041" t="s">
        <v>7312</v>
      </c>
      <c r="C12041" t="s">
        <v>19097</v>
      </c>
      <c r="D12041" t="s">
        <v>43813</v>
      </c>
      <c r="E12041">
        <v>424039</v>
      </c>
      <c r="F12041" t="s">
        <v>1</v>
      </c>
      <c r="G12041" t="s">
        <v>2</v>
      </c>
      <c r="H12041" t="s">
        <v>5827</v>
      </c>
      <c r="Y12041" t="s">
        <v>43814</v>
      </c>
    </row>
    <row r="12042" spans="1:25" x14ac:dyDescent="0.25">
      <c r="A12042" t="str">
        <f>"177435168854"</f>
        <v>177435168854</v>
      </c>
      <c r="B12042" t="s">
        <v>1352</v>
      </c>
      <c r="C12042" t="s">
        <v>1353</v>
      </c>
      <c r="D12042" t="s">
        <v>43815</v>
      </c>
      <c r="E12042">
        <v>424000</v>
      </c>
      <c r="F12042" t="s">
        <v>1</v>
      </c>
      <c r="G12042" t="s">
        <v>2</v>
      </c>
      <c r="H12042" t="s">
        <v>1531</v>
      </c>
      <c r="J12042" t="s">
        <v>43816</v>
      </c>
      <c r="P12042" t="s">
        <v>941</v>
      </c>
      <c r="Y12042" t="s">
        <v>1707</v>
      </c>
    </row>
    <row r="12043" spans="1:25" x14ac:dyDescent="0.25">
      <c r="A12043" t="str">
        <f>"177521275585"</f>
        <v>177521275585</v>
      </c>
      <c r="B12043" t="s">
        <v>2790</v>
      </c>
      <c r="C12043" t="s">
        <v>3528</v>
      </c>
      <c r="D12043" t="s">
        <v>43817</v>
      </c>
      <c r="E12043">
        <v>424031</v>
      </c>
      <c r="F12043" t="s">
        <v>1</v>
      </c>
      <c r="G12043" t="s">
        <v>2</v>
      </c>
      <c r="H12043" t="s">
        <v>4141</v>
      </c>
      <c r="I12043" t="s">
        <v>43818</v>
      </c>
      <c r="J12043" t="s">
        <v>43819</v>
      </c>
      <c r="P12043" t="s">
        <v>10551</v>
      </c>
      <c r="Y12043" t="s">
        <v>43820</v>
      </c>
    </row>
    <row r="12044" spans="1:25" x14ac:dyDescent="0.25">
      <c r="A12044" t="str">
        <f>"177523806859"</f>
        <v>177523806859</v>
      </c>
      <c r="B12044" t="s">
        <v>123</v>
      </c>
      <c r="C12044" t="s">
        <v>196</v>
      </c>
      <c r="D12044" t="s">
        <v>43821</v>
      </c>
      <c r="E12044">
        <v>424003</v>
      </c>
      <c r="F12044" t="s">
        <v>1</v>
      </c>
      <c r="G12044" t="s">
        <v>2</v>
      </c>
      <c r="H12044" t="s">
        <v>775</v>
      </c>
      <c r="I12044" t="s">
        <v>40721</v>
      </c>
      <c r="J12044" t="s">
        <v>43822</v>
      </c>
      <c r="M12044" t="s">
        <v>40722</v>
      </c>
      <c r="P12044" t="s">
        <v>43823</v>
      </c>
      <c r="Y12044" t="s">
        <v>6686</v>
      </c>
    </row>
    <row r="12045" spans="1:25" x14ac:dyDescent="0.25">
      <c r="A12045" t="str">
        <f>"177539391755"</f>
        <v>177539391755</v>
      </c>
      <c r="B12045" t="s">
        <v>1152</v>
      </c>
      <c r="C12045" t="s">
        <v>1152</v>
      </c>
      <c r="D12045" t="s">
        <v>1152</v>
      </c>
      <c r="E12045">
        <v>424006</v>
      </c>
      <c r="F12045" t="s">
        <v>1</v>
      </c>
      <c r="G12045" t="s">
        <v>2</v>
      </c>
      <c r="H12045" t="s">
        <v>34780</v>
      </c>
      <c r="Y12045" t="s">
        <v>43824</v>
      </c>
    </row>
    <row r="12046" spans="1:25" x14ac:dyDescent="0.25">
      <c r="A12046" t="str">
        <f>"177563502794"</f>
        <v>177563502794</v>
      </c>
      <c r="B12046" t="s">
        <v>18</v>
      </c>
      <c r="C12046" t="s">
        <v>43829</v>
      </c>
      <c r="D12046" t="s">
        <v>43825</v>
      </c>
      <c r="E12046">
        <v>424007</v>
      </c>
      <c r="F12046" t="s">
        <v>1</v>
      </c>
      <c r="G12046" t="s">
        <v>2</v>
      </c>
      <c r="H12046" t="s">
        <v>16262</v>
      </c>
      <c r="I12046" t="s">
        <v>43826</v>
      </c>
      <c r="L12046" t="s">
        <v>43827</v>
      </c>
      <c r="M12046" t="s">
        <v>43828</v>
      </c>
      <c r="P12046" t="s">
        <v>20</v>
      </c>
      <c r="Y12046" t="s">
        <v>20808</v>
      </c>
    </row>
    <row r="12047" spans="1:25" x14ac:dyDescent="0.25">
      <c r="A12047" t="str">
        <f>"177579432848"</f>
        <v>177579432848</v>
      </c>
      <c r="B12047" t="s">
        <v>18</v>
      </c>
      <c r="C12047" t="s">
        <v>43832</v>
      </c>
      <c r="D12047" t="s">
        <v>43830</v>
      </c>
      <c r="F12047" t="s">
        <v>1</v>
      </c>
      <c r="G12047" t="s">
        <v>2</v>
      </c>
      <c r="H12047" t="s">
        <v>138</v>
      </c>
      <c r="I12047" t="s">
        <v>43831</v>
      </c>
      <c r="P12047" t="s">
        <v>144</v>
      </c>
      <c r="Y12047" t="s">
        <v>146</v>
      </c>
    </row>
    <row r="12048" spans="1:25" x14ac:dyDescent="0.25">
      <c r="A12048" t="str">
        <f>"177584352580"</f>
        <v>177584352580</v>
      </c>
      <c r="B12048" t="s">
        <v>12698</v>
      </c>
      <c r="C12048" t="s">
        <v>43834</v>
      </c>
      <c r="D12048" t="s">
        <v>43833</v>
      </c>
      <c r="E12048">
        <v>424003</v>
      </c>
      <c r="F12048" t="s">
        <v>1</v>
      </c>
      <c r="G12048" t="s">
        <v>2</v>
      </c>
      <c r="H12048" t="s">
        <v>21660</v>
      </c>
      <c r="P12048" t="s">
        <v>216</v>
      </c>
      <c r="Y12048" t="s">
        <v>24917</v>
      </c>
    </row>
    <row r="12049" spans="1:25" x14ac:dyDescent="0.25">
      <c r="A12049" t="str">
        <f>"177632727401"</f>
        <v>177632727401</v>
      </c>
      <c r="B12049" t="s">
        <v>319</v>
      </c>
      <c r="C12049" t="s">
        <v>320</v>
      </c>
      <c r="D12049" t="s">
        <v>32261</v>
      </c>
      <c r="E12049">
        <v>424006</v>
      </c>
      <c r="F12049" t="s">
        <v>1</v>
      </c>
      <c r="G12049" t="s">
        <v>2</v>
      </c>
      <c r="H12049" t="s">
        <v>13109</v>
      </c>
      <c r="I12049" t="s">
        <v>43835</v>
      </c>
      <c r="L12049" t="s">
        <v>2559</v>
      </c>
      <c r="M12049" t="s">
        <v>17901</v>
      </c>
      <c r="P12049" t="s">
        <v>410</v>
      </c>
      <c r="Y12049" t="s">
        <v>22474</v>
      </c>
    </row>
    <row r="12050" spans="1:25" x14ac:dyDescent="0.25">
      <c r="A12050" t="str">
        <f>"177640972230"</f>
        <v>177640972230</v>
      </c>
      <c r="B12050" t="s">
        <v>930</v>
      </c>
      <c r="C12050" t="s">
        <v>6070</v>
      </c>
      <c r="D12050" t="s">
        <v>43836</v>
      </c>
      <c r="E12050">
        <v>424002</v>
      </c>
      <c r="F12050" t="s">
        <v>1</v>
      </c>
      <c r="G12050" t="s">
        <v>2</v>
      </c>
      <c r="H12050" t="s">
        <v>5967</v>
      </c>
      <c r="J12050" t="s">
        <v>43837</v>
      </c>
      <c r="L12050" t="s">
        <v>43838</v>
      </c>
      <c r="M12050" t="s">
        <v>43839</v>
      </c>
      <c r="P12050" t="s">
        <v>330</v>
      </c>
      <c r="Q12050" t="s">
        <v>43840</v>
      </c>
      <c r="T12050" t="s">
        <v>43841</v>
      </c>
      <c r="Y12050" t="s">
        <v>43842</v>
      </c>
    </row>
    <row r="12051" spans="1:25" x14ac:dyDescent="0.25">
      <c r="A12051" t="str">
        <f>"177664115690"</f>
        <v>177664115690</v>
      </c>
      <c r="B12051" t="s">
        <v>553</v>
      </c>
      <c r="C12051" t="s">
        <v>554</v>
      </c>
      <c r="D12051" t="s">
        <v>7130</v>
      </c>
      <c r="E12051">
        <v>424038</v>
      </c>
      <c r="F12051" t="s">
        <v>1</v>
      </c>
      <c r="G12051" t="s">
        <v>2</v>
      </c>
      <c r="H12051" t="s">
        <v>1862</v>
      </c>
      <c r="I12051" t="s">
        <v>43843</v>
      </c>
      <c r="P12051" t="s">
        <v>152</v>
      </c>
      <c r="Y12051" t="s">
        <v>3870</v>
      </c>
    </row>
    <row r="12052" spans="1:25" x14ac:dyDescent="0.25">
      <c r="A12052" t="str">
        <f>"177704661144"</f>
        <v>177704661144</v>
      </c>
      <c r="B12052" t="s">
        <v>482</v>
      </c>
      <c r="C12052" t="s">
        <v>6009</v>
      </c>
      <c r="D12052" t="s">
        <v>43844</v>
      </c>
      <c r="E12052">
        <v>424003</v>
      </c>
      <c r="F12052" t="s">
        <v>1</v>
      </c>
      <c r="G12052" t="s">
        <v>2</v>
      </c>
      <c r="H12052" t="s">
        <v>19413</v>
      </c>
      <c r="I12052" t="s">
        <v>34437</v>
      </c>
      <c r="L12052" t="s">
        <v>34438</v>
      </c>
      <c r="M12052" t="s">
        <v>34439</v>
      </c>
      <c r="P12052" t="s">
        <v>235</v>
      </c>
      <c r="Q12052" t="s">
        <v>43845</v>
      </c>
      <c r="Y12052" t="s">
        <v>43846</v>
      </c>
    </row>
    <row r="12053" spans="1:25" x14ac:dyDescent="0.25">
      <c r="A12053" t="str">
        <f>"177711008007"</f>
        <v>177711008007</v>
      </c>
      <c r="B12053" t="s">
        <v>18</v>
      </c>
      <c r="C12053" t="s">
        <v>4522</v>
      </c>
      <c r="D12053" t="s">
        <v>22</v>
      </c>
      <c r="E12053">
        <v>424007</v>
      </c>
      <c r="F12053" t="s">
        <v>1</v>
      </c>
      <c r="G12053" t="s">
        <v>2</v>
      </c>
      <c r="H12053" t="s">
        <v>32041</v>
      </c>
      <c r="Y12053" t="s">
        <v>43847</v>
      </c>
    </row>
    <row r="12054" spans="1:25" x14ac:dyDescent="0.25">
      <c r="A12054" t="str">
        <f>"177753360779"</f>
        <v>177753360779</v>
      </c>
      <c r="B12054" t="s">
        <v>32</v>
      </c>
      <c r="C12054" t="s">
        <v>20137</v>
      </c>
      <c r="D12054" t="s">
        <v>43848</v>
      </c>
      <c r="E12054">
        <v>424004</v>
      </c>
      <c r="F12054" t="s">
        <v>1</v>
      </c>
      <c r="G12054" t="s">
        <v>2</v>
      </c>
      <c r="H12054" t="s">
        <v>1169</v>
      </c>
      <c r="J12054" t="s">
        <v>43849</v>
      </c>
      <c r="P12054" t="s">
        <v>216</v>
      </c>
      <c r="V12054" t="s">
        <v>43850</v>
      </c>
      <c r="Y12054" t="s">
        <v>1178</v>
      </c>
    </row>
    <row r="12055" spans="1:25" x14ac:dyDescent="0.25">
      <c r="A12055" t="str">
        <f>"177762833568"</f>
        <v>177762833568</v>
      </c>
      <c r="B12055" t="s">
        <v>32</v>
      </c>
      <c r="C12055" t="s">
        <v>43853</v>
      </c>
      <c r="D12055" t="s">
        <v>43851</v>
      </c>
      <c r="E12055">
        <v>424031</v>
      </c>
      <c r="F12055" t="s">
        <v>1</v>
      </c>
      <c r="G12055" t="s">
        <v>2</v>
      </c>
      <c r="H12055" t="s">
        <v>16397</v>
      </c>
      <c r="J12055" t="s">
        <v>43852</v>
      </c>
      <c r="P12055" t="s">
        <v>1642</v>
      </c>
      <c r="Q12055" t="s">
        <v>43854</v>
      </c>
      <c r="V12055" t="s">
        <v>43855</v>
      </c>
      <c r="Y12055" t="s">
        <v>43856</v>
      </c>
    </row>
    <row r="12056" spans="1:25" x14ac:dyDescent="0.25">
      <c r="A12056" t="str">
        <f>"177802863394"</f>
        <v>177802863394</v>
      </c>
      <c r="B12056" t="s">
        <v>574</v>
      </c>
      <c r="C12056" t="s">
        <v>37753</v>
      </c>
      <c r="D12056" t="s">
        <v>43857</v>
      </c>
      <c r="E12056">
        <v>424002</v>
      </c>
      <c r="F12056" t="s">
        <v>1</v>
      </c>
      <c r="G12056" t="s">
        <v>2</v>
      </c>
      <c r="H12056" t="s">
        <v>41446</v>
      </c>
      <c r="J12056" t="s">
        <v>43858</v>
      </c>
      <c r="P12056" t="s">
        <v>1760</v>
      </c>
      <c r="V12056" t="s">
        <v>43859</v>
      </c>
      <c r="Y12056" t="s">
        <v>43860</v>
      </c>
    </row>
    <row r="12057" spans="1:25" x14ac:dyDescent="0.25">
      <c r="A12057" t="str">
        <f>"177811117774"</f>
        <v>177811117774</v>
      </c>
      <c r="B12057" t="s">
        <v>96</v>
      </c>
      <c r="C12057" t="s">
        <v>5155</v>
      </c>
      <c r="D12057" t="s">
        <v>43861</v>
      </c>
      <c r="E12057">
        <v>424000</v>
      </c>
      <c r="F12057" t="s">
        <v>1</v>
      </c>
      <c r="G12057" t="s">
        <v>2</v>
      </c>
      <c r="H12057" t="s">
        <v>1473</v>
      </c>
      <c r="P12057" t="s">
        <v>941</v>
      </c>
      <c r="Y12057" t="s">
        <v>31021</v>
      </c>
    </row>
    <row r="12058" spans="1:25" x14ac:dyDescent="0.25">
      <c r="A12058" t="str">
        <f>"177822351781"</f>
        <v>177822351781</v>
      </c>
      <c r="B12058" t="s">
        <v>1352</v>
      </c>
      <c r="C12058" t="s">
        <v>1353</v>
      </c>
      <c r="D12058" t="s">
        <v>43862</v>
      </c>
      <c r="E12058">
        <v>424033</v>
      </c>
      <c r="F12058" t="s">
        <v>1</v>
      </c>
      <c r="G12058" t="s">
        <v>2</v>
      </c>
      <c r="H12058" t="s">
        <v>6126</v>
      </c>
      <c r="P12058" t="s">
        <v>144</v>
      </c>
      <c r="Y12058" t="s">
        <v>43863</v>
      </c>
    </row>
    <row r="12059" spans="1:25" x14ac:dyDescent="0.25">
      <c r="A12059" t="str">
        <f>"177824175832"</f>
        <v>177824175832</v>
      </c>
      <c r="B12059" t="s">
        <v>96</v>
      </c>
      <c r="C12059" t="s">
        <v>893</v>
      </c>
      <c r="D12059" t="s">
        <v>43864</v>
      </c>
      <c r="F12059" t="s">
        <v>1</v>
      </c>
      <c r="G12059" t="s">
        <v>2</v>
      </c>
      <c r="H12059" t="s">
        <v>19499</v>
      </c>
      <c r="P12059" t="s">
        <v>144</v>
      </c>
      <c r="Y12059" t="s">
        <v>24185</v>
      </c>
    </row>
    <row r="12060" spans="1:25" x14ac:dyDescent="0.25">
      <c r="A12060" t="str">
        <f>"177845179982"</f>
        <v>177845179982</v>
      </c>
      <c r="B12060" t="s">
        <v>1352</v>
      </c>
      <c r="C12060" t="s">
        <v>1353</v>
      </c>
      <c r="D12060" t="s">
        <v>43865</v>
      </c>
      <c r="E12060">
        <v>424038</v>
      </c>
      <c r="F12060" t="s">
        <v>1</v>
      </c>
      <c r="G12060" t="s">
        <v>2</v>
      </c>
      <c r="H12060" t="s">
        <v>10681</v>
      </c>
      <c r="J12060" t="s">
        <v>43866</v>
      </c>
      <c r="P12060" t="s">
        <v>43867</v>
      </c>
      <c r="Y12060" t="s">
        <v>10684</v>
      </c>
    </row>
    <row r="12061" spans="1:25" x14ac:dyDescent="0.25">
      <c r="A12061" t="str">
        <f>"177859033821"</f>
        <v>177859033821</v>
      </c>
      <c r="B12061" t="s">
        <v>1573</v>
      </c>
      <c r="C12061" t="s">
        <v>1817</v>
      </c>
      <c r="D12061" t="s">
        <v>1815</v>
      </c>
      <c r="E12061">
        <v>424006</v>
      </c>
      <c r="F12061" t="s">
        <v>1</v>
      </c>
      <c r="G12061" t="s">
        <v>2</v>
      </c>
      <c r="H12061" t="s">
        <v>2557</v>
      </c>
      <c r="Y12061" t="s">
        <v>43868</v>
      </c>
    </row>
    <row r="12062" spans="1:25" x14ac:dyDescent="0.25">
      <c r="A12062" t="str">
        <f>"177859270197"</f>
        <v>177859270197</v>
      </c>
      <c r="B12062" t="s">
        <v>348</v>
      </c>
      <c r="C12062" t="s">
        <v>7354</v>
      </c>
      <c r="D12062" t="s">
        <v>6973</v>
      </c>
      <c r="F12062" t="s">
        <v>1</v>
      </c>
      <c r="G12062" t="s">
        <v>2</v>
      </c>
      <c r="H12062" t="s">
        <v>138</v>
      </c>
      <c r="I12062" t="s">
        <v>43869</v>
      </c>
      <c r="M12062" t="s">
        <v>43870</v>
      </c>
      <c r="P12062" t="s">
        <v>144</v>
      </c>
      <c r="Q12062" t="s">
        <v>6980</v>
      </c>
      <c r="V12062" t="s">
        <v>6981</v>
      </c>
      <c r="Y12062" t="s">
        <v>146</v>
      </c>
    </row>
    <row r="12063" spans="1:25" x14ac:dyDescent="0.25">
      <c r="A12063" t="str">
        <f>"177866081180"</f>
        <v>177866081180</v>
      </c>
      <c r="B12063" t="s">
        <v>1152</v>
      </c>
      <c r="C12063" t="s">
        <v>1989</v>
      </c>
      <c r="D12063" t="s">
        <v>43871</v>
      </c>
      <c r="E12063">
        <v>424000</v>
      </c>
      <c r="F12063" t="s">
        <v>1</v>
      </c>
      <c r="G12063" t="s">
        <v>2</v>
      </c>
      <c r="H12063" t="s">
        <v>1531</v>
      </c>
      <c r="Y12063" t="s">
        <v>43872</v>
      </c>
    </row>
    <row r="12064" spans="1:25" x14ac:dyDescent="0.25">
      <c r="A12064" t="str">
        <f>"177904637100"</f>
        <v>177904637100</v>
      </c>
      <c r="B12064" t="s">
        <v>841</v>
      </c>
      <c r="C12064" t="s">
        <v>43873</v>
      </c>
      <c r="D12064" t="s">
        <v>841</v>
      </c>
      <c r="E12064">
        <v>424006</v>
      </c>
      <c r="F12064" t="s">
        <v>1</v>
      </c>
      <c r="G12064" t="s">
        <v>2</v>
      </c>
      <c r="H12064" t="s">
        <v>20740</v>
      </c>
      <c r="P12064" t="s">
        <v>1679</v>
      </c>
      <c r="Y12064" t="s">
        <v>43874</v>
      </c>
    </row>
    <row r="12065" spans="1:25" x14ac:dyDescent="0.25">
      <c r="A12065" t="str">
        <f>"177923916136"</f>
        <v>177923916136</v>
      </c>
      <c r="B12065" t="s">
        <v>18</v>
      </c>
      <c r="C12065" t="s">
        <v>16044</v>
      </c>
      <c r="D12065" t="s">
        <v>43875</v>
      </c>
      <c r="E12065">
        <v>424007</v>
      </c>
      <c r="F12065" t="s">
        <v>1</v>
      </c>
      <c r="G12065" t="s">
        <v>2</v>
      </c>
      <c r="H12065" t="s">
        <v>220</v>
      </c>
      <c r="P12065" t="s">
        <v>390</v>
      </c>
      <c r="Y12065" t="s">
        <v>43876</v>
      </c>
    </row>
    <row r="12066" spans="1:25" x14ac:dyDescent="0.25">
      <c r="A12066" t="str">
        <f>"177937462949"</f>
        <v>177937462949</v>
      </c>
      <c r="B12066" t="s">
        <v>8011</v>
      </c>
      <c r="C12066" t="s">
        <v>25177</v>
      </c>
      <c r="D12066" t="s">
        <v>43877</v>
      </c>
      <c r="E12066">
        <v>424005</v>
      </c>
      <c r="F12066" t="s">
        <v>1</v>
      </c>
      <c r="G12066" t="s">
        <v>2</v>
      </c>
      <c r="H12066" t="s">
        <v>43878</v>
      </c>
      <c r="Q12066" t="s">
        <v>43879</v>
      </c>
      <c r="Y12066" t="s">
        <v>34580</v>
      </c>
    </row>
    <row r="12067" spans="1:25" x14ac:dyDescent="0.25">
      <c r="A12067" t="str">
        <f>"177950934596"</f>
        <v>177950934596</v>
      </c>
      <c r="B12067" t="s">
        <v>352</v>
      </c>
      <c r="C12067" t="s">
        <v>43881</v>
      </c>
      <c r="D12067" t="s">
        <v>43880</v>
      </c>
      <c r="E12067">
        <v>424006</v>
      </c>
      <c r="F12067" t="s">
        <v>1</v>
      </c>
      <c r="G12067" t="s">
        <v>2</v>
      </c>
      <c r="H12067" t="s">
        <v>445</v>
      </c>
      <c r="Y12067" t="s">
        <v>449</v>
      </c>
    </row>
    <row r="12068" spans="1:25" x14ac:dyDescent="0.25">
      <c r="A12068" t="str">
        <f>"177975199274"</f>
        <v>177975199274</v>
      </c>
      <c r="B12068" t="s">
        <v>18</v>
      </c>
      <c r="C12068" t="s">
        <v>43887</v>
      </c>
      <c r="D12068" t="s">
        <v>43882</v>
      </c>
      <c r="E12068">
        <v>424016</v>
      </c>
      <c r="F12068" t="s">
        <v>1</v>
      </c>
      <c r="G12068" t="s">
        <v>2</v>
      </c>
      <c r="H12068" t="s">
        <v>18429</v>
      </c>
      <c r="I12068" t="s">
        <v>43883</v>
      </c>
      <c r="J12068" t="s">
        <v>43884</v>
      </c>
      <c r="L12068" t="s">
        <v>43885</v>
      </c>
      <c r="M12068" t="s">
        <v>43886</v>
      </c>
      <c r="P12068" t="s">
        <v>10212</v>
      </c>
      <c r="Y12068" t="s">
        <v>29257</v>
      </c>
    </row>
    <row r="12069" spans="1:25" x14ac:dyDescent="0.25">
      <c r="A12069" t="str">
        <f>"178000742454"</f>
        <v>178000742454</v>
      </c>
      <c r="B12069" t="s">
        <v>1573</v>
      </c>
      <c r="C12069" t="s">
        <v>11019</v>
      </c>
      <c r="D12069" t="s">
        <v>43888</v>
      </c>
      <c r="E12069">
        <v>424005</v>
      </c>
      <c r="F12069" t="s">
        <v>1</v>
      </c>
      <c r="G12069" t="s">
        <v>2</v>
      </c>
      <c r="H12069" t="s">
        <v>1148</v>
      </c>
      <c r="Y12069" t="s">
        <v>43889</v>
      </c>
    </row>
    <row r="12070" spans="1:25" x14ac:dyDescent="0.25">
      <c r="A12070" t="str">
        <f>"178035516245"</f>
        <v>178035516245</v>
      </c>
      <c r="B12070" t="s">
        <v>574</v>
      </c>
      <c r="C12070" t="s">
        <v>24952</v>
      </c>
      <c r="D12070" t="s">
        <v>43890</v>
      </c>
      <c r="F12070" t="s">
        <v>1</v>
      </c>
      <c r="G12070" t="s">
        <v>2</v>
      </c>
      <c r="H12070" t="s">
        <v>138</v>
      </c>
      <c r="J12070" t="s">
        <v>43891</v>
      </c>
      <c r="P12070" t="s">
        <v>144</v>
      </c>
      <c r="Q12070" t="s">
        <v>43892</v>
      </c>
      <c r="Y12070" t="s">
        <v>146</v>
      </c>
    </row>
    <row r="12071" spans="1:25" x14ac:dyDescent="0.25">
      <c r="A12071" t="str">
        <f>"178038227218"</f>
        <v>178038227218</v>
      </c>
      <c r="B12071" t="s">
        <v>88</v>
      </c>
      <c r="C12071" t="s">
        <v>43895</v>
      </c>
      <c r="D12071" t="s">
        <v>43893</v>
      </c>
      <c r="E12071">
        <v>424038</v>
      </c>
      <c r="F12071" t="s">
        <v>1</v>
      </c>
      <c r="G12071" t="s">
        <v>2</v>
      </c>
      <c r="H12071" t="s">
        <v>9930</v>
      </c>
      <c r="J12071" t="s">
        <v>43894</v>
      </c>
      <c r="P12071" t="s">
        <v>3313</v>
      </c>
      <c r="Y12071" t="s">
        <v>13829</v>
      </c>
    </row>
    <row r="12072" spans="1:25" x14ac:dyDescent="0.25">
      <c r="A12072" t="str">
        <f>"178083453906"</f>
        <v>178083453906</v>
      </c>
      <c r="B12072" t="s">
        <v>797</v>
      </c>
      <c r="C12072" t="s">
        <v>43899</v>
      </c>
      <c r="D12072" t="s">
        <v>35972</v>
      </c>
      <c r="E12072">
        <v>424037</v>
      </c>
      <c r="F12072" t="s">
        <v>1</v>
      </c>
      <c r="G12072" t="s">
        <v>2</v>
      </c>
      <c r="H12072" t="s">
        <v>29602</v>
      </c>
      <c r="J12072" t="s">
        <v>43896</v>
      </c>
      <c r="L12072" t="s">
        <v>43897</v>
      </c>
      <c r="M12072" t="s">
        <v>43898</v>
      </c>
      <c r="P12072" t="s">
        <v>1039</v>
      </c>
      <c r="Y12072" t="s">
        <v>43900</v>
      </c>
    </row>
    <row r="12073" spans="1:25" x14ac:dyDescent="0.25">
      <c r="A12073" t="str">
        <f>"178084299057"</f>
        <v>178084299057</v>
      </c>
      <c r="B12073" t="s">
        <v>462</v>
      </c>
      <c r="C12073" t="s">
        <v>463</v>
      </c>
      <c r="D12073" t="s">
        <v>43901</v>
      </c>
      <c r="E12073">
        <v>424002</v>
      </c>
      <c r="F12073" t="s">
        <v>1</v>
      </c>
      <c r="G12073" t="s">
        <v>2</v>
      </c>
      <c r="H12073" t="s">
        <v>6397</v>
      </c>
      <c r="I12073" t="s">
        <v>43902</v>
      </c>
      <c r="Y12073" t="s">
        <v>6401</v>
      </c>
    </row>
    <row r="12074" spans="1:25" x14ac:dyDescent="0.25">
      <c r="A12074" t="str">
        <f>"178101046128"</f>
        <v>178101046128</v>
      </c>
      <c r="B12074" t="s">
        <v>348</v>
      </c>
      <c r="C12074" t="s">
        <v>6978</v>
      </c>
      <c r="D12074" t="s">
        <v>43903</v>
      </c>
      <c r="E12074">
        <v>424006</v>
      </c>
      <c r="F12074" t="s">
        <v>1</v>
      </c>
      <c r="G12074" t="s">
        <v>2</v>
      </c>
      <c r="H12074" t="s">
        <v>2012</v>
      </c>
      <c r="J12074" t="s">
        <v>43904</v>
      </c>
      <c r="L12074" t="s">
        <v>43905</v>
      </c>
      <c r="M12074" t="s">
        <v>43906</v>
      </c>
      <c r="P12074" t="s">
        <v>133</v>
      </c>
      <c r="Q12074" t="s">
        <v>43907</v>
      </c>
      <c r="Y12074" t="s">
        <v>2016</v>
      </c>
    </row>
    <row r="12075" spans="1:25" x14ac:dyDescent="0.25">
      <c r="A12075" t="str">
        <f>"178107572298"</f>
        <v>178107572298</v>
      </c>
      <c r="B12075" t="s">
        <v>1152</v>
      </c>
      <c r="C12075" t="s">
        <v>1989</v>
      </c>
      <c r="D12075" t="s">
        <v>43871</v>
      </c>
      <c r="E12075">
        <v>424004</v>
      </c>
      <c r="F12075" t="s">
        <v>1</v>
      </c>
      <c r="G12075" t="s">
        <v>2</v>
      </c>
      <c r="H12075" t="s">
        <v>43908</v>
      </c>
      <c r="P12075" t="s">
        <v>11069</v>
      </c>
      <c r="Y12075" t="s">
        <v>43909</v>
      </c>
    </row>
    <row r="12076" spans="1:25" x14ac:dyDescent="0.25">
      <c r="A12076" t="str">
        <f>"178114256093"</f>
        <v>178114256093</v>
      </c>
      <c r="B12076" t="s">
        <v>96</v>
      </c>
      <c r="C12076" t="s">
        <v>33433</v>
      </c>
      <c r="D12076" t="s">
        <v>42662</v>
      </c>
      <c r="E12076">
        <v>424038</v>
      </c>
      <c r="F12076" t="s">
        <v>1</v>
      </c>
      <c r="G12076" t="s">
        <v>2</v>
      </c>
      <c r="H12076" t="s">
        <v>14471</v>
      </c>
      <c r="Y12076" t="s">
        <v>43910</v>
      </c>
    </row>
    <row r="12077" spans="1:25" x14ac:dyDescent="0.25">
      <c r="A12077" t="str">
        <f>"178131735106"</f>
        <v>178131735106</v>
      </c>
      <c r="B12077" t="s">
        <v>1152</v>
      </c>
      <c r="C12077" t="s">
        <v>19644</v>
      </c>
      <c r="D12077" t="s">
        <v>19267</v>
      </c>
      <c r="E12077">
        <v>424020</v>
      </c>
      <c r="F12077" t="s">
        <v>1</v>
      </c>
      <c r="G12077" t="s">
        <v>2</v>
      </c>
      <c r="H12077" t="s">
        <v>9442</v>
      </c>
      <c r="J12077" t="s">
        <v>21724</v>
      </c>
      <c r="M12077" t="s">
        <v>43911</v>
      </c>
      <c r="P12077" t="s">
        <v>3690</v>
      </c>
      <c r="Q12077" t="s">
        <v>43912</v>
      </c>
      <c r="T12077" t="s">
        <v>43913</v>
      </c>
      <c r="V12077" t="s">
        <v>43914</v>
      </c>
      <c r="Y12077" t="s">
        <v>9446</v>
      </c>
    </row>
    <row r="12078" spans="1:25" x14ac:dyDescent="0.25">
      <c r="A12078" t="str">
        <f>"178153609807"</f>
        <v>178153609807</v>
      </c>
      <c r="B12078" t="s">
        <v>574</v>
      </c>
      <c r="C12078" t="s">
        <v>31132</v>
      </c>
      <c r="D12078" t="s">
        <v>24383</v>
      </c>
      <c r="E12078">
        <v>424039</v>
      </c>
      <c r="F12078" t="s">
        <v>1</v>
      </c>
      <c r="G12078" t="s">
        <v>2</v>
      </c>
      <c r="H12078" t="s">
        <v>26900</v>
      </c>
      <c r="J12078" t="s">
        <v>43915</v>
      </c>
      <c r="P12078" t="s">
        <v>31133</v>
      </c>
      <c r="V12078" t="s">
        <v>41719</v>
      </c>
      <c r="Y12078" t="s">
        <v>43916</v>
      </c>
    </row>
    <row r="12079" spans="1:25" x14ac:dyDescent="0.25">
      <c r="A12079" t="str">
        <f>"178160132440"</f>
        <v>178160132440</v>
      </c>
      <c r="B12079" t="s">
        <v>687</v>
      </c>
      <c r="C12079" t="s">
        <v>9715</v>
      </c>
      <c r="D12079" t="s">
        <v>43917</v>
      </c>
      <c r="E12079">
        <v>424003</v>
      </c>
      <c r="F12079" t="s">
        <v>1</v>
      </c>
      <c r="G12079" t="s">
        <v>2</v>
      </c>
      <c r="H12079" t="s">
        <v>38</v>
      </c>
      <c r="J12079" t="s">
        <v>43918</v>
      </c>
      <c r="L12079" t="s">
        <v>43919</v>
      </c>
      <c r="M12079" t="s">
        <v>43920</v>
      </c>
      <c r="P12079" t="s">
        <v>3690</v>
      </c>
      <c r="Y12079" t="s">
        <v>8462</v>
      </c>
    </row>
    <row r="12080" spans="1:25" x14ac:dyDescent="0.25">
      <c r="A12080" t="str">
        <f>"178183953793"</f>
        <v>178183953793</v>
      </c>
      <c r="B12080" t="s">
        <v>67</v>
      </c>
      <c r="C12080" t="s">
        <v>832</v>
      </c>
      <c r="D12080" t="s">
        <v>43921</v>
      </c>
      <c r="F12080" t="s">
        <v>1</v>
      </c>
      <c r="G12080" t="s">
        <v>2</v>
      </c>
      <c r="H12080" t="s">
        <v>23969</v>
      </c>
      <c r="Y12080" t="s">
        <v>43922</v>
      </c>
    </row>
    <row r="12081" spans="1:25" x14ac:dyDescent="0.25">
      <c r="A12081" t="str">
        <f>"178188880310"</f>
        <v>178188880310</v>
      </c>
      <c r="B12081" t="s">
        <v>574</v>
      </c>
      <c r="C12081" t="s">
        <v>646</v>
      </c>
      <c r="D12081" t="s">
        <v>29764</v>
      </c>
      <c r="E12081">
        <v>424006</v>
      </c>
      <c r="F12081" t="s">
        <v>1</v>
      </c>
      <c r="G12081" t="s">
        <v>2</v>
      </c>
      <c r="H12081" t="s">
        <v>41814</v>
      </c>
      <c r="P12081" t="s">
        <v>330</v>
      </c>
      <c r="Y12081" t="s">
        <v>43923</v>
      </c>
    </row>
    <row r="12082" spans="1:25" x14ac:dyDescent="0.25">
      <c r="A12082" t="str">
        <f>"178195376426"</f>
        <v>178195376426</v>
      </c>
      <c r="B12082" t="s">
        <v>290</v>
      </c>
      <c r="C12082" t="s">
        <v>290</v>
      </c>
      <c r="D12082" t="s">
        <v>43924</v>
      </c>
      <c r="E12082">
        <v>424038</v>
      </c>
      <c r="F12082" t="s">
        <v>1</v>
      </c>
      <c r="G12082" t="s">
        <v>2</v>
      </c>
      <c r="H12082" t="s">
        <v>7597</v>
      </c>
      <c r="P12082" t="s">
        <v>1642</v>
      </c>
      <c r="Y12082" t="s">
        <v>43925</v>
      </c>
    </row>
    <row r="12083" spans="1:25" x14ac:dyDescent="0.25">
      <c r="A12083" t="str">
        <f>"178195657053"</f>
        <v>178195657053</v>
      </c>
      <c r="B12083" t="s">
        <v>7312</v>
      </c>
      <c r="C12083" t="s">
        <v>7313</v>
      </c>
      <c r="D12083" t="s">
        <v>19130</v>
      </c>
      <c r="E12083">
        <v>424016</v>
      </c>
      <c r="F12083" t="s">
        <v>1</v>
      </c>
      <c r="G12083" t="s">
        <v>2</v>
      </c>
      <c r="H12083" t="s">
        <v>18429</v>
      </c>
      <c r="Y12083" t="s">
        <v>43926</v>
      </c>
    </row>
    <row r="12084" spans="1:25" x14ac:dyDescent="0.25">
      <c r="A12084" t="str">
        <f>"178196440390"</f>
        <v>178196440390</v>
      </c>
      <c r="B12084" t="s">
        <v>3544</v>
      </c>
      <c r="C12084" t="s">
        <v>11303</v>
      </c>
      <c r="D12084" t="s">
        <v>43927</v>
      </c>
      <c r="E12084">
        <v>424039</v>
      </c>
      <c r="F12084" t="s">
        <v>1</v>
      </c>
      <c r="G12084" t="s">
        <v>2</v>
      </c>
      <c r="H12084" t="s">
        <v>13455</v>
      </c>
      <c r="Y12084" t="s">
        <v>43928</v>
      </c>
    </row>
    <row r="12085" spans="1:25" x14ac:dyDescent="0.25">
      <c r="A12085" t="str">
        <f>"178209361372"</f>
        <v>178209361372</v>
      </c>
      <c r="B12085" t="s">
        <v>2062</v>
      </c>
      <c r="C12085" t="s">
        <v>3293</v>
      </c>
      <c r="D12085" t="s">
        <v>43929</v>
      </c>
      <c r="E12085">
        <v>424028</v>
      </c>
      <c r="F12085" t="s">
        <v>1</v>
      </c>
      <c r="G12085" t="s">
        <v>2</v>
      </c>
      <c r="H12085" t="s">
        <v>18467</v>
      </c>
      <c r="J12085" t="s">
        <v>43930</v>
      </c>
      <c r="P12085" t="s">
        <v>6400</v>
      </c>
      <c r="Y12085" t="s">
        <v>42923</v>
      </c>
    </row>
    <row r="12086" spans="1:25" x14ac:dyDescent="0.25">
      <c r="A12086" t="str">
        <f>"178225158235"</f>
        <v>178225158235</v>
      </c>
      <c r="B12086" t="s">
        <v>1604</v>
      </c>
      <c r="C12086" t="s">
        <v>1714</v>
      </c>
      <c r="D12086" t="s">
        <v>43931</v>
      </c>
      <c r="F12086" t="s">
        <v>1</v>
      </c>
      <c r="G12086" t="s">
        <v>2</v>
      </c>
      <c r="H12086" t="s">
        <v>1600</v>
      </c>
      <c r="I12086" t="s">
        <v>43932</v>
      </c>
      <c r="L12086" t="s">
        <v>43933</v>
      </c>
      <c r="M12086" t="s">
        <v>43934</v>
      </c>
      <c r="P12086" t="s">
        <v>27</v>
      </c>
      <c r="Y12086" t="s">
        <v>2417</v>
      </c>
    </row>
    <row r="12087" spans="1:25" x14ac:dyDescent="0.25">
      <c r="A12087" t="str">
        <f>"178244791910"</f>
        <v>178244791910</v>
      </c>
      <c r="B12087" t="s">
        <v>738</v>
      </c>
      <c r="C12087" t="s">
        <v>739</v>
      </c>
      <c r="D12087" t="s">
        <v>43935</v>
      </c>
      <c r="E12087">
        <v>424008</v>
      </c>
      <c r="F12087" t="s">
        <v>1</v>
      </c>
      <c r="G12087" t="s">
        <v>2</v>
      </c>
      <c r="H12087" t="s">
        <v>10118</v>
      </c>
      <c r="I12087" t="s">
        <v>43936</v>
      </c>
      <c r="J12087" t="s">
        <v>43937</v>
      </c>
      <c r="P12087" t="s">
        <v>10124</v>
      </c>
      <c r="Y12087" t="s">
        <v>28043</v>
      </c>
    </row>
    <row r="12088" spans="1:25" x14ac:dyDescent="0.25">
      <c r="A12088" t="str">
        <f>"178274243640"</f>
        <v>178274243640</v>
      </c>
      <c r="B12088" t="s">
        <v>888</v>
      </c>
      <c r="C12088" t="s">
        <v>43940</v>
      </c>
      <c r="D12088" t="s">
        <v>2329</v>
      </c>
      <c r="E12088">
        <v>424003</v>
      </c>
      <c r="F12088" t="s">
        <v>1</v>
      </c>
      <c r="G12088" t="s">
        <v>2</v>
      </c>
      <c r="H12088" t="s">
        <v>25048</v>
      </c>
      <c r="L12088" t="s">
        <v>43938</v>
      </c>
      <c r="M12088" t="s">
        <v>43939</v>
      </c>
      <c r="P12088" t="s">
        <v>42739</v>
      </c>
      <c r="Y12088" t="s">
        <v>43941</v>
      </c>
    </row>
    <row r="12089" spans="1:25" x14ac:dyDescent="0.25">
      <c r="A12089" t="str">
        <f>"178283016487"</f>
        <v>178283016487</v>
      </c>
      <c r="B12089" t="s">
        <v>176</v>
      </c>
      <c r="C12089" t="s">
        <v>250</v>
      </c>
      <c r="D12089" t="s">
        <v>43942</v>
      </c>
      <c r="E12089">
        <v>424000</v>
      </c>
      <c r="F12089" t="s">
        <v>1</v>
      </c>
      <c r="G12089" t="s">
        <v>2</v>
      </c>
      <c r="H12089" t="s">
        <v>92</v>
      </c>
      <c r="I12089" t="s">
        <v>43943</v>
      </c>
      <c r="P12089" t="s">
        <v>7767</v>
      </c>
      <c r="Y12089" t="s">
        <v>28397</v>
      </c>
    </row>
    <row r="12090" spans="1:25" x14ac:dyDescent="0.25">
      <c r="A12090" t="str">
        <f>"178285776702"</f>
        <v>178285776702</v>
      </c>
      <c r="B12090" t="s">
        <v>25</v>
      </c>
      <c r="C12090" t="s">
        <v>30691</v>
      </c>
      <c r="D12090" t="s">
        <v>43944</v>
      </c>
      <c r="E12090">
        <v>424038</v>
      </c>
      <c r="F12090" t="s">
        <v>1</v>
      </c>
      <c r="G12090" t="s">
        <v>2</v>
      </c>
      <c r="H12090" t="s">
        <v>7597</v>
      </c>
      <c r="J12090" t="s">
        <v>43945</v>
      </c>
      <c r="L12090" t="s">
        <v>43946</v>
      </c>
      <c r="M12090" t="s">
        <v>43947</v>
      </c>
      <c r="P12090" t="s">
        <v>98</v>
      </c>
      <c r="Y12090" t="s">
        <v>16150</v>
      </c>
    </row>
    <row r="12091" spans="1:25" x14ac:dyDescent="0.25">
      <c r="A12091" t="str">
        <f>"178366351530"</f>
        <v>178366351530</v>
      </c>
      <c r="B12091" t="s">
        <v>96</v>
      </c>
      <c r="C12091" t="s">
        <v>507</v>
      </c>
      <c r="D12091" t="s">
        <v>43948</v>
      </c>
      <c r="E12091">
        <v>424918</v>
      </c>
      <c r="F12091" t="s">
        <v>1</v>
      </c>
      <c r="G12091" t="s">
        <v>2</v>
      </c>
      <c r="H12091" t="s">
        <v>629</v>
      </c>
      <c r="I12091" t="s">
        <v>43949</v>
      </c>
      <c r="L12091" t="s">
        <v>43950</v>
      </c>
      <c r="M12091" t="s">
        <v>43951</v>
      </c>
      <c r="P12091" t="s">
        <v>8133</v>
      </c>
      <c r="Q12091" t="s">
        <v>43952</v>
      </c>
      <c r="T12091" t="s">
        <v>43953</v>
      </c>
      <c r="V12091" t="s">
        <v>43954</v>
      </c>
      <c r="Y12091" t="s">
        <v>1744</v>
      </c>
    </row>
    <row r="12092" spans="1:25" x14ac:dyDescent="0.25">
      <c r="A12092" t="str">
        <f>"178408129752"</f>
        <v>178408129752</v>
      </c>
      <c r="B12092" t="s">
        <v>352</v>
      </c>
      <c r="C12092" t="s">
        <v>43958</v>
      </c>
      <c r="D12092" t="s">
        <v>43955</v>
      </c>
      <c r="E12092">
        <v>424007</v>
      </c>
      <c r="F12092" t="s">
        <v>1</v>
      </c>
      <c r="G12092" t="s">
        <v>2</v>
      </c>
      <c r="H12092" t="s">
        <v>3476</v>
      </c>
      <c r="I12092" t="s">
        <v>43956</v>
      </c>
      <c r="L12092" t="s">
        <v>43957</v>
      </c>
      <c r="P12092" t="s">
        <v>20</v>
      </c>
      <c r="Q12092" t="s">
        <v>43959</v>
      </c>
      <c r="Y12092" t="s">
        <v>43960</v>
      </c>
    </row>
    <row r="12093" spans="1:25" x14ac:dyDescent="0.25">
      <c r="A12093" t="str">
        <f>"178429594042"</f>
        <v>178429594042</v>
      </c>
      <c r="B12093" t="s">
        <v>319</v>
      </c>
      <c r="C12093" t="s">
        <v>320</v>
      </c>
      <c r="D12093" t="s">
        <v>2556</v>
      </c>
      <c r="F12093" t="s">
        <v>1</v>
      </c>
      <c r="G12093" t="s">
        <v>2</v>
      </c>
      <c r="H12093" t="s">
        <v>43961</v>
      </c>
      <c r="I12093" t="s">
        <v>43962</v>
      </c>
      <c r="Y12093" t="s">
        <v>43963</v>
      </c>
    </row>
    <row r="12094" spans="1:25" x14ac:dyDescent="0.25">
      <c r="A12094" t="str">
        <f>"178449459092"</f>
        <v>178449459092</v>
      </c>
      <c r="B12094" t="s">
        <v>32</v>
      </c>
      <c r="C12094" t="s">
        <v>40</v>
      </c>
      <c r="D12094" t="s">
        <v>43964</v>
      </c>
      <c r="E12094">
        <v>424020</v>
      </c>
      <c r="F12094" t="s">
        <v>1</v>
      </c>
      <c r="G12094" t="s">
        <v>2</v>
      </c>
      <c r="H12094" t="s">
        <v>802</v>
      </c>
      <c r="Y12094" t="s">
        <v>43965</v>
      </c>
    </row>
    <row r="12095" spans="1:25" x14ac:dyDescent="0.25">
      <c r="A12095" t="str">
        <f>"178454825279"</f>
        <v>178454825279</v>
      </c>
      <c r="B12095" t="s">
        <v>574</v>
      </c>
      <c r="C12095" t="s">
        <v>646</v>
      </c>
      <c r="D12095" t="s">
        <v>43966</v>
      </c>
      <c r="E12095">
        <v>424002</v>
      </c>
      <c r="F12095" t="s">
        <v>1</v>
      </c>
      <c r="G12095" t="s">
        <v>2</v>
      </c>
      <c r="H12095" t="s">
        <v>3421</v>
      </c>
      <c r="Y12095" t="s">
        <v>43967</v>
      </c>
    </row>
    <row r="12096" spans="1:25" x14ac:dyDescent="0.25">
      <c r="A12096" t="str">
        <f>"178522202518"</f>
        <v>178522202518</v>
      </c>
      <c r="B12096" t="s">
        <v>738</v>
      </c>
      <c r="C12096" t="s">
        <v>739</v>
      </c>
      <c r="D12096" t="s">
        <v>43968</v>
      </c>
      <c r="F12096" t="s">
        <v>1</v>
      </c>
      <c r="G12096" t="s">
        <v>2</v>
      </c>
      <c r="H12096" t="s">
        <v>633</v>
      </c>
      <c r="J12096" t="s">
        <v>43969</v>
      </c>
      <c r="P12096" t="s">
        <v>1160</v>
      </c>
      <c r="Y12096" t="s">
        <v>636</v>
      </c>
    </row>
    <row r="12097" spans="1:25" x14ac:dyDescent="0.25">
      <c r="A12097" t="str">
        <f>"178528353636"</f>
        <v>178528353636</v>
      </c>
      <c r="B12097" t="s">
        <v>530</v>
      </c>
      <c r="C12097" t="s">
        <v>23950</v>
      </c>
      <c r="D12097" t="s">
        <v>23950</v>
      </c>
      <c r="F12097" t="s">
        <v>1</v>
      </c>
      <c r="G12097" t="s">
        <v>2</v>
      </c>
      <c r="H12097" t="s">
        <v>35987</v>
      </c>
      <c r="Y12097" t="s">
        <v>43970</v>
      </c>
    </row>
    <row r="12098" spans="1:25" x14ac:dyDescent="0.25">
      <c r="A12098" t="str">
        <f>"178531217426"</f>
        <v>178531217426</v>
      </c>
      <c r="B12098" t="s">
        <v>519</v>
      </c>
      <c r="C12098" t="s">
        <v>41828</v>
      </c>
      <c r="D12098" t="s">
        <v>43971</v>
      </c>
      <c r="E12098">
        <v>424020</v>
      </c>
      <c r="F12098" t="s">
        <v>1</v>
      </c>
      <c r="G12098" t="s">
        <v>2</v>
      </c>
      <c r="H12098" t="s">
        <v>23</v>
      </c>
      <c r="J12098" t="s">
        <v>43972</v>
      </c>
      <c r="M12098" t="s">
        <v>43973</v>
      </c>
      <c r="P12098" t="s">
        <v>330</v>
      </c>
      <c r="Q12098" t="s">
        <v>43974</v>
      </c>
      <c r="T12098" t="s">
        <v>43975</v>
      </c>
      <c r="Y12098" t="s">
        <v>6162</v>
      </c>
    </row>
    <row r="12099" spans="1:25" x14ac:dyDescent="0.25">
      <c r="A12099" t="str">
        <f>"178537755459"</f>
        <v>178537755459</v>
      </c>
      <c r="B12099" t="s">
        <v>123</v>
      </c>
      <c r="C12099" t="s">
        <v>43977</v>
      </c>
      <c r="D12099" t="s">
        <v>4527</v>
      </c>
      <c r="E12099">
        <v>424019</v>
      </c>
      <c r="F12099" t="s">
        <v>1</v>
      </c>
      <c r="G12099" t="s">
        <v>2</v>
      </c>
      <c r="H12099" t="s">
        <v>1801</v>
      </c>
      <c r="I12099" t="s">
        <v>4529</v>
      </c>
      <c r="L12099" t="s">
        <v>43976</v>
      </c>
      <c r="P12099" t="s">
        <v>34</v>
      </c>
      <c r="Q12099" t="s">
        <v>4532</v>
      </c>
      <c r="V12099" t="s">
        <v>43978</v>
      </c>
      <c r="Y12099" t="s">
        <v>43979</v>
      </c>
    </row>
    <row r="12100" spans="1:25" x14ac:dyDescent="0.25">
      <c r="A12100" t="str">
        <f>"178605445384"</f>
        <v>178605445384</v>
      </c>
      <c r="B12100" t="s">
        <v>2818</v>
      </c>
      <c r="C12100" t="s">
        <v>6466</v>
      </c>
      <c r="D12100" t="s">
        <v>43980</v>
      </c>
      <c r="E12100">
        <v>424038</v>
      </c>
      <c r="F12100" t="s">
        <v>1</v>
      </c>
      <c r="G12100" t="s">
        <v>2</v>
      </c>
      <c r="H12100" t="s">
        <v>10156</v>
      </c>
      <c r="I12100" t="s">
        <v>12588</v>
      </c>
      <c r="J12100" t="s">
        <v>12589</v>
      </c>
      <c r="P12100" t="s">
        <v>419</v>
      </c>
      <c r="Y12100" t="s">
        <v>10158</v>
      </c>
    </row>
    <row r="12101" spans="1:25" x14ac:dyDescent="0.25">
      <c r="A12101" t="str">
        <f>"178609950332"</f>
        <v>178609950332</v>
      </c>
      <c r="B12101" t="s">
        <v>430</v>
      </c>
      <c r="C12101" t="s">
        <v>612</v>
      </c>
      <c r="D12101" t="s">
        <v>43981</v>
      </c>
      <c r="E12101">
        <v>424033</v>
      </c>
      <c r="F12101" t="s">
        <v>1</v>
      </c>
      <c r="G12101" t="s">
        <v>2</v>
      </c>
      <c r="H12101" t="s">
        <v>1383</v>
      </c>
      <c r="J12101" t="s">
        <v>43982</v>
      </c>
      <c r="P12101" t="s">
        <v>1027</v>
      </c>
      <c r="Y12101" t="s">
        <v>43983</v>
      </c>
    </row>
    <row r="12102" spans="1:25" x14ac:dyDescent="0.25">
      <c r="A12102" t="str">
        <f>"178624728717"</f>
        <v>178624728717</v>
      </c>
      <c r="B12102" t="s">
        <v>1152</v>
      </c>
      <c r="C12102" t="s">
        <v>4063</v>
      </c>
      <c r="D12102" t="s">
        <v>43984</v>
      </c>
      <c r="E12102">
        <v>424038</v>
      </c>
      <c r="F12102" t="s">
        <v>1</v>
      </c>
      <c r="G12102" t="s">
        <v>2</v>
      </c>
      <c r="H12102" t="s">
        <v>1366</v>
      </c>
      <c r="Y12102" t="s">
        <v>43985</v>
      </c>
    </row>
    <row r="12103" spans="1:25" x14ac:dyDescent="0.25">
      <c r="A12103" t="str">
        <f>"178640899829"</f>
        <v>178640899829</v>
      </c>
      <c r="B12103" t="s">
        <v>18</v>
      </c>
      <c r="C12103" t="s">
        <v>13796</v>
      </c>
      <c r="D12103" t="s">
        <v>43986</v>
      </c>
      <c r="E12103">
        <v>424038</v>
      </c>
      <c r="F12103" t="s">
        <v>1</v>
      </c>
      <c r="G12103" t="s">
        <v>2</v>
      </c>
      <c r="H12103" t="s">
        <v>13095</v>
      </c>
      <c r="Y12103" t="s">
        <v>43987</v>
      </c>
    </row>
    <row r="12104" spans="1:25" x14ac:dyDescent="0.25">
      <c r="A12104" t="str">
        <f>"178642720561"</f>
        <v>178642720561</v>
      </c>
      <c r="B12104" t="s">
        <v>18</v>
      </c>
      <c r="C12104" t="s">
        <v>12714</v>
      </c>
      <c r="D12104" t="s">
        <v>43988</v>
      </c>
      <c r="F12104" t="s">
        <v>1</v>
      </c>
      <c r="G12104" t="s">
        <v>2</v>
      </c>
      <c r="H12104" t="s">
        <v>1428</v>
      </c>
      <c r="I12104" t="s">
        <v>43989</v>
      </c>
      <c r="J12104" t="s">
        <v>12711</v>
      </c>
      <c r="L12104" t="s">
        <v>43990</v>
      </c>
      <c r="M12104" t="s">
        <v>43991</v>
      </c>
      <c r="P12104" t="s">
        <v>689</v>
      </c>
      <c r="Y12104" t="s">
        <v>25013</v>
      </c>
    </row>
    <row r="12105" spans="1:25" x14ac:dyDescent="0.25">
      <c r="A12105" t="str">
        <f>"178658673689"</f>
        <v>178658673689</v>
      </c>
      <c r="B12105" t="s">
        <v>32</v>
      </c>
      <c r="C12105" t="s">
        <v>182</v>
      </c>
      <c r="D12105" t="s">
        <v>43992</v>
      </c>
      <c r="E12105">
        <v>424032</v>
      </c>
      <c r="F12105" t="s">
        <v>1</v>
      </c>
      <c r="G12105" t="s">
        <v>2</v>
      </c>
      <c r="H12105" t="s">
        <v>21144</v>
      </c>
      <c r="P12105" t="s">
        <v>17892</v>
      </c>
      <c r="Y12105" t="s">
        <v>43993</v>
      </c>
    </row>
    <row r="12106" spans="1:25" x14ac:dyDescent="0.25">
      <c r="A12106" t="str">
        <f>"178670269646"</f>
        <v>178670269646</v>
      </c>
      <c r="B12106" t="s">
        <v>1222</v>
      </c>
      <c r="C12106" t="s">
        <v>43996</v>
      </c>
      <c r="D12106" t="s">
        <v>43994</v>
      </c>
      <c r="E12106">
        <v>424006</v>
      </c>
      <c r="F12106" t="s">
        <v>1</v>
      </c>
      <c r="G12106" t="s">
        <v>2</v>
      </c>
      <c r="H12106" t="s">
        <v>2557</v>
      </c>
      <c r="J12106" t="s">
        <v>43995</v>
      </c>
      <c r="P12106" t="s">
        <v>43997</v>
      </c>
      <c r="Y12106" t="s">
        <v>15027</v>
      </c>
    </row>
    <row r="12107" spans="1:25" x14ac:dyDescent="0.25">
      <c r="A12107" t="str">
        <f>"178704183490"</f>
        <v>178704183490</v>
      </c>
      <c r="B12107" t="s">
        <v>32</v>
      </c>
      <c r="C12107" t="s">
        <v>182</v>
      </c>
      <c r="D12107" t="s">
        <v>43998</v>
      </c>
      <c r="E12107">
        <v>424033</v>
      </c>
      <c r="F12107" t="s">
        <v>1</v>
      </c>
      <c r="G12107" t="s">
        <v>2</v>
      </c>
      <c r="H12107" t="s">
        <v>2597</v>
      </c>
      <c r="I12107" t="s">
        <v>43999</v>
      </c>
      <c r="P12107" t="s">
        <v>1855</v>
      </c>
      <c r="Y12107" t="s">
        <v>2718</v>
      </c>
    </row>
    <row r="12108" spans="1:25" x14ac:dyDescent="0.25">
      <c r="A12108" t="str">
        <f>"178718087588"</f>
        <v>178718087588</v>
      </c>
      <c r="B12108" t="s">
        <v>96</v>
      </c>
      <c r="C12108" t="s">
        <v>659</v>
      </c>
      <c r="D12108" t="s">
        <v>44000</v>
      </c>
      <c r="E12108">
        <v>424038</v>
      </c>
      <c r="F12108" t="s">
        <v>1</v>
      </c>
      <c r="G12108" t="s">
        <v>2</v>
      </c>
      <c r="H12108" t="s">
        <v>7597</v>
      </c>
      <c r="J12108" t="s">
        <v>44001</v>
      </c>
      <c r="P12108" t="s">
        <v>1642</v>
      </c>
      <c r="V12108" t="s">
        <v>44002</v>
      </c>
      <c r="Y12108" t="s">
        <v>16150</v>
      </c>
    </row>
    <row r="12109" spans="1:25" x14ac:dyDescent="0.25">
      <c r="A12109" t="str">
        <f>"178757564910"</f>
        <v>178757564910</v>
      </c>
      <c r="B12109" t="s">
        <v>32</v>
      </c>
      <c r="C12109" t="s">
        <v>182</v>
      </c>
      <c r="D12109" t="s">
        <v>44003</v>
      </c>
      <c r="E12109">
        <v>424028</v>
      </c>
      <c r="F12109" t="s">
        <v>1</v>
      </c>
      <c r="G12109" t="s">
        <v>2</v>
      </c>
      <c r="H12109" t="s">
        <v>24503</v>
      </c>
      <c r="I12109" t="s">
        <v>44004</v>
      </c>
      <c r="P12109" t="s">
        <v>1404</v>
      </c>
      <c r="Y12109" t="s">
        <v>44005</v>
      </c>
    </row>
    <row r="12110" spans="1:25" x14ac:dyDescent="0.25">
      <c r="A12110" t="str">
        <f>"178761015357"</f>
        <v>178761015357</v>
      </c>
      <c r="B12110" t="s">
        <v>1046</v>
      </c>
      <c r="C12110" t="s">
        <v>32452</v>
      </c>
      <c r="D12110" t="s">
        <v>44006</v>
      </c>
      <c r="F12110" t="s">
        <v>1</v>
      </c>
      <c r="G12110" t="s">
        <v>2</v>
      </c>
      <c r="H12110" t="s">
        <v>27403</v>
      </c>
      <c r="Y12110" t="s">
        <v>44007</v>
      </c>
    </row>
    <row r="12111" spans="1:25" x14ac:dyDescent="0.25">
      <c r="A12111" t="str">
        <f>"178765126188"</f>
        <v>178765126188</v>
      </c>
      <c r="B12111" t="s">
        <v>574</v>
      </c>
      <c r="C12111" t="s">
        <v>646</v>
      </c>
      <c r="D12111" t="s">
        <v>44008</v>
      </c>
      <c r="E12111">
        <v>424028</v>
      </c>
      <c r="F12111" t="s">
        <v>1</v>
      </c>
      <c r="G12111" t="s">
        <v>2</v>
      </c>
      <c r="H12111" t="s">
        <v>24899</v>
      </c>
      <c r="Y12111" t="s">
        <v>44009</v>
      </c>
    </row>
    <row r="12112" spans="1:25" x14ac:dyDescent="0.25">
      <c r="A12112" t="str">
        <f>"178788045510"</f>
        <v>178788045510</v>
      </c>
      <c r="B12112" t="s">
        <v>3200</v>
      </c>
      <c r="C12112" t="s">
        <v>44013</v>
      </c>
      <c r="D12112" t="s">
        <v>44010</v>
      </c>
      <c r="E12112">
        <v>424037</v>
      </c>
      <c r="F12112" t="s">
        <v>1</v>
      </c>
      <c r="G12112" t="s">
        <v>2</v>
      </c>
      <c r="H12112" t="s">
        <v>44011</v>
      </c>
      <c r="I12112" t="s">
        <v>44012</v>
      </c>
      <c r="P12112" t="s">
        <v>152</v>
      </c>
      <c r="Y12112" t="s">
        <v>44014</v>
      </c>
    </row>
    <row r="12113" spans="1:25" x14ac:dyDescent="0.25">
      <c r="A12113" t="str">
        <f>"178796194779"</f>
        <v>178796194779</v>
      </c>
      <c r="B12113" t="s">
        <v>430</v>
      </c>
      <c r="C12113" t="s">
        <v>17210</v>
      </c>
      <c r="D12113" t="s">
        <v>26779</v>
      </c>
      <c r="E12113">
        <v>424032</v>
      </c>
      <c r="F12113" t="s">
        <v>1</v>
      </c>
      <c r="G12113" t="s">
        <v>2</v>
      </c>
      <c r="H12113" t="s">
        <v>26780</v>
      </c>
      <c r="J12113" t="s">
        <v>44015</v>
      </c>
      <c r="L12113" t="s">
        <v>26782</v>
      </c>
      <c r="M12113" t="s">
        <v>26783</v>
      </c>
      <c r="P12113" t="s">
        <v>10285</v>
      </c>
      <c r="V12113" t="s">
        <v>26785</v>
      </c>
      <c r="Y12113" t="s">
        <v>44016</v>
      </c>
    </row>
    <row r="12114" spans="1:25" x14ac:dyDescent="0.25">
      <c r="A12114" t="str">
        <f>"178799838984"</f>
        <v>178799838984</v>
      </c>
      <c r="B12114" t="s">
        <v>25</v>
      </c>
      <c r="C12114" t="s">
        <v>32030</v>
      </c>
      <c r="D12114" t="s">
        <v>44017</v>
      </c>
      <c r="E12114">
        <v>424004</v>
      </c>
      <c r="F12114" t="s">
        <v>1</v>
      </c>
      <c r="G12114" t="s">
        <v>2</v>
      </c>
      <c r="H12114" t="s">
        <v>1330</v>
      </c>
      <c r="Y12114" t="s">
        <v>44018</v>
      </c>
    </row>
    <row r="12115" spans="1:25" x14ac:dyDescent="0.25">
      <c r="A12115" t="str">
        <f>"178822884808"</f>
        <v>178822884808</v>
      </c>
      <c r="B12115" t="s">
        <v>640</v>
      </c>
      <c r="C12115" t="s">
        <v>663</v>
      </c>
      <c r="D12115" t="s">
        <v>44019</v>
      </c>
      <c r="E12115">
        <v>424000</v>
      </c>
      <c r="F12115" t="s">
        <v>1</v>
      </c>
      <c r="G12115" t="s">
        <v>2</v>
      </c>
      <c r="H12115" t="s">
        <v>128</v>
      </c>
      <c r="I12115" t="s">
        <v>44020</v>
      </c>
      <c r="J12115" t="s">
        <v>44021</v>
      </c>
      <c r="P12115" t="s">
        <v>44022</v>
      </c>
      <c r="Y12115" t="s">
        <v>5640</v>
      </c>
    </row>
    <row r="12116" spans="1:25" x14ac:dyDescent="0.25">
      <c r="A12116" t="str">
        <f>"178834756503"</f>
        <v>178834756503</v>
      </c>
      <c r="B12116" t="s">
        <v>319</v>
      </c>
      <c r="C12116" t="s">
        <v>320</v>
      </c>
      <c r="D12116" t="s">
        <v>4715</v>
      </c>
      <c r="E12116">
        <v>424038</v>
      </c>
      <c r="F12116" t="s">
        <v>1</v>
      </c>
      <c r="G12116" t="s">
        <v>2</v>
      </c>
      <c r="H12116" t="s">
        <v>34776</v>
      </c>
      <c r="P12116" t="s">
        <v>17482</v>
      </c>
      <c r="Y12116" t="s">
        <v>44023</v>
      </c>
    </row>
    <row r="12117" spans="1:25" x14ac:dyDescent="0.25">
      <c r="A12117" t="str">
        <f>"178855888850"</f>
        <v>178855888850</v>
      </c>
      <c r="B12117" t="s">
        <v>790</v>
      </c>
      <c r="C12117" t="s">
        <v>2049</v>
      </c>
      <c r="D12117" t="s">
        <v>44024</v>
      </c>
      <c r="E12117">
        <v>424000</v>
      </c>
      <c r="F12117" t="s">
        <v>1</v>
      </c>
      <c r="G12117" t="s">
        <v>2</v>
      </c>
      <c r="H12117" t="s">
        <v>1473</v>
      </c>
      <c r="P12117" t="s">
        <v>941</v>
      </c>
      <c r="Y12117" t="s">
        <v>44025</v>
      </c>
    </row>
    <row r="12118" spans="1:25" x14ac:dyDescent="0.25">
      <c r="A12118" t="str">
        <f>"178966395142"</f>
        <v>178966395142</v>
      </c>
      <c r="B12118" t="s">
        <v>32</v>
      </c>
      <c r="C12118" t="s">
        <v>18888</v>
      </c>
      <c r="D12118" t="s">
        <v>44026</v>
      </c>
      <c r="E12118">
        <v>424031</v>
      </c>
      <c r="F12118" t="s">
        <v>1</v>
      </c>
      <c r="G12118" t="s">
        <v>2</v>
      </c>
      <c r="H12118" t="s">
        <v>4622</v>
      </c>
      <c r="I12118" t="s">
        <v>44027</v>
      </c>
      <c r="P12118" t="s">
        <v>216</v>
      </c>
      <c r="Y12118" t="s">
        <v>44028</v>
      </c>
    </row>
    <row r="12119" spans="1:25" x14ac:dyDescent="0.25">
      <c r="A12119" t="str">
        <f>"178985395004"</f>
        <v>178985395004</v>
      </c>
      <c r="B12119" t="s">
        <v>3700</v>
      </c>
      <c r="C12119" t="s">
        <v>12422</v>
      </c>
      <c r="D12119" t="s">
        <v>44029</v>
      </c>
      <c r="E12119">
        <v>424040</v>
      </c>
      <c r="F12119" t="s">
        <v>1</v>
      </c>
      <c r="G12119" t="s">
        <v>2</v>
      </c>
      <c r="H12119" t="s">
        <v>11149</v>
      </c>
      <c r="I12119" t="s">
        <v>44030</v>
      </c>
      <c r="P12119" t="s">
        <v>13820</v>
      </c>
      <c r="Y12119" t="s">
        <v>44031</v>
      </c>
    </row>
    <row r="12120" spans="1:25" x14ac:dyDescent="0.25">
      <c r="A12120" t="str">
        <f>"179023441428"</f>
        <v>179023441428</v>
      </c>
      <c r="B12120" t="s">
        <v>348</v>
      </c>
      <c r="C12120" t="s">
        <v>44036</v>
      </c>
      <c r="D12120" t="s">
        <v>44032</v>
      </c>
      <c r="E12120">
        <v>424006</v>
      </c>
      <c r="F12120" t="s">
        <v>1</v>
      </c>
      <c r="G12120" t="s">
        <v>2</v>
      </c>
      <c r="H12120" t="s">
        <v>8622</v>
      </c>
      <c r="I12120" t="s">
        <v>44033</v>
      </c>
      <c r="L12120" t="s">
        <v>44034</v>
      </c>
      <c r="M12120" t="s">
        <v>44035</v>
      </c>
      <c r="P12120" t="s">
        <v>44037</v>
      </c>
      <c r="Y12120" t="s">
        <v>8866</v>
      </c>
    </row>
    <row r="12121" spans="1:25" x14ac:dyDescent="0.25">
      <c r="A12121" t="str">
        <f>"179023937993"</f>
        <v>179023937993</v>
      </c>
      <c r="B12121" t="s">
        <v>530</v>
      </c>
      <c r="C12121" t="s">
        <v>23950</v>
      </c>
      <c r="D12121" t="s">
        <v>23950</v>
      </c>
      <c r="F12121" t="s">
        <v>1</v>
      </c>
      <c r="G12121" t="s">
        <v>2</v>
      </c>
      <c r="H12121" t="s">
        <v>7547</v>
      </c>
      <c r="Y12121" t="s">
        <v>44038</v>
      </c>
    </row>
    <row r="12122" spans="1:25" x14ac:dyDescent="0.25">
      <c r="A12122" t="str">
        <f>"179026033159"</f>
        <v>179026033159</v>
      </c>
      <c r="B12122" t="s">
        <v>1544</v>
      </c>
      <c r="C12122" t="s">
        <v>15598</v>
      </c>
      <c r="D12122" t="s">
        <v>40258</v>
      </c>
      <c r="E12122">
        <v>424019</v>
      </c>
      <c r="F12122" t="s">
        <v>1</v>
      </c>
      <c r="G12122" t="s">
        <v>2</v>
      </c>
      <c r="H12122" t="s">
        <v>10061</v>
      </c>
      <c r="Y12122" t="s">
        <v>44039</v>
      </c>
    </row>
    <row r="12123" spans="1:25" x14ac:dyDescent="0.25">
      <c r="A12123" t="str">
        <f>"179032994685"</f>
        <v>179032994685</v>
      </c>
      <c r="B12123" t="s">
        <v>1552</v>
      </c>
      <c r="C12123" t="s">
        <v>1552</v>
      </c>
      <c r="D12123" t="s">
        <v>12651</v>
      </c>
      <c r="E12123">
        <v>424037</v>
      </c>
      <c r="F12123" t="s">
        <v>1</v>
      </c>
      <c r="G12123" t="s">
        <v>2</v>
      </c>
      <c r="H12123" t="s">
        <v>1116</v>
      </c>
      <c r="I12123" t="s">
        <v>44040</v>
      </c>
      <c r="J12123" t="s">
        <v>11286</v>
      </c>
      <c r="L12123" t="s">
        <v>11287</v>
      </c>
      <c r="P12123" t="s">
        <v>330</v>
      </c>
      <c r="Y12123" t="s">
        <v>44041</v>
      </c>
    </row>
    <row r="12124" spans="1:25" x14ac:dyDescent="0.25">
      <c r="A12124" t="str">
        <f>"179044628032"</f>
        <v>179044628032</v>
      </c>
      <c r="B12124" t="s">
        <v>654</v>
      </c>
      <c r="C12124" t="s">
        <v>2195</v>
      </c>
      <c r="D12124" t="s">
        <v>44042</v>
      </c>
      <c r="E12124">
        <v>424000</v>
      </c>
      <c r="F12124" t="s">
        <v>1</v>
      </c>
      <c r="G12124" t="s">
        <v>2</v>
      </c>
      <c r="H12124" t="s">
        <v>44043</v>
      </c>
      <c r="J12124" t="s">
        <v>44044</v>
      </c>
      <c r="P12124" t="s">
        <v>340</v>
      </c>
      <c r="Y12124" t="s">
        <v>44045</v>
      </c>
    </row>
    <row r="12125" spans="1:25" x14ac:dyDescent="0.25">
      <c r="A12125" t="str">
        <f>"179065644660"</f>
        <v>179065644660</v>
      </c>
      <c r="B12125" t="s">
        <v>1053</v>
      </c>
      <c r="C12125" t="s">
        <v>1927</v>
      </c>
      <c r="D12125" t="s">
        <v>44046</v>
      </c>
      <c r="F12125" t="s">
        <v>1</v>
      </c>
      <c r="G12125" t="s">
        <v>2</v>
      </c>
      <c r="H12125" t="s">
        <v>44047</v>
      </c>
      <c r="I12125" t="s">
        <v>44048</v>
      </c>
      <c r="J12125" t="s">
        <v>44049</v>
      </c>
      <c r="L12125" t="s">
        <v>25465</v>
      </c>
      <c r="M12125" t="s">
        <v>44050</v>
      </c>
      <c r="P12125" t="s">
        <v>2258</v>
      </c>
      <c r="Y12125" t="s">
        <v>44051</v>
      </c>
    </row>
    <row r="12126" spans="1:25" x14ac:dyDescent="0.25">
      <c r="A12126" t="str">
        <f>"179092746755"</f>
        <v>179092746755</v>
      </c>
      <c r="B12126" t="s">
        <v>1362</v>
      </c>
      <c r="C12126" t="s">
        <v>8728</v>
      </c>
      <c r="D12126" t="s">
        <v>8728</v>
      </c>
      <c r="F12126" t="s">
        <v>1</v>
      </c>
      <c r="G12126" t="s">
        <v>2</v>
      </c>
      <c r="H12126" t="s">
        <v>5906</v>
      </c>
      <c r="J12126" t="s">
        <v>44052</v>
      </c>
      <c r="P12126" t="s">
        <v>330</v>
      </c>
      <c r="Y12126" t="s">
        <v>5907</v>
      </c>
    </row>
    <row r="12127" spans="1:25" x14ac:dyDescent="0.25">
      <c r="A12127" t="str">
        <f>"179095004130"</f>
        <v>179095004130</v>
      </c>
      <c r="B12127" t="s">
        <v>32</v>
      </c>
      <c r="C12127" t="s">
        <v>5809</v>
      </c>
      <c r="D12127" t="s">
        <v>44053</v>
      </c>
      <c r="E12127">
        <v>424028</v>
      </c>
      <c r="F12127" t="s">
        <v>1</v>
      </c>
      <c r="G12127" t="s">
        <v>2</v>
      </c>
      <c r="H12127" t="s">
        <v>23999</v>
      </c>
      <c r="I12127" t="s">
        <v>44054</v>
      </c>
      <c r="J12127" t="s">
        <v>44055</v>
      </c>
      <c r="P12127" t="s">
        <v>8655</v>
      </c>
      <c r="Y12127" t="s">
        <v>44056</v>
      </c>
    </row>
    <row r="12128" spans="1:25" x14ac:dyDescent="0.25">
      <c r="A12128" t="str">
        <f>"179102476173"</f>
        <v>179102476173</v>
      </c>
      <c r="B12128" t="s">
        <v>96</v>
      </c>
      <c r="C12128" t="s">
        <v>893</v>
      </c>
      <c r="D12128" t="s">
        <v>44057</v>
      </c>
      <c r="E12128">
        <v>424918</v>
      </c>
      <c r="F12128" t="s">
        <v>1</v>
      </c>
      <c r="G12128" t="s">
        <v>2</v>
      </c>
      <c r="H12128" t="s">
        <v>629</v>
      </c>
      <c r="I12128" t="s">
        <v>20946</v>
      </c>
      <c r="P12128" t="s">
        <v>630</v>
      </c>
      <c r="Y12128" t="s">
        <v>44058</v>
      </c>
    </row>
    <row r="12129" spans="1:25" x14ac:dyDescent="0.25">
      <c r="A12129" t="str">
        <f>"179104106421"</f>
        <v>179104106421</v>
      </c>
      <c r="B12129" t="s">
        <v>32</v>
      </c>
      <c r="C12129" t="s">
        <v>15493</v>
      </c>
      <c r="D12129" t="s">
        <v>44059</v>
      </c>
      <c r="E12129">
        <v>424033</v>
      </c>
      <c r="F12129" t="s">
        <v>1</v>
      </c>
      <c r="G12129" t="s">
        <v>2</v>
      </c>
      <c r="H12129" t="s">
        <v>39506</v>
      </c>
      <c r="J12129" t="s">
        <v>44060</v>
      </c>
      <c r="P12129" t="s">
        <v>60</v>
      </c>
      <c r="V12129" t="s">
        <v>44061</v>
      </c>
      <c r="Y12129" t="s">
        <v>44062</v>
      </c>
    </row>
    <row r="12130" spans="1:25" x14ac:dyDescent="0.25">
      <c r="A12130" t="str">
        <f>"179113503801"</f>
        <v>179113503801</v>
      </c>
      <c r="B12130" t="s">
        <v>32</v>
      </c>
      <c r="C12130" t="s">
        <v>5809</v>
      </c>
      <c r="D12130" t="s">
        <v>44063</v>
      </c>
      <c r="E12130">
        <v>424036</v>
      </c>
      <c r="F12130" t="s">
        <v>1</v>
      </c>
      <c r="G12130" t="s">
        <v>2</v>
      </c>
      <c r="H12130" t="s">
        <v>2291</v>
      </c>
      <c r="P12130" t="s">
        <v>2561</v>
      </c>
      <c r="Q12130" t="s">
        <v>44064</v>
      </c>
      <c r="Y12130" t="s">
        <v>44065</v>
      </c>
    </row>
    <row r="12131" spans="1:25" x14ac:dyDescent="0.25">
      <c r="A12131" t="str">
        <f>"179145024416"</f>
        <v>179145024416</v>
      </c>
      <c r="B12131" t="s">
        <v>88</v>
      </c>
      <c r="C12131" t="s">
        <v>44068</v>
      </c>
      <c r="D12131" t="s">
        <v>44066</v>
      </c>
      <c r="E12131">
        <v>424002</v>
      </c>
      <c r="F12131" t="s">
        <v>1</v>
      </c>
      <c r="G12131" t="s">
        <v>2</v>
      </c>
      <c r="H12131" t="s">
        <v>744</v>
      </c>
      <c r="I12131" t="s">
        <v>44067</v>
      </c>
      <c r="P12131" t="s">
        <v>748</v>
      </c>
      <c r="Q12131" t="s">
        <v>44069</v>
      </c>
      <c r="Y12131" t="s">
        <v>749</v>
      </c>
    </row>
    <row r="12132" spans="1:25" x14ac:dyDescent="0.25">
      <c r="A12132" t="str">
        <f>"179169511255"</f>
        <v>179169511255</v>
      </c>
      <c r="B12132" t="s">
        <v>3652</v>
      </c>
      <c r="C12132" t="s">
        <v>44071</v>
      </c>
      <c r="D12132" t="s">
        <v>44070</v>
      </c>
      <c r="E12132">
        <v>424026</v>
      </c>
      <c r="F12132" t="s">
        <v>1</v>
      </c>
      <c r="G12132" t="s">
        <v>2</v>
      </c>
      <c r="H12132" t="s">
        <v>7964</v>
      </c>
      <c r="Y12132" t="s">
        <v>6422</v>
      </c>
    </row>
    <row r="12133" spans="1:25" x14ac:dyDescent="0.25">
      <c r="A12133" t="str">
        <f>"179239451999"</f>
        <v>179239451999</v>
      </c>
      <c r="B12133" t="s">
        <v>9949</v>
      </c>
      <c r="C12133" t="s">
        <v>9950</v>
      </c>
      <c r="D12133" t="s">
        <v>44072</v>
      </c>
      <c r="E12133">
        <v>424006</v>
      </c>
      <c r="F12133" t="s">
        <v>1</v>
      </c>
      <c r="G12133" t="s">
        <v>2</v>
      </c>
      <c r="H12133" t="s">
        <v>11376</v>
      </c>
      <c r="I12133" t="s">
        <v>44073</v>
      </c>
      <c r="P12133" t="s">
        <v>44074</v>
      </c>
      <c r="Y12133" t="s">
        <v>44075</v>
      </c>
    </row>
    <row r="12134" spans="1:25" x14ac:dyDescent="0.25">
      <c r="A12134" t="str">
        <f>"179281690536"</f>
        <v>179281690536</v>
      </c>
      <c r="B12134" t="s">
        <v>348</v>
      </c>
      <c r="C12134" t="s">
        <v>4366</v>
      </c>
      <c r="D12134" t="s">
        <v>44076</v>
      </c>
      <c r="E12134">
        <v>424918</v>
      </c>
      <c r="F12134" t="s">
        <v>1</v>
      </c>
      <c r="G12134" t="s">
        <v>2</v>
      </c>
      <c r="H12134" t="s">
        <v>629</v>
      </c>
      <c r="J12134" t="s">
        <v>44077</v>
      </c>
      <c r="L12134" t="s">
        <v>44078</v>
      </c>
      <c r="P12134" t="s">
        <v>1760</v>
      </c>
      <c r="Y12134" t="s">
        <v>1744</v>
      </c>
    </row>
    <row r="12135" spans="1:25" x14ac:dyDescent="0.25">
      <c r="A12135" t="str">
        <f>"179302006706"</f>
        <v>179302006706</v>
      </c>
      <c r="B12135" t="s">
        <v>25</v>
      </c>
      <c r="C12135" t="s">
        <v>20320</v>
      </c>
      <c r="D12135" t="s">
        <v>44079</v>
      </c>
      <c r="F12135" t="s">
        <v>1</v>
      </c>
      <c r="G12135" t="s">
        <v>2</v>
      </c>
      <c r="H12135" t="s">
        <v>2401</v>
      </c>
      <c r="Y12135" t="s">
        <v>44080</v>
      </c>
    </row>
    <row r="12136" spans="1:25" x14ac:dyDescent="0.25">
      <c r="A12136" t="str">
        <f>"179307183911"</f>
        <v>179307183911</v>
      </c>
      <c r="B12136" t="s">
        <v>519</v>
      </c>
      <c r="C12136" t="s">
        <v>2009</v>
      </c>
      <c r="D12136" t="s">
        <v>44081</v>
      </c>
      <c r="E12136">
        <v>424007</v>
      </c>
      <c r="F12136" t="s">
        <v>1</v>
      </c>
      <c r="G12136" t="s">
        <v>2</v>
      </c>
      <c r="H12136" t="s">
        <v>44082</v>
      </c>
      <c r="Y12136" t="s">
        <v>44083</v>
      </c>
    </row>
    <row r="12137" spans="1:25" x14ac:dyDescent="0.25">
      <c r="A12137" t="str">
        <f>"179328903623"</f>
        <v>179328903623</v>
      </c>
      <c r="B12137" t="s">
        <v>67</v>
      </c>
      <c r="C12137" t="s">
        <v>832</v>
      </c>
      <c r="D12137" t="s">
        <v>44084</v>
      </c>
      <c r="E12137">
        <v>424006</v>
      </c>
      <c r="F12137" t="s">
        <v>1</v>
      </c>
      <c r="G12137" t="s">
        <v>2</v>
      </c>
      <c r="H12137" t="s">
        <v>2042</v>
      </c>
      <c r="Y12137" t="s">
        <v>24827</v>
      </c>
    </row>
    <row r="12138" spans="1:25" x14ac:dyDescent="0.25">
      <c r="A12138" t="str">
        <f>"179332686502"</f>
        <v>179332686502</v>
      </c>
      <c r="B12138" t="s">
        <v>530</v>
      </c>
      <c r="C12138" t="s">
        <v>23950</v>
      </c>
      <c r="D12138" t="s">
        <v>23950</v>
      </c>
      <c r="F12138" t="s">
        <v>1</v>
      </c>
      <c r="G12138" t="s">
        <v>2</v>
      </c>
      <c r="H12138" t="s">
        <v>25007</v>
      </c>
      <c r="Y12138" t="s">
        <v>44085</v>
      </c>
    </row>
    <row r="12139" spans="1:25" x14ac:dyDescent="0.25">
      <c r="A12139" t="str">
        <f>"179358462747"</f>
        <v>179358462747</v>
      </c>
      <c r="B12139" t="s">
        <v>1475</v>
      </c>
      <c r="C12139" t="s">
        <v>4005</v>
      </c>
      <c r="D12139" t="s">
        <v>44086</v>
      </c>
      <c r="E12139">
        <v>424028</v>
      </c>
      <c r="F12139" t="s">
        <v>1</v>
      </c>
      <c r="G12139" t="s">
        <v>2</v>
      </c>
      <c r="H12139" t="s">
        <v>24739</v>
      </c>
      <c r="Y12139" t="s">
        <v>25816</v>
      </c>
    </row>
    <row r="12140" spans="1:25" x14ac:dyDescent="0.25">
      <c r="A12140" t="str">
        <f>"179385441159"</f>
        <v>179385441159</v>
      </c>
      <c r="B12140" t="s">
        <v>243</v>
      </c>
      <c r="C12140" t="s">
        <v>2538</v>
      </c>
      <c r="D12140" t="s">
        <v>16361</v>
      </c>
      <c r="F12140" t="s">
        <v>1</v>
      </c>
      <c r="G12140" t="s">
        <v>2</v>
      </c>
      <c r="H12140" t="s">
        <v>3984</v>
      </c>
      <c r="I12140" t="s">
        <v>44087</v>
      </c>
      <c r="M12140" t="s">
        <v>16365</v>
      </c>
      <c r="P12140" t="s">
        <v>27</v>
      </c>
      <c r="Y12140" t="s">
        <v>4409</v>
      </c>
    </row>
    <row r="12141" spans="1:25" x14ac:dyDescent="0.25">
      <c r="A12141" t="str">
        <f>"179389787882"</f>
        <v>179389787882</v>
      </c>
      <c r="B12141" t="s">
        <v>703</v>
      </c>
      <c r="C12141" t="s">
        <v>2129</v>
      </c>
      <c r="D12141" t="s">
        <v>2129</v>
      </c>
      <c r="E12141">
        <v>424038</v>
      </c>
      <c r="F12141" t="s">
        <v>1</v>
      </c>
      <c r="G12141" t="s">
        <v>2</v>
      </c>
      <c r="H12141" t="s">
        <v>17746</v>
      </c>
      <c r="J12141" t="s">
        <v>44088</v>
      </c>
      <c r="P12141" t="s">
        <v>330</v>
      </c>
      <c r="Y12141" t="s">
        <v>18933</v>
      </c>
    </row>
    <row r="12142" spans="1:25" x14ac:dyDescent="0.25">
      <c r="A12142" t="str">
        <f>"179395673648"</f>
        <v>179395673648</v>
      </c>
      <c r="B12142" t="s">
        <v>25</v>
      </c>
      <c r="C12142" t="s">
        <v>29433</v>
      </c>
      <c r="D12142" t="s">
        <v>44089</v>
      </c>
      <c r="E12142">
        <v>424002</v>
      </c>
      <c r="F12142" t="s">
        <v>1</v>
      </c>
      <c r="G12142" t="s">
        <v>2</v>
      </c>
      <c r="H12142" t="s">
        <v>57</v>
      </c>
      <c r="J12142" t="s">
        <v>44090</v>
      </c>
      <c r="Q12142" t="s">
        <v>44091</v>
      </c>
      <c r="Y12142" t="s">
        <v>3783</v>
      </c>
    </row>
    <row r="12143" spans="1:25" x14ac:dyDescent="0.25">
      <c r="A12143" t="str">
        <f>"179396706714"</f>
        <v>179396706714</v>
      </c>
      <c r="B12143" t="s">
        <v>96</v>
      </c>
      <c r="C12143" t="s">
        <v>695</v>
      </c>
      <c r="D12143" t="s">
        <v>44092</v>
      </c>
      <c r="E12143">
        <v>424038</v>
      </c>
      <c r="F12143" t="s">
        <v>1</v>
      </c>
      <c r="G12143" t="s">
        <v>2</v>
      </c>
      <c r="H12143" t="s">
        <v>1366</v>
      </c>
      <c r="J12143" t="s">
        <v>44093</v>
      </c>
      <c r="P12143" t="s">
        <v>7390</v>
      </c>
      <c r="Y12143" t="s">
        <v>44094</v>
      </c>
    </row>
    <row r="12144" spans="1:25" x14ac:dyDescent="0.25">
      <c r="A12144" t="str">
        <f>"179399702314"</f>
        <v>179399702314</v>
      </c>
      <c r="B12144" t="s">
        <v>574</v>
      </c>
      <c r="C12144" t="s">
        <v>646</v>
      </c>
      <c r="D12144" t="s">
        <v>4221</v>
      </c>
      <c r="E12144">
        <v>424038</v>
      </c>
      <c r="F12144" t="s">
        <v>1</v>
      </c>
      <c r="G12144" t="s">
        <v>2</v>
      </c>
      <c r="H12144" t="s">
        <v>16183</v>
      </c>
      <c r="P12144" t="s">
        <v>216</v>
      </c>
      <c r="Y12144" t="s">
        <v>44095</v>
      </c>
    </row>
    <row r="12145" spans="1:25" x14ac:dyDescent="0.25">
      <c r="A12145" t="str">
        <f>"179401530939"</f>
        <v>179401530939</v>
      </c>
      <c r="B12145" t="s">
        <v>1323</v>
      </c>
      <c r="C12145" t="s">
        <v>1324</v>
      </c>
      <c r="D12145" t="s">
        <v>44096</v>
      </c>
      <c r="E12145">
        <v>424037</v>
      </c>
      <c r="F12145" t="s">
        <v>1</v>
      </c>
      <c r="G12145" t="s">
        <v>2</v>
      </c>
      <c r="H12145" t="s">
        <v>1247</v>
      </c>
      <c r="Y12145" t="s">
        <v>1872</v>
      </c>
    </row>
    <row r="12146" spans="1:25" x14ac:dyDescent="0.25">
      <c r="A12146" t="str">
        <f>"179461788811"</f>
        <v>179461788811</v>
      </c>
      <c r="B12146" t="s">
        <v>2677</v>
      </c>
      <c r="C12146" t="s">
        <v>44099</v>
      </c>
      <c r="D12146" t="s">
        <v>44097</v>
      </c>
      <c r="E12146">
        <v>424016</v>
      </c>
      <c r="F12146" t="s">
        <v>1</v>
      </c>
      <c r="G12146" t="s">
        <v>2</v>
      </c>
      <c r="H12146" t="s">
        <v>5561</v>
      </c>
      <c r="I12146" t="s">
        <v>44098</v>
      </c>
      <c r="Q12146" t="s">
        <v>44100</v>
      </c>
      <c r="Y12146" t="s">
        <v>5567</v>
      </c>
    </row>
    <row r="12147" spans="1:25" x14ac:dyDescent="0.25">
      <c r="A12147" t="str">
        <f>"179472475741"</f>
        <v>179472475741</v>
      </c>
      <c r="B12147" t="s">
        <v>1544</v>
      </c>
      <c r="C12147" t="s">
        <v>15598</v>
      </c>
      <c r="D12147" t="s">
        <v>38672</v>
      </c>
      <c r="E12147">
        <v>424006</v>
      </c>
      <c r="F12147" t="s">
        <v>1</v>
      </c>
      <c r="G12147" t="s">
        <v>2</v>
      </c>
      <c r="H12147" t="s">
        <v>6628</v>
      </c>
      <c r="Y12147" t="s">
        <v>44101</v>
      </c>
    </row>
    <row r="12148" spans="1:25" x14ac:dyDescent="0.25">
      <c r="A12148" t="str">
        <f>"179524537376"</f>
        <v>179524537376</v>
      </c>
      <c r="B12148" t="s">
        <v>1617</v>
      </c>
      <c r="C12148" t="s">
        <v>21001</v>
      </c>
      <c r="D12148" t="s">
        <v>20999</v>
      </c>
      <c r="E12148">
        <v>424006</v>
      </c>
      <c r="F12148" t="s">
        <v>1</v>
      </c>
      <c r="G12148" t="s">
        <v>2</v>
      </c>
      <c r="H12148" t="s">
        <v>44102</v>
      </c>
      <c r="Y12148" t="s">
        <v>21126</v>
      </c>
    </row>
    <row r="12149" spans="1:25" x14ac:dyDescent="0.25">
      <c r="A12149" t="str">
        <f>"179550824926"</f>
        <v>179550824926</v>
      </c>
      <c r="B12149" t="s">
        <v>640</v>
      </c>
      <c r="C12149" t="s">
        <v>663</v>
      </c>
      <c r="D12149" t="s">
        <v>44103</v>
      </c>
      <c r="E12149">
        <v>424038</v>
      </c>
      <c r="F12149" t="s">
        <v>1</v>
      </c>
      <c r="G12149" t="s">
        <v>2</v>
      </c>
      <c r="H12149" t="s">
        <v>1862</v>
      </c>
      <c r="Y12149" t="s">
        <v>3870</v>
      </c>
    </row>
    <row r="12150" spans="1:25" x14ac:dyDescent="0.25">
      <c r="A12150" t="str">
        <f>"179595460492"</f>
        <v>179595460492</v>
      </c>
      <c r="B12150" t="s">
        <v>18</v>
      </c>
      <c r="C12150" t="s">
        <v>44106</v>
      </c>
      <c r="D12150" t="s">
        <v>44104</v>
      </c>
      <c r="E12150">
        <v>424038</v>
      </c>
      <c r="F12150" t="s">
        <v>1</v>
      </c>
      <c r="G12150" t="s">
        <v>2</v>
      </c>
      <c r="H12150" t="s">
        <v>546</v>
      </c>
      <c r="J12150" t="s">
        <v>44105</v>
      </c>
      <c r="P12150" t="s">
        <v>1760</v>
      </c>
      <c r="Q12150" t="s">
        <v>44107</v>
      </c>
      <c r="V12150" t="s">
        <v>44108</v>
      </c>
      <c r="Y12150" t="s">
        <v>549</v>
      </c>
    </row>
    <row r="12151" spans="1:25" x14ac:dyDescent="0.25">
      <c r="A12151" t="str">
        <f>"179617540878"</f>
        <v>179617540878</v>
      </c>
      <c r="B12151" t="s">
        <v>5573</v>
      </c>
      <c r="C12151" t="s">
        <v>21453</v>
      </c>
      <c r="D12151" t="s">
        <v>44109</v>
      </c>
      <c r="E12151">
        <v>424007</v>
      </c>
      <c r="F12151" t="s">
        <v>1</v>
      </c>
      <c r="G12151" t="s">
        <v>2</v>
      </c>
      <c r="H12151" t="s">
        <v>5178</v>
      </c>
      <c r="J12151" t="s">
        <v>44110</v>
      </c>
      <c r="P12151" t="s">
        <v>2731</v>
      </c>
      <c r="Y12151" t="s">
        <v>26052</v>
      </c>
    </row>
    <row r="12152" spans="1:25" x14ac:dyDescent="0.25">
      <c r="A12152" t="str">
        <f>"179625334886"</f>
        <v>179625334886</v>
      </c>
      <c r="B12152" t="s">
        <v>352</v>
      </c>
      <c r="C12152" t="s">
        <v>353</v>
      </c>
      <c r="D12152" t="s">
        <v>44111</v>
      </c>
      <c r="E12152">
        <v>424002</v>
      </c>
      <c r="F12152" t="s">
        <v>1</v>
      </c>
      <c r="G12152" t="s">
        <v>2</v>
      </c>
      <c r="H12152" t="s">
        <v>9857</v>
      </c>
      <c r="Y12152" t="s">
        <v>9860</v>
      </c>
    </row>
    <row r="12153" spans="1:25" x14ac:dyDescent="0.25">
      <c r="A12153" t="str">
        <f>"179636838643"</f>
        <v>179636838643</v>
      </c>
      <c r="B12153" t="s">
        <v>574</v>
      </c>
      <c r="C12153" t="s">
        <v>3332</v>
      </c>
      <c r="D12153" t="s">
        <v>15417</v>
      </c>
      <c r="E12153">
        <v>424028</v>
      </c>
      <c r="F12153" t="s">
        <v>1</v>
      </c>
      <c r="G12153" t="s">
        <v>2</v>
      </c>
      <c r="H12153" t="s">
        <v>23258</v>
      </c>
      <c r="I12153" t="s">
        <v>44112</v>
      </c>
      <c r="P12153" t="s">
        <v>2738</v>
      </c>
      <c r="Y12153" t="s">
        <v>44113</v>
      </c>
    </row>
    <row r="12154" spans="1:25" x14ac:dyDescent="0.25">
      <c r="A12154" t="str">
        <f>"179739913686"</f>
        <v>179739913686</v>
      </c>
      <c r="B12154" t="s">
        <v>348</v>
      </c>
      <c r="C12154" t="s">
        <v>26811</v>
      </c>
      <c r="D12154" t="s">
        <v>44114</v>
      </c>
      <c r="F12154" t="s">
        <v>1</v>
      </c>
      <c r="G12154" t="s">
        <v>2</v>
      </c>
      <c r="H12154" t="s">
        <v>138</v>
      </c>
      <c r="I12154" t="s">
        <v>44115</v>
      </c>
      <c r="L12154" t="s">
        <v>44116</v>
      </c>
      <c r="P12154" t="s">
        <v>144</v>
      </c>
      <c r="Q12154" t="s">
        <v>44117</v>
      </c>
      <c r="Y12154" t="s">
        <v>146</v>
      </c>
    </row>
    <row r="12155" spans="1:25" x14ac:dyDescent="0.25">
      <c r="A12155" t="str">
        <f>"179740964667"</f>
        <v>179740964667</v>
      </c>
      <c r="B12155" t="s">
        <v>397</v>
      </c>
      <c r="C12155" t="s">
        <v>44119</v>
      </c>
      <c r="D12155" t="s">
        <v>44118</v>
      </c>
      <c r="E12155">
        <v>424028</v>
      </c>
      <c r="F12155" t="s">
        <v>1</v>
      </c>
      <c r="G12155" t="s">
        <v>2</v>
      </c>
      <c r="H12155" t="s">
        <v>40101</v>
      </c>
      <c r="Y12155" t="s">
        <v>40102</v>
      </c>
    </row>
    <row r="12156" spans="1:25" x14ac:dyDescent="0.25">
      <c r="A12156" t="str">
        <f>"179761463334"</f>
        <v>179761463334</v>
      </c>
      <c r="B12156" t="s">
        <v>96</v>
      </c>
      <c r="C12156" t="s">
        <v>893</v>
      </c>
      <c r="D12156" t="s">
        <v>25823</v>
      </c>
      <c r="E12156">
        <v>424003</v>
      </c>
      <c r="F12156" t="s">
        <v>1</v>
      </c>
      <c r="G12156" t="s">
        <v>2</v>
      </c>
      <c r="H12156" t="s">
        <v>22543</v>
      </c>
      <c r="J12156" t="s">
        <v>44120</v>
      </c>
      <c r="P12156" t="s">
        <v>44121</v>
      </c>
      <c r="Q12156" t="s">
        <v>44122</v>
      </c>
      <c r="V12156" t="s">
        <v>44123</v>
      </c>
      <c r="Y12156" t="s">
        <v>44124</v>
      </c>
    </row>
    <row r="12157" spans="1:25" x14ac:dyDescent="0.25">
      <c r="A12157" t="str">
        <f>"179773463852"</f>
        <v>179773463852</v>
      </c>
      <c r="B12157" t="s">
        <v>530</v>
      </c>
      <c r="C12157" t="s">
        <v>23950</v>
      </c>
      <c r="D12157" t="s">
        <v>23950</v>
      </c>
      <c r="F12157" t="s">
        <v>1</v>
      </c>
      <c r="G12157" t="s">
        <v>2</v>
      </c>
      <c r="H12157" t="s">
        <v>35021</v>
      </c>
      <c r="Y12157" t="s">
        <v>44125</v>
      </c>
    </row>
    <row r="12158" spans="1:25" x14ac:dyDescent="0.25">
      <c r="A12158" t="str">
        <f>"179789481937"</f>
        <v>179789481937</v>
      </c>
      <c r="B12158" t="s">
        <v>284</v>
      </c>
      <c r="C12158" t="s">
        <v>27632</v>
      </c>
      <c r="D12158" t="s">
        <v>44126</v>
      </c>
      <c r="F12158" t="s">
        <v>1</v>
      </c>
      <c r="G12158" t="s">
        <v>2</v>
      </c>
      <c r="H12158" t="s">
        <v>44127</v>
      </c>
      <c r="Y12158" t="s">
        <v>44128</v>
      </c>
    </row>
    <row r="12159" spans="1:25" x14ac:dyDescent="0.25">
      <c r="A12159" t="str">
        <f>"179849357712"</f>
        <v>179849357712</v>
      </c>
      <c r="B12159" t="s">
        <v>930</v>
      </c>
      <c r="C12159" t="s">
        <v>1096</v>
      </c>
      <c r="D12159" t="s">
        <v>44129</v>
      </c>
      <c r="E12159">
        <v>424004</v>
      </c>
      <c r="F12159" t="s">
        <v>1</v>
      </c>
      <c r="G12159" t="s">
        <v>2</v>
      </c>
      <c r="H12159" t="s">
        <v>4036</v>
      </c>
      <c r="J12159" t="s">
        <v>44130</v>
      </c>
      <c r="P12159" t="s">
        <v>280</v>
      </c>
      <c r="Y12159" t="s">
        <v>44131</v>
      </c>
    </row>
    <row r="12160" spans="1:25" x14ac:dyDescent="0.25">
      <c r="A12160" t="str">
        <f>"179893530262"</f>
        <v>179893530262</v>
      </c>
      <c r="B12160" t="s">
        <v>96</v>
      </c>
      <c r="C12160" t="s">
        <v>24042</v>
      </c>
      <c r="D12160" t="s">
        <v>24127</v>
      </c>
      <c r="E12160">
        <v>424030</v>
      </c>
      <c r="F12160" t="s">
        <v>1</v>
      </c>
      <c r="G12160" t="s">
        <v>2</v>
      </c>
      <c r="H12160" t="s">
        <v>41523</v>
      </c>
      <c r="Y12160" t="s">
        <v>44132</v>
      </c>
    </row>
    <row r="12161" spans="1:25" x14ac:dyDescent="0.25">
      <c r="A12161" t="str">
        <f>"179908178767"</f>
        <v>179908178767</v>
      </c>
      <c r="B12161" t="s">
        <v>188</v>
      </c>
      <c r="C12161" t="s">
        <v>23982</v>
      </c>
      <c r="D12161" t="s">
        <v>23982</v>
      </c>
      <c r="E12161">
        <v>424028</v>
      </c>
      <c r="F12161" t="s">
        <v>1</v>
      </c>
      <c r="G12161" t="s">
        <v>2</v>
      </c>
      <c r="H12161" t="s">
        <v>31376</v>
      </c>
      <c r="Y12161" t="s">
        <v>44133</v>
      </c>
    </row>
    <row r="12162" spans="1:25" x14ac:dyDescent="0.25">
      <c r="A12162" t="str">
        <f>"179956530539"</f>
        <v>179956530539</v>
      </c>
      <c r="B12162" t="s">
        <v>290</v>
      </c>
      <c r="C12162" t="s">
        <v>1641</v>
      </c>
      <c r="D12162" t="s">
        <v>21345</v>
      </c>
      <c r="E12162">
        <v>424019</v>
      </c>
      <c r="F12162" t="s">
        <v>1</v>
      </c>
      <c r="G12162" t="s">
        <v>2</v>
      </c>
      <c r="H12162" t="s">
        <v>39548</v>
      </c>
      <c r="P12162" t="s">
        <v>13505</v>
      </c>
      <c r="Y12162" t="s">
        <v>44134</v>
      </c>
    </row>
    <row r="12163" spans="1:25" x14ac:dyDescent="0.25">
      <c r="A12163" t="str">
        <f>"179957981063"</f>
        <v>179957981063</v>
      </c>
      <c r="B12163" t="s">
        <v>96</v>
      </c>
      <c r="C12163" t="s">
        <v>695</v>
      </c>
      <c r="D12163" t="s">
        <v>12083</v>
      </c>
      <c r="E12163">
        <v>424007</v>
      </c>
      <c r="F12163" t="s">
        <v>1</v>
      </c>
      <c r="G12163" t="s">
        <v>2</v>
      </c>
      <c r="H12163" t="s">
        <v>2168</v>
      </c>
      <c r="J12163" t="s">
        <v>44135</v>
      </c>
      <c r="M12163" t="s">
        <v>44136</v>
      </c>
      <c r="P12163" t="s">
        <v>27</v>
      </c>
      <c r="V12163" t="s">
        <v>44137</v>
      </c>
      <c r="Y12163" t="s">
        <v>2172</v>
      </c>
    </row>
    <row r="12164" spans="1:25" x14ac:dyDescent="0.25">
      <c r="A12164" t="str">
        <f>"179989438344"</f>
        <v>179989438344</v>
      </c>
      <c r="B12164" t="s">
        <v>88</v>
      </c>
      <c r="C12164" t="s">
        <v>44142</v>
      </c>
      <c r="D12164" t="s">
        <v>44138</v>
      </c>
      <c r="F12164" t="s">
        <v>1</v>
      </c>
      <c r="G12164" t="s">
        <v>2</v>
      </c>
      <c r="H12164" t="s">
        <v>138</v>
      </c>
      <c r="J12164" t="s">
        <v>44139</v>
      </c>
      <c r="L12164" t="s">
        <v>44140</v>
      </c>
      <c r="M12164" t="s">
        <v>44141</v>
      </c>
      <c r="P12164" t="s">
        <v>144</v>
      </c>
      <c r="Y12164" t="s">
        <v>146</v>
      </c>
    </row>
    <row r="12165" spans="1:25" x14ac:dyDescent="0.25">
      <c r="A12165" t="str">
        <f>"179995638542"</f>
        <v>179995638542</v>
      </c>
      <c r="B12165" t="s">
        <v>96</v>
      </c>
      <c r="C12165" t="s">
        <v>24441</v>
      </c>
      <c r="D12165" t="s">
        <v>25263</v>
      </c>
      <c r="E12165">
        <v>424007</v>
      </c>
      <c r="F12165" t="s">
        <v>1</v>
      </c>
      <c r="G12165" t="s">
        <v>2</v>
      </c>
      <c r="H12165" t="s">
        <v>5178</v>
      </c>
      <c r="P12165" t="s">
        <v>2731</v>
      </c>
      <c r="Y12165" t="s">
        <v>44143</v>
      </c>
    </row>
    <row r="12166" spans="1:25" x14ac:dyDescent="0.25">
      <c r="A12166" t="str">
        <f>"180025454075"</f>
        <v>180025454075</v>
      </c>
      <c r="B12166" t="s">
        <v>530</v>
      </c>
      <c r="C12166" t="s">
        <v>23950</v>
      </c>
      <c r="D12166" t="s">
        <v>23950</v>
      </c>
      <c r="F12166" t="s">
        <v>1</v>
      </c>
      <c r="G12166" t="s">
        <v>2</v>
      </c>
      <c r="H12166" t="s">
        <v>24399</v>
      </c>
      <c r="Y12166" t="s">
        <v>44144</v>
      </c>
    </row>
    <row r="12167" spans="1:25" x14ac:dyDescent="0.25">
      <c r="A12167" t="str">
        <f>"180037960382"</f>
        <v>180037960382</v>
      </c>
      <c r="B12167" t="s">
        <v>408</v>
      </c>
      <c r="C12167" t="s">
        <v>25792</v>
      </c>
      <c r="D12167" t="s">
        <v>44145</v>
      </c>
      <c r="F12167" t="s">
        <v>1</v>
      </c>
      <c r="G12167" t="s">
        <v>2</v>
      </c>
      <c r="H12167" t="s">
        <v>7547</v>
      </c>
      <c r="P12167" t="s">
        <v>7891</v>
      </c>
      <c r="Y12167" t="s">
        <v>44146</v>
      </c>
    </row>
    <row r="12168" spans="1:25" x14ac:dyDescent="0.25">
      <c r="A12168" t="str">
        <f>"180104031468"</f>
        <v>180104031468</v>
      </c>
      <c r="B12168" t="s">
        <v>25</v>
      </c>
      <c r="C12168" t="s">
        <v>59</v>
      </c>
      <c r="D12168" t="s">
        <v>44147</v>
      </c>
      <c r="F12168" t="s">
        <v>1</v>
      </c>
      <c r="G12168" t="s">
        <v>2</v>
      </c>
      <c r="H12168" t="s">
        <v>19499</v>
      </c>
      <c r="J12168" t="s">
        <v>44148</v>
      </c>
      <c r="P12168" t="s">
        <v>21500</v>
      </c>
      <c r="Y12168" t="s">
        <v>24185</v>
      </c>
    </row>
    <row r="12169" spans="1:25" x14ac:dyDescent="0.25">
      <c r="A12169" t="str">
        <f>"180158188145"</f>
        <v>180158188145</v>
      </c>
      <c r="B12169" t="s">
        <v>1343</v>
      </c>
      <c r="C12169" t="s">
        <v>44150</v>
      </c>
      <c r="D12169" t="s">
        <v>1501</v>
      </c>
      <c r="E12169">
        <v>424016</v>
      </c>
      <c r="F12169" t="s">
        <v>1</v>
      </c>
      <c r="G12169" t="s">
        <v>2</v>
      </c>
      <c r="H12169" t="s">
        <v>673</v>
      </c>
      <c r="J12169" t="s">
        <v>44149</v>
      </c>
      <c r="P12169" t="s">
        <v>27</v>
      </c>
      <c r="Y12169" t="s">
        <v>1072</v>
      </c>
    </row>
    <row r="12170" spans="1:25" x14ac:dyDescent="0.25">
      <c r="A12170" t="str">
        <f>"180160402511"</f>
        <v>180160402511</v>
      </c>
      <c r="B12170" t="s">
        <v>530</v>
      </c>
      <c r="C12170" t="s">
        <v>23950</v>
      </c>
      <c r="D12170" t="s">
        <v>23950</v>
      </c>
      <c r="F12170" t="s">
        <v>1</v>
      </c>
      <c r="G12170" t="s">
        <v>2</v>
      </c>
      <c r="H12170" t="s">
        <v>44151</v>
      </c>
      <c r="Y12170" t="s">
        <v>44152</v>
      </c>
    </row>
    <row r="12171" spans="1:25" x14ac:dyDescent="0.25">
      <c r="A12171" t="str">
        <f>"180176371866"</f>
        <v>180176371866</v>
      </c>
      <c r="B12171" t="s">
        <v>88</v>
      </c>
      <c r="C12171" t="s">
        <v>19306</v>
      </c>
      <c r="D12171" t="s">
        <v>44153</v>
      </c>
      <c r="E12171">
        <v>424007</v>
      </c>
      <c r="F12171" t="s">
        <v>1</v>
      </c>
      <c r="G12171" t="s">
        <v>2</v>
      </c>
      <c r="H12171" t="s">
        <v>38401</v>
      </c>
      <c r="I12171" t="s">
        <v>44154</v>
      </c>
      <c r="P12171" t="s">
        <v>280</v>
      </c>
      <c r="Y12171" t="s">
        <v>44155</v>
      </c>
    </row>
    <row r="12172" spans="1:25" x14ac:dyDescent="0.25">
      <c r="A12172" t="str">
        <f>"180197044102"</f>
        <v>180197044102</v>
      </c>
      <c r="B12172" t="s">
        <v>123</v>
      </c>
      <c r="C12172" t="s">
        <v>424</v>
      </c>
      <c r="D12172" t="s">
        <v>6318</v>
      </c>
      <c r="E12172">
        <v>424038</v>
      </c>
      <c r="F12172" t="s">
        <v>1</v>
      </c>
      <c r="G12172" t="s">
        <v>2</v>
      </c>
      <c r="H12172" t="s">
        <v>10681</v>
      </c>
      <c r="Y12172" t="s">
        <v>10684</v>
      </c>
    </row>
    <row r="12173" spans="1:25" x14ac:dyDescent="0.25">
      <c r="A12173" t="str">
        <f>"180204112941"</f>
        <v>180204112941</v>
      </c>
      <c r="B12173" t="s">
        <v>348</v>
      </c>
      <c r="C12173" t="s">
        <v>41472</v>
      </c>
      <c r="D12173" t="s">
        <v>44156</v>
      </c>
      <c r="F12173" t="s">
        <v>1</v>
      </c>
      <c r="G12173" t="s">
        <v>2</v>
      </c>
      <c r="H12173" t="s">
        <v>24976</v>
      </c>
      <c r="L12173" t="s">
        <v>44157</v>
      </c>
      <c r="M12173" t="s">
        <v>44158</v>
      </c>
      <c r="P12173" t="s">
        <v>60</v>
      </c>
      <c r="Q12173" t="s">
        <v>44159</v>
      </c>
      <c r="Y12173" t="s">
        <v>33609</v>
      </c>
    </row>
    <row r="12174" spans="1:25" x14ac:dyDescent="0.25">
      <c r="A12174" t="str">
        <f>"180234780710"</f>
        <v>180234780710</v>
      </c>
      <c r="B12174" t="s">
        <v>233</v>
      </c>
      <c r="C12174" t="s">
        <v>14003</v>
      </c>
      <c r="D12174" t="s">
        <v>22154</v>
      </c>
      <c r="E12174">
        <v>424019</v>
      </c>
      <c r="F12174" t="s">
        <v>1</v>
      </c>
      <c r="G12174" t="s">
        <v>2</v>
      </c>
      <c r="H12174" t="s">
        <v>7553</v>
      </c>
      <c r="Y12174" t="s">
        <v>44160</v>
      </c>
    </row>
    <row r="12175" spans="1:25" x14ac:dyDescent="0.25">
      <c r="A12175" t="str">
        <f>"180319161815"</f>
        <v>180319161815</v>
      </c>
      <c r="B12175" t="s">
        <v>5840</v>
      </c>
      <c r="C12175" t="s">
        <v>44165</v>
      </c>
      <c r="D12175" t="s">
        <v>44161</v>
      </c>
      <c r="E12175">
        <v>424005</v>
      </c>
      <c r="F12175" t="s">
        <v>1</v>
      </c>
      <c r="G12175" t="s">
        <v>2</v>
      </c>
      <c r="H12175" t="s">
        <v>1310</v>
      </c>
      <c r="I12175" t="s">
        <v>44162</v>
      </c>
      <c r="L12175" t="s">
        <v>44163</v>
      </c>
      <c r="M12175" t="s">
        <v>44164</v>
      </c>
      <c r="P12175" t="s">
        <v>280</v>
      </c>
      <c r="Y12175" t="s">
        <v>10303</v>
      </c>
    </row>
    <row r="12176" spans="1:25" x14ac:dyDescent="0.25">
      <c r="A12176" t="str">
        <f>"180324158994"</f>
        <v>180324158994</v>
      </c>
      <c r="B12176" t="s">
        <v>117</v>
      </c>
      <c r="C12176" t="s">
        <v>873</v>
      </c>
      <c r="D12176" t="s">
        <v>873</v>
      </c>
      <c r="E12176">
        <v>424031</v>
      </c>
      <c r="F12176" t="s">
        <v>1</v>
      </c>
      <c r="G12176" t="s">
        <v>2</v>
      </c>
      <c r="H12176" t="s">
        <v>42968</v>
      </c>
      <c r="Y12176" t="s">
        <v>44166</v>
      </c>
    </row>
    <row r="12177" spans="1:25" x14ac:dyDescent="0.25">
      <c r="A12177" t="str">
        <f>"180328246105"</f>
        <v>180328246105</v>
      </c>
      <c r="B12177" t="s">
        <v>519</v>
      </c>
      <c r="C12177" t="s">
        <v>35058</v>
      </c>
      <c r="D12177" t="s">
        <v>44167</v>
      </c>
      <c r="E12177">
        <v>424000</v>
      </c>
      <c r="F12177" t="s">
        <v>1</v>
      </c>
      <c r="G12177" t="s">
        <v>2</v>
      </c>
      <c r="H12177" t="s">
        <v>8365</v>
      </c>
      <c r="I12177" t="s">
        <v>44168</v>
      </c>
      <c r="P12177" t="s">
        <v>2050</v>
      </c>
      <c r="Y12177" t="s">
        <v>44169</v>
      </c>
    </row>
    <row r="12178" spans="1:25" x14ac:dyDescent="0.25">
      <c r="A12178" t="str">
        <f>"180330113269"</f>
        <v>180330113269</v>
      </c>
      <c r="B12178" t="s">
        <v>18</v>
      </c>
      <c r="C12178" t="s">
        <v>1419</v>
      </c>
      <c r="D12178" t="s">
        <v>44170</v>
      </c>
      <c r="E12178">
        <v>424020</v>
      </c>
      <c r="F12178" t="s">
        <v>1</v>
      </c>
      <c r="G12178" t="s">
        <v>2</v>
      </c>
      <c r="H12178" t="s">
        <v>1837</v>
      </c>
      <c r="I12178" t="s">
        <v>44171</v>
      </c>
      <c r="J12178" t="s">
        <v>44172</v>
      </c>
      <c r="P12178" t="s">
        <v>12280</v>
      </c>
      <c r="Y12178" t="s">
        <v>1842</v>
      </c>
    </row>
    <row r="12179" spans="1:25" x14ac:dyDescent="0.25">
      <c r="A12179" t="str">
        <f>"180369505601"</f>
        <v>180369505601</v>
      </c>
      <c r="B12179" t="s">
        <v>1078</v>
      </c>
      <c r="C12179" t="s">
        <v>6962</v>
      </c>
      <c r="D12179" t="s">
        <v>44173</v>
      </c>
      <c r="E12179">
        <v>424016</v>
      </c>
      <c r="F12179" t="s">
        <v>1</v>
      </c>
      <c r="G12179" t="s">
        <v>2</v>
      </c>
      <c r="H12179" t="s">
        <v>3396</v>
      </c>
      <c r="J12179" t="s">
        <v>44174</v>
      </c>
      <c r="M12179" t="s">
        <v>44175</v>
      </c>
      <c r="P12179" t="s">
        <v>18341</v>
      </c>
      <c r="Q12179" t="s">
        <v>44176</v>
      </c>
      <c r="Y12179" t="s">
        <v>6510</v>
      </c>
    </row>
    <row r="12180" spans="1:25" x14ac:dyDescent="0.25">
      <c r="A12180" t="str">
        <f>"180383169002"</f>
        <v>180383169002</v>
      </c>
      <c r="B12180" t="s">
        <v>1053</v>
      </c>
      <c r="C12180" t="s">
        <v>1799</v>
      </c>
      <c r="D12180" t="s">
        <v>44177</v>
      </c>
      <c r="E12180">
        <v>424037</v>
      </c>
      <c r="F12180" t="s">
        <v>1</v>
      </c>
      <c r="G12180" t="s">
        <v>2</v>
      </c>
      <c r="H12180" t="s">
        <v>37003</v>
      </c>
      <c r="I12180" t="s">
        <v>44178</v>
      </c>
      <c r="L12180" t="s">
        <v>44179</v>
      </c>
      <c r="M12180" t="s">
        <v>44180</v>
      </c>
      <c r="P12180" t="s">
        <v>20</v>
      </c>
      <c r="Y12180" t="s">
        <v>44181</v>
      </c>
    </row>
    <row r="12181" spans="1:25" x14ac:dyDescent="0.25">
      <c r="A12181" t="str">
        <f>"180391159644"</f>
        <v>180391159644</v>
      </c>
      <c r="B12181" t="s">
        <v>188</v>
      </c>
      <c r="C12181" t="s">
        <v>8311</v>
      </c>
      <c r="D12181" t="s">
        <v>44182</v>
      </c>
      <c r="E12181">
        <v>424006</v>
      </c>
      <c r="F12181" t="s">
        <v>1</v>
      </c>
      <c r="G12181" t="s">
        <v>2</v>
      </c>
      <c r="H12181" t="s">
        <v>8622</v>
      </c>
      <c r="J12181" t="s">
        <v>44183</v>
      </c>
      <c r="P12181" t="s">
        <v>44184</v>
      </c>
      <c r="Y12181" t="s">
        <v>8866</v>
      </c>
    </row>
    <row r="12182" spans="1:25" x14ac:dyDescent="0.25">
      <c r="A12182" t="str">
        <f>"180505208154"</f>
        <v>180505208154</v>
      </c>
      <c r="B12182" t="s">
        <v>797</v>
      </c>
      <c r="C12182" t="s">
        <v>44186</v>
      </c>
      <c r="D12182" t="s">
        <v>44185</v>
      </c>
      <c r="E12182">
        <v>424005</v>
      </c>
      <c r="F12182" t="s">
        <v>1</v>
      </c>
      <c r="G12182" t="s">
        <v>2</v>
      </c>
      <c r="H12182" t="s">
        <v>17184</v>
      </c>
      <c r="P12182" t="s">
        <v>280</v>
      </c>
      <c r="Y12182" t="s">
        <v>44187</v>
      </c>
    </row>
    <row r="12183" spans="1:25" x14ac:dyDescent="0.25">
      <c r="A12183" t="str">
        <f>"180526048958"</f>
        <v>180526048958</v>
      </c>
      <c r="B12183" t="s">
        <v>2104</v>
      </c>
      <c r="C12183" t="s">
        <v>21175</v>
      </c>
      <c r="D12183" t="s">
        <v>44188</v>
      </c>
      <c r="E12183">
        <v>424020</v>
      </c>
      <c r="F12183" t="s">
        <v>1</v>
      </c>
      <c r="G12183" t="s">
        <v>2</v>
      </c>
      <c r="H12183" t="s">
        <v>7063</v>
      </c>
      <c r="J12183" t="s">
        <v>44189</v>
      </c>
      <c r="L12183" t="s">
        <v>44190</v>
      </c>
      <c r="P12183" t="s">
        <v>21688</v>
      </c>
      <c r="Q12183" t="s">
        <v>44191</v>
      </c>
      <c r="V12183" t="s">
        <v>44192</v>
      </c>
      <c r="Y12183" t="s">
        <v>44193</v>
      </c>
    </row>
    <row r="12184" spans="1:25" x14ac:dyDescent="0.25">
      <c r="A12184" t="str">
        <f>"180545674041"</f>
        <v>180545674041</v>
      </c>
      <c r="B12184" t="s">
        <v>176</v>
      </c>
      <c r="C12184" t="s">
        <v>6380</v>
      </c>
      <c r="D12184" t="s">
        <v>44194</v>
      </c>
      <c r="E12184">
        <v>424031</v>
      </c>
      <c r="F12184" t="s">
        <v>1</v>
      </c>
      <c r="G12184" t="s">
        <v>2</v>
      </c>
      <c r="H12184" t="s">
        <v>106</v>
      </c>
      <c r="I12184" t="s">
        <v>44195</v>
      </c>
      <c r="L12184" t="s">
        <v>44196</v>
      </c>
      <c r="M12184" t="s">
        <v>44197</v>
      </c>
      <c r="P12184" t="s">
        <v>1420</v>
      </c>
      <c r="Q12184" t="s">
        <v>44198</v>
      </c>
      <c r="Y12184" t="s">
        <v>44199</v>
      </c>
    </row>
    <row r="12185" spans="1:25" x14ac:dyDescent="0.25">
      <c r="A12185" t="str">
        <f>"180551848350"</f>
        <v>180551848350</v>
      </c>
      <c r="B12185" t="s">
        <v>530</v>
      </c>
      <c r="C12185" t="s">
        <v>23950</v>
      </c>
      <c r="D12185" t="s">
        <v>23950</v>
      </c>
      <c r="E12185">
        <v>424038</v>
      </c>
      <c r="F12185" t="s">
        <v>1</v>
      </c>
      <c r="G12185" t="s">
        <v>2</v>
      </c>
      <c r="H12185" t="s">
        <v>44200</v>
      </c>
      <c r="Y12185" t="s">
        <v>44201</v>
      </c>
    </row>
    <row r="12186" spans="1:25" x14ac:dyDescent="0.25">
      <c r="A12186" t="str">
        <f>"180561507963"</f>
        <v>180561507963</v>
      </c>
      <c r="B12186" t="s">
        <v>1352</v>
      </c>
      <c r="C12186" t="s">
        <v>11624</v>
      </c>
      <c r="D12186" t="s">
        <v>43862</v>
      </c>
      <c r="E12186">
        <v>424006</v>
      </c>
      <c r="F12186" t="s">
        <v>1</v>
      </c>
      <c r="G12186" t="s">
        <v>2</v>
      </c>
      <c r="H12186" t="s">
        <v>6622</v>
      </c>
      <c r="I12186" t="s">
        <v>44202</v>
      </c>
      <c r="P12186" t="s">
        <v>2050</v>
      </c>
      <c r="Q12186" t="s">
        <v>7743</v>
      </c>
      <c r="Y12186" t="s">
        <v>44203</v>
      </c>
    </row>
    <row r="12187" spans="1:25" x14ac:dyDescent="0.25">
      <c r="A12187" t="str">
        <f>"180590670459"</f>
        <v>180590670459</v>
      </c>
      <c r="B12187" t="s">
        <v>96</v>
      </c>
      <c r="C12187" t="s">
        <v>893</v>
      </c>
      <c r="D12187" t="s">
        <v>44204</v>
      </c>
      <c r="E12187">
        <v>424918</v>
      </c>
      <c r="F12187" t="s">
        <v>1</v>
      </c>
      <c r="G12187" t="s">
        <v>2</v>
      </c>
      <c r="H12187" t="s">
        <v>629</v>
      </c>
      <c r="P12187" t="s">
        <v>630</v>
      </c>
      <c r="Y12187" t="s">
        <v>44205</v>
      </c>
    </row>
    <row r="12188" spans="1:25" x14ac:dyDescent="0.25">
      <c r="A12188" t="str">
        <f>"180599352168"</f>
        <v>180599352168</v>
      </c>
      <c r="B12188" t="s">
        <v>96</v>
      </c>
      <c r="C12188" t="s">
        <v>893</v>
      </c>
      <c r="D12188" t="s">
        <v>24438</v>
      </c>
      <c r="E12188">
        <v>424002</v>
      </c>
      <c r="F12188" t="s">
        <v>1</v>
      </c>
      <c r="G12188" t="s">
        <v>2</v>
      </c>
      <c r="H12188" t="s">
        <v>7297</v>
      </c>
      <c r="I12188" t="s">
        <v>11659</v>
      </c>
      <c r="P12188" t="s">
        <v>1760</v>
      </c>
      <c r="Y12188" t="s">
        <v>44206</v>
      </c>
    </row>
    <row r="12189" spans="1:25" x14ac:dyDescent="0.25">
      <c r="A12189" t="str">
        <f>"180600685849"</f>
        <v>180600685849</v>
      </c>
      <c r="B12189" t="s">
        <v>1573</v>
      </c>
      <c r="C12189" t="s">
        <v>7704</v>
      </c>
      <c r="D12189" t="s">
        <v>44207</v>
      </c>
      <c r="E12189">
        <v>424000</v>
      </c>
      <c r="F12189" t="s">
        <v>1</v>
      </c>
      <c r="G12189" t="s">
        <v>2</v>
      </c>
      <c r="H12189" t="s">
        <v>31391</v>
      </c>
      <c r="Y12189" t="s">
        <v>44208</v>
      </c>
    </row>
    <row r="12190" spans="1:25" x14ac:dyDescent="0.25">
      <c r="A12190" t="str">
        <f>"180628625508"</f>
        <v>180628625508</v>
      </c>
      <c r="B12190" t="s">
        <v>18</v>
      </c>
      <c r="C12190" t="s">
        <v>38949</v>
      </c>
      <c r="D12190" t="s">
        <v>44209</v>
      </c>
      <c r="E12190">
        <v>424004</v>
      </c>
      <c r="F12190" t="s">
        <v>1</v>
      </c>
      <c r="G12190" t="s">
        <v>2</v>
      </c>
      <c r="H12190" t="s">
        <v>186</v>
      </c>
      <c r="J12190" t="s">
        <v>44210</v>
      </c>
      <c r="P12190" t="s">
        <v>280</v>
      </c>
      <c r="Y12190" t="s">
        <v>190</v>
      </c>
    </row>
    <row r="12191" spans="1:25" x14ac:dyDescent="0.25">
      <c r="A12191" t="str">
        <f>"180638139666"</f>
        <v>180638139666</v>
      </c>
      <c r="B12191" t="s">
        <v>1475</v>
      </c>
      <c r="C12191" t="s">
        <v>1476</v>
      </c>
      <c r="D12191" t="s">
        <v>756</v>
      </c>
      <c r="E12191">
        <v>424003</v>
      </c>
      <c r="F12191" t="s">
        <v>1</v>
      </c>
      <c r="G12191" t="s">
        <v>2</v>
      </c>
      <c r="H12191" t="s">
        <v>38</v>
      </c>
      <c r="Y12191" t="s">
        <v>44211</v>
      </c>
    </row>
    <row r="12192" spans="1:25" x14ac:dyDescent="0.25">
      <c r="A12192" t="str">
        <f>"180662316717"</f>
        <v>180662316717</v>
      </c>
      <c r="B12192" t="s">
        <v>2601</v>
      </c>
      <c r="C12192" t="s">
        <v>26383</v>
      </c>
      <c r="D12192" t="s">
        <v>44212</v>
      </c>
      <c r="E12192">
        <v>424000</v>
      </c>
      <c r="F12192" t="s">
        <v>1</v>
      </c>
      <c r="G12192" t="s">
        <v>2</v>
      </c>
      <c r="H12192" t="s">
        <v>1531</v>
      </c>
      <c r="J12192" t="s">
        <v>44213</v>
      </c>
      <c r="P12192" t="s">
        <v>941</v>
      </c>
      <c r="Q12192" t="s">
        <v>44214</v>
      </c>
      <c r="V12192" t="s">
        <v>44215</v>
      </c>
      <c r="Y12192" t="s">
        <v>1707</v>
      </c>
    </row>
    <row r="12193" spans="1:25" x14ac:dyDescent="0.25">
      <c r="A12193" t="str">
        <f>"180669631908"</f>
        <v>180669631908</v>
      </c>
      <c r="B12193" t="s">
        <v>18</v>
      </c>
      <c r="C12193" t="s">
        <v>26525</v>
      </c>
      <c r="D12193" t="s">
        <v>44216</v>
      </c>
      <c r="E12193">
        <v>424006</v>
      </c>
      <c r="F12193" t="s">
        <v>1</v>
      </c>
      <c r="G12193" t="s">
        <v>2</v>
      </c>
      <c r="H12193" t="s">
        <v>393</v>
      </c>
      <c r="I12193" t="s">
        <v>38245</v>
      </c>
      <c r="P12193" t="s">
        <v>1420</v>
      </c>
      <c r="Y12193" t="s">
        <v>44217</v>
      </c>
    </row>
    <row r="12194" spans="1:25" x14ac:dyDescent="0.25">
      <c r="A12194" t="str">
        <f>"180676652350"</f>
        <v>180676652350</v>
      </c>
      <c r="B12194" t="s">
        <v>67</v>
      </c>
      <c r="C12194" t="s">
        <v>269</v>
      </c>
      <c r="D12194" t="s">
        <v>5698</v>
      </c>
      <c r="E12194">
        <v>424032</v>
      </c>
      <c r="F12194" t="s">
        <v>1</v>
      </c>
      <c r="G12194" t="s">
        <v>2</v>
      </c>
      <c r="H12194" t="s">
        <v>5699</v>
      </c>
      <c r="Y12194" t="s">
        <v>44218</v>
      </c>
    </row>
    <row r="12195" spans="1:25" x14ac:dyDescent="0.25">
      <c r="A12195" t="str">
        <f>"180687214091"</f>
        <v>180687214091</v>
      </c>
      <c r="B12195" t="s">
        <v>18</v>
      </c>
      <c r="C12195" t="s">
        <v>44221</v>
      </c>
      <c r="D12195" t="s">
        <v>44219</v>
      </c>
      <c r="E12195">
        <v>424026</v>
      </c>
      <c r="F12195" t="s">
        <v>1</v>
      </c>
      <c r="G12195" t="s">
        <v>2</v>
      </c>
      <c r="H12195" t="s">
        <v>4779</v>
      </c>
      <c r="J12195" t="s">
        <v>44220</v>
      </c>
      <c r="Y12195" t="s">
        <v>4783</v>
      </c>
    </row>
    <row r="12196" spans="1:25" x14ac:dyDescent="0.25">
      <c r="A12196" t="str">
        <f>"180709201092"</f>
        <v>180709201092</v>
      </c>
      <c r="B12196" t="s">
        <v>18</v>
      </c>
      <c r="C12196" t="s">
        <v>2171</v>
      </c>
      <c r="D12196" t="s">
        <v>44222</v>
      </c>
      <c r="E12196">
        <v>424032</v>
      </c>
      <c r="F12196" t="s">
        <v>1</v>
      </c>
      <c r="G12196" t="s">
        <v>2</v>
      </c>
      <c r="H12196" t="s">
        <v>3508</v>
      </c>
      <c r="I12196" t="s">
        <v>14908</v>
      </c>
      <c r="J12196" t="s">
        <v>14909</v>
      </c>
      <c r="P12196" t="s">
        <v>27</v>
      </c>
      <c r="Y12196" t="s">
        <v>3514</v>
      </c>
    </row>
    <row r="12197" spans="1:25" x14ac:dyDescent="0.25">
      <c r="A12197" t="str">
        <f>"180717966985"</f>
        <v>180717966985</v>
      </c>
      <c r="B12197" t="s">
        <v>703</v>
      </c>
      <c r="C12197" t="s">
        <v>2129</v>
      </c>
      <c r="D12197" t="s">
        <v>44223</v>
      </c>
      <c r="F12197" t="s">
        <v>1</v>
      </c>
      <c r="G12197" t="s">
        <v>2</v>
      </c>
      <c r="H12197" t="s">
        <v>21074</v>
      </c>
      <c r="P12197" t="s">
        <v>4998</v>
      </c>
      <c r="Y12197" t="s">
        <v>21079</v>
      </c>
    </row>
    <row r="12198" spans="1:25" x14ac:dyDescent="0.25">
      <c r="A12198" t="str">
        <f>"180787854253"</f>
        <v>180787854253</v>
      </c>
      <c r="B12198" t="s">
        <v>687</v>
      </c>
      <c r="C12198" t="s">
        <v>44224</v>
      </c>
      <c r="D12198" t="s">
        <v>39077</v>
      </c>
      <c r="E12198">
        <v>424006</v>
      </c>
      <c r="F12198" t="s">
        <v>1</v>
      </c>
      <c r="G12198" t="s">
        <v>2</v>
      </c>
      <c r="H12198" t="s">
        <v>4628</v>
      </c>
      <c r="I12198" t="s">
        <v>39078</v>
      </c>
      <c r="P12198" t="s">
        <v>280</v>
      </c>
      <c r="Y12198" t="s">
        <v>6884</v>
      </c>
    </row>
    <row r="12199" spans="1:25" x14ac:dyDescent="0.25">
      <c r="A12199" t="str">
        <f>"180802341161"</f>
        <v>180802341161</v>
      </c>
      <c r="B12199" t="s">
        <v>1343</v>
      </c>
      <c r="C12199" t="s">
        <v>5308</v>
      </c>
      <c r="D12199" t="s">
        <v>44225</v>
      </c>
      <c r="E12199">
        <v>424000</v>
      </c>
      <c r="F12199" t="s">
        <v>1</v>
      </c>
      <c r="G12199" t="s">
        <v>2</v>
      </c>
      <c r="H12199" t="s">
        <v>86</v>
      </c>
      <c r="P12199" t="s">
        <v>1404</v>
      </c>
      <c r="Y12199" t="s">
        <v>44226</v>
      </c>
    </row>
    <row r="12200" spans="1:25" x14ac:dyDescent="0.25">
      <c r="A12200" t="str">
        <f>"180890857766"</f>
        <v>180890857766</v>
      </c>
      <c r="B12200" t="s">
        <v>176</v>
      </c>
      <c r="C12200" t="s">
        <v>566</v>
      </c>
      <c r="D12200" t="s">
        <v>18897</v>
      </c>
      <c r="E12200">
        <v>424003</v>
      </c>
      <c r="F12200" t="s">
        <v>1</v>
      </c>
      <c r="G12200" t="s">
        <v>2</v>
      </c>
      <c r="H12200" t="s">
        <v>25642</v>
      </c>
      <c r="J12200" t="s">
        <v>44227</v>
      </c>
      <c r="L12200" t="s">
        <v>44228</v>
      </c>
      <c r="M12200" t="s">
        <v>44229</v>
      </c>
      <c r="P12200" t="s">
        <v>330</v>
      </c>
      <c r="Y12200" t="s">
        <v>44230</v>
      </c>
    </row>
    <row r="12201" spans="1:25" x14ac:dyDescent="0.25">
      <c r="A12201" t="str">
        <f>"180906061422"</f>
        <v>180906061422</v>
      </c>
      <c r="B12201" t="s">
        <v>1053</v>
      </c>
      <c r="C12201" t="s">
        <v>11751</v>
      </c>
      <c r="D12201" t="s">
        <v>44231</v>
      </c>
      <c r="E12201">
        <v>424007</v>
      </c>
      <c r="F12201" t="s">
        <v>1</v>
      </c>
      <c r="G12201" t="s">
        <v>2</v>
      </c>
      <c r="H12201" t="s">
        <v>819</v>
      </c>
      <c r="I12201" t="s">
        <v>12598</v>
      </c>
      <c r="M12201" t="s">
        <v>44232</v>
      </c>
      <c r="P12201" t="s">
        <v>20</v>
      </c>
      <c r="Y12201" t="s">
        <v>38554</v>
      </c>
    </row>
    <row r="12202" spans="1:25" x14ac:dyDescent="0.25">
      <c r="A12202" t="str">
        <f>"180930862193"</f>
        <v>180930862193</v>
      </c>
      <c r="B12202" t="s">
        <v>110</v>
      </c>
      <c r="C12202" t="s">
        <v>6439</v>
      </c>
      <c r="D12202" t="s">
        <v>44233</v>
      </c>
      <c r="E12202">
        <v>424006</v>
      </c>
      <c r="F12202" t="s">
        <v>1</v>
      </c>
      <c r="G12202" t="s">
        <v>2</v>
      </c>
      <c r="H12202" t="s">
        <v>1890</v>
      </c>
      <c r="J12202" t="s">
        <v>44234</v>
      </c>
      <c r="L12202" t="s">
        <v>5370</v>
      </c>
      <c r="M12202" t="s">
        <v>5371</v>
      </c>
      <c r="P12202" t="s">
        <v>10331</v>
      </c>
      <c r="Q12202" t="s">
        <v>44235</v>
      </c>
      <c r="R12202" t="s">
        <v>44236</v>
      </c>
      <c r="V12202" t="s">
        <v>44237</v>
      </c>
      <c r="Y12202" t="s">
        <v>44238</v>
      </c>
    </row>
    <row r="12203" spans="1:25" x14ac:dyDescent="0.25">
      <c r="A12203" t="str">
        <f>"180949384056"</f>
        <v>180949384056</v>
      </c>
      <c r="B12203" t="s">
        <v>574</v>
      </c>
      <c r="C12203" t="s">
        <v>23462</v>
      </c>
      <c r="D12203" t="s">
        <v>44239</v>
      </c>
      <c r="E12203">
        <v>424003</v>
      </c>
      <c r="F12203" t="s">
        <v>1</v>
      </c>
      <c r="G12203" t="s">
        <v>2</v>
      </c>
      <c r="H12203" t="s">
        <v>21660</v>
      </c>
      <c r="Y12203" t="s">
        <v>24917</v>
      </c>
    </row>
    <row r="12204" spans="1:25" x14ac:dyDescent="0.25">
      <c r="A12204" t="str">
        <f>"180959611873"</f>
        <v>180959611873</v>
      </c>
      <c r="B12204" t="s">
        <v>2601</v>
      </c>
      <c r="C12204" t="s">
        <v>5375</v>
      </c>
      <c r="D12204" t="s">
        <v>26709</v>
      </c>
      <c r="E12204">
        <v>424005</v>
      </c>
      <c r="F12204" t="s">
        <v>1</v>
      </c>
      <c r="G12204" t="s">
        <v>2</v>
      </c>
      <c r="H12204" t="s">
        <v>1298</v>
      </c>
      <c r="I12204" t="s">
        <v>26711</v>
      </c>
      <c r="P12204" t="s">
        <v>7125</v>
      </c>
      <c r="Y12204" t="s">
        <v>1301</v>
      </c>
    </row>
    <row r="12205" spans="1:25" x14ac:dyDescent="0.25">
      <c r="A12205" t="str">
        <f>"180995501891"</f>
        <v>180995501891</v>
      </c>
      <c r="B12205" t="s">
        <v>96</v>
      </c>
      <c r="C12205" t="s">
        <v>20353</v>
      </c>
      <c r="D12205" t="s">
        <v>21572</v>
      </c>
      <c r="E12205">
        <v>424028</v>
      </c>
      <c r="F12205" t="s">
        <v>1</v>
      </c>
      <c r="G12205" t="s">
        <v>2</v>
      </c>
      <c r="H12205" t="s">
        <v>23999</v>
      </c>
      <c r="Y12205" t="s">
        <v>44240</v>
      </c>
    </row>
    <row r="12206" spans="1:25" x14ac:dyDescent="0.25">
      <c r="A12206" t="str">
        <f>"181028119991"</f>
        <v>181028119991</v>
      </c>
      <c r="B12206" t="s">
        <v>930</v>
      </c>
      <c r="C12206" t="s">
        <v>4325</v>
      </c>
      <c r="D12206" t="s">
        <v>1094</v>
      </c>
      <c r="F12206" t="s">
        <v>1</v>
      </c>
      <c r="G12206" t="s">
        <v>2</v>
      </c>
      <c r="H12206" t="s">
        <v>20904</v>
      </c>
      <c r="Y12206" t="s">
        <v>44241</v>
      </c>
    </row>
    <row r="12207" spans="1:25" x14ac:dyDescent="0.25">
      <c r="A12207" t="str">
        <f>"181036744628"</f>
        <v>181036744628</v>
      </c>
      <c r="B12207" t="s">
        <v>574</v>
      </c>
      <c r="C12207" t="s">
        <v>646</v>
      </c>
      <c r="D12207" t="s">
        <v>3057</v>
      </c>
      <c r="E12207">
        <v>424003</v>
      </c>
      <c r="F12207" t="s">
        <v>1</v>
      </c>
      <c r="G12207" t="s">
        <v>2</v>
      </c>
      <c r="H12207" t="s">
        <v>28076</v>
      </c>
      <c r="P12207" t="s">
        <v>2457</v>
      </c>
      <c r="Y12207" t="s">
        <v>44242</v>
      </c>
    </row>
    <row r="12208" spans="1:25" x14ac:dyDescent="0.25">
      <c r="A12208" t="str">
        <f>"181039643337"</f>
        <v>181039643337</v>
      </c>
      <c r="B12208" t="s">
        <v>1299</v>
      </c>
      <c r="C12208" t="s">
        <v>1300</v>
      </c>
      <c r="D12208" t="s">
        <v>44243</v>
      </c>
      <c r="E12208">
        <v>424020</v>
      </c>
      <c r="F12208" t="s">
        <v>1</v>
      </c>
      <c r="G12208" t="s">
        <v>2</v>
      </c>
      <c r="H12208" t="s">
        <v>2333</v>
      </c>
      <c r="L12208" t="s">
        <v>44244</v>
      </c>
      <c r="M12208" t="s">
        <v>44245</v>
      </c>
      <c r="Y12208" t="s">
        <v>2336</v>
      </c>
    </row>
    <row r="12209" spans="1:25" x14ac:dyDescent="0.25">
      <c r="A12209" t="str">
        <f>"181079513171"</f>
        <v>181079513171</v>
      </c>
      <c r="B12209" t="s">
        <v>151</v>
      </c>
      <c r="C12209" t="s">
        <v>151</v>
      </c>
      <c r="D12209" t="s">
        <v>44246</v>
      </c>
      <c r="E12209">
        <v>424036</v>
      </c>
      <c r="F12209" t="s">
        <v>1</v>
      </c>
      <c r="G12209" t="s">
        <v>2</v>
      </c>
      <c r="H12209" t="s">
        <v>8222</v>
      </c>
      <c r="I12209" t="s">
        <v>44247</v>
      </c>
      <c r="J12209" t="s">
        <v>44248</v>
      </c>
      <c r="P12209" t="s">
        <v>9</v>
      </c>
      <c r="Y12209" t="s">
        <v>12963</v>
      </c>
    </row>
    <row r="12210" spans="1:25" x14ac:dyDescent="0.25">
      <c r="A12210" t="str">
        <f>"181109783767"</f>
        <v>181109783767</v>
      </c>
      <c r="B12210" t="s">
        <v>25</v>
      </c>
      <c r="C12210" t="s">
        <v>59</v>
      </c>
      <c r="D12210" t="s">
        <v>33627</v>
      </c>
      <c r="E12210">
        <v>424031</v>
      </c>
      <c r="F12210" t="s">
        <v>1</v>
      </c>
      <c r="G12210" t="s">
        <v>2</v>
      </c>
      <c r="H12210" t="s">
        <v>8059</v>
      </c>
      <c r="Y12210" t="s">
        <v>44249</v>
      </c>
    </row>
    <row r="12211" spans="1:25" x14ac:dyDescent="0.25">
      <c r="A12211" t="str">
        <f>"181112618872"</f>
        <v>181112618872</v>
      </c>
      <c r="B12211" t="s">
        <v>1078</v>
      </c>
      <c r="C12211" t="s">
        <v>44250</v>
      </c>
      <c r="D12211" t="s">
        <v>25481</v>
      </c>
      <c r="E12211">
        <v>424039</v>
      </c>
      <c r="F12211" t="s">
        <v>1</v>
      </c>
      <c r="G12211" t="s">
        <v>2</v>
      </c>
      <c r="H12211" t="s">
        <v>5827</v>
      </c>
      <c r="Y12211" t="s">
        <v>10310</v>
      </c>
    </row>
    <row r="12212" spans="1:25" x14ac:dyDescent="0.25">
      <c r="A12212" t="str">
        <f>"181155010715"</f>
        <v>181155010715</v>
      </c>
      <c r="B12212" t="s">
        <v>1573</v>
      </c>
      <c r="C12212" t="s">
        <v>1817</v>
      </c>
      <c r="D12212" t="s">
        <v>44251</v>
      </c>
      <c r="E12212">
        <v>424007</v>
      </c>
      <c r="F12212" t="s">
        <v>1</v>
      </c>
      <c r="G12212" t="s">
        <v>2</v>
      </c>
      <c r="H12212" t="s">
        <v>22705</v>
      </c>
      <c r="Y12212" t="s">
        <v>44252</v>
      </c>
    </row>
    <row r="12213" spans="1:25" x14ac:dyDescent="0.25">
      <c r="A12213" t="str">
        <f>"181157739443"</f>
        <v>181157739443</v>
      </c>
      <c r="B12213" t="s">
        <v>117</v>
      </c>
      <c r="C12213" t="s">
        <v>873</v>
      </c>
      <c r="D12213" t="s">
        <v>873</v>
      </c>
      <c r="F12213" t="s">
        <v>1</v>
      </c>
      <c r="G12213" t="s">
        <v>2</v>
      </c>
      <c r="H12213" t="s">
        <v>7547</v>
      </c>
      <c r="Y12213" t="s">
        <v>44253</v>
      </c>
    </row>
    <row r="12214" spans="1:25" x14ac:dyDescent="0.25">
      <c r="A12214" t="str">
        <f>"181161664946"</f>
        <v>181161664946</v>
      </c>
      <c r="B12214" t="s">
        <v>1391</v>
      </c>
      <c r="C12214" t="s">
        <v>23730</v>
      </c>
      <c r="D12214" t="s">
        <v>44254</v>
      </c>
      <c r="E12214">
        <v>424033</v>
      </c>
      <c r="F12214" t="s">
        <v>1</v>
      </c>
      <c r="G12214" t="s">
        <v>2</v>
      </c>
      <c r="H12214" t="s">
        <v>10720</v>
      </c>
      <c r="I12214" t="s">
        <v>44255</v>
      </c>
      <c r="J12214" t="s">
        <v>44256</v>
      </c>
      <c r="L12214" t="s">
        <v>44257</v>
      </c>
      <c r="M12214" t="s">
        <v>44258</v>
      </c>
      <c r="P12214" t="s">
        <v>216</v>
      </c>
      <c r="Q12214" t="s">
        <v>44259</v>
      </c>
      <c r="Y12214" t="s">
        <v>10723</v>
      </c>
    </row>
    <row r="12215" spans="1:25" x14ac:dyDescent="0.25">
      <c r="A12215" t="str">
        <f>"181180206192"</f>
        <v>181180206192</v>
      </c>
      <c r="B12215" t="s">
        <v>328</v>
      </c>
      <c r="C12215" t="s">
        <v>44264</v>
      </c>
      <c r="D12215" t="s">
        <v>44260</v>
      </c>
      <c r="E12215">
        <v>424002</v>
      </c>
      <c r="F12215" t="s">
        <v>1</v>
      </c>
      <c r="G12215" t="s">
        <v>2</v>
      </c>
      <c r="H12215" t="s">
        <v>1683</v>
      </c>
      <c r="I12215" t="s">
        <v>44261</v>
      </c>
      <c r="L12215" t="s">
        <v>44262</v>
      </c>
      <c r="M12215" t="s">
        <v>44263</v>
      </c>
      <c r="P12215" t="s">
        <v>9</v>
      </c>
      <c r="Y12215" t="s">
        <v>34616</v>
      </c>
    </row>
    <row r="12216" spans="1:25" x14ac:dyDescent="0.25">
      <c r="A12216" t="str">
        <f>"181232399738"</f>
        <v>181232399738</v>
      </c>
      <c r="B12216" t="s">
        <v>530</v>
      </c>
      <c r="C12216" t="s">
        <v>23950</v>
      </c>
      <c r="D12216" t="s">
        <v>23950</v>
      </c>
      <c r="F12216" t="s">
        <v>1</v>
      </c>
      <c r="G12216" t="s">
        <v>2</v>
      </c>
      <c r="H12216" t="s">
        <v>44265</v>
      </c>
      <c r="Y12216" t="s">
        <v>44266</v>
      </c>
    </row>
    <row r="12217" spans="1:25" x14ac:dyDescent="0.25">
      <c r="A12217" t="str">
        <f>"181238564331"</f>
        <v>181238564331</v>
      </c>
      <c r="B12217" t="s">
        <v>482</v>
      </c>
      <c r="C12217" t="s">
        <v>6009</v>
      </c>
      <c r="D12217" t="s">
        <v>44267</v>
      </c>
      <c r="E12217">
        <v>424006</v>
      </c>
      <c r="F12217" t="s">
        <v>1</v>
      </c>
      <c r="G12217" t="s">
        <v>2</v>
      </c>
      <c r="H12217" t="s">
        <v>478</v>
      </c>
      <c r="Y12217" t="s">
        <v>44268</v>
      </c>
    </row>
    <row r="12218" spans="1:25" x14ac:dyDescent="0.25">
      <c r="A12218" t="str">
        <f>"181244599392"</f>
        <v>181244599392</v>
      </c>
      <c r="B12218" t="s">
        <v>456</v>
      </c>
      <c r="C12218" t="s">
        <v>2773</v>
      </c>
      <c r="D12218" t="s">
        <v>44269</v>
      </c>
      <c r="E12218">
        <v>424038</v>
      </c>
      <c r="F12218" t="s">
        <v>1</v>
      </c>
      <c r="G12218" t="s">
        <v>2</v>
      </c>
      <c r="H12218" t="s">
        <v>7597</v>
      </c>
      <c r="J12218" t="s">
        <v>44270</v>
      </c>
      <c r="L12218" t="s">
        <v>33332</v>
      </c>
      <c r="M12218" t="s">
        <v>44271</v>
      </c>
      <c r="P12218" t="s">
        <v>1642</v>
      </c>
      <c r="Q12218" t="s">
        <v>44272</v>
      </c>
      <c r="R12218" t="s">
        <v>44273</v>
      </c>
      <c r="Y12218" t="s">
        <v>16150</v>
      </c>
    </row>
    <row r="12219" spans="1:25" x14ac:dyDescent="0.25">
      <c r="A12219" t="str">
        <f>"181263633838"</f>
        <v>181263633838</v>
      </c>
      <c r="B12219" t="s">
        <v>456</v>
      </c>
      <c r="C12219" t="s">
        <v>44274</v>
      </c>
      <c r="D12219" t="s">
        <v>19861</v>
      </c>
      <c r="E12219">
        <v>424007</v>
      </c>
      <c r="F12219" t="s">
        <v>1</v>
      </c>
      <c r="G12219" t="s">
        <v>2</v>
      </c>
      <c r="H12219" t="s">
        <v>1085</v>
      </c>
      <c r="Y12219" t="s">
        <v>1412</v>
      </c>
    </row>
    <row r="12220" spans="1:25" x14ac:dyDescent="0.25">
      <c r="A12220" t="str">
        <f>"181285995004"</f>
        <v>181285995004</v>
      </c>
      <c r="B12220" t="s">
        <v>1053</v>
      </c>
      <c r="C12220" t="s">
        <v>11751</v>
      </c>
      <c r="D12220" t="s">
        <v>44275</v>
      </c>
      <c r="E12220">
        <v>424006</v>
      </c>
      <c r="F12220" t="s">
        <v>1</v>
      </c>
      <c r="G12220" t="s">
        <v>2</v>
      </c>
      <c r="H12220" t="s">
        <v>1436</v>
      </c>
      <c r="I12220" t="s">
        <v>44276</v>
      </c>
      <c r="J12220" t="s">
        <v>44277</v>
      </c>
      <c r="P12220" t="s">
        <v>29674</v>
      </c>
      <c r="Y12220" t="s">
        <v>1443</v>
      </c>
    </row>
    <row r="12221" spans="1:25" x14ac:dyDescent="0.25">
      <c r="A12221" t="str">
        <f>"181308769402"</f>
        <v>181308769402</v>
      </c>
      <c r="B12221" t="s">
        <v>233</v>
      </c>
      <c r="C12221" t="s">
        <v>14003</v>
      </c>
      <c r="D12221" t="s">
        <v>43052</v>
      </c>
      <c r="E12221">
        <v>424005</v>
      </c>
      <c r="F12221" t="s">
        <v>1</v>
      </c>
      <c r="G12221" t="s">
        <v>2</v>
      </c>
      <c r="H12221" t="s">
        <v>4965</v>
      </c>
      <c r="Y12221" t="s">
        <v>27373</v>
      </c>
    </row>
    <row r="12222" spans="1:25" x14ac:dyDescent="0.25">
      <c r="A12222" t="str">
        <f>"181346532634"</f>
        <v>181346532634</v>
      </c>
      <c r="B12222" t="s">
        <v>1061</v>
      </c>
      <c r="C12222" t="s">
        <v>26953</v>
      </c>
      <c r="D12222" t="s">
        <v>44278</v>
      </c>
      <c r="F12222" t="s">
        <v>1</v>
      </c>
      <c r="G12222" t="s">
        <v>2</v>
      </c>
      <c r="H12222" t="s">
        <v>44279</v>
      </c>
      <c r="Y12222" t="s">
        <v>44280</v>
      </c>
    </row>
    <row r="12223" spans="1:25" x14ac:dyDescent="0.25">
      <c r="A12223" t="str">
        <f>"181394841324"</f>
        <v>181394841324</v>
      </c>
      <c r="B12223" t="s">
        <v>25</v>
      </c>
      <c r="C12223" t="s">
        <v>20320</v>
      </c>
      <c r="D12223" t="s">
        <v>44281</v>
      </c>
      <c r="E12223">
        <v>424003</v>
      </c>
      <c r="F12223" t="s">
        <v>1</v>
      </c>
      <c r="G12223" t="s">
        <v>2</v>
      </c>
      <c r="H12223" t="s">
        <v>21853</v>
      </c>
      <c r="Y12223" t="s">
        <v>44282</v>
      </c>
    </row>
    <row r="12224" spans="1:25" x14ac:dyDescent="0.25">
      <c r="A12224" t="str">
        <f>"181415445172"</f>
        <v>181415445172</v>
      </c>
      <c r="B12224" t="s">
        <v>123</v>
      </c>
      <c r="C12224" t="s">
        <v>424</v>
      </c>
      <c r="D12224" t="s">
        <v>44283</v>
      </c>
      <c r="E12224">
        <v>424019</v>
      </c>
      <c r="F12224" t="s">
        <v>1</v>
      </c>
      <c r="G12224" t="s">
        <v>2</v>
      </c>
      <c r="H12224" t="s">
        <v>44284</v>
      </c>
      <c r="Y12224" t="s">
        <v>44285</v>
      </c>
    </row>
    <row r="12225" spans="1:25" x14ac:dyDescent="0.25">
      <c r="A12225" t="str">
        <f>"181427450399"</f>
        <v>181427450399</v>
      </c>
      <c r="B12225" t="s">
        <v>348</v>
      </c>
      <c r="C12225" t="s">
        <v>44288</v>
      </c>
      <c r="D12225" t="s">
        <v>29512</v>
      </c>
      <c r="E12225">
        <v>424016</v>
      </c>
      <c r="F12225" t="s">
        <v>1</v>
      </c>
      <c r="G12225" t="s">
        <v>2</v>
      </c>
      <c r="H12225" t="s">
        <v>44286</v>
      </c>
      <c r="J12225" t="s">
        <v>44287</v>
      </c>
      <c r="P12225" t="s">
        <v>280</v>
      </c>
      <c r="Y12225" t="s">
        <v>44289</v>
      </c>
    </row>
    <row r="12226" spans="1:25" x14ac:dyDescent="0.25">
      <c r="A12226" t="str">
        <f>"181452245826"</f>
        <v>181452245826</v>
      </c>
      <c r="B12226" t="s">
        <v>574</v>
      </c>
      <c r="C12226" t="s">
        <v>8884</v>
      </c>
      <c r="D12226" t="s">
        <v>8880</v>
      </c>
      <c r="E12226">
        <v>424032</v>
      </c>
      <c r="F12226" t="s">
        <v>1</v>
      </c>
      <c r="G12226" t="s">
        <v>2</v>
      </c>
      <c r="H12226" t="s">
        <v>44290</v>
      </c>
      <c r="J12226" t="s">
        <v>44291</v>
      </c>
      <c r="L12226" t="s">
        <v>26240</v>
      </c>
      <c r="M12226" t="s">
        <v>8883</v>
      </c>
      <c r="P12226" t="s">
        <v>26241</v>
      </c>
      <c r="Q12226" t="s">
        <v>8886</v>
      </c>
      <c r="T12226" t="s">
        <v>8887</v>
      </c>
      <c r="V12226" t="s">
        <v>8888</v>
      </c>
      <c r="Y12226" t="s">
        <v>44292</v>
      </c>
    </row>
    <row r="12227" spans="1:25" x14ac:dyDescent="0.25">
      <c r="A12227" t="str">
        <f>"181472056436"</f>
        <v>181472056436</v>
      </c>
      <c r="B12227" t="s">
        <v>32</v>
      </c>
      <c r="C12227" t="s">
        <v>38211</v>
      </c>
      <c r="D12227" t="s">
        <v>44293</v>
      </c>
      <c r="F12227" t="s">
        <v>1</v>
      </c>
      <c r="G12227" t="s">
        <v>2</v>
      </c>
      <c r="H12227" t="s">
        <v>26431</v>
      </c>
      <c r="J12227" t="s">
        <v>44294</v>
      </c>
      <c r="P12227" t="s">
        <v>8133</v>
      </c>
      <c r="V12227" t="s">
        <v>44295</v>
      </c>
      <c r="Y12227" t="s">
        <v>44296</v>
      </c>
    </row>
    <row r="12228" spans="1:25" x14ac:dyDescent="0.25">
      <c r="A12228" t="str">
        <f>"181500126657"</f>
        <v>181500126657</v>
      </c>
      <c r="B12228" t="s">
        <v>574</v>
      </c>
      <c r="C12228" t="s">
        <v>25030</v>
      </c>
      <c r="D12228" t="s">
        <v>44297</v>
      </c>
      <c r="F12228" t="s">
        <v>1</v>
      </c>
      <c r="G12228" t="s">
        <v>2</v>
      </c>
      <c r="H12228" t="s">
        <v>26684</v>
      </c>
      <c r="J12228" t="s">
        <v>44298</v>
      </c>
      <c r="P12228" t="s">
        <v>410</v>
      </c>
      <c r="Y12228" t="s">
        <v>44299</v>
      </c>
    </row>
    <row r="12229" spans="1:25" x14ac:dyDescent="0.25">
      <c r="A12229" t="str">
        <f>"181509795334"</f>
        <v>181509795334</v>
      </c>
      <c r="B12229" t="s">
        <v>574</v>
      </c>
      <c r="C12229" t="s">
        <v>44300</v>
      </c>
      <c r="D12229" t="s">
        <v>36008</v>
      </c>
      <c r="E12229">
        <v>424007</v>
      </c>
      <c r="F12229" t="s">
        <v>1</v>
      </c>
      <c r="G12229" t="s">
        <v>2</v>
      </c>
      <c r="H12229" t="s">
        <v>1566</v>
      </c>
      <c r="Y12229" t="s">
        <v>2882</v>
      </c>
    </row>
    <row r="12230" spans="1:25" x14ac:dyDescent="0.25">
      <c r="A12230" t="str">
        <f>"181616857426"</f>
        <v>181616857426</v>
      </c>
      <c r="B12230" t="s">
        <v>188</v>
      </c>
      <c r="C12230" t="s">
        <v>8311</v>
      </c>
      <c r="D12230" t="s">
        <v>26430</v>
      </c>
      <c r="E12230">
        <v>424003</v>
      </c>
      <c r="F12230" t="s">
        <v>1</v>
      </c>
      <c r="G12230" t="s">
        <v>2</v>
      </c>
      <c r="H12230" t="s">
        <v>44301</v>
      </c>
      <c r="P12230" t="s">
        <v>216</v>
      </c>
      <c r="Y12230" t="s">
        <v>44302</v>
      </c>
    </row>
    <row r="12231" spans="1:25" x14ac:dyDescent="0.25">
      <c r="A12231" t="str">
        <f>"181626268511"</f>
        <v>181626268511</v>
      </c>
      <c r="B12231" t="s">
        <v>574</v>
      </c>
      <c r="C12231" t="s">
        <v>952</v>
      </c>
      <c r="D12231" t="s">
        <v>3388</v>
      </c>
      <c r="E12231">
        <v>424003</v>
      </c>
      <c r="F12231" t="s">
        <v>1</v>
      </c>
      <c r="G12231" t="s">
        <v>2</v>
      </c>
      <c r="H12231" t="s">
        <v>38</v>
      </c>
      <c r="Y12231" t="s">
        <v>44303</v>
      </c>
    </row>
    <row r="12232" spans="1:25" x14ac:dyDescent="0.25">
      <c r="A12232" t="str">
        <f>"181664902757"</f>
        <v>181664902757</v>
      </c>
      <c r="B12232" t="s">
        <v>3544</v>
      </c>
      <c r="C12232" t="s">
        <v>11303</v>
      </c>
      <c r="D12232" t="s">
        <v>44304</v>
      </c>
      <c r="E12232">
        <v>424019</v>
      </c>
      <c r="F12232" t="s">
        <v>1</v>
      </c>
      <c r="G12232" t="s">
        <v>2</v>
      </c>
      <c r="H12232" t="s">
        <v>9271</v>
      </c>
      <c r="Y12232" t="s">
        <v>44305</v>
      </c>
    </row>
    <row r="12233" spans="1:25" x14ac:dyDescent="0.25">
      <c r="A12233" t="str">
        <f>"181764822435"</f>
        <v>181764822435</v>
      </c>
      <c r="B12233" t="s">
        <v>25</v>
      </c>
      <c r="C12233" t="s">
        <v>20320</v>
      </c>
      <c r="D12233" t="s">
        <v>44306</v>
      </c>
      <c r="E12233">
        <v>424039</v>
      </c>
      <c r="F12233" t="s">
        <v>1</v>
      </c>
      <c r="G12233" t="s">
        <v>2</v>
      </c>
      <c r="H12233" t="s">
        <v>44307</v>
      </c>
      <c r="Y12233" t="s">
        <v>44308</v>
      </c>
    </row>
    <row r="12234" spans="1:25" x14ac:dyDescent="0.25">
      <c r="A12234" t="str">
        <f>"181776916232"</f>
        <v>181776916232</v>
      </c>
      <c r="B12234" t="s">
        <v>1046</v>
      </c>
      <c r="C12234" t="s">
        <v>22946</v>
      </c>
      <c r="D12234" t="s">
        <v>22946</v>
      </c>
      <c r="E12234">
        <v>424002</v>
      </c>
      <c r="F12234" t="s">
        <v>1</v>
      </c>
      <c r="G12234" t="s">
        <v>2</v>
      </c>
      <c r="H12234" t="s">
        <v>974</v>
      </c>
      <c r="Y12234" t="s">
        <v>44309</v>
      </c>
    </row>
    <row r="12235" spans="1:25" x14ac:dyDescent="0.25">
      <c r="A12235" t="str">
        <f>"181835511206"</f>
        <v>181835511206</v>
      </c>
      <c r="B12235" t="s">
        <v>1053</v>
      </c>
      <c r="C12235" t="s">
        <v>1927</v>
      </c>
      <c r="D12235" t="s">
        <v>44310</v>
      </c>
      <c r="E12235">
        <v>424008</v>
      </c>
      <c r="F12235" t="s">
        <v>1</v>
      </c>
      <c r="G12235" t="s">
        <v>2</v>
      </c>
      <c r="H12235" t="s">
        <v>4250</v>
      </c>
      <c r="Y12235" t="s">
        <v>44311</v>
      </c>
    </row>
    <row r="12236" spans="1:25" x14ac:dyDescent="0.25">
      <c r="A12236" t="str">
        <f>"181863986791"</f>
        <v>181863986791</v>
      </c>
      <c r="B12236" t="s">
        <v>96</v>
      </c>
      <c r="C12236" t="s">
        <v>27219</v>
      </c>
      <c r="D12236" t="s">
        <v>44312</v>
      </c>
      <c r="E12236">
        <v>424002</v>
      </c>
      <c r="F12236" t="s">
        <v>1</v>
      </c>
      <c r="G12236" t="s">
        <v>2</v>
      </c>
      <c r="H12236" t="s">
        <v>3421</v>
      </c>
      <c r="J12236" t="s">
        <v>44313</v>
      </c>
      <c r="P12236" t="s">
        <v>1213</v>
      </c>
      <c r="Y12236" t="s">
        <v>44314</v>
      </c>
    </row>
    <row r="12237" spans="1:25" x14ac:dyDescent="0.25">
      <c r="A12237" t="str">
        <f>"181874195922"</f>
        <v>181874195922</v>
      </c>
      <c r="B12237" t="s">
        <v>1152</v>
      </c>
      <c r="C12237" t="s">
        <v>1153</v>
      </c>
      <c r="D12237" t="s">
        <v>24071</v>
      </c>
      <c r="E12237">
        <v>424008</v>
      </c>
      <c r="F12237" t="s">
        <v>1</v>
      </c>
      <c r="G12237" t="s">
        <v>2</v>
      </c>
      <c r="H12237" t="s">
        <v>37503</v>
      </c>
      <c r="Y12237" t="s">
        <v>44315</v>
      </c>
    </row>
    <row r="12238" spans="1:25" x14ac:dyDescent="0.25">
      <c r="A12238" t="str">
        <f>"181896843959"</f>
        <v>181896843959</v>
      </c>
      <c r="B12238" t="s">
        <v>348</v>
      </c>
      <c r="C12238" t="s">
        <v>15781</v>
      </c>
      <c r="D12238" t="s">
        <v>44316</v>
      </c>
      <c r="E12238">
        <v>424006</v>
      </c>
      <c r="F12238" t="s">
        <v>1</v>
      </c>
      <c r="G12238" t="s">
        <v>2</v>
      </c>
      <c r="H12238" t="s">
        <v>2012</v>
      </c>
      <c r="I12238" t="s">
        <v>44317</v>
      </c>
      <c r="P12238" t="s">
        <v>27</v>
      </c>
      <c r="V12238" t="s">
        <v>44318</v>
      </c>
      <c r="Y12238" t="s">
        <v>2016</v>
      </c>
    </row>
    <row r="12239" spans="1:25" x14ac:dyDescent="0.25">
      <c r="A12239" t="str">
        <f>"181932498485"</f>
        <v>181932498485</v>
      </c>
      <c r="B12239" t="s">
        <v>188</v>
      </c>
      <c r="C12239" t="s">
        <v>24568</v>
      </c>
      <c r="D12239" t="s">
        <v>24568</v>
      </c>
      <c r="F12239" t="s">
        <v>1</v>
      </c>
      <c r="G12239" t="s">
        <v>2</v>
      </c>
      <c r="H12239" t="s">
        <v>23409</v>
      </c>
      <c r="Y12239" t="s">
        <v>44319</v>
      </c>
    </row>
    <row r="12240" spans="1:25" x14ac:dyDescent="0.25">
      <c r="A12240" t="str">
        <f>"181952401827"</f>
        <v>181952401827</v>
      </c>
      <c r="B12240" t="s">
        <v>530</v>
      </c>
      <c r="C12240" t="s">
        <v>23950</v>
      </c>
      <c r="D12240" t="s">
        <v>23950</v>
      </c>
      <c r="F12240" t="s">
        <v>1</v>
      </c>
      <c r="G12240" t="s">
        <v>2</v>
      </c>
      <c r="H12240" t="s">
        <v>23308</v>
      </c>
      <c r="Y12240" t="s">
        <v>44320</v>
      </c>
    </row>
    <row r="12241" spans="1:25" x14ac:dyDescent="0.25">
      <c r="A12241" t="str">
        <f>"181954542383"</f>
        <v>181954542383</v>
      </c>
      <c r="B12241" t="s">
        <v>25</v>
      </c>
      <c r="C12241" t="s">
        <v>20320</v>
      </c>
      <c r="D12241" t="s">
        <v>44321</v>
      </c>
      <c r="E12241">
        <v>424020</v>
      </c>
      <c r="F12241" t="s">
        <v>1</v>
      </c>
      <c r="G12241" t="s">
        <v>2</v>
      </c>
      <c r="H12241" t="s">
        <v>44322</v>
      </c>
      <c r="J12241" t="s">
        <v>27350</v>
      </c>
      <c r="M12241" t="s">
        <v>27351</v>
      </c>
      <c r="P12241" t="s">
        <v>330</v>
      </c>
      <c r="Q12241" t="s">
        <v>28550</v>
      </c>
      <c r="Y12241" t="s">
        <v>44323</v>
      </c>
    </row>
    <row r="12242" spans="1:25" x14ac:dyDescent="0.25">
      <c r="A12242" t="str">
        <f>"181964709257"</f>
        <v>181964709257</v>
      </c>
      <c r="B12242" t="s">
        <v>930</v>
      </c>
      <c r="C12242" t="s">
        <v>9679</v>
      </c>
      <c r="D12242" t="s">
        <v>44324</v>
      </c>
      <c r="F12242" t="s">
        <v>1</v>
      </c>
      <c r="G12242" t="s">
        <v>2</v>
      </c>
      <c r="H12242" t="s">
        <v>44325</v>
      </c>
      <c r="J12242" t="s">
        <v>15965</v>
      </c>
      <c r="P12242" t="s">
        <v>3814</v>
      </c>
      <c r="Y12242" t="s">
        <v>44326</v>
      </c>
    </row>
    <row r="12243" spans="1:25" x14ac:dyDescent="0.25">
      <c r="A12243" t="str">
        <f>"181996248778"</f>
        <v>181996248778</v>
      </c>
      <c r="B12243" t="s">
        <v>530</v>
      </c>
      <c r="C12243" t="s">
        <v>23950</v>
      </c>
      <c r="D12243" t="s">
        <v>23950</v>
      </c>
      <c r="F12243" t="s">
        <v>1</v>
      </c>
      <c r="G12243" t="s">
        <v>2</v>
      </c>
      <c r="H12243" t="s">
        <v>871</v>
      </c>
      <c r="Y12243" t="s">
        <v>44327</v>
      </c>
    </row>
    <row r="12244" spans="1:25" x14ac:dyDescent="0.25">
      <c r="A12244" t="str">
        <f>"182000118385"</f>
        <v>182000118385</v>
      </c>
      <c r="B12244" t="s">
        <v>640</v>
      </c>
      <c r="C12244" t="s">
        <v>663</v>
      </c>
      <c r="D12244" t="s">
        <v>44328</v>
      </c>
      <c r="E12244">
        <v>424020</v>
      </c>
      <c r="F12244" t="s">
        <v>1</v>
      </c>
      <c r="G12244" t="s">
        <v>2</v>
      </c>
      <c r="H12244" t="s">
        <v>1837</v>
      </c>
      <c r="I12244" t="s">
        <v>44329</v>
      </c>
      <c r="P12244" t="s">
        <v>330</v>
      </c>
      <c r="Y12244" t="s">
        <v>3999</v>
      </c>
    </row>
    <row r="12245" spans="1:25" x14ac:dyDescent="0.25">
      <c r="A12245" t="str">
        <f>"182015192122"</f>
        <v>182015192122</v>
      </c>
      <c r="B12245" t="s">
        <v>1729</v>
      </c>
      <c r="C12245" t="s">
        <v>1730</v>
      </c>
      <c r="D12245" t="s">
        <v>37257</v>
      </c>
      <c r="E12245">
        <v>424030</v>
      </c>
      <c r="F12245" t="s">
        <v>1</v>
      </c>
      <c r="G12245" t="s">
        <v>2</v>
      </c>
      <c r="H12245" t="s">
        <v>440</v>
      </c>
      <c r="I12245" t="s">
        <v>44330</v>
      </c>
      <c r="L12245" t="s">
        <v>44331</v>
      </c>
      <c r="M12245" t="s">
        <v>44332</v>
      </c>
      <c r="P12245" t="s">
        <v>2839</v>
      </c>
      <c r="Y12245" t="s">
        <v>44333</v>
      </c>
    </row>
    <row r="12246" spans="1:25" x14ac:dyDescent="0.25">
      <c r="A12246" t="str">
        <f>"182025817527"</f>
        <v>182025817527</v>
      </c>
      <c r="B12246" t="s">
        <v>18</v>
      </c>
      <c r="C12246" t="s">
        <v>44334</v>
      </c>
      <c r="D12246" t="s">
        <v>6108</v>
      </c>
      <c r="E12246">
        <v>424004</v>
      </c>
      <c r="F12246" t="s">
        <v>1</v>
      </c>
      <c r="G12246" t="s">
        <v>2</v>
      </c>
      <c r="H12246" t="s">
        <v>4844</v>
      </c>
      <c r="Y12246" t="s">
        <v>21056</v>
      </c>
    </row>
    <row r="12247" spans="1:25" x14ac:dyDescent="0.25">
      <c r="A12247" t="str">
        <f>"182037605994"</f>
        <v>182037605994</v>
      </c>
      <c r="B12247" t="s">
        <v>1343</v>
      </c>
      <c r="C12247" t="s">
        <v>13544</v>
      </c>
      <c r="D12247" t="s">
        <v>44335</v>
      </c>
      <c r="E12247">
        <v>424006</v>
      </c>
      <c r="F12247" t="s">
        <v>1</v>
      </c>
      <c r="G12247" t="s">
        <v>2</v>
      </c>
      <c r="H12247" t="s">
        <v>15013</v>
      </c>
      <c r="Y12247" t="s">
        <v>44336</v>
      </c>
    </row>
    <row r="12248" spans="1:25" x14ac:dyDescent="0.25">
      <c r="A12248" t="str">
        <f>"182062339101"</f>
        <v>182062339101</v>
      </c>
      <c r="B12248" t="s">
        <v>96</v>
      </c>
      <c r="C12248" t="s">
        <v>695</v>
      </c>
      <c r="D12248" t="s">
        <v>44337</v>
      </c>
      <c r="E12248">
        <v>424007</v>
      </c>
      <c r="F12248" t="s">
        <v>1</v>
      </c>
      <c r="G12248" t="s">
        <v>2</v>
      </c>
      <c r="H12248" t="s">
        <v>499</v>
      </c>
      <c r="J12248" t="s">
        <v>44338</v>
      </c>
      <c r="P12248" t="s">
        <v>9</v>
      </c>
      <c r="Y12248" t="s">
        <v>44339</v>
      </c>
    </row>
    <row r="12249" spans="1:25" x14ac:dyDescent="0.25">
      <c r="A12249" t="str">
        <f>"182082369997"</f>
        <v>182082369997</v>
      </c>
      <c r="B12249" t="s">
        <v>482</v>
      </c>
      <c r="C12249" t="s">
        <v>483</v>
      </c>
      <c r="D12249" t="s">
        <v>44340</v>
      </c>
      <c r="E12249">
        <v>424036</v>
      </c>
      <c r="F12249" t="s">
        <v>1</v>
      </c>
      <c r="G12249" t="s">
        <v>2</v>
      </c>
      <c r="H12249" t="s">
        <v>44341</v>
      </c>
      <c r="J12249" t="s">
        <v>44342</v>
      </c>
      <c r="L12249" t="s">
        <v>44343</v>
      </c>
      <c r="M12249" t="s">
        <v>44344</v>
      </c>
      <c r="P12249" t="s">
        <v>44345</v>
      </c>
      <c r="R12249" t="s">
        <v>44346</v>
      </c>
      <c r="Y12249" t="s">
        <v>44347</v>
      </c>
    </row>
    <row r="12250" spans="1:25" x14ac:dyDescent="0.25">
      <c r="A12250" t="str">
        <f>"182082938165"</f>
        <v>182082938165</v>
      </c>
      <c r="B12250" t="s">
        <v>1053</v>
      </c>
      <c r="C12250" t="s">
        <v>11751</v>
      </c>
      <c r="D12250" t="s">
        <v>44348</v>
      </c>
      <c r="E12250">
        <v>424016</v>
      </c>
      <c r="F12250" t="s">
        <v>1</v>
      </c>
      <c r="G12250" t="s">
        <v>2</v>
      </c>
      <c r="H12250" t="s">
        <v>673</v>
      </c>
      <c r="P12250" t="s">
        <v>44349</v>
      </c>
      <c r="Y12250" t="s">
        <v>1072</v>
      </c>
    </row>
    <row r="12251" spans="1:25" x14ac:dyDescent="0.25">
      <c r="A12251" t="str">
        <f>"182095947190"</f>
        <v>182095947190</v>
      </c>
      <c r="B12251" t="s">
        <v>430</v>
      </c>
      <c r="C12251" t="s">
        <v>16178</v>
      </c>
      <c r="D12251" t="s">
        <v>44350</v>
      </c>
      <c r="E12251">
        <v>424005</v>
      </c>
      <c r="F12251" t="s">
        <v>1</v>
      </c>
      <c r="G12251" t="s">
        <v>2</v>
      </c>
      <c r="H12251" t="s">
        <v>44351</v>
      </c>
      <c r="Y12251" t="s">
        <v>7482</v>
      </c>
    </row>
    <row r="12252" spans="1:25" x14ac:dyDescent="0.25">
      <c r="A12252" t="str">
        <f>"182097889094"</f>
        <v>182097889094</v>
      </c>
      <c r="B12252" t="s">
        <v>96</v>
      </c>
      <c r="C12252" t="s">
        <v>8479</v>
      </c>
      <c r="D12252" t="s">
        <v>44352</v>
      </c>
      <c r="E12252">
        <v>424028</v>
      </c>
      <c r="F12252" t="s">
        <v>1</v>
      </c>
      <c r="G12252" t="s">
        <v>2</v>
      </c>
      <c r="H12252" t="s">
        <v>1969</v>
      </c>
      <c r="Y12252" t="s">
        <v>44353</v>
      </c>
    </row>
    <row r="12253" spans="1:25" x14ac:dyDescent="0.25">
      <c r="A12253" t="str">
        <f>"182119514178"</f>
        <v>182119514178</v>
      </c>
      <c r="B12253" t="s">
        <v>3652</v>
      </c>
      <c r="C12253" t="s">
        <v>44358</v>
      </c>
      <c r="D12253" t="s">
        <v>44354</v>
      </c>
      <c r="F12253" t="s">
        <v>1</v>
      </c>
      <c r="G12253" t="s">
        <v>2</v>
      </c>
      <c r="H12253" t="s">
        <v>28259</v>
      </c>
      <c r="I12253" t="s">
        <v>44355</v>
      </c>
      <c r="L12253" t="s">
        <v>44356</v>
      </c>
      <c r="M12253" t="s">
        <v>44357</v>
      </c>
      <c r="P12253" t="s">
        <v>20</v>
      </c>
      <c r="Y12253" t="s">
        <v>44359</v>
      </c>
    </row>
    <row r="12254" spans="1:25" x14ac:dyDescent="0.25">
      <c r="A12254" t="str">
        <f>"182157428944"</f>
        <v>182157428944</v>
      </c>
      <c r="B12254" t="s">
        <v>160</v>
      </c>
      <c r="C12254" t="s">
        <v>15654</v>
      </c>
      <c r="D12254" t="s">
        <v>44360</v>
      </c>
      <c r="E12254">
        <v>424019</v>
      </c>
      <c r="F12254" t="s">
        <v>1</v>
      </c>
      <c r="G12254" t="s">
        <v>2</v>
      </c>
      <c r="H12254" t="s">
        <v>19290</v>
      </c>
      <c r="Y12254" t="s">
        <v>19298</v>
      </c>
    </row>
    <row r="12255" spans="1:25" x14ac:dyDescent="0.25">
      <c r="A12255" t="str">
        <f>"182291835693"</f>
        <v>182291835693</v>
      </c>
      <c r="B12255" t="s">
        <v>1053</v>
      </c>
      <c r="C12255" t="s">
        <v>1927</v>
      </c>
      <c r="D12255" t="s">
        <v>16050</v>
      </c>
      <c r="E12255">
        <v>424038</v>
      </c>
      <c r="F12255" t="s">
        <v>1</v>
      </c>
      <c r="G12255" t="s">
        <v>2</v>
      </c>
      <c r="H12255" t="s">
        <v>13118</v>
      </c>
      <c r="I12255" t="s">
        <v>44361</v>
      </c>
      <c r="P12255" t="s">
        <v>280</v>
      </c>
      <c r="Y12255" t="s">
        <v>15049</v>
      </c>
    </row>
    <row r="12256" spans="1:25" x14ac:dyDescent="0.25">
      <c r="A12256" t="str">
        <f>"182349781201"</f>
        <v>182349781201</v>
      </c>
      <c r="B12256" t="s">
        <v>2104</v>
      </c>
      <c r="C12256" t="s">
        <v>28710</v>
      </c>
      <c r="D12256" t="s">
        <v>44362</v>
      </c>
      <c r="E12256">
        <v>424007</v>
      </c>
      <c r="F12256" t="s">
        <v>1</v>
      </c>
      <c r="G12256" t="s">
        <v>2</v>
      </c>
      <c r="H12256" t="s">
        <v>9471</v>
      </c>
      <c r="I12256" t="s">
        <v>44363</v>
      </c>
      <c r="L12256" t="s">
        <v>44364</v>
      </c>
      <c r="M12256" t="s">
        <v>44365</v>
      </c>
      <c r="Y12256" t="s">
        <v>9478</v>
      </c>
    </row>
    <row r="12257" spans="1:25" x14ac:dyDescent="0.25">
      <c r="A12257" t="str">
        <f>"182378070848"</f>
        <v>182378070848</v>
      </c>
      <c r="B12257" t="s">
        <v>738</v>
      </c>
      <c r="C12257" t="s">
        <v>739</v>
      </c>
      <c r="D12257" t="s">
        <v>44366</v>
      </c>
      <c r="E12257">
        <v>424918</v>
      </c>
      <c r="F12257" t="s">
        <v>1</v>
      </c>
      <c r="G12257" t="s">
        <v>2</v>
      </c>
      <c r="H12257" t="s">
        <v>629</v>
      </c>
      <c r="P12257" t="s">
        <v>630</v>
      </c>
      <c r="Y12257" t="s">
        <v>44367</v>
      </c>
    </row>
    <row r="12258" spans="1:25" x14ac:dyDescent="0.25">
      <c r="A12258" t="str">
        <f>"182412796409"</f>
        <v>182412796409</v>
      </c>
      <c r="B12258" t="s">
        <v>1078</v>
      </c>
      <c r="C12258" t="s">
        <v>40474</v>
      </c>
      <c r="D12258" t="s">
        <v>44368</v>
      </c>
      <c r="E12258">
        <v>424039</v>
      </c>
      <c r="F12258" t="s">
        <v>1</v>
      </c>
      <c r="G12258" t="s">
        <v>2</v>
      </c>
      <c r="H12258" t="s">
        <v>26900</v>
      </c>
      <c r="J12258" t="s">
        <v>44369</v>
      </c>
      <c r="P12258" t="s">
        <v>1027</v>
      </c>
      <c r="Q12258" t="s">
        <v>44370</v>
      </c>
      <c r="V12258" t="s">
        <v>44371</v>
      </c>
      <c r="Y12258" t="s">
        <v>44372</v>
      </c>
    </row>
    <row r="12259" spans="1:25" x14ac:dyDescent="0.25">
      <c r="A12259" t="str">
        <f>"182419571660"</f>
        <v>182419571660</v>
      </c>
      <c r="B12259" t="s">
        <v>188</v>
      </c>
      <c r="C12259" t="s">
        <v>24568</v>
      </c>
      <c r="D12259" t="s">
        <v>24568</v>
      </c>
      <c r="E12259">
        <v>424002</v>
      </c>
      <c r="F12259" t="s">
        <v>1</v>
      </c>
      <c r="G12259" t="s">
        <v>2</v>
      </c>
      <c r="H12259" t="s">
        <v>3068</v>
      </c>
      <c r="Y12259" t="s">
        <v>44373</v>
      </c>
    </row>
    <row r="12260" spans="1:25" x14ac:dyDescent="0.25">
      <c r="A12260" t="str">
        <f>"182430636745"</f>
        <v>182430636745</v>
      </c>
      <c r="B12260" t="s">
        <v>25</v>
      </c>
      <c r="C12260" t="s">
        <v>24938</v>
      </c>
      <c r="D12260" t="s">
        <v>44374</v>
      </c>
      <c r="E12260">
        <v>424019</v>
      </c>
      <c r="F12260" t="s">
        <v>1</v>
      </c>
      <c r="G12260" t="s">
        <v>2</v>
      </c>
      <c r="H12260" t="s">
        <v>44284</v>
      </c>
      <c r="I12260" t="s">
        <v>24408</v>
      </c>
      <c r="L12260" t="s">
        <v>42434</v>
      </c>
      <c r="M12260" t="s">
        <v>44375</v>
      </c>
      <c r="Y12260" t="s">
        <v>44376</v>
      </c>
    </row>
    <row r="12261" spans="1:25" x14ac:dyDescent="0.25">
      <c r="A12261" t="str">
        <f>"182459763313"</f>
        <v>182459763313</v>
      </c>
      <c r="B12261" t="s">
        <v>1352</v>
      </c>
      <c r="C12261" t="s">
        <v>1353</v>
      </c>
      <c r="D12261" t="s">
        <v>44377</v>
      </c>
      <c r="E12261">
        <v>424002</v>
      </c>
      <c r="F12261" t="s">
        <v>1</v>
      </c>
      <c r="G12261" t="s">
        <v>2</v>
      </c>
      <c r="H12261" t="s">
        <v>744</v>
      </c>
      <c r="J12261" t="s">
        <v>44378</v>
      </c>
      <c r="P12261" t="s">
        <v>748</v>
      </c>
      <c r="Y12261" t="s">
        <v>749</v>
      </c>
    </row>
    <row r="12262" spans="1:25" x14ac:dyDescent="0.25">
      <c r="A12262" t="str">
        <f>"182472276460"</f>
        <v>182472276460</v>
      </c>
      <c r="B12262" t="s">
        <v>96</v>
      </c>
      <c r="C12262" t="s">
        <v>311</v>
      </c>
      <c r="D12262" t="s">
        <v>44379</v>
      </c>
      <c r="E12262">
        <v>424918</v>
      </c>
      <c r="F12262" t="s">
        <v>1</v>
      </c>
      <c r="G12262" t="s">
        <v>2</v>
      </c>
      <c r="H12262" t="s">
        <v>629</v>
      </c>
      <c r="P12262" t="s">
        <v>630</v>
      </c>
      <c r="Y12262" t="s">
        <v>44380</v>
      </c>
    </row>
    <row r="12263" spans="1:25" x14ac:dyDescent="0.25">
      <c r="A12263" t="str">
        <f>"182506616623"</f>
        <v>182506616623</v>
      </c>
      <c r="B12263" t="s">
        <v>797</v>
      </c>
      <c r="C12263" t="s">
        <v>5123</v>
      </c>
      <c r="D12263" t="s">
        <v>25006</v>
      </c>
      <c r="E12263">
        <v>424039</v>
      </c>
      <c r="F12263" t="s">
        <v>1</v>
      </c>
      <c r="G12263" t="s">
        <v>2</v>
      </c>
      <c r="H12263" t="s">
        <v>44381</v>
      </c>
      <c r="J12263" t="s">
        <v>44382</v>
      </c>
      <c r="P12263" t="s">
        <v>133</v>
      </c>
      <c r="Y12263" t="s">
        <v>5196</v>
      </c>
    </row>
    <row r="12264" spans="1:25" x14ac:dyDescent="0.25">
      <c r="A12264" t="str">
        <f>"182513991369"</f>
        <v>182513991369</v>
      </c>
      <c r="B12264" t="s">
        <v>352</v>
      </c>
      <c r="C12264" t="s">
        <v>22479</v>
      </c>
      <c r="D12264" t="s">
        <v>7960</v>
      </c>
      <c r="E12264">
        <v>424000</v>
      </c>
      <c r="F12264" t="s">
        <v>1</v>
      </c>
      <c r="G12264" t="s">
        <v>2</v>
      </c>
      <c r="H12264" t="s">
        <v>2193</v>
      </c>
      <c r="I12264" t="s">
        <v>44383</v>
      </c>
      <c r="L12264" t="s">
        <v>44384</v>
      </c>
      <c r="M12264" t="s">
        <v>44385</v>
      </c>
      <c r="P12264" t="s">
        <v>27</v>
      </c>
      <c r="Q12264" t="s">
        <v>44386</v>
      </c>
      <c r="U12264" t="s">
        <v>44387</v>
      </c>
      <c r="V12264" t="s">
        <v>44388</v>
      </c>
      <c r="Y12264" t="s">
        <v>2196</v>
      </c>
    </row>
    <row r="12265" spans="1:25" x14ac:dyDescent="0.25">
      <c r="A12265" t="str">
        <f>"182534739130"</f>
        <v>182534739130</v>
      </c>
      <c r="B12265" t="s">
        <v>738</v>
      </c>
      <c r="C12265" t="s">
        <v>739</v>
      </c>
      <c r="D12265" t="s">
        <v>44389</v>
      </c>
      <c r="F12265" t="s">
        <v>1</v>
      </c>
      <c r="G12265" t="s">
        <v>2</v>
      </c>
      <c r="H12265" t="s">
        <v>31528</v>
      </c>
      <c r="Y12265" t="s">
        <v>33961</v>
      </c>
    </row>
    <row r="12266" spans="1:25" x14ac:dyDescent="0.25">
      <c r="A12266" t="str">
        <f>"182541943618"</f>
        <v>182541943618</v>
      </c>
      <c r="B12266" t="s">
        <v>12698</v>
      </c>
      <c r="C12266" t="s">
        <v>44394</v>
      </c>
      <c r="D12266" t="s">
        <v>44390</v>
      </c>
      <c r="E12266">
        <v>424032</v>
      </c>
      <c r="F12266" t="s">
        <v>1</v>
      </c>
      <c r="G12266" t="s">
        <v>2</v>
      </c>
      <c r="H12266" t="s">
        <v>3508</v>
      </c>
      <c r="I12266" t="s">
        <v>44391</v>
      </c>
      <c r="L12266" t="s">
        <v>44392</v>
      </c>
      <c r="M12266" t="s">
        <v>44393</v>
      </c>
      <c r="P12266" t="s">
        <v>2951</v>
      </c>
      <c r="Q12266" t="s">
        <v>44395</v>
      </c>
      <c r="V12266" t="s">
        <v>44396</v>
      </c>
      <c r="Y12266" t="s">
        <v>3514</v>
      </c>
    </row>
    <row r="12267" spans="1:25" x14ac:dyDescent="0.25">
      <c r="A12267" t="str">
        <f>"182573545418"</f>
        <v>182573545418</v>
      </c>
      <c r="B12267" t="s">
        <v>574</v>
      </c>
      <c r="C12267" t="s">
        <v>44398</v>
      </c>
      <c r="D12267" t="s">
        <v>44397</v>
      </c>
      <c r="E12267">
        <v>424000</v>
      </c>
      <c r="F12267" t="s">
        <v>1</v>
      </c>
      <c r="G12267" t="s">
        <v>2</v>
      </c>
      <c r="H12267" t="s">
        <v>265</v>
      </c>
      <c r="I12267" t="s">
        <v>34365</v>
      </c>
      <c r="P12267" t="s">
        <v>133</v>
      </c>
      <c r="Y12267" t="s">
        <v>11205</v>
      </c>
    </row>
    <row r="12268" spans="1:25" x14ac:dyDescent="0.25">
      <c r="A12268" t="str">
        <f>"182581212857"</f>
        <v>182581212857</v>
      </c>
      <c r="B12268" t="s">
        <v>96</v>
      </c>
      <c r="C12268" t="s">
        <v>659</v>
      </c>
      <c r="D12268" t="s">
        <v>44399</v>
      </c>
      <c r="E12268">
        <v>424000</v>
      </c>
      <c r="F12268" t="s">
        <v>1</v>
      </c>
      <c r="G12268" t="s">
        <v>2</v>
      </c>
      <c r="H12268" t="s">
        <v>10803</v>
      </c>
      <c r="Y12268" t="s">
        <v>10805</v>
      </c>
    </row>
    <row r="12269" spans="1:25" x14ac:dyDescent="0.25">
      <c r="A12269" t="str">
        <f>"182581254303"</f>
        <v>182581254303</v>
      </c>
      <c r="B12269" t="s">
        <v>123</v>
      </c>
      <c r="C12269" t="s">
        <v>731</v>
      </c>
      <c r="D12269" t="s">
        <v>44400</v>
      </c>
      <c r="E12269">
        <v>424038</v>
      </c>
      <c r="F12269" t="s">
        <v>1</v>
      </c>
      <c r="G12269" t="s">
        <v>2</v>
      </c>
      <c r="H12269" t="s">
        <v>44401</v>
      </c>
      <c r="I12269" t="s">
        <v>44402</v>
      </c>
      <c r="L12269" t="s">
        <v>3001</v>
      </c>
      <c r="M12269" t="s">
        <v>3002</v>
      </c>
      <c r="P12269" t="s">
        <v>425</v>
      </c>
      <c r="Y12269" t="s">
        <v>44403</v>
      </c>
    </row>
    <row r="12270" spans="1:25" x14ac:dyDescent="0.25">
      <c r="A12270" t="str">
        <f>"182623206881"</f>
        <v>182623206881</v>
      </c>
      <c r="B12270" t="s">
        <v>188</v>
      </c>
      <c r="C12270" t="s">
        <v>23982</v>
      </c>
      <c r="D12270" t="s">
        <v>23982</v>
      </c>
      <c r="F12270" t="s">
        <v>1</v>
      </c>
      <c r="G12270" t="s">
        <v>2</v>
      </c>
      <c r="H12270" t="s">
        <v>31690</v>
      </c>
      <c r="Y12270" t="s">
        <v>44404</v>
      </c>
    </row>
    <row r="12271" spans="1:25" x14ac:dyDescent="0.25">
      <c r="A12271" t="str">
        <f>"182625582076"</f>
        <v>182625582076</v>
      </c>
      <c r="B12271" t="s">
        <v>430</v>
      </c>
      <c r="C12271" t="s">
        <v>44406</v>
      </c>
      <c r="D12271" t="s">
        <v>44405</v>
      </c>
      <c r="E12271">
        <v>424019</v>
      </c>
      <c r="F12271" t="s">
        <v>1</v>
      </c>
      <c r="G12271" t="s">
        <v>2</v>
      </c>
      <c r="H12271" t="s">
        <v>23613</v>
      </c>
      <c r="Y12271" t="s">
        <v>44407</v>
      </c>
    </row>
    <row r="12272" spans="1:25" x14ac:dyDescent="0.25">
      <c r="A12272" t="str">
        <f>"182636728552"</f>
        <v>182636728552</v>
      </c>
      <c r="B12272" t="s">
        <v>1053</v>
      </c>
      <c r="C12272" t="s">
        <v>1927</v>
      </c>
      <c r="D12272" t="s">
        <v>44408</v>
      </c>
      <c r="E12272">
        <v>424006</v>
      </c>
      <c r="F12272" t="s">
        <v>1</v>
      </c>
      <c r="G12272" t="s">
        <v>2</v>
      </c>
      <c r="H12272" t="s">
        <v>14173</v>
      </c>
      <c r="J12272" t="s">
        <v>44409</v>
      </c>
      <c r="P12272" t="s">
        <v>330</v>
      </c>
      <c r="Y12272" t="s">
        <v>19686</v>
      </c>
    </row>
    <row r="12273" spans="1:25" x14ac:dyDescent="0.25">
      <c r="A12273" t="str">
        <f>"182676217815"</f>
        <v>182676217815</v>
      </c>
      <c r="B12273" t="s">
        <v>96</v>
      </c>
      <c r="C12273" t="s">
        <v>893</v>
      </c>
      <c r="D12273" t="s">
        <v>3871</v>
      </c>
      <c r="E12273">
        <v>424918</v>
      </c>
      <c r="F12273" t="s">
        <v>1</v>
      </c>
      <c r="G12273" t="s">
        <v>2</v>
      </c>
      <c r="H12273" t="s">
        <v>629</v>
      </c>
      <c r="P12273" t="s">
        <v>630</v>
      </c>
      <c r="Y12273" t="s">
        <v>631</v>
      </c>
    </row>
    <row r="12274" spans="1:25" x14ac:dyDescent="0.25">
      <c r="A12274" t="str">
        <f>"182691440546"</f>
        <v>182691440546</v>
      </c>
      <c r="B12274" t="s">
        <v>930</v>
      </c>
      <c r="C12274" t="s">
        <v>1096</v>
      </c>
      <c r="D12274" t="s">
        <v>44410</v>
      </c>
      <c r="E12274">
        <v>424004</v>
      </c>
      <c r="F12274" t="s">
        <v>1</v>
      </c>
      <c r="G12274" t="s">
        <v>2</v>
      </c>
      <c r="H12274" t="s">
        <v>1169</v>
      </c>
      <c r="Y12274" t="s">
        <v>44411</v>
      </c>
    </row>
    <row r="12275" spans="1:25" x14ac:dyDescent="0.25">
      <c r="A12275" t="str">
        <f>"182781192191"</f>
        <v>182781192191</v>
      </c>
      <c r="B12275" t="s">
        <v>530</v>
      </c>
      <c r="C12275" t="s">
        <v>23950</v>
      </c>
      <c r="D12275" t="s">
        <v>23950</v>
      </c>
      <c r="F12275" t="s">
        <v>1</v>
      </c>
      <c r="G12275" t="s">
        <v>2</v>
      </c>
      <c r="H12275" t="s">
        <v>28327</v>
      </c>
      <c r="Y12275" t="s">
        <v>44412</v>
      </c>
    </row>
    <row r="12276" spans="1:25" x14ac:dyDescent="0.25">
      <c r="A12276" t="str">
        <f>"182808873281"</f>
        <v>182808873281</v>
      </c>
      <c r="B12276" t="s">
        <v>233</v>
      </c>
      <c r="C12276" t="s">
        <v>44416</v>
      </c>
      <c r="D12276" t="s">
        <v>44413</v>
      </c>
      <c r="E12276">
        <v>424007</v>
      </c>
      <c r="F12276" t="s">
        <v>1</v>
      </c>
      <c r="G12276" t="s">
        <v>2</v>
      </c>
      <c r="H12276" t="s">
        <v>1242</v>
      </c>
      <c r="J12276" t="s">
        <v>44414</v>
      </c>
      <c r="L12276" t="s">
        <v>44415</v>
      </c>
      <c r="P12276" t="s">
        <v>20</v>
      </c>
      <c r="Y12276" t="s">
        <v>1754</v>
      </c>
    </row>
    <row r="12277" spans="1:25" x14ac:dyDescent="0.25">
      <c r="A12277" t="str">
        <f>"182816382277"</f>
        <v>182816382277</v>
      </c>
      <c r="B12277" t="s">
        <v>1053</v>
      </c>
      <c r="C12277" t="s">
        <v>44419</v>
      </c>
      <c r="D12277" t="s">
        <v>39989</v>
      </c>
      <c r="E12277">
        <v>424003</v>
      </c>
      <c r="F12277" t="s">
        <v>1</v>
      </c>
      <c r="G12277" t="s">
        <v>2</v>
      </c>
      <c r="H12277" t="s">
        <v>28200</v>
      </c>
      <c r="I12277" t="s">
        <v>39990</v>
      </c>
      <c r="J12277" t="s">
        <v>44417</v>
      </c>
      <c r="L12277" t="s">
        <v>44418</v>
      </c>
      <c r="P12277" t="s">
        <v>2738</v>
      </c>
      <c r="Q12277" t="s">
        <v>44420</v>
      </c>
      <c r="Y12277" t="s">
        <v>28206</v>
      </c>
    </row>
    <row r="12278" spans="1:25" x14ac:dyDescent="0.25">
      <c r="A12278" t="str">
        <f>"182836203091"</f>
        <v>182836203091</v>
      </c>
      <c r="B12278" t="s">
        <v>117</v>
      </c>
      <c r="C12278" t="s">
        <v>6850</v>
      </c>
      <c r="D12278" t="s">
        <v>6850</v>
      </c>
      <c r="F12278" t="s">
        <v>1</v>
      </c>
      <c r="G12278" t="s">
        <v>2</v>
      </c>
      <c r="H12278" t="s">
        <v>27612</v>
      </c>
      <c r="Y12278" t="s">
        <v>44421</v>
      </c>
    </row>
    <row r="12279" spans="1:25" x14ac:dyDescent="0.25">
      <c r="A12279" t="str">
        <f>"182878415401"</f>
        <v>182878415401</v>
      </c>
      <c r="B12279" t="s">
        <v>1611</v>
      </c>
      <c r="C12279" t="s">
        <v>3218</v>
      </c>
      <c r="D12279" t="s">
        <v>44422</v>
      </c>
      <c r="E12279">
        <v>424037</v>
      </c>
      <c r="F12279" t="s">
        <v>1</v>
      </c>
      <c r="G12279" t="s">
        <v>2</v>
      </c>
      <c r="H12279" t="s">
        <v>44423</v>
      </c>
      <c r="I12279" t="s">
        <v>44424</v>
      </c>
      <c r="L12279" t="s">
        <v>3217</v>
      </c>
      <c r="P12279" t="s">
        <v>20</v>
      </c>
      <c r="Y12279" t="s">
        <v>4724</v>
      </c>
    </row>
    <row r="12280" spans="1:25" x14ac:dyDescent="0.25">
      <c r="A12280" t="str">
        <f>"182897873367"</f>
        <v>182897873367</v>
      </c>
      <c r="B12280" t="s">
        <v>123</v>
      </c>
      <c r="C12280" t="s">
        <v>424</v>
      </c>
      <c r="D12280" t="s">
        <v>32561</v>
      </c>
      <c r="E12280">
        <v>424007</v>
      </c>
      <c r="F12280" t="s">
        <v>1</v>
      </c>
      <c r="G12280" t="s">
        <v>2</v>
      </c>
      <c r="H12280" t="s">
        <v>30559</v>
      </c>
      <c r="I12280" t="s">
        <v>44425</v>
      </c>
      <c r="J12280" t="s">
        <v>44426</v>
      </c>
      <c r="P12280" t="s">
        <v>4998</v>
      </c>
      <c r="Q12280" t="s">
        <v>44427</v>
      </c>
      <c r="Y12280" t="s">
        <v>32195</v>
      </c>
    </row>
    <row r="12281" spans="1:25" x14ac:dyDescent="0.25">
      <c r="A12281" t="str">
        <f>"182902045047"</f>
        <v>182902045047</v>
      </c>
      <c r="B12281" t="s">
        <v>290</v>
      </c>
      <c r="C12281" t="s">
        <v>1641</v>
      </c>
      <c r="D12281" t="s">
        <v>24570</v>
      </c>
      <c r="F12281" t="s">
        <v>1</v>
      </c>
      <c r="G12281" t="s">
        <v>2</v>
      </c>
      <c r="H12281" t="s">
        <v>44428</v>
      </c>
      <c r="J12281" t="s">
        <v>24572</v>
      </c>
      <c r="P12281" t="s">
        <v>1027</v>
      </c>
      <c r="Y12281" t="s">
        <v>44429</v>
      </c>
    </row>
    <row r="12282" spans="1:25" x14ac:dyDescent="0.25">
      <c r="A12282" t="str">
        <f>"182905766995"</f>
        <v>182905766995</v>
      </c>
      <c r="B12282" t="s">
        <v>25</v>
      </c>
      <c r="C12282" t="s">
        <v>24938</v>
      </c>
      <c r="D12282" t="s">
        <v>44430</v>
      </c>
      <c r="F12282" t="s">
        <v>1</v>
      </c>
      <c r="G12282" t="s">
        <v>2</v>
      </c>
      <c r="H12282" t="s">
        <v>44431</v>
      </c>
      <c r="I12282" t="s">
        <v>24696</v>
      </c>
      <c r="L12282" t="s">
        <v>24697</v>
      </c>
      <c r="M12282" t="s">
        <v>28262</v>
      </c>
      <c r="Y12282" t="s">
        <v>44432</v>
      </c>
    </row>
    <row r="12283" spans="1:25" x14ac:dyDescent="0.25">
      <c r="A12283" t="str">
        <f>"182932668038"</f>
        <v>182932668038</v>
      </c>
      <c r="B12283" t="s">
        <v>352</v>
      </c>
      <c r="C12283" t="s">
        <v>353</v>
      </c>
      <c r="D12283" t="s">
        <v>44433</v>
      </c>
      <c r="E12283">
        <v>424037</v>
      </c>
      <c r="F12283" t="s">
        <v>1</v>
      </c>
      <c r="G12283" t="s">
        <v>2</v>
      </c>
      <c r="H12283" t="s">
        <v>1116</v>
      </c>
      <c r="I12283" t="s">
        <v>44434</v>
      </c>
      <c r="P12283" t="s">
        <v>390</v>
      </c>
      <c r="Y12283" t="s">
        <v>11769</v>
      </c>
    </row>
    <row r="12284" spans="1:25" x14ac:dyDescent="0.25">
      <c r="A12284" t="str">
        <f>"183006153626"</f>
        <v>183006153626</v>
      </c>
      <c r="B12284" t="s">
        <v>96</v>
      </c>
      <c r="C12284" t="s">
        <v>11891</v>
      </c>
      <c r="D12284" t="s">
        <v>44435</v>
      </c>
      <c r="E12284">
        <v>424918</v>
      </c>
      <c r="F12284" t="s">
        <v>1</v>
      </c>
      <c r="G12284" t="s">
        <v>2</v>
      </c>
      <c r="H12284" t="s">
        <v>629</v>
      </c>
      <c r="P12284" t="s">
        <v>630</v>
      </c>
      <c r="Y12284" t="s">
        <v>44436</v>
      </c>
    </row>
    <row r="12285" spans="1:25" x14ac:dyDescent="0.25">
      <c r="A12285" t="str">
        <f>"183019863173"</f>
        <v>183019863173</v>
      </c>
      <c r="B12285" t="s">
        <v>151</v>
      </c>
      <c r="C12285" t="s">
        <v>3894</v>
      </c>
      <c r="D12285" t="s">
        <v>44437</v>
      </c>
      <c r="E12285">
        <v>424004</v>
      </c>
      <c r="F12285" t="s">
        <v>1</v>
      </c>
      <c r="G12285" t="s">
        <v>2</v>
      </c>
      <c r="H12285" t="s">
        <v>351</v>
      </c>
      <c r="I12285" t="s">
        <v>44438</v>
      </c>
      <c r="P12285" t="s">
        <v>7221</v>
      </c>
      <c r="Y12285" t="s">
        <v>354</v>
      </c>
    </row>
    <row r="12286" spans="1:25" x14ac:dyDescent="0.25">
      <c r="A12286" t="str">
        <f>"183044032951"</f>
        <v>183044032951</v>
      </c>
      <c r="B12286" t="s">
        <v>482</v>
      </c>
      <c r="C12286" t="s">
        <v>6009</v>
      </c>
      <c r="D12286" t="s">
        <v>44439</v>
      </c>
      <c r="E12286">
        <v>424004</v>
      </c>
      <c r="F12286" t="s">
        <v>1</v>
      </c>
      <c r="G12286" t="s">
        <v>2</v>
      </c>
      <c r="H12286" t="s">
        <v>13630</v>
      </c>
      <c r="I12286" t="s">
        <v>13469</v>
      </c>
      <c r="L12286" t="s">
        <v>44440</v>
      </c>
      <c r="M12286" t="s">
        <v>44441</v>
      </c>
      <c r="P12286" t="s">
        <v>27</v>
      </c>
      <c r="Q12286" t="s">
        <v>44442</v>
      </c>
      <c r="Y12286" t="s">
        <v>22090</v>
      </c>
    </row>
    <row r="12287" spans="1:25" x14ac:dyDescent="0.25">
      <c r="A12287" t="str">
        <f>"183072175323"</f>
        <v>183072175323</v>
      </c>
      <c r="B12287" t="s">
        <v>1046</v>
      </c>
      <c r="C12287" t="s">
        <v>32452</v>
      </c>
      <c r="D12287" t="s">
        <v>44443</v>
      </c>
      <c r="F12287" t="s">
        <v>1</v>
      </c>
      <c r="G12287" t="s">
        <v>2</v>
      </c>
      <c r="H12287" t="s">
        <v>27403</v>
      </c>
      <c r="Y12287" t="s">
        <v>44444</v>
      </c>
    </row>
    <row r="12288" spans="1:25" x14ac:dyDescent="0.25">
      <c r="A12288" t="str">
        <f>"183108393899"</f>
        <v>183108393899</v>
      </c>
      <c r="B12288" t="s">
        <v>379</v>
      </c>
      <c r="C12288" t="s">
        <v>4852</v>
      </c>
      <c r="D12288" t="s">
        <v>44445</v>
      </c>
      <c r="E12288">
        <v>424033</v>
      </c>
      <c r="F12288" t="s">
        <v>1</v>
      </c>
      <c r="G12288" t="s">
        <v>2</v>
      </c>
      <c r="H12288" t="s">
        <v>4244</v>
      </c>
      <c r="Y12288" t="s">
        <v>44446</v>
      </c>
    </row>
    <row r="12289" spans="1:25" x14ac:dyDescent="0.25">
      <c r="A12289" t="str">
        <f>"183162012542"</f>
        <v>183162012542</v>
      </c>
      <c r="B12289" t="s">
        <v>67</v>
      </c>
      <c r="C12289" t="s">
        <v>27252</v>
      </c>
      <c r="D12289" t="s">
        <v>27251</v>
      </c>
      <c r="E12289">
        <v>424032</v>
      </c>
      <c r="F12289" t="s">
        <v>1</v>
      </c>
      <c r="G12289" t="s">
        <v>2</v>
      </c>
      <c r="H12289" t="s">
        <v>6280</v>
      </c>
      <c r="Y12289" t="s">
        <v>44447</v>
      </c>
    </row>
    <row r="12290" spans="1:25" x14ac:dyDescent="0.25">
      <c r="A12290" t="str">
        <f>"183164278507"</f>
        <v>183164278507</v>
      </c>
      <c r="B12290" t="s">
        <v>151</v>
      </c>
      <c r="C12290" t="s">
        <v>151</v>
      </c>
      <c r="D12290" t="s">
        <v>44448</v>
      </c>
      <c r="E12290">
        <v>424007</v>
      </c>
      <c r="F12290" t="s">
        <v>1</v>
      </c>
      <c r="G12290" t="s">
        <v>2</v>
      </c>
      <c r="H12290" t="s">
        <v>499</v>
      </c>
      <c r="I12290" t="s">
        <v>44449</v>
      </c>
      <c r="M12290" t="s">
        <v>44450</v>
      </c>
      <c r="P12290" t="s">
        <v>2050</v>
      </c>
      <c r="Y12290" t="s">
        <v>1598</v>
      </c>
    </row>
    <row r="12291" spans="1:25" x14ac:dyDescent="0.25">
      <c r="A12291" t="str">
        <f>"183169530463"</f>
        <v>183169530463</v>
      </c>
      <c r="B12291" t="s">
        <v>7</v>
      </c>
      <c r="C12291" t="s">
        <v>8041</v>
      </c>
      <c r="D12291" t="s">
        <v>18696</v>
      </c>
      <c r="E12291">
        <v>424000</v>
      </c>
      <c r="F12291" t="s">
        <v>1</v>
      </c>
      <c r="G12291" t="s">
        <v>2</v>
      </c>
      <c r="H12291" t="s">
        <v>837</v>
      </c>
      <c r="I12291" t="s">
        <v>44451</v>
      </c>
      <c r="J12291" t="s">
        <v>44452</v>
      </c>
      <c r="P12291" t="s">
        <v>27</v>
      </c>
      <c r="Q12291" t="s">
        <v>44453</v>
      </c>
      <c r="Y12291" t="s">
        <v>44454</v>
      </c>
    </row>
    <row r="12292" spans="1:25" x14ac:dyDescent="0.25">
      <c r="A12292" t="str">
        <f>"183195764924"</f>
        <v>183195764924</v>
      </c>
      <c r="B12292" t="s">
        <v>1152</v>
      </c>
      <c r="C12292" t="s">
        <v>1152</v>
      </c>
      <c r="D12292" t="s">
        <v>25385</v>
      </c>
      <c r="E12292">
        <v>424038</v>
      </c>
      <c r="F12292" t="s">
        <v>1</v>
      </c>
      <c r="G12292" t="s">
        <v>2</v>
      </c>
      <c r="H12292" t="s">
        <v>21507</v>
      </c>
      <c r="Y12292" t="s">
        <v>44455</v>
      </c>
    </row>
    <row r="12293" spans="1:25" x14ac:dyDescent="0.25">
      <c r="A12293" t="str">
        <f>"183234794395"</f>
        <v>183234794395</v>
      </c>
      <c r="B12293" t="s">
        <v>25</v>
      </c>
      <c r="C12293" t="s">
        <v>24938</v>
      </c>
      <c r="D12293" t="s">
        <v>44456</v>
      </c>
      <c r="E12293">
        <v>424019</v>
      </c>
      <c r="F12293" t="s">
        <v>1</v>
      </c>
      <c r="G12293" t="s">
        <v>2</v>
      </c>
      <c r="H12293" t="s">
        <v>20692</v>
      </c>
      <c r="I12293" t="s">
        <v>32376</v>
      </c>
      <c r="Y12293" t="s">
        <v>44457</v>
      </c>
    </row>
    <row r="12294" spans="1:25" x14ac:dyDescent="0.25">
      <c r="A12294" t="str">
        <f>"183236073306"</f>
        <v>183236073306</v>
      </c>
      <c r="B12294" t="s">
        <v>123</v>
      </c>
      <c r="C12294" t="s">
        <v>18438</v>
      </c>
      <c r="D12294" t="s">
        <v>44458</v>
      </c>
      <c r="E12294">
        <v>424033</v>
      </c>
      <c r="F12294" t="s">
        <v>1</v>
      </c>
      <c r="G12294" t="s">
        <v>2</v>
      </c>
      <c r="H12294" t="s">
        <v>27499</v>
      </c>
      <c r="J12294" t="s">
        <v>37660</v>
      </c>
      <c r="Q12294" t="s">
        <v>37662</v>
      </c>
      <c r="Y12294" t="s">
        <v>44459</v>
      </c>
    </row>
    <row r="12295" spans="1:25" x14ac:dyDescent="0.25">
      <c r="A12295" t="str">
        <f>"183307010819"</f>
        <v>183307010819</v>
      </c>
      <c r="B12295" t="s">
        <v>640</v>
      </c>
      <c r="C12295" t="s">
        <v>44463</v>
      </c>
      <c r="D12295" t="s">
        <v>44460</v>
      </c>
      <c r="E12295">
        <v>424038</v>
      </c>
      <c r="F12295" t="s">
        <v>1</v>
      </c>
      <c r="G12295" t="s">
        <v>2</v>
      </c>
      <c r="H12295" t="s">
        <v>10681</v>
      </c>
      <c r="I12295" t="s">
        <v>44461</v>
      </c>
      <c r="L12295" t="s">
        <v>44462</v>
      </c>
      <c r="P12295" t="s">
        <v>34</v>
      </c>
      <c r="Q12295" t="s">
        <v>44464</v>
      </c>
      <c r="Y12295" t="s">
        <v>44465</v>
      </c>
    </row>
    <row r="12296" spans="1:25" x14ac:dyDescent="0.25">
      <c r="A12296" t="str">
        <f>"183312682534"</f>
        <v>183312682534</v>
      </c>
      <c r="B12296" t="s">
        <v>574</v>
      </c>
      <c r="C12296" t="s">
        <v>952</v>
      </c>
      <c r="D12296" t="s">
        <v>44466</v>
      </c>
      <c r="E12296">
        <v>424006</v>
      </c>
      <c r="F12296" t="s">
        <v>1</v>
      </c>
      <c r="G12296" t="s">
        <v>2</v>
      </c>
      <c r="H12296" t="s">
        <v>13109</v>
      </c>
      <c r="Y12296" t="s">
        <v>44467</v>
      </c>
    </row>
    <row r="12297" spans="1:25" x14ac:dyDescent="0.25">
      <c r="A12297" t="str">
        <f>"183314224494"</f>
        <v>183314224494</v>
      </c>
      <c r="B12297" t="s">
        <v>1046</v>
      </c>
      <c r="C12297" t="s">
        <v>27404</v>
      </c>
      <c r="D12297" t="s">
        <v>44468</v>
      </c>
      <c r="F12297" t="s">
        <v>1</v>
      </c>
      <c r="G12297" t="s">
        <v>2</v>
      </c>
      <c r="H12297" t="s">
        <v>27403</v>
      </c>
      <c r="P12297" t="s">
        <v>30329</v>
      </c>
      <c r="Y12297" t="s">
        <v>44469</v>
      </c>
    </row>
    <row r="12298" spans="1:25" x14ac:dyDescent="0.25">
      <c r="A12298" t="str">
        <f>"183347045403"</f>
        <v>183347045403</v>
      </c>
      <c r="B12298" t="s">
        <v>25</v>
      </c>
      <c r="C12298" t="s">
        <v>20320</v>
      </c>
      <c r="D12298" t="s">
        <v>44470</v>
      </c>
      <c r="E12298">
        <v>424028</v>
      </c>
      <c r="F12298" t="s">
        <v>1</v>
      </c>
      <c r="G12298" t="s">
        <v>2</v>
      </c>
      <c r="H12298" t="s">
        <v>44471</v>
      </c>
      <c r="Y12298" t="s">
        <v>44472</v>
      </c>
    </row>
    <row r="12299" spans="1:25" x14ac:dyDescent="0.25">
      <c r="A12299" t="str">
        <f>"183352125602"</f>
        <v>183352125602</v>
      </c>
      <c r="B12299" t="s">
        <v>530</v>
      </c>
      <c r="C12299" t="s">
        <v>23950</v>
      </c>
      <c r="D12299" t="s">
        <v>23950</v>
      </c>
      <c r="F12299" t="s">
        <v>1</v>
      </c>
      <c r="G12299" t="s">
        <v>2</v>
      </c>
      <c r="H12299" t="s">
        <v>44473</v>
      </c>
      <c r="Y12299" t="s">
        <v>44474</v>
      </c>
    </row>
    <row r="12300" spans="1:25" x14ac:dyDescent="0.25">
      <c r="A12300" t="str">
        <f>"183362510423"</f>
        <v>183362510423</v>
      </c>
      <c r="B12300" t="s">
        <v>1262</v>
      </c>
      <c r="C12300" t="s">
        <v>1263</v>
      </c>
      <c r="D12300" t="s">
        <v>44475</v>
      </c>
      <c r="E12300">
        <v>424007</v>
      </c>
      <c r="F12300" t="s">
        <v>1</v>
      </c>
      <c r="G12300" t="s">
        <v>2</v>
      </c>
      <c r="H12300" t="s">
        <v>3243</v>
      </c>
      <c r="J12300" t="s">
        <v>44476</v>
      </c>
      <c r="P12300" t="s">
        <v>280</v>
      </c>
      <c r="Y12300" t="s">
        <v>3249</v>
      </c>
    </row>
    <row r="12301" spans="1:25" x14ac:dyDescent="0.25">
      <c r="A12301" t="str">
        <f>"183412312216"</f>
        <v>183412312216</v>
      </c>
      <c r="B12301" t="s">
        <v>430</v>
      </c>
      <c r="C12301" t="s">
        <v>44482</v>
      </c>
      <c r="D12301" t="s">
        <v>44477</v>
      </c>
      <c r="F12301" t="s">
        <v>1</v>
      </c>
      <c r="G12301" t="s">
        <v>2</v>
      </c>
      <c r="H12301" t="s">
        <v>44478</v>
      </c>
      <c r="I12301" t="s">
        <v>44479</v>
      </c>
      <c r="J12301" t="s">
        <v>44480</v>
      </c>
      <c r="L12301" t="s">
        <v>44481</v>
      </c>
      <c r="P12301" t="s">
        <v>44483</v>
      </c>
      <c r="Y12301" t="s">
        <v>44484</v>
      </c>
    </row>
    <row r="12302" spans="1:25" x14ac:dyDescent="0.25">
      <c r="A12302" t="str">
        <f>"183427662922"</f>
        <v>183427662922</v>
      </c>
      <c r="B12302" t="s">
        <v>2104</v>
      </c>
      <c r="C12302" t="s">
        <v>2105</v>
      </c>
      <c r="D12302" t="s">
        <v>24033</v>
      </c>
      <c r="E12302">
        <v>424006</v>
      </c>
      <c r="F12302" t="s">
        <v>1</v>
      </c>
      <c r="G12302" t="s">
        <v>2</v>
      </c>
      <c r="H12302" t="s">
        <v>5886</v>
      </c>
      <c r="Y12302" t="s">
        <v>44485</v>
      </c>
    </row>
    <row r="12303" spans="1:25" x14ac:dyDescent="0.25">
      <c r="A12303" t="str">
        <f>"183457831707"</f>
        <v>183457831707</v>
      </c>
      <c r="B12303" t="s">
        <v>530</v>
      </c>
      <c r="C12303" t="s">
        <v>531</v>
      </c>
      <c r="D12303" t="s">
        <v>34578</v>
      </c>
      <c r="E12303">
        <v>424028</v>
      </c>
      <c r="F12303" t="s">
        <v>1</v>
      </c>
      <c r="G12303" t="s">
        <v>2</v>
      </c>
      <c r="H12303" t="s">
        <v>8743</v>
      </c>
      <c r="I12303" t="s">
        <v>37025</v>
      </c>
      <c r="P12303" t="s">
        <v>44486</v>
      </c>
      <c r="Y12303" t="s">
        <v>44487</v>
      </c>
    </row>
    <row r="12304" spans="1:25" x14ac:dyDescent="0.25">
      <c r="A12304" t="str">
        <f>"183483763388"</f>
        <v>183483763388</v>
      </c>
      <c r="B12304" t="s">
        <v>25</v>
      </c>
      <c r="C12304" t="s">
        <v>59</v>
      </c>
      <c r="D12304" t="s">
        <v>44488</v>
      </c>
      <c r="E12304">
        <v>424016</v>
      </c>
      <c r="F12304" t="s">
        <v>1</v>
      </c>
      <c r="G12304" t="s">
        <v>2</v>
      </c>
      <c r="H12304" t="s">
        <v>4568</v>
      </c>
      <c r="I12304" t="s">
        <v>44489</v>
      </c>
      <c r="L12304" t="s">
        <v>44490</v>
      </c>
      <c r="M12304" t="s">
        <v>44491</v>
      </c>
      <c r="P12304" t="s">
        <v>869</v>
      </c>
      <c r="Y12304" t="s">
        <v>4574</v>
      </c>
    </row>
    <row r="12305" spans="1:25" x14ac:dyDescent="0.25">
      <c r="A12305" t="str">
        <f>"183507962051"</f>
        <v>183507962051</v>
      </c>
      <c r="B12305" t="s">
        <v>96</v>
      </c>
      <c r="C12305" t="s">
        <v>695</v>
      </c>
      <c r="D12305" t="s">
        <v>44492</v>
      </c>
      <c r="E12305">
        <v>424039</v>
      </c>
      <c r="F12305" t="s">
        <v>1</v>
      </c>
      <c r="G12305" t="s">
        <v>2</v>
      </c>
      <c r="H12305" t="s">
        <v>5195</v>
      </c>
      <c r="Y12305" t="s">
        <v>44493</v>
      </c>
    </row>
    <row r="12306" spans="1:25" x14ac:dyDescent="0.25">
      <c r="A12306" t="str">
        <f>"183535712363"</f>
        <v>183535712363</v>
      </c>
      <c r="B12306" t="s">
        <v>48</v>
      </c>
      <c r="C12306" t="s">
        <v>44498</v>
      </c>
      <c r="D12306" t="s">
        <v>44494</v>
      </c>
      <c r="E12306">
        <v>424002</v>
      </c>
      <c r="F12306" t="s">
        <v>1</v>
      </c>
      <c r="G12306" t="s">
        <v>2</v>
      </c>
      <c r="H12306" t="s">
        <v>1886</v>
      </c>
      <c r="I12306" t="s">
        <v>44495</v>
      </c>
      <c r="J12306" t="s">
        <v>44496</v>
      </c>
      <c r="L12306" t="s">
        <v>44497</v>
      </c>
      <c r="P12306" t="s">
        <v>44499</v>
      </c>
      <c r="Q12306" t="s">
        <v>44500</v>
      </c>
      <c r="Y12306" t="s">
        <v>44501</v>
      </c>
    </row>
    <row r="12307" spans="1:25" x14ac:dyDescent="0.25">
      <c r="A12307" t="str">
        <f>"183574630834"</f>
        <v>183574630834</v>
      </c>
      <c r="B12307" t="s">
        <v>96</v>
      </c>
      <c r="C12307" t="s">
        <v>893</v>
      </c>
      <c r="D12307" t="s">
        <v>16649</v>
      </c>
      <c r="E12307">
        <v>424918</v>
      </c>
      <c r="F12307" t="s">
        <v>1</v>
      </c>
      <c r="G12307" t="s">
        <v>2</v>
      </c>
      <c r="H12307" t="s">
        <v>629</v>
      </c>
      <c r="P12307" t="s">
        <v>630</v>
      </c>
      <c r="Y12307" t="s">
        <v>44502</v>
      </c>
    </row>
    <row r="12308" spans="1:25" x14ac:dyDescent="0.25">
      <c r="A12308" t="str">
        <f>"183599440502"</f>
        <v>183599440502</v>
      </c>
      <c r="B12308" t="s">
        <v>530</v>
      </c>
      <c r="C12308" t="s">
        <v>23950</v>
      </c>
      <c r="D12308" t="s">
        <v>23950</v>
      </c>
      <c r="F12308" t="s">
        <v>1</v>
      </c>
      <c r="G12308" t="s">
        <v>2</v>
      </c>
      <c r="H12308" t="s">
        <v>39021</v>
      </c>
      <c r="Y12308" t="s">
        <v>44503</v>
      </c>
    </row>
    <row r="12309" spans="1:25" x14ac:dyDescent="0.25">
      <c r="A12309" t="str">
        <f>"183604515653"</f>
        <v>183604515653</v>
      </c>
      <c r="B12309" t="s">
        <v>930</v>
      </c>
      <c r="C12309" t="s">
        <v>10263</v>
      </c>
      <c r="D12309" t="s">
        <v>44504</v>
      </c>
      <c r="E12309">
        <v>424007</v>
      </c>
      <c r="F12309" t="s">
        <v>1</v>
      </c>
      <c r="G12309" t="s">
        <v>2</v>
      </c>
      <c r="H12309" t="s">
        <v>22873</v>
      </c>
      <c r="P12309" t="s">
        <v>1027</v>
      </c>
      <c r="Y12309" t="s">
        <v>44505</v>
      </c>
    </row>
    <row r="12310" spans="1:25" x14ac:dyDescent="0.25">
      <c r="A12310" t="str">
        <f>"183607796778"</f>
        <v>183607796778</v>
      </c>
      <c r="B12310" t="s">
        <v>32</v>
      </c>
      <c r="C12310" t="s">
        <v>182</v>
      </c>
      <c r="D12310" t="s">
        <v>42894</v>
      </c>
      <c r="E12310">
        <v>424028</v>
      </c>
      <c r="F12310" t="s">
        <v>1</v>
      </c>
      <c r="G12310" t="s">
        <v>2</v>
      </c>
      <c r="H12310" t="s">
        <v>3628</v>
      </c>
      <c r="I12310" t="s">
        <v>44506</v>
      </c>
      <c r="P12310" t="s">
        <v>2731</v>
      </c>
      <c r="Y12310" t="s">
        <v>44507</v>
      </c>
    </row>
    <row r="12311" spans="1:25" x14ac:dyDescent="0.25">
      <c r="A12311" t="str">
        <f>"183622078840"</f>
        <v>183622078840</v>
      </c>
      <c r="B12311" t="s">
        <v>574</v>
      </c>
      <c r="C12311" t="s">
        <v>14016</v>
      </c>
      <c r="D12311" t="s">
        <v>44508</v>
      </c>
      <c r="E12311">
        <v>424007</v>
      </c>
      <c r="F12311" t="s">
        <v>1</v>
      </c>
      <c r="G12311" t="s">
        <v>2</v>
      </c>
      <c r="H12311" t="s">
        <v>4411</v>
      </c>
      <c r="I12311" t="s">
        <v>44509</v>
      </c>
      <c r="P12311" t="s">
        <v>216</v>
      </c>
      <c r="Y12311" t="s">
        <v>44510</v>
      </c>
    </row>
    <row r="12312" spans="1:25" x14ac:dyDescent="0.25">
      <c r="A12312" t="str">
        <f>"183638876815"</f>
        <v>183638876815</v>
      </c>
      <c r="B12312" t="s">
        <v>7849</v>
      </c>
      <c r="C12312" t="s">
        <v>22242</v>
      </c>
      <c r="D12312" t="s">
        <v>39188</v>
      </c>
      <c r="E12312">
        <v>424003</v>
      </c>
      <c r="F12312" t="s">
        <v>1</v>
      </c>
      <c r="G12312" t="s">
        <v>2</v>
      </c>
      <c r="H12312" t="s">
        <v>44511</v>
      </c>
      <c r="Y12312" t="s">
        <v>29661</v>
      </c>
    </row>
    <row r="12313" spans="1:25" x14ac:dyDescent="0.25">
      <c r="A12313" t="str">
        <f>"183650578017"</f>
        <v>183650578017</v>
      </c>
      <c r="B12313" t="s">
        <v>1544</v>
      </c>
      <c r="C12313" t="s">
        <v>3596</v>
      </c>
      <c r="D12313" t="s">
        <v>44512</v>
      </c>
      <c r="E12313">
        <v>424003</v>
      </c>
      <c r="F12313" t="s">
        <v>1</v>
      </c>
      <c r="G12313" t="s">
        <v>2</v>
      </c>
      <c r="H12313" t="s">
        <v>720</v>
      </c>
      <c r="P12313" t="s">
        <v>1505</v>
      </c>
      <c r="Y12313" t="s">
        <v>44513</v>
      </c>
    </row>
    <row r="12314" spans="1:25" x14ac:dyDescent="0.25">
      <c r="A12314" t="str">
        <f>"183710752516"</f>
        <v>183710752516</v>
      </c>
      <c r="B12314" t="s">
        <v>151</v>
      </c>
      <c r="C12314" t="s">
        <v>1034</v>
      </c>
      <c r="D12314" t="s">
        <v>151</v>
      </c>
      <c r="E12314">
        <v>424003</v>
      </c>
      <c r="F12314" t="s">
        <v>1</v>
      </c>
      <c r="G12314" t="s">
        <v>2</v>
      </c>
      <c r="H12314" t="s">
        <v>7152</v>
      </c>
      <c r="P12314" t="s">
        <v>27</v>
      </c>
      <c r="Y12314" t="s">
        <v>44514</v>
      </c>
    </row>
    <row r="12315" spans="1:25" x14ac:dyDescent="0.25">
      <c r="A12315" t="str">
        <f>"183751519311"</f>
        <v>183751519311</v>
      </c>
      <c r="B12315" t="s">
        <v>687</v>
      </c>
      <c r="C12315" t="s">
        <v>44516</v>
      </c>
      <c r="D12315" t="s">
        <v>44515</v>
      </c>
      <c r="F12315" t="s">
        <v>1</v>
      </c>
      <c r="G12315" t="s">
        <v>2</v>
      </c>
      <c r="H12315" t="s">
        <v>24257</v>
      </c>
      <c r="P12315" t="s">
        <v>133</v>
      </c>
      <c r="Y12315" t="s">
        <v>24260</v>
      </c>
    </row>
    <row r="12316" spans="1:25" x14ac:dyDescent="0.25">
      <c r="A12316" t="str">
        <f>"183775516109"</f>
        <v>183775516109</v>
      </c>
      <c r="B12316" t="s">
        <v>574</v>
      </c>
      <c r="C12316" t="s">
        <v>14652</v>
      </c>
      <c r="D12316" t="s">
        <v>24972</v>
      </c>
      <c r="E12316">
        <v>424033</v>
      </c>
      <c r="F12316" t="s">
        <v>1</v>
      </c>
      <c r="G12316" t="s">
        <v>2</v>
      </c>
      <c r="H12316" t="s">
        <v>44517</v>
      </c>
      <c r="Y12316" t="s">
        <v>1387</v>
      </c>
    </row>
    <row r="12317" spans="1:25" x14ac:dyDescent="0.25">
      <c r="A12317" t="str">
        <f>"183788404770"</f>
        <v>183788404770</v>
      </c>
      <c r="B12317" t="s">
        <v>18</v>
      </c>
      <c r="C12317" t="s">
        <v>10579</v>
      </c>
      <c r="D12317" t="s">
        <v>10579</v>
      </c>
      <c r="F12317" t="s">
        <v>1</v>
      </c>
      <c r="G12317" t="s">
        <v>2</v>
      </c>
      <c r="H12317" t="s">
        <v>32838</v>
      </c>
      <c r="Y12317" t="s">
        <v>44518</v>
      </c>
    </row>
    <row r="12318" spans="1:25" x14ac:dyDescent="0.25">
      <c r="A12318" t="str">
        <f>"183878098055"</f>
        <v>183878098055</v>
      </c>
      <c r="B12318" t="s">
        <v>348</v>
      </c>
      <c r="C12318" t="s">
        <v>6455</v>
      </c>
      <c r="D12318" t="s">
        <v>44519</v>
      </c>
      <c r="E12318">
        <v>424000</v>
      </c>
      <c r="F12318" t="s">
        <v>1</v>
      </c>
      <c r="G12318" t="s">
        <v>2</v>
      </c>
      <c r="H12318" t="s">
        <v>2202</v>
      </c>
      <c r="I12318" t="s">
        <v>44520</v>
      </c>
      <c r="P12318" t="s">
        <v>44521</v>
      </c>
      <c r="Y12318" t="s">
        <v>44522</v>
      </c>
    </row>
    <row r="12319" spans="1:25" x14ac:dyDescent="0.25">
      <c r="A12319" t="str">
        <f>"183905493744"</f>
        <v>183905493744</v>
      </c>
      <c r="B12319" t="s">
        <v>1611</v>
      </c>
      <c r="C12319" t="s">
        <v>29036</v>
      </c>
      <c r="D12319" t="s">
        <v>44523</v>
      </c>
      <c r="E12319">
        <v>424002</v>
      </c>
      <c r="F12319" t="s">
        <v>1</v>
      </c>
      <c r="G12319" t="s">
        <v>2</v>
      </c>
      <c r="H12319" t="s">
        <v>2898</v>
      </c>
      <c r="I12319" t="s">
        <v>44524</v>
      </c>
      <c r="K12319" t="s">
        <v>44525</v>
      </c>
      <c r="M12319" t="s">
        <v>44526</v>
      </c>
      <c r="P12319" t="s">
        <v>5636</v>
      </c>
      <c r="Y12319" t="s">
        <v>44527</v>
      </c>
    </row>
    <row r="12320" spans="1:25" x14ac:dyDescent="0.25">
      <c r="A12320" t="str">
        <f>"183907786244"</f>
        <v>183907786244</v>
      </c>
      <c r="B12320" t="s">
        <v>117</v>
      </c>
      <c r="C12320" t="s">
        <v>873</v>
      </c>
      <c r="D12320" t="s">
        <v>873</v>
      </c>
      <c r="F12320" t="s">
        <v>1</v>
      </c>
      <c r="G12320" t="s">
        <v>2</v>
      </c>
      <c r="H12320" t="s">
        <v>7547</v>
      </c>
      <c r="Y12320" t="s">
        <v>44528</v>
      </c>
    </row>
    <row r="12321" spans="1:25" x14ac:dyDescent="0.25">
      <c r="A12321" t="str">
        <f>"183929551779"</f>
        <v>183929551779</v>
      </c>
      <c r="B12321" t="s">
        <v>430</v>
      </c>
      <c r="C12321" t="s">
        <v>940</v>
      </c>
      <c r="D12321" t="s">
        <v>44529</v>
      </c>
      <c r="E12321">
        <v>424040</v>
      </c>
      <c r="F12321" t="s">
        <v>1</v>
      </c>
      <c r="G12321" t="s">
        <v>2</v>
      </c>
      <c r="H12321" t="s">
        <v>7927</v>
      </c>
      <c r="I12321" t="s">
        <v>44530</v>
      </c>
      <c r="J12321" t="s">
        <v>44531</v>
      </c>
      <c r="P12321" t="s">
        <v>98</v>
      </c>
      <c r="Q12321" t="s">
        <v>44532</v>
      </c>
      <c r="Y12321" t="s">
        <v>19950</v>
      </c>
    </row>
    <row r="12322" spans="1:25" x14ac:dyDescent="0.25">
      <c r="A12322" t="str">
        <f>"184017738564"</f>
        <v>184017738564</v>
      </c>
      <c r="B12322" t="s">
        <v>32</v>
      </c>
      <c r="C12322" t="s">
        <v>11468</v>
      </c>
      <c r="D12322" t="s">
        <v>44533</v>
      </c>
      <c r="E12322">
        <v>424019</v>
      </c>
      <c r="F12322" t="s">
        <v>1</v>
      </c>
      <c r="G12322" t="s">
        <v>2</v>
      </c>
      <c r="H12322" t="s">
        <v>31861</v>
      </c>
      <c r="J12322" t="s">
        <v>44534</v>
      </c>
      <c r="P12322" t="s">
        <v>2315</v>
      </c>
      <c r="Q12322" t="s">
        <v>44535</v>
      </c>
      <c r="Y12322" t="s">
        <v>44536</v>
      </c>
    </row>
    <row r="12323" spans="1:25" x14ac:dyDescent="0.25">
      <c r="A12323" t="str">
        <f>"184022943690"</f>
        <v>184022943690</v>
      </c>
      <c r="B12323" t="s">
        <v>7312</v>
      </c>
      <c r="C12323" t="s">
        <v>7313</v>
      </c>
      <c r="D12323" t="s">
        <v>24312</v>
      </c>
      <c r="E12323">
        <v>424031</v>
      </c>
      <c r="F12323" t="s">
        <v>1</v>
      </c>
      <c r="G12323" t="s">
        <v>2</v>
      </c>
      <c r="H12323" t="s">
        <v>413</v>
      </c>
      <c r="P12323" t="s">
        <v>44537</v>
      </c>
      <c r="Y12323" t="s">
        <v>44538</v>
      </c>
    </row>
    <row r="12324" spans="1:25" x14ac:dyDescent="0.25">
      <c r="A12324" t="str">
        <f>"184041600946"</f>
        <v>184041600946</v>
      </c>
      <c r="B12324" t="s">
        <v>462</v>
      </c>
      <c r="C12324" t="s">
        <v>1140</v>
      </c>
      <c r="D12324" t="s">
        <v>44539</v>
      </c>
      <c r="E12324">
        <v>424031</v>
      </c>
      <c r="F12324" t="s">
        <v>1</v>
      </c>
      <c r="G12324" t="s">
        <v>2</v>
      </c>
      <c r="H12324" t="s">
        <v>2568</v>
      </c>
      <c r="I12324" t="s">
        <v>44540</v>
      </c>
      <c r="P12324" t="s">
        <v>869</v>
      </c>
      <c r="Y12324" t="s">
        <v>44541</v>
      </c>
    </row>
    <row r="12325" spans="1:25" x14ac:dyDescent="0.25">
      <c r="A12325" t="str">
        <f>"184063469036"</f>
        <v>184063469036</v>
      </c>
      <c r="B12325" t="s">
        <v>482</v>
      </c>
      <c r="C12325" t="s">
        <v>9754</v>
      </c>
      <c r="D12325" t="s">
        <v>43</v>
      </c>
      <c r="E12325">
        <v>424003</v>
      </c>
      <c r="F12325" t="s">
        <v>1</v>
      </c>
      <c r="G12325" t="s">
        <v>2</v>
      </c>
      <c r="H12325" t="s">
        <v>44</v>
      </c>
      <c r="I12325" t="s">
        <v>44542</v>
      </c>
      <c r="P12325" t="s">
        <v>27</v>
      </c>
      <c r="Y12325" t="s">
        <v>44543</v>
      </c>
    </row>
    <row r="12326" spans="1:25" x14ac:dyDescent="0.25">
      <c r="A12326" t="str">
        <f>"184067869125"</f>
        <v>184067869125</v>
      </c>
      <c r="B12326" t="s">
        <v>3544</v>
      </c>
      <c r="C12326" t="s">
        <v>11303</v>
      </c>
      <c r="D12326" t="s">
        <v>37151</v>
      </c>
      <c r="E12326">
        <v>424032</v>
      </c>
      <c r="F12326" t="s">
        <v>1</v>
      </c>
      <c r="G12326" t="s">
        <v>2</v>
      </c>
      <c r="H12326" t="s">
        <v>44544</v>
      </c>
      <c r="P12326" t="s">
        <v>20</v>
      </c>
      <c r="Y12326" t="s">
        <v>44545</v>
      </c>
    </row>
    <row r="12327" spans="1:25" x14ac:dyDescent="0.25">
      <c r="A12327" t="str">
        <f>"184071802432"</f>
        <v>184071802432</v>
      </c>
      <c r="B12327" t="s">
        <v>530</v>
      </c>
      <c r="C12327" t="s">
        <v>23950</v>
      </c>
      <c r="D12327" t="s">
        <v>23950</v>
      </c>
      <c r="E12327">
        <v>424008</v>
      </c>
      <c r="F12327" t="s">
        <v>1</v>
      </c>
      <c r="G12327" t="s">
        <v>2</v>
      </c>
      <c r="H12327" t="s">
        <v>2001</v>
      </c>
      <c r="Y12327" t="s">
        <v>44546</v>
      </c>
    </row>
    <row r="12328" spans="1:25" x14ac:dyDescent="0.25">
      <c r="A12328" t="str">
        <f>"184092332477"</f>
        <v>184092332477</v>
      </c>
      <c r="B12328" t="s">
        <v>319</v>
      </c>
      <c r="C12328" t="s">
        <v>320</v>
      </c>
      <c r="D12328" t="s">
        <v>28945</v>
      </c>
      <c r="E12328">
        <v>424020</v>
      </c>
      <c r="F12328" t="s">
        <v>1</v>
      </c>
      <c r="G12328" t="s">
        <v>2</v>
      </c>
      <c r="H12328" t="s">
        <v>8643</v>
      </c>
      <c r="I12328" t="s">
        <v>24130</v>
      </c>
      <c r="M12328" t="s">
        <v>24131</v>
      </c>
      <c r="P12328" t="s">
        <v>216</v>
      </c>
      <c r="Y12328" t="s">
        <v>44547</v>
      </c>
    </row>
    <row r="12329" spans="1:25" x14ac:dyDescent="0.25">
      <c r="A12329" t="str">
        <f>"184215585251"</f>
        <v>184215585251</v>
      </c>
      <c r="B12329" t="s">
        <v>2601</v>
      </c>
      <c r="C12329" t="s">
        <v>5375</v>
      </c>
      <c r="D12329" t="s">
        <v>7992</v>
      </c>
      <c r="E12329">
        <v>424007</v>
      </c>
      <c r="F12329" t="s">
        <v>1</v>
      </c>
      <c r="G12329" t="s">
        <v>2</v>
      </c>
      <c r="H12329" t="s">
        <v>5178</v>
      </c>
      <c r="P12329" t="s">
        <v>2731</v>
      </c>
      <c r="Y12329" t="s">
        <v>44548</v>
      </c>
    </row>
    <row r="12330" spans="1:25" x14ac:dyDescent="0.25">
      <c r="A12330" t="str">
        <f>"184270489547"</f>
        <v>184270489547</v>
      </c>
      <c r="B12330" t="s">
        <v>1343</v>
      </c>
      <c r="C12330" t="s">
        <v>28717</v>
      </c>
      <c r="D12330" t="s">
        <v>28716</v>
      </c>
      <c r="E12330">
        <v>424007</v>
      </c>
      <c r="F12330" t="s">
        <v>1</v>
      </c>
      <c r="G12330" t="s">
        <v>2</v>
      </c>
      <c r="H12330" t="s">
        <v>5281</v>
      </c>
      <c r="Q12330" t="s">
        <v>44549</v>
      </c>
      <c r="Y12330" t="s">
        <v>16121</v>
      </c>
    </row>
    <row r="12331" spans="1:25" x14ac:dyDescent="0.25">
      <c r="A12331" t="str">
        <f>"184270954662"</f>
        <v>184270954662</v>
      </c>
      <c r="B12331" t="s">
        <v>930</v>
      </c>
      <c r="C12331" t="s">
        <v>1940</v>
      </c>
      <c r="D12331" t="s">
        <v>44550</v>
      </c>
      <c r="F12331" t="s">
        <v>1</v>
      </c>
      <c r="G12331" t="s">
        <v>2</v>
      </c>
      <c r="H12331" t="s">
        <v>42719</v>
      </c>
      <c r="P12331" t="s">
        <v>4848</v>
      </c>
      <c r="Y12331" t="s">
        <v>44551</v>
      </c>
    </row>
    <row r="12332" spans="1:25" x14ac:dyDescent="0.25">
      <c r="A12332" t="str">
        <f>"184332662636"</f>
        <v>184332662636</v>
      </c>
      <c r="B12332" t="s">
        <v>25</v>
      </c>
      <c r="C12332" t="s">
        <v>13425</v>
      </c>
      <c r="D12332" t="s">
        <v>22566</v>
      </c>
      <c r="E12332">
        <v>424003</v>
      </c>
      <c r="F12332" t="s">
        <v>1</v>
      </c>
      <c r="G12332" t="s">
        <v>2</v>
      </c>
      <c r="H12332" t="s">
        <v>8472</v>
      </c>
      <c r="Y12332" t="s">
        <v>44552</v>
      </c>
    </row>
    <row r="12333" spans="1:25" x14ac:dyDescent="0.25">
      <c r="A12333" t="str">
        <f>"184339094327"</f>
        <v>184339094327</v>
      </c>
      <c r="B12333" t="s">
        <v>2104</v>
      </c>
      <c r="C12333" t="s">
        <v>21175</v>
      </c>
      <c r="D12333" t="s">
        <v>28272</v>
      </c>
      <c r="E12333">
        <v>424005</v>
      </c>
      <c r="F12333" t="s">
        <v>1</v>
      </c>
      <c r="G12333" t="s">
        <v>2</v>
      </c>
      <c r="H12333" t="s">
        <v>7480</v>
      </c>
      <c r="Y12333" t="s">
        <v>7482</v>
      </c>
    </row>
    <row r="12334" spans="1:25" x14ac:dyDescent="0.25">
      <c r="A12334" t="str">
        <f>"184402019698"</f>
        <v>184402019698</v>
      </c>
      <c r="B12334" t="s">
        <v>574</v>
      </c>
      <c r="C12334" t="s">
        <v>10644</v>
      </c>
      <c r="D12334" t="s">
        <v>3388</v>
      </c>
      <c r="E12334">
        <v>424033</v>
      </c>
      <c r="F12334" t="s">
        <v>1</v>
      </c>
      <c r="G12334" t="s">
        <v>2</v>
      </c>
      <c r="H12334" t="s">
        <v>10720</v>
      </c>
      <c r="P12334" t="s">
        <v>216</v>
      </c>
      <c r="Y12334" t="s">
        <v>44553</v>
      </c>
    </row>
    <row r="12335" spans="1:25" x14ac:dyDescent="0.25">
      <c r="A12335" t="str">
        <f>"184525697118"</f>
        <v>184525697118</v>
      </c>
      <c r="B12335" t="s">
        <v>574</v>
      </c>
      <c r="C12335" t="s">
        <v>646</v>
      </c>
      <c r="D12335" t="s">
        <v>4221</v>
      </c>
      <c r="E12335">
        <v>424005</v>
      </c>
      <c r="F12335" t="s">
        <v>1</v>
      </c>
      <c r="G12335" t="s">
        <v>2</v>
      </c>
      <c r="H12335" t="s">
        <v>3042</v>
      </c>
      <c r="Y12335" t="s">
        <v>44554</v>
      </c>
    </row>
    <row r="12336" spans="1:25" x14ac:dyDescent="0.25">
      <c r="A12336" t="str">
        <f>"184598127140"</f>
        <v>184598127140</v>
      </c>
      <c r="B12336" t="s">
        <v>430</v>
      </c>
      <c r="C12336" t="s">
        <v>44556</v>
      </c>
      <c r="D12336" t="s">
        <v>44555</v>
      </c>
      <c r="E12336">
        <v>424038</v>
      </c>
      <c r="F12336" t="s">
        <v>1</v>
      </c>
      <c r="G12336" t="s">
        <v>2</v>
      </c>
      <c r="H12336" t="s">
        <v>10681</v>
      </c>
      <c r="J12336" t="s">
        <v>24743</v>
      </c>
      <c r="P12336" t="s">
        <v>7053</v>
      </c>
      <c r="Y12336" t="s">
        <v>10684</v>
      </c>
    </row>
    <row r="12337" spans="1:25" x14ac:dyDescent="0.25">
      <c r="A12337" t="str">
        <f>"184599780831"</f>
        <v>184599780831</v>
      </c>
      <c r="B12337" t="s">
        <v>32</v>
      </c>
      <c r="C12337" t="s">
        <v>5623</v>
      </c>
      <c r="D12337" t="s">
        <v>44557</v>
      </c>
      <c r="E12337">
        <v>424007</v>
      </c>
      <c r="F12337" t="s">
        <v>1</v>
      </c>
      <c r="G12337" t="s">
        <v>2</v>
      </c>
      <c r="H12337" t="s">
        <v>31225</v>
      </c>
      <c r="J12337" t="s">
        <v>44558</v>
      </c>
      <c r="P12337" t="s">
        <v>2738</v>
      </c>
      <c r="Q12337" t="s">
        <v>44559</v>
      </c>
      <c r="V12337" t="s">
        <v>44560</v>
      </c>
      <c r="Y12337" t="s">
        <v>44561</v>
      </c>
    </row>
    <row r="12338" spans="1:25" x14ac:dyDescent="0.25">
      <c r="A12338" t="str">
        <f>"184654133546"</f>
        <v>184654133546</v>
      </c>
      <c r="B12338" t="s">
        <v>1573</v>
      </c>
      <c r="C12338" t="s">
        <v>44566</v>
      </c>
      <c r="D12338" t="s">
        <v>44562</v>
      </c>
      <c r="E12338">
        <v>424037</v>
      </c>
      <c r="F12338" t="s">
        <v>1</v>
      </c>
      <c r="G12338" t="s">
        <v>2</v>
      </c>
      <c r="H12338" t="s">
        <v>2370</v>
      </c>
      <c r="J12338" t="s">
        <v>44563</v>
      </c>
      <c r="L12338" t="s">
        <v>44564</v>
      </c>
      <c r="M12338" t="s">
        <v>44565</v>
      </c>
      <c r="P12338" t="s">
        <v>280</v>
      </c>
      <c r="Q12338" t="s">
        <v>44567</v>
      </c>
      <c r="T12338" t="s">
        <v>44568</v>
      </c>
      <c r="V12338" t="s">
        <v>44569</v>
      </c>
      <c r="Y12338" t="s">
        <v>2375</v>
      </c>
    </row>
    <row r="12339" spans="1:25" x14ac:dyDescent="0.25">
      <c r="A12339" t="str">
        <f>"184667264577"</f>
        <v>184667264577</v>
      </c>
      <c r="B12339" t="s">
        <v>123</v>
      </c>
      <c r="C12339" t="s">
        <v>22431</v>
      </c>
      <c r="D12339" t="s">
        <v>44194</v>
      </c>
      <c r="E12339">
        <v>424033</v>
      </c>
      <c r="F12339" t="s">
        <v>1</v>
      </c>
      <c r="G12339" t="s">
        <v>2</v>
      </c>
      <c r="H12339" t="s">
        <v>4225</v>
      </c>
      <c r="L12339" t="s">
        <v>2394</v>
      </c>
      <c r="M12339" t="s">
        <v>44570</v>
      </c>
      <c r="Y12339" t="s">
        <v>44571</v>
      </c>
    </row>
    <row r="12340" spans="1:25" x14ac:dyDescent="0.25">
      <c r="A12340" t="str">
        <f>"184681125937"</f>
        <v>184681125937</v>
      </c>
      <c r="B12340" t="s">
        <v>123</v>
      </c>
      <c r="C12340" t="s">
        <v>196</v>
      </c>
      <c r="D12340" t="s">
        <v>44572</v>
      </c>
      <c r="E12340">
        <v>424038</v>
      </c>
      <c r="F12340" t="s">
        <v>1</v>
      </c>
      <c r="G12340" t="s">
        <v>2</v>
      </c>
      <c r="H12340" t="s">
        <v>1366</v>
      </c>
      <c r="Y12340" t="s">
        <v>7381</v>
      </c>
    </row>
    <row r="12341" spans="1:25" x14ac:dyDescent="0.25">
      <c r="A12341" t="str">
        <f>"184685559821"</f>
        <v>184685559821</v>
      </c>
      <c r="B12341" t="s">
        <v>482</v>
      </c>
      <c r="C12341" t="s">
        <v>483</v>
      </c>
      <c r="D12341" t="s">
        <v>44573</v>
      </c>
      <c r="E12341">
        <v>424004</v>
      </c>
      <c r="F12341" t="s">
        <v>1</v>
      </c>
      <c r="G12341" t="s">
        <v>2</v>
      </c>
      <c r="H12341" t="s">
        <v>8326</v>
      </c>
      <c r="I12341" t="s">
        <v>44574</v>
      </c>
      <c r="K12341" t="s">
        <v>44575</v>
      </c>
      <c r="P12341" t="s">
        <v>2951</v>
      </c>
      <c r="Y12341" t="s">
        <v>8331</v>
      </c>
    </row>
    <row r="12342" spans="1:25" x14ac:dyDescent="0.25">
      <c r="A12342" t="str">
        <f>"184694684469"</f>
        <v>184694684469</v>
      </c>
      <c r="B12342" t="s">
        <v>624</v>
      </c>
      <c r="C12342" t="s">
        <v>1637</v>
      </c>
      <c r="D12342" t="s">
        <v>44576</v>
      </c>
      <c r="E12342">
        <v>424016</v>
      </c>
      <c r="F12342" t="s">
        <v>1</v>
      </c>
      <c r="G12342" t="s">
        <v>2</v>
      </c>
      <c r="H12342" t="s">
        <v>620</v>
      </c>
      <c r="I12342" t="s">
        <v>44577</v>
      </c>
      <c r="J12342" t="s">
        <v>44578</v>
      </c>
      <c r="P12342" t="s">
        <v>280</v>
      </c>
      <c r="Y12342" t="s">
        <v>44579</v>
      </c>
    </row>
    <row r="12343" spans="1:25" x14ac:dyDescent="0.25">
      <c r="A12343" t="str">
        <f>"184732150007"</f>
        <v>184732150007</v>
      </c>
      <c r="B12343" t="s">
        <v>1544</v>
      </c>
      <c r="C12343" t="s">
        <v>3596</v>
      </c>
      <c r="D12343" t="s">
        <v>10162</v>
      </c>
      <c r="E12343">
        <v>424002</v>
      </c>
      <c r="F12343" t="s">
        <v>1</v>
      </c>
      <c r="G12343" t="s">
        <v>2</v>
      </c>
      <c r="H12343" t="s">
        <v>12089</v>
      </c>
      <c r="P12343" t="s">
        <v>340</v>
      </c>
      <c r="Y12343" t="s">
        <v>44580</v>
      </c>
    </row>
    <row r="12344" spans="1:25" x14ac:dyDescent="0.25">
      <c r="A12344" t="str">
        <f>"184736324147"</f>
        <v>184736324147</v>
      </c>
      <c r="B12344" t="s">
        <v>348</v>
      </c>
      <c r="C12344" t="s">
        <v>26811</v>
      </c>
      <c r="D12344" t="s">
        <v>8455</v>
      </c>
      <c r="F12344" t="s">
        <v>1</v>
      </c>
      <c r="G12344" t="s">
        <v>2</v>
      </c>
      <c r="H12344" t="s">
        <v>138</v>
      </c>
      <c r="P12344" t="s">
        <v>144</v>
      </c>
      <c r="Y12344" t="s">
        <v>44581</v>
      </c>
    </row>
    <row r="12345" spans="1:25" x14ac:dyDescent="0.25">
      <c r="A12345" t="str">
        <f>"184808657024"</f>
        <v>184808657024</v>
      </c>
      <c r="B12345" t="s">
        <v>80</v>
      </c>
      <c r="C12345" t="s">
        <v>11414</v>
      </c>
      <c r="D12345" t="s">
        <v>31769</v>
      </c>
      <c r="E12345">
        <v>424031</v>
      </c>
      <c r="F12345" t="s">
        <v>1</v>
      </c>
      <c r="G12345" t="s">
        <v>2</v>
      </c>
      <c r="H12345" t="s">
        <v>14466</v>
      </c>
      <c r="Y12345" t="s">
        <v>44582</v>
      </c>
    </row>
    <row r="12346" spans="1:25" x14ac:dyDescent="0.25">
      <c r="A12346" t="str">
        <f>"184824107875"</f>
        <v>184824107875</v>
      </c>
      <c r="B12346" t="s">
        <v>930</v>
      </c>
      <c r="C12346" t="s">
        <v>44587</v>
      </c>
      <c r="D12346" t="s">
        <v>44583</v>
      </c>
      <c r="E12346">
        <v>424006</v>
      </c>
      <c r="F12346" t="s">
        <v>1</v>
      </c>
      <c r="G12346" t="s">
        <v>2</v>
      </c>
      <c r="H12346" t="s">
        <v>44584</v>
      </c>
      <c r="I12346" t="s">
        <v>44585</v>
      </c>
      <c r="L12346" t="s">
        <v>44586</v>
      </c>
      <c r="P12346" t="s">
        <v>2438</v>
      </c>
      <c r="Q12346" t="s">
        <v>44588</v>
      </c>
      <c r="V12346" t="s">
        <v>44589</v>
      </c>
      <c r="Y12346" t="s">
        <v>44590</v>
      </c>
    </row>
    <row r="12347" spans="1:25" x14ac:dyDescent="0.25">
      <c r="A12347" t="str">
        <f>"184835729485"</f>
        <v>184835729485</v>
      </c>
      <c r="B12347" t="s">
        <v>176</v>
      </c>
      <c r="C12347" t="s">
        <v>29570</v>
      </c>
      <c r="D12347" t="s">
        <v>44591</v>
      </c>
      <c r="E12347">
        <v>424000</v>
      </c>
      <c r="F12347" t="s">
        <v>1</v>
      </c>
      <c r="G12347" t="s">
        <v>2</v>
      </c>
      <c r="H12347" t="s">
        <v>5615</v>
      </c>
      <c r="J12347" t="s">
        <v>44592</v>
      </c>
      <c r="Y12347" t="s">
        <v>44593</v>
      </c>
    </row>
    <row r="12348" spans="1:25" x14ac:dyDescent="0.25">
      <c r="A12348" t="str">
        <f>"184852285824"</f>
        <v>184852285824</v>
      </c>
      <c r="B12348" t="s">
        <v>1262</v>
      </c>
      <c r="C12348" t="s">
        <v>2335</v>
      </c>
      <c r="D12348" t="s">
        <v>44594</v>
      </c>
      <c r="E12348">
        <v>424005</v>
      </c>
      <c r="F12348" t="s">
        <v>1</v>
      </c>
      <c r="G12348" t="s">
        <v>2</v>
      </c>
      <c r="H12348" t="s">
        <v>6843</v>
      </c>
      <c r="J12348" t="s">
        <v>44595</v>
      </c>
      <c r="P12348" t="s">
        <v>152</v>
      </c>
      <c r="Y12348" t="s">
        <v>44596</v>
      </c>
    </row>
    <row r="12349" spans="1:25" x14ac:dyDescent="0.25">
      <c r="A12349" t="str">
        <f>"184861258001"</f>
        <v>184861258001</v>
      </c>
      <c r="B12349" t="s">
        <v>188</v>
      </c>
      <c r="C12349" t="s">
        <v>24568</v>
      </c>
      <c r="D12349" t="s">
        <v>24568</v>
      </c>
      <c r="E12349">
        <v>424000</v>
      </c>
      <c r="F12349" t="s">
        <v>1</v>
      </c>
      <c r="G12349" t="s">
        <v>2</v>
      </c>
      <c r="H12349" t="s">
        <v>265</v>
      </c>
      <c r="P12349" t="s">
        <v>410</v>
      </c>
      <c r="Y12349" t="s">
        <v>44597</v>
      </c>
    </row>
    <row r="12350" spans="1:25" x14ac:dyDescent="0.25">
      <c r="A12350" t="str">
        <f>"184865542376"</f>
        <v>184865542376</v>
      </c>
      <c r="B12350" t="s">
        <v>430</v>
      </c>
      <c r="C12350" t="s">
        <v>11849</v>
      </c>
      <c r="D12350" t="s">
        <v>44598</v>
      </c>
      <c r="E12350">
        <v>424038</v>
      </c>
      <c r="F12350" t="s">
        <v>1</v>
      </c>
      <c r="G12350" t="s">
        <v>2</v>
      </c>
      <c r="H12350" t="s">
        <v>465</v>
      </c>
      <c r="I12350" t="s">
        <v>44599</v>
      </c>
      <c r="J12350" t="s">
        <v>44600</v>
      </c>
      <c r="P12350" t="s">
        <v>330</v>
      </c>
      <c r="Y12350" t="s">
        <v>44601</v>
      </c>
    </row>
    <row r="12351" spans="1:25" x14ac:dyDescent="0.25">
      <c r="A12351" t="str">
        <f>"184888653792"</f>
        <v>184888653792</v>
      </c>
      <c r="B12351" t="s">
        <v>1061</v>
      </c>
      <c r="C12351" t="s">
        <v>26953</v>
      </c>
      <c r="D12351" t="s">
        <v>44602</v>
      </c>
      <c r="F12351" t="s">
        <v>1</v>
      </c>
      <c r="G12351" t="s">
        <v>2</v>
      </c>
      <c r="H12351" t="s">
        <v>44603</v>
      </c>
      <c r="Y12351" t="s">
        <v>44604</v>
      </c>
    </row>
    <row r="12352" spans="1:25" x14ac:dyDescent="0.25">
      <c r="A12352" t="str">
        <f>"184901056679"</f>
        <v>184901056679</v>
      </c>
      <c r="B12352" t="s">
        <v>1475</v>
      </c>
      <c r="C12352" t="s">
        <v>4005</v>
      </c>
      <c r="D12352" t="s">
        <v>30879</v>
      </c>
      <c r="E12352">
        <v>424038</v>
      </c>
      <c r="F12352" t="s">
        <v>1</v>
      </c>
      <c r="G12352" t="s">
        <v>2</v>
      </c>
      <c r="H12352" t="s">
        <v>7498</v>
      </c>
      <c r="Y12352" t="s">
        <v>44605</v>
      </c>
    </row>
    <row r="12353" spans="1:25" x14ac:dyDescent="0.25">
      <c r="A12353" t="str">
        <f>"184946687422"</f>
        <v>184946687422</v>
      </c>
      <c r="B12353" t="s">
        <v>18</v>
      </c>
      <c r="C12353" t="s">
        <v>44609</v>
      </c>
      <c r="D12353" t="s">
        <v>44606</v>
      </c>
      <c r="E12353">
        <v>424004</v>
      </c>
      <c r="F12353" t="s">
        <v>1</v>
      </c>
      <c r="G12353" t="s">
        <v>2</v>
      </c>
      <c r="H12353" t="s">
        <v>351</v>
      </c>
      <c r="J12353" t="s">
        <v>9639</v>
      </c>
      <c r="L12353" t="s">
        <v>44607</v>
      </c>
      <c r="M12353" t="s">
        <v>44608</v>
      </c>
      <c r="P12353" t="s">
        <v>696</v>
      </c>
      <c r="Y12353" t="s">
        <v>354</v>
      </c>
    </row>
    <row r="12354" spans="1:25" x14ac:dyDescent="0.25">
      <c r="A12354" t="str">
        <f>"184962727215"</f>
        <v>184962727215</v>
      </c>
      <c r="B12354" t="s">
        <v>25</v>
      </c>
      <c r="C12354" t="s">
        <v>20320</v>
      </c>
      <c r="D12354" t="s">
        <v>44610</v>
      </c>
      <c r="E12354">
        <v>424033</v>
      </c>
      <c r="F12354" t="s">
        <v>1</v>
      </c>
      <c r="G12354" t="s">
        <v>2</v>
      </c>
      <c r="H12354" t="s">
        <v>44611</v>
      </c>
      <c r="Y12354" t="s">
        <v>44612</v>
      </c>
    </row>
    <row r="12355" spans="1:25" x14ac:dyDescent="0.25">
      <c r="A12355" t="str">
        <f>"185014594513"</f>
        <v>185014594513</v>
      </c>
      <c r="B12355" t="s">
        <v>930</v>
      </c>
      <c r="C12355" t="s">
        <v>44616</v>
      </c>
      <c r="D12355" t="s">
        <v>44613</v>
      </c>
      <c r="F12355" t="s">
        <v>1</v>
      </c>
      <c r="G12355" t="s">
        <v>2</v>
      </c>
      <c r="H12355" t="s">
        <v>2687</v>
      </c>
      <c r="I12355" t="s">
        <v>44614</v>
      </c>
      <c r="J12355" t="s">
        <v>44615</v>
      </c>
      <c r="P12355" t="s">
        <v>4671</v>
      </c>
      <c r="Y12355" t="s">
        <v>2690</v>
      </c>
    </row>
    <row r="12356" spans="1:25" x14ac:dyDescent="0.25">
      <c r="A12356" t="str">
        <f>"185075839518"</f>
        <v>185075839518</v>
      </c>
      <c r="B12356" t="s">
        <v>32</v>
      </c>
      <c r="C12356" t="s">
        <v>182</v>
      </c>
      <c r="D12356" t="s">
        <v>44617</v>
      </c>
      <c r="E12356">
        <v>424002</v>
      </c>
      <c r="F12356" t="s">
        <v>1</v>
      </c>
      <c r="G12356" t="s">
        <v>2</v>
      </c>
      <c r="H12356" t="s">
        <v>6656</v>
      </c>
      <c r="J12356" t="s">
        <v>44618</v>
      </c>
      <c r="P12356" t="s">
        <v>13898</v>
      </c>
      <c r="Y12356" t="s">
        <v>44619</v>
      </c>
    </row>
    <row r="12357" spans="1:25" x14ac:dyDescent="0.25">
      <c r="A12357" t="str">
        <f>"185152551780"</f>
        <v>185152551780</v>
      </c>
      <c r="B12357" t="s">
        <v>80</v>
      </c>
      <c r="C12357" t="s">
        <v>15154</v>
      </c>
      <c r="D12357" t="s">
        <v>44620</v>
      </c>
      <c r="E12357">
        <v>424037</v>
      </c>
      <c r="F12357" t="s">
        <v>1</v>
      </c>
      <c r="G12357" t="s">
        <v>2</v>
      </c>
      <c r="H12357" t="s">
        <v>2370</v>
      </c>
      <c r="I12357" t="s">
        <v>44621</v>
      </c>
      <c r="J12357" t="s">
        <v>44622</v>
      </c>
      <c r="P12357" t="s">
        <v>44623</v>
      </c>
      <c r="Y12357" t="s">
        <v>44624</v>
      </c>
    </row>
    <row r="12358" spans="1:25" x14ac:dyDescent="0.25">
      <c r="A12358" t="str">
        <f>"185157052711"</f>
        <v>185157052711</v>
      </c>
      <c r="B12358" t="s">
        <v>379</v>
      </c>
      <c r="C12358" t="s">
        <v>2661</v>
      </c>
      <c r="D12358" t="s">
        <v>30704</v>
      </c>
      <c r="E12358">
        <v>424006</v>
      </c>
      <c r="F12358" t="s">
        <v>1</v>
      </c>
      <c r="G12358" t="s">
        <v>2</v>
      </c>
      <c r="H12358" t="s">
        <v>1923</v>
      </c>
      <c r="I12358" t="s">
        <v>44625</v>
      </c>
      <c r="L12358" t="s">
        <v>44626</v>
      </c>
      <c r="M12358" t="s">
        <v>44627</v>
      </c>
      <c r="P12358" t="s">
        <v>27</v>
      </c>
      <c r="Y12358" t="s">
        <v>1928</v>
      </c>
    </row>
    <row r="12359" spans="1:25" x14ac:dyDescent="0.25">
      <c r="A12359" t="str">
        <f>"185196353511"</f>
        <v>185196353511</v>
      </c>
      <c r="B12359" t="s">
        <v>10383</v>
      </c>
      <c r="C12359" t="s">
        <v>44630</v>
      </c>
      <c r="D12359" t="s">
        <v>44628</v>
      </c>
      <c r="F12359" t="s">
        <v>1</v>
      </c>
      <c r="G12359" t="s">
        <v>2</v>
      </c>
      <c r="H12359" t="s">
        <v>44629</v>
      </c>
      <c r="Y12359" t="s">
        <v>44631</v>
      </c>
    </row>
    <row r="12360" spans="1:25" x14ac:dyDescent="0.25">
      <c r="A12360" t="str">
        <f>"185287521670"</f>
        <v>185287521670</v>
      </c>
      <c r="B12360" t="s">
        <v>32</v>
      </c>
      <c r="C12360" t="s">
        <v>40</v>
      </c>
      <c r="D12360" t="s">
        <v>44632</v>
      </c>
      <c r="E12360">
        <v>424007</v>
      </c>
      <c r="F12360" t="s">
        <v>1</v>
      </c>
      <c r="G12360" t="s">
        <v>2</v>
      </c>
      <c r="H12360" t="s">
        <v>1918</v>
      </c>
      <c r="Y12360" t="s">
        <v>44633</v>
      </c>
    </row>
    <row r="12361" spans="1:25" x14ac:dyDescent="0.25">
      <c r="A12361" t="str">
        <f>"185290630629"</f>
        <v>185290630629</v>
      </c>
      <c r="B12361" t="s">
        <v>640</v>
      </c>
      <c r="C12361" t="s">
        <v>24659</v>
      </c>
      <c r="D12361" t="s">
        <v>26498</v>
      </c>
      <c r="E12361">
        <v>424003</v>
      </c>
      <c r="F12361" t="s">
        <v>1</v>
      </c>
      <c r="G12361" t="s">
        <v>2</v>
      </c>
      <c r="H12361" t="s">
        <v>12674</v>
      </c>
      <c r="Y12361" t="s">
        <v>44634</v>
      </c>
    </row>
    <row r="12362" spans="1:25" x14ac:dyDescent="0.25">
      <c r="A12362" t="str">
        <f>"185299266902"</f>
        <v>185299266902</v>
      </c>
      <c r="B12362" t="s">
        <v>96</v>
      </c>
      <c r="C12362" t="s">
        <v>893</v>
      </c>
      <c r="D12362" t="s">
        <v>7772</v>
      </c>
      <c r="E12362">
        <v>424000</v>
      </c>
      <c r="F12362" t="s">
        <v>1</v>
      </c>
      <c r="G12362" t="s">
        <v>2</v>
      </c>
      <c r="H12362" t="s">
        <v>937</v>
      </c>
      <c r="Y12362" t="s">
        <v>44635</v>
      </c>
    </row>
    <row r="12363" spans="1:25" x14ac:dyDescent="0.25">
      <c r="A12363" t="str">
        <f>"185305747440"</f>
        <v>185305747440</v>
      </c>
      <c r="B12363" t="s">
        <v>430</v>
      </c>
      <c r="C12363" t="s">
        <v>44637</v>
      </c>
      <c r="D12363" t="s">
        <v>44636</v>
      </c>
      <c r="E12363">
        <v>424004</v>
      </c>
      <c r="F12363" t="s">
        <v>1</v>
      </c>
      <c r="G12363" t="s">
        <v>2</v>
      </c>
      <c r="H12363" t="s">
        <v>19891</v>
      </c>
      <c r="Y12363" t="s">
        <v>44638</v>
      </c>
    </row>
    <row r="12364" spans="1:25" x14ac:dyDescent="0.25">
      <c r="A12364" t="str">
        <f>"185371780093"</f>
        <v>185371780093</v>
      </c>
      <c r="B12364" t="s">
        <v>469</v>
      </c>
      <c r="C12364" t="s">
        <v>39388</v>
      </c>
      <c r="D12364" t="s">
        <v>32243</v>
      </c>
      <c r="E12364">
        <v>424033</v>
      </c>
      <c r="F12364" t="s">
        <v>1</v>
      </c>
      <c r="G12364" t="s">
        <v>2</v>
      </c>
      <c r="H12364" t="s">
        <v>4300</v>
      </c>
      <c r="I12364" t="s">
        <v>24543</v>
      </c>
      <c r="L12364" t="s">
        <v>24544</v>
      </c>
      <c r="M12364" t="s">
        <v>24545</v>
      </c>
      <c r="P12364" t="s">
        <v>8361</v>
      </c>
      <c r="Q12364" t="s">
        <v>24547</v>
      </c>
      <c r="S12364" t="s">
        <v>44639</v>
      </c>
      <c r="T12364" t="s">
        <v>44640</v>
      </c>
      <c r="V12364" t="s">
        <v>44641</v>
      </c>
      <c r="Y12364" t="s">
        <v>44642</v>
      </c>
    </row>
    <row r="12365" spans="1:25" x14ac:dyDescent="0.25">
      <c r="A12365" t="str">
        <f>"185395060734"</f>
        <v>185395060734</v>
      </c>
      <c r="B12365" t="s">
        <v>88</v>
      </c>
      <c r="C12365" t="s">
        <v>19306</v>
      </c>
      <c r="D12365" t="s">
        <v>4756</v>
      </c>
      <c r="E12365">
        <v>424004</v>
      </c>
      <c r="F12365" t="s">
        <v>1</v>
      </c>
      <c r="G12365" t="s">
        <v>2</v>
      </c>
      <c r="H12365" t="s">
        <v>186</v>
      </c>
      <c r="Y12365" t="s">
        <v>12062</v>
      </c>
    </row>
    <row r="12366" spans="1:25" x14ac:dyDescent="0.25">
      <c r="A12366" t="str">
        <f>"185424189692"</f>
        <v>185424189692</v>
      </c>
      <c r="B12366" t="s">
        <v>7312</v>
      </c>
      <c r="C12366" t="s">
        <v>19097</v>
      </c>
      <c r="D12366" t="s">
        <v>27363</v>
      </c>
      <c r="E12366">
        <v>424031</v>
      </c>
      <c r="F12366" t="s">
        <v>1</v>
      </c>
      <c r="G12366" t="s">
        <v>2</v>
      </c>
      <c r="H12366" t="s">
        <v>239</v>
      </c>
      <c r="Y12366" t="s">
        <v>246</v>
      </c>
    </row>
    <row r="12367" spans="1:25" x14ac:dyDescent="0.25">
      <c r="A12367" t="str">
        <f>"185444701479"</f>
        <v>185444701479</v>
      </c>
      <c r="B12367" t="s">
        <v>3908</v>
      </c>
      <c r="C12367" t="s">
        <v>10425</v>
      </c>
      <c r="D12367" t="s">
        <v>44643</v>
      </c>
      <c r="E12367">
        <v>424031</v>
      </c>
      <c r="F12367" t="s">
        <v>1</v>
      </c>
      <c r="G12367" t="s">
        <v>2</v>
      </c>
      <c r="H12367" t="s">
        <v>14466</v>
      </c>
      <c r="L12367" t="s">
        <v>11386</v>
      </c>
      <c r="M12367" t="s">
        <v>28139</v>
      </c>
      <c r="P12367" t="s">
        <v>44644</v>
      </c>
      <c r="Y12367" t="s">
        <v>44645</v>
      </c>
    </row>
    <row r="12368" spans="1:25" x14ac:dyDescent="0.25">
      <c r="A12368" t="str">
        <f>"185479334611"</f>
        <v>185479334611</v>
      </c>
      <c r="B12368" t="s">
        <v>574</v>
      </c>
      <c r="C12368" t="s">
        <v>31999</v>
      </c>
      <c r="D12368" t="s">
        <v>44646</v>
      </c>
      <c r="E12368">
        <v>424006</v>
      </c>
      <c r="F12368" t="s">
        <v>1</v>
      </c>
      <c r="G12368" t="s">
        <v>2</v>
      </c>
      <c r="H12368" t="s">
        <v>24066</v>
      </c>
      <c r="Y12368" t="s">
        <v>44647</v>
      </c>
    </row>
    <row r="12369" spans="1:25" x14ac:dyDescent="0.25">
      <c r="A12369" t="str">
        <f>"185482306870"</f>
        <v>185482306870</v>
      </c>
      <c r="B12369" t="s">
        <v>430</v>
      </c>
      <c r="C12369" t="s">
        <v>16178</v>
      </c>
      <c r="D12369" t="s">
        <v>29416</v>
      </c>
      <c r="E12369">
        <v>424039</v>
      </c>
      <c r="F12369" t="s">
        <v>1</v>
      </c>
      <c r="G12369" t="s">
        <v>2</v>
      </c>
      <c r="H12369" t="s">
        <v>2729</v>
      </c>
      <c r="P12369" t="s">
        <v>13505</v>
      </c>
      <c r="Y12369" t="s">
        <v>44648</v>
      </c>
    </row>
    <row r="12370" spans="1:25" x14ac:dyDescent="0.25">
      <c r="A12370" t="str">
        <f>"185487378738"</f>
        <v>185487378738</v>
      </c>
      <c r="B12370" t="s">
        <v>3544</v>
      </c>
      <c r="C12370" t="s">
        <v>11303</v>
      </c>
      <c r="D12370" t="s">
        <v>44649</v>
      </c>
      <c r="E12370">
        <v>424006</v>
      </c>
      <c r="F12370" t="s">
        <v>1</v>
      </c>
      <c r="G12370" t="s">
        <v>2</v>
      </c>
      <c r="H12370" t="s">
        <v>21074</v>
      </c>
      <c r="L12370" t="s">
        <v>44650</v>
      </c>
      <c r="Y12370" t="s">
        <v>44651</v>
      </c>
    </row>
    <row r="12371" spans="1:25" x14ac:dyDescent="0.25">
      <c r="A12371" t="str">
        <f>"185489255448"</f>
        <v>185489255448</v>
      </c>
      <c r="B12371" t="s">
        <v>397</v>
      </c>
      <c r="C12371" t="s">
        <v>34463</v>
      </c>
      <c r="D12371" t="s">
        <v>36437</v>
      </c>
      <c r="E12371">
        <v>424002</v>
      </c>
      <c r="F12371" t="s">
        <v>1</v>
      </c>
      <c r="G12371" t="s">
        <v>2</v>
      </c>
      <c r="H12371" t="s">
        <v>11341</v>
      </c>
      <c r="Y12371" t="s">
        <v>44652</v>
      </c>
    </row>
    <row r="12372" spans="1:25" x14ac:dyDescent="0.25">
      <c r="A12372" t="str">
        <f>"185513043276"</f>
        <v>185513043276</v>
      </c>
      <c r="B12372" t="s">
        <v>703</v>
      </c>
      <c r="C12372" t="s">
        <v>10967</v>
      </c>
      <c r="D12372" t="s">
        <v>26125</v>
      </c>
      <c r="E12372">
        <v>424002</v>
      </c>
      <c r="F12372" t="s">
        <v>1</v>
      </c>
      <c r="G12372" t="s">
        <v>2</v>
      </c>
      <c r="H12372" t="s">
        <v>4001</v>
      </c>
      <c r="Y12372" t="s">
        <v>25034</v>
      </c>
    </row>
    <row r="12373" spans="1:25" x14ac:dyDescent="0.25">
      <c r="A12373" t="str">
        <f>"185531939949"</f>
        <v>185531939949</v>
      </c>
      <c r="B12373" t="s">
        <v>284</v>
      </c>
      <c r="C12373" t="s">
        <v>711</v>
      </c>
      <c r="D12373" t="s">
        <v>44653</v>
      </c>
      <c r="E12373">
        <v>424003</v>
      </c>
      <c r="F12373" t="s">
        <v>1</v>
      </c>
      <c r="G12373" t="s">
        <v>2</v>
      </c>
      <c r="H12373" t="s">
        <v>5311</v>
      </c>
      <c r="I12373" t="s">
        <v>44654</v>
      </c>
      <c r="J12373" t="s">
        <v>44655</v>
      </c>
      <c r="P12373" t="s">
        <v>20</v>
      </c>
      <c r="Y12373" t="s">
        <v>10521</v>
      </c>
    </row>
    <row r="12374" spans="1:25" x14ac:dyDescent="0.25">
      <c r="A12374" t="str">
        <f>"185553516096"</f>
        <v>185553516096</v>
      </c>
      <c r="B12374" t="s">
        <v>640</v>
      </c>
      <c r="C12374" t="s">
        <v>663</v>
      </c>
      <c r="D12374" t="s">
        <v>44656</v>
      </c>
      <c r="F12374" t="s">
        <v>1</v>
      </c>
      <c r="G12374" t="s">
        <v>2</v>
      </c>
      <c r="H12374" t="s">
        <v>23969</v>
      </c>
      <c r="Y12374" t="s">
        <v>40298</v>
      </c>
    </row>
    <row r="12375" spans="1:25" x14ac:dyDescent="0.25">
      <c r="A12375" t="str">
        <f>"185577510139"</f>
        <v>185577510139</v>
      </c>
      <c r="B12375" t="s">
        <v>530</v>
      </c>
      <c r="C12375" t="s">
        <v>23950</v>
      </c>
      <c r="D12375" t="s">
        <v>23950</v>
      </c>
      <c r="E12375">
        <v>424036</v>
      </c>
      <c r="F12375" t="s">
        <v>1</v>
      </c>
      <c r="G12375" t="s">
        <v>2</v>
      </c>
      <c r="H12375" t="s">
        <v>7822</v>
      </c>
      <c r="Y12375" t="s">
        <v>44657</v>
      </c>
    </row>
    <row r="12376" spans="1:25" x14ac:dyDescent="0.25">
      <c r="A12376" t="str">
        <f>"185625714992"</f>
        <v>185625714992</v>
      </c>
      <c r="B12376" t="s">
        <v>1046</v>
      </c>
      <c r="C12376" t="s">
        <v>22946</v>
      </c>
      <c r="D12376" t="s">
        <v>22946</v>
      </c>
      <c r="E12376">
        <v>424007</v>
      </c>
      <c r="F12376" t="s">
        <v>1</v>
      </c>
      <c r="G12376" t="s">
        <v>2</v>
      </c>
      <c r="H12376" t="s">
        <v>14030</v>
      </c>
      <c r="Y12376" t="s">
        <v>44658</v>
      </c>
    </row>
    <row r="12377" spans="1:25" x14ac:dyDescent="0.25">
      <c r="A12377" t="str">
        <f>"185647052234"</f>
        <v>185647052234</v>
      </c>
      <c r="B12377" t="s">
        <v>430</v>
      </c>
      <c r="C12377" t="s">
        <v>44660</v>
      </c>
      <c r="D12377" t="s">
        <v>24924</v>
      </c>
      <c r="E12377">
        <v>424028</v>
      </c>
      <c r="F12377" t="s">
        <v>1</v>
      </c>
      <c r="G12377" t="s">
        <v>2</v>
      </c>
      <c r="H12377" t="s">
        <v>3359</v>
      </c>
      <c r="I12377" t="s">
        <v>44659</v>
      </c>
      <c r="P12377" t="s">
        <v>1404</v>
      </c>
      <c r="Y12377" t="s">
        <v>15441</v>
      </c>
    </row>
    <row r="12378" spans="1:25" x14ac:dyDescent="0.25">
      <c r="A12378" t="str">
        <f>"185678506400"</f>
        <v>185678506400</v>
      </c>
      <c r="B12378" t="s">
        <v>88</v>
      </c>
      <c r="C12378" t="s">
        <v>6066</v>
      </c>
      <c r="D12378" t="s">
        <v>44661</v>
      </c>
      <c r="E12378">
        <v>424040</v>
      </c>
      <c r="F12378" t="s">
        <v>1</v>
      </c>
      <c r="G12378" t="s">
        <v>2</v>
      </c>
      <c r="H12378" t="s">
        <v>44662</v>
      </c>
      <c r="Y12378" t="s">
        <v>44663</v>
      </c>
    </row>
    <row r="12379" spans="1:25" x14ac:dyDescent="0.25">
      <c r="A12379" t="str">
        <f>"185698807009"</f>
        <v>185698807009</v>
      </c>
      <c r="B12379" t="s">
        <v>117</v>
      </c>
      <c r="C12379" t="s">
        <v>873</v>
      </c>
      <c r="D12379" t="s">
        <v>873</v>
      </c>
      <c r="E12379">
        <v>424000</v>
      </c>
      <c r="F12379" t="s">
        <v>1</v>
      </c>
      <c r="G12379" t="s">
        <v>2</v>
      </c>
      <c r="H12379" t="s">
        <v>8243</v>
      </c>
      <c r="Y12379" t="s">
        <v>44664</v>
      </c>
    </row>
    <row r="12380" spans="1:25" x14ac:dyDescent="0.25">
      <c r="A12380" t="str">
        <f>"185712218800"</f>
        <v>185712218800</v>
      </c>
      <c r="B12380" t="s">
        <v>430</v>
      </c>
      <c r="C12380" t="s">
        <v>16178</v>
      </c>
      <c r="D12380" t="s">
        <v>10135</v>
      </c>
      <c r="E12380">
        <v>424032</v>
      </c>
      <c r="F12380" t="s">
        <v>1</v>
      </c>
      <c r="G12380" t="s">
        <v>2</v>
      </c>
      <c r="H12380" t="s">
        <v>2250</v>
      </c>
      <c r="Y12380" t="s">
        <v>44665</v>
      </c>
    </row>
    <row r="12381" spans="1:25" x14ac:dyDescent="0.25">
      <c r="A12381" t="str">
        <f>"185728608993"</f>
        <v>185728608993</v>
      </c>
      <c r="B12381" t="s">
        <v>2601</v>
      </c>
      <c r="C12381" t="s">
        <v>26383</v>
      </c>
      <c r="D12381" t="s">
        <v>44666</v>
      </c>
      <c r="E12381">
        <v>424002</v>
      </c>
      <c r="F12381" t="s">
        <v>1</v>
      </c>
      <c r="G12381" t="s">
        <v>2</v>
      </c>
      <c r="H12381" t="s">
        <v>3864</v>
      </c>
      <c r="J12381" t="s">
        <v>44667</v>
      </c>
      <c r="L12381" t="s">
        <v>44668</v>
      </c>
      <c r="M12381" t="s">
        <v>44669</v>
      </c>
      <c r="P12381" t="s">
        <v>144</v>
      </c>
      <c r="Q12381" t="s">
        <v>44670</v>
      </c>
      <c r="V12381" t="s">
        <v>44671</v>
      </c>
      <c r="Y12381" t="s">
        <v>44672</v>
      </c>
    </row>
    <row r="12382" spans="1:25" x14ac:dyDescent="0.25">
      <c r="A12382" t="str">
        <f>"185786354538"</f>
        <v>185786354538</v>
      </c>
      <c r="B12382" t="s">
        <v>7312</v>
      </c>
      <c r="C12382" t="s">
        <v>26428</v>
      </c>
      <c r="D12382" t="s">
        <v>27363</v>
      </c>
      <c r="E12382">
        <v>424020</v>
      </c>
      <c r="F12382" t="s">
        <v>1</v>
      </c>
      <c r="G12382" t="s">
        <v>2</v>
      </c>
      <c r="H12382" t="s">
        <v>24808</v>
      </c>
      <c r="P12382" t="s">
        <v>37178</v>
      </c>
      <c r="Y12382" t="s">
        <v>44673</v>
      </c>
    </row>
    <row r="12383" spans="1:25" x14ac:dyDescent="0.25">
      <c r="A12383" t="str">
        <f>"185789145973"</f>
        <v>185789145973</v>
      </c>
      <c r="B12383" t="s">
        <v>5840</v>
      </c>
      <c r="C12383" t="s">
        <v>23837</v>
      </c>
      <c r="D12383" t="s">
        <v>44674</v>
      </c>
      <c r="E12383">
        <v>424008</v>
      </c>
      <c r="F12383" t="s">
        <v>1</v>
      </c>
      <c r="G12383" t="s">
        <v>2</v>
      </c>
      <c r="H12383" t="s">
        <v>7167</v>
      </c>
      <c r="I12383" t="s">
        <v>44675</v>
      </c>
      <c r="J12383" t="s">
        <v>44676</v>
      </c>
      <c r="P12383" t="s">
        <v>1071</v>
      </c>
      <c r="Q12383" t="s">
        <v>44677</v>
      </c>
      <c r="Y12383" t="s">
        <v>44678</v>
      </c>
    </row>
    <row r="12384" spans="1:25" x14ac:dyDescent="0.25">
      <c r="A12384" t="str">
        <f>"185803487298"</f>
        <v>185803487298</v>
      </c>
      <c r="B12384" t="s">
        <v>96</v>
      </c>
      <c r="C12384" t="s">
        <v>893</v>
      </c>
      <c r="D12384" t="s">
        <v>44679</v>
      </c>
      <c r="E12384">
        <v>424918</v>
      </c>
      <c r="F12384" t="s">
        <v>1</v>
      </c>
      <c r="G12384" t="s">
        <v>2</v>
      </c>
      <c r="H12384" t="s">
        <v>629</v>
      </c>
      <c r="I12384" t="s">
        <v>20946</v>
      </c>
      <c r="P12384" t="s">
        <v>630</v>
      </c>
      <c r="Y12384" t="s">
        <v>1744</v>
      </c>
    </row>
    <row r="12385" spans="1:25" x14ac:dyDescent="0.25">
      <c r="A12385" t="str">
        <f>"185816137670"</f>
        <v>185816137670</v>
      </c>
      <c r="B12385" t="s">
        <v>841</v>
      </c>
      <c r="C12385" t="s">
        <v>11986</v>
      </c>
      <c r="D12385" t="s">
        <v>44680</v>
      </c>
      <c r="E12385">
        <v>424030</v>
      </c>
      <c r="F12385" t="s">
        <v>1</v>
      </c>
      <c r="G12385" t="s">
        <v>2</v>
      </c>
      <c r="H12385" t="s">
        <v>25394</v>
      </c>
      <c r="Y12385" t="s">
        <v>44681</v>
      </c>
    </row>
    <row r="12386" spans="1:25" x14ac:dyDescent="0.25">
      <c r="A12386" t="str">
        <f>"185827649058"</f>
        <v>185827649058</v>
      </c>
      <c r="B12386" t="s">
        <v>1758</v>
      </c>
      <c r="C12386" t="s">
        <v>7867</v>
      </c>
      <c r="D12386" t="s">
        <v>1805</v>
      </c>
      <c r="E12386">
        <v>424038</v>
      </c>
      <c r="F12386" t="s">
        <v>1</v>
      </c>
      <c r="G12386" t="s">
        <v>2</v>
      </c>
      <c r="H12386" t="s">
        <v>21388</v>
      </c>
      <c r="I12386" t="s">
        <v>25649</v>
      </c>
      <c r="P12386" t="s">
        <v>312</v>
      </c>
      <c r="Y12386" t="s">
        <v>44682</v>
      </c>
    </row>
    <row r="12387" spans="1:25" x14ac:dyDescent="0.25">
      <c r="A12387" t="str">
        <f>"185829778159"</f>
        <v>185829778159</v>
      </c>
      <c r="B12387" t="s">
        <v>160</v>
      </c>
      <c r="C12387" t="s">
        <v>13649</v>
      </c>
      <c r="D12387" t="s">
        <v>44683</v>
      </c>
      <c r="E12387">
        <v>424037</v>
      </c>
      <c r="F12387" t="s">
        <v>1</v>
      </c>
      <c r="G12387" t="s">
        <v>2</v>
      </c>
      <c r="H12387" t="s">
        <v>44684</v>
      </c>
      <c r="Y12387" t="s">
        <v>44685</v>
      </c>
    </row>
    <row r="12388" spans="1:25" x14ac:dyDescent="0.25">
      <c r="A12388" t="str">
        <f>"185857399556"</f>
        <v>185857399556</v>
      </c>
      <c r="B12388" t="s">
        <v>703</v>
      </c>
      <c r="C12388" t="s">
        <v>2129</v>
      </c>
      <c r="D12388" t="s">
        <v>44686</v>
      </c>
      <c r="E12388">
        <v>424006</v>
      </c>
      <c r="F12388" t="s">
        <v>1</v>
      </c>
      <c r="G12388" t="s">
        <v>2</v>
      </c>
      <c r="H12388" t="s">
        <v>478</v>
      </c>
      <c r="J12388" t="s">
        <v>44687</v>
      </c>
      <c r="L12388" t="s">
        <v>597</v>
      </c>
      <c r="M12388" t="s">
        <v>44688</v>
      </c>
      <c r="P12388" t="s">
        <v>330</v>
      </c>
      <c r="Y12388" t="s">
        <v>44689</v>
      </c>
    </row>
    <row r="12389" spans="1:25" x14ac:dyDescent="0.25">
      <c r="A12389" t="str">
        <f>"185886244992"</f>
        <v>185886244992</v>
      </c>
      <c r="B12389" t="s">
        <v>25</v>
      </c>
      <c r="C12389" t="s">
        <v>24938</v>
      </c>
      <c r="D12389" t="s">
        <v>44690</v>
      </c>
      <c r="F12389" t="s">
        <v>1</v>
      </c>
      <c r="G12389" t="s">
        <v>2</v>
      </c>
      <c r="H12389" t="s">
        <v>44691</v>
      </c>
      <c r="I12389" t="s">
        <v>42650</v>
      </c>
      <c r="M12389" t="s">
        <v>44692</v>
      </c>
      <c r="Y12389" t="s">
        <v>44693</v>
      </c>
    </row>
    <row r="12390" spans="1:25" x14ac:dyDescent="0.25">
      <c r="A12390" t="str">
        <f>"185897106980"</f>
        <v>185897106980</v>
      </c>
      <c r="B12390" t="s">
        <v>841</v>
      </c>
      <c r="C12390" t="s">
        <v>38793</v>
      </c>
      <c r="D12390" t="s">
        <v>44694</v>
      </c>
      <c r="E12390">
        <v>424004</v>
      </c>
      <c r="F12390" t="s">
        <v>1</v>
      </c>
      <c r="G12390" t="s">
        <v>2</v>
      </c>
      <c r="H12390" t="s">
        <v>2133</v>
      </c>
      <c r="I12390" t="s">
        <v>44695</v>
      </c>
      <c r="J12390" t="s">
        <v>44696</v>
      </c>
      <c r="L12390" t="s">
        <v>44697</v>
      </c>
      <c r="M12390" t="s">
        <v>44698</v>
      </c>
      <c r="P12390" t="s">
        <v>4671</v>
      </c>
      <c r="Y12390" t="s">
        <v>44699</v>
      </c>
    </row>
    <row r="12391" spans="1:25" x14ac:dyDescent="0.25">
      <c r="A12391" t="str">
        <f>"185923116374"</f>
        <v>185923116374</v>
      </c>
      <c r="B12391" t="s">
        <v>430</v>
      </c>
      <c r="C12391" t="s">
        <v>2431</v>
      </c>
      <c r="D12391" t="s">
        <v>44700</v>
      </c>
      <c r="E12391">
        <v>424039</v>
      </c>
      <c r="F12391" t="s">
        <v>1</v>
      </c>
      <c r="G12391" t="s">
        <v>2</v>
      </c>
      <c r="H12391" t="s">
        <v>17375</v>
      </c>
      <c r="I12391" t="s">
        <v>40325</v>
      </c>
      <c r="J12391" t="s">
        <v>44701</v>
      </c>
      <c r="P12391" t="s">
        <v>941</v>
      </c>
      <c r="Y12391" t="s">
        <v>44702</v>
      </c>
    </row>
    <row r="12392" spans="1:25" x14ac:dyDescent="0.25">
      <c r="A12392" t="str">
        <f>"185926070094"</f>
        <v>185926070094</v>
      </c>
      <c r="B12392" t="s">
        <v>160</v>
      </c>
      <c r="C12392" t="s">
        <v>2479</v>
      </c>
      <c r="D12392" t="s">
        <v>44703</v>
      </c>
      <c r="E12392">
        <v>424000</v>
      </c>
      <c r="F12392" t="s">
        <v>1</v>
      </c>
      <c r="G12392" t="s">
        <v>2</v>
      </c>
      <c r="H12392" t="s">
        <v>8365</v>
      </c>
      <c r="I12392" t="s">
        <v>44704</v>
      </c>
      <c r="L12392" t="s">
        <v>44705</v>
      </c>
      <c r="M12392" t="s">
        <v>44706</v>
      </c>
      <c r="P12392" t="s">
        <v>16164</v>
      </c>
      <c r="Y12392" t="s">
        <v>44707</v>
      </c>
    </row>
    <row r="12393" spans="1:25" x14ac:dyDescent="0.25">
      <c r="A12393" t="str">
        <f>"185984659166"</f>
        <v>185984659166</v>
      </c>
      <c r="B12393" t="s">
        <v>574</v>
      </c>
      <c r="C12393" t="s">
        <v>952</v>
      </c>
      <c r="D12393" t="s">
        <v>22405</v>
      </c>
      <c r="E12393">
        <v>424004</v>
      </c>
      <c r="F12393" t="s">
        <v>1</v>
      </c>
      <c r="G12393" t="s">
        <v>2</v>
      </c>
      <c r="H12393" t="s">
        <v>3266</v>
      </c>
      <c r="I12393" t="s">
        <v>7622</v>
      </c>
      <c r="K12393" t="s">
        <v>7622</v>
      </c>
      <c r="P12393" t="s">
        <v>44708</v>
      </c>
      <c r="Y12393" t="s">
        <v>16843</v>
      </c>
    </row>
    <row r="12394" spans="1:25" x14ac:dyDescent="0.25">
      <c r="A12394" t="str">
        <f>"186175503887"</f>
        <v>186175503887</v>
      </c>
      <c r="B12394" t="s">
        <v>430</v>
      </c>
      <c r="C12394" t="s">
        <v>940</v>
      </c>
      <c r="D12394" t="s">
        <v>44709</v>
      </c>
      <c r="E12394">
        <v>424918</v>
      </c>
      <c r="F12394" t="s">
        <v>1</v>
      </c>
      <c r="G12394" t="s">
        <v>2</v>
      </c>
      <c r="H12394" t="s">
        <v>629</v>
      </c>
      <c r="P12394" t="s">
        <v>630</v>
      </c>
      <c r="Q12394" t="s">
        <v>29541</v>
      </c>
      <c r="V12394" t="s">
        <v>44710</v>
      </c>
      <c r="Y12394" t="s">
        <v>44711</v>
      </c>
    </row>
    <row r="12395" spans="1:25" x14ac:dyDescent="0.25">
      <c r="A12395" t="str">
        <f>"186264997338"</f>
        <v>186264997338</v>
      </c>
      <c r="B12395" t="s">
        <v>319</v>
      </c>
      <c r="C12395" t="s">
        <v>320</v>
      </c>
      <c r="D12395" t="s">
        <v>32261</v>
      </c>
      <c r="E12395">
        <v>424005</v>
      </c>
      <c r="F12395" t="s">
        <v>1</v>
      </c>
      <c r="G12395" t="s">
        <v>2</v>
      </c>
      <c r="H12395" t="s">
        <v>4965</v>
      </c>
      <c r="I12395" t="s">
        <v>44712</v>
      </c>
      <c r="L12395" t="s">
        <v>2559</v>
      </c>
      <c r="M12395" t="s">
        <v>17901</v>
      </c>
      <c r="P12395" t="s">
        <v>133</v>
      </c>
      <c r="Y12395" t="s">
        <v>44713</v>
      </c>
    </row>
    <row r="12396" spans="1:25" x14ac:dyDescent="0.25">
      <c r="A12396" t="str">
        <f>"186287015013"</f>
        <v>186287015013</v>
      </c>
      <c r="B12396" t="s">
        <v>290</v>
      </c>
      <c r="C12396" t="s">
        <v>44715</v>
      </c>
      <c r="D12396" t="s">
        <v>44714</v>
      </c>
      <c r="E12396">
        <v>424016</v>
      </c>
      <c r="F12396" t="s">
        <v>1</v>
      </c>
      <c r="G12396" t="s">
        <v>2</v>
      </c>
      <c r="H12396" t="s">
        <v>32609</v>
      </c>
      <c r="Y12396" t="s">
        <v>44716</v>
      </c>
    </row>
    <row r="12397" spans="1:25" x14ac:dyDescent="0.25">
      <c r="A12397" t="str">
        <f>"186291580706"</f>
        <v>186291580706</v>
      </c>
      <c r="B12397" t="s">
        <v>1343</v>
      </c>
      <c r="C12397" t="s">
        <v>5984</v>
      </c>
      <c r="D12397" t="s">
        <v>44717</v>
      </c>
      <c r="E12397">
        <v>424000</v>
      </c>
      <c r="F12397" t="s">
        <v>1</v>
      </c>
      <c r="G12397" t="s">
        <v>2</v>
      </c>
      <c r="H12397" t="s">
        <v>3421</v>
      </c>
      <c r="J12397" t="s">
        <v>44718</v>
      </c>
      <c r="P12397" t="s">
        <v>941</v>
      </c>
      <c r="Y12397" t="s">
        <v>44719</v>
      </c>
    </row>
    <row r="12398" spans="1:25" x14ac:dyDescent="0.25">
      <c r="A12398" t="str">
        <f>"186299014323"</f>
        <v>186299014323</v>
      </c>
      <c r="B12398" t="s">
        <v>530</v>
      </c>
      <c r="C12398" t="s">
        <v>23950</v>
      </c>
      <c r="D12398" t="s">
        <v>23950</v>
      </c>
      <c r="F12398" t="s">
        <v>1</v>
      </c>
      <c r="G12398" t="s">
        <v>2</v>
      </c>
      <c r="H12398" t="s">
        <v>35021</v>
      </c>
      <c r="Y12398" t="s">
        <v>44720</v>
      </c>
    </row>
    <row r="12399" spans="1:25" x14ac:dyDescent="0.25">
      <c r="A12399" t="str">
        <f>"186399351143"</f>
        <v>186399351143</v>
      </c>
      <c r="B12399" t="s">
        <v>176</v>
      </c>
      <c r="C12399" t="s">
        <v>17458</v>
      </c>
      <c r="D12399" t="s">
        <v>44721</v>
      </c>
      <c r="E12399">
        <v>424006</v>
      </c>
      <c r="F12399" t="s">
        <v>1</v>
      </c>
      <c r="G12399" t="s">
        <v>2</v>
      </c>
      <c r="H12399" t="s">
        <v>4628</v>
      </c>
      <c r="I12399" t="s">
        <v>44722</v>
      </c>
      <c r="P12399" t="s">
        <v>44723</v>
      </c>
      <c r="Y12399" t="s">
        <v>44724</v>
      </c>
    </row>
    <row r="12400" spans="1:25" x14ac:dyDescent="0.25">
      <c r="A12400" t="str">
        <f>"186412357240"</f>
        <v>186412357240</v>
      </c>
      <c r="B12400" t="s">
        <v>32</v>
      </c>
      <c r="C12400" t="s">
        <v>20137</v>
      </c>
      <c r="D12400" t="s">
        <v>44725</v>
      </c>
      <c r="E12400">
        <v>424000</v>
      </c>
      <c r="F12400" t="s">
        <v>1</v>
      </c>
      <c r="G12400" t="s">
        <v>2</v>
      </c>
      <c r="H12400" t="s">
        <v>5615</v>
      </c>
      <c r="I12400" t="s">
        <v>44726</v>
      </c>
      <c r="P12400" t="s">
        <v>98</v>
      </c>
      <c r="Y12400" t="s">
        <v>44727</v>
      </c>
    </row>
    <row r="12401" spans="1:25" x14ac:dyDescent="0.25">
      <c r="A12401" t="str">
        <f>"186474058715"</f>
        <v>186474058715</v>
      </c>
      <c r="B12401" t="s">
        <v>519</v>
      </c>
      <c r="C12401" t="s">
        <v>44729</v>
      </c>
      <c r="D12401" t="s">
        <v>44728</v>
      </c>
      <c r="E12401">
        <v>424006</v>
      </c>
      <c r="F12401" t="s">
        <v>1</v>
      </c>
      <c r="G12401" t="s">
        <v>2</v>
      </c>
      <c r="H12401" t="s">
        <v>6133</v>
      </c>
      <c r="P12401" t="s">
        <v>1760</v>
      </c>
      <c r="Y12401" t="s">
        <v>44730</v>
      </c>
    </row>
    <row r="12402" spans="1:25" x14ac:dyDescent="0.25">
      <c r="A12402" t="str">
        <f>"186500418239"</f>
        <v>186500418239</v>
      </c>
      <c r="B12402" t="s">
        <v>1053</v>
      </c>
      <c r="C12402" t="s">
        <v>1927</v>
      </c>
      <c r="D12402" t="s">
        <v>44731</v>
      </c>
      <c r="E12402">
        <v>424039</v>
      </c>
      <c r="F12402" t="s">
        <v>1</v>
      </c>
      <c r="G12402" t="s">
        <v>2</v>
      </c>
      <c r="H12402" t="s">
        <v>44732</v>
      </c>
      <c r="Y12402" t="s">
        <v>44733</v>
      </c>
    </row>
    <row r="12403" spans="1:25" x14ac:dyDescent="0.25">
      <c r="A12403" t="str">
        <f>"186528427193"</f>
        <v>186528427193</v>
      </c>
      <c r="B12403" t="s">
        <v>96</v>
      </c>
      <c r="C12403" t="s">
        <v>12339</v>
      </c>
      <c r="D12403" t="s">
        <v>42377</v>
      </c>
      <c r="E12403">
        <v>424000</v>
      </c>
      <c r="F12403" t="s">
        <v>1</v>
      </c>
      <c r="G12403" t="s">
        <v>2</v>
      </c>
      <c r="H12403" t="s">
        <v>1531</v>
      </c>
      <c r="Y12403" t="s">
        <v>44734</v>
      </c>
    </row>
    <row r="12404" spans="1:25" x14ac:dyDescent="0.25">
      <c r="A12404" t="str">
        <f>"186539516992"</f>
        <v>186539516992</v>
      </c>
      <c r="B12404" t="s">
        <v>530</v>
      </c>
      <c r="C12404" t="s">
        <v>23950</v>
      </c>
      <c r="D12404" t="s">
        <v>23950</v>
      </c>
      <c r="F12404" t="s">
        <v>1</v>
      </c>
      <c r="G12404" t="s">
        <v>2</v>
      </c>
      <c r="H12404" t="s">
        <v>35075</v>
      </c>
      <c r="Y12404" t="s">
        <v>44735</v>
      </c>
    </row>
    <row r="12405" spans="1:25" x14ac:dyDescent="0.25">
      <c r="A12405" t="str">
        <f>"186543987473"</f>
        <v>186543987473</v>
      </c>
      <c r="B12405" t="s">
        <v>96</v>
      </c>
      <c r="C12405" t="s">
        <v>893</v>
      </c>
      <c r="D12405" t="s">
        <v>44736</v>
      </c>
      <c r="E12405">
        <v>424918</v>
      </c>
      <c r="F12405" t="s">
        <v>1</v>
      </c>
      <c r="G12405" t="s">
        <v>2</v>
      </c>
      <c r="H12405" t="s">
        <v>629</v>
      </c>
      <c r="P12405" t="s">
        <v>630</v>
      </c>
      <c r="Y12405" t="s">
        <v>40232</v>
      </c>
    </row>
    <row r="12406" spans="1:25" x14ac:dyDescent="0.25">
      <c r="A12406" t="str">
        <f>"186552390649"</f>
        <v>186552390649</v>
      </c>
      <c r="B12406" t="s">
        <v>519</v>
      </c>
      <c r="C12406" t="s">
        <v>44737</v>
      </c>
      <c r="D12406" t="s">
        <v>36213</v>
      </c>
      <c r="E12406">
        <v>424007</v>
      </c>
      <c r="F12406" t="s">
        <v>1</v>
      </c>
      <c r="G12406" t="s">
        <v>2</v>
      </c>
      <c r="H12406" t="s">
        <v>23667</v>
      </c>
      <c r="P12406" t="s">
        <v>13898</v>
      </c>
      <c r="Y12406" t="s">
        <v>44738</v>
      </c>
    </row>
    <row r="12407" spans="1:25" x14ac:dyDescent="0.25">
      <c r="A12407" t="str">
        <f>"186616700634"</f>
        <v>186616700634</v>
      </c>
      <c r="B12407" t="s">
        <v>7</v>
      </c>
      <c r="C12407" t="s">
        <v>44739</v>
      </c>
      <c r="D12407" t="s">
        <v>23687</v>
      </c>
      <c r="E12407">
        <v>424031</v>
      </c>
      <c r="F12407" t="s">
        <v>1</v>
      </c>
      <c r="G12407" t="s">
        <v>2</v>
      </c>
      <c r="H12407" t="s">
        <v>7118</v>
      </c>
      <c r="Y12407" t="s">
        <v>7120</v>
      </c>
    </row>
    <row r="12408" spans="1:25" x14ac:dyDescent="0.25">
      <c r="A12408" t="str">
        <f>"186618831443"</f>
        <v>186618831443</v>
      </c>
      <c r="B12408" t="s">
        <v>96</v>
      </c>
      <c r="C12408" t="s">
        <v>695</v>
      </c>
      <c r="D12408" t="s">
        <v>12115</v>
      </c>
      <c r="E12408">
        <v>424038</v>
      </c>
      <c r="F12408" t="s">
        <v>1</v>
      </c>
      <c r="G12408" t="s">
        <v>2</v>
      </c>
      <c r="H12408" t="s">
        <v>16183</v>
      </c>
      <c r="Y12408" t="s">
        <v>44740</v>
      </c>
    </row>
    <row r="12409" spans="1:25" x14ac:dyDescent="0.25">
      <c r="A12409" t="str">
        <f>"186623163272"</f>
        <v>186623163272</v>
      </c>
      <c r="B12409" t="s">
        <v>519</v>
      </c>
      <c r="C12409" t="s">
        <v>23996</v>
      </c>
      <c r="D12409" t="s">
        <v>44741</v>
      </c>
      <c r="E12409">
        <v>424000</v>
      </c>
      <c r="F12409" t="s">
        <v>1</v>
      </c>
      <c r="G12409" t="s">
        <v>2</v>
      </c>
      <c r="H12409" t="s">
        <v>17190</v>
      </c>
      <c r="J12409" t="s">
        <v>42157</v>
      </c>
      <c r="M12409" t="s">
        <v>44742</v>
      </c>
      <c r="P12409" t="s">
        <v>7436</v>
      </c>
      <c r="Y12409" t="s">
        <v>19172</v>
      </c>
    </row>
    <row r="12410" spans="1:25" x14ac:dyDescent="0.25">
      <c r="A12410" t="str">
        <f>"186689906792"</f>
        <v>186689906792</v>
      </c>
      <c r="B12410" t="s">
        <v>25</v>
      </c>
      <c r="C12410" t="s">
        <v>24938</v>
      </c>
      <c r="D12410" t="s">
        <v>44743</v>
      </c>
      <c r="E12410">
        <v>424028</v>
      </c>
      <c r="F12410" t="s">
        <v>1</v>
      </c>
      <c r="G12410" t="s">
        <v>2</v>
      </c>
      <c r="H12410" t="s">
        <v>44744</v>
      </c>
      <c r="Y12410" t="s">
        <v>44745</v>
      </c>
    </row>
    <row r="12411" spans="1:25" x14ac:dyDescent="0.25">
      <c r="A12411" t="str">
        <f>"186691263242"</f>
        <v>186691263242</v>
      </c>
      <c r="B12411" t="s">
        <v>530</v>
      </c>
      <c r="C12411" t="s">
        <v>23950</v>
      </c>
      <c r="D12411" t="s">
        <v>23950</v>
      </c>
      <c r="E12411">
        <v>424006</v>
      </c>
      <c r="F12411" t="s">
        <v>1</v>
      </c>
      <c r="G12411" t="s">
        <v>2</v>
      </c>
      <c r="H12411" t="s">
        <v>9792</v>
      </c>
      <c r="Y12411" t="s">
        <v>44746</v>
      </c>
    </row>
    <row r="12412" spans="1:25" x14ac:dyDescent="0.25">
      <c r="A12412" t="str">
        <f>"186728205617"</f>
        <v>186728205617</v>
      </c>
      <c r="B12412" t="s">
        <v>574</v>
      </c>
      <c r="C12412" t="s">
        <v>14652</v>
      </c>
      <c r="D12412" t="s">
        <v>24972</v>
      </c>
      <c r="E12412">
        <v>424028</v>
      </c>
      <c r="F12412" t="s">
        <v>1</v>
      </c>
      <c r="G12412" t="s">
        <v>2</v>
      </c>
      <c r="H12412" t="s">
        <v>28946</v>
      </c>
      <c r="Y12412" t="s">
        <v>33634</v>
      </c>
    </row>
    <row r="12413" spans="1:25" x14ac:dyDescent="0.25">
      <c r="A12413" t="str">
        <f>"186746684919"</f>
        <v>186746684919</v>
      </c>
      <c r="B12413" t="s">
        <v>110</v>
      </c>
      <c r="C12413" t="s">
        <v>111</v>
      </c>
      <c r="D12413" t="s">
        <v>10203</v>
      </c>
      <c r="E12413">
        <v>424038</v>
      </c>
      <c r="F12413" t="s">
        <v>1</v>
      </c>
      <c r="G12413" t="s">
        <v>2</v>
      </c>
      <c r="H12413" t="s">
        <v>14026</v>
      </c>
      <c r="P12413" t="s">
        <v>471</v>
      </c>
      <c r="Y12413" t="s">
        <v>44747</v>
      </c>
    </row>
    <row r="12414" spans="1:25" x14ac:dyDescent="0.25">
      <c r="A12414" t="str">
        <f>"186797693305"</f>
        <v>186797693305</v>
      </c>
      <c r="B12414" t="s">
        <v>96</v>
      </c>
      <c r="C12414" t="s">
        <v>893</v>
      </c>
      <c r="D12414" t="s">
        <v>44748</v>
      </c>
      <c r="E12414">
        <v>424000</v>
      </c>
      <c r="F12414" t="s">
        <v>1</v>
      </c>
      <c r="G12414" t="s">
        <v>2</v>
      </c>
      <c r="H12414" t="s">
        <v>1531</v>
      </c>
      <c r="Y12414" t="s">
        <v>44749</v>
      </c>
    </row>
    <row r="12415" spans="1:25" x14ac:dyDescent="0.25">
      <c r="A12415" t="str">
        <f>"186837897462"</f>
        <v>186837897462</v>
      </c>
      <c r="B12415" t="s">
        <v>530</v>
      </c>
      <c r="C12415" t="s">
        <v>23950</v>
      </c>
      <c r="D12415" t="s">
        <v>23950</v>
      </c>
      <c r="E12415">
        <v>424006</v>
      </c>
      <c r="F12415" t="s">
        <v>1</v>
      </c>
      <c r="G12415" t="s">
        <v>2</v>
      </c>
      <c r="H12415" t="s">
        <v>6628</v>
      </c>
      <c r="Y12415" t="s">
        <v>44750</v>
      </c>
    </row>
    <row r="12416" spans="1:25" x14ac:dyDescent="0.25">
      <c r="A12416" t="str">
        <f>"186850296541"</f>
        <v>186850296541</v>
      </c>
      <c r="B12416" t="s">
        <v>25</v>
      </c>
      <c r="C12416" t="s">
        <v>20320</v>
      </c>
      <c r="D12416" t="s">
        <v>44751</v>
      </c>
      <c r="F12416" t="s">
        <v>1</v>
      </c>
      <c r="G12416" t="s">
        <v>2</v>
      </c>
      <c r="H12416" t="s">
        <v>5546</v>
      </c>
      <c r="Y12416" t="s">
        <v>44752</v>
      </c>
    </row>
    <row r="12417" spans="1:25" x14ac:dyDescent="0.25">
      <c r="A12417" t="str">
        <f>"186873873256"</f>
        <v>186873873256</v>
      </c>
      <c r="B12417" t="s">
        <v>25</v>
      </c>
      <c r="C12417" t="s">
        <v>59</v>
      </c>
      <c r="D12417" t="s">
        <v>44753</v>
      </c>
      <c r="E12417">
        <v>424037</v>
      </c>
      <c r="F12417" t="s">
        <v>1</v>
      </c>
      <c r="G12417" t="s">
        <v>2</v>
      </c>
      <c r="H12417" t="s">
        <v>10936</v>
      </c>
      <c r="I12417" t="s">
        <v>44754</v>
      </c>
      <c r="J12417" t="s">
        <v>44755</v>
      </c>
      <c r="P12417" t="s">
        <v>133</v>
      </c>
      <c r="Y12417" t="s">
        <v>13639</v>
      </c>
    </row>
    <row r="12418" spans="1:25" x14ac:dyDescent="0.25">
      <c r="A12418" t="str">
        <f>"186907484745"</f>
        <v>186907484745</v>
      </c>
      <c r="B12418" t="s">
        <v>640</v>
      </c>
      <c r="C12418" t="s">
        <v>663</v>
      </c>
      <c r="D12418" t="s">
        <v>44756</v>
      </c>
      <c r="E12418">
        <v>424003</v>
      </c>
      <c r="F12418" t="s">
        <v>1</v>
      </c>
      <c r="G12418" t="s">
        <v>2</v>
      </c>
      <c r="H12418" t="s">
        <v>1042</v>
      </c>
      <c r="I12418" t="s">
        <v>44757</v>
      </c>
      <c r="P12418" t="s">
        <v>44758</v>
      </c>
      <c r="Y12418" t="s">
        <v>44759</v>
      </c>
    </row>
    <row r="12419" spans="1:25" x14ac:dyDescent="0.25">
      <c r="A12419" t="str">
        <f>"186919597596"</f>
        <v>186919597596</v>
      </c>
      <c r="B12419" t="s">
        <v>574</v>
      </c>
      <c r="C12419" t="s">
        <v>14269</v>
      </c>
      <c r="D12419" t="s">
        <v>44760</v>
      </c>
      <c r="E12419">
        <v>424033</v>
      </c>
      <c r="F12419" t="s">
        <v>1</v>
      </c>
      <c r="G12419" t="s">
        <v>2</v>
      </c>
      <c r="H12419" t="s">
        <v>2342</v>
      </c>
      <c r="P12419" t="s">
        <v>2050</v>
      </c>
      <c r="Y12419" t="s">
        <v>44761</v>
      </c>
    </row>
    <row r="12420" spans="1:25" x14ac:dyDescent="0.25">
      <c r="A12420" t="str">
        <f>"186920798234"</f>
        <v>186920798234</v>
      </c>
      <c r="B12420" t="s">
        <v>430</v>
      </c>
      <c r="C12420" t="s">
        <v>16178</v>
      </c>
      <c r="D12420" t="s">
        <v>16178</v>
      </c>
      <c r="E12420">
        <v>424004</v>
      </c>
      <c r="F12420" t="s">
        <v>1</v>
      </c>
      <c r="G12420" t="s">
        <v>2</v>
      </c>
      <c r="H12420" t="s">
        <v>3266</v>
      </c>
      <c r="Y12420" t="s">
        <v>44762</v>
      </c>
    </row>
    <row r="12421" spans="1:25" x14ac:dyDescent="0.25">
      <c r="A12421" t="str">
        <f>"186962025356"</f>
        <v>186962025356</v>
      </c>
      <c r="B12421" t="s">
        <v>738</v>
      </c>
      <c r="C12421" t="s">
        <v>739</v>
      </c>
      <c r="D12421" t="s">
        <v>44763</v>
      </c>
      <c r="E12421">
        <v>424006</v>
      </c>
      <c r="F12421" t="s">
        <v>1</v>
      </c>
      <c r="G12421" t="s">
        <v>2</v>
      </c>
      <c r="H12421" t="s">
        <v>8622</v>
      </c>
      <c r="I12421" t="s">
        <v>44764</v>
      </c>
      <c r="L12421" t="s">
        <v>44765</v>
      </c>
      <c r="M12421" t="s">
        <v>44766</v>
      </c>
      <c r="P12421" t="s">
        <v>44767</v>
      </c>
      <c r="Y12421" t="s">
        <v>44768</v>
      </c>
    </row>
    <row r="12422" spans="1:25" x14ac:dyDescent="0.25">
      <c r="A12422" t="str">
        <f>"186963929189"</f>
        <v>186963929189</v>
      </c>
      <c r="B12422" t="s">
        <v>18</v>
      </c>
      <c r="C12422" t="s">
        <v>143</v>
      </c>
      <c r="D12422" t="s">
        <v>44194</v>
      </c>
      <c r="F12422" t="s">
        <v>1</v>
      </c>
      <c r="G12422" t="s">
        <v>2</v>
      </c>
      <c r="H12422" t="s">
        <v>343</v>
      </c>
      <c r="I12422" t="s">
        <v>44769</v>
      </c>
      <c r="P12422" t="s">
        <v>280</v>
      </c>
      <c r="Y12422" t="s">
        <v>345</v>
      </c>
    </row>
    <row r="12423" spans="1:25" x14ac:dyDescent="0.25">
      <c r="A12423" t="str">
        <f>"186990792626"</f>
        <v>186990792626</v>
      </c>
      <c r="B12423" t="s">
        <v>888</v>
      </c>
      <c r="C12423" t="s">
        <v>44771</v>
      </c>
      <c r="D12423" t="s">
        <v>44770</v>
      </c>
      <c r="E12423">
        <v>424007</v>
      </c>
      <c r="F12423" t="s">
        <v>1</v>
      </c>
      <c r="G12423" t="s">
        <v>2</v>
      </c>
      <c r="H12423" t="s">
        <v>6164</v>
      </c>
      <c r="Y12423" t="s">
        <v>44772</v>
      </c>
    </row>
    <row r="12424" spans="1:25" x14ac:dyDescent="0.25">
      <c r="A12424" t="str">
        <f>"187019984072"</f>
        <v>187019984072</v>
      </c>
      <c r="B12424" t="s">
        <v>1493</v>
      </c>
      <c r="C12424" t="s">
        <v>2355</v>
      </c>
      <c r="D12424" t="s">
        <v>44773</v>
      </c>
      <c r="E12424">
        <v>424006</v>
      </c>
      <c r="F12424" t="s">
        <v>1</v>
      </c>
      <c r="G12424" t="s">
        <v>2</v>
      </c>
      <c r="H12424" t="s">
        <v>1923</v>
      </c>
      <c r="Y12424" t="s">
        <v>1928</v>
      </c>
    </row>
    <row r="12425" spans="1:25" x14ac:dyDescent="0.25">
      <c r="A12425" t="str">
        <f>"187032748412"</f>
        <v>187032748412</v>
      </c>
      <c r="B12425" t="s">
        <v>96</v>
      </c>
      <c r="C12425" t="s">
        <v>8808</v>
      </c>
      <c r="D12425" t="s">
        <v>20451</v>
      </c>
      <c r="E12425">
        <v>424019</v>
      </c>
      <c r="F12425" t="s">
        <v>1</v>
      </c>
      <c r="G12425" t="s">
        <v>2</v>
      </c>
      <c r="H12425" t="s">
        <v>7785</v>
      </c>
      <c r="P12425" t="s">
        <v>98</v>
      </c>
      <c r="Y12425" t="s">
        <v>44774</v>
      </c>
    </row>
    <row r="12426" spans="1:25" x14ac:dyDescent="0.25">
      <c r="A12426" t="str">
        <f>"187037889394"</f>
        <v>187037889394</v>
      </c>
      <c r="B12426" t="s">
        <v>96</v>
      </c>
      <c r="C12426" t="s">
        <v>2285</v>
      </c>
      <c r="D12426" t="s">
        <v>44775</v>
      </c>
      <c r="E12426">
        <v>424007</v>
      </c>
      <c r="F12426" t="s">
        <v>1</v>
      </c>
      <c r="G12426" t="s">
        <v>2</v>
      </c>
      <c r="H12426" t="s">
        <v>5281</v>
      </c>
      <c r="Y12426" t="s">
        <v>16121</v>
      </c>
    </row>
    <row r="12427" spans="1:25" x14ac:dyDescent="0.25">
      <c r="A12427" t="str">
        <f>"187038336348"</f>
        <v>187038336348</v>
      </c>
      <c r="B12427" t="s">
        <v>388</v>
      </c>
      <c r="C12427" t="s">
        <v>2653</v>
      </c>
      <c r="D12427" t="s">
        <v>4503</v>
      </c>
      <c r="E12427">
        <v>424003</v>
      </c>
      <c r="F12427" t="s">
        <v>1</v>
      </c>
      <c r="G12427" t="s">
        <v>2</v>
      </c>
      <c r="H12427" t="s">
        <v>25048</v>
      </c>
      <c r="I12427" t="s">
        <v>44776</v>
      </c>
      <c r="Y12427" t="s">
        <v>25051</v>
      </c>
    </row>
    <row r="12428" spans="1:25" x14ac:dyDescent="0.25">
      <c r="A12428" t="str">
        <f>"187047455102"</f>
        <v>187047455102</v>
      </c>
      <c r="B12428" t="s">
        <v>25</v>
      </c>
      <c r="C12428" t="s">
        <v>59</v>
      </c>
      <c r="D12428" t="s">
        <v>43595</v>
      </c>
      <c r="E12428">
        <v>424006</v>
      </c>
      <c r="F12428" t="s">
        <v>1</v>
      </c>
      <c r="G12428" t="s">
        <v>2</v>
      </c>
      <c r="H12428" t="s">
        <v>751</v>
      </c>
      <c r="J12428" t="s">
        <v>44777</v>
      </c>
      <c r="L12428" t="s">
        <v>44778</v>
      </c>
      <c r="M12428" t="s">
        <v>44779</v>
      </c>
      <c r="P12428" t="s">
        <v>27</v>
      </c>
      <c r="Q12428" t="s">
        <v>44780</v>
      </c>
      <c r="Y12428" t="s">
        <v>44781</v>
      </c>
    </row>
    <row r="12429" spans="1:25" x14ac:dyDescent="0.25">
      <c r="A12429" t="str">
        <f>"187055682452"</f>
        <v>187055682452</v>
      </c>
      <c r="B12429" t="s">
        <v>176</v>
      </c>
      <c r="C12429" t="s">
        <v>2838</v>
      </c>
      <c r="D12429" t="s">
        <v>25190</v>
      </c>
      <c r="E12429">
        <v>424003</v>
      </c>
      <c r="F12429" t="s">
        <v>1</v>
      </c>
      <c r="G12429" t="s">
        <v>2</v>
      </c>
      <c r="H12429" t="s">
        <v>1725</v>
      </c>
      <c r="Y12429" t="s">
        <v>3296</v>
      </c>
    </row>
    <row r="12430" spans="1:25" x14ac:dyDescent="0.25">
      <c r="A12430" t="str">
        <f>"187056180938"</f>
        <v>187056180938</v>
      </c>
      <c r="B12430" t="s">
        <v>1182</v>
      </c>
      <c r="C12430" t="s">
        <v>6011</v>
      </c>
      <c r="D12430" t="s">
        <v>38790</v>
      </c>
      <c r="E12430">
        <v>424006</v>
      </c>
      <c r="F12430" t="s">
        <v>1</v>
      </c>
      <c r="G12430" t="s">
        <v>2</v>
      </c>
      <c r="H12430" t="s">
        <v>35806</v>
      </c>
      <c r="I12430" t="s">
        <v>44782</v>
      </c>
      <c r="P12430" t="s">
        <v>584</v>
      </c>
      <c r="Y12430" t="s">
        <v>42997</v>
      </c>
    </row>
    <row r="12431" spans="1:25" x14ac:dyDescent="0.25">
      <c r="A12431" t="str">
        <f>"187085468645"</f>
        <v>187085468645</v>
      </c>
      <c r="B12431" t="s">
        <v>462</v>
      </c>
      <c r="C12431" t="s">
        <v>1140</v>
      </c>
      <c r="D12431" t="s">
        <v>44783</v>
      </c>
      <c r="E12431">
        <v>424002</v>
      </c>
      <c r="F12431" t="s">
        <v>1</v>
      </c>
      <c r="G12431" t="s">
        <v>2</v>
      </c>
      <c r="H12431" t="s">
        <v>57</v>
      </c>
      <c r="I12431" t="s">
        <v>44784</v>
      </c>
      <c r="P12431" t="s">
        <v>44785</v>
      </c>
      <c r="Y12431" t="s">
        <v>3783</v>
      </c>
    </row>
    <row r="12432" spans="1:25" x14ac:dyDescent="0.25">
      <c r="A12432" t="str">
        <f>"187085644174"</f>
        <v>187085644174</v>
      </c>
      <c r="B12432" t="s">
        <v>18</v>
      </c>
      <c r="C12432" t="s">
        <v>4522</v>
      </c>
      <c r="D12432" t="s">
        <v>44786</v>
      </c>
      <c r="E12432">
        <v>424020</v>
      </c>
      <c r="F12432" t="s">
        <v>1</v>
      </c>
      <c r="G12432" t="s">
        <v>2</v>
      </c>
      <c r="H12432" t="s">
        <v>23</v>
      </c>
      <c r="Y12432" t="s">
        <v>44787</v>
      </c>
    </row>
    <row r="12433" spans="1:25" x14ac:dyDescent="0.25">
      <c r="A12433" t="str">
        <f>"187178761103"</f>
        <v>187178761103</v>
      </c>
      <c r="B12433" t="s">
        <v>1352</v>
      </c>
      <c r="C12433" t="s">
        <v>22433</v>
      </c>
      <c r="D12433" t="s">
        <v>35882</v>
      </c>
      <c r="F12433" t="s">
        <v>1</v>
      </c>
      <c r="G12433" t="s">
        <v>2</v>
      </c>
      <c r="H12433" t="s">
        <v>26218</v>
      </c>
      <c r="I12433" t="s">
        <v>44788</v>
      </c>
      <c r="P12433" t="s">
        <v>980</v>
      </c>
      <c r="Q12433" t="s">
        <v>44789</v>
      </c>
      <c r="Y12433" t="s">
        <v>31016</v>
      </c>
    </row>
    <row r="12434" spans="1:25" x14ac:dyDescent="0.25">
      <c r="A12434" t="str">
        <f>"187254019232"</f>
        <v>187254019232</v>
      </c>
      <c r="B12434" t="s">
        <v>482</v>
      </c>
      <c r="C12434" t="s">
        <v>44793</v>
      </c>
      <c r="D12434" t="s">
        <v>44790</v>
      </c>
      <c r="E12434">
        <v>424031</v>
      </c>
      <c r="F12434" t="s">
        <v>1</v>
      </c>
      <c r="G12434" t="s">
        <v>2</v>
      </c>
      <c r="H12434" t="s">
        <v>413</v>
      </c>
      <c r="J12434" t="s">
        <v>44791</v>
      </c>
      <c r="M12434" t="s">
        <v>44792</v>
      </c>
      <c r="P12434" t="s">
        <v>4538</v>
      </c>
      <c r="Y12434" t="s">
        <v>1421</v>
      </c>
    </row>
    <row r="12435" spans="1:25" x14ac:dyDescent="0.25">
      <c r="A12435" t="str">
        <f>"187371003329"</f>
        <v>187371003329</v>
      </c>
      <c r="B12435" t="s">
        <v>18</v>
      </c>
      <c r="C12435" t="s">
        <v>17550</v>
      </c>
      <c r="D12435" t="s">
        <v>143</v>
      </c>
      <c r="E12435">
        <v>424006</v>
      </c>
      <c r="F12435" t="s">
        <v>1</v>
      </c>
      <c r="G12435" t="s">
        <v>2</v>
      </c>
      <c r="H12435" t="s">
        <v>14949</v>
      </c>
      <c r="I12435" t="s">
        <v>44794</v>
      </c>
      <c r="P12435" t="s">
        <v>280</v>
      </c>
      <c r="Y12435" t="s">
        <v>13598</v>
      </c>
    </row>
    <row r="12436" spans="1:25" x14ac:dyDescent="0.25">
      <c r="A12436" t="str">
        <f>"187377057719"</f>
        <v>187377057719</v>
      </c>
      <c r="B12436" t="s">
        <v>574</v>
      </c>
      <c r="C12436" t="s">
        <v>646</v>
      </c>
      <c r="D12436" t="s">
        <v>44795</v>
      </c>
      <c r="E12436">
        <v>424038</v>
      </c>
      <c r="F12436" t="s">
        <v>1</v>
      </c>
      <c r="G12436" t="s">
        <v>2</v>
      </c>
      <c r="H12436" t="s">
        <v>7597</v>
      </c>
      <c r="J12436" t="s">
        <v>44796</v>
      </c>
      <c r="P12436" t="s">
        <v>144</v>
      </c>
      <c r="Y12436" t="s">
        <v>16150</v>
      </c>
    </row>
    <row r="12437" spans="1:25" x14ac:dyDescent="0.25">
      <c r="A12437" t="str">
        <f>"187384602419"</f>
        <v>187384602419</v>
      </c>
      <c r="B12437" t="s">
        <v>188</v>
      </c>
      <c r="C12437" t="s">
        <v>8311</v>
      </c>
      <c r="D12437" t="s">
        <v>44797</v>
      </c>
      <c r="E12437">
        <v>424000</v>
      </c>
      <c r="F12437" t="s">
        <v>1</v>
      </c>
      <c r="G12437" t="s">
        <v>2</v>
      </c>
      <c r="H12437" t="s">
        <v>17190</v>
      </c>
      <c r="I12437" t="s">
        <v>44798</v>
      </c>
      <c r="L12437" t="s">
        <v>44799</v>
      </c>
      <c r="M12437" t="s">
        <v>44800</v>
      </c>
      <c r="P12437" t="s">
        <v>98</v>
      </c>
      <c r="Q12437" t="s">
        <v>44801</v>
      </c>
      <c r="S12437" t="s">
        <v>44802</v>
      </c>
      <c r="T12437" t="s">
        <v>44803</v>
      </c>
      <c r="U12437" t="s">
        <v>44804</v>
      </c>
      <c r="V12437" t="s">
        <v>44805</v>
      </c>
      <c r="Y12437" t="s">
        <v>19172</v>
      </c>
    </row>
    <row r="12438" spans="1:25" x14ac:dyDescent="0.25">
      <c r="A12438" t="str">
        <f>"187412041590"</f>
        <v>187412041590</v>
      </c>
      <c r="B12438" t="s">
        <v>1544</v>
      </c>
      <c r="C12438" t="s">
        <v>7974</v>
      </c>
      <c r="D12438" t="s">
        <v>44806</v>
      </c>
      <c r="E12438">
        <v>424040</v>
      </c>
      <c r="F12438" t="s">
        <v>1</v>
      </c>
      <c r="G12438" t="s">
        <v>2</v>
      </c>
      <c r="H12438" t="s">
        <v>7989</v>
      </c>
      <c r="I12438" t="s">
        <v>44807</v>
      </c>
      <c r="P12438" t="s">
        <v>60</v>
      </c>
      <c r="Y12438" t="s">
        <v>11906</v>
      </c>
    </row>
    <row r="12439" spans="1:25" x14ac:dyDescent="0.25">
      <c r="A12439" t="str">
        <f>"187436182555"</f>
        <v>187436182555</v>
      </c>
      <c r="B12439" t="s">
        <v>574</v>
      </c>
      <c r="C12439" t="s">
        <v>31999</v>
      </c>
      <c r="D12439" t="s">
        <v>22154</v>
      </c>
      <c r="E12439">
        <v>424003</v>
      </c>
      <c r="F12439" t="s">
        <v>1</v>
      </c>
      <c r="G12439" t="s">
        <v>2</v>
      </c>
      <c r="H12439" t="s">
        <v>38</v>
      </c>
      <c r="Y12439" t="s">
        <v>44808</v>
      </c>
    </row>
    <row r="12440" spans="1:25" x14ac:dyDescent="0.25">
      <c r="A12440" t="str">
        <f>"187457015883"</f>
        <v>187457015883</v>
      </c>
      <c r="B12440" t="s">
        <v>1611</v>
      </c>
      <c r="C12440" t="s">
        <v>3218</v>
      </c>
      <c r="D12440" t="s">
        <v>34992</v>
      </c>
      <c r="E12440">
        <v>424005</v>
      </c>
      <c r="F12440" t="s">
        <v>1</v>
      </c>
      <c r="G12440" t="s">
        <v>2</v>
      </c>
      <c r="H12440" t="s">
        <v>32279</v>
      </c>
      <c r="Y12440" t="s">
        <v>44809</v>
      </c>
    </row>
    <row r="12441" spans="1:25" x14ac:dyDescent="0.25">
      <c r="A12441" t="str">
        <f>"187459101322"</f>
        <v>187459101322</v>
      </c>
      <c r="B12441" t="s">
        <v>574</v>
      </c>
      <c r="C12441" t="s">
        <v>952</v>
      </c>
      <c r="D12441" t="s">
        <v>24542</v>
      </c>
      <c r="E12441">
        <v>424004</v>
      </c>
      <c r="F12441" t="s">
        <v>1</v>
      </c>
      <c r="G12441" t="s">
        <v>2</v>
      </c>
      <c r="H12441" t="s">
        <v>5226</v>
      </c>
      <c r="Y12441" t="s">
        <v>44810</v>
      </c>
    </row>
    <row r="12442" spans="1:25" x14ac:dyDescent="0.25">
      <c r="A12442" t="str">
        <f>"187493335895"</f>
        <v>187493335895</v>
      </c>
      <c r="B12442" t="s">
        <v>456</v>
      </c>
      <c r="C12442" t="s">
        <v>44815</v>
      </c>
      <c r="D12442" t="s">
        <v>44811</v>
      </c>
      <c r="E12442">
        <v>424006</v>
      </c>
      <c r="F12442" t="s">
        <v>1</v>
      </c>
      <c r="G12442" t="s">
        <v>2</v>
      </c>
      <c r="H12442" t="s">
        <v>8622</v>
      </c>
      <c r="I12442" t="s">
        <v>44812</v>
      </c>
      <c r="L12442" t="s">
        <v>44813</v>
      </c>
      <c r="M12442" t="s">
        <v>44814</v>
      </c>
      <c r="P12442" t="s">
        <v>340</v>
      </c>
      <c r="Y12442" t="s">
        <v>8866</v>
      </c>
    </row>
    <row r="12443" spans="1:25" x14ac:dyDescent="0.25">
      <c r="A12443" t="str">
        <f>"187543242886"</f>
        <v>187543242886</v>
      </c>
      <c r="B12443" t="s">
        <v>18</v>
      </c>
      <c r="C12443" t="s">
        <v>44817</v>
      </c>
      <c r="D12443" t="s">
        <v>44816</v>
      </c>
      <c r="E12443">
        <v>424004</v>
      </c>
      <c r="F12443" t="s">
        <v>1</v>
      </c>
      <c r="G12443" t="s">
        <v>2</v>
      </c>
      <c r="H12443" t="s">
        <v>1590</v>
      </c>
      <c r="Y12443" t="s">
        <v>1593</v>
      </c>
    </row>
    <row r="12444" spans="1:25" x14ac:dyDescent="0.25">
      <c r="A12444" t="str">
        <f>"187565901821"</f>
        <v>187565901821</v>
      </c>
      <c r="B12444" t="s">
        <v>430</v>
      </c>
      <c r="C12444" t="s">
        <v>612</v>
      </c>
      <c r="D12444" t="s">
        <v>39417</v>
      </c>
      <c r="E12444">
        <v>424031</v>
      </c>
      <c r="F12444" t="s">
        <v>1</v>
      </c>
      <c r="G12444" t="s">
        <v>2</v>
      </c>
      <c r="H12444" t="s">
        <v>106</v>
      </c>
      <c r="J12444" t="s">
        <v>44818</v>
      </c>
      <c r="P12444" t="s">
        <v>21595</v>
      </c>
      <c r="Q12444" t="s">
        <v>44819</v>
      </c>
      <c r="Y12444" t="s">
        <v>15188</v>
      </c>
    </row>
    <row r="12445" spans="1:25" x14ac:dyDescent="0.25">
      <c r="A12445" t="str">
        <f>"187574527874"</f>
        <v>187574527874</v>
      </c>
      <c r="B12445" t="s">
        <v>151</v>
      </c>
      <c r="C12445" t="s">
        <v>4240</v>
      </c>
      <c r="D12445" t="s">
        <v>44820</v>
      </c>
      <c r="E12445">
        <v>424007</v>
      </c>
      <c r="F12445" t="s">
        <v>1</v>
      </c>
      <c r="G12445" t="s">
        <v>2</v>
      </c>
      <c r="H12445" t="s">
        <v>20698</v>
      </c>
      <c r="P12445" t="s">
        <v>27</v>
      </c>
      <c r="Y12445" t="s">
        <v>44821</v>
      </c>
    </row>
    <row r="12446" spans="1:25" x14ac:dyDescent="0.25">
      <c r="A12446" t="str">
        <f>"187620609049"</f>
        <v>187620609049</v>
      </c>
      <c r="B12446" t="s">
        <v>930</v>
      </c>
      <c r="C12446" t="s">
        <v>927</v>
      </c>
      <c r="D12446" t="s">
        <v>44822</v>
      </c>
      <c r="F12446" t="s">
        <v>1</v>
      </c>
      <c r="G12446" t="s">
        <v>2</v>
      </c>
      <c r="H12446" t="s">
        <v>6365</v>
      </c>
      <c r="Y12446" t="s">
        <v>44823</v>
      </c>
    </row>
    <row r="12447" spans="1:25" x14ac:dyDescent="0.25">
      <c r="A12447" t="str">
        <f>"187709856681"</f>
        <v>187709856681</v>
      </c>
      <c r="B12447" t="s">
        <v>18</v>
      </c>
      <c r="C12447" t="s">
        <v>16044</v>
      </c>
      <c r="D12447" t="s">
        <v>44824</v>
      </c>
      <c r="E12447">
        <v>424005</v>
      </c>
      <c r="F12447" t="s">
        <v>1</v>
      </c>
      <c r="G12447" t="s">
        <v>2</v>
      </c>
      <c r="H12447" t="s">
        <v>29872</v>
      </c>
      <c r="Y12447" t="s">
        <v>29875</v>
      </c>
    </row>
    <row r="12448" spans="1:25" x14ac:dyDescent="0.25">
      <c r="A12448" t="str">
        <f>"187719559303"</f>
        <v>187719559303</v>
      </c>
      <c r="B12448" t="s">
        <v>290</v>
      </c>
      <c r="C12448" t="s">
        <v>44826</v>
      </c>
      <c r="D12448" t="s">
        <v>44825</v>
      </c>
      <c r="E12448">
        <v>424031</v>
      </c>
      <c r="F12448" t="s">
        <v>1</v>
      </c>
      <c r="G12448" t="s">
        <v>2</v>
      </c>
      <c r="H12448" t="s">
        <v>106</v>
      </c>
      <c r="P12448" t="s">
        <v>98</v>
      </c>
      <c r="Y12448" t="s">
        <v>44827</v>
      </c>
    </row>
    <row r="12449" spans="1:25" x14ac:dyDescent="0.25">
      <c r="A12449" t="str">
        <f>"187764760822"</f>
        <v>187764760822</v>
      </c>
      <c r="B12449" t="s">
        <v>18</v>
      </c>
      <c r="C12449" t="s">
        <v>5273</v>
      </c>
      <c r="D12449" t="s">
        <v>26908</v>
      </c>
      <c r="E12449">
        <v>424016</v>
      </c>
      <c r="F12449" t="s">
        <v>1</v>
      </c>
      <c r="G12449" t="s">
        <v>2</v>
      </c>
      <c r="H12449" t="s">
        <v>3344</v>
      </c>
      <c r="I12449" t="s">
        <v>20706</v>
      </c>
      <c r="J12449" t="s">
        <v>44828</v>
      </c>
      <c r="P12449" t="s">
        <v>6467</v>
      </c>
      <c r="Y12449" t="s">
        <v>9983</v>
      </c>
    </row>
    <row r="12450" spans="1:25" x14ac:dyDescent="0.25">
      <c r="A12450" t="str">
        <f>"187821160641"</f>
        <v>187821160641</v>
      </c>
      <c r="B12450" t="s">
        <v>224</v>
      </c>
      <c r="C12450" t="s">
        <v>13714</v>
      </c>
      <c r="D12450" t="s">
        <v>4139</v>
      </c>
      <c r="E12450">
        <v>424005</v>
      </c>
      <c r="F12450" t="s">
        <v>1</v>
      </c>
      <c r="G12450" t="s">
        <v>2</v>
      </c>
      <c r="H12450" t="s">
        <v>1310</v>
      </c>
      <c r="J12450" t="s">
        <v>44829</v>
      </c>
      <c r="P12450" t="s">
        <v>27</v>
      </c>
      <c r="Y12450" t="s">
        <v>3926</v>
      </c>
    </row>
    <row r="12451" spans="1:25" x14ac:dyDescent="0.25">
      <c r="A12451" t="str">
        <f>"187858655197"</f>
        <v>187858655197</v>
      </c>
      <c r="B12451" t="s">
        <v>6609</v>
      </c>
      <c r="C12451" t="s">
        <v>6610</v>
      </c>
      <c r="D12451" t="s">
        <v>44830</v>
      </c>
      <c r="E12451">
        <v>424007</v>
      </c>
      <c r="F12451" t="s">
        <v>1</v>
      </c>
      <c r="G12451" t="s">
        <v>2</v>
      </c>
      <c r="H12451" t="s">
        <v>10252</v>
      </c>
      <c r="I12451" t="s">
        <v>44831</v>
      </c>
      <c r="J12451" t="s">
        <v>44832</v>
      </c>
      <c r="L12451" t="s">
        <v>44833</v>
      </c>
      <c r="M12451" t="s">
        <v>44834</v>
      </c>
      <c r="P12451" t="s">
        <v>4280</v>
      </c>
      <c r="Y12451" t="s">
        <v>10258</v>
      </c>
    </row>
    <row r="12452" spans="1:25" x14ac:dyDescent="0.25">
      <c r="A12452" t="str">
        <f>"187887514894"</f>
        <v>187887514894</v>
      </c>
      <c r="B12452" t="s">
        <v>176</v>
      </c>
      <c r="C12452" t="s">
        <v>27547</v>
      </c>
      <c r="D12452" t="s">
        <v>27545</v>
      </c>
      <c r="E12452">
        <v>424004</v>
      </c>
      <c r="F12452" t="s">
        <v>1</v>
      </c>
      <c r="G12452" t="s">
        <v>2</v>
      </c>
      <c r="H12452" t="s">
        <v>44835</v>
      </c>
      <c r="Y12452" t="s">
        <v>44836</v>
      </c>
    </row>
    <row r="12453" spans="1:25" x14ac:dyDescent="0.25">
      <c r="A12453" t="str">
        <f>"187891127691"</f>
        <v>187891127691</v>
      </c>
      <c r="B12453" t="s">
        <v>574</v>
      </c>
      <c r="C12453" t="s">
        <v>646</v>
      </c>
      <c r="D12453" t="s">
        <v>44837</v>
      </c>
      <c r="E12453">
        <v>424007</v>
      </c>
      <c r="F12453" t="s">
        <v>1</v>
      </c>
      <c r="G12453" t="s">
        <v>2</v>
      </c>
      <c r="H12453" t="s">
        <v>23983</v>
      </c>
      <c r="J12453" t="s">
        <v>32396</v>
      </c>
      <c r="P12453" t="s">
        <v>60</v>
      </c>
      <c r="Y12453" t="s">
        <v>24758</v>
      </c>
    </row>
    <row r="12454" spans="1:25" x14ac:dyDescent="0.25">
      <c r="A12454" t="str">
        <f>"187903395527"</f>
        <v>187903395527</v>
      </c>
      <c r="B12454" t="s">
        <v>96</v>
      </c>
      <c r="C12454" t="s">
        <v>893</v>
      </c>
      <c r="D12454" t="s">
        <v>44838</v>
      </c>
      <c r="E12454">
        <v>424000</v>
      </c>
      <c r="F12454" t="s">
        <v>1</v>
      </c>
      <c r="G12454" t="s">
        <v>2</v>
      </c>
      <c r="H12454" t="s">
        <v>1473</v>
      </c>
      <c r="P12454" t="s">
        <v>941</v>
      </c>
      <c r="Y12454" t="s">
        <v>4067</v>
      </c>
    </row>
    <row r="12455" spans="1:25" x14ac:dyDescent="0.25">
      <c r="A12455" t="str">
        <f>"187934539178"</f>
        <v>187934539178</v>
      </c>
      <c r="B12455" t="s">
        <v>96</v>
      </c>
      <c r="C12455" t="s">
        <v>25084</v>
      </c>
      <c r="D12455" t="s">
        <v>44839</v>
      </c>
      <c r="E12455">
        <v>424000</v>
      </c>
      <c r="F12455" t="s">
        <v>1</v>
      </c>
      <c r="G12455" t="s">
        <v>2</v>
      </c>
      <c r="H12455" t="s">
        <v>86</v>
      </c>
      <c r="Y12455" t="s">
        <v>90</v>
      </c>
    </row>
    <row r="12456" spans="1:25" x14ac:dyDescent="0.25">
      <c r="A12456" t="str">
        <f>"187935786934"</f>
        <v>187935786934</v>
      </c>
      <c r="B12456" t="s">
        <v>160</v>
      </c>
      <c r="C12456" t="s">
        <v>2479</v>
      </c>
      <c r="D12456" t="s">
        <v>44840</v>
      </c>
      <c r="F12456" t="s">
        <v>1</v>
      </c>
      <c r="G12456" t="s">
        <v>2</v>
      </c>
      <c r="H12456" t="s">
        <v>35021</v>
      </c>
      <c r="Y12456" t="s">
        <v>44841</v>
      </c>
    </row>
    <row r="12457" spans="1:25" x14ac:dyDescent="0.25">
      <c r="A12457" t="str">
        <f>"187938950596"</f>
        <v>187938950596</v>
      </c>
      <c r="B12457" t="s">
        <v>1343</v>
      </c>
      <c r="C12457" t="s">
        <v>13544</v>
      </c>
      <c r="D12457" t="s">
        <v>44842</v>
      </c>
      <c r="E12457">
        <v>424000</v>
      </c>
      <c r="F12457" t="s">
        <v>1</v>
      </c>
      <c r="G12457" t="s">
        <v>2</v>
      </c>
      <c r="H12457" t="s">
        <v>1531</v>
      </c>
      <c r="Y12457" t="s">
        <v>1707</v>
      </c>
    </row>
    <row r="12458" spans="1:25" x14ac:dyDescent="0.25">
      <c r="A12458" t="str">
        <f>"187944856026"</f>
        <v>187944856026</v>
      </c>
      <c r="B12458" t="s">
        <v>1182</v>
      </c>
      <c r="C12458" t="s">
        <v>42586</v>
      </c>
      <c r="D12458" t="s">
        <v>44843</v>
      </c>
      <c r="E12458">
        <v>424007</v>
      </c>
      <c r="F12458" t="s">
        <v>1</v>
      </c>
      <c r="G12458" t="s">
        <v>2</v>
      </c>
      <c r="H12458" t="s">
        <v>8148</v>
      </c>
      <c r="J12458" t="s">
        <v>44844</v>
      </c>
      <c r="P12458" t="s">
        <v>312</v>
      </c>
      <c r="Y12458" t="s">
        <v>18884</v>
      </c>
    </row>
    <row r="12459" spans="1:25" x14ac:dyDescent="0.25">
      <c r="A12459" t="str">
        <f>"188029542549"</f>
        <v>188029542549</v>
      </c>
      <c r="B12459" t="s">
        <v>96</v>
      </c>
      <c r="C12459" t="s">
        <v>893</v>
      </c>
      <c r="D12459" t="s">
        <v>44845</v>
      </c>
      <c r="E12459">
        <v>424000</v>
      </c>
      <c r="F12459" t="s">
        <v>1</v>
      </c>
      <c r="G12459" t="s">
        <v>2</v>
      </c>
      <c r="H12459" t="s">
        <v>6578</v>
      </c>
      <c r="Y12459" t="s">
        <v>44846</v>
      </c>
    </row>
    <row r="12460" spans="1:25" x14ac:dyDescent="0.25">
      <c r="A12460" t="str">
        <f>"188061188095"</f>
        <v>188061188095</v>
      </c>
      <c r="B12460" t="s">
        <v>738</v>
      </c>
      <c r="C12460" t="s">
        <v>17561</v>
      </c>
      <c r="D12460" t="s">
        <v>44847</v>
      </c>
      <c r="E12460">
        <v>424003</v>
      </c>
      <c r="F12460" t="s">
        <v>1</v>
      </c>
      <c r="G12460" t="s">
        <v>2</v>
      </c>
      <c r="H12460" t="s">
        <v>5311</v>
      </c>
      <c r="J12460" t="s">
        <v>44848</v>
      </c>
      <c r="L12460" t="s">
        <v>44849</v>
      </c>
      <c r="M12460" t="s">
        <v>44850</v>
      </c>
      <c r="P12460" t="s">
        <v>2050</v>
      </c>
      <c r="Q12460" t="s">
        <v>44851</v>
      </c>
      <c r="Y12460" t="s">
        <v>10521</v>
      </c>
    </row>
    <row r="12461" spans="1:25" x14ac:dyDescent="0.25">
      <c r="A12461" t="str">
        <f>"188108415350"</f>
        <v>188108415350</v>
      </c>
      <c r="B12461" t="s">
        <v>519</v>
      </c>
      <c r="C12461" t="s">
        <v>27829</v>
      </c>
      <c r="D12461" t="s">
        <v>44852</v>
      </c>
      <c r="E12461">
        <v>424038</v>
      </c>
      <c r="F12461" t="s">
        <v>1</v>
      </c>
      <c r="G12461" t="s">
        <v>2</v>
      </c>
      <c r="H12461" t="s">
        <v>1366</v>
      </c>
      <c r="Y12461" t="s">
        <v>44853</v>
      </c>
    </row>
    <row r="12462" spans="1:25" x14ac:dyDescent="0.25">
      <c r="A12462" t="str">
        <f>"188129554604"</f>
        <v>188129554604</v>
      </c>
      <c r="B12462" t="s">
        <v>574</v>
      </c>
      <c r="C12462" t="s">
        <v>646</v>
      </c>
      <c r="D12462" t="s">
        <v>44854</v>
      </c>
      <c r="E12462">
        <v>424036</v>
      </c>
      <c r="F12462" t="s">
        <v>1</v>
      </c>
      <c r="G12462" t="s">
        <v>2</v>
      </c>
      <c r="H12462" t="s">
        <v>375</v>
      </c>
      <c r="Y12462" t="s">
        <v>384</v>
      </c>
    </row>
    <row r="12463" spans="1:25" x14ac:dyDescent="0.25">
      <c r="A12463" t="str">
        <f>"188176292649"</f>
        <v>188176292649</v>
      </c>
      <c r="B12463" t="s">
        <v>430</v>
      </c>
      <c r="C12463" t="s">
        <v>940</v>
      </c>
      <c r="D12463" t="s">
        <v>44855</v>
      </c>
      <c r="E12463">
        <v>424032</v>
      </c>
      <c r="F12463" t="s">
        <v>1</v>
      </c>
      <c r="G12463" t="s">
        <v>2</v>
      </c>
      <c r="H12463" t="s">
        <v>44856</v>
      </c>
      <c r="J12463" t="s">
        <v>44857</v>
      </c>
      <c r="P12463" t="s">
        <v>5922</v>
      </c>
      <c r="Y12463" t="s">
        <v>44858</v>
      </c>
    </row>
    <row r="12464" spans="1:25" x14ac:dyDescent="0.25">
      <c r="A12464" t="str">
        <f>"188187875919"</f>
        <v>188187875919</v>
      </c>
      <c r="B12464" t="s">
        <v>519</v>
      </c>
      <c r="C12464" t="s">
        <v>44863</v>
      </c>
      <c r="D12464" t="s">
        <v>44859</v>
      </c>
      <c r="E12464">
        <v>424019</v>
      </c>
      <c r="F12464" t="s">
        <v>1</v>
      </c>
      <c r="G12464" t="s">
        <v>2</v>
      </c>
      <c r="H12464" t="s">
        <v>13064</v>
      </c>
      <c r="I12464" t="s">
        <v>44860</v>
      </c>
      <c r="L12464" t="s">
        <v>44861</v>
      </c>
      <c r="M12464" t="s">
        <v>44862</v>
      </c>
      <c r="P12464" t="s">
        <v>2738</v>
      </c>
      <c r="Y12464" t="s">
        <v>44864</v>
      </c>
    </row>
    <row r="12465" spans="1:25" x14ac:dyDescent="0.25">
      <c r="A12465" t="str">
        <f>"188227336589"</f>
        <v>188227336589</v>
      </c>
      <c r="B12465" t="s">
        <v>96</v>
      </c>
      <c r="C12465" t="s">
        <v>26416</v>
      </c>
      <c r="D12465" t="s">
        <v>44865</v>
      </c>
      <c r="E12465">
        <v>424000</v>
      </c>
      <c r="F12465" t="s">
        <v>1</v>
      </c>
      <c r="G12465" t="s">
        <v>2</v>
      </c>
      <c r="H12465" t="s">
        <v>1531</v>
      </c>
      <c r="Y12465" t="s">
        <v>1707</v>
      </c>
    </row>
    <row r="12466" spans="1:25" x14ac:dyDescent="0.25">
      <c r="A12466" t="str">
        <f>"188241731196"</f>
        <v>188241731196</v>
      </c>
      <c r="B12466" t="s">
        <v>1046</v>
      </c>
      <c r="C12466" t="s">
        <v>22946</v>
      </c>
      <c r="D12466" t="s">
        <v>22946</v>
      </c>
      <c r="E12466">
        <v>424028</v>
      </c>
      <c r="F12466" t="s">
        <v>1</v>
      </c>
      <c r="G12466" t="s">
        <v>2</v>
      </c>
      <c r="H12466" t="s">
        <v>42036</v>
      </c>
      <c r="Y12466" t="s">
        <v>44866</v>
      </c>
    </row>
    <row r="12467" spans="1:25" x14ac:dyDescent="0.25">
      <c r="A12467" t="str">
        <f>"188256123335"</f>
        <v>188256123335</v>
      </c>
      <c r="B12467" t="s">
        <v>224</v>
      </c>
      <c r="C12467" t="s">
        <v>3240</v>
      </c>
      <c r="D12467" t="s">
        <v>44867</v>
      </c>
      <c r="E12467">
        <v>424005</v>
      </c>
      <c r="F12467" t="s">
        <v>1</v>
      </c>
      <c r="G12467" t="s">
        <v>2</v>
      </c>
      <c r="H12467" t="s">
        <v>1310</v>
      </c>
      <c r="I12467" t="s">
        <v>44868</v>
      </c>
      <c r="P12467" t="s">
        <v>280</v>
      </c>
      <c r="Y12467" t="s">
        <v>3926</v>
      </c>
    </row>
    <row r="12468" spans="1:25" x14ac:dyDescent="0.25">
      <c r="A12468" t="str">
        <f>"188264677406"</f>
        <v>188264677406</v>
      </c>
      <c r="B12468" t="s">
        <v>18</v>
      </c>
      <c r="C12468" t="s">
        <v>44870</v>
      </c>
      <c r="D12468" t="s">
        <v>18</v>
      </c>
      <c r="E12468">
        <v>424008</v>
      </c>
      <c r="F12468" t="s">
        <v>1</v>
      </c>
      <c r="G12468" t="s">
        <v>2</v>
      </c>
      <c r="H12468" t="s">
        <v>20415</v>
      </c>
      <c r="J12468" t="s">
        <v>44869</v>
      </c>
      <c r="P12468" t="s">
        <v>280</v>
      </c>
      <c r="Y12468" t="s">
        <v>38923</v>
      </c>
    </row>
    <row r="12469" spans="1:25" x14ac:dyDescent="0.25">
      <c r="A12469" t="str">
        <f>"188286054362"</f>
        <v>188286054362</v>
      </c>
      <c r="B12469" t="s">
        <v>10383</v>
      </c>
      <c r="C12469" t="s">
        <v>24146</v>
      </c>
      <c r="D12469" t="s">
        <v>24146</v>
      </c>
      <c r="F12469" t="s">
        <v>1</v>
      </c>
      <c r="G12469" t="s">
        <v>2</v>
      </c>
      <c r="H12469" t="s">
        <v>7547</v>
      </c>
      <c r="Y12469" t="s">
        <v>44871</v>
      </c>
    </row>
    <row r="12470" spans="1:25" x14ac:dyDescent="0.25">
      <c r="A12470" t="str">
        <f>"188290079836"</f>
        <v>188290079836</v>
      </c>
      <c r="B12470" t="s">
        <v>379</v>
      </c>
      <c r="C12470" t="s">
        <v>766</v>
      </c>
      <c r="D12470" t="s">
        <v>44872</v>
      </c>
      <c r="E12470">
        <v>424000</v>
      </c>
      <c r="F12470" t="s">
        <v>1</v>
      </c>
      <c r="G12470" t="s">
        <v>2</v>
      </c>
      <c r="H12470" t="s">
        <v>2671</v>
      </c>
      <c r="I12470" t="s">
        <v>44873</v>
      </c>
      <c r="L12470" t="s">
        <v>44874</v>
      </c>
      <c r="M12470" t="s">
        <v>44875</v>
      </c>
      <c r="P12470" t="s">
        <v>1027</v>
      </c>
      <c r="Y12470" t="s">
        <v>2674</v>
      </c>
    </row>
    <row r="12471" spans="1:25" x14ac:dyDescent="0.25">
      <c r="A12471" t="str">
        <f>"188310604724"</f>
        <v>188310604724</v>
      </c>
      <c r="B12471" t="s">
        <v>96</v>
      </c>
      <c r="C12471" t="s">
        <v>8479</v>
      </c>
      <c r="D12471" t="s">
        <v>44876</v>
      </c>
      <c r="E12471">
        <v>424000</v>
      </c>
      <c r="F12471" t="s">
        <v>1</v>
      </c>
      <c r="G12471" t="s">
        <v>2</v>
      </c>
      <c r="H12471" t="s">
        <v>1473</v>
      </c>
      <c r="P12471" t="s">
        <v>941</v>
      </c>
      <c r="Y12471" t="s">
        <v>31021</v>
      </c>
    </row>
    <row r="12472" spans="1:25" x14ac:dyDescent="0.25">
      <c r="A12472" t="str">
        <f>"188375133956"</f>
        <v>188375133956</v>
      </c>
      <c r="B12472" t="s">
        <v>430</v>
      </c>
      <c r="C12472" t="s">
        <v>10138</v>
      </c>
      <c r="D12472" t="s">
        <v>10135</v>
      </c>
      <c r="E12472">
        <v>424038</v>
      </c>
      <c r="F12472" t="s">
        <v>1</v>
      </c>
      <c r="G12472" t="s">
        <v>2</v>
      </c>
      <c r="H12472" t="s">
        <v>23978</v>
      </c>
      <c r="Y12472" t="s">
        <v>44877</v>
      </c>
    </row>
    <row r="12473" spans="1:25" x14ac:dyDescent="0.25">
      <c r="A12473" t="str">
        <f>"188409353732"</f>
        <v>188409353732</v>
      </c>
      <c r="B12473" t="s">
        <v>574</v>
      </c>
      <c r="C12473" t="s">
        <v>646</v>
      </c>
      <c r="D12473" t="s">
        <v>646</v>
      </c>
      <c r="E12473">
        <v>424033</v>
      </c>
      <c r="F12473" t="s">
        <v>1</v>
      </c>
      <c r="G12473" t="s">
        <v>2</v>
      </c>
      <c r="H12473" t="s">
        <v>10720</v>
      </c>
      <c r="Y12473" t="s">
        <v>44878</v>
      </c>
    </row>
    <row r="12474" spans="1:25" x14ac:dyDescent="0.25">
      <c r="A12474" t="str">
        <f>"188439276316"</f>
        <v>188439276316</v>
      </c>
      <c r="B12474" t="s">
        <v>456</v>
      </c>
      <c r="C12474" t="s">
        <v>44880</v>
      </c>
      <c r="D12474" t="s">
        <v>44879</v>
      </c>
      <c r="E12474">
        <v>424032</v>
      </c>
      <c r="F12474" t="s">
        <v>1</v>
      </c>
      <c r="G12474" t="s">
        <v>2</v>
      </c>
      <c r="H12474" t="s">
        <v>7845</v>
      </c>
      <c r="I12474" t="s">
        <v>18916</v>
      </c>
      <c r="L12474" t="s">
        <v>18917</v>
      </c>
      <c r="M12474" t="s">
        <v>18918</v>
      </c>
      <c r="P12474" t="s">
        <v>27</v>
      </c>
      <c r="Q12474" t="s">
        <v>18920</v>
      </c>
      <c r="Y12474" t="s">
        <v>7856</v>
      </c>
    </row>
    <row r="12475" spans="1:25" x14ac:dyDescent="0.25">
      <c r="A12475" t="str">
        <f>"188445411208"</f>
        <v>188445411208</v>
      </c>
      <c r="B12475" t="s">
        <v>1061</v>
      </c>
      <c r="C12475" t="s">
        <v>26953</v>
      </c>
      <c r="D12475" t="s">
        <v>44881</v>
      </c>
      <c r="F12475" t="s">
        <v>1</v>
      </c>
      <c r="G12475" t="s">
        <v>2</v>
      </c>
      <c r="H12475" t="s">
        <v>44882</v>
      </c>
      <c r="Y12475" t="s">
        <v>44883</v>
      </c>
    </row>
    <row r="12476" spans="1:25" x14ac:dyDescent="0.25">
      <c r="A12476" t="str">
        <f>"188454643146"</f>
        <v>188454643146</v>
      </c>
      <c r="B12476" t="s">
        <v>176</v>
      </c>
      <c r="C12476" t="s">
        <v>566</v>
      </c>
      <c r="D12476" t="s">
        <v>44884</v>
      </c>
      <c r="E12476">
        <v>424000</v>
      </c>
      <c r="F12476" t="s">
        <v>1</v>
      </c>
      <c r="G12476" t="s">
        <v>2</v>
      </c>
      <c r="H12476" t="s">
        <v>7049</v>
      </c>
      <c r="Y12476" t="s">
        <v>44885</v>
      </c>
    </row>
    <row r="12477" spans="1:25" x14ac:dyDescent="0.25">
      <c r="A12477" t="str">
        <f>"188456080137"</f>
        <v>188456080137</v>
      </c>
      <c r="B12477" t="s">
        <v>1552</v>
      </c>
      <c r="C12477" t="s">
        <v>36317</v>
      </c>
      <c r="D12477" t="s">
        <v>11283</v>
      </c>
      <c r="E12477">
        <v>424007</v>
      </c>
      <c r="F12477" t="s">
        <v>1</v>
      </c>
      <c r="G12477" t="s">
        <v>2</v>
      </c>
      <c r="H12477" t="s">
        <v>1085</v>
      </c>
      <c r="I12477" t="s">
        <v>37238</v>
      </c>
      <c r="P12477" t="s">
        <v>696</v>
      </c>
      <c r="Y12477" t="s">
        <v>15064</v>
      </c>
    </row>
    <row r="12478" spans="1:25" x14ac:dyDescent="0.25">
      <c r="A12478" t="str">
        <f>"188531949371"</f>
        <v>188531949371</v>
      </c>
      <c r="B12478" t="s">
        <v>67</v>
      </c>
      <c r="C12478" t="s">
        <v>832</v>
      </c>
      <c r="D12478" t="s">
        <v>25109</v>
      </c>
      <c r="E12478">
        <v>424008</v>
      </c>
      <c r="F12478" t="s">
        <v>1</v>
      </c>
      <c r="G12478" t="s">
        <v>2</v>
      </c>
      <c r="H12478" t="s">
        <v>1031</v>
      </c>
      <c r="I12478" t="s">
        <v>44886</v>
      </c>
      <c r="P12478" t="s">
        <v>410</v>
      </c>
      <c r="Y12478" t="s">
        <v>44887</v>
      </c>
    </row>
    <row r="12479" spans="1:25" x14ac:dyDescent="0.25">
      <c r="A12479" t="str">
        <f>"188533865458"</f>
        <v>188533865458</v>
      </c>
      <c r="B12479" t="s">
        <v>96</v>
      </c>
      <c r="C12479" t="s">
        <v>893</v>
      </c>
      <c r="D12479" t="s">
        <v>44888</v>
      </c>
      <c r="E12479">
        <v>424038</v>
      </c>
      <c r="F12479" t="s">
        <v>1</v>
      </c>
      <c r="G12479" t="s">
        <v>2</v>
      </c>
      <c r="H12479" t="s">
        <v>2614</v>
      </c>
      <c r="Y12479" t="s">
        <v>44889</v>
      </c>
    </row>
    <row r="12480" spans="1:25" x14ac:dyDescent="0.25">
      <c r="A12480" t="str">
        <f>"188551242981"</f>
        <v>188551242981</v>
      </c>
      <c r="B12480" t="s">
        <v>574</v>
      </c>
      <c r="C12480" t="s">
        <v>646</v>
      </c>
      <c r="D12480" t="s">
        <v>33247</v>
      </c>
      <c r="E12480">
        <v>424038</v>
      </c>
      <c r="F12480" t="s">
        <v>1</v>
      </c>
      <c r="G12480" t="s">
        <v>2</v>
      </c>
      <c r="H12480" t="s">
        <v>2614</v>
      </c>
      <c r="P12480" t="s">
        <v>10150</v>
      </c>
      <c r="Y12480" t="s">
        <v>2617</v>
      </c>
    </row>
    <row r="12481" spans="1:25" x14ac:dyDescent="0.25">
      <c r="A12481" t="str">
        <f>"188564076804"</f>
        <v>188564076804</v>
      </c>
      <c r="B12481" t="s">
        <v>1343</v>
      </c>
      <c r="C12481" t="s">
        <v>1344</v>
      </c>
      <c r="D12481" t="s">
        <v>44890</v>
      </c>
      <c r="E12481">
        <v>424006</v>
      </c>
      <c r="F12481" t="s">
        <v>1</v>
      </c>
      <c r="G12481" t="s">
        <v>2</v>
      </c>
      <c r="H12481" t="s">
        <v>5846</v>
      </c>
      <c r="Y12481" t="s">
        <v>17495</v>
      </c>
    </row>
    <row r="12482" spans="1:25" x14ac:dyDescent="0.25">
      <c r="A12482" t="str">
        <f>"188582730617"</f>
        <v>188582730617</v>
      </c>
      <c r="B12482" t="s">
        <v>110</v>
      </c>
      <c r="C12482" t="s">
        <v>111</v>
      </c>
      <c r="D12482" t="s">
        <v>44891</v>
      </c>
      <c r="E12482">
        <v>424000</v>
      </c>
      <c r="F12482" t="s">
        <v>1</v>
      </c>
      <c r="G12482" t="s">
        <v>2</v>
      </c>
      <c r="H12482" t="s">
        <v>265</v>
      </c>
      <c r="Y12482" t="s">
        <v>11205</v>
      </c>
    </row>
    <row r="12483" spans="1:25" x14ac:dyDescent="0.25">
      <c r="A12483" t="str">
        <f>"188583923153"</f>
        <v>188583923153</v>
      </c>
      <c r="B12483" t="s">
        <v>930</v>
      </c>
      <c r="C12483" t="s">
        <v>927</v>
      </c>
      <c r="D12483" t="s">
        <v>23105</v>
      </c>
      <c r="E12483">
        <v>424004</v>
      </c>
      <c r="F12483" t="s">
        <v>1</v>
      </c>
      <c r="G12483" t="s">
        <v>2</v>
      </c>
      <c r="H12483" t="s">
        <v>15365</v>
      </c>
      <c r="Y12483" t="s">
        <v>44892</v>
      </c>
    </row>
    <row r="12484" spans="1:25" x14ac:dyDescent="0.25">
      <c r="A12484" t="str">
        <f>"188588377322"</f>
        <v>188588377322</v>
      </c>
      <c r="B12484" t="s">
        <v>1352</v>
      </c>
      <c r="C12484" t="s">
        <v>1353</v>
      </c>
      <c r="D12484" t="s">
        <v>6723</v>
      </c>
      <c r="E12484">
        <v>424028</v>
      </c>
      <c r="F12484" t="s">
        <v>1</v>
      </c>
      <c r="G12484" t="s">
        <v>2</v>
      </c>
      <c r="H12484" t="s">
        <v>1969</v>
      </c>
      <c r="Y12484" t="s">
        <v>44893</v>
      </c>
    </row>
    <row r="12485" spans="1:25" x14ac:dyDescent="0.25">
      <c r="A12485" t="str">
        <f>"188644489783"</f>
        <v>188644489783</v>
      </c>
      <c r="B12485" t="s">
        <v>530</v>
      </c>
      <c r="C12485" t="s">
        <v>23950</v>
      </c>
      <c r="D12485" t="s">
        <v>23950</v>
      </c>
      <c r="E12485">
        <v>424003</v>
      </c>
      <c r="F12485" t="s">
        <v>1</v>
      </c>
      <c r="G12485" t="s">
        <v>2</v>
      </c>
      <c r="H12485" t="s">
        <v>14928</v>
      </c>
      <c r="Y12485" t="s">
        <v>44894</v>
      </c>
    </row>
    <row r="12486" spans="1:25" x14ac:dyDescent="0.25">
      <c r="A12486" t="str">
        <f>"188670258238"</f>
        <v>188670258238</v>
      </c>
      <c r="B12486" t="s">
        <v>530</v>
      </c>
      <c r="C12486" t="s">
        <v>23950</v>
      </c>
      <c r="D12486" t="s">
        <v>23950</v>
      </c>
      <c r="F12486" t="s">
        <v>1</v>
      </c>
      <c r="G12486" t="s">
        <v>2</v>
      </c>
      <c r="H12486" t="s">
        <v>44895</v>
      </c>
      <c r="Y12486" t="s">
        <v>44896</v>
      </c>
    </row>
    <row r="12487" spans="1:25" x14ac:dyDescent="0.25">
      <c r="A12487" t="str">
        <f>"188677228344"</f>
        <v>188677228344</v>
      </c>
      <c r="B12487" t="s">
        <v>96</v>
      </c>
      <c r="C12487" t="s">
        <v>893</v>
      </c>
      <c r="D12487" t="s">
        <v>30210</v>
      </c>
      <c r="E12487">
        <v>424000</v>
      </c>
      <c r="F12487" t="s">
        <v>1</v>
      </c>
      <c r="G12487" t="s">
        <v>2</v>
      </c>
      <c r="H12487" t="s">
        <v>10803</v>
      </c>
      <c r="Y12487" t="s">
        <v>10805</v>
      </c>
    </row>
    <row r="12488" spans="1:25" x14ac:dyDescent="0.25">
      <c r="A12488" t="str">
        <f>"188678427107"</f>
        <v>188678427107</v>
      </c>
      <c r="B12488" t="s">
        <v>32</v>
      </c>
      <c r="C12488" t="s">
        <v>44898</v>
      </c>
      <c r="D12488" t="s">
        <v>44897</v>
      </c>
      <c r="E12488">
        <v>424003</v>
      </c>
      <c r="F12488" t="s">
        <v>1</v>
      </c>
      <c r="G12488" t="s">
        <v>2</v>
      </c>
      <c r="H12488" t="s">
        <v>7258</v>
      </c>
      <c r="P12488" t="s">
        <v>312</v>
      </c>
      <c r="Y12488" t="s">
        <v>17052</v>
      </c>
    </row>
    <row r="12489" spans="1:25" x14ac:dyDescent="0.25">
      <c r="A12489" t="str">
        <f>"188705989834"</f>
        <v>188705989834</v>
      </c>
      <c r="B12489" t="s">
        <v>738</v>
      </c>
      <c r="C12489" t="s">
        <v>739</v>
      </c>
      <c r="D12489" t="s">
        <v>44899</v>
      </c>
      <c r="E12489">
        <v>424002</v>
      </c>
      <c r="F12489" t="s">
        <v>1</v>
      </c>
      <c r="G12489" t="s">
        <v>2</v>
      </c>
      <c r="H12489" t="s">
        <v>823</v>
      </c>
      <c r="P12489" t="s">
        <v>3393</v>
      </c>
      <c r="Y12489" t="s">
        <v>44900</v>
      </c>
    </row>
    <row r="12490" spans="1:25" x14ac:dyDescent="0.25">
      <c r="A12490" t="str">
        <f>"188730144617"</f>
        <v>188730144617</v>
      </c>
      <c r="B12490" t="s">
        <v>738</v>
      </c>
      <c r="C12490" t="s">
        <v>739</v>
      </c>
      <c r="D12490">
        <v>555</v>
      </c>
      <c r="E12490">
        <v>424006</v>
      </c>
      <c r="F12490" t="s">
        <v>1</v>
      </c>
      <c r="G12490" t="s">
        <v>2</v>
      </c>
      <c r="H12490" t="s">
        <v>8622</v>
      </c>
      <c r="J12490" t="s">
        <v>44901</v>
      </c>
      <c r="P12490" t="s">
        <v>458</v>
      </c>
      <c r="Y12490" t="s">
        <v>8866</v>
      </c>
    </row>
    <row r="12491" spans="1:25" x14ac:dyDescent="0.25">
      <c r="A12491" t="str">
        <f>"188738194351"</f>
        <v>188738194351</v>
      </c>
      <c r="B12491" t="s">
        <v>5443</v>
      </c>
      <c r="C12491" t="s">
        <v>44903</v>
      </c>
      <c r="D12491" t="s">
        <v>38129</v>
      </c>
      <c r="E12491">
        <v>424019</v>
      </c>
      <c r="F12491" t="s">
        <v>1</v>
      </c>
      <c r="G12491" t="s">
        <v>2</v>
      </c>
      <c r="H12491" t="s">
        <v>7785</v>
      </c>
      <c r="I12491" t="s">
        <v>38130</v>
      </c>
      <c r="L12491" t="s">
        <v>44902</v>
      </c>
      <c r="P12491" t="s">
        <v>630</v>
      </c>
      <c r="Q12491" t="s">
        <v>44904</v>
      </c>
      <c r="Y12491" t="s">
        <v>25001</v>
      </c>
    </row>
    <row r="12492" spans="1:25" x14ac:dyDescent="0.25">
      <c r="A12492" t="str">
        <f>"188810248657"</f>
        <v>188810248657</v>
      </c>
      <c r="B12492" t="s">
        <v>797</v>
      </c>
      <c r="C12492" t="s">
        <v>5123</v>
      </c>
      <c r="D12492" t="s">
        <v>24401</v>
      </c>
      <c r="E12492">
        <v>424006</v>
      </c>
      <c r="F12492" t="s">
        <v>1</v>
      </c>
      <c r="G12492" t="s">
        <v>2</v>
      </c>
      <c r="H12492" t="s">
        <v>3374</v>
      </c>
      <c r="P12492" t="s">
        <v>13994</v>
      </c>
      <c r="Y12492" t="s">
        <v>44905</v>
      </c>
    </row>
    <row r="12493" spans="1:25" x14ac:dyDescent="0.25">
      <c r="A12493" t="str">
        <f>"188830549682"</f>
        <v>188830549682</v>
      </c>
      <c r="B12493" t="s">
        <v>1493</v>
      </c>
      <c r="C12493" t="s">
        <v>2355</v>
      </c>
      <c r="D12493" t="s">
        <v>3664</v>
      </c>
      <c r="F12493" t="s">
        <v>1</v>
      </c>
      <c r="G12493" t="s">
        <v>2</v>
      </c>
      <c r="H12493" t="s">
        <v>3984</v>
      </c>
      <c r="I12493" t="s">
        <v>31699</v>
      </c>
      <c r="P12493" t="s">
        <v>340</v>
      </c>
      <c r="Y12493" t="s">
        <v>4409</v>
      </c>
    </row>
    <row r="12494" spans="1:25" x14ac:dyDescent="0.25">
      <c r="A12494" t="str">
        <f>"188846998922"</f>
        <v>188846998922</v>
      </c>
      <c r="B12494" t="s">
        <v>188</v>
      </c>
      <c r="C12494" t="s">
        <v>24568</v>
      </c>
      <c r="D12494" t="s">
        <v>24568</v>
      </c>
      <c r="E12494">
        <v>424019</v>
      </c>
      <c r="F12494" t="s">
        <v>1</v>
      </c>
      <c r="G12494" t="s">
        <v>2</v>
      </c>
      <c r="H12494" t="s">
        <v>7785</v>
      </c>
      <c r="P12494" t="s">
        <v>98</v>
      </c>
      <c r="Y12494" t="s">
        <v>44906</v>
      </c>
    </row>
    <row r="12495" spans="1:25" x14ac:dyDescent="0.25">
      <c r="A12495" t="str">
        <f>"188851230054"</f>
        <v>188851230054</v>
      </c>
      <c r="B12495" t="s">
        <v>348</v>
      </c>
      <c r="C12495" t="s">
        <v>4366</v>
      </c>
      <c r="D12495" t="s">
        <v>348</v>
      </c>
      <c r="E12495">
        <v>424039</v>
      </c>
      <c r="F12495" t="s">
        <v>1</v>
      </c>
      <c r="G12495" t="s">
        <v>2</v>
      </c>
      <c r="H12495" t="s">
        <v>8694</v>
      </c>
      <c r="I12495" t="s">
        <v>44907</v>
      </c>
      <c r="P12495" t="s">
        <v>941</v>
      </c>
      <c r="Y12495" t="s">
        <v>44908</v>
      </c>
    </row>
    <row r="12496" spans="1:25" x14ac:dyDescent="0.25">
      <c r="A12496" t="str">
        <f>"188851612479"</f>
        <v>188851612479</v>
      </c>
      <c r="B12496" t="s">
        <v>888</v>
      </c>
      <c r="C12496" t="s">
        <v>44912</v>
      </c>
      <c r="D12496" t="s">
        <v>44909</v>
      </c>
      <c r="E12496">
        <v>424002</v>
      </c>
      <c r="F12496" t="s">
        <v>1</v>
      </c>
      <c r="G12496" t="s">
        <v>2</v>
      </c>
      <c r="H12496" t="s">
        <v>6656</v>
      </c>
      <c r="I12496" t="s">
        <v>44910</v>
      </c>
      <c r="J12496" t="s">
        <v>44911</v>
      </c>
      <c r="P12496" t="s">
        <v>27</v>
      </c>
      <c r="Y12496" t="s">
        <v>44913</v>
      </c>
    </row>
    <row r="12497" spans="1:25" x14ac:dyDescent="0.25">
      <c r="A12497" t="str">
        <f>"188852901254"</f>
        <v>188852901254</v>
      </c>
      <c r="B12497" t="s">
        <v>574</v>
      </c>
      <c r="C12497" t="s">
        <v>23462</v>
      </c>
      <c r="D12497" t="s">
        <v>44914</v>
      </c>
      <c r="E12497">
        <v>424019</v>
      </c>
      <c r="F12497" t="s">
        <v>1</v>
      </c>
      <c r="G12497" t="s">
        <v>2</v>
      </c>
      <c r="H12497" t="s">
        <v>12105</v>
      </c>
      <c r="Y12497" t="s">
        <v>14260</v>
      </c>
    </row>
    <row r="12498" spans="1:25" x14ac:dyDescent="0.25">
      <c r="A12498" t="str">
        <f>"188856791017"</f>
        <v>188856791017</v>
      </c>
      <c r="B12498" t="s">
        <v>290</v>
      </c>
      <c r="C12498" t="s">
        <v>11114</v>
      </c>
      <c r="D12498" t="s">
        <v>44915</v>
      </c>
      <c r="E12498">
        <v>424918</v>
      </c>
      <c r="F12498" t="s">
        <v>1</v>
      </c>
      <c r="G12498" t="s">
        <v>2</v>
      </c>
      <c r="H12498" t="s">
        <v>629</v>
      </c>
      <c r="P12498" t="s">
        <v>630</v>
      </c>
      <c r="Y12498" t="s">
        <v>44916</v>
      </c>
    </row>
    <row r="12499" spans="1:25" x14ac:dyDescent="0.25">
      <c r="A12499" t="str">
        <f>"188951257797"</f>
        <v>188951257797</v>
      </c>
      <c r="B12499" t="s">
        <v>7312</v>
      </c>
      <c r="C12499" t="s">
        <v>19097</v>
      </c>
      <c r="D12499" t="s">
        <v>44917</v>
      </c>
      <c r="E12499">
        <v>424000</v>
      </c>
      <c r="F12499" t="s">
        <v>1</v>
      </c>
      <c r="G12499" t="s">
        <v>2</v>
      </c>
      <c r="H12499" t="s">
        <v>28565</v>
      </c>
      <c r="Y12499" t="s">
        <v>44918</v>
      </c>
    </row>
    <row r="12500" spans="1:25" x14ac:dyDescent="0.25">
      <c r="A12500" t="str">
        <f>"188968686283"</f>
        <v>188968686283</v>
      </c>
      <c r="B12500" t="s">
        <v>738</v>
      </c>
      <c r="C12500" t="s">
        <v>739</v>
      </c>
      <c r="D12500" t="s">
        <v>44919</v>
      </c>
      <c r="E12500">
        <v>424006</v>
      </c>
      <c r="F12500" t="s">
        <v>1</v>
      </c>
      <c r="G12500" t="s">
        <v>2</v>
      </c>
      <c r="H12500" t="s">
        <v>5479</v>
      </c>
      <c r="I12500" t="s">
        <v>44920</v>
      </c>
      <c r="M12500" t="s">
        <v>44921</v>
      </c>
      <c r="P12500" t="s">
        <v>44922</v>
      </c>
      <c r="Q12500" t="s">
        <v>44923</v>
      </c>
      <c r="Y12500" t="s">
        <v>44924</v>
      </c>
    </row>
    <row r="12501" spans="1:25" x14ac:dyDescent="0.25">
      <c r="A12501" t="str">
        <f>"189005508965"</f>
        <v>189005508965</v>
      </c>
      <c r="B12501" t="s">
        <v>32</v>
      </c>
      <c r="C12501" t="s">
        <v>182</v>
      </c>
      <c r="D12501" t="s">
        <v>44925</v>
      </c>
      <c r="E12501">
        <v>424019</v>
      </c>
      <c r="F12501" t="s">
        <v>1</v>
      </c>
      <c r="G12501" t="s">
        <v>2</v>
      </c>
      <c r="H12501" t="s">
        <v>20692</v>
      </c>
      <c r="Y12501" t="s">
        <v>44926</v>
      </c>
    </row>
    <row r="12502" spans="1:25" x14ac:dyDescent="0.25">
      <c r="A12502" t="str">
        <f>"189031121312"</f>
        <v>189031121312</v>
      </c>
      <c r="B12502" t="s">
        <v>96</v>
      </c>
      <c r="C12502" t="s">
        <v>14175</v>
      </c>
      <c r="D12502" t="s">
        <v>42405</v>
      </c>
      <c r="E12502">
        <v>424031</v>
      </c>
      <c r="F12502" t="s">
        <v>1</v>
      </c>
      <c r="G12502" t="s">
        <v>2</v>
      </c>
      <c r="H12502" t="s">
        <v>25866</v>
      </c>
      <c r="Y12502" t="s">
        <v>44927</v>
      </c>
    </row>
    <row r="12503" spans="1:25" x14ac:dyDescent="0.25">
      <c r="A12503" t="str">
        <f>"189044619854"</f>
        <v>189044619854</v>
      </c>
      <c r="B12503" t="s">
        <v>2474</v>
      </c>
      <c r="C12503" t="s">
        <v>2475</v>
      </c>
      <c r="D12503" t="s">
        <v>44928</v>
      </c>
      <c r="E12503">
        <v>424031</v>
      </c>
      <c r="F12503" t="s">
        <v>1</v>
      </c>
      <c r="G12503" t="s">
        <v>2</v>
      </c>
      <c r="H12503" t="s">
        <v>22229</v>
      </c>
      <c r="Y12503" t="s">
        <v>44929</v>
      </c>
    </row>
    <row r="12504" spans="1:25" x14ac:dyDescent="0.25">
      <c r="A12504" t="str">
        <f>"189103522616"</f>
        <v>189103522616</v>
      </c>
      <c r="B12504" t="s">
        <v>530</v>
      </c>
      <c r="C12504" t="s">
        <v>23950</v>
      </c>
      <c r="D12504" t="s">
        <v>23950</v>
      </c>
      <c r="E12504">
        <v>424030</v>
      </c>
      <c r="F12504" t="s">
        <v>1</v>
      </c>
      <c r="G12504" t="s">
        <v>2</v>
      </c>
      <c r="H12504" t="s">
        <v>44930</v>
      </c>
      <c r="Y12504" t="s">
        <v>44931</v>
      </c>
    </row>
    <row r="12505" spans="1:25" x14ac:dyDescent="0.25">
      <c r="A12505" t="str">
        <f>"189110057227"</f>
        <v>189110057227</v>
      </c>
      <c r="B12505" t="s">
        <v>7</v>
      </c>
      <c r="C12505" t="s">
        <v>21467</v>
      </c>
      <c r="D12505" t="s">
        <v>25758</v>
      </c>
      <c r="E12505">
        <v>424002</v>
      </c>
      <c r="F12505" t="s">
        <v>1</v>
      </c>
      <c r="G12505" t="s">
        <v>2</v>
      </c>
      <c r="H12505" t="s">
        <v>25759</v>
      </c>
      <c r="J12505" t="s">
        <v>24565</v>
      </c>
      <c r="L12505" t="s">
        <v>44932</v>
      </c>
      <c r="M12505" t="s">
        <v>44933</v>
      </c>
      <c r="P12505" t="s">
        <v>390</v>
      </c>
      <c r="Q12505" t="s">
        <v>44934</v>
      </c>
      <c r="Y12505" t="s">
        <v>41763</v>
      </c>
    </row>
    <row r="12506" spans="1:25" x14ac:dyDescent="0.25">
      <c r="A12506" t="str">
        <f>"189147383174"</f>
        <v>189147383174</v>
      </c>
      <c r="B12506" t="s">
        <v>243</v>
      </c>
      <c r="C12506" t="s">
        <v>2538</v>
      </c>
      <c r="D12506" t="s">
        <v>44935</v>
      </c>
      <c r="E12506">
        <v>424006</v>
      </c>
      <c r="F12506" t="s">
        <v>1</v>
      </c>
      <c r="G12506" t="s">
        <v>2</v>
      </c>
      <c r="H12506" t="s">
        <v>445</v>
      </c>
      <c r="J12506" t="s">
        <v>44936</v>
      </c>
      <c r="L12506" t="s">
        <v>1925</v>
      </c>
      <c r="M12506" t="s">
        <v>44937</v>
      </c>
      <c r="P12506" t="s">
        <v>1027</v>
      </c>
      <c r="Y12506" t="s">
        <v>449</v>
      </c>
    </row>
    <row r="12507" spans="1:25" x14ac:dyDescent="0.25">
      <c r="A12507" t="str">
        <f>"189159456041"</f>
        <v>189159456041</v>
      </c>
      <c r="B12507" t="s">
        <v>530</v>
      </c>
      <c r="C12507" t="s">
        <v>23950</v>
      </c>
      <c r="D12507" t="s">
        <v>23950</v>
      </c>
      <c r="F12507" t="s">
        <v>1</v>
      </c>
      <c r="G12507" t="s">
        <v>2</v>
      </c>
      <c r="H12507" t="s">
        <v>32673</v>
      </c>
      <c r="Y12507" t="s">
        <v>44938</v>
      </c>
    </row>
    <row r="12508" spans="1:25" x14ac:dyDescent="0.25">
      <c r="A12508" t="str">
        <f>"189163404390"</f>
        <v>189163404390</v>
      </c>
      <c r="B12508" t="s">
        <v>151</v>
      </c>
      <c r="C12508" t="s">
        <v>151</v>
      </c>
      <c r="D12508" t="s">
        <v>44939</v>
      </c>
      <c r="E12508">
        <v>424002</v>
      </c>
      <c r="F12508" t="s">
        <v>1</v>
      </c>
      <c r="G12508" t="s">
        <v>2</v>
      </c>
      <c r="H12508" t="s">
        <v>9857</v>
      </c>
      <c r="I12508" t="s">
        <v>44940</v>
      </c>
      <c r="K12508" t="s">
        <v>19727</v>
      </c>
      <c r="P12508" t="s">
        <v>27</v>
      </c>
      <c r="Y12508" t="s">
        <v>9860</v>
      </c>
    </row>
    <row r="12509" spans="1:25" x14ac:dyDescent="0.25">
      <c r="A12509" t="str">
        <f>"189202001540"</f>
        <v>189202001540</v>
      </c>
      <c r="B12509" t="s">
        <v>530</v>
      </c>
      <c r="C12509" t="s">
        <v>23950</v>
      </c>
      <c r="D12509" t="s">
        <v>23950</v>
      </c>
      <c r="E12509">
        <v>424036</v>
      </c>
      <c r="F12509" t="s">
        <v>1</v>
      </c>
      <c r="G12509" t="s">
        <v>2</v>
      </c>
      <c r="H12509" t="s">
        <v>5509</v>
      </c>
      <c r="Y12509" t="s">
        <v>44941</v>
      </c>
    </row>
    <row r="12510" spans="1:25" x14ac:dyDescent="0.25">
      <c r="A12510" t="str">
        <f>"189249275264"</f>
        <v>189249275264</v>
      </c>
      <c r="B12510" t="s">
        <v>738</v>
      </c>
      <c r="C12510" t="s">
        <v>739</v>
      </c>
      <c r="D12510" t="s">
        <v>44942</v>
      </c>
      <c r="F12510" t="s">
        <v>1</v>
      </c>
      <c r="G12510" t="s">
        <v>2</v>
      </c>
      <c r="H12510" t="s">
        <v>714</v>
      </c>
      <c r="I12510" t="s">
        <v>44943</v>
      </c>
      <c r="P12510" t="s">
        <v>330</v>
      </c>
      <c r="Y12510" t="s">
        <v>37553</v>
      </c>
    </row>
    <row r="12511" spans="1:25" x14ac:dyDescent="0.25">
      <c r="A12511" t="str">
        <f>"189254282690"</f>
        <v>189254282690</v>
      </c>
      <c r="B12511" t="s">
        <v>1475</v>
      </c>
      <c r="C12511" t="s">
        <v>1476</v>
      </c>
      <c r="D12511" t="s">
        <v>44944</v>
      </c>
      <c r="E12511">
        <v>424019</v>
      </c>
      <c r="F12511" t="s">
        <v>1</v>
      </c>
      <c r="G12511" t="s">
        <v>2</v>
      </c>
      <c r="H12511" t="s">
        <v>7785</v>
      </c>
      <c r="I12511" t="s">
        <v>44945</v>
      </c>
      <c r="P12511" t="s">
        <v>2951</v>
      </c>
      <c r="Y12511" t="s">
        <v>10467</v>
      </c>
    </row>
    <row r="12512" spans="1:25" x14ac:dyDescent="0.25">
      <c r="A12512" t="str">
        <f>"189380969205"</f>
        <v>189380969205</v>
      </c>
      <c r="B12512" t="s">
        <v>1475</v>
      </c>
      <c r="C12512" t="s">
        <v>1476</v>
      </c>
      <c r="D12512" t="s">
        <v>44946</v>
      </c>
      <c r="E12512">
        <v>424031</v>
      </c>
      <c r="F12512" t="s">
        <v>1</v>
      </c>
      <c r="G12512" t="s">
        <v>2</v>
      </c>
      <c r="H12512" t="s">
        <v>239</v>
      </c>
      <c r="Y12512" t="s">
        <v>246</v>
      </c>
    </row>
    <row r="12513" spans="1:25" x14ac:dyDescent="0.25">
      <c r="A12513" t="str">
        <f>"189417972937"</f>
        <v>189417972937</v>
      </c>
      <c r="B12513" t="s">
        <v>1323</v>
      </c>
      <c r="C12513" t="s">
        <v>1324</v>
      </c>
      <c r="D12513" t="s">
        <v>44947</v>
      </c>
      <c r="E12513">
        <v>424000</v>
      </c>
      <c r="F12513" t="s">
        <v>1</v>
      </c>
      <c r="G12513" t="s">
        <v>2</v>
      </c>
      <c r="H12513" t="s">
        <v>4492</v>
      </c>
      <c r="Y12513" t="s">
        <v>4497</v>
      </c>
    </row>
    <row r="12514" spans="1:25" x14ac:dyDescent="0.25">
      <c r="A12514" t="str">
        <f>"189436818153"</f>
        <v>189436818153</v>
      </c>
      <c r="B12514" t="s">
        <v>10383</v>
      </c>
      <c r="C12514" t="s">
        <v>24146</v>
      </c>
      <c r="D12514" t="s">
        <v>29301</v>
      </c>
      <c r="E12514">
        <v>424038</v>
      </c>
      <c r="F12514" t="s">
        <v>1</v>
      </c>
      <c r="G12514" t="s">
        <v>2</v>
      </c>
      <c r="H12514" t="s">
        <v>14592</v>
      </c>
      <c r="Y12514" t="s">
        <v>44948</v>
      </c>
    </row>
    <row r="12515" spans="1:25" x14ac:dyDescent="0.25">
      <c r="A12515" t="str">
        <f>"189441626108"</f>
        <v>189441626108</v>
      </c>
      <c r="B12515" t="s">
        <v>96</v>
      </c>
      <c r="C12515" t="s">
        <v>44952</v>
      </c>
      <c r="D12515" t="s">
        <v>44949</v>
      </c>
      <c r="E12515">
        <v>424007</v>
      </c>
      <c r="F12515" t="s">
        <v>1</v>
      </c>
      <c r="G12515" t="s">
        <v>2</v>
      </c>
      <c r="H12515" t="s">
        <v>7196</v>
      </c>
      <c r="I12515" t="s">
        <v>42536</v>
      </c>
      <c r="J12515" t="s">
        <v>42537</v>
      </c>
      <c r="L12515" t="s">
        <v>44950</v>
      </c>
      <c r="M12515" t="s">
        <v>44951</v>
      </c>
      <c r="P12515" t="s">
        <v>1760</v>
      </c>
      <c r="Q12515" t="s">
        <v>44953</v>
      </c>
      <c r="S12515" t="s">
        <v>44954</v>
      </c>
      <c r="T12515" t="s">
        <v>44955</v>
      </c>
      <c r="V12515" t="s">
        <v>44956</v>
      </c>
      <c r="Y12515" t="s">
        <v>44957</v>
      </c>
    </row>
    <row r="12516" spans="1:25" x14ac:dyDescent="0.25">
      <c r="A12516" t="str">
        <f>"189459016107"</f>
        <v>189459016107</v>
      </c>
      <c r="B12516" t="s">
        <v>96</v>
      </c>
      <c r="C12516" t="s">
        <v>695</v>
      </c>
      <c r="D12516" t="s">
        <v>44958</v>
      </c>
      <c r="E12516">
        <v>424020</v>
      </c>
      <c r="F12516" t="s">
        <v>1</v>
      </c>
      <c r="G12516" t="s">
        <v>2</v>
      </c>
      <c r="H12516" t="s">
        <v>1837</v>
      </c>
      <c r="J12516" t="s">
        <v>44959</v>
      </c>
      <c r="P12516" t="s">
        <v>390</v>
      </c>
      <c r="Y12516" t="s">
        <v>1842</v>
      </c>
    </row>
    <row r="12517" spans="1:25" x14ac:dyDescent="0.25">
      <c r="A12517" t="str">
        <f>"189464214496"</f>
        <v>189464214496</v>
      </c>
      <c r="B12517" t="s">
        <v>703</v>
      </c>
      <c r="C12517" t="s">
        <v>2129</v>
      </c>
      <c r="D12517" t="s">
        <v>42345</v>
      </c>
      <c r="E12517">
        <v>424002</v>
      </c>
      <c r="F12517" t="s">
        <v>1</v>
      </c>
      <c r="G12517" t="s">
        <v>2</v>
      </c>
      <c r="H12517" t="s">
        <v>3604</v>
      </c>
      <c r="J12517" t="s">
        <v>44960</v>
      </c>
      <c r="P12517" t="s">
        <v>2457</v>
      </c>
      <c r="Y12517" t="s">
        <v>8209</v>
      </c>
    </row>
    <row r="12518" spans="1:25" x14ac:dyDescent="0.25">
      <c r="A12518" t="str">
        <f>"189464756646"</f>
        <v>189464756646</v>
      </c>
      <c r="B12518" t="s">
        <v>1611</v>
      </c>
      <c r="C12518" t="s">
        <v>26250</v>
      </c>
      <c r="D12518" t="s">
        <v>44961</v>
      </c>
      <c r="E12518">
        <v>424005</v>
      </c>
      <c r="F12518" t="s">
        <v>1</v>
      </c>
      <c r="G12518" t="s">
        <v>2</v>
      </c>
      <c r="H12518" t="s">
        <v>11683</v>
      </c>
      <c r="Y12518" t="s">
        <v>44962</v>
      </c>
    </row>
    <row r="12519" spans="1:25" x14ac:dyDescent="0.25">
      <c r="A12519" t="str">
        <f>"189477733180"</f>
        <v>189477733180</v>
      </c>
      <c r="B12519" t="s">
        <v>160</v>
      </c>
      <c r="C12519" t="s">
        <v>15654</v>
      </c>
      <c r="D12519" t="s">
        <v>44963</v>
      </c>
      <c r="E12519">
        <v>424031</v>
      </c>
      <c r="F12519" t="s">
        <v>1</v>
      </c>
      <c r="G12519" t="s">
        <v>2</v>
      </c>
      <c r="H12519" t="s">
        <v>812</v>
      </c>
      <c r="I12519" t="s">
        <v>44964</v>
      </c>
      <c r="P12519" t="s">
        <v>20</v>
      </c>
      <c r="Y12519" t="s">
        <v>44965</v>
      </c>
    </row>
    <row r="12520" spans="1:25" x14ac:dyDescent="0.25">
      <c r="A12520" t="str">
        <f>"189478475261"</f>
        <v>189478475261</v>
      </c>
      <c r="B12520" t="s">
        <v>1053</v>
      </c>
      <c r="C12520" t="s">
        <v>44967</v>
      </c>
      <c r="D12520" t="s">
        <v>44966</v>
      </c>
      <c r="E12520">
        <v>424005</v>
      </c>
      <c r="F12520" t="s">
        <v>1</v>
      </c>
      <c r="G12520" t="s">
        <v>2</v>
      </c>
      <c r="H12520" t="s">
        <v>5843</v>
      </c>
      <c r="Y12520" t="s">
        <v>5844</v>
      </c>
    </row>
    <row r="12521" spans="1:25" x14ac:dyDescent="0.25">
      <c r="A12521" t="str">
        <f>"189487364770"</f>
        <v>189487364770</v>
      </c>
      <c r="B12521" t="s">
        <v>1053</v>
      </c>
      <c r="C12521" t="s">
        <v>10510</v>
      </c>
      <c r="D12521" t="s">
        <v>44968</v>
      </c>
      <c r="F12521" t="s">
        <v>1</v>
      </c>
      <c r="G12521" t="s">
        <v>2</v>
      </c>
      <c r="H12521" t="s">
        <v>3984</v>
      </c>
      <c r="Y12521" t="s">
        <v>44969</v>
      </c>
    </row>
    <row r="12522" spans="1:25" x14ac:dyDescent="0.25">
      <c r="A12522" t="str">
        <f>"189551853821"</f>
        <v>189551853821</v>
      </c>
      <c r="B12522" t="s">
        <v>1343</v>
      </c>
      <c r="C12522" t="s">
        <v>13544</v>
      </c>
      <c r="D12522" t="s">
        <v>37869</v>
      </c>
      <c r="E12522">
        <v>424019</v>
      </c>
      <c r="F12522" t="s">
        <v>1</v>
      </c>
      <c r="G12522" t="s">
        <v>2</v>
      </c>
      <c r="H12522" t="s">
        <v>7785</v>
      </c>
      <c r="P12522" t="s">
        <v>98</v>
      </c>
      <c r="Y12522" t="s">
        <v>44970</v>
      </c>
    </row>
    <row r="12523" spans="1:25" x14ac:dyDescent="0.25">
      <c r="A12523" t="str">
        <f>"189615436317"</f>
        <v>189615436317</v>
      </c>
      <c r="B12523" t="s">
        <v>1573</v>
      </c>
      <c r="C12523" t="s">
        <v>44974</v>
      </c>
      <c r="D12523" t="s">
        <v>44971</v>
      </c>
      <c r="E12523">
        <v>424032</v>
      </c>
      <c r="F12523" t="s">
        <v>1</v>
      </c>
      <c r="G12523" t="s">
        <v>2</v>
      </c>
      <c r="H12523" t="s">
        <v>5699</v>
      </c>
      <c r="I12523" t="s">
        <v>44972</v>
      </c>
      <c r="J12523" t="s">
        <v>44973</v>
      </c>
      <c r="P12523" t="s">
        <v>280</v>
      </c>
      <c r="Y12523" t="s">
        <v>5709</v>
      </c>
    </row>
    <row r="12524" spans="1:25" x14ac:dyDescent="0.25">
      <c r="A12524" t="str">
        <f>"189630763509"</f>
        <v>189630763509</v>
      </c>
      <c r="B12524" t="s">
        <v>32</v>
      </c>
      <c r="C12524" t="s">
        <v>20137</v>
      </c>
      <c r="D12524" t="s">
        <v>20137</v>
      </c>
      <c r="E12524">
        <v>424031</v>
      </c>
      <c r="F12524" t="s">
        <v>1</v>
      </c>
      <c r="G12524" t="s">
        <v>2</v>
      </c>
      <c r="H12524" t="s">
        <v>239</v>
      </c>
      <c r="V12524" t="s">
        <v>44975</v>
      </c>
      <c r="Y12524" t="s">
        <v>246</v>
      </c>
    </row>
    <row r="12525" spans="1:25" x14ac:dyDescent="0.25">
      <c r="A12525" t="str">
        <f>"189703214231"</f>
        <v>189703214231</v>
      </c>
      <c r="B12525" t="s">
        <v>574</v>
      </c>
      <c r="C12525" t="s">
        <v>952</v>
      </c>
      <c r="D12525" t="s">
        <v>7620</v>
      </c>
      <c r="F12525" t="s">
        <v>1</v>
      </c>
      <c r="G12525" t="s">
        <v>2</v>
      </c>
      <c r="H12525" t="s">
        <v>44976</v>
      </c>
      <c r="Y12525" t="s">
        <v>34173</v>
      </c>
    </row>
    <row r="12526" spans="1:25" x14ac:dyDescent="0.25">
      <c r="A12526" t="str">
        <f>"189775538195"</f>
        <v>189775538195</v>
      </c>
      <c r="B12526" t="s">
        <v>716</v>
      </c>
      <c r="C12526" t="s">
        <v>717</v>
      </c>
      <c r="D12526" t="s">
        <v>44977</v>
      </c>
      <c r="E12526">
        <v>424004</v>
      </c>
      <c r="F12526" t="s">
        <v>1</v>
      </c>
      <c r="G12526" t="s">
        <v>2</v>
      </c>
      <c r="H12526" t="s">
        <v>351</v>
      </c>
      <c r="I12526" t="s">
        <v>44978</v>
      </c>
      <c r="Q12526" t="s">
        <v>44979</v>
      </c>
      <c r="Y12526" t="s">
        <v>44980</v>
      </c>
    </row>
    <row r="12527" spans="1:25" x14ac:dyDescent="0.25">
      <c r="A12527" t="str">
        <f>"189781635896"</f>
        <v>189781635896</v>
      </c>
      <c r="B12527" t="s">
        <v>1475</v>
      </c>
      <c r="C12527" t="s">
        <v>4005</v>
      </c>
      <c r="D12527" t="s">
        <v>44981</v>
      </c>
      <c r="E12527">
        <v>424006</v>
      </c>
      <c r="F12527" t="s">
        <v>1</v>
      </c>
      <c r="G12527" t="s">
        <v>2</v>
      </c>
      <c r="H12527" t="s">
        <v>34168</v>
      </c>
      <c r="Y12527" t="s">
        <v>44982</v>
      </c>
    </row>
    <row r="12528" spans="1:25" x14ac:dyDescent="0.25">
      <c r="A12528" t="str">
        <f>"189808443097"</f>
        <v>189808443097</v>
      </c>
      <c r="B12528" t="s">
        <v>530</v>
      </c>
      <c r="C12528" t="s">
        <v>23950</v>
      </c>
      <c r="D12528" t="s">
        <v>23950</v>
      </c>
      <c r="F12528" t="s">
        <v>1</v>
      </c>
      <c r="G12528" t="s">
        <v>2</v>
      </c>
      <c r="H12528" t="s">
        <v>25102</v>
      </c>
      <c r="Y12528" t="s">
        <v>44983</v>
      </c>
    </row>
    <row r="12529" spans="1:25" x14ac:dyDescent="0.25">
      <c r="A12529" t="str">
        <f>"189830556562"</f>
        <v>189830556562</v>
      </c>
      <c r="B12529" t="s">
        <v>319</v>
      </c>
      <c r="C12529" t="s">
        <v>320</v>
      </c>
      <c r="D12529" t="s">
        <v>44984</v>
      </c>
      <c r="E12529">
        <v>424038</v>
      </c>
      <c r="F12529" t="s">
        <v>1</v>
      </c>
      <c r="G12529" t="s">
        <v>2</v>
      </c>
      <c r="H12529" t="s">
        <v>8063</v>
      </c>
      <c r="P12529" t="s">
        <v>17179</v>
      </c>
      <c r="Y12529" t="s">
        <v>44985</v>
      </c>
    </row>
    <row r="12530" spans="1:25" x14ac:dyDescent="0.25">
      <c r="A12530" t="str">
        <f>"189845447777"</f>
        <v>189845447777</v>
      </c>
      <c r="B12530" t="s">
        <v>482</v>
      </c>
      <c r="C12530" t="s">
        <v>44989</v>
      </c>
      <c r="D12530" t="s">
        <v>44986</v>
      </c>
      <c r="E12530">
        <v>424031</v>
      </c>
      <c r="F12530" t="s">
        <v>1</v>
      </c>
      <c r="G12530" t="s">
        <v>2</v>
      </c>
      <c r="H12530" t="s">
        <v>12973</v>
      </c>
      <c r="I12530" t="s">
        <v>44987</v>
      </c>
      <c r="M12530" t="s">
        <v>44988</v>
      </c>
      <c r="Y12530" t="s">
        <v>44990</v>
      </c>
    </row>
    <row r="12531" spans="1:25" x14ac:dyDescent="0.25">
      <c r="A12531" t="str">
        <f>"189849117168"</f>
        <v>189849117168</v>
      </c>
      <c r="B12531" t="s">
        <v>25</v>
      </c>
      <c r="C12531" t="s">
        <v>20320</v>
      </c>
      <c r="D12531" t="s">
        <v>44991</v>
      </c>
      <c r="E12531">
        <v>424037</v>
      </c>
      <c r="F12531" t="s">
        <v>1</v>
      </c>
      <c r="G12531" t="s">
        <v>2</v>
      </c>
      <c r="H12531" t="s">
        <v>44992</v>
      </c>
      <c r="J12531" t="s">
        <v>27350</v>
      </c>
      <c r="M12531" t="s">
        <v>27351</v>
      </c>
      <c r="P12531" t="s">
        <v>330</v>
      </c>
      <c r="Q12531" t="s">
        <v>28550</v>
      </c>
      <c r="Y12531" t="s">
        <v>44993</v>
      </c>
    </row>
    <row r="12532" spans="1:25" x14ac:dyDescent="0.25">
      <c r="A12532" t="str">
        <f>"189863632707"</f>
        <v>189863632707</v>
      </c>
      <c r="B12532" t="s">
        <v>574</v>
      </c>
      <c r="C12532" t="s">
        <v>646</v>
      </c>
      <c r="D12532" t="s">
        <v>4221</v>
      </c>
      <c r="F12532" t="s">
        <v>1</v>
      </c>
      <c r="G12532" t="s">
        <v>2</v>
      </c>
      <c r="H12532" t="s">
        <v>8989</v>
      </c>
      <c r="Y12532" t="s">
        <v>44994</v>
      </c>
    </row>
    <row r="12533" spans="1:25" x14ac:dyDescent="0.25">
      <c r="A12533" t="str">
        <f>"189958249035"</f>
        <v>189958249035</v>
      </c>
      <c r="B12533" t="s">
        <v>519</v>
      </c>
      <c r="C12533" t="s">
        <v>44998</v>
      </c>
      <c r="D12533" t="s">
        <v>44995</v>
      </c>
      <c r="E12533">
        <v>424028</v>
      </c>
      <c r="F12533" t="s">
        <v>1</v>
      </c>
      <c r="G12533" t="s">
        <v>2</v>
      </c>
      <c r="H12533" t="s">
        <v>44996</v>
      </c>
      <c r="I12533" t="s">
        <v>44997</v>
      </c>
      <c r="P12533" t="s">
        <v>44999</v>
      </c>
      <c r="Y12533" t="s">
        <v>45000</v>
      </c>
    </row>
    <row r="12534" spans="1:25" x14ac:dyDescent="0.25">
      <c r="A12534" t="str">
        <f>"189986169692"</f>
        <v>189986169692</v>
      </c>
      <c r="B12534" t="s">
        <v>930</v>
      </c>
      <c r="C12534" t="s">
        <v>1096</v>
      </c>
      <c r="D12534" t="s">
        <v>45001</v>
      </c>
      <c r="E12534">
        <v>424032</v>
      </c>
      <c r="F12534" t="s">
        <v>1</v>
      </c>
      <c r="G12534" t="s">
        <v>2</v>
      </c>
      <c r="H12534" t="s">
        <v>2250</v>
      </c>
      <c r="J12534" t="s">
        <v>36577</v>
      </c>
      <c r="L12534" t="s">
        <v>45002</v>
      </c>
      <c r="M12534" t="s">
        <v>45003</v>
      </c>
      <c r="Y12534" t="s">
        <v>2251</v>
      </c>
    </row>
    <row r="12535" spans="1:25" x14ac:dyDescent="0.25">
      <c r="A12535" t="str">
        <f>"189992533702"</f>
        <v>189992533702</v>
      </c>
      <c r="B12535" t="s">
        <v>117</v>
      </c>
      <c r="C12535" t="s">
        <v>118</v>
      </c>
      <c r="D12535" t="s">
        <v>45004</v>
      </c>
      <c r="F12535" t="s">
        <v>1</v>
      </c>
      <c r="G12535" t="s">
        <v>2</v>
      </c>
      <c r="H12535" t="s">
        <v>24670</v>
      </c>
      <c r="J12535" t="s">
        <v>45005</v>
      </c>
      <c r="P12535" t="s">
        <v>45006</v>
      </c>
      <c r="Y12535" t="s">
        <v>45007</v>
      </c>
    </row>
    <row r="12536" spans="1:25" x14ac:dyDescent="0.25">
      <c r="A12536" t="str">
        <f>"190017452751"</f>
        <v>190017452751</v>
      </c>
      <c r="B12536" t="s">
        <v>388</v>
      </c>
      <c r="C12536" t="s">
        <v>5565</v>
      </c>
      <c r="D12536" t="s">
        <v>5560</v>
      </c>
      <c r="E12536">
        <v>424033</v>
      </c>
      <c r="F12536" t="s">
        <v>1</v>
      </c>
      <c r="G12536" t="s">
        <v>2</v>
      </c>
      <c r="H12536" t="s">
        <v>4244</v>
      </c>
      <c r="Y12536" t="s">
        <v>45008</v>
      </c>
    </row>
    <row r="12537" spans="1:25" x14ac:dyDescent="0.25">
      <c r="A12537" t="str">
        <f>"190095855093"</f>
        <v>190095855093</v>
      </c>
      <c r="B12537" t="s">
        <v>348</v>
      </c>
      <c r="C12537" t="s">
        <v>4366</v>
      </c>
      <c r="D12537" t="s">
        <v>16304</v>
      </c>
      <c r="E12537">
        <v>424004</v>
      </c>
      <c r="F12537" t="s">
        <v>1</v>
      </c>
      <c r="G12537" t="s">
        <v>2</v>
      </c>
      <c r="H12537" t="s">
        <v>3489</v>
      </c>
      <c r="I12537" t="s">
        <v>16305</v>
      </c>
      <c r="P12537" t="s">
        <v>20</v>
      </c>
      <c r="Y12537" t="s">
        <v>8402</v>
      </c>
    </row>
    <row r="12538" spans="1:25" x14ac:dyDescent="0.25">
      <c r="A12538" t="str">
        <f>"190198716518"</f>
        <v>190198716518</v>
      </c>
      <c r="B12538" t="s">
        <v>290</v>
      </c>
      <c r="C12538" t="s">
        <v>290</v>
      </c>
      <c r="D12538" t="s">
        <v>45009</v>
      </c>
      <c r="E12538">
        <v>424000</v>
      </c>
      <c r="F12538" t="s">
        <v>1</v>
      </c>
      <c r="G12538" t="s">
        <v>2</v>
      </c>
      <c r="H12538" t="s">
        <v>7709</v>
      </c>
      <c r="J12538" t="s">
        <v>45010</v>
      </c>
      <c r="L12538" t="s">
        <v>26287</v>
      </c>
      <c r="M12538" t="s">
        <v>26288</v>
      </c>
      <c r="P12538" t="s">
        <v>8133</v>
      </c>
      <c r="T12538" t="s">
        <v>45011</v>
      </c>
      <c r="V12538" t="s">
        <v>45012</v>
      </c>
      <c r="Y12538" t="s">
        <v>45013</v>
      </c>
    </row>
    <row r="12539" spans="1:25" x14ac:dyDescent="0.25">
      <c r="A12539" t="str">
        <f>"190236607220"</f>
        <v>190236607220</v>
      </c>
      <c r="B12539" t="s">
        <v>1573</v>
      </c>
      <c r="C12539" t="s">
        <v>1753</v>
      </c>
      <c r="D12539" t="s">
        <v>1753</v>
      </c>
      <c r="E12539">
        <v>424037</v>
      </c>
      <c r="F12539" t="s">
        <v>1</v>
      </c>
      <c r="G12539" t="s">
        <v>2</v>
      </c>
      <c r="H12539" t="s">
        <v>21270</v>
      </c>
      <c r="P12539" t="s">
        <v>32099</v>
      </c>
      <c r="Y12539" t="s">
        <v>45014</v>
      </c>
    </row>
    <row r="12540" spans="1:25" x14ac:dyDescent="0.25">
      <c r="A12540" t="str">
        <f>"190239681385"</f>
        <v>190239681385</v>
      </c>
      <c r="B12540" t="s">
        <v>669</v>
      </c>
      <c r="C12540" t="s">
        <v>2689</v>
      </c>
      <c r="D12540" t="s">
        <v>45015</v>
      </c>
      <c r="E12540">
        <v>424006</v>
      </c>
      <c r="F12540" t="s">
        <v>1</v>
      </c>
      <c r="G12540" t="s">
        <v>2</v>
      </c>
      <c r="H12540" t="s">
        <v>12208</v>
      </c>
      <c r="I12540" t="s">
        <v>45016</v>
      </c>
      <c r="K12540" t="s">
        <v>45017</v>
      </c>
      <c r="P12540" t="s">
        <v>280</v>
      </c>
      <c r="Y12540" t="s">
        <v>31640</v>
      </c>
    </row>
    <row r="12541" spans="1:25" x14ac:dyDescent="0.25">
      <c r="A12541" t="str">
        <f>"190252438651"</f>
        <v>190252438651</v>
      </c>
      <c r="B12541" t="s">
        <v>117</v>
      </c>
      <c r="C12541" t="s">
        <v>118</v>
      </c>
      <c r="D12541" t="s">
        <v>45018</v>
      </c>
      <c r="F12541" t="s">
        <v>1</v>
      </c>
      <c r="G12541" t="s">
        <v>2</v>
      </c>
      <c r="H12541" t="s">
        <v>7547</v>
      </c>
      <c r="Y12541" t="s">
        <v>45019</v>
      </c>
    </row>
    <row r="12542" spans="1:25" x14ac:dyDescent="0.25">
      <c r="A12542" t="str">
        <f>"190289635354"</f>
        <v>190289635354</v>
      </c>
      <c r="B12542" t="s">
        <v>530</v>
      </c>
      <c r="C12542" t="s">
        <v>23950</v>
      </c>
      <c r="D12542" t="s">
        <v>23950</v>
      </c>
      <c r="F12542" t="s">
        <v>1</v>
      </c>
      <c r="G12542" t="s">
        <v>2</v>
      </c>
      <c r="H12542" t="s">
        <v>25832</v>
      </c>
      <c r="Y12542" t="s">
        <v>45020</v>
      </c>
    </row>
    <row r="12543" spans="1:25" x14ac:dyDescent="0.25">
      <c r="A12543" t="str">
        <f>"190325665109"</f>
        <v>190325665109</v>
      </c>
      <c r="B12543" t="s">
        <v>25</v>
      </c>
      <c r="C12543" t="s">
        <v>59</v>
      </c>
      <c r="D12543" t="s">
        <v>756</v>
      </c>
      <c r="E12543">
        <v>424001</v>
      </c>
      <c r="F12543" t="s">
        <v>1</v>
      </c>
      <c r="G12543" t="s">
        <v>2</v>
      </c>
      <c r="H12543" t="s">
        <v>3665</v>
      </c>
      <c r="I12543" t="s">
        <v>45021</v>
      </c>
      <c r="P12543" t="s">
        <v>152</v>
      </c>
      <c r="Y12543" t="s">
        <v>45022</v>
      </c>
    </row>
    <row r="12544" spans="1:25" x14ac:dyDescent="0.25">
      <c r="A12544" t="str">
        <f>"190390572841"</f>
        <v>190390572841</v>
      </c>
      <c r="B12544" t="s">
        <v>1611</v>
      </c>
      <c r="C12544" t="s">
        <v>11688</v>
      </c>
      <c r="D12544" t="s">
        <v>45023</v>
      </c>
      <c r="E12544">
        <v>424037</v>
      </c>
      <c r="F12544" t="s">
        <v>1</v>
      </c>
      <c r="G12544" t="s">
        <v>2</v>
      </c>
      <c r="H12544" t="s">
        <v>16664</v>
      </c>
      <c r="I12544" t="s">
        <v>45024</v>
      </c>
      <c r="L12544" t="s">
        <v>20111</v>
      </c>
      <c r="M12544" t="s">
        <v>20178</v>
      </c>
      <c r="P12544" t="s">
        <v>45025</v>
      </c>
      <c r="Y12544" t="s">
        <v>34619</v>
      </c>
    </row>
    <row r="12545" spans="1:25" x14ac:dyDescent="0.25">
      <c r="A12545" t="str">
        <f>"190392729498"</f>
        <v>190392729498</v>
      </c>
      <c r="B12545" t="s">
        <v>371</v>
      </c>
      <c r="C12545" t="s">
        <v>45027</v>
      </c>
      <c r="D12545" t="s">
        <v>12660</v>
      </c>
      <c r="E12545">
        <v>424005</v>
      </c>
      <c r="F12545" t="s">
        <v>1</v>
      </c>
      <c r="G12545" t="s">
        <v>2</v>
      </c>
      <c r="H12545" t="s">
        <v>24874</v>
      </c>
      <c r="I12545" t="s">
        <v>45026</v>
      </c>
      <c r="P12545" t="s">
        <v>20</v>
      </c>
      <c r="Y12545" t="s">
        <v>45028</v>
      </c>
    </row>
    <row r="12546" spans="1:25" x14ac:dyDescent="0.25">
      <c r="A12546" t="str">
        <f>"190471591870"</f>
        <v>190471591870</v>
      </c>
      <c r="B12546" t="s">
        <v>1046</v>
      </c>
      <c r="C12546" t="s">
        <v>2695</v>
      </c>
      <c r="D12546" t="s">
        <v>45029</v>
      </c>
      <c r="E12546">
        <v>424002</v>
      </c>
      <c r="F12546" t="s">
        <v>1</v>
      </c>
      <c r="G12546" t="s">
        <v>2</v>
      </c>
      <c r="H12546" t="s">
        <v>4001</v>
      </c>
      <c r="I12546" t="s">
        <v>45030</v>
      </c>
      <c r="Y12546" t="s">
        <v>25034</v>
      </c>
    </row>
    <row r="12547" spans="1:25" x14ac:dyDescent="0.25">
      <c r="A12547" t="str">
        <f>"190513522797"</f>
        <v>190513522797</v>
      </c>
      <c r="B12547" t="s">
        <v>18</v>
      </c>
      <c r="C12547" t="s">
        <v>45036</v>
      </c>
      <c r="D12547" t="s">
        <v>45031</v>
      </c>
      <c r="E12547">
        <v>424002</v>
      </c>
      <c r="F12547" t="s">
        <v>1</v>
      </c>
      <c r="G12547" t="s">
        <v>2</v>
      </c>
      <c r="H12547" t="s">
        <v>11581</v>
      </c>
      <c r="I12547" t="s">
        <v>45032</v>
      </c>
      <c r="J12547" t="s">
        <v>45033</v>
      </c>
      <c r="L12547" t="s">
        <v>45034</v>
      </c>
      <c r="M12547" t="s">
        <v>45035</v>
      </c>
      <c r="P12547" t="s">
        <v>3379</v>
      </c>
      <c r="Q12547" t="s">
        <v>45037</v>
      </c>
      <c r="Y12547" t="s">
        <v>45038</v>
      </c>
    </row>
    <row r="12548" spans="1:25" x14ac:dyDescent="0.25">
      <c r="A12548" t="str">
        <f>"190516693330"</f>
        <v>190516693330</v>
      </c>
      <c r="B12548" t="s">
        <v>32</v>
      </c>
      <c r="C12548" t="s">
        <v>4125</v>
      </c>
      <c r="D12548" t="s">
        <v>4125</v>
      </c>
      <c r="E12548">
        <v>424006</v>
      </c>
      <c r="F12548" t="s">
        <v>1</v>
      </c>
      <c r="G12548" t="s">
        <v>2</v>
      </c>
      <c r="H12548" t="s">
        <v>3913</v>
      </c>
      <c r="Y12548" t="s">
        <v>45039</v>
      </c>
    </row>
    <row r="12549" spans="1:25" x14ac:dyDescent="0.25">
      <c r="A12549" t="str">
        <f>"190528123810"</f>
        <v>190528123810</v>
      </c>
      <c r="B12549" t="s">
        <v>160</v>
      </c>
      <c r="C12549" t="s">
        <v>1666</v>
      </c>
      <c r="D12549" t="s">
        <v>45040</v>
      </c>
      <c r="E12549">
        <v>424038</v>
      </c>
      <c r="F12549" t="s">
        <v>1</v>
      </c>
      <c r="G12549" t="s">
        <v>2</v>
      </c>
      <c r="H12549" t="s">
        <v>23251</v>
      </c>
      <c r="I12549" t="s">
        <v>45041</v>
      </c>
      <c r="P12549" t="s">
        <v>280</v>
      </c>
      <c r="Y12549" t="s">
        <v>45042</v>
      </c>
    </row>
    <row r="12550" spans="1:25" x14ac:dyDescent="0.25">
      <c r="A12550" t="str">
        <f>"190529631216"</f>
        <v>190529631216</v>
      </c>
      <c r="B12550" t="s">
        <v>930</v>
      </c>
      <c r="C12550" t="s">
        <v>28791</v>
      </c>
      <c r="D12550" t="s">
        <v>927</v>
      </c>
      <c r="F12550" t="s">
        <v>1</v>
      </c>
      <c r="G12550" t="s">
        <v>2</v>
      </c>
      <c r="H12550" t="s">
        <v>8989</v>
      </c>
      <c r="I12550" t="s">
        <v>45043</v>
      </c>
      <c r="P12550" t="s">
        <v>10486</v>
      </c>
      <c r="Y12550" t="s">
        <v>45044</v>
      </c>
    </row>
    <row r="12551" spans="1:25" x14ac:dyDescent="0.25">
      <c r="A12551" t="str">
        <f>"190538224859"</f>
        <v>190538224859</v>
      </c>
      <c r="B12551" t="s">
        <v>18</v>
      </c>
      <c r="C12551" t="s">
        <v>45049</v>
      </c>
      <c r="D12551" t="s">
        <v>45045</v>
      </c>
      <c r="E12551">
        <v>424006</v>
      </c>
      <c r="F12551" t="s">
        <v>1</v>
      </c>
      <c r="G12551" t="s">
        <v>2</v>
      </c>
      <c r="H12551" t="s">
        <v>8622</v>
      </c>
      <c r="I12551" t="s">
        <v>45046</v>
      </c>
      <c r="L12551" t="s">
        <v>45047</v>
      </c>
      <c r="M12551" t="s">
        <v>45048</v>
      </c>
      <c r="P12551" t="s">
        <v>5084</v>
      </c>
      <c r="V12551" t="s">
        <v>45050</v>
      </c>
      <c r="Y12551" t="s">
        <v>8866</v>
      </c>
    </row>
    <row r="12552" spans="1:25" x14ac:dyDescent="0.25">
      <c r="A12552" t="str">
        <f>"190559546149"</f>
        <v>190559546149</v>
      </c>
      <c r="B12552" t="s">
        <v>574</v>
      </c>
      <c r="C12552" t="s">
        <v>45051</v>
      </c>
      <c r="D12552" t="s">
        <v>17775</v>
      </c>
      <c r="E12552">
        <v>424006</v>
      </c>
      <c r="F12552" t="s">
        <v>1</v>
      </c>
      <c r="G12552" t="s">
        <v>2</v>
      </c>
      <c r="H12552" t="s">
        <v>33147</v>
      </c>
      <c r="Y12552" t="s">
        <v>45052</v>
      </c>
    </row>
    <row r="12553" spans="1:25" x14ac:dyDescent="0.25">
      <c r="A12553" t="str">
        <f>"190585267792"</f>
        <v>190585267792</v>
      </c>
      <c r="B12553" t="s">
        <v>574</v>
      </c>
      <c r="C12553" t="s">
        <v>22533</v>
      </c>
      <c r="D12553" t="s">
        <v>3057</v>
      </c>
      <c r="E12553">
        <v>424019</v>
      </c>
      <c r="F12553" t="s">
        <v>1</v>
      </c>
      <c r="G12553" t="s">
        <v>2</v>
      </c>
      <c r="H12553" t="s">
        <v>29596</v>
      </c>
      <c r="P12553" t="s">
        <v>26241</v>
      </c>
      <c r="Y12553" t="s">
        <v>45053</v>
      </c>
    </row>
    <row r="12554" spans="1:25" x14ac:dyDescent="0.25">
      <c r="A12554" t="str">
        <f>"190590032098"</f>
        <v>190590032098</v>
      </c>
      <c r="B12554" t="s">
        <v>482</v>
      </c>
      <c r="C12554" t="s">
        <v>6009</v>
      </c>
      <c r="D12554" t="s">
        <v>45054</v>
      </c>
      <c r="E12554">
        <v>424004</v>
      </c>
      <c r="F12554" t="s">
        <v>1</v>
      </c>
      <c r="G12554" t="s">
        <v>2</v>
      </c>
      <c r="H12554" t="s">
        <v>13630</v>
      </c>
      <c r="I12554" t="s">
        <v>45055</v>
      </c>
      <c r="M12554" t="s">
        <v>45056</v>
      </c>
      <c r="P12554" t="s">
        <v>45057</v>
      </c>
      <c r="Q12554" t="s">
        <v>45058</v>
      </c>
      <c r="Y12554" t="s">
        <v>22090</v>
      </c>
    </row>
    <row r="12555" spans="1:25" x14ac:dyDescent="0.25">
      <c r="A12555" t="str">
        <f>"190596159201"</f>
        <v>190596159201</v>
      </c>
      <c r="B12555" t="s">
        <v>290</v>
      </c>
      <c r="C12555" t="s">
        <v>11114</v>
      </c>
      <c r="D12555" t="s">
        <v>45059</v>
      </c>
      <c r="F12555" t="s">
        <v>1</v>
      </c>
      <c r="G12555" t="s">
        <v>2</v>
      </c>
      <c r="H12555" t="s">
        <v>138</v>
      </c>
      <c r="P12555" t="s">
        <v>144</v>
      </c>
      <c r="Y12555" t="s">
        <v>146</v>
      </c>
    </row>
    <row r="12556" spans="1:25" x14ac:dyDescent="0.25">
      <c r="A12556" t="str">
        <f>"190607354270"</f>
        <v>190607354270</v>
      </c>
      <c r="B12556" t="s">
        <v>1152</v>
      </c>
      <c r="C12556" t="s">
        <v>2222</v>
      </c>
      <c r="D12556" t="s">
        <v>2217</v>
      </c>
      <c r="E12556">
        <v>424000</v>
      </c>
      <c r="F12556" t="s">
        <v>1</v>
      </c>
      <c r="G12556" t="s">
        <v>2</v>
      </c>
      <c r="H12556" t="s">
        <v>1531</v>
      </c>
      <c r="I12556" t="s">
        <v>45060</v>
      </c>
      <c r="P12556" t="s">
        <v>4487</v>
      </c>
      <c r="Y12556" t="s">
        <v>1707</v>
      </c>
    </row>
    <row r="12557" spans="1:25" x14ac:dyDescent="0.25">
      <c r="A12557" t="str">
        <f>"190611523584"</f>
        <v>190611523584</v>
      </c>
      <c r="B12557" t="s">
        <v>32</v>
      </c>
      <c r="C12557" t="s">
        <v>20137</v>
      </c>
      <c r="D12557" t="s">
        <v>45061</v>
      </c>
      <c r="E12557">
        <v>424918</v>
      </c>
      <c r="F12557" t="s">
        <v>1</v>
      </c>
      <c r="G12557" t="s">
        <v>2</v>
      </c>
      <c r="H12557" t="s">
        <v>629</v>
      </c>
      <c r="P12557" t="s">
        <v>630</v>
      </c>
      <c r="Y12557" t="s">
        <v>45062</v>
      </c>
    </row>
    <row r="12558" spans="1:25" x14ac:dyDescent="0.25">
      <c r="A12558" t="str">
        <f>"190623447182"</f>
        <v>190623447182</v>
      </c>
      <c r="B12558" t="s">
        <v>1758</v>
      </c>
      <c r="C12558" t="s">
        <v>45064</v>
      </c>
      <c r="D12558" t="s">
        <v>45063</v>
      </c>
      <c r="E12558">
        <v>424016</v>
      </c>
      <c r="F12558" t="s">
        <v>1</v>
      </c>
      <c r="G12558" t="s">
        <v>2</v>
      </c>
      <c r="H12558" t="s">
        <v>673</v>
      </c>
      <c r="J12558" t="s">
        <v>32522</v>
      </c>
      <c r="P12558" t="s">
        <v>12632</v>
      </c>
      <c r="Y12558" t="s">
        <v>1072</v>
      </c>
    </row>
    <row r="12559" spans="1:25" x14ac:dyDescent="0.25">
      <c r="A12559" t="str">
        <f>"190684618758"</f>
        <v>190684618758</v>
      </c>
      <c r="B12559" t="s">
        <v>654</v>
      </c>
      <c r="C12559" t="s">
        <v>14448</v>
      </c>
      <c r="D12559" t="s">
        <v>4776</v>
      </c>
      <c r="E12559">
        <v>424000</v>
      </c>
      <c r="F12559" t="s">
        <v>1</v>
      </c>
      <c r="G12559" t="s">
        <v>2</v>
      </c>
      <c r="H12559" t="s">
        <v>1746</v>
      </c>
      <c r="Y12559" t="s">
        <v>14431</v>
      </c>
    </row>
    <row r="12560" spans="1:25" x14ac:dyDescent="0.25">
      <c r="A12560" t="str">
        <f>"190702836351"</f>
        <v>190702836351</v>
      </c>
      <c r="B12560" t="s">
        <v>160</v>
      </c>
      <c r="C12560" t="s">
        <v>45068</v>
      </c>
      <c r="D12560" t="s">
        <v>45065</v>
      </c>
      <c r="E12560">
        <v>424007</v>
      </c>
      <c r="F12560" t="s">
        <v>1</v>
      </c>
      <c r="G12560" t="s">
        <v>2</v>
      </c>
      <c r="H12560" t="s">
        <v>9406</v>
      </c>
      <c r="I12560" t="s">
        <v>45066</v>
      </c>
      <c r="M12560" t="s">
        <v>45067</v>
      </c>
      <c r="P12560" t="s">
        <v>27</v>
      </c>
      <c r="Y12560" t="s">
        <v>17587</v>
      </c>
    </row>
    <row r="12561" spans="1:25" x14ac:dyDescent="0.25">
      <c r="A12561" t="str">
        <f>"190796245053"</f>
        <v>190796245053</v>
      </c>
      <c r="B12561" t="s">
        <v>32</v>
      </c>
      <c r="C12561" t="s">
        <v>777</v>
      </c>
      <c r="D12561" t="s">
        <v>691</v>
      </c>
      <c r="E12561">
        <v>424002</v>
      </c>
      <c r="F12561" t="s">
        <v>1</v>
      </c>
      <c r="G12561" t="s">
        <v>2</v>
      </c>
      <c r="H12561" t="s">
        <v>6656</v>
      </c>
      <c r="P12561" t="s">
        <v>2079</v>
      </c>
      <c r="Y12561" t="s">
        <v>45069</v>
      </c>
    </row>
    <row r="12562" spans="1:25" x14ac:dyDescent="0.25">
      <c r="A12562" t="str">
        <f>"190797187741"</f>
        <v>190797187741</v>
      </c>
      <c r="B12562" t="s">
        <v>738</v>
      </c>
      <c r="C12562" t="s">
        <v>45075</v>
      </c>
      <c r="D12562" t="s">
        <v>45070</v>
      </c>
      <c r="E12562">
        <v>424007</v>
      </c>
      <c r="F12562" t="s">
        <v>1</v>
      </c>
      <c r="G12562" t="s">
        <v>2</v>
      </c>
      <c r="H12562" t="s">
        <v>3444</v>
      </c>
      <c r="I12562" t="s">
        <v>45071</v>
      </c>
      <c r="J12562" t="s">
        <v>45072</v>
      </c>
      <c r="L12562" t="s">
        <v>45073</v>
      </c>
      <c r="M12562" t="s">
        <v>45074</v>
      </c>
      <c r="P12562" t="s">
        <v>799</v>
      </c>
      <c r="Y12562" t="s">
        <v>45076</v>
      </c>
    </row>
    <row r="12563" spans="1:25" x14ac:dyDescent="0.25">
      <c r="A12563" t="str">
        <f>"190798123922"</f>
        <v>190798123922</v>
      </c>
      <c r="B12563" t="s">
        <v>4084</v>
      </c>
      <c r="C12563" t="s">
        <v>7951</v>
      </c>
      <c r="D12563" t="s">
        <v>45077</v>
      </c>
      <c r="F12563" t="s">
        <v>1</v>
      </c>
      <c r="G12563" t="s">
        <v>2</v>
      </c>
      <c r="H12563" t="s">
        <v>37541</v>
      </c>
      <c r="Y12563" t="s">
        <v>45078</v>
      </c>
    </row>
    <row r="12564" spans="1:25" x14ac:dyDescent="0.25">
      <c r="A12564" t="str">
        <f>"190856941831"</f>
        <v>190856941831</v>
      </c>
      <c r="B12564" t="s">
        <v>18</v>
      </c>
      <c r="C12564" t="s">
        <v>4522</v>
      </c>
      <c r="D12564" t="s">
        <v>9999</v>
      </c>
      <c r="E12564">
        <v>424007</v>
      </c>
      <c r="F12564" t="s">
        <v>1</v>
      </c>
      <c r="G12564" t="s">
        <v>2</v>
      </c>
      <c r="H12564" t="s">
        <v>2454</v>
      </c>
      <c r="Y12564" t="s">
        <v>45079</v>
      </c>
    </row>
    <row r="12565" spans="1:25" x14ac:dyDescent="0.25">
      <c r="A12565" t="str">
        <f>"190912581382"</f>
        <v>190912581382</v>
      </c>
      <c r="B12565" t="s">
        <v>96</v>
      </c>
      <c r="C12565" t="s">
        <v>14175</v>
      </c>
      <c r="D12565" t="s">
        <v>38129</v>
      </c>
      <c r="E12565">
        <v>424002</v>
      </c>
      <c r="F12565" t="s">
        <v>1</v>
      </c>
      <c r="G12565" t="s">
        <v>2</v>
      </c>
      <c r="H12565" t="s">
        <v>5162</v>
      </c>
      <c r="I12565" t="s">
        <v>38130</v>
      </c>
      <c r="L12565" t="s">
        <v>44902</v>
      </c>
      <c r="P12565" t="s">
        <v>2315</v>
      </c>
      <c r="Q12565" t="s">
        <v>45080</v>
      </c>
      <c r="S12565" t="s">
        <v>45081</v>
      </c>
      <c r="T12565" t="s">
        <v>45082</v>
      </c>
      <c r="V12565" t="s">
        <v>45083</v>
      </c>
      <c r="Y12565" t="s">
        <v>45084</v>
      </c>
    </row>
    <row r="12566" spans="1:25" x14ac:dyDescent="0.25">
      <c r="A12566" t="str">
        <f>"190916453934"</f>
        <v>190916453934</v>
      </c>
      <c r="B12566" t="s">
        <v>388</v>
      </c>
      <c r="C12566" t="s">
        <v>45086</v>
      </c>
      <c r="D12566" t="s">
        <v>44433</v>
      </c>
      <c r="E12566">
        <v>424008</v>
      </c>
      <c r="F12566" t="s">
        <v>1</v>
      </c>
      <c r="G12566" t="s">
        <v>2</v>
      </c>
      <c r="H12566" t="s">
        <v>1012</v>
      </c>
      <c r="J12566" t="s">
        <v>45085</v>
      </c>
      <c r="P12566" t="s">
        <v>280</v>
      </c>
      <c r="Y12566" t="s">
        <v>1016</v>
      </c>
    </row>
    <row r="12567" spans="1:25" x14ac:dyDescent="0.25">
      <c r="A12567" t="str">
        <f>"190937422110"</f>
        <v>190937422110</v>
      </c>
      <c r="B12567" t="s">
        <v>117</v>
      </c>
      <c r="C12567" t="s">
        <v>873</v>
      </c>
      <c r="D12567" t="s">
        <v>873</v>
      </c>
      <c r="E12567">
        <v>424033</v>
      </c>
      <c r="F12567" t="s">
        <v>1</v>
      </c>
      <c r="G12567" t="s">
        <v>2</v>
      </c>
      <c r="H12567" t="s">
        <v>22290</v>
      </c>
      <c r="Y12567" t="s">
        <v>45087</v>
      </c>
    </row>
    <row r="12568" spans="1:25" x14ac:dyDescent="0.25">
      <c r="A12568" t="str">
        <f>"190979676683"</f>
        <v>190979676683</v>
      </c>
      <c r="B12568" t="s">
        <v>1046</v>
      </c>
      <c r="C12568" t="s">
        <v>13439</v>
      </c>
      <c r="D12568" t="s">
        <v>45088</v>
      </c>
      <c r="E12568">
        <v>424032</v>
      </c>
      <c r="F12568" t="s">
        <v>1</v>
      </c>
      <c r="G12568" t="s">
        <v>2</v>
      </c>
      <c r="H12568" t="s">
        <v>7845</v>
      </c>
      <c r="P12568" t="s">
        <v>45089</v>
      </c>
      <c r="Y12568" t="s">
        <v>7856</v>
      </c>
    </row>
    <row r="12569" spans="1:25" x14ac:dyDescent="0.25">
      <c r="A12569" t="str">
        <f>"191016173898"</f>
        <v>191016173898</v>
      </c>
      <c r="B12569" t="s">
        <v>1475</v>
      </c>
      <c r="C12569" t="s">
        <v>1476</v>
      </c>
      <c r="D12569" t="s">
        <v>45090</v>
      </c>
      <c r="E12569">
        <v>424020</v>
      </c>
      <c r="F12569" t="s">
        <v>1</v>
      </c>
      <c r="G12569" t="s">
        <v>2</v>
      </c>
      <c r="H12569" t="s">
        <v>24402</v>
      </c>
      <c r="J12569" t="s">
        <v>45091</v>
      </c>
      <c r="P12569" t="s">
        <v>60</v>
      </c>
      <c r="Q12569" t="s">
        <v>45092</v>
      </c>
      <c r="Y12569" t="s">
        <v>45093</v>
      </c>
    </row>
    <row r="12570" spans="1:25" x14ac:dyDescent="0.25">
      <c r="A12570" t="str">
        <f>"191026174361"</f>
        <v>191026174361</v>
      </c>
      <c r="B12570" t="s">
        <v>1053</v>
      </c>
      <c r="C12570" t="s">
        <v>27043</v>
      </c>
      <c r="D12570" t="s">
        <v>45094</v>
      </c>
      <c r="E12570">
        <v>424008</v>
      </c>
      <c r="F12570" t="s">
        <v>1</v>
      </c>
      <c r="G12570" t="s">
        <v>2</v>
      </c>
      <c r="H12570" t="s">
        <v>3812</v>
      </c>
      <c r="I12570" t="s">
        <v>45095</v>
      </c>
      <c r="P12570" t="s">
        <v>152</v>
      </c>
      <c r="Y12570" t="s">
        <v>21883</v>
      </c>
    </row>
    <row r="12571" spans="1:25" x14ac:dyDescent="0.25">
      <c r="A12571" t="str">
        <f>"191047498718"</f>
        <v>191047498718</v>
      </c>
      <c r="B12571" t="s">
        <v>1611</v>
      </c>
      <c r="C12571" t="s">
        <v>40574</v>
      </c>
      <c r="D12571" t="s">
        <v>45096</v>
      </c>
      <c r="E12571">
        <v>424000</v>
      </c>
      <c r="F12571" t="s">
        <v>1</v>
      </c>
      <c r="G12571" t="s">
        <v>2</v>
      </c>
      <c r="H12571" t="s">
        <v>16280</v>
      </c>
      <c r="P12571" t="s">
        <v>330</v>
      </c>
      <c r="Y12571" t="s">
        <v>16284</v>
      </c>
    </row>
    <row r="12572" spans="1:25" x14ac:dyDescent="0.25">
      <c r="A12572" t="str">
        <f>"191074994568"</f>
        <v>191074994568</v>
      </c>
      <c r="B12572" t="s">
        <v>687</v>
      </c>
      <c r="C12572" t="s">
        <v>19034</v>
      </c>
      <c r="D12572" t="s">
        <v>45097</v>
      </c>
      <c r="E12572">
        <v>424019</v>
      </c>
      <c r="F12572" t="s">
        <v>1</v>
      </c>
      <c r="G12572" t="s">
        <v>2</v>
      </c>
      <c r="H12572" t="s">
        <v>20692</v>
      </c>
      <c r="I12572" t="s">
        <v>45098</v>
      </c>
      <c r="J12572" t="s">
        <v>45099</v>
      </c>
      <c r="L12572" t="s">
        <v>45100</v>
      </c>
      <c r="M12572" t="s">
        <v>45101</v>
      </c>
      <c r="P12572" t="s">
        <v>2738</v>
      </c>
      <c r="Y12572" t="s">
        <v>20697</v>
      </c>
    </row>
    <row r="12573" spans="1:25" x14ac:dyDescent="0.25">
      <c r="A12573" t="str">
        <f>"191110217188"</f>
        <v>191110217188</v>
      </c>
      <c r="B12573" t="s">
        <v>574</v>
      </c>
      <c r="C12573" t="s">
        <v>646</v>
      </c>
      <c r="D12573" t="s">
        <v>45102</v>
      </c>
      <c r="E12573">
        <v>424038</v>
      </c>
      <c r="F12573" t="s">
        <v>1</v>
      </c>
      <c r="G12573" t="s">
        <v>2</v>
      </c>
      <c r="H12573" t="s">
        <v>2614</v>
      </c>
      <c r="Y12573" t="s">
        <v>45103</v>
      </c>
    </row>
    <row r="12574" spans="1:25" x14ac:dyDescent="0.25">
      <c r="A12574" t="str">
        <f>"191130160418"</f>
        <v>191130160418</v>
      </c>
      <c r="B12574" t="s">
        <v>930</v>
      </c>
      <c r="C12574" t="s">
        <v>45107</v>
      </c>
      <c r="D12574" t="s">
        <v>45104</v>
      </c>
      <c r="F12574" t="s">
        <v>1</v>
      </c>
      <c r="G12574" t="s">
        <v>2</v>
      </c>
      <c r="H12574" t="s">
        <v>714</v>
      </c>
      <c r="I12574" t="s">
        <v>45105</v>
      </c>
      <c r="J12574" t="s">
        <v>45106</v>
      </c>
      <c r="P12574" t="s">
        <v>2296</v>
      </c>
      <c r="Y12574" t="s">
        <v>37553</v>
      </c>
    </row>
    <row r="12575" spans="1:25" x14ac:dyDescent="0.25">
      <c r="A12575" t="str">
        <f>"191209692558"</f>
        <v>191209692558</v>
      </c>
      <c r="B12575" t="s">
        <v>96</v>
      </c>
      <c r="C12575" t="s">
        <v>11891</v>
      </c>
      <c r="D12575" t="s">
        <v>45108</v>
      </c>
      <c r="E12575">
        <v>424000</v>
      </c>
      <c r="F12575" t="s">
        <v>1</v>
      </c>
      <c r="G12575" t="s">
        <v>2</v>
      </c>
      <c r="H12575" t="s">
        <v>937</v>
      </c>
      <c r="I12575" t="s">
        <v>45109</v>
      </c>
      <c r="P12575" t="s">
        <v>144</v>
      </c>
      <c r="Y12575" t="s">
        <v>45110</v>
      </c>
    </row>
    <row r="12576" spans="1:25" x14ac:dyDescent="0.25">
      <c r="A12576" t="str">
        <f>"191231858090"</f>
        <v>191231858090</v>
      </c>
      <c r="B12576" t="s">
        <v>930</v>
      </c>
      <c r="C12576" t="s">
        <v>1096</v>
      </c>
      <c r="D12576" t="s">
        <v>45111</v>
      </c>
      <c r="F12576" t="s">
        <v>1</v>
      </c>
      <c r="G12576" t="s">
        <v>2</v>
      </c>
      <c r="H12576" t="s">
        <v>25697</v>
      </c>
      <c r="Y12576" t="s">
        <v>25698</v>
      </c>
    </row>
    <row r="12577" spans="1:25" x14ac:dyDescent="0.25">
      <c r="A12577" t="str">
        <f>"191257872243"</f>
        <v>191257872243</v>
      </c>
      <c r="B12577" t="s">
        <v>1053</v>
      </c>
      <c r="C12577" t="s">
        <v>45114</v>
      </c>
      <c r="D12577" t="s">
        <v>45112</v>
      </c>
      <c r="E12577">
        <v>424000</v>
      </c>
      <c r="F12577" t="s">
        <v>1</v>
      </c>
      <c r="G12577" t="s">
        <v>2</v>
      </c>
      <c r="H12577" t="s">
        <v>2925</v>
      </c>
      <c r="J12577" t="s">
        <v>45113</v>
      </c>
      <c r="L12577" t="s">
        <v>5526</v>
      </c>
      <c r="M12577" t="s">
        <v>5527</v>
      </c>
      <c r="P12577" t="s">
        <v>4543</v>
      </c>
      <c r="Y12577" t="s">
        <v>2929</v>
      </c>
    </row>
    <row r="12578" spans="1:25" x14ac:dyDescent="0.25">
      <c r="A12578" t="str">
        <f>"191328393402"</f>
        <v>191328393402</v>
      </c>
      <c r="B12578" t="s">
        <v>96</v>
      </c>
      <c r="C12578" t="s">
        <v>893</v>
      </c>
      <c r="D12578" t="s">
        <v>45115</v>
      </c>
      <c r="E12578">
        <v>424006</v>
      </c>
      <c r="F12578" t="s">
        <v>1</v>
      </c>
      <c r="G12578" t="s">
        <v>2</v>
      </c>
      <c r="H12578" t="s">
        <v>45116</v>
      </c>
      <c r="P12578" t="s">
        <v>45117</v>
      </c>
      <c r="Y12578" t="s">
        <v>45118</v>
      </c>
    </row>
    <row r="12579" spans="1:25" x14ac:dyDescent="0.25">
      <c r="A12579" t="str">
        <f>"191340544357"</f>
        <v>191340544357</v>
      </c>
      <c r="B12579" t="s">
        <v>738</v>
      </c>
      <c r="C12579" t="s">
        <v>739</v>
      </c>
      <c r="D12579" t="s">
        <v>45119</v>
      </c>
      <c r="E12579">
        <v>424038</v>
      </c>
      <c r="F12579" t="s">
        <v>1</v>
      </c>
      <c r="G12579" t="s">
        <v>2</v>
      </c>
      <c r="H12579" t="s">
        <v>17746</v>
      </c>
      <c r="J12579" t="s">
        <v>44088</v>
      </c>
      <c r="P12579" t="s">
        <v>330</v>
      </c>
      <c r="Y12579" t="s">
        <v>18933</v>
      </c>
    </row>
    <row r="12580" spans="1:25" x14ac:dyDescent="0.25">
      <c r="A12580" t="str">
        <f>"191350086467"</f>
        <v>191350086467</v>
      </c>
      <c r="B12580" t="s">
        <v>88</v>
      </c>
      <c r="C12580" t="s">
        <v>27865</v>
      </c>
      <c r="D12580" t="s">
        <v>21828</v>
      </c>
      <c r="E12580">
        <v>424006</v>
      </c>
      <c r="F12580" t="s">
        <v>1</v>
      </c>
      <c r="G12580" t="s">
        <v>2</v>
      </c>
      <c r="H12580" t="s">
        <v>6902</v>
      </c>
      <c r="Y12580" t="s">
        <v>45120</v>
      </c>
    </row>
    <row r="12581" spans="1:25" x14ac:dyDescent="0.25">
      <c r="A12581" t="str">
        <f>"191408946357"</f>
        <v>191408946357</v>
      </c>
      <c r="B12581" t="s">
        <v>352</v>
      </c>
      <c r="C12581" t="s">
        <v>8051</v>
      </c>
      <c r="D12581" t="s">
        <v>45121</v>
      </c>
      <c r="F12581" t="s">
        <v>1</v>
      </c>
      <c r="G12581" t="s">
        <v>2</v>
      </c>
      <c r="H12581" t="s">
        <v>4857</v>
      </c>
      <c r="J12581" t="s">
        <v>45122</v>
      </c>
      <c r="L12581" t="s">
        <v>45123</v>
      </c>
      <c r="Y12581" t="s">
        <v>45124</v>
      </c>
    </row>
    <row r="12582" spans="1:25" x14ac:dyDescent="0.25">
      <c r="A12582" t="str">
        <f>"191429973128"</f>
        <v>191429973128</v>
      </c>
      <c r="B12582" t="s">
        <v>160</v>
      </c>
      <c r="C12582" t="s">
        <v>1666</v>
      </c>
      <c r="D12582" t="s">
        <v>24021</v>
      </c>
      <c r="F12582" t="s">
        <v>1</v>
      </c>
      <c r="G12582" t="s">
        <v>2</v>
      </c>
      <c r="H12582" t="s">
        <v>23852</v>
      </c>
      <c r="I12582" t="s">
        <v>45125</v>
      </c>
      <c r="P12582" t="s">
        <v>280</v>
      </c>
      <c r="Y12582" t="s">
        <v>45126</v>
      </c>
    </row>
    <row r="12583" spans="1:25" x14ac:dyDescent="0.25">
      <c r="A12583" t="str">
        <f>"191441981198"</f>
        <v>191441981198</v>
      </c>
      <c r="B12583" t="s">
        <v>352</v>
      </c>
      <c r="C12583" t="s">
        <v>45127</v>
      </c>
      <c r="D12583" t="s">
        <v>19861</v>
      </c>
      <c r="E12583">
        <v>424000</v>
      </c>
      <c r="F12583" t="s">
        <v>1</v>
      </c>
      <c r="G12583" t="s">
        <v>2</v>
      </c>
      <c r="H12583" t="s">
        <v>1531</v>
      </c>
      <c r="Y12583" t="s">
        <v>1707</v>
      </c>
    </row>
    <row r="12584" spans="1:25" x14ac:dyDescent="0.25">
      <c r="A12584" t="str">
        <f>"191524534352"</f>
        <v>191524534352</v>
      </c>
      <c r="B12584" t="s">
        <v>25</v>
      </c>
      <c r="C12584" t="s">
        <v>59</v>
      </c>
      <c r="D12584" t="s">
        <v>45128</v>
      </c>
      <c r="E12584">
        <v>424000</v>
      </c>
      <c r="F12584" t="s">
        <v>1</v>
      </c>
      <c r="G12584" t="s">
        <v>2</v>
      </c>
      <c r="H12584" t="s">
        <v>2202</v>
      </c>
      <c r="J12584" t="s">
        <v>45129</v>
      </c>
      <c r="P12584" t="s">
        <v>340</v>
      </c>
      <c r="Y12584" t="s">
        <v>2204</v>
      </c>
    </row>
    <row r="12585" spans="1:25" x14ac:dyDescent="0.25">
      <c r="A12585" t="str">
        <f>"191529476570"</f>
        <v>191529476570</v>
      </c>
      <c r="B12585" t="s">
        <v>574</v>
      </c>
      <c r="C12585" t="s">
        <v>646</v>
      </c>
      <c r="D12585" t="s">
        <v>45130</v>
      </c>
      <c r="E12585">
        <v>424038</v>
      </c>
      <c r="F12585" t="s">
        <v>1</v>
      </c>
      <c r="G12585" t="s">
        <v>2</v>
      </c>
      <c r="H12585" t="s">
        <v>12143</v>
      </c>
      <c r="Y12585" t="s">
        <v>45131</v>
      </c>
    </row>
    <row r="12586" spans="1:25" x14ac:dyDescent="0.25">
      <c r="A12586" t="str">
        <f>"191591414948"</f>
        <v>191591414948</v>
      </c>
      <c r="B12586" t="s">
        <v>1053</v>
      </c>
      <c r="C12586" t="s">
        <v>45133</v>
      </c>
      <c r="D12586" t="s">
        <v>45132</v>
      </c>
      <c r="E12586">
        <v>424002</v>
      </c>
      <c r="F12586" t="s">
        <v>1</v>
      </c>
      <c r="G12586" t="s">
        <v>2</v>
      </c>
      <c r="H12586" t="s">
        <v>8832</v>
      </c>
      <c r="P12586" t="s">
        <v>3938</v>
      </c>
      <c r="Y12586" t="s">
        <v>8902</v>
      </c>
    </row>
    <row r="12587" spans="1:25" x14ac:dyDescent="0.25">
      <c r="A12587" t="str">
        <f>"191596169665"</f>
        <v>191596169665</v>
      </c>
      <c r="B12587" t="s">
        <v>1544</v>
      </c>
      <c r="C12587" t="s">
        <v>15598</v>
      </c>
      <c r="D12587" t="s">
        <v>45134</v>
      </c>
      <c r="E12587">
        <v>424002</v>
      </c>
      <c r="F12587" t="s">
        <v>1</v>
      </c>
      <c r="G12587" t="s">
        <v>2</v>
      </c>
      <c r="H12587" t="s">
        <v>5162</v>
      </c>
      <c r="J12587" t="s">
        <v>45135</v>
      </c>
      <c r="P12587" t="s">
        <v>2513</v>
      </c>
      <c r="Y12587" t="s">
        <v>45136</v>
      </c>
    </row>
    <row r="12588" spans="1:25" x14ac:dyDescent="0.25">
      <c r="A12588" t="str">
        <f>"191609588094"</f>
        <v>191609588094</v>
      </c>
      <c r="B12588" t="s">
        <v>2104</v>
      </c>
      <c r="C12588" t="s">
        <v>28710</v>
      </c>
      <c r="D12588" t="s">
        <v>45137</v>
      </c>
      <c r="E12588">
        <v>424019</v>
      </c>
      <c r="F12588" t="s">
        <v>1</v>
      </c>
      <c r="G12588" t="s">
        <v>2</v>
      </c>
      <c r="H12588" t="s">
        <v>27095</v>
      </c>
      <c r="J12588" t="s">
        <v>45138</v>
      </c>
      <c r="P12588" t="s">
        <v>45139</v>
      </c>
      <c r="Q12588" t="s">
        <v>45140</v>
      </c>
      <c r="V12588" t="s">
        <v>45141</v>
      </c>
      <c r="Y12588" t="s">
        <v>45142</v>
      </c>
    </row>
    <row r="12589" spans="1:25" x14ac:dyDescent="0.25">
      <c r="A12589" t="str">
        <f>"191629070155"</f>
        <v>191629070155</v>
      </c>
      <c r="B12589" t="s">
        <v>88</v>
      </c>
      <c r="C12589" t="s">
        <v>45145</v>
      </c>
      <c r="D12589" t="s">
        <v>45143</v>
      </c>
      <c r="E12589">
        <v>424006</v>
      </c>
      <c r="F12589" t="s">
        <v>1</v>
      </c>
      <c r="G12589" t="s">
        <v>2</v>
      </c>
      <c r="H12589" t="s">
        <v>492</v>
      </c>
      <c r="I12589" t="s">
        <v>45144</v>
      </c>
      <c r="P12589" t="s">
        <v>8655</v>
      </c>
      <c r="Y12589" t="s">
        <v>29002</v>
      </c>
    </row>
    <row r="12590" spans="1:25" x14ac:dyDescent="0.25">
      <c r="A12590" t="str">
        <f>"191694202244"</f>
        <v>191694202244</v>
      </c>
      <c r="B12590" t="s">
        <v>96</v>
      </c>
      <c r="C12590" t="s">
        <v>45147</v>
      </c>
      <c r="D12590" t="s">
        <v>45146</v>
      </c>
      <c r="E12590">
        <v>424002</v>
      </c>
      <c r="F12590" t="s">
        <v>1</v>
      </c>
      <c r="G12590" t="s">
        <v>2</v>
      </c>
      <c r="H12590" t="s">
        <v>3421</v>
      </c>
      <c r="Y12590" t="s">
        <v>45148</v>
      </c>
    </row>
    <row r="12591" spans="1:25" x14ac:dyDescent="0.25">
      <c r="A12591" t="str">
        <f>"191731498682"</f>
        <v>191731498682</v>
      </c>
      <c r="B12591" t="s">
        <v>738</v>
      </c>
      <c r="C12591" t="s">
        <v>17323</v>
      </c>
      <c r="D12591" t="s">
        <v>33843</v>
      </c>
      <c r="E12591">
        <v>424019</v>
      </c>
      <c r="F12591" t="s">
        <v>1</v>
      </c>
      <c r="G12591" t="s">
        <v>2</v>
      </c>
      <c r="H12591" t="s">
        <v>9271</v>
      </c>
      <c r="J12591" t="s">
        <v>33844</v>
      </c>
      <c r="P12591" t="s">
        <v>330</v>
      </c>
      <c r="Y12591" t="s">
        <v>14680</v>
      </c>
    </row>
    <row r="12592" spans="1:25" x14ac:dyDescent="0.25">
      <c r="A12592" t="str">
        <f>"191746780219"</f>
        <v>191746780219</v>
      </c>
      <c r="B12592" t="s">
        <v>1152</v>
      </c>
      <c r="C12592" t="s">
        <v>1989</v>
      </c>
      <c r="D12592" t="s">
        <v>24677</v>
      </c>
      <c r="E12592">
        <v>424031</v>
      </c>
      <c r="F12592" t="s">
        <v>1</v>
      </c>
      <c r="G12592" t="s">
        <v>2</v>
      </c>
      <c r="H12592" t="s">
        <v>413</v>
      </c>
      <c r="P12592" t="s">
        <v>45149</v>
      </c>
      <c r="Y12592" t="s">
        <v>45150</v>
      </c>
    </row>
    <row r="12593" spans="1:25" x14ac:dyDescent="0.25">
      <c r="A12593" t="str">
        <f>"191765218448"</f>
        <v>191765218448</v>
      </c>
      <c r="B12593" t="s">
        <v>67</v>
      </c>
      <c r="C12593" t="s">
        <v>496</v>
      </c>
      <c r="D12593" t="s">
        <v>45151</v>
      </c>
      <c r="E12593">
        <v>424038</v>
      </c>
      <c r="F12593" t="s">
        <v>1</v>
      </c>
      <c r="G12593" t="s">
        <v>2</v>
      </c>
      <c r="H12593" t="s">
        <v>6550</v>
      </c>
      <c r="I12593" t="s">
        <v>45152</v>
      </c>
      <c r="P12593" t="s">
        <v>27</v>
      </c>
      <c r="Y12593" t="s">
        <v>6552</v>
      </c>
    </row>
    <row r="12594" spans="1:25" x14ac:dyDescent="0.25">
      <c r="A12594" t="str">
        <f>"191804487889"</f>
        <v>191804487889</v>
      </c>
      <c r="B12594" t="s">
        <v>930</v>
      </c>
      <c r="C12594" t="s">
        <v>45157</v>
      </c>
      <c r="D12594" t="s">
        <v>45153</v>
      </c>
      <c r="F12594" t="s">
        <v>1</v>
      </c>
      <c r="G12594" t="s">
        <v>2</v>
      </c>
      <c r="H12594" t="s">
        <v>3536</v>
      </c>
      <c r="I12594" t="s">
        <v>45154</v>
      </c>
      <c r="J12594" t="s">
        <v>45155</v>
      </c>
      <c r="L12594" t="s">
        <v>45156</v>
      </c>
      <c r="P12594" t="s">
        <v>2979</v>
      </c>
      <c r="Q12594" t="s">
        <v>45158</v>
      </c>
      <c r="Y12594" t="s">
        <v>45159</v>
      </c>
    </row>
    <row r="12595" spans="1:25" x14ac:dyDescent="0.25">
      <c r="A12595" t="str">
        <f>"191805777434"</f>
        <v>191805777434</v>
      </c>
      <c r="B12595" t="s">
        <v>284</v>
      </c>
      <c r="C12595" t="s">
        <v>37806</v>
      </c>
      <c r="D12595" t="s">
        <v>45160</v>
      </c>
      <c r="F12595" t="s">
        <v>1</v>
      </c>
      <c r="G12595" t="s">
        <v>2</v>
      </c>
      <c r="H12595" t="s">
        <v>45161</v>
      </c>
      <c r="Y12595" t="s">
        <v>45162</v>
      </c>
    </row>
    <row r="12596" spans="1:25" x14ac:dyDescent="0.25">
      <c r="A12596" t="str">
        <f>"191816428831"</f>
        <v>191816428831</v>
      </c>
      <c r="B12596" t="s">
        <v>1078</v>
      </c>
      <c r="C12596" t="s">
        <v>25481</v>
      </c>
      <c r="D12596" t="s">
        <v>7229</v>
      </c>
      <c r="E12596">
        <v>424039</v>
      </c>
      <c r="F12596" t="s">
        <v>1</v>
      </c>
      <c r="G12596" t="s">
        <v>2</v>
      </c>
      <c r="H12596" t="s">
        <v>23651</v>
      </c>
      <c r="Y12596" t="s">
        <v>45163</v>
      </c>
    </row>
    <row r="12597" spans="1:25" x14ac:dyDescent="0.25">
      <c r="A12597" t="str">
        <f>"191821514814"</f>
        <v>191821514814</v>
      </c>
      <c r="B12597" t="s">
        <v>1299</v>
      </c>
      <c r="C12597" t="s">
        <v>1300</v>
      </c>
      <c r="D12597" t="s">
        <v>45164</v>
      </c>
      <c r="F12597" t="s">
        <v>1</v>
      </c>
      <c r="G12597" t="s">
        <v>2</v>
      </c>
      <c r="H12597" t="s">
        <v>35008</v>
      </c>
      <c r="Y12597" t="s">
        <v>45165</v>
      </c>
    </row>
    <row r="12598" spans="1:25" x14ac:dyDescent="0.25">
      <c r="A12598" t="str">
        <f>"191822613916"</f>
        <v>191822613916</v>
      </c>
      <c r="B12598" t="s">
        <v>1611</v>
      </c>
      <c r="C12598" t="s">
        <v>3218</v>
      </c>
      <c r="D12598" t="s">
        <v>45166</v>
      </c>
      <c r="E12598">
        <v>424037</v>
      </c>
      <c r="F12598" t="s">
        <v>1</v>
      </c>
      <c r="G12598" t="s">
        <v>2</v>
      </c>
      <c r="H12598" t="s">
        <v>15407</v>
      </c>
      <c r="Y12598" t="s">
        <v>45167</v>
      </c>
    </row>
    <row r="12599" spans="1:25" x14ac:dyDescent="0.25">
      <c r="A12599" t="str">
        <f>"191842734555"</f>
        <v>191842734555</v>
      </c>
      <c r="B12599" t="s">
        <v>1758</v>
      </c>
      <c r="C12599" t="s">
        <v>45170</v>
      </c>
      <c r="D12599" t="s">
        <v>22553</v>
      </c>
      <c r="E12599">
        <v>424004</v>
      </c>
      <c r="F12599" t="s">
        <v>1</v>
      </c>
      <c r="G12599" t="s">
        <v>2</v>
      </c>
      <c r="H12599" t="s">
        <v>40225</v>
      </c>
      <c r="I12599" t="s">
        <v>45168</v>
      </c>
      <c r="J12599" t="s">
        <v>45169</v>
      </c>
      <c r="P12599" t="s">
        <v>330</v>
      </c>
      <c r="Y12599" t="s">
        <v>45171</v>
      </c>
    </row>
    <row r="12600" spans="1:25" x14ac:dyDescent="0.25">
      <c r="A12600" t="str">
        <f>"191899278361"</f>
        <v>191899278361</v>
      </c>
      <c r="B12600" t="s">
        <v>1617</v>
      </c>
      <c r="C12600" t="s">
        <v>21001</v>
      </c>
      <c r="D12600" t="s">
        <v>20999</v>
      </c>
      <c r="E12600">
        <v>424020</v>
      </c>
      <c r="F12600" t="s">
        <v>1</v>
      </c>
      <c r="G12600" t="s">
        <v>2</v>
      </c>
      <c r="H12600" t="s">
        <v>24808</v>
      </c>
      <c r="Y12600" t="s">
        <v>45172</v>
      </c>
    </row>
    <row r="12601" spans="1:25" x14ac:dyDescent="0.25">
      <c r="A12601" t="str">
        <f>"191907168209"</f>
        <v>191907168209</v>
      </c>
      <c r="B12601" t="s">
        <v>67</v>
      </c>
      <c r="C12601" t="s">
        <v>269</v>
      </c>
      <c r="D12601" t="s">
        <v>62</v>
      </c>
      <c r="E12601">
        <v>424039</v>
      </c>
      <c r="F12601" t="s">
        <v>1</v>
      </c>
      <c r="G12601" t="s">
        <v>2</v>
      </c>
      <c r="H12601" t="s">
        <v>5827</v>
      </c>
      <c r="Y12601" t="s">
        <v>45173</v>
      </c>
    </row>
    <row r="12602" spans="1:25" x14ac:dyDescent="0.25">
      <c r="A12602" t="str">
        <f>"191924049462"</f>
        <v>191924049462</v>
      </c>
      <c r="B12602" t="s">
        <v>7</v>
      </c>
      <c r="C12602" t="s">
        <v>38363</v>
      </c>
      <c r="D12602" t="s">
        <v>45174</v>
      </c>
      <c r="E12602">
        <v>424001</v>
      </c>
      <c r="F12602" t="s">
        <v>1</v>
      </c>
      <c r="G12602" t="s">
        <v>2</v>
      </c>
      <c r="H12602" t="s">
        <v>919</v>
      </c>
      <c r="I12602" t="s">
        <v>35539</v>
      </c>
      <c r="P12602" t="s">
        <v>10285</v>
      </c>
      <c r="Y12602" t="s">
        <v>1750</v>
      </c>
    </row>
    <row r="12603" spans="1:25" x14ac:dyDescent="0.25">
      <c r="A12603" t="str">
        <f>"191939385630"</f>
        <v>191939385630</v>
      </c>
      <c r="B12603" t="s">
        <v>96</v>
      </c>
      <c r="C12603" t="s">
        <v>659</v>
      </c>
      <c r="D12603" t="s">
        <v>45175</v>
      </c>
      <c r="F12603" t="s">
        <v>1</v>
      </c>
      <c r="G12603" t="s">
        <v>2</v>
      </c>
      <c r="H12603" t="s">
        <v>26459</v>
      </c>
      <c r="Y12603" t="s">
        <v>26463</v>
      </c>
    </row>
    <row r="12604" spans="1:25" x14ac:dyDescent="0.25">
      <c r="A12604" t="str">
        <f>"191965851593"</f>
        <v>191965851593</v>
      </c>
      <c r="B12604" t="s">
        <v>18</v>
      </c>
      <c r="C12604" t="s">
        <v>959</v>
      </c>
      <c r="D12604" t="s">
        <v>6461</v>
      </c>
      <c r="E12604">
        <v>424031</v>
      </c>
      <c r="F12604" t="s">
        <v>1</v>
      </c>
      <c r="G12604" t="s">
        <v>2</v>
      </c>
      <c r="H12604" t="s">
        <v>4622</v>
      </c>
      <c r="Y12604" t="s">
        <v>7838</v>
      </c>
    </row>
    <row r="12605" spans="1:25" x14ac:dyDescent="0.25">
      <c r="A12605" t="str">
        <f>"191973000993"</f>
        <v>191973000993</v>
      </c>
      <c r="B12605" t="s">
        <v>348</v>
      </c>
      <c r="C12605" t="s">
        <v>6978</v>
      </c>
      <c r="D12605" t="s">
        <v>45176</v>
      </c>
      <c r="F12605" t="s">
        <v>1</v>
      </c>
      <c r="G12605" t="s">
        <v>2</v>
      </c>
      <c r="H12605" t="s">
        <v>138</v>
      </c>
      <c r="I12605" t="s">
        <v>45177</v>
      </c>
      <c r="M12605" t="s">
        <v>45178</v>
      </c>
      <c r="P12605" t="s">
        <v>144</v>
      </c>
      <c r="Q12605" t="s">
        <v>45179</v>
      </c>
      <c r="V12605" t="s">
        <v>45180</v>
      </c>
      <c r="Y12605" t="s">
        <v>45181</v>
      </c>
    </row>
    <row r="12606" spans="1:25" x14ac:dyDescent="0.25">
      <c r="A12606" t="str">
        <f>"192006204179"</f>
        <v>192006204179</v>
      </c>
      <c r="B12606" t="s">
        <v>176</v>
      </c>
      <c r="C12606" t="s">
        <v>250</v>
      </c>
      <c r="D12606" t="s">
        <v>45182</v>
      </c>
      <c r="E12606">
        <v>424006</v>
      </c>
      <c r="F12606" t="s">
        <v>1</v>
      </c>
      <c r="G12606" t="s">
        <v>2</v>
      </c>
      <c r="H12606" t="s">
        <v>4587</v>
      </c>
      <c r="I12606" t="s">
        <v>45183</v>
      </c>
      <c r="L12606" t="s">
        <v>45184</v>
      </c>
      <c r="M12606" t="s">
        <v>45185</v>
      </c>
      <c r="P12606" t="s">
        <v>27</v>
      </c>
      <c r="Q12606" t="s">
        <v>45186</v>
      </c>
      <c r="T12606" t="s">
        <v>45187</v>
      </c>
      <c r="V12606" t="s">
        <v>45188</v>
      </c>
      <c r="Y12606" t="s">
        <v>45189</v>
      </c>
    </row>
    <row r="12607" spans="1:25" x14ac:dyDescent="0.25">
      <c r="A12607" t="str">
        <f>"192011616807"</f>
        <v>192011616807</v>
      </c>
      <c r="B12607" t="s">
        <v>3544</v>
      </c>
      <c r="C12607" t="s">
        <v>11303</v>
      </c>
      <c r="D12607" t="s">
        <v>15990</v>
      </c>
      <c r="F12607" t="s">
        <v>1</v>
      </c>
      <c r="G12607" t="s">
        <v>2</v>
      </c>
      <c r="H12607" t="s">
        <v>33523</v>
      </c>
      <c r="Y12607" t="s">
        <v>15994</v>
      </c>
    </row>
    <row r="12608" spans="1:25" x14ac:dyDescent="0.25">
      <c r="A12608" t="str">
        <f>"192015125208"</f>
        <v>192015125208</v>
      </c>
      <c r="B12608" t="s">
        <v>1046</v>
      </c>
      <c r="C12608" t="s">
        <v>3497</v>
      </c>
      <c r="D12608" t="s">
        <v>14892</v>
      </c>
      <c r="F12608" t="s">
        <v>1</v>
      </c>
      <c r="G12608" t="s">
        <v>2</v>
      </c>
      <c r="H12608" t="s">
        <v>45190</v>
      </c>
      <c r="Y12608" t="s">
        <v>45191</v>
      </c>
    </row>
    <row r="12609" spans="1:25" x14ac:dyDescent="0.25">
      <c r="A12609" t="str">
        <f>"192032987001"</f>
        <v>192032987001</v>
      </c>
      <c r="B12609" t="s">
        <v>96</v>
      </c>
      <c r="C12609" t="s">
        <v>659</v>
      </c>
      <c r="D12609" t="s">
        <v>45192</v>
      </c>
      <c r="E12609">
        <v>424000</v>
      </c>
      <c r="F12609" t="s">
        <v>1</v>
      </c>
      <c r="G12609" t="s">
        <v>2</v>
      </c>
      <c r="H12609" t="s">
        <v>92</v>
      </c>
      <c r="Y12609" t="s">
        <v>28397</v>
      </c>
    </row>
    <row r="12610" spans="1:25" x14ac:dyDescent="0.25">
      <c r="A12610" t="str">
        <f>"192039538721"</f>
        <v>192039538721</v>
      </c>
      <c r="B12610" t="s">
        <v>233</v>
      </c>
      <c r="C12610" t="s">
        <v>6890</v>
      </c>
      <c r="D12610" t="s">
        <v>45193</v>
      </c>
      <c r="E12610">
        <v>424006</v>
      </c>
      <c r="F12610" t="s">
        <v>1</v>
      </c>
      <c r="G12610" t="s">
        <v>2</v>
      </c>
      <c r="H12610" t="s">
        <v>2012</v>
      </c>
      <c r="I12610" t="s">
        <v>45194</v>
      </c>
      <c r="K12610" t="s">
        <v>45195</v>
      </c>
      <c r="L12610" t="s">
        <v>45196</v>
      </c>
      <c r="M12610" t="s">
        <v>45197</v>
      </c>
      <c r="P12610" t="s">
        <v>20</v>
      </c>
      <c r="Q12610" t="s">
        <v>45198</v>
      </c>
      <c r="Y12610" t="s">
        <v>2016</v>
      </c>
    </row>
    <row r="12611" spans="1:25" x14ac:dyDescent="0.25">
      <c r="A12611" t="str">
        <f>"192055777034"</f>
        <v>192055777034</v>
      </c>
      <c r="B12611" t="s">
        <v>469</v>
      </c>
      <c r="C12611" t="s">
        <v>16193</v>
      </c>
      <c r="D12611" t="s">
        <v>45199</v>
      </c>
      <c r="E12611">
        <v>424033</v>
      </c>
      <c r="F12611" t="s">
        <v>1</v>
      </c>
      <c r="G12611" t="s">
        <v>2</v>
      </c>
      <c r="H12611" t="s">
        <v>1383</v>
      </c>
      <c r="J12611" t="s">
        <v>45200</v>
      </c>
      <c r="P12611" t="s">
        <v>45201</v>
      </c>
      <c r="Q12611" t="s">
        <v>45202</v>
      </c>
      <c r="Y12611" t="s">
        <v>45203</v>
      </c>
    </row>
    <row r="12612" spans="1:25" x14ac:dyDescent="0.25">
      <c r="A12612" t="str">
        <f>"192103674919"</f>
        <v>192103674919</v>
      </c>
      <c r="B12612" t="s">
        <v>447</v>
      </c>
      <c r="C12612" t="s">
        <v>5875</v>
      </c>
      <c r="D12612" t="s">
        <v>35700</v>
      </c>
      <c r="E12612">
        <v>424016</v>
      </c>
      <c r="F12612" t="s">
        <v>1</v>
      </c>
      <c r="G12612" t="s">
        <v>2</v>
      </c>
      <c r="H12612" t="s">
        <v>673</v>
      </c>
      <c r="I12612" t="s">
        <v>45204</v>
      </c>
      <c r="J12612" t="s">
        <v>45205</v>
      </c>
      <c r="M12612" t="s">
        <v>45206</v>
      </c>
      <c r="Q12612" t="s">
        <v>45207</v>
      </c>
      <c r="Y12612" t="s">
        <v>1072</v>
      </c>
    </row>
    <row r="12613" spans="1:25" x14ac:dyDescent="0.25">
      <c r="A12613" t="str">
        <f>"192110153428"</f>
        <v>192110153428</v>
      </c>
      <c r="B12613" t="s">
        <v>462</v>
      </c>
      <c r="C12613" t="s">
        <v>1140</v>
      </c>
      <c r="D12613" t="s">
        <v>45208</v>
      </c>
      <c r="E12613">
        <v>424002</v>
      </c>
      <c r="F12613" t="s">
        <v>1</v>
      </c>
      <c r="G12613" t="s">
        <v>2</v>
      </c>
      <c r="H12613" t="s">
        <v>57</v>
      </c>
      <c r="I12613" t="s">
        <v>45209</v>
      </c>
      <c r="J12613" t="s">
        <v>45210</v>
      </c>
      <c r="P12613" t="s">
        <v>133</v>
      </c>
      <c r="Y12613" t="s">
        <v>3783</v>
      </c>
    </row>
    <row r="12614" spans="1:25" x14ac:dyDescent="0.25">
      <c r="A12614" t="str">
        <f>"192125774097"</f>
        <v>192125774097</v>
      </c>
      <c r="B12614" t="s">
        <v>930</v>
      </c>
      <c r="C12614" t="s">
        <v>927</v>
      </c>
      <c r="D12614" t="s">
        <v>927</v>
      </c>
      <c r="F12614" t="s">
        <v>1</v>
      </c>
      <c r="G12614" t="s">
        <v>2</v>
      </c>
      <c r="H12614" t="s">
        <v>45211</v>
      </c>
      <c r="Y12614" t="s">
        <v>45212</v>
      </c>
    </row>
    <row r="12615" spans="1:25" x14ac:dyDescent="0.25">
      <c r="A12615" t="str">
        <f>"192190143929"</f>
        <v>192190143929</v>
      </c>
      <c r="B12615" t="s">
        <v>25</v>
      </c>
      <c r="C12615" t="s">
        <v>59</v>
      </c>
      <c r="D12615" t="s">
        <v>7290</v>
      </c>
      <c r="E12615">
        <v>424000</v>
      </c>
      <c r="F12615" t="s">
        <v>1</v>
      </c>
      <c r="G12615" t="s">
        <v>2</v>
      </c>
      <c r="H12615" t="s">
        <v>4648</v>
      </c>
      <c r="J12615" t="s">
        <v>45213</v>
      </c>
      <c r="L12615" t="s">
        <v>45214</v>
      </c>
      <c r="M12615" t="s">
        <v>45215</v>
      </c>
      <c r="Y12615" t="s">
        <v>4649</v>
      </c>
    </row>
    <row r="12616" spans="1:25" x14ac:dyDescent="0.25">
      <c r="A12616" t="str">
        <f>"192241309903"</f>
        <v>192241309903</v>
      </c>
      <c r="B12616" t="s">
        <v>574</v>
      </c>
      <c r="C12616" t="s">
        <v>14269</v>
      </c>
      <c r="D12616" t="s">
        <v>45216</v>
      </c>
      <c r="E12616">
        <v>424000</v>
      </c>
      <c r="F12616" t="s">
        <v>1</v>
      </c>
      <c r="G12616" t="s">
        <v>2</v>
      </c>
      <c r="H12616" t="s">
        <v>2299</v>
      </c>
      <c r="Y12616" t="s">
        <v>45217</v>
      </c>
    </row>
    <row r="12617" spans="1:25" x14ac:dyDescent="0.25">
      <c r="A12617" t="str">
        <f>"192247424203"</f>
        <v>192247424203</v>
      </c>
      <c r="B12617" t="s">
        <v>978</v>
      </c>
      <c r="C12617" t="s">
        <v>7625</v>
      </c>
      <c r="D12617" t="s">
        <v>45218</v>
      </c>
      <c r="E12617">
        <v>424031</v>
      </c>
      <c r="F12617" t="s">
        <v>1</v>
      </c>
      <c r="G12617" t="s">
        <v>2</v>
      </c>
      <c r="H12617" t="s">
        <v>4622</v>
      </c>
      <c r="I12617" t="s">
        <v>45219</v>
      </c>
      <c r="J12617" t="s">
        <v>45220</v>
      </c>
      <c r="L12617" t="s">
        <v>45221</v>
      </c>
      <c r="M12617" t="s">
        <v>45222</v>
      </c>
      <c r="Q12617" t="s">
        <v>45223</v>
      </c>
      <c r="Y12617" t="s">
        <v>7838</v>
      </c>
    </row>
    <row r="12618" spans="1:25" x14ac:dyDescent="0.25">
      <c r="A12618" t="str">
        <f>"192270096235"</f>
        <v>192270096235</v>
      </c>
      <c r="B12618" t="s">
        <v>574</v>
      </c>
      <c r="C12618" t="s">
        <v>952</v>
      </c>
      <c r="D12618" t="s">
        <v>28212</v>
      </c>
      <c r="E12618">
        <v>424033</v>
      </c>
      <c r="F12618" t="s">
        <v>1</v>
      </c>
      <c r="G12618" t="s">
        <v>2</v>
      </c>
      <c r="H12618" t="s">
        <v>13837</v>
      </c>
      <c r="Y12618" t="s">
        <v>45224</v>
      </c>
    </row>
    <row r="12619" spans="1:25" x14ac:dyDescent="0.25">
      <c r="A12619" t="str">
        <f>"192322738811"</f>
        <v>192322738811</v>
      </c>
      <c r="B12619" t="s">
        <v>1152</v>
      </c>
      <c r="C12619" t="s">
        <v>45226</v>
      </c>
      <c r="D12619" t="s">
        <v>15990</v>
      </c>
      <c r="E12619">
        <v>424000</v>
      </c>
      <c r="F12619" t="s">
        <v>1</v>
      </c>
      <c r="G12619" t="s">
        <v>2</v>
      </c>
      <c r="H12619" t="s">
        <v>30076</v>
      </c>
      <c r="J12619" t="s">
        <v>45225</v>
      </c>
      <c r="P12619" t="s">
        <v>45227</v>
      </c>
      <c r="Y12619" t="s">
        <v>45228</v>
      </c>
    </row>
    <row r="12620" spans="1:25" x14ac:dyDescent="0.25">
      <c r="A12620" t="str">
        <f>"192405065332"</f>
        <v>192405065332</v>
      </c>
      <c r="B12620" t="s">
        <v>430</v>
      </c>
      <c r="C12620" t="s">
        <v>45229</v>
      </c>
      <c r="D12620" t="s">
        <v>28927</v>
      </c>
      <c r="E12620">
        <v>424005</v>
      </c>
      <c r="F12620" t="s">
        <v>1</v>
      </c>
      <c r="G12620" t="s">
        <v>2</v>
      </c>
      <c r="H12620" t="s">
        <v>1148</v>
      </c>
      <c r="P12620" t="s">
        <v>45230</v>
      </c>
      <c r="Y12620" t="s">
        <v>45231</v>
      </c>
    </row>
    <row r="12621" spans="1:25" x14ac:dyDescent="0.25">
      <c r="A12621" t="str">
        <f>"192427339844"</f>
        <v>192427339844</v>
      </c>
      <c r="B12621" t="s">
        <v>456</v>
      </c>
      <c r="C12621" t="s">
        <v>45236</v>
      </c>
      <c r="D12621" t="s">
        <v>45232</v>
      </c>
      <c r="E12621">
        <v>424000</v>
      </c>
      <c r="F12621" t="s">
        <v>1</v>
      </c>
      <c r="G12621" t="s">
        <v>2</v>
      </c>
      <c r="H12621" t="s">
        <v>92</v>
      </c>
      <c r="I12621" t="s">
        <v>45233</v>
      </c>
      <c r="L12621" t="s">
        <v>45234</v>
      </c>
      <c r="M12621" t="s">
        <v>45235</v>
      </c>
      <c r="P12621" t="s">
        <v>8133</v>
      </c>
      <c r="Y12621" t="s">
        <v>28397</v>
      </c>
    </row>
    <row r="12622" spans="1:25" x14ac:dyDescent="0.25">
      <c r="A12622" t="str">
        <f>"192431507309"</f>
        <v>192431507309</v>
      </c>
      <c r="B12622" t="s">
        <v>574</v>
      </c>
      <c r="C12622" t="s">
        <v>952</v>
      </c>
      <c r="D12622" t="s">
        <v>12994</v>
      </c>
      <c r="E12622">
        <v>424000</v>
      </c>
      <c r="F12622" t="s">
        <v>1</v>
      </c>
      <c r="G12622" t="s">
        <v>2</v>
      </c>
      <c r="H12622" t="s">
        <v>7049</v>
      </c>
      <c r="Y12622" t="s">
        <v>45237</v>
      </c>
    </row>
    <row r="12623" spans="1:25" x14ac:dyDescent="0.25">
      <c r="A12623" t="str">
        <f>"192433982743"</f>
        <v>192433982743</v>
      </c>
      <c r="B12623" t="s">
        <v>519</v>
      </c>
      <c r="C12623" t="s">
        <v>3954</v>
      </c>
      <c r="D12623" t="s">
        <v>45238</v>
      </c>
      <c r="E12623">
        <v>424019</v>
      </c>
      <c r="F12623" t="s">
        <v>1</v>
      </c>
      <c r="G12623" t="s">
        <v>2</v>
      </c>
      <c r="H12623" t="s">
        <v>1801</v>
      </c>
      <c r="Y12623" t="s">
        <v>45239</v>
      </c>
    </row>
    <row r="12624" spans="1:25" x14ac:dyDescent="0.25">
      <c r="A12624" t="str">
        <f>"192441961848"</f>
        <v>192441961848</v>
      </c>
      <c r="B12624" t="s">
        <v>1544</v>
      </c>
      <c r="C12624" t="s">
        <v>3596</v>
      </c>
      <c r="D12624" t="s">
        <v>27363</v>
      </c>
      <c r="E12624">
        <v>424006</v>
      </c>
      <c r="F12624" t="s">
        <v>1</v>
      </c>
      <c r="G12624" t="s">
        <v>2</v>
      </c>
      <c r="H12624" t="s">
        <v>33319</v>
      </c>
      <c r="Y12624" t="s">
        <v>45240</v>
      </c>
    </row>
    <row r="12625" spans="1:25" x14ac:dyDescent="0.25">
      <c r="A12625" t="str">
        <f>"192472361423"</f>
        <v>192472361423</v>
      </c>
      <c r="B12625" t="s">
        <v>482</v>
      </c>
      <c r="C12625" t="s">
        <v>45242</v>
      </c>
      <c r="D12625" t="s">
        <v>45241</v>
      </c>
      <c r="E12625">
        <v>424004</v>
      </c>
      <c r="F12625" t="s">
        <v>1</v>
      </c>
      <c r="G12625" t="s">
        <v>2</v>
      </c>
      <c r="H12625" t="s">
        <v>186</v>
      </c>
      <c r="Y12625" t="s">
        <v>45243</v>
      </c>
    </row>
    <row r="12626" spans="1:25" x14ac:dyDescent="0.25">
      <c r="A12626" t="str">
        <f>"192479136105"</f>
        <v>192479136105</v>
      </c>
      <c r="B12626" t="s">
        <v>462</v>
      </c>
      <c r="C12626" t="s">
        <v>45248</v>
      </c>
      <c r="D12626" t="s">
        <v>45244</v>
      </c>
      <c r="E12626">
        <v>424003</v>
      </c>
      <c r="F12626" t="s">
        <v>1</v>
      </c>
      <c r="G12626" t="s">
        <v>2</v>
      </c>
      <c r="H12626" t="s">
        <v>5862</v>
      </c>
      <c r="I12626" t="s">
        <v>45245</v>
      </c>
      <c r="J12626" t="s">
        <v>45246</v>
      </c>
      <c r="M12626" t="s">
        <v>45247</v>
      </c>
      <c r="P12626" t="s">
        <v>27</v>
      </c>
      <c r="Y12626" t="s">
        <v>5864</v>
      </c>
    </row>
    <row r="12627" spans="1:25" x14ac:dyDescent="0.25">
      <c r="A12627" t="str">
        <f>"192486568589"</f>
        <v>192486568589</v>
      </c>
      <c r="B12627" t="s">
        <v>1053</v>
      </c>
      <c r="C12627" t="s">
        <v>1927</v>
      </c>
      <c r="D12627" t="s">
        <v>45249</v>
      </c>
      <c r="E12627">
        <v>424036</v>
      </c>
      <c r="F12627" t="s">
        <v>1</v>
      </c>
      <c r="G12627" t="s">
        <v>2</v>
      </c>
      <c r="H12627" t="s">
        <v>6072</v>
      </c>
      <c r="I12627" t="s">
        <v>45250</v>
      </c>
      <c r="L12627" t="s">
        <v>45251</v>
      </c>
      <c r="M12627" t="s">
        <v>45252</v>
      </c>
      <c r="P12627" t="s">
        <v>280</v>
      </c>
      <c r="V12627" t="s">
        <v>45253</v>
      </c>
      <c r="Y12627" t="s">
        <v>45254</v>
      </c>
    </row>
    <row r="12628" spans="1:25" x14ac:dyDescent="0.25">
      <c r="A12628" t="str">
        <f>"192489954902"</f>
        <v>192489954902</v>
      </c>
      <c r="B12628" t="s">
        <v>574</v>
      </c>
      <c r="C12628" t="s">
        <v>14016</v>
      </c>
      <c r="D12628" t="s">
        <v>41701</v>
      </c>
      <c r="E12628">
        <v>424028</v>
      </c>
      <c r="F12628" t="s">
        <v>1</v>
      </c>
      <c r="G12628" t="s">
        <v>2</v>
      </c>
      <c r="H12628" t="s">
        <v>3359</v>
      </c>
      <c r="Y12628" t="s">
        <v>45255</v>
      </c>
    </row>
    <row r="12629" spans="1:25" x14ac:dyDescent="0.25">
      <c r="A12629" t="str">
        <f>"192492659084"</f>
        <v>192492659084</v>
      </c>
      <c r="B12629" t="s">
        <v>574</v>
      </c>
      <c r="C12629" t="s">
        <v>646</v>
      </c>
      <c r="D12629" t="s">
        <v>25486</v>
      </c>
      <c r="E12629">
        <v>424007</v>
      </c>
      <c r="F12629" t="s">
        <v>1</v>
      </c>
      <c r="G12629" t="s">
        <v>2</v>
      </c>
      <c r="H12629" t="s">
        <v>2168</v>
      </c>
      <c r="L12629" t="s">
        <v>18047</v>
      </c>
      <c r="M12629" t="s">
        <v>18048</v>
      </c>
      <c r="P12629" t="s">
        <v>18050</v>
      </c>
      <c r="Y12629" t="s">
        <v>45256</v>
      </c>
    </row>
    <row r="12630" spans="1:25" x14ac:dyDescent="0.25">
      <c r="A12630" t="str">
        <f>"192543923685"</f>
        <v>192543923685</v>
      </c>
      <c r="B12630" t="s">
        <v>978</v>
      </c>
      <c r="C12630" t="s">
        <v>1659</v>
      </c>
      <c r="D12630" t="s">
        <v>45257</v>
      </c>
      <c r="E12630">
        <v>424006</v>
      </c>
      <c r="F12630" t="s">
        <v>1</v>
      </c>
      <c r="G12630" t="s">
        <v>2</v>
      </c>
      <c r="H12630" t="s">
        <v>17511</v>
      </c>
      <c r="Y12630" t="s">
        <v>45258</v>
      </c>
    </row>
    <row r="12631" spans="1:25" x14ac:dyDescent="0.25">
      <c r="A12631" t="str">
        <f>"192621795647"</f>
        <v>192621795647</v>
      </c>
      <c r="B12631" t="s">
        <v>117</v>
      </c>
      <c r="C12631" t="s">
        <v>873</v>
      </c>
      <c r="D12631" t="s">
        <v>873</v>
      </c>
      <c r="F12631" t="s">
        <v>1</v>
      </c>
      <c r="G12631" t="s">
        <v>2</v>
      </c>
      <c r="H12631" t="s">
        <v>7547</v>
      </c>
      <c r="Y12631" t="s">
        <v>45259</v>
      </c>
    </row>
    <row r="12632" spans="1:25" x14ac:dyDescent="0.25">
      <c r="A12632" t="str">
        <f>"192642752968"</f>
        <v>192642752968</v>
      </c>
      <c r="B12632" t="s">
        <v>930</v>
      </c>
      <c r="C12632" t="s">
        <v>10263</v>
      </c>
      <c r="D12632" t="s">
        <v>45260</v>
      </c>
      <c r="E12632">
        <v>424006</v>
      </c>
      <c r="F12632" t="s">
        <v>1</v>
      </c>
      <c r="G12632" t="s">
        <v>2</v>
      </c>
      <c r="H12632" t="s">
        <v>37992</v>
      </c>
      <c r="L12632" t="s">
        <v>45261</v>
      </c>
      <c r="P12632" t="s">
        <v>330</v>
      </c>
      <c r="Q12632" t="s">
        <v>38190</v>
      </c>
      <c r="Y12632" t="s">
        <v>45262</v>
      </c>
    </row>
    <row r="12633" spans="1:25" x14ac:dyDescent="0.25">
      <c r="A12633" t="str">
        <f>"192643895899"</f>
        <v>192643895899</v>
      </c>
      <c r="B12633" t="s">
        <v>574</v>
      </c>
      <c r="C12633" t="s">
        <v>646</v>
      </c>
      <c r="D12633" t="s">
        <v>1753</v>
      </c>
      <c r="E12633">
        <v>424039</v>
      </c>
      <c r="F12633" t="s">
        <v>1</v>
      </c>
      <c r="G12633" t="s">
        <v>2</v>
      </c>
      <c r="H12633" t="s">
        <v>2729</v>
      </c>
      <c r="Y12633" t="s">
        <v>45263</v>
      </c>
    </row>
    <row r="12634" spans="1:25" x14ac:dyDescent="0.25">
      <c r="A12634" t="str">
        <f>"192652717362"</f>
        <v>192652717362</v>
      </c>
      <c r="B12634" t="s">
        <v>18</v>
      </c>
      <c r="C12634" t="s">
        <v>45265</v>
      </c>
      <c r="D12634" t="s">
        <v>11719</v>
      </c>
      <c r="E12634">
        <v>424016</v>
      </c>
      <c r="F12634" t="s">
        <v>1</v>
      </c>
      <c r="G12634" t="s">
        <v>2</v>
      </c>
      <c r="H12634" t="s">
        <v>3344</v>
      </c>
      <c r="I12634" t="s">
        <v>45264</v>
      </c>
      <c r="P12634" t="s">
        <v>260</v>
      </c>
      <c r="Y12634" t="s">
        <v>9983</v>
      </c>
    </row>
    <row r="12635" spans="1:25" x14ac:dyDescent="0.25">
      <c r="A12635" t="str">
        <f>"192661503276"</f>
        <v>192661503276</v>
      </c>
      <c r="B12635" t="s">
        <v>574</v>
      </c>
      <c r="C12635" t="s">
        <v>23462</v>
      </c>
      <c r="D12635" t="s">
        <v>21849</v>
      </c>
      <c r="E12635">
        <v>424033</v>
      </c>
      <c r="F12635" t="s">
        <v>1</v>
      </c>
      <c r="G12635" t="s">
        <v>2</v>
      </c>
      <c r="H12635" t="s">
        <v>2597</v>
      </c>
      <c r="I12635" t="s">
        <v>45266</v>
      </c>
      <c r="P12635" t="s">
        <v>1027</v>
      </c>
      <c r="Q12635" t="s">
        <v>23463</v>
      </c>
      <c r="Y12635" t="s">
        <v>45267</v>
      </c>
    </row>
    <row r="12636" spans="1:25" x14ac:dyDescent="0.25">
      <c r="A12636" t="str">
        <f>"192671861298"</f>
        <v>192671861298</v>
      </c>
      <c r="B12636" t="s">
        <v>176</v>
      </c>
      <c r="C12636" t="s">
        <v>250</v>
      </c>
      <c r="D12636" t="s">
        <v>45268</v>
      </c>
      <c r="E12636">
        <v>424000</v>
      </c>
      <c r="F12636" t="s">
        <v>1</v>
      </c>
      <c r="G12636" t="s">
        <v>2</v>
      </c>
      <c r="H12636" t="s">
        <v>837</v>
      </c>
      <c r="I12636" t="s">
        <v>45269</v>
      </c>
      <c r="J12636" t="s">
        <v>45270</v>
      </c>
      <c r="L12636" t="s">
        <v>45271</v>
      </c>
      <c r="M12636" t="s">
        <v>45272</v>
      </c>
      <c r="P12636" t="s">
        <v>45273</v>
      </c>
      <c r="Y12636" t="s">
        <v>2662</v>
      </c>
    </row>
    <row r="12637" spans="1:25" x14ac:dyDescent="0.25">
      <c r="A12637" t="str">
        <f>"192700853285"</f>
        <v>192700853285</v>
      </c>
      <c r="B12637" t="s">
        <v>1152</v>
      </c>
      <c r="C12637" t="s">
        <v>1385</v>
      </c>
      <c r="D12637" t="s">
        <v>45274</v>
      </c>
      <c r="E12637">
        <v>424006</v>
      </c>
      <c r="F12637" t="s">
        <v>1</v>
      </c>
      <c r="G12637" t="s">
        <v>2</v>
      </c>
      <c r="H12637" t="s">
        <v>2557</v>
      </c>
      <c r="Y12637" t="s">
        <v>33404</v>
      </c>
    </row>
    <row r="12638" spans="1:25" x14ac:dyDescent="0.25">
      <c r="A12638" t="str">
        <f>"192719669448"</f>
        <v>192719669448</v>
      </c>
      <c r="B12638" t="s">
        <v>456</v>
      </c>
      <c r="C12638" t="s">
        <v>45279</v>
      </c>
      <c r="D12638" t="s">
        <v>45275</v>
      </c>
      <c r="E12638">
        <v>424002</v>
      </c>
      <c r="F12638" t="s">
        <v>1</v>
      </c>
      <c r="G12638" t="s">
        <v>2</v>
      </c>
      <c r="H12638" t="s">
        <v>41446</v>
      </c>
      <c r="J12638" t="s">
        <v>45276</v>
      </c>
      <c r="L12638" t="s">
        <v>45277</v>
      </c>
      <c r="M12638" t="s">
        <v>45278</v>
      </c>
      <c r="P12638" t="s">
        <v>2738</v>
      </c>
      <c r="Q12638" t="s">
        <v>45280</v>
      </c>
      <c r="V12638" t="s">
        <v>45281</v>
      </c>
      <c r="Y12638" t="s">
        <v>45282</v>
      </c>
    </row>
    <row r="12639" spans="1:25" x14ac:dyDescent="0.25">
      <c r="A12639" t="str">
        <f>"192735928369"</f>
        <v>192735928369</v>
      </c>
      <c r="B12639" t="s">
        <v>1544</v>
      </c>
      <c r="C12639" t="s">
        <v>15598</v>
      </c>
      <c r="D12639" t="s">
        <v>45283</v>
      </c>
      <c r="E12639">
        <v>424038</v>
      </c>
      <c r="F12639" t="s">
        <v>1</v>
      </c>
      <c r="G12639" t="s">
        <v>2</v>
      </c>
      <c r="H12639" t="s">
        <v>2103</v>
      </c>
      <c r="Y12639" t="s">
        <v>45284</v>
      </c>
    </row>
    <row r="12640" spans="1:25" x14ac:dyDescent="0.25">
      <c r="A12640" t="str">
        <f>"192736414148"</f>
        <v>192736414148</v>
      </c>
      <c r="B12640" t="s">
        <v>151</v>
      </c>
      <c r="C12640" t="s">
        <v>151</v>
      </c>
      <c r="D12640" t="s">
        <v>17927</v>
      </c>
      <c r="E12640">
        <v>424028</v>
      </c>
      <c r="F12640" t="s">
        <v>1</v>
      </c>
      <c r="G12640" t="s">
        <v>2</v>
      </c>
      <c r="H12640" t="s">
        <v>4763</v>
      </c>
      <c r="Y12640" t="s">
        <v>45285</v>
      </c>
    </row>
    <row r="12641" spans="1:25" x14ac:dyDescent="0.25">
      <c r="A12641" t="str">
        <f>"192739380463"</f>
        <v>192739380463</v>
      </c>
      <c r="B12641" t="s">
        <v>348</v>
      </c>
      <c r="C12641" t="s">
        <v>12325</v>
      </c>
      <c r="D12641" t="s">
        <v>40598</v>
      </c>
      <c r="E12641">
        <v>424019</v>
      </c>
      <c r="F12641" t="s">
        <v>1</v>
      </c>
      <c r="G12641" t="s">
        <v>2</v>
      </c>
      <c r="H12641" t="s">
        <v>1467</v>
      </c>
      <c r="I12641" t="s">
        <v>45286</v>
      </c>
      <c r="L12641" t="s">
        <v>45287</v>
      </c>
      <c r="M12641" t="s">
        <v>45288</v>
      </c>
      <c r="P12641" t="s">
        <v>5689</v>
      </c>
      <c r="Y12641" t="s">
        <v>45289</v>
      </c>
    </row>
    <row r="12642" spans="1:25" x14ac:dyDescent="0.25">
      <c r="A12642" t="str">
        <f>"192755560880"</f>
        <v>192755560880</v>
      </c>
      <c r="B12642" t="s">
        <v>18</v>
      </c>
      <c r="C12642" t="s">
        <v>45294</v>
      </c>
      <c r="D12642" t="s">
        <v>45290</v>
      </c>
      <c r="E12642">
        <v>424006</v>
      </c>
      <c r="F12642" t="s">
        <v>1</v>
      </c>
      <c r="G12642" t="s">
        <v>2</v>
      </c>
      <c r="H12642" t="s">
        <v>8622</v>
      </c>
      <c r="I12642" t="s">
        <v>45291</v>
      </c>
      <c r="L12642" t="s">
        <v>45292</v>
      </c>
      <c r="M12642" t="s">
        <v>45293</v>
      </c>
      <c r="P12642" t="s">
        <v>27</v>
      </c>
      <c r="Q12642" t="s">
        <v>45295</v>
      </c>
      <c r="T12642" t="s">
        <v>45296</v>
      </c>
      <c r="V12642" t="s">
        <v>45297</v>
      </c>
      <c r="Y12642" t="s">
        <v>8866</v>
      </c>
    </row>
    <row r="12643" spans="1:25" x14ac:dyDescent="0.25">
      <c r="A12643" t="str">
        <f>"192774907508"</f>
        <v>192774907508</v>
      </c>
      <c r="B12643" t="s">
        <v>397</v>
      </c>
      <c r="C12643" t="s">
        <v>45302</v>
      </c>
      <c r="D12643" t="s">
        <v>45298</v>
      </c>
      <c r="E12643">
        <v>424006</v>
      </c>
      <c r="F12643" t="s">
        <v>1</v>
      </c>
      <c r="G12643" t="s">
        <v>2</v>
      </c>
      <c r="H12643" t="s">
        <v>3521</v>
      </c>
      <c r="I12643" t="s">
        <v>45299</v>
      </c>
      <c r="J12643" t="s">
        <v>45300</v>
      </c>
      <c r="L12643" t="s">
        <v>45301</v>
      </c>
      <c r="P12643" t="s">
        <v>45303</v>
      </c>
      <c r="Q12643" t="s">
        <v>45304</v>
      </c>
      <c r="Y12643" t="s">
        <v>45305</v>
      </c>
    </row>
    <row r="12644" spans="1:25" x14ac:dyDescent="0.25">
      <c r="A12644" t="str">
        <f>"192823596553"</f>
        <v>192823596553</v>
      </c>
      <c r="B12644" t="s">
        <v>640</v>
      </c>
      <c r="C12644" t="s">
        <v>45310</v>
      </c>
      <c r="D12644" t="s">
        <v>45306</v>
      </c>
      <c r="E12644">
        <v>424003</v>
      </c>
      <c r="F12644" t="s">
        <v>1</v>
      </c>
      <c r="G12644" t="s">
        <v>2</v>
      </c>
      <c r="H12644" t="s">
        <v>1042</v>
      </c>
      <c r="I12644" t="s">
        <v>45307</v>
      </c>
      <c r="J12644" t="s">
        <v>45308</v>
      </c>
      <c r="L12644" t="s">
        <v>45309</v>
      </c>
      <c r="Q12644" t="s">
        <v>45311</v>
      </c>
      <c r="Y12644" t="s">
        <v>11321</v>
      </c>
    </row>
    <row r="12645" spans="1:25" x14ac:dyDescent="0.25">
      <c r="A12645" t="str">
        <f>"192844240714"</f>
        <v>192844240714</v>
      </c>
      <c r="B12645" t="s">
        <v>530</v>
      </c>
      <c r="C12645" t="s">
        <v>23950</v>
      </c>
      <c r="D12645" t="s">
        <v>23950</v>
      </c>
      <c r="F12645" t="s">
        <v>1</v>
      </c>
      <c r="G12645" t="s">
        <v>2</v>
      </c>
      <c r="H12645" t="s">
        <v>45312</v>
      </c>
      <c r="Y12645" t="s">
        <v>45313</v>
      </c>
    </row>
    <row r="12646" spans="1:25" x14ac:dyDescent="0.25">
      <c r="A12646" t="str">
        <f>"192852690960"</f>
        <v>192852690960</v>
      </c>
      <c r="B12646" t="s">
        <v>160</v>
      </c>
      <c r="C12646" t="s">
        <v>1666</v>
      </c>
      <c r="D12646" t="s">
        <v>45314</v>
      </c>
      <c r="E12646">
        <v>424007</v>
      </c>
      <c r="F12646" t="s">
        <v>1</v>
      </c>
      <c r="G12646" t="s">
        <v>2</v>
      </c>
      <c r="H12646" t="s">
        <v>45315</v>
      </c>
      <c r="Y12646" t="s">
        <v>45316</v>
      </c>
    </row>
    <row r="12647" spans="1:25" x14ac:dyDescent="0.25">
      <c r="A12647" t="str">
        <f>"192861142782"</f>
        <v>192861142782</v>
      </c>
      <c r="B12647" t="s">
        <v>176</v>
      </c>
      <c r="C12647" t="s">
        <v>250</v>
      </c>
      <c r="D12647" t="s">
        <v>45317</v>
      </c>
      <c r="E12647">
        <v>424004</v>
      </c>
      <c r="F12647" t="s">
        <v>1</v>
      </c>
      <c r="G12647" t="s">
        <v>2</v>
      </c>
      <c r="H12647" t="s">
        <v>186</v>
      </c>
      <c r="I12647" t="s">
        <v>45318</v>
      </c>
      <c r="L12647" t="s">
        <v>45319</v>
      </c>
      <c r="P12647" t="s">
        <v>27</v>
      </c>
      <c r="Q12647" t="s">
        <v>45320</v>
      </c>
      <c r="Y12647" t="s">
        <v>190</v>
      </c>
    </row>
    <row r="12648" spans="1:25" x14ac:dyDescent="0.25">
      <c r="A12648" t="str">
        <f>"192889658126"</f>
        <v>192889658126</v>
      </c>
      <c r="B12648" t="s">
        <v>88</v>
      </c>
      <c r="C12648" t="s">
        <v>8056</v>
      </c>
      <c r="D12648" t="s">
        <v>19477</v>
      </c>
      <c r="E12648">
        <v>424000</v>
      </c>
      <c r="F12648" t="s">
        <v>1</v>
      </c>
      <c r="G12648" t="s">
        <v>2</v>
      </c>
      <c r="H12648" t="s">
        <v>92</v>
      </c>
      <c r="Y12648" t="s">
        <v>28397</v>
      </c>
    </row>
    <row r="12649" spans="1:25" x14ac:dyDescent="0.25">
      <c r="A12649" t="str">
        <f>"192904084300"</f>
        <v>192904084300</v>
      </c>
      <c r="B12649" t="s">
        <v>1544</v>
      </c>
      <c r="C12649" t="s">
        <v>7974</v>
      </c>
      <c r="D12649" t="s">
        <v>28272</v>
      </c>
      <c r="E12649">
        <v>424006</v>
      </c>
      <c r="F12649" t="s">
        <v>1</v>
      </c>
      <c r="G12649" t="s">
        <v>2</v>
      </c>
      <c r="H12649" t="s">
        <v>11376</v>
      </c>
      <c r="Y12649" t="s">
        <v>45321</v>
      </c>
    </row>
    <row r="12650" spans="1:25" x14ac:dyDescent="0.25">
      <c r="A12650" t="str">
        <f>"192989786117"</f>
        <v>192989786117</v>
      </c>
      <c r="B12650" t="s">
        <v>18</v>
      </c>
      <c r="C12650" t="s">
        <v>12877</v>
      </c>
      <c r="D12650" t="s">
        <v>45322</v>
      </c>
      <c r="F12650" t="s">
        <v>1</v>
      </c>
      <c r="G12650" t="s">
        <v>2</v>
      </c>
      <c r="H12650" t="s">
        <v>32217</v>
      </c>
      <c r="I12650" t="s">
        <v>31832</v>
      </c>
      <c r="J12650" t="s">
        <v>45323</v>
      </c>
      <c r="M12650" t="s">
        <v>31833</v>
      </c>
      <c r="P12650" t="s">
        <v>20</v>
      </c>
      <c r="Y12650" t="s">
        <v>45324</v>
      </c>
    </row>
    <row r="12651" spans="1:25" x14ac:dyDescent="0.25">
      <c r="A12651" t="str">
        <f>"193018911641"</f>
        <v>193018911641</v>
      </c>
      <c r="B12651" t="s">
        <v>1152</v>
      </c>
      <c r="C12651" t="s">
        <v>1153</v>
      </c>
      <c r="D12651" t="s">
        <v>10280</v>
      </c>
      <c r="E12651">
        <v>424008</v>
      </c>
      <c r="F12651" t="s">
        <v>1</v>
      </c>
      <c r="G12651" t="s">
        <v>2</v>
      </c>
      <c r="H12651" t="s">
        <v>13986</v>
      </c>
      <c r="Y12651" t="s">
        <v>45325</v>
      </c>
    </row>
    <row r="12652" spans="1:25" x14ac:dyDescent="0.25">
      <c r="A12652" t="str">
        <f>"193042279637"</f>
        <v>193042279637</v>
      </c>
      <c r="B12652" t="s">
        <v>930</v>
      </c>
      <c r="C12652" t="s">
        <v>1096</v>
      </c>
      <c r="D12652" t="s">
        <v>1096</v>
      </c>
      <c r="E12652">
        <v>424040</v>
      </c>
      <c r="F12652" t="s">
        <v>1</v>
      </c>
      <c r="G12652" t="s">
        <v>2</v>
      </c>
      <c r="H12652" t="s">
        <v>45326</v>
      </c>
      <c r="Y12652" t="s">
        <v>45327</v>
      </c>
    </row>
    <row r="12653" spans="1:25" x14ac:dyDescent="0.25">
      <c r="A12653" t="str">
        <f>"193043727130"</f>
        <v>193043727130</v>
      </c>
      <c r="B12653" t="s">
        <v>224</v>
      </c>
      <c r="C12653" t="s">
        <v>815</v>
      </c>
      <c r="D12653" t="s">
        <v>45328</v>
      </c>
      <c r="E12653">
        <v>424039</v>
      </c>
      <c r="F12653" t="s">
        <v>1</v>
      </c>
      <c r="G12653" t="s">
        <v>2</v>
      </c>
      <c r="H12653" t="s">
        <v>10036</v>
      </c>
      <c r="Y12653" t="s">
        <v>40466</v>
      </c>
    </row>
    <row r="12654" spans="1:25" x14ac:dyDescent="0.25">
      <c r="A12654" t="str">
        <f>"193050732833"</f>
        <v>193050732833</v>
      </c>
      <c r="B12654" t="s">
        <v>290</v>
      </c>
      <c r="C12654" t="s">
        <v>9932</v>
      </c>
      <c r="D12654" t="s">
        <v>45329</v>
      </c>
      <c r="E12654">
        <v>424000</v>
      </c>
      <c r="F12654" t="s">
        <v>1</v>
      </c>
      <c r="G12654" t="s">
        <v>2</v>
      </c>
      <c r="H12654" t="s">
        <v>11086</v>
      </c>
      <c r="I12654" t="s">
        <v>45330</v>
      </c>
      <c r="J12654" t="s">
        <v>45331</v>
      </c>
      <c r="P12654" t="s">
        <v>45332</v>
      </c>
      <c r="Q12654" t="s">
        <v>45333</v>
      </c>
      <c r="T12654" t="s">
        <v>45334</v>
      </c>
      <c r="V12654" t="s">
        <v>45335</v>
      </c>
      <c r="Y12654" t="s">
        <v>45336</v>
      </c>
    </row>
    <row r="12655" spans="1:25" x14ac:dyDescent="0.25">
      <c r="A12655" t="str">
        <f>"193052483085"</f>
        <v>193052483085</v>
      </c>
      <c r="B12655" t="s">
        <v>96</v>
      </c>
      <c r="C12655" t="s">
        <v>25084</v>
      </c>
      <c r="D12655" t="s">
        <v>39184</v>
      </c>
      <c r="E12655">
        <v>424020</v>
      </c>
      <c r="F12655" t="s">
        <v>1</v>
      </c>
      <c r="G12655" t="s">
        <v>2</v>
      </c>
      <c r="H12655" t="s">
        <v>23</v>
      </c>
      <c r="Y12655" t="s">
        <v>6162</v>
      </c>
    </row>
    <row r="12656" spans="1:25" x14ac:dyDescent="0.25">
      <c r="A12656" t="str">
        <f>"193069988977"</f>
        <v>193069988977</v>
      </c>
      <c r="B12656" t="s">
        <v>5745</v>
      </c>
      <c r="C12656" t="s">
        <v>45337</v>
      </c>
      <c r="D12656" t="s">
        <v>13314</v>
      </c>
      <c r="E12656">
        <v>424003</v>
      </c>
      <c r="F12656" t="s">
        <v>1</v>
      </c>
      <c r="G12656" t="s">
        <v>2</v>
      </c>
      <c r="H12656" t="s">
        <v>25048</v>
      </c>
      <c r="Y12656" t="s">
        <v>45338</v>
      </c>
    </row>
    <row r="12657" spans="1:25" x14ac:dyDescent="0.25">
      <c r="A12657" t="str">
        <f>"193087346529"</f>
        <v>193087346529</v>
      </c>
      <c r="B12657" t="s">
        <v>2601</v>
      </c>
      <c r="C12657" t="s">
        <v>5375</v>
      </c>
      <c r="D12657" t="s">
        <v>16352</v>
      </c>
      <c r="E12657">
        <v>424020</v>
      </c>
      <c r="F12657" t="s">
        <v>1</v>
      </c>
      <c r="G12657" t="s">
        <v>2</v>
      </c>
      <c r="H12657" t="s">
        <v>802</v>
      </c>
      <c r="Y12657" t="s">
        <v>38161</v>
      </c>
    </row>
    <row r="12658" spans="1:25" x14ac:dyDescent="0.25">
      <c r="A12658" t="str">
        <f>"193089011764"</f>
        <v>193089011764</v>
      </c>
      <c r="B12658" t="s">
        <v>7</v>
      </c>
      <c r="C12658" t="s">
        <v>14013</v>
      </c>
      <c r="D12658" t="s">
        <v>45339</v>
      </c>
      <c r="E12658">
        <v>424039</v>
      </c>
      <c r="F12658" t="s">
        <v>1</v>
      </c>
      <c r="G12658" t="s">
        <v>2</v>
      </c>
      <c r="H12658" t="s">
        <v>45340</v>
      </c>
      <c r="J12658" t="s">
        <v>45341</v>
      </c>
      <c r="P12658" t="s">
        <v>330</v>
      </c>
      <c r="Y12658" t="s">
        <v>45342</v>
      </c>
    </row>
    <row r="12659" spans="1:25" x14ac:dyDescent="0.25">
      <c r="A12659" t="str">
        <f>"193098024932"</f>
        <v>193098024932</v>
      </c>
      <c r="B12659" t="s">
        <v>117</v>
      </c>
      <c r="C12659" t="s">
        <v>873</v>
      </c>
      <c r="D12659" t="s">
        <v>873</v>
      </c>
      <c r="F12659" t="s">
        <v>1</v>
      </c>
      <c r="G12659" t="s">
        <v>2</v>
      </c>
      <c r="H12659" t="s">
        <v>26558</v>
      </c>
      <c r="Y12659" t="s">
        <v>45343</v>
      </c>
    </row>
    <row r="12660" spans="1:25" x14ac:dyDescent="0.25">
      <c r="A12660" t="str">
        <f>"193104674009"</f>
        <v>193104674009</v>
      </c>
      <c r="B12660" t="s">
        <v>176</v>
      </c>
      <c r="C12660" t="s">
        <v>279</v>
      </c>
      <c r="D12660" t="s">
        <v>32944</v>
      </c>
      <c r="E12660">
        <v>424005</v>
      </c>
      <c r="F12660" t="s">
        <v>1</v>
      </c>
      <c r="G12660" t="s">
        <v>2</v>
      </c>
      <c r="H12660" t="s">
        <v>20154</v>
      </c>
      <c r="Y12660" t="s">
        <v>45344</v>
      </c>
    </row>
    <row r="12661" spans="1:25" x14ac:dyDescent="0.25">
      <c r="A12661" t="str">
        <f>"193126223281"</f>
        <v>193126223281</v>
      </c>
      <c r="B12661" t="s">
        <v>32</v>
      </c>
      <c r="C12661" t="s">
        <v>25283</v>
      </c>
      <c r="D12661" t="s">
        <v>45345</v>
      </c>
      <c r="E12661">
        <v>424000</v>
      </c>
      <c r="F12661" t="s">
        <v>1</v>
      </c>
      <c r="G12661" t="s">
        <v>2</v>
      </c>
      <c r="H12661" t="s">
        <v>2299</v>
      </c>
      <c r="I12661" t="s">
        <v>40442</v>
      </c>
      <c r="J12661" t="s">
        <v>45346</v>
      </c>
      <c r="P12661" t="s">
        <v>24470</v>
      </c>
      <c r="Y12661" t="s">
        <v>2302</v>
      </c>
    </row>
    <row r="12662" spans="1:25" x14ac:dyDescent="0.25">
      <c r="A12662" t="str">
        <f>"193132896067"</f>
        <v>193132896067</v>
      </c>
      <c r="B12662" t="s">
        <v>1061</v>
      </c>
      <c r="C12662" t="s">
        <v>26953</v>
      </c>
      <c r="D12662" t="s">
        <v>45347</v>
      </c>
      <c r="F12662" t="s">
        <v>1</v>
      </c>
      <c r="G12662" t="s">
        <v>2</v>
      </c>
      <c r="H12662" t="s">
        <v>45348</v>
      </c>
      <c r="Y12662" t="s">
        <v>45349</v>
      </c>
    </row>
    <row r="12663" spans="1:25" x14ac:dyDescent="0.25">
      <c r="A12663" t="str">
        <f>"193159435291"</f>
        <v>193159435291</v>
      </c>
      <c r="B12663" t="s">
        <v>574</v>
      </c>
      <c r="C12663" t="s">
        <v>9802</v>
      </c>
      <c r="D12663" t="s">
        <v>3057</v>
      </c>
      <c r="E12663">
        <v>424039</v>
      </c>
      <c r="F12663" t="s">
        <v>1</v>
      </c>
      <c r="G12663" t="s">
        <v>2</v>
      </c>
      <c r="H12663" t="s">
        <v>12786</v>
      </c>
      <c r="P12663" t="s">
        <v>216</v>
      </c>
      <c r="Y12663" t="s">
        <v>45350</v>
      </c>
    </row>
    <row r="12664" spans="1:25" x14ac:dyDescent="0.25">
      <c r="A12664" t="str">
        <f>"193174006399"</f>
        <v>193174006399</v>
      </c>
      <c r="B12664" t="s">
        <v>574</v>
      </c>
      <c r="C12664" t="s">
        <v>646</v>
      </c>
      <c r="D12664" t="s">
        <v>29764</v>
      </c>
      <c r="E12664">
        <v>424002</v>
      </c>
      <c r="F12664" t="s">
        <v>1</v>
      </c>
      <c r="G12664" t="s">
        <v>2</v>
      </c>
      <c r="H12664" t="s">
        <v>10281</v>
      </c>
      <c r="P12664" t="s">
        <v>10285</v>
      </c>
      <c r="Y12664" t="s">
        <v>45351</v>
      </c>
    </row>
    <row r="12665" spans="1:25" x14ac:dyDescent="0.25">
      <c r="A12665" t="str">
        <f>"193191564309"</f>
        <v>193191564309</v>
      </c>
      <c r="B12665" t="s">
        <v>930</v>
      </c>
      <c r="C12665" t="s">
        <v>10263</v>
      </c>
      <c r="D12665" t="s">
        <v>45260</v>
      </c>
      <c r="E12665">
        <v>424038</v>
      </c>
      <c r="F12665" t="s">
        <v>1</v>
      </c>
      <c r="G12665" t="s">
        <v>2</v>
      </c>
      <c r="H12665" t="s">
        <v>45352</v>
      </c>
      <c r="Y12665" t="s">
        <v>45353</v>
      </c>
    </row>
    <row r="12666" spans="1:25" x14ac:dyDescent="0.25">
      <c r="A12666" t="str">
        <f>"193232107517"</f>
        <v>193232107517</v>
      </c>
      <c r="B12666" t="s">
        <v>1544</v>
      </c>
      <c r="C12666" t="s">
        <v>15598</v>
      </c>
      <c r="D12666" t="s">
        <v>45354</v>
      </c>
      <c r="E12666">
        <v>424007</v>
      </c>
      <c r="F12666" t="s">
        <v>1</v>
      </c>
      <c r="G12666" t="s">
        <v>2</v>
      </c>
      <c r="H12666" t="s">
        <v>4411</v>
      </c>
      <c r="Y12666" t="s">
        <v>45355</v>
      </c>
    </row>
    <row r="12667" spans="1:25" x14ac:dyDescent="0.25">
      <c r="A12667" t="str">
        <f>"193245526103"</f>
        <v>193245526103</v>
      </c>
      <c r="B12667" t="s">
        <v>25</v>
      </c>
      <c r="C12667" t="s">
        <v>4458</v>
      </c>
      <c r="D12667" t="s">
        <v>45356</v>
      </c>
      <c r="F12667" t="s">
        <v>1</v>
      </c>
      <c r="G12667" t="s">
        <v>2</v>
      </c>
      <c r="H12667" t="s">
        <v>29412</v>
      </c>
      <c r="P12667" t="s">
        <v>4543</v>
      </c>
      <c r="Y12667" t="s">
        <v>45357</v>
      </c>
    </row>
    <row r="12668" spans="1:25" x14ac:dyDescent="0.25">
      <c r="A12668" t="str">
        <f>"193310486307"</f>
        <v>193310486307</v>
      </c>
      <c r="B12668" t="s">
        <v>117</v>
      </c>
      <c r="C12668" t="s">
        <v>118</v>
      </c>
      <c r="D12668" t="s">
        <v>45358</v>
      </c>
      <c r="F12668" t="s">
        <v>1</v>
      </c>
      <c r="G12668" t="s">
        <v>2</v>
      </c>
      <c r="H12668" t="s">
        <v>45359</v>
      </c>
      <c r="I12668" t="s">
        <v>45360</v>
      </c>
      <c r="P12668" t="s">
        <v>330</v>
      </c>
      <c r="Y12668" t="s">
        <v>45361</v>
      </c>
    </row>
    <row r="12669" spans="1:25" x14ac:dyDescent="0.25">
      <c r="A12669" t="str">
        <f>"193316875839"</f>
        <v>193316875839</v>
      </c>
      <c r="B12669" t="s">
        <v>3094</v>
      </c>
      <c r="C12669" t="s">
        <v>3095</v>
      </c>
      <c r="D12669" t="s">
        <v>45362</v>
      </c>
      <c r="E12669">
        <v>424007</v>
      </c>
      <c r="F12669" t="s">
        <v>1</v>
      </c>
      <c r="G12669" t="s">
        <v>2</v>
      </c>
      <c r="H12669" t="s">
        <v>37870</v>
      </c>
      <c r="J12669" t="s">
        <v>45363</v>
      </c>
      <c r="P12669" t="s">
        <v>34</v>
      </c>
      <c r="Y12669" t="s">
        <v>37872</v>
      </c>
    </row>
    <row r="12670" spans="1:25" x14ac:dyDescent="0.25">
      <c r="A12670" t="str">
        <f>"193321615554"</f>
        <v>193321615554</v>
      </c>
      <c r="B12670" t="s">
        <v>456</v>
      </c>
      <c r="C12670" t="s">
        <v>45368</v>
      </c>
      <c r="D12670" t="s">
        <v>45364</v>
      </c>
      <c r="E12670">
        <v>424918</v>
      </c>
      <c r="F12670" t="s">
        <v>1</v>
      </c>
      <c r="G12670" t="s">
        <v>2</v>
      </c>
      <c r="H12670" t="s">
        <v>629</v>
      </c>
      <c r="I12670" t="s">
        <v>45365</v>
      </c>
      <c r="L12670" t="s">
        <v>45366</v>
      </c>
      <c r="M12670" t="s">
        <v>45367</v>
      </c>
      <c r="P12670" t="s">
        <v>630</v>
      </c>
      <c r="Q12670" t="s">
        <v>45369</v>
      </c>
      <c r="V12670" t="s">
        <v>45370</v>
      </c>
      <c r="Y12670" t="s">
        <v>1744</v>
      </c>
    </row>
    <row r="12671" spans="1:25" x14ac:dyDescent="0.25">
      <c r="A12671" t="str">
        <f>"193330826256"</f>
        <v>193330826256</v>
      </c>
      <c r="B12671" t="s">
        <v>1391</v>
      </c>
      <c r="C12671" t="s">
        <v>1392</v>
      </c>
      <c r="D12671" t="s">
        <v>45371</v>
      </c>
      <c r="E12671">
        <v>424037</v>
      </c>
      <c r="F12671" t="s">
        <v>1</v>
      </c>
      <c r="G12671" t="s">
        <v>2</v>
      </c>
      <c r="H12671" t="s">
        <v>2781</v>
      </c>
      <c r="I12671" t="s">
        <v>45372</v>
      </c>
      <c r="P12671" t="s">
        <v>280</v>
      </c>
      <c r="Y12671" t="s">
        <v>5868</v>
      </c>
    </row>
    <row r="12672" spans="1:25" x14ac:dyDescent="0.25">
      <c r="A12672" t="str">
        <f>"193358445151"</f>
        <v>193358445151</v>
      </c>
      <c r="B12672" t="s">
        <v>176</v>
      </c>
      <c r="C12672" t="s">
        <v>1275</v>
      </c>
      <c r="D12672" t="s">
        <v>45373</v>
      </c>
      <c r="E12672">
        <v>424004</v>
      </c>
      <c r="F12672" t="s">
        <v>1</v>
      </c>
      <c r="G12672" t="s">
        <v>2</v>
      </c>
      <c r="H12672" t="s">
        <v>229</v>
      </c>
      <c r="J12672" t="s">
        <v>45374</v>
      </c>
      <c r="L12672" t="s">
        <v>45375</v>
      </c>
      <c r="M12672" t="s">
        <v>45376</v>
      </c>
      <c r="P12672" t="s">
        <v>330</v>
      </c>
      <c r="Y12672" t="s">
        <v>237</v>
      </c>
    </row>
    <row r="12673" spans="1:25" x14ac:dyDescent="0.25">
      <c r="A12673" t="str">
        <f>"193384375314"</f>
        <v>193384375314</v>
      </c>
      <c r="B12673" t="s">
        <v>1544</v>
      </c>
      <c r="C12673" t="s">
        <v>36536</v>
      </c>
      <c r="D12673" t="s">
        <v>36531</v>
      </c>
      <c r="E12673">
        <v>424008</v>
      </c>
      <c r="F12673" t="s">
        <v>1</v>
      </c>
      <c r="G12673" t="s">
        <v>2</v>
      </c>
      <c r="H12673" t="s">
        <v>16051</v>
      </c>
      <c r="J12673" t="s">
        <v>45377</v>
      </c>
      <c r="L12673" t="s">
        <v>36534</v>
      </c>
      <c r="M12673" t="s">
        <v>36535</v>
      </c>
      <c r="P12673" t="s">
        <v>1642</v>
      </c>
      <c r="Q12673" t="s">
        <v>36537</v>
      </c>
      <c r="Y12673" t="s">
        <v>45378</v>
      </c>
    </row>
    <row r="12674" spans="1:25" x14ac:dyDescent="0.25">
      <c r="A12674" t="str">
        <f>"193388923067"</f>
        <v>193388923067</v>
      </c>
      <c r="B12674" t="s">
        <v>131</v>
      </c>
      <c r="C12674" t="s">
        <v>3866</v>
      </c>
      <c r="D12674" t="s">
        <v>45379</v>
      </c>
      <c r="E12674">
        <v>424002</v>
      </c>
      <c r="F12674" t="s">
        <v>1</v>
      </c>
      <c r="G12674" t="s">
        <v>2</v>
      </c>
      <c r="H12674" t="s">
        <v>3864</v>
      </c>
      <c r="I12674" t="s">
        <v>45380</v>
      </c>
      <c r="L12674" t="s">
        <v>45381</v>
      </c>
      <c r="M12674" t="s">
        <v>45382</v>
      </c>
      <c r="P12674" t="s">
        <v>45383</v>
      </c>
      <c r="Q12674" t="s">
        <v>45384</v>
      </c>
      <c r="S12674" t="s">
        <v>45385</v>
      </c>
      <c r="V12674" t="s">
        <v>45386</v>
      </c>
      <c r="Y12674" t="s">
        <v>45387</v>
      </c>
    </row>
    <row r="12675" spans="1:25" x14ac:dyDescent="0.25">
      <c r="A12675" t="str">
        <f>"193410795393"</f>
        <v>193410795393</v>
      </c>
      <c r="B12675" t="s">
        <v>96</v>
      </c>
      <c r="C12675" t="s">
        <v>893</v>
      </c>
      <c r="D12675" t="s">
        <v>26903</v>
      </c>
      <c r="E12675">
        <v>424038</v>
      </c>
      <c r="F12675" t="s">
        <v>1</v>
      </c>
      <c r="G12675" t="s">
        <v>2</v>
      </c>
      <c r="H12675" t="s">
        <v>2614</v>
      </c>
      <c r="Y12675" t="s">
        <v>2617</v>
      </c>
    </row>
    <row r="12676" spans="1:25" x14ac:dyDescent="0.25">
      <c r="A12676" t="str">
        <f>"193413125446"</f>
        <v>193413125446</v>
      </c>
      <c r="B12676" t="s">
        <v>797</v>
      </c>
      <c r="C12676" t="s">
        <v>19715</v>
      </c>
      <c r="D12676" t="s">
        <v>45388</v>
      </c>
      <c r="E12676">
        <v>424019</v>
      </c>
      <c r="F12676" t="s">
        <v>1</v>
      </c>
      <c r="G12676" t="s">
        <v>2</v>
      </c>
      <c r="H12676" t="s">
        <v>1801</v>
      </c>
      <c r="Y12676" t="s">
        <v>1804</v>
      </c>
    </row>
    <row r="12677" spans="1:25" x14ac:dyDescent="0.25">
      <c r="A12677" t="str">
        <f>"193463807771"</f>
        <v>193463807771</v>
      </c>
      <c r="B12677" t="s">
        <v>123</v>
      </c>
      <c r="C12677" t="s">
        <v>424</v>
      </c>
      <c r="D12677" t="s">
        <v>45389</v>
      </c>
      <c r="E12677">
        <v>424008</v>
      </c>
      <c r="F12677" t="s">
        <v>1</v>
      </c>
      <c r="G12677" t="s">
        <v>2</v>
      </c>
      <c r="H12677" t="s">
        <v>45390</v>
      </c>
      <c r="Y12677" t="s">
        <v>45391</v>
      </c>
    </row>
    <row r="12678" spans="1:25" x14ac:dyDescent="0.25">
      <c r="A12678" t="str">
        <f>"193476203459"</f>
        <v>193476203459</v>
      </c>
      <c r="B12678" t="s">
        <v>1152</v>
      </c>
      <c r="C12678" t="s">
        <v>8449</v>
      </c>
      <c r="D12678" t="s">
        <v>45392</v>
      </c>
      <c r="E12678">
        <v>424020</v>
      </c>
      <c r="F12678" t="s">
        <v>1</v>
      </c>
      <c r="G12678" t="s">
        <v>2</v>
      </c>
      <c r="H12678" t="s">
        <v>23</v>
      </c>
      <c r="J12678" t="s">
        <v>45393</v>
      </c>
      <c r="L12678" t="s">
        <v>16920</v>
      </c>
      <c r="M12678" t="s">
        <v>45394</v>
      </c>
      <c r="P12678" t="s">
        <v>7436</v>
      </c>
      <c r="Y12678" t="s">
        <v>6162</v>
      </c>
    </row>
    <row r="12679" spans="1:25" x14ac:dyDescent="0.25">
      <c r="A12679" t="str">
        <f>"193493936352"</f>
        <v>193493936352</v>
      </c>
      <c r="B12679" t="s">
        <v>117</v>
      </c>
      <c r="C12679" t="s">
        <v>873</v>
      </c>
      <c r="D12679" t="s">
        <v>873</v>
      </c>
      <c r="E12679">
        <v>424038</v>
      </c>
      <c r="F12679" t="s">
        <v>1</v>
      </c>
      <c r="G12679" t="s">
        <v>2</v>
      </c>
      <c r="H12679" t="s">
        <v>30196</v>
      </c>
      <c r="Y12679" t="s">
        <v>45395</v>
      </c>
    </row>
    <row r="12680" spans="1:25" x14ac:dyDescent="0.25">
      <c r="A12680" t="str">
        <f>"193496144614"</f>
        <v>193496144614</v>
      </c>
      <c r="B12680" t="s">
        <v>352</v>
      </c>
      <c r="C12680" t="s">
        <v>353</v>
      </c>
      <c r="D12680" t="s">
        <v>45396</v>
      </c>
      <c r="E12680">
        <v>424028</v>
      </c>
      <c r="F12680" t="s">
        <v>1</v>
      </c>
      <c r="G12680" t="s">
        <v>2</v>
      </c>
      <c r="H12680" t="s">
        <v>3628</v>
      </c>
      <c r="Y12680" t="s">
        <v>45397</v>
      </c>
    </row>
    <row r="12681" spans="1:25" x14ac:dyDescent="0.25">
      <c r="A12681" t="str">
        <f>"193522794606"</f>
        <v>193522794606</v>
      </c>
      <c r="B12681" t="s">
        <v>738</v>
      </c>
      <c r="C12681" t="s">
        <v>13603</v>
      </c>
      <c r="D12681" t="s">
        <v>45398</v>
      </c>
      <c r="E12681">
        <v>424038</v>
      </c>
      <c r="F12681" t="s">
        <v>1</v>
      </c>
      <c r="G12681" t="s">
        <v>2</v>
      </c>
      <c r="H12681" t="s">
        <v>10628</v>
      </c>
      <c r="M12681" t="s">
        <v>45399</v>
      </c>
      <c r="Y12681" t="s">
        <v>45400</v>
      </c>
    </row>
    <row r="12682" spans="1:25" x14ac:dyDescent="0.25">
      <c r="A12682" t="str">
        <f>"193527233947"</f>
        <v>193527233947</v>
      </c>
      <c r="B12682" t="s">
        <v>930</v>
      </c>
      <c r="C12682" t="s">
        <v>1096</v>
      </c>
      <c r="D12682" t="s">
        <v>1094</v>
      </c>
      <c r="F12682" t="s">
        <v>1</v>
      </c>
      <c r="G12682" t="s">
        <v>2</v>
      </c>
      <c r="H12682" t="s">
        <v>25338</v>
      </c>
      <c r="Y12682" t="s">
        <v>45401</v>
      </c>
    </row>
    <row r="12683" spans="1:25" x14ac:dyDescent="0.25">
      <c r="A12683" t="str">
        <f>"193598445556"</f>
        <v>193598445556</v>
      </c>
      <c r="B12683" t="s">
        <v>574</v>
      </c>
      <c r="C12683" t="s">
        <v>27049</v>
      </c>
      <c r="D12683" t="s">
        <v>569</v>
      </c>
      <c r="E12683">
        <v>424028</v>
      </c>
      <c r="F12683" t="s">
        <v>1</v>
      </c>
      <c r="G12683" t="s">
        <v>2</v>
      </c>
      <c r="H12683" t="s">
        <v>29140</v>
      </c>
      <c r="I12683" t="s">
        <v>37763</v>
      </c>
      <c r="L12683" t="s">
        <v>572</v>
      </c>
      <c r="M12683" t="s">
        <v>573</v>
      </c>
      <c r="P12683" t="s">
        <v>410</v>
      </c>
      <c r="Y12683" t="s">
        <v>45402</v>
      </c>
    </row>
    <row r="12684" spans="1:25" x14ac:dyDescent="0.25">
      <c r="A12684" t="str">
        <f>"193614919941"</f>
        <v>193614919941</v>
      </c>
      <c r="B12684" t="s">
        <v>930</v>
      </c>
      <c r="C12684" t="s">
        <v>927</v>
      </c>
      <c r="D12684" t="s">
        <v>927</v>
      </c>
      <c r="E12684">
        <v>424004</v>
      </c>
      <c r="F12684" t="s">
        <v>1</v>
      </c>
      <c r="G12684" t="s">
        <v>2</v>
      </c>
      <c r="H12684" t="s">
        <v>45403</v>
      </c>
      <c r="J12684" t="s">
        <v>45404</v>
      </c>
      <c r="P12684" t="s">
        <v>2879</v>
      </c>
      <c r="Y12684" t="s">
        <v>45405</v>
      </c>
    </row>
    <row r="12685" spans="1:25" x14ac:dyDescent="0.25">
      <c r="A12685" t="str">
        <f>"193622125557"</f>
        <v>193622125557</v>
      </c>
      <c r="B12685" t="s">
        <v>1152</v>
      </c>
      <c r="C12685" t="s">
        <v>30694</v>
      </c>
      <c r="D12685" t="s">
        <v>1385</v>
      </c>
      <c r="E12685">
        <v>424019</v>
      </c>
      <c r="F12685" t="s">
        <v>1</v>
      </c>
      <c r="G12685" t="s">
        <v>2</v>
      </c>
      <c r="H12685" t="s">
        <v>1801</v>
      </c>
      <c r="I12685" t="s">
        <v>45406</v>
      </c>
      <c r="J12685" t="s">
        <v>45407</v>
      </c>
      <c r="P12685" t="s">
        <v>27366</v>
      </c>
      <c r="Y12685" t="s">
        <v>1804</v>
      </c>
    </row>
    <row r="12686" spans="1:25" x14ac:dyDescent="0.25">
      <c r="A12686" t="str">
        <f>"193625438869"</f>
        <v>193625438869</v>
      </c>
      <c r="B12686" t="s">
        <v>530</v>
      </c>
      <c r="C12686" t="s">
        <v>23950</v>
      </c>
      <c r="D12686" t="s">
        <v>23950</v>
      </c>
      <c r="F12686" t="s">
        <v>1</v>
      </c>
      <c r="G12686" t="s">
        <v>2</v>
      </c>
      <c r="H12686" t="s">
        <v>33817</v>
      </c>
      <c r="Y12686" t="s">
        <v>45408</v>
      </c>
    </row>
    <row r="12687" spans="1:25" x14ac:dyDescent="0.25">
      <c r="A12687" t="str">
        <f>"193636544139"</f>
        <v>193636544139</v>
      </c>
      <c r="B12687" t="s">
        <v>1552</v>
      </c>
      <c r="C12687" t="s">
        <v>33823</v>
      </c>
      <c r="D12687" t="s">
        <v>45409</v>
      </c>
      <c r="F12687" t="s">
        <v>1</v>
      </c>
      <c r="G12687" t="s">
        <v>2</v>
      </c>
      <c r="H12687" t="s">
        <v>45410</v>
      </c>
      <c r="Y12687" t="s">
        <v>45411</v>
      </c>
    </row>
    <row r="12688" spans="1:25" x14ac:dyDescent="0.25">
      <c r="A12688" t="str">
        <f>"193686234995"</f>
        <v>193686234995</v>
      </c>
      <c r="B12688" t="s">
        <v>447</v>
      </c>
      <c r="C12688" t="s">
        <v>39894</v>
      </c>
      <c r="D12688" t="s">
        <v>45412</v>
      </c>
      <c r="E12688">
        <v>424030</v>
      </c>
      <c r="F12688" t="s">
        <v>1</v>
      </c>
      <c r="G12688" t="s">
        <v>2</v>
      </c>
      <c r="H12688" t="s">
        <v>45413</v>
      </c>
      <c r="Y12688" t="s">
        <v>45414</v>
      </c>
    </row>
    <row r="12689" spans="1:25" x14ac:dyDescent="0.25">
      <c r="A12689" t="str">
        <f>"193688684026"</f>
        <v>193688684026</v>
      </c>
      <c r="B12689" t="s">
        <v>96</v>
      </c>
      <c r="C12689" t="s">
        <v>12339</v>
      </c>
      <c r="D12689" t="s">
        <v>45415</v>
      </c>
      <c r="E12689">
        <v>424918</v>
      </c>
      <c r="F12689" t="s">
        <v>1</v>
      </c>
      <c r="G12689" t="s">
        <v>2</v>
      </c>
      <c r="H12689" t="s">
        <v>629</v>
      </c>
      <c r="J12689" t="s">
        <v>25442</v>
      </c>
      <c r="L12689" t="s">
        <v>45416</v>
      </c>
      <c r="P12689" t="s">
        <v>45417</v>
      </c>
      <c r="Q12689" t="s">
        <v>45418</v>
      </c>
      <c r="Y12689" t="s">
        <v>1744</v>
      </c>
    </row>
    <row r="12690" spans="1:25" x14ac:dyDescent="0.25">
      <c r="A12690" t="str">
        <f>"193692083501"</f>
        <v>193692083501</v>
      </c>
      <c r="B12690" t="s">
        <v>574</v>
      </c>
      <c r="C12690" t="s">
        <v>646</v>
      </c>
      <c r="D12690" t="s">
        <v>3057</v>
      </c>
      <c r="E12690">
        <v>424006</v>
      </c>
      <c r="F12690" t="s">
        <v>1</v>
      </c>
      <c r="G12690" t="s">
        <v>2</v>
      </c>
      <c r="H12690" t="s">
        <v>3330</v>
      </c>
      <c r="P12690" t="s">
        <v>2050</v>
      </c>
      <c r="Y12690" t="s">
        <v>5376</v>
      </c>
    </row>
    <row r="12691" spans="1:25" x14ac:dyDescent="0.25">
      <c r="A12691" t="str">
        <f>"193798673085"</f>
        <v>193798673085</v>
      </c>
      <c r="B12691" t="s">
        <v>519</v>
      </c>
      <c r="C12691" t="s">
        <v>45421</v>
      </c>
      <c r="D12691" t="s">
        <v>45419</v>
      </c>
      <c r="E12691">
        <v>424002</v>
      </c>
      <c r="F12691" t="s">
        <v>1</v>
      </c>
      <c r="G12691" t="s">
        <v>2</v>
      </c>
      <c r="H12691" t="s">
        <v>12740</v>
      </c>
      <c r="I12691" t="s">
        <v>45420</v>
      </c>
      <c r="P12691" t="s">
        <v>216</v>
      </c>
      <c r="Q12691" t="s">
        <v>45422</v>
      </c>
      <c r="Y12691" t="s">
        <v>45423</v>
      </c>
    </row>
    <row r="12692" spans="1:25" x14ac:dyDescent="0.25">
      <c r="A12692" t="str">
        <f>"193865386046"</f>
        <v>193865386046</v>
      </c>
      <c r="B12692" t="s">
        <v>2846</v>
      </c>
      <c r="C12692" t="s">
        <v>22835</v>
      </c>
      <c r="D12692" t="s">
        <v>45424</v>
      </c>
      <c r="F12692" t="s">
        <v>1</v>
      </c>
      <c r="G12692" t="s">
        <v>2</v>
      </c>
      <c r="H12692" t="s">
        <v>7547</v>
      </c>
      <c r="J12692" t="s">
        <v>45425</v>
      </c>
      <c r="L12692" t="s">
        <v>45426</v>
      </c>
      <c r="P12692" t="s">
        <v>8945</v>
      </c>
      <c r="Q12692" t="s">
        <v>45427</v>
      </c>
      <c r="V12692" t="s">
        <v>45428</v>
      </c>
      <c r="Y12692" t="s">
        <v>45429</v>
      </c>
    </row>
    <row r="12693" spans="1:25" x14ac:dyDescent="0.25">
      <c r="A12693" t="str">
        <f>"193888301692"</f>
        <v>193888301692</v>
      </c>
      <c r="B12693" t="s">
        <v>888</v>
      </c>
      <c r="C12693" t="s">
        <v>45434</v>
      </c>
      <c r="D12693" t="s">
        <v>45430</v>
      </c>
      <c r="E12693">
        <v>424006</v>
      </c>
      <c r="F12693" t="s">
        <v>1</v>
      </c>
      <c r="G12693" t="s">
        <v>2</v>
      </c>
      <c r="H12693" t="s">
        <v>1923</v>
      </c>
      <c r="J12693" t="s">
        <v>45431</v>
      </c>
      <c r="L12693" t="s">
        <v>45432</v>
      </c>
      <c r="M12693" t="s">
        <v>45433</v>
      </c>
      <c r="P12693" t="s">
        <v>13820</v>
      </c>
      <c r="Y12693" t="s">
        <v>1928</v>
      </c>
    </row>
    <row r="12694" spans="1:25" x14ac:dyDescent="0.25">
      <c r="A12694" t="str">
        <f>"193904451703"</f>
        <v>193904451703</v>
      </c>
      <c r="B12694" t="s">
        <v>32</v>
      </c>
      <c r="C12694" t="s">
        <v>17524</v>
      </c>
      <c r="D12694" t="s">
        <v>45435</v>
      </c>
      <c r="E12694">
        <v>424004</v>
      </c>
      <c r="F12694" t="s">
        <v>1</v>
      </c>
      <c r="G12694" t="s">
        <v>2</v>
      </c>
      <c r="H12694" t="s">
        <v>3285</v>
      </c>
      <c r="J12694" t="s">
        <v>29389</v>
      </c>
      <c r="P12694" t="s">
        <v>2050</v>
      </c>
      <c r="Q12694" t="s">
        <v>45436</v>
      </c>
      <c r="Y12694" t="s">
        <v>3288</v>
      </c>
    </row>
    <row r="12695" spans="1:25" x14ac:dyDescent="0.25">
      <c r="A12695" t="str">
        <f>"193966599090"</f>
        <v>193966599090</v>
      </c>
      <c r="B12695" t="s">
        <v>930</v>
      </c>
      <c r="C12695" t="s">
        <v>6070</v>
      </c>
      <c r="D12695" t="s">
        <v>20039</v>
      </c>
      <c r="E12695">
        <v>424019</v>
      </c>
      <c r="F12695" t="s">
        <v>1</v>
      </c>
      <c r="G12695" t="s">
        <v>2</v>
      </c>
      <c r="H12695" t="s">
        <v>45437</v>
      </c>
      <c r="J12695" t="s">
        <v>45438</v>
      </c>
      <c r="P12695" t="s">
        <v>330</v>
      </c>
      <c r="Y12695" t="s">
        <v>45439</v>
      </c>
    </row>
    <row r="12696" spans="1:25" x14ac:dyDescent="0.25">
      <c r="A12696" t="str">
        <f>"193986708392"</f>
        <v>193986708392</v>
      </c>
      <c r="B12696" t="s">
        <v>1152</v>
      </c>
      <c r="C12696" t="s">
        <v>2319</v>
      </c>
      <c r="D12696" t="s">
        <v>45440</v>
      </c>
      <c r="E12696">
        <v>424000</v>
      </c>
      <c r="F12696" t="s">
        <v>1</v>
      </c>
      <c r="G12696" t="s">
        <v>2</v>
      </c>
      <c r="H12696" t="s">
        <v>1473</v>
      </c>
      <c r="P12696" t="s">
        <v>27356</v>
      </c>
      <c r="Y12696" t="s">
        <v>45441</v>
      </c>
    </row>
    <row r="12697" spans="1:25" x14ac:dyDescent="0.25">
      <c r="A12697" t="str">
        <f>"194053192130"</f>
        <v>194053192130</v>
      </c>
      <c r="B12697" t="s">
        <v>1046</v>
      </c>
      <c r="C12697" t="s">
        <v>2695</v>
      </c>
      <c r="D12697" t="s">
        <v>45442</v>
      </c>
      <c r="E12697">
        <v>424031</v>
      </c>
      <c r="F12697" t="s">
        <v>1</v>
      </c>
      <c r="G12697" t="s">
        <v>2</v>
      </c>
      <c r="H12697" t="s">
        <v>1129</v>
      </c>
      <c r="Y12697" t="s">
        <v>45443</v>
      </c>
    </row>
    <row r="12698" spans="1:25" x14ac:dyDescent="0.25">
      <c r="A12698" t="str">
        <f>"194132675826"</f>
        <v>194132675826</v>
      </c>
      <c r="B12698" t="s">
        <v>1046</v>
      </c>
      <c r="C12698" t="s">
        <v>32452</v>
      </c>
      <c r="D12698" t="s">
        <v>45444</v>
      </c>
      <c r="F12698" t="s">
        <v>1</v>
      </c>
      <c r="G12698" t="s">
        <v>2</v>
      </c>
      <c r="H12698" t="s">
        <v>27403</v>
      </c>
      <c r="Y12698" t="s">
        <v>45445</v>
      </c>
    </row>
    <row r="12699" spans="1:25" x14ac:dyDescent="0.25">
      <c r="A12699" t="str">
        <f>"194153270368"</f>
        <v>194153270368</v>
      </c>
      <c r="B12699" t="s">
        <v>80</v>
      </c>
      <c r="C12699" t="s">
        <v>14246</v>
      </c>
      <c r="D12699" t="s">
        <v>45446</v>
      </c>
      <c r="E12699">
        <v>424038</v>
      </c>
      <c r="F12699" t="s">
        <v>1</v>
      </c>
      <c r="G12699" t="s">
        <v>2</v>
      </c>
      <c r="H12699" t="s">
        <v>16988</v>
      </c>
      <c r="L12699" t="s">
        <v>45447</v>
      </c>
      <c r="M12699" t="s">
        <v>45448</v>
      </c>
      <c r="P12699" t="s">
        <v>22707</v>
      </c>
      <c r="Y12699" t="s">
        <v>45449</v>
      </c>
    </row>
    <row r="12700" spans="1:25" x14ac:dyDescent="0.25">
      <c r="A12700" t="str">
        <f>"194153399835"</f>
        <v>194153399835</v>
      </c>
      <c r="B12700" t="s">
        <v>790</v>
      </c>
      <c r="C12700" t="s">
        <v>2049</v>
      </c>
      <c r="D12700" t="s">
        <v>45450</v>
      </c>
      <c r="E12700">
        <v>424019</v>
      </c>
      <c r="F12700" t="s">
        <v>1</v>
      </c>
      <c r="G12700" t="s">
        <v>2</v>
      </c>
      <c r="H12700" t="s">
        <v>15506</v>
      </c>
      <c r="J12700" t="s">
        <v>45451</v>
      </c>
      <c r="L12700" t="s">
        <v>45452</v>
      </c>
      <c r="M12700" t="s">
        <v>45453</v>
      </c>
      <c r="P12700" t="s">
        <v>2050</v>
      </c>
      <c r="Y12700" t="s">
        <v>17180</v>
      </c>
    </row>
    <row r="12701" spans="1:25" x14ac:dyDescent="0.25">
      <c r="A12701" t="str">
        <f>"194171450508"</f>
        <v>194171450508</v>
      </c>
      <c r="B12701" t="s">
        <v>1475</v>
      </c>
      <c r="C12701" t="s">
        <v>4005</v>
      </c>
      <c r="D12701" t="s">
        <v>45454</v>
      </c>
      <c r="E12701">
        <v>424020</v>
      </c>
      <c r="F12701" t="s">
        <v>1</v>
      </c>
      <c r="G12701" t="s">
        <v>2</v>
      </c>
      <c r="H12701" t="s">
        <v>1997</v>
      </c>
      <c r="Y12701" t="s">
        <v>45455</v>
      </c>
    </row>
    <row r="12702" spans="1:25" x14ac:dyDescent="0.25">
      <c r="A12702" t="str">
        <f>"194219208547"</f>
        <v>194219208547</v>
      </c>
      <c r="B12702" t="s">
        <v>1352</v>
      </c>
      <c r="C12702" t="s">
        <v>11624</v>
      </c>
      <c r="D12702" t="s">
        <v>38135</v>
      </c>
      <c r="E12702">
        <v>424000</v>
      </c>
      <c r="F12702" t="s">
        <v>1</v>
      </c>
      <c r="G12702" t="s">
        <v>2</v>
      </c>
      <c r="H12702" t="s">
        <v>1531</v>
      </c>
      <c r="P12702" t="s">
        <v>630</v>
      </c>
      <c r="Q12702" t="s">
        <v>45456</v>
      </c>
      <c r="Y12702" t="s">
        <v>45457</v>
      </c>
    </row>
    <row r="12703" spans="1:25" x14ac:dyDescent="0.25">
      <c r="A12703" t="str">
        <f>"194219835554"</f>
        <v>194219835554</v>
      </c>
      <c r="B12703" t="s">
        <v>1758</v>
      </c>
      <c r="C12703" t="s">
        <v>45459</v>
      </c>
      <c r="D12703" t="s">
        <v>45458</v>
      </c>
      <c r="E12703">
        <v>424038</v>
      </c>
      <c r="F12703" t="s">
        <v>1</v>
      </c>
      <c r="G12703" t="s">
        <v>2</v>
      </c>
      <c r="H12703" t="s">
        <v>546</v>
      </c>
      <c r="I12703" t="s">
        <v>39252</v>
      </c>
      <c r="Y12703" t="s">
        <v>549</v>
      </c>
    </row>
    <row r="12704" spans="1:25" x14ac:dyDescent="0.25">
      <c r="A12704" t="str">
        <f>"194229382161"</f>
        <v>194229382161</v>
      </c>
      <c r="B12704" t="s">
        <v>519</v>
      </c>
      <c r="C12704" t="s">
        <v>11122</v>
      </c>
      <c r="D12704" t="s">
        <v>45460</v>
      </c>
      <c r="E12704">
        <v>424019</v>
      </c>
      <c r="F12704" t="s">
        <v>1</v>
      </c>
      <c r="G12704" t="s">
        <v>2</v>
      </c>
      <c r="H12704" t="s">
        <v>666</v>
      </c>
      <c r="I12704" t="s">
        <v>45461</v>
      </c>
      <c r="L12704" t="s">
        <v>45462</v>
      </c>
      <c r="M12704" t="s">
        <v>45463</v>
      </c>
      <c r="P12704" t="s">
        <v>45464</v>
      </c>
      <c r="Q12704" t="s">
        <v>45465</v>
      </c>
      <c r="V12704" t="s">
        <v>45466</v>
      </c>
      <c r="Y12704" t="s">
        <v>45467</v>
      </c>
    </row>
    <row r="12705" spans="1:25" x14ac:dyDescent="0.25">
      <c r="A12705" t="str">
        <f>"194244504022"</f>
        <v>194244504022</v>
      </c>
      <c r="B12705" t="s">
        <v>88</v>
      </c>
      <c r="C12705" t="s">
        <v>38384</v>
      </c>
      <c r="D12705" t="s">
        <v>45468</v>
      </c>
      <c r="E12705">
        <v>424000</v>
      </c>
      <c r="F12705" t="s">
        <v>1</v>
      </c>
      <c r="G12705" t="s">
        <v>2</v>
      </c>
      <c r="H12705" t="s">
        <v>265</v>
      </c>
      <c r="J12705" t="s">
        <v>45469</v>
      </c>
      <c r="P12705" t="s">
        <v>410</v>
      </c>
      <c r="Q12705" t="s">
        <v>45470</v>
      </c>
      <c r="Y12705" t="s">
        <v>45471</v>
      </c>
    </row>
    <row r="12706" spans="1:25" x14ac:dyDescent="0.25">
      <c r="A12706" t="str">
        <f>"194253334464"</f>
        <v>194253334464</v>
      </c>
      <c r="B12706" t="s">
        <v>530</v>
      </c>
      <c r="C12706" t="s">
        <v>23950</v>
      </c>
      <c r="D12706" t="s">
        <v>23950</v>
      </c>
      <c r="E12706">
        <v>424007</v>
      </c>
      <c r="F12706" t="s">
        <v>1</v>
      </c>
      <c r="G12706" t="s">
        <v>2</v>
      </c>
      <c r="H12706" t="s">
        <v>45472</v>
      </c>
      <c r="Y12706" t="s">
        <v>45473</v>
      </c>
    </row>
    <row r="12707" spans="1:25" x14ac:dyDescent="0.25">
      <c r="A12707" t="str">
        <f>"194271548481"</f>
        <v>194271548481</v>
      </c>
      <c r="B12707" t="s">
        <v>96</v>
      </c>
      <c r="C12707" t="s">
        <v>893</v>
      </c>
      <c r="D12707" t="s">
        <v>43655</v>
      </c>
      <c r="E12707">
        <v>424918</v>
      </c>
      <c r="F12707" t="s">
        <v>1</v>
      </c>
      <c r="G12707" t="s">
        <v>2</v>
      </c>
      <c r="H12707" t="s">
        <v>629</v>
      </c>
      <c r="P12707" t="s">
        <v>630</v>
      </c>
      <c r="Y12707" t="s">
        <v>45474</v>
      </c>
    </row>
    <row r="12708" spans="1:25" x14ac:dyDescent="0.25">
      <c r="A12708" t="str">
        <f>"194344460779"</f>
        <v>194344460779</v>
      </c>
      <c r="B12708" t="s">
        <v>1391</v>
      </c>
      <c r="C12708" t="s">
        <v>1392</v>
      </c>
      <c r="D12708" t="s">
        <v>6102</v>
      </c>
      <c r="E12708">
        <v>424016</v>
      </c>
      <c r="F12708" t="s">
        <v>1</v>
      </c>
      <c r="G12708" t="s">
        <v>2</v>
      </c>
      <c r="H12708" t="s">
        <v>11267</v>
      </c>
      <c r="I12708" t="s">
        <v>42527</v>
      </c>
      <c r="J12708" t="s">
        <v>45475</v>
      </c>
      <c r="P12708" t="s">
        <v>20</v>
      </c>
      <c r="Y12708" t="s">
        <v>45476</v>
      </c>
    </row>
    <row r="12709" spans="1:25" x14ac:dyDescent="0.25">
      <c r="A12709" t="str">
        <f>"194349644971"</f>
        <v>194349644971</v>
      </c>
      <c r="B12709" t="s">
        <v>2818</v>
      </c>
      <c r="C12709" t="s">
        <v>32965</v>
      </c>
      <c r="D12709" t="s">
        <v>32965</v>
      </c>
      <c r="F12709" t="s">
        <v>1</v>
      </c>
      <c r="G12709" t="s">
        <v>2</v>
      </c>
      <c r="H12709" t="s">
        <v>7547</v>
      </c>
      <c r="Y12709" t="s">
        <v>45477</v>
      </c>
    </row>
    <row r="12710" spans="1:25" x14ac:dyDescent="0.25">
      <c r="A12710" t="str">
        <f>"194352878756"</f>
        <v>194352878756</v>
      </c>
      <c r="B12710" t="s">
        <v>96</v>
      </c>
      <c r="C12710" t="s">
        <v>45482</v>
      </c>
      <c r="D12710" t="s">
        <v>45478</v>
      </c>
      <c r="E12710">
        <v>424004</v>
      </c>
      <c r="F12710" t="s">
        <v>1</v>
      </c>
      <c r="G12710" t="s">
        <v>2</v>
      </c>
      <c r="H12710" t="s">
        <v>28869</v>
      </c>
      <c r="I12710" t="s">
        <v>45479</v>
      </c>
      <c r="J12710" t="s">
        <v>45480</v>
      </c>
      <c r="L12710" t="s">
        <v>45481</v>
      </c>
      <c r="P12710" t="s">
        <v>280</v>
      </c>
      <c r="Y12710" t="s">
        <v>33018</v>
      </c>
    </row>
    <row r="12711" spans="1:25" x14ac:dyDescent="0.25">
      <c r="A12711" t="str">
        <f>"194370336953"</f>
        <v>194370336953</v>
      </c>
      <c r="B12711" t="s">
        <v>574</v>
      </c>
      <c r="C12711" t="s">
        <v>646</v>
      </c>
      <c r="D12711" t="s">
        <v>15669</v>
      </c>
      <c r="E12711">
        <v>424002</v>
      </c>
      <c r="F12711" t="s">
        <v>1</v>
      </c>
      <c r="G12711" t="s">
        <v>2</v>
      </c>
      <c r="H12711" t="s">
        <v>662</v>
      </c>
      <c r="Y12711" t="s">
        <v>3342</v>
      </c>
    </row>
    <row r="12712" spans="1:25" x14ac:dyDescent="0.25">
      <c r="A12712" t="str">
        <f>"194394567342"</f>
        <v>194394567342</v>
      </c>
      <c r="B12712" t="s">
        <v>7312</v>
      </c>
      <c r="C12712" t="s">
        <v>19097</v>
      </c>
      <c r="D12712" t="s">
        <v>19130</v>
      </c>
      <c r="E12712">
        <v>424038</v>
      </c>
      <c r="F12712" t="s">
        <v>1</v>
      </c>
      <c r="G12712" t="s">
        <v>2</v>
      </c>
      <c r="H12712" t="s">
        <v>16988</v>
      </c>
      <c r="Y12712" t="s">
        <v>24701</v>
      </c>
    </row>
    <row r="12713" spans="1:25" x14ac:dyDescent="0.25">
      <c r="A12713" t="str">
        <f>"194411791991"</f>
        <v>194411791991</v>
      </c>
      <c r="B12713" t="s">
        <v>1046</v>
      </c>
      <c r="C12713" t="s">
        <v>45486</v>
      </c>
      <c r="D12713" t="s">
        <v>45483</v>
      </c>
      <c r="E12713">
        <v>424000</v>
      </c>
      <c r="F12713" t="s">
        <v>1</v>
      </c>
      <c r="G12713" t="s">
        <v>2</v>
      </c>
      <c r="H12713" t="s">
        <v>7122</v>
      </c>
      <c r="J12713" t="s">
        <v>43548</v>
      </c>
      <c r="L12713" t="s">
        <v>45484</v>
      </c>
      <c r="M12713" t="s">
        <v>45485</v>
      </c>
      <c r="P12713" t="s">
        <v>144</v>
      </c>
      <c r="T12713" t="s">
        <v>45487</v>
      </c>
      <c r="V12713" t="s">
        <v>45488</v>
      </c>
      <c r="Y12713" t="s">
        <v>45489</v>
      </c>
    </row>
    <row r="12714" spans="1:25" x14ac:dyDescent="0.25">
      <c r="A12714" t="str">
        <f>"194419382327"</f>
        <v>194419382327</v>
      </c>
      <c r="B12714" t="s">
        <v>328</v>
      </c>
      <c r="C12714" t="s">
        <v>5300</v>
      </c>
      <c r="D12714" t="s">
        <v>45490</v>
      </c>
      <c r="E12714">
        <v>424040</v>
      </c>
      <c r="F12714" t="s">
        <v>1</v>
      </c>
      <c r="G12714" t="s">
        <v>2</v>
      </c>
      <c r="H12714" t="s">
        <v>7927</v>
      </c>
      <c r="I12714" t="s">
        <v>45491</v>
      </c>
      <c r="L12714" t="s">
        <v>45492</v>
      </c>
      <c r="M12714" t="s">
        <v>45493</v>
      </c>
      <c r="P12714" t="s">
        <v>27</v>
      </c>
      <c r="Y12714" t="s">
        <v>45494</v>
      </c>
    </row>
    <row r="12715" spans="1:25" x14ac:dyDescent="0.25">
      <c r="A12715" t="str">
        <f>"194460767274"</f>
        <v>194460767274</v>
      </c>
      <c r="B12715" t="s">
        <v>290</v>
      </c>
      <c r="C12715" t="s">
        <v>290</v>
      </c>
      <c r="D12715" t="s">
        <v>8759</v>
      </c>
      <c r="E12715">
        <v>424005</v>
      </c>
      <c r="F12715" t="s">
        <v>1</v>
      </c>
      <c r="G12715" t="s">
        <v>2</v>
      </c>
      <c r="H12715" t="s">
        <v>43678</v>
      </c>
      <c r="P12715" t="s">
        <v>330</v>
      </c>
      <c r="Y12715" t="s">
        <v>45495</v>
      </c>
    </row>
    <row r="12716" spans="1:25" x14ac:dyDescent="0.25">
      <c r="A12716" t="str">
        <f>"194475330581"</f>
        <v>194475330581</v>
      </c>
      <c r="B12716" t="s">
        <v>348</v>
      </c>
      <c r="C12716" t="s">
        <v>22288</v>
      </c>
      <c r="D12716" t="s">
        <v>45496</v>
      </c>
      <c r="F12716" t="s">
        <v>1</v>
      </c>
      <c r="G12716" t="s">
        <v>2</v>
      </c>
      <c r="H12716" t="s">
        <v>138</v>
      </c>
      <c r="I12716" t="s">
        <v>45497</v>
      </c>
      <c r="L12716" t="s">
        <v>45498</v>
      </c>
      <c r="M12716" t="s">
        <v>45499</v>
      </c>
      <c r="P12716" t="s">
        <v>144</v>
      </c>
      <c r="Y12716" t="s">
        <v>146</v>
      </c>
    </row>
    <row r="12717" spans="1:25" x14ac:dyDescent="0.25">
      <c r="A12717" t="str">
        <f>"194478331692"</f>
        <v>194478331692</v>
      </c>
      <c r="B12717" t="s">
        <v>123</v>
      </c>
      <c r="C12717" t="s">
        <v>424</v>
      </c>
      <c r="D12717" t="s">
        <v>37869</v>
      </c>
      <c r="E12717">
        <v>424007</v>
      </c>
      <c r="F12717" t="s">
        <v>1</v>
      </c>
      <c r="G12717" t="s">
        <v>2</v>
      </c>
      <c r="H12717" t="s">
        <v>45500</v>
      </c>
      <c r="P12717" t="s">
        <v>4998</v>
      </c>
      <c r="Y12717" t="s">
        <v>45501</v>
      </c>
    </row>
    <row r="12718" spans="1:25" x14ac:dyDescent="0.25">
      <c r="A12718" t="str">
        <f>"194486341058"</f>
        <v>194486341058</v>
      </c>
      <c r="B12718" t="s">
        <v>290</v>
      </c>
      <c r="C12718" t="s">
        <v>45503</v>
      </c>
      <c r="D12718" t="s">
        <v>15669</v>
      </c>
      <c r="E12718">
        <v>424004</v>
      </c>
      <c r="F12718" t="s">
        <v>1</v>
      </c>
      <c r="G12718" t="s">
        <v>2</v>
      </c>
      <c r="H12718" t="s">
        <v>45502</v>
      </c>
      <c r="I12718" t="s">
        <v>29644</v>
      </c>
      <c r="P12718" t="s">
        <v>7436</v>
      </c>
      <c r="Y12718" t="s">
        <v>45504</v>
      </c>
    </row>
    <row r="12719" spans="1:25" x14ac:dyDescent="0.25">
      <c r="A12719" t="str">
        <f>"194590218620"</f>
        <v>194590218620</v>
      </c>
      <c r="B12719" t="s">
        <v>574</v>
      </c>
      <c r="C12719" t="s">
        <v>952</v>
      </c>
      <c r="D12719" t="s">
        <v>12994</v>
      </c>
      <c r="E12719">
        <v>424006</v>
      </c>
      <c r="F12719" t="s">
        <v>1</v>
      </c>
      <c r="G12719" t="s">
        <v>2</v>
      </c>
      <c r="H12719" t="s">
        <v>45505</v>
      </c>
      <c r="Y12719" t="s">
        <v>40068</v>
      </c>
    </row>
    <row r="12720" spans="1:25" x14ac:dyDescent="0.25">
      <c r="A12720" t="str">
        <f>"194605428604"</f>
        <v>194605428604</v>
      </c>
      <c r="B12720" t="s">
        <v>1152</v>
      </c>
      <c r="C12720" t="s">
        <v>45507</v>
      </c>
      <c r="D12720" t="s">
        <v>45506</v>
      </c>
      <c r="E12720">
        <v>424004</v>
      </c>
      <c r="F12720" t="s">
        <v>1</v>
      </c>
      <c r="G12720" t="s">
        <v>2</v>
      </c>
      <c r="H12720" t="s">
        <v>2133</v>
      </c>
      <c r="Y12720" t="s">
        <v>2137</v>
      </c>
    </row>
    <row r="12721" spans="1:25" x14ac:dyDescent="0.25">
      <c r="A12721" t="str">
        <f>"194653078510"</f>
        <v>194653078510</v>
      </c>
      <c r="B12721" t="s">
        <v>530</v>
      </c>
      <c r="C12721" t="s">
        <v>23950</v>
      </c>
      <c r="D12721" t="s">
        <v>23950</v>
      </c>
      <c r="E12721">
        <v>424020</v>
      </c>
      <c r="F12721" t="s">
        <v>1</v>
      </c>
      <c r="G12721" t="s">
        <v>2</v>
      </c>
      <c r="H12721" t="s">
        <v>19735</v>
      </c>
      <c r="Y12721" t="s">
        <v>45508</v>
      </c>
    </row>
    <row r="12722" spans="1:25" x14ac:dyDescent="0.25">
      <c r="A12722" t="str">
        <f>"194705822311"</f>
        <v>194705822311</v>
      </c>
      <c r="B12722" t="s">
        <v>352</v>
      </c>
      <c r="C12722" t="s">
        <v>2709</v>
      </c>
      <c r="D12722" t="s">
        <v>45509</v>
      </c>
      <c r="E12722">
        <v>424038</v>
      </c>
      <c r="F12722" t="s">
        <v>1</v>
      </c>
      <c r="G12722" t="s">
        <v>2</v>
      </c>
      <c r="H12722" t="s">
        <v>546</v>
      </c>
      <c r="I12722" t="s">
        <v>45510</v>
      </c>
      <c r="J12722" t="s">
        <v>45511</v>
      </c>
      <c r="L12722" t="s">
        <v>45512</v>
      </c>
      <c r="M12722" t="s">
        <v>45513</v>
      </c>
      <c r="P12722" t="s">
        <v>45514</v>
      </c>
      <c r="Q12722" t="s">
        <v>45515</v>
      </c>
      <c r="T12722" t="s">
        <v>45516</v>
      </c>
      <c r="U12722" t="s">
        <v>45517</v>
      </c>
      <c r="V12722" t="s">
        <v>45518</v>
      </c>
      <c r="Y12722" t="s">
        <v>45519</v>
      </c>
    </row>
    <row r="12723" spans="1:25" x14ac:dyDescent="0.25">
      <c r="A12723" t="str">
        <f>"194710433928"</f>
        <v>194710433928</v>
      </c>
      <c r="B12723" t="s">
        <v>574</v>
      </c>
      <c r="C12723" t="s">
        <v>44398</v>
      </c>
      <c r="D12723" t="s">
        <v>45520</v>
      </c>
      <c r="E12723">
        <v>424038</v>
      </c>
      <c r="F12723" t="s">
        <v>1</v>
      </c>
      <c r="G12723" t="s">
        <v>2</v>
      </c>
      <c r="H12723" t="s">
        <v>7597</v>
      </c>
      <c r="I12723" t="s">
        <v>34365</v>
      </c>
      <c r="P12723" t="s">
        <v>1027</v>
      </c>
      <c r="Y12723" t="s">
        <v>45521</v>
      </c>
    </row>
    <row r="12724" spans="1:25" x14ac:dyDescent="0.25">
      <c r="A12724" t="str">
        <f>"194781485452"</f>
        <v>194781485452</v>
      </c>
      <c r="B12724" t="s">
        <v>574</v>
      </c>
      <c r="C12724" t="s">
        <v>23462</v>
      </c>
      <c r="D12724" t="s">
        <v>45522</v>
      </c>
      <c r="E12724">
        <v>424004</v>
      </c>
      <c r="F12724" t="s">
        <v>1</v>
      </c>
      <c r="G12724" t="s">
        <v>2</v>
      </c>
      <c r="H12724" t="s">
        <v>3266</v>
      </c>
      <c r="Y12724" t="s">
        <v>16843</v>
      </c>
    </row>
    <row r="12725" spans="1:25" x14ac:dyDescent="0.25">
      <c r="A12725" t="str">
        <f>"194790188228"</f>
        <v>194790188228</v>
      </c>
      <c r="B12725" t="s">
        <v>1544</v>
      </c>
      <c r="C12725" t="s">
        <v>7974</v>
      </c>
      <c r="D12725" t="s">
        <v>45523</v>
      </c>
      <c r="F12725" t="s">
        <v>1</v>
      </c>
      <c r="G12725" t="s">
        <v>2</v>
      </c>
      <c r="H12725" t="s">
        <v>5721</v>
      </c>
      <c r="I12725" t="s">
        <v>40606</v>
      </c>
      <c r="P12725" t="s">
        <v>5396</v>
      </c>
      <c r="Y12725" t="s">
        <v>5724</v>
      </c>
    </row>
    <row r="12726" spans="1:25" x14ac:dyDescent="0.25">
      <c r="A12726" t="str">
        <f>"194826548977"</f>
        <v>194826548977</v>
      </c>
      <c r="B12726" t="s">
        <v>430</v>
      </c>
      <c r="C12726" t="s">
        <v>940</v>
      </c>
      <c r="D12726" t="s">
        <v>33741</v>
      </c>
      <c r="E12726">
        <v>424000</v>
      </c>
      <c r="F12726" t="s">
        <v>1</v>
      </c>
      <c r="G12726" t="s">
        <v>2</v>
      </c>
      <c r="H12726" t="s">
        <v>4427</v>
      </c>
      <c r="Y12726" t="s">
        <v>45524</v>
      </c>
    </row>
    <row r="12727" spans="1:25" x14ac:dyDescent="0.25">
      <c r="A12727" t="str">
        <f>"194836118098"</f>
        <v>194836118098</v>
      </c>
      <c r="B12727" t="s">
        <v>151</v>
      </c>
      <c r="C12727" t="s">
        <v>45530</v>
      </c>
      <c r="D12727" t="s">
        <v>45525</v>
      </c>
      <c r="E12727">
        <v>424004</v>
      </c>
      <c r="F12727" t="s">
        <v>1</v>
      </c>
      <c r="G12727" t="s">
        <v>2</v>
      </c>
      <c r="H12727" t="s">
        <v>186</v>
      </c>
      <c r="I12727" t="s">
        <v>45526</v>
      </c>
      <c r="J12727" t="s">
        <v>45527</v>
      </c>
      <c r="L12727" t="s">
        <v>45528</v>
      </c>
      <c r="M12727" t="s">
        <v>45529</v>
      </c>
      <c r="P12727" t="s">
        <v>152</v>
      </c>
      <c r="Q12727" t="s">
        <v>45531</v>
      </c>
      <c r="T12727" t="s">
        <v>45532</v>
      </c>
      <c r="V12727" t="s">
        <v>45533</v>
      </c>
      <c r="Y12727" t="s">
        <v>190</v>
      </c>
    </row>
    <row r="12728" spans="1:25" x14ac:dyDescent="0.25">
      <c r="A12728" t="str">
        <f>"194872426779"</f>
        <v>194872426779</v>
      </c>
      <c r="B12728" t="s">
        <v>553</v>
      </c>
      <c r="C12728" t="s">
        <v>45535</v>
      </c>
      <c r="D12728" t="s">
        <v>45534</v>
      </c>
      <c r="E12728">
        <v>424000</v>
      </c>
      <c r="F12728" t="s">
        <v>1</v>
      </c>
      <c r="G12728" t="s">
        <v>2</v>
      </c>
      <c r="H12728" t="s">
        <v>34149</v>
      </c>
      <c r="I12728" t="s">
        <v>34766</v>
      </c>
      <c r="L12728" t="s">
        <v>34767</v>
      </c>
      <c r="P12728" t="s">
        <v>6581</v>
      </c>
      <c r="Q12728" t="s">
        <v>34768</v>
      </c>
      <c r="Y12728" t="s">
        <v>45536</v>
      </c>
    </row>
    <row r="12729" spans="1:25" x14ac:dyDescent="0.25">
      <c r="A12729" t="str">
        <f>"194927440483"</f>
        <v>194927440483</v>
      </c>
      <c r="B12729" t="s">
        <v>2104</v>
      </c>
      <c r="C12729" t="s">
        <v>2105</v>
      </c>
      <c r="D12729" t="s">
        <v>45537</v>
      </c>
      <c r="E12729">
        <v>424038</v>
      </c>
      <c r="F12729" t="s">
        <v>1</v>
      </c>
      <c r="G12729" t="s">
        <v>2</v>
      </c>
      <c r="H12729" t="s">
        <v>14026</v>
      </c>
      <c r="I12729" t="s">
        <v>45538</v>
      </c>
      <c r="P12729" t="s">
        <v>7650</v>
      </c>
      <c r="Y12729" t="s">
        <v>18510</v>
      </c>
    </row>
    <row r="12730" spans="1:25" x14ac:dyDescent="0.25">
      <c r="A12730" t="str">
        <f>"194967403522"</f>
        <v>194967403522</v>
      </c>
      <c r="B12730" t="s">
        <v>456</v>
      </c>
      <c r="C12730" t="s">
        <v>2773</v>
      </c>
      <c r="D12730" t="s">
        <v>45539</v>
      </c>
      <c r="E12730">
        <v>424000</v>
      </c>
      <c r="F12730" t="s">
        <v>1</v>
      </c>
      <c r="G12730" t="s">
        <v>2</v>
      </c>
      <c r="H12730" t="s">
        <v>837</v>
      </c>
      <c r="Y12730" t="s">
        <v>45540</v>
      </c>
    </row>
    <row r="12731" spans="1:25" x14ac:dyDescent="0.25">
      <c r="A12731" t="str">
        <f>"194972366647"</f>
        <v>194972366647</v>
      </c>
      <c r="B12731" t="s">
        <v>640</v>
      </c>
      <c r="C12731" t="s">
        <v>24659</v>
      </c>
      <c r="D12731" t="s">
        <v>14962</v>
      </c>
      <c r="E12731">
        <v>424030</v>
      </c>
      <c r="F12731" t="s">
        <v>1</v>
      </c>
      <c r="G12731" t="s">
        <v>2</v>
      </c>
      <c r="H12731" t="s">
        <v>440</v>
      </c>
      <c r="Y12731" t="s">
        <v>45541</v>
      </c>
    </row>
    <row r="12732" spans="1:25" x14ac:dyDescent="0.25">
      <c r="A12732" t="str">
        <f>"194999767849"</f>
        <v>194999767849</v>
      </c>
      <c r="B12732" t="s">
        <v>32</v>
      </c>
      <c r="C12732" t="s">
        <v>40</v>
      </c>
      <c r="D12732" t="s">
        <v>45542</v>
      </c>
      <c r="E12732">
        <v>424006</v>
      </c>
      <c r="F12732" t="s">
        <v>1</v>
      </c>
      <c r="G12732" t="s">
        <v>2</v>
      </c>
      <c r="H12732" t="s">
        <v>18109</v>
      </c>
      <c r="J12732" t="s">
        <v>45543</v>
      </c>
      <c r="P12732" t="s">
        <v>45544</v>
      </c>
      <c r="Y12732" t="s">
        <v>20362</v>
      </c>
    </row>
    <row r="12733" spans="1:25" x14ac:dyDescent="0.25">
      <c r="A12733" t="str">
        <f>"195022716872"</f>
        <v>195022716872</v>
      </c>
      <c r="B12733" t="s">
        <v>233</v>
      </c>
      <c r="C12733" t="s">
        <v>1897</v>
      </c>
      <c r="D12733" t="s">
        <v>45545</v>
      </c>
      <c r="E12733">
        <v>424000</v>
      </c>
      <c r="F12733" t="s">
        <v>1</v>
      </c>
      <c r="G12733" t="s">
        <v>2</v>
      </c>
      <c r="H12733" t="s">
        <v>1473</v>
      </c>
      <c r="I12733" t="s">
        <v>45546</v>
      </c>
      <c r="P12733" t="s">
        <v>941</v>
      </c>
      <c r="Y12733" t="s">
        <v>4067</v>
      </c>
    </row>
    <row r="12734" spans="1:25" x14ac:dyDescent="0.25">
      <c r="A12734" t="str">
        <f>"195035372839"</f>
        <v>195035372839</v>
      </c>
      <c r="B12734" t="s">
        <v>1544</v>
      </c>
      <c r="C12734" t="s">
        <v>15598</v>
      </c>
      <c r="D12734" t="s">
        <v>45547</v>
      </c>
      <c r="E12734">
        <v>424019</v>
      </c>
      <c r="F12734" t="s">
        <v>1</v>
      </c>
      <c r="G12734" t="s">
        <v>2</v>
      </c>
      <c r="H12734" t="s">
        <v>13705</v>
      </c>
      <c r="I12734" t="s">
        <v>45548</v>
      </c>
      <c r="J12734" t="s">
        <v>45549</v>
      </c>
      <c r="L12734" t="s">
        <v>45550</v>
      </c>
      <c r="M12734" t="s">
        <v>45551</v>
      </c>
      <c r="P12734" t="s">
        <v>45552</v>
      </c>
      <c r="Q12734" t="s">
        <v>45553</v>
      </c>
      <c r="V12734" t="s">
        <v>45554</v>
      </c>
      <c r="Y12734" t="s">
        <v>45555</v>
      </c>
    </row>
    <row r="12735" spans="1:25" x14ac:dyDescent="0.25">
      <c r="A12735" t="str">
        <f>"195036544478"</f>
        <v>195036544478</v>
      </c>
      <c r="B12735" t="s">
        <v>397</v>
      </c>
      <c r="C12735" t="s">
        <v>1432</v>
      </c>
      <c r="D12735" t="s">
        <v>45556</v>
      </c>
      <c r="E12735">
        <v>424006</v>
      </c>
      <c r="F12735" t="s">
        <v>1</v>
      </c>
      <c r="G12735" t="s">
        <v>2</v>
      </c>
      <c r="H12735" t="s">
        <v>8622</v>
      </c>
      <c r="I12735" t="s">
        <v>45557</v>
      </c>
      <c r="L12735" t="s">
        <v>45558</v>
      </c>
      <c r="M12735" t="s">
        <v>45559</v>
      </c>
      <c r="P12735" t="s">
        <v>458</v>
      </c>
      <c r="Y12735" t="s">
        <v>8866</v>
      </c>
    </row>
    <row r="12736" spans="1:25" x14ac:dyDescent="0.25">
      <c r="A12736" t="str">
        <f>"195053766153"</f>
        <v>195053766153</v>
      </c>
      <c r="B12736" t="s">
        <v>1323</v>
      </c>
      <c r="C12736" t="s">
        <v>1324</v>
      </c>
      <c r="D12736" t="s">
        <v>45560</v>
      </c>
      <c r="E12736">
        <v>424002</v>
      </c>
      <c r="F12736" t="s">
        <v>1</v>
      </c>
      <c r="G12736" t="s">
        <v>2</v>
      </c>
      <c r="H12736" t="s">
        <v>6397</v>
      </c>
      <c r="I12736" t="s">
        <v>45561</v>
      </c>
      <c r="P12736" t="s">
        <v>11541</v>
      </c>
      <c r="Y12736" t="s">
        <v>6401</v>
      </c>
    </row>
    <row r="12737" spans="1:25" x14ac:dyDescent="0.25">
      <c r="A12737" t="str">
        <f>"195057665387"</f>
        <v>195057665387</v>
      </c>
      <c r="B12737" t="s">
        <v>1544</v>
      </c>
      <c r="C12737" t="s">
        <v>15598</v>
      </c>
      <c r="D12737" t="s">
        <v>23165</v>
      </c>
      <c r="E12737">
        <v>424006</v>
      </c>
      <c r="F12737" t="s">
        <v>1</v>
      </c>
      <c r="G12737" t="s">
        <v>2</v>
      </c>
      <c r="H12737" t="s">
        <v>20220</v>
      </c>
      <c r="P12737" t="s">
        <v>1505</v>
      </c>
      <c r="Y12737" t="s">
        <v>45562</v>
      </c>
    </row>
    <row r="12738" spans="1:25" x14ac:dyDescent="0.25">
      <c r="A12738" t="str">
        <f>"195092185688"</f>
        <v>195092185688</v>
      </c>
      <c r="B12738" t="s">
        <v>96</v>
      </c>
      <c r="C12738" t="s">
        <v>25912</v>
      </c>
      <c r="D12738" t="s">
        <v>45563</v>
      </c>
      <c r="E12738">
        <v>424918</v>
      </c>
      <c r="F12738" t="s">
        <v>1</v>
      </c>
      <c r="G12738" t="s">
        <v>2</v>
      </c>
      <c r="H12738" t="s">
        <v>629</v>
      </c>
      <c r="P12738" t="s">
        <v>630</v>
      </c>
      <c r="Y12738" t="s">
        <v>45564</v>
      </c>
    </row>
    <row r="12739" spans="1:25" x14ac:dyDescent="0.25">
      <c r="A12739" t="str">
        <f>"195101856868"</f>
        <v>195101856868</v>
      </c>
      <c r="B12739" t="s">
        <v>790</v>
      </c>
      <c r="C12739" t="s">
        <v>4583</v>
      </c>
      <c r="D12739" t="s">
        <v>45565</v>
      </c>
      <c r="E12739">
        <v>424005</v>
      </c>
      <c r="F12739" t="s">
        <v>1</v>
      </c>
      <c r="G12739" t="s">
        <v>2</v>
      </c>
      <c r="H12739" t="s">
        <v>7480</v>
      </c>
      <c r="I12739" t="s">
        <v>45566</v>
      </c>
      <c r="P12739" t="s">
        <v>45567</v>
      </c>
      <c r="Q12739" t="s">
        <v>45568</v>
      </c>
      <c r="Y12739" t="s">
        <v>7482</v>
      </c>
    </row>
    <row r="12740" spans="1:25" x14ac:dyDescent="0.25">
      <c r="A12740" t="str">
        <f>"195127300248"</f>
        <v>195127300248</v>
      </c>
      <c r="B12740" t="s">
        <v>96</v>
      </c>
      <c r="C12740" t="s">
        <v>893</v>
      </c>
      <c r="D12740" t="s">
        <v>45569</v>
      </c>
      <c r="F12740" t="s">
        <v>1</v>
      </c>
      <c r="G12740" t="s">
        <v>2</v>
      </c>
      <c r="H12740" t="s">
        <v>19499</v>
      </c>
      <c r="P12740" t="s">
        <v>14515</v>
      </c>
      <c r="Y12740" t="s">
        <v>45570</v>
      </c>
    </row>
    <row r="12741" spans="1:25" x14ac:dyDescent="0.25">
      <c r="A12741" t="str">
        <f>"195129365555"</f>
        <v>195129365555</v>
      </c>
      <c r="B12741" t="s">
        <v>1573</v>
      </c>
      <c r="C12741" t="s">
        <v>45573</v>
      </c>
      <c r="D12741" t="s">
        <v>45571</v>
      </c>
      <c r="F12741" t="s">
        <v>1</v>
      </c>
      <c r="G12741" t="s">
        <v>2</v>
      </c>
      <c r="H12741" t="s">
        <v>8464</v>
      </c>
      <c r="J12741" t="s">
        <v>45572</v>
      </c>
      <c r="P12741" t="s">
        <v>24631</v>
      </c>
      <c r="Q12741" t="s">
        <v>45574</v>
      </c>
      <c r="V12741" t="s">
        <v>45575</v>
      </c>
      <c r="Y12741" t="s">
        <v>45576</v>
      </c>
    </row>
    <row r="12742" spans="1:25" x14ac:dyDescent="0.25">
      <c r="A12742" t="str">
        <f>"195182822853"</f>
        <v>195182822853</v>
      </c>
      <c r="B12742" t="s">
        <v>1475</v>
      </c>
      <c r="C12742" t="s">
        <v>1476</v>
      </c>
      <c r="D12742" t="s">
        <v>45577</v>
      </c>
      <c r="E12742">
        <v>424007</v>
      </c>
      <c r="F12742" t="s">
        <v>1</v>
      </c>
      <c r="G12742" t="s">
        <v>2</v>
      </c>
      <c r="H12742" t="s">
        <v>9471</v>
      </c>
      <c r="Y12742" t="s">
        <v>9478</v>
      </c>
    </row>
    <row r="12743" spans="1:25" x14ac:dyDescent="0.25">
      <c r="A12743" t="str">
        <f>"195189911399"</f>
        <v>195189911399</v>
      </c>
      <c r="B12743" t="s">
        <v>32</v>
      </c>
      <c r="C12743" t="s">
        <v>35670</v>
      </c>
      <c r="D12743" t="s">
        <v>45578</v>
      </c>
      <c r="E12743">
        <v>424002</v>
      </c>
      <c r="F12743" t="s">
        <v>1</v>
      </c>
      <c r="G12743" t="s">
        <v>2</v>
      </c>
      <c r="H12743" t="s">
        <v>915</v>
      </c>
      <c r="I12743" t="s">
        <v>3722</v>
      </c>
      <c r="L12743" t="s">
        <v>3723</v>
      </c>
      <c r="M12743" t="s">
        <v>3724</v>
      </c>
      <c r="P12743" t="s">
        <v>144</v>
      </c>
      <c r="Q12743" t="s">
        <v>3726</v>
      </c>
      <c r="R12743" t="s">
        <v>3727</v>
      </c>
      <c r="T12743" t="s">
        <v>3728</v>
      </c>
      <c r="V12743" t="s">
        <v>3729</v>
      </c>
      <c r="Y12743" t="s">
        <v>917</v>
      </c>
    </row>
    <row r="12744" spans="1:25" x14ac:dyDescent="0.25">
      <c r="A12744" t="str">
        <f>"195240145486"</f>
        <v>195240145486</v>
      </c>
      <c r="B12744" t="s">
        <v>96</v>
      </c>
      <c r="C12744" t="s">
        <v>5883</v>
      </c>
      <c r="D12744" t="s">
        <v>19130</v>
      </c>
      <c r="E12744">
        <v>424039</v>
      </c>
      <c r="F12744" t="s">
        <v>1</v>
      </c>
      <c r="G12744" t="s">
        <v>2</v>
      </c>
      <c r="H12744" t="s">
        <v>17375</v>
      </c>
      <c r="Y12744" t="s">
        <v>45579</v>
      </c>
    </row>
    <row r="12745" spans="1:25" x14ac:dyDescent="0.25">
      <c r="A12745" t="str">
        <f>"195260041892"</f>
        <v>195260041892</v>
      </c>
      <c r="B12745" t="s">
        <v>2062</v>
      </c>
      <c r="C12745" t="s">
        <v>3293</v>
      </c>
      <c r="D12745" t="s">
        <v>39856</v>
      </c>
      <c r="E12745">
        <v>424004</v>
      </c>
      <c r="F12745" t="s">
        <v>1</v>
      </c>
      <c r="G12745" t="s">
        <v>2</v>
      </c>
      <c r="H12745" t="s">
        <v>5197</v>
      </c>
      <c r="Y12745" t="s">
        <v>45580</v>
      </c>
    </row>
    <row r="12746" spans="1:25" x14ac:dyDescent="0.25">
      <c r="A12746" t="str">
        <f>"195284068573"</f>
        <v>195284068573</v>
      </c>
      <c r="B12746" t="s">
        <v>96</v>
      </c>
      <c r="C12746" t="s">
        <v>45582</v>
      </c>
      <c r="D12746" t="s">
        <v>45581</v>
      </c>
      <c r="E12746">
        <v>424918</v>
      </c>
      <c r="F12746" t="s">
        <v>1</v>
      </c>
      <c r="G12746" t="s">
        <v>2</v>
      </c>
      <c r="H12746" t="s">
        <v>629</v>
      </c>
      <c r="P12746" t="s">
        <v>630</v>
      </c>
      <c r="Y12746" t="s">
        <v>1744</v>
      </c>
    </row>
    <row r="12747" spans="1:25" x14ac:dyDescent="0.25">
      <c r="A12747" t="str">
        <f>"195300866726"</f>
        <v>195300866726</v>
      </c>
      <c r="B12747" t="s">
        <v>574</v>
      </c>
      <c r="C12747" t="s">
        <v>21805</v>
      </c>
      <c r="D12747" t="s">
        <v>21175</v>
      </c>
      <c r="E12747">
        <v>424036</v>
      </c>
      <c r="F12747" t="s">
        <v>1</v>
      </c>
      <c r="G12747" t="s">
        <v>2</v>
      </c>
      <c r="H12747" t="s">
        <v>7822</v>
      </c>
      <c r="J12747" t="s">
        <v>14653</v>
      </c>
      <c r="P12747" t="s">
        <v>410</v>
      </c>
      <c r="Y12747" t="s">
        <v>16605</v>
      </c>
    </row>
    <row r="12748" spans="1:25" x14ac:dyDescent="0.25">
      <c r="A12748" t="str">
        <f>"195327511756"</f>
        <v>195327511756</v>
      </c>
      <c r="B12748" t="s">
        <v>18</v>
      </c>
      <c r="C12748" t="s">
        <v>45584</v>
      </c>
      <c r="D12748" t="s">
        <v>45583</v>
      </c>
      <c r="F12748" t="s">
        <v>1</v>
      </c>
      <c r="G12748" t="s">
        <v>2</v>
      </c>
      <c r="H12748" t="s">
        <v>1221</v>
      </c>
      <c r="P12748" t="s">
        <v>45585</v>
      </c>
      <c r="Y12748" t="s">
        <v>45586</v>
      </c>
    </row>
    <row r="12749" spans="1:25" x14ac:dyDescent="0.25">
      <c r="A12749" t="str">
        <f>"195346842007"</f>
        <v>195346842007</v>
      </c>
      <c r="B12749" t="s">
        <v>1573</v>
      </c>
      <c r="C12749" t="s">
        <v>1817</v>
      </c>
      <c r="D12749" t="s">
        <v>45587</v>
      </c>
      <c r="E12749">
        <v>424005</v>
      </c>
      <c r="F12749" t="s">
        <v>1</v>
      </c>
      <c r="G12749" t="s">
        <v>2</v>
      </c>
      <c r="H12749" t="s">
        <v>7480</v>
      </c>
      <c r="Y12749" t="s">
        <v>7482</v>
      </c>
    </row>
    <row r="12750" spans="1:25" x14ac:dyDescent="0.25">
      <c r="A12750" t="str">
        <f>"195364049020"</f>
        <v>195364049020</v>
      </c>
      <c r="B12750" t="s">
        <v>160</v>
      </c>
      <c r="C12750" t="s">
        <v>9976</v>
      </c>
      <c r="D12750" t="s">
        <v>45588</v>
      </c>
      <c r="E12750">
        <v>424002</v>
      </c>
      <c r="F12750" t="s">
        <v>1</v>
      </c>
      <c r="G12750" t="s">
        <v>2</v>
      </c>
      <c r="H12750" t="s">
        <v>7367</v>
      </c>
      <c r="Y12750" t="s">
        <v>45589</v>
      </c>
    </row>
    <row r="12751" spans="1:25" x14ac:dyDescent="0.25">
      <c r="A12751" t="str">
        <f>"195368169871"</f>
        <v>195368169871</v>
      </c>
      <c r="B12751" t="s">
        <v>1152</v>
      </c>
      <c r="C12751" t="s">
        <v>10452</v>
      </c>
      <c r="D12751" t="s">
        <v>10452</v>
      </c>
      <c r="F12751" t="s">
        <v>1</v>
      </c>
      <c r="G12751" t="s">
        <v>2</v>
      </c>
      <c r="H12751" t="s">
        <v>6026</v>
      </c>
      <c r="Y12751" t="s">
        <v>45590</v>
      </c>
    </row>
    <row r="12752" spans="1:25" x14ac:dyDescent="0.25">
      <c r="A12752" t="str">
        <f>"195397937947"</f>
        <v>195397937947</v>
      </c>
      <c r="B12752" t="s">
        <v>110</v>
      </c>
      <c r="C12752" t="s">
        <v>32554</v>
      </c>
      <c r="D12752" t="s">
        <v>45591</v>
      </c>
      <c r="E12752">
        <v>424006</v>
      </c>
      <c r="F12752" t="s">
        <v>1</v>
      </c>
      <c r="G12752" t="s">
        <v>2</v>
      </c>
      <c r="H12752" t="s">
        <v>45592</v>
      </c>
      <c r="I12752" t="s">
        <v>45593</v>
      </c>
      <c r="Y12752" t="s">
        <v>656</v>
      </c>
    </row>
    <row r="12753" spans="1:25" x14ac:dyDescent="0.25">
      <c r="A12753" t="str">
        <f>"195404130575"</f>
        <v>195404130575</v>
      </c>
      <c r="B12753" t="s">
        <v>462</v>
      </c>
      <c r="C12753" t="s">
        <v>14170</v>
      </c>
      <c r="D12753" t="s">
        <v>13937</v>
      </c>
      <c r="E12753">
        <v>424002</v>
      </c>
      <c r="F12753" t="s">
        <v>1</v>
      </c>
      <c r="G12753" t="s">
        <v>2</v>
      </c>
      <c r="H12753" t="s">
        <v>14288</v>
      </c>
      <c r="J12753" t="s">
        <v>45594</v>
      </c>
      <c r="L12753" t="s">
        <v>4110</v>
      </c>
      <c r="M12753" t="s">
        <v>13940</v>
      </c>
      <c r="P12753" t="s">
        <v>13942</v>
      </c>
      <c r="Y12753" t="s">
        <v>14292</v>
      </c>
    </row>
    <row r="12754" spans="1:25" x14ac:dyDescent="0.25">
      <c r="A12754" t="str">
        <f>"195449264085"</f>
        <v>195449264085</v>
      </c>
      <c r="B12754" t="s">
        <v>319</v>
      </c>
      <c r="C12754" t="s">
        <v>19472</v>
      </c>
      <c r="D12754" t="s">
        <v>45595</v>
      </c>
      <c r="E12754">
        <v>424006</v>
      </c>
      <c r="F12754" t="s">
        <v>1</v>
      </c>
      <c r="G12754" t="s">
        <v>2</v>
      </c>
      <c r="H12754" t="s">
        <v>1923</v>
      </c>
      <c r="J12754" t="s">
        <v>45596</v>
      </c>
      <c r="P12754" t="s">
        <v>45597</v>
      </c>
      <c r="Y12754" t="s">
        <v>1928</v>
      </c>
    </row>
    <row r="12755" spans="1:25" x14ac:dyDescent="0.25">
      <c r="A12755" t="str">
        <f>"195506411365"</f>
        <v>195506411365</v>
      </c>
      <c r="B12755" t="s">
        <v>841</v>
      </c>
      <c r="C12755" t="s">
        <v>11986</v>
      </c>
      <c r="D12755" t="s">
        <v>45598</v>
      </c>
      <c r="E12755">
        <v>424026</v>
      </c>
      <c r="F12755" t="s">
        <v>1</v>
      </c>
      <c r="G12755" t="s">
        <v>2</v>
      </c>
      <c r="H12755" t="s">
        <v>6415</v>
      </c>
      <c r="I12755" t="s">
        <v>45599</v>
      </c>
      <c r="P12755" t="s">
        <v>5922</v>
      </c>
      <c r="Q12755" t="s">
        <v>45600</v>
      </c>
      <c r="Y12755" t="s">
        <v>6422</v>
      </c>
    </row>
    <row r="12756" spans="1:25" x14ac:dyDescent="0.25">
      <c r="A12756" t="str">
        <f>"195610948013"</f>
        <v>195610948013</v>
      </c>
      <c r="B12756" t="s">
        <v>1611</v>
      </c>
      <c r="C12756" t="s">
        <v>20927</v>
      </c>
      <c r="D12756" t="s">
        <v>45601</v>
      </c>
      <c r="E12756">
        <v>424033</v>
      </c>
      <c r="F12756" t="s">
        <v>1</v>
      </c>
      <c r="G12756" t="s">
        <v>2</v>
      </c>
      <c r="H12756" t="s">
        <v>6875</v>
      </c>
      <c r="I12756" t="s">
        <v>45602</v>
      </c>
      <c r="L12756" t="s">
        <v>45603</v>
      </c>
      <c r="M12756" t="s">
        <v>45604</v>
      </c>
      <c r="P12756" t="s">
        <v>5723</v>
      </c>
      <c r="Y12756" t="s">
        <v>45605</v>
      </c>
    </row>
    <row r="12757" spans="1:25" x14ac:dyDescent="0.25">
      <c r="A12757" t="str">
        <f>"195615600514"</f>
        <v>195615600514</v>
      </c>
      <c r="B12757" t="s">
        <v>738</v>
      </c>
      <c r="C12757" t="s">
        <v>739</v>
      </c>
      <c r="D12757" t="s">
        <v>45606</v>
      </c>
      <c r="E12757">
        <v>424004</v>
      </c>
      <c r="F12757" t="s">
        <v>1</v>
      </c>
      <c r="G12757" t="s">
        <v>2</v>
      </c>
      <c r="H12757" t="s">
        <v>4844</v>
      </c>
      <c r="Y12757" t="s">
        <v>21056</v>
      </c>
    </row>
    <row r="12758" spans="1:25" x14ac:dyDescent="0.25">
      <c r="A12758" t="str">
        <f>"195631394440"</f>
        <v>195631394440</v>
      </c>
      <c r="B12758" t="s">
        <v>10383</v>
      </c>
      <c r="C12758" t="s">
        <v>24146</v>
      </c>
      <c r="D12758" t="s">
        <v>24146</v>
      </c>
      <c r="F12758" t="s">
        <v>1</v>
      </c>
      <c r="G12758" t="s">
        <v>2</v>
      </c>
      <c r="H12758" t="s">
        <v>31690</v>
      </c>
      <c r="Y12758" t="s">
        <v>45607</v>
      </c>
    </row>
    <row r="12759" spans="1:25" x14ac:dyDescent="0.25">
      <c r="A12759" t="str">
        <f>"195657248742"</f>
        <v>195657248742</v>
      </c>
      <c r="B12759" t="s">
        <v>96</v>
      </c>
      <c r="C12759" t="s">
        <v>659</v>
      </c>
      <c r="D12759" t="s">
        <v>45608</v>
      </c>
      <c r="E12759">
        <v>424000</v>
      </c>
      <c r="F12759" t="s">
        <v>1</v>
      </c>
      <c r="G12759" t="s">
        <v>2</v>
      </c>
      <c r="H12759" t="s">
        <v>164</v>
      </c>
      <c r="P12759" t="s">
        <v>29643</v>
      </c>
      <c r="Y12759" t="s">
        <v>45609</v>
      </c>
    </row>
    <row r="12760" spans="1:25" x14ac:dyDescent="0.25">
      <c r="A12760" t="str">
        <f>"195678914084"</f>
        <v>195678914084</v>
      </c>
      <c r="B12760" t="s">
        <v>574</v>
      </c>
      <c r="C12760" t="s">
        <v>23462</v>
      </c>
      <c r="D12760" t="s">
        <v>36902</v>
      </c>
      <c r="E12760">
        <v>424039</v>
      </c>
      <c r="F12760" t="s">
        <v>1</v>
      </c>
      <c r="G12760" t="s">
        <v>2</v>
      </c>
      <c r="H12760" t="s">
        <v>2729</v>
      </c>
      <c r="Y12760" t="s">
        <v>45610</v>
      </c>
    </row>
    <row r="12761" spans="1:25" x14ac:dyDescent="0.25">
      <c r="A12761" t="str">
        <f>"195682262592"</f>
        <v>195682262592</v>
      </c>
      <c r="B12761" t="s">
        <v>553</v>
      </c>
      <c r="C12761" t="s">
        <v>45613</v>
      </c>
      <c r="D12761" t="s">
        <v>45611</v>
      </c>
      <c r="E12761">
        <v>424040</v>
      </c>
      <c r="F12761" t="s">
        <v>1</v>
      </c>
      <c r="G12761" t="s">
        <v>2</v>
      </c>
      <c r="H12761" t="s">
        <v>20151</v>
      </c>
      <c r="I12761" t="s">
        <v>45612</v>
      </c>
      <c r="P12761" t="s">
        <v>133</v>
      </c>
      <c r="V12761" t="s">
        <v>45614</v>
      </c>
      <c r="Y12761" t="s">
        <v>45615</v>
      </c>
    </row>
    <row r="12762" spans="1:25" x14ac:dyDescent="0.25">
      <c r="A12762" t="str">
        <f>"195686021066"</f>
        <v>195686021066</v>
      </c>
      <c r="B12762" t="s">
        <v>574</v>
      </c>
      <c r="C12762" t="s">
        <v>952</v>
      </c>
      <c r="D12762" t="s">
        <v>3388</v>
      </c>
      <c r="E12762">
        <v>424040</v>
      </c>
      <c r="F12762" t="s">
        <v>1</v>
      </c>
      <c r="G12762" t="s">
        <v>2</v>
      </c>
      <c r="H12762" t="s">
        <v>27149</v>
      </c>
      <c r="Y12762" t="s">
        <v>45616</v>
      </c>
    </row>
    <row r="12763" spans="1:25" x14ac:dyDescent="0.25">
      <c r="A12763" t="str">
        <f>"195714069752"</f>
        <v>195714069752</v>
      </c>
      <c r="B12763" t="s">
        <v>978</v>
      </c>
      <c r="C12763" t="s">
        <v>14285</v>
      </c>
      <c r="D12763" t="s">
        <v>35706</v>
      </c>
      <c r="E12763">
        <v>424005</v>
      </c>
      <c r="F12763" t="s">
        <v>1</v>
      </c>
      <c r="G12763" t="s">
        <v>2</v>
      </c>
      <c r="H12763" t="s">
        <v>5429</v>
      </c>
      <c r="I12763" t="s">
        <v>35707</v>
      </c>
      <c r="J12763" t="s">
        <v>35708</v>
      </c>
      <c r="M12763" t="s">
        <v>45617</v>
      </c>
      <c r="P12763" t="s">
        <v>330</v>
      </c>
      <c r="Y12763" t="s">
        <v>5431</v>
      </c>
    </row>
    <row r="12764" spans="1:25" x14ac:dyDescent="0.25">
      <c r="A12764" t="str">
        <f>"195836596453"</f>
        <v>195836596453</v>
      </c>
      <c r="B12764" t="s">
        <v>530</v>
      </c>
      <c r="C12764" t="s">
        <v>5046</v>
      </c>
      <c r="D12764" t="s">
        <v>43473</v>
      </c>
      <c r="E12764">
        <v>424007</v>
      </c>
      <c r="F12764" t="s">
        <v>1</v>
      </c>
      <c r="G12764" t="s">
        <v>2</v>
      </c>
      <c r="H12764" t="s">
        <v>16262</v>
      </c>
      <c r="J12764" t="s">
        <v>45618</v>
      </c>
      <c r="P12764" t="s">
        <v>45619</v>
      </c>
      <c r="Q12764" t="s">
        <v>45620</v>
      </c>
      <c r="Y12764" t="s">
        <v>45621</v>
      </c>
    </row>
    <row r="12765" spans="1:25" x14ac:dyDescent="0.25">
      <c r="A12765" t="str">
        <f>"195856534290"</f>
        <v>195856534290</v>
      </c>
      <c r="B12765" t="s">
        <v>18</v>
      </c>
      <c r="C12765" t="s">
        <v>2593</v>
      </c>
      <c r="D12765" t="s">
        <v>45622</v>
      </c>
      <c r="E12765">
        <v>424002</v>
      </c>
      <c r="F12765" t="s">
        <v>1</v>
      </c>
      <c r="G12765" t="s">
        <v>2</v>
      </c>
      <c r="H12765" t="s">
        <v>6656</v>
      </c>
      <c r="I12765" t="s">
        <v>45623</v>
      </c>
      <c r="J12765" t="s">
        <v>29393</v>
      </c>
      <c r="P12765" t="s">
        <v>390</v>
      </c>
      <c r="Y12765" t="s">
        <v>11652</v>
      </c>
    </row>
    <row r="12766" spans="1:25" x14ac:dyDescent="0.25">
      <c r="A12766" t="str">
        <f>"195908741894"</f>
        <v>195908741894</v>
      </c>
      <c r="B12766" t="s">
        <v>3544</v>
      </c>
      <c r="C12766" t="s">
        <v>11303</v>
      </c>
      <c r="D12766" t="s">
        <v>1406</v>
      </c>
      <c r="E12766">
        <v>424007</v>
      </c>
      <c r="F12766" t="s">
        <v>1</v>
      </c>
      <c r="G12766" t="s">
        <v>2</v>
      </c>
      <c r="H12766" t="s">
        <v>22459</v>
      </c>
      <c r="L12766" t="s">
        <v>1408</v>
      </c>
      <c r="Y12766" t="s">
        <v>45624</v>
      </c>
    </row>
    <row r="12767" spans="1:25" x14ac:dyDescent="0.25">
      <c r="A12767" t="str">
        <f>"195928675978"</f>
        <v>195928675978</v>
      </c>
      <c r="B12767" t="s">
        <v>96</v>
      </c>
      <c r="C12767" t="s">
        <v>7071</v>
      </c>
      <c r="D12767" t="s">
        <v>45625</v>
      </c>
      <c r="E12767">
        <v>424006</v>
      </c>
      <c r="F12767" t="s">
        <v>1</v>
      </c>
      <c r="G12767" t="s">
        <v>2</v>
      </c>
      <c r="H12767" t="s">
        <v>2775</v>
      </c>
      <c r="J12767" t="s">
        <v>45626</v>
      </c>
      <c r="Y12767" t="s">
        <v>2779</v>
      </c>
    </row>
    <row r="12768" spans="1:25" x14ac:dyDescent="0.25">
      <c r="A12768" t="str">
        <f>"195957210284"</f>
        <v>195957210284</v>
      </c>
      <c r="B12768" t="s">
        <v>96</v>
      </c>
      <c r="C12768" t="s">
        <v>893</v>
      </c>
      <c r="D12768" t="s">
        <v>23682</v>
      </c>
      <c r="E12768">
        <v>424002</v>
      </c>
      <c r="F12768" t="s">
        <v>1</v>
      </c>
      <c r="G12768" t="s">
        <v>2</v>
      </c>
      <c r="H12768" t="s">
        <v>33372</v>
      </c>
      <c r="Y12768" t="s">
        <v>45627</v>
      </c>
    </row>
    <row r="12769" spans="1:25" x14ac:dyDescent="0.25">
      <c r="A12769" t="str">
        <f>"195977026435"</f>
        <v>195977026435</v>
      </c>
      <c r="B12769" t="s">
        <v>430</v>
      </c>
      <c r="C12769" t="s">
        <v>940</v>
      </c>
      <c r="D12769" t="s">
        <v>45628</v>
      </c>
      <c r="E12769">
        <v>424002</v>
      </c>
      <c r="F12769" t="s">
        <v>1</v>
      </c>
      <c r="G12769" t="s">
        <v>2</v>
      </c>
      <c r="H12769" t="s">
        <v>6597</v>
      </c>
      <c r="Y12769" t="s">
        <v>45629</v>
      </c>
    </row>
    <row r="12770" spans="1:25" x14ac:dyDescent="0.25">
      <c r="A12770" t="str">
        <f>"196010941895"</f>
        <v>196010941895</v>
      </c>
      <c r="B12770" t="s">
        <v>1573</v>
      </c>
      <c r="C12770" t="s">
        <v>45634</v>
      </c>
      <c r="D12770" t="s">
        <v>45630</v>
      </c>
      <c r="E12770">
        <v>424031</v>
      </c>
      <c r="F12770" t="s">
        <v>1</v>
      </c>
      <c r="G12770" t="s">
        <v>2</v>
      </c>
      <c r="H12770" t="s">
        <v>8799</v>
      </c>
      <c r="I12770" t="s">
        <v>45631</v>
      </c>
      <c r="L12770" t="s">
        <v>45632</v>
      </c>
      <c r="M12770" t="s">
        <v>45633</v>
      </c>
      <c r="P12770" t="s">
        <v>25321</v>
      </c>
      <c r="V12770" t="s">
        <v>45635</v>
      </c>
      <c r="Y12770" t="s">
        <v>45636</v>
      </c>
    </row>
    <row r="12771" spans="1:25" x14ac:dyDescent="0.25">
      <c r="A12771" t="str">
        <f>"196016390118"</f>
        <v>196016390118</v>
      </c>
      <c r="B12771" t="s">
        <v>1758</v>
      </c>
      <c r="C12771" t="s">
        <v>8089</v>
      </c>
      <c r="D12771" t="s">
        <v>14187</v>
      </c>
      <c r="E12771">
        <v>424033</v>
      </c>
      <c r="F12771" t="s">
        <v>1</v>
      </c>
      <c r="G12771" t="s">
        <v>2</v>
      </c>
      <c r="H12771" t="s">
        <v>6126</v>
      </c>
      <c r="J12771" t="s">
        <v>45637</v>
      </c>
      <c r="L12771" t="s">
        <v>45638</v>
      </c>
      <c r="M12771" t="s">
        <v>45639</v>
      </c>
      <c r="P12771" t="s">
        <v>98</v>
      </c>
      <c r="V12771" t="s">
        <v>45640</v>
      </c>
      <c r="Y12771" t="s">
        <v>45641</v>
      </c>
    </row>
    <row r="12772" spans="1:25" x14ac:dyDescent="0.25">
      <c r="A12772" t="str">
        <f>"196071839385"</f>
        <v>196071839385</v>
      </c>
      <c r="B12772" t="s">
        <v>10383</v>
      </c>
      <c r="C12772" t="s">
        <v>24146</v>
      </c>
      <c r="D12772" t="s">
        <v>29301</v>
      </c>
      <c r="E12772">
        <v>424008</v>
      </c>
      <c r="F12772" t="s">
        <v>1</v>
      </c>
      <c r="G12772" t="s">
        <v>2</v>
      </c>
      <c r="H12772" t="s">
        <v>12163</v>
      </c>
      <c r="Y12772" t="s">
        <v>45642</v>
      </c>
    </row>
    <row r="12773" spans="1:25" x14ac:dyDescent="0.25">
      <c r="A12773" t="str">
        <f>"196083975654"</f>
        <v>196083975654</v>
      </c>
      <c r="B12773" t="s">
        <v>1262</v>
      </c>
      <c r="C12773" t="s">
        <v>3214</v>
      </c>
      <c r="D12773" t="s">
        <v>45643</v>
      </c>
      <c r="E12773">
        <v>424000</v>
      </c>
      <c r="F12773" t="s">
        <v>1</v>
      </c>
      <c r="G12773" t="s">
        <v>2</v>
      </c>
      <c r="H12773" t="s">
        <v>2202</v>
      </c>
      <c r="Y12773" t="s">
        <v>2204</v>
      </c>
    </row>
    <row r="12774" spans="1:25" x14ac:dyDescent="0.25">
      <c r="A12774" t="str">
        <f>"196098951413"</f>
        <v>196098951413</v>
      </c>
      <c r="B12774" t="s">
        <v>32</v>
      </c>
      <c r="C12774" t="s">
        <v>5809</v>
      </c>
      <c r="D12774" t="s">
        <v>45644</v>
      </c>
      <c r="E12774">
        <v>424002</v>
      </c>
      <c r="F12774" t="s">
        <v>1</v>
      </c>
      <c r="G12774" t="s">
        <v>2</v>
      </c>
      <c r="H12774" t="s">
        <v>37874</v>
      </c>
      <c r="P12774" t="s">
        <v>2079</v>
      </c>
      <c r="Y12774" t="s">
        <v>45645</v>
      </c>
    </row>
    <row r="12775" spans="1:25" x14ac:dyDescent="0.25">
      <c r="A12775" t="str">
        <f>"196110453822"</f>
        <v>196110453822</v>
      </c>
      <c r="B12775" t="s">
        <v>224</v>
      </c>
      <c r="C12775" t="s">
        <v>45646</v>
      </c>
      <c r="D12775" t="s">
        <v>29702</v>
      </c>
      <c r="F12775" t="s">
        <v>1</v>
      </c>
      <c r="G12775" t="s">
        <v>2</v>
      </c>
      <c r="H12775" t="s">
        <v>6365</v>
      </c>
      <c r="Y12775" t="s">
        <v>6368</v>
      </c>
    </row>
    <row r="12776" spans="1:25" x14ac:dyDescent="0.25">
      <c r="A12776" t="str">
        <f>"196112047278"</f>
        <v>196112047278</v>
      </c>
      <c r="B12776" t="s">
        <v>930</v>
      </c>
      <c r="C12776" t="s">
        <v>1096</v>
      </c>
      <c r="D12776" t="s">
        <v>45647</v>
      </c>
      <c r="E12776">
        <v>424032</v>
      </c>
      <c r="F12776" t="s">
        <v>1</v>
      </c>
      <c r="G12776" t="s">
        <v>2</v>
      </c>
      <c r="H12776" t="s">
        <v>29920</v>
      </c>
      <c r="I12776" t="s">
        <v>45648</v>
      </c>
      <c r="J12776" t="s">
        <v>45649</v>
      </c>
      <c r="P12776" t="s">
        <v>260</v>
      </c>
      <c r="Y12776" t="s">
        <v>45650</v>
      </c>
    </row>
    <row r="12777" spans="1:25" x14ac:dyDescent="0.25">
      <c r="A12777" t="str">
        <f>"196113670676"</f>
        <v>196113670676</v>
      </c>
      <c r="B12777" t="s">
        <v>1352</v>
      </c>
      <c r="C12777" t="s">
        <v>1353</v>
      </c>
      <c r="D12777" t="s">
        <v>25898</v>
      </c>
      <c r="E12777">
        <v>424020</v>
      </c>
      <c r="F12777" t="s">
        <v>1</v>
      </c>
      <c r="G12777" t="s">
        <v>2</v>
      </c>
      <c r="H12777" t="s">
        <v>23</v>
      </c>
      <c r="J12777" t="s">
        <v>45651</v>
      </c>
      <c r="M12777" t="s">
        <v>15626</v>
      </c>
      <c r="Y12777" t="s">
        <v>26334</v>
      </c>
    </row>
    <row r="12778" spans="1:25" x14ac:dyDescent="0.25">
      <c r="A12778" t="str">
        <f>"196117337312"</f>
        <v>196117337312</v>
      </c>
      <c r="B12778" t="s">
        <v>18</v>
      </c>
      <c r="C12778" t="s">
        <v>45656</v>
      </c>
      <c r="D12778" t="s">
        <v>45652</v>
      </c>
      <c r="F12778" t="s">
        <v>1</v>
      </c>
      <c r="G12778" t="s">
        <v>2</v>
      </c>
      <c r="H12778" t="s">
        <v>24017</v>
      </c>
      <c r="I12778" t="s">
        <v>16939</v>
      </c>
      <c r="J12778" t="s">
        <v>45653</v>
      </c>
      <c r="L12778" t="s">
        <v>45654</v>
      </c>
      <c r="M12778" t="s">
        <v>45655</v>
      </c>
      <c r="P12778" t="s">
        <v>10285</v>
      </c>
      <c r="Q12778" t="s">
        <v>45657</v>
      </c>
      <c r="T12778" t="s">
        <v>45658</v>
      </c>
      <c r="V12778" t="s">
        <v>45659</v>
      </c>
      <c r="Y12778" t="s">
        <v>37206</v>
      </c>
    </row>
    <row r="12779" spans="1:25" x14ac:dyDescent="0.25">
      <c r="A12779" t="str">
        <f>"196147296845"</f>
        <v>196147296845</v>
      </c>
      <c r="B12779" t="s">
        <v>117</v>
      </c>
      <c r="C12779" t="s">
        <v>6850</v>
      </c>
      <c r="D12779" t="s">
        <v>45660</v>
      </c>
      <c r="F12779" t="s">
        <v>1</v>
      </c>
      <c r="G12779" t="s">
        <v>2</v>
      </c>
      <c r="H12779" t="s">
        <v>45661</v>
      </c>
      <c r="I12779" t="s">
        <v>45662</v>
      </c>
      <c r="Y12779" t="s">
        <v>45663</v>
      </c>
    </row>
    <row r="12780" spans="1:25" x14ac:dyDescent="0.25">
      <c r="A12780" t="str">
        <f>"196149905228"</f>
        <v>196149905228</v>
      </c>
      <c r="B12780" t="s">
        <v>530</v>
      </c>
      <c r="C12780" t="s">
        <v>23950</v>
      </c>
      <c r="D12780" t="s">
        <v>23950</v>
      </c>
      <c r="F12780" t="s">
        <v>1</v>
      </c>
      <c r="G12780" t="s">
        <v>2</v>
      </c>
      <c r="H12780" t="s">
        <v>43615</v>
      </c>
      <c r="Y12780" t="s">
        <v>45664</v>
      </c>
    </row>
    <row r="12781" spans="1:25" x14ac:dyDescent="0.25">
      <c r="A12781" t="str">
        <f>"196151516682"</f>
        <v>196151516682</v>
      </c>
      <c r="B12781" t="s">
        <v>233</v>
      </c>
      <c r="C12781" t="s">
        <v>14003</v>
      </c>
      <c r="D12781" t="s">
        <v>22154</v>
      </c>
      <c r="E12781">
        <v>424002</v>
      </c>
      <c r="F12781" t="s">
        <v>1</v>
      </c>
      <c r="G12781" t="s">
        <v>2</v>
      </c>
      <c r="H12781" t="s">
        <v>570</v>
      </c>
      <c r="Y12781" t="s">
        <v>45665</v>
      </c>
    </row>
    <row r="12782" spans="1:25" x14ac:dyDescent="0.25">
      <c r="A12782" t="str">
        <f>"196157602577"</f>
        <v>196157602577</v>
      </c>
      <c r="B12782" t="s">
        <v>334</v>
      </c>
      <c r="C12782" t="s">
        <v>334</v>
      </c>
      <c r="D12782" t="s">
        <v>45666</v>
      </c>
      <c r="E12782">
        <v>424006</v>
      </c>
      <c r="F12782" t="s">
        <v>1</v>
      </c>
      <c r="G12782" t="s">
        <v>2</v>
      </c>
      <c r="H12782" t="s">
        <v>1245</v>
      </c>
      <c r="I12782" t="s">
        <v>36335</v>
      </c>
      <c r="L12782" t="s">
        <v>45667</v>
      </c>
      <c r="M12782" t="s">
        <v>45668</v>
      </c>
      <c r="Y12782" t="s">
        <v>41943</v>
      </c>
    </row>
    <row r="12783" spans="1:25" x14ac:dyDescent="0.25">
      <c r="A12783" t="str">
        <f>"196174060704"</f>
        <v>196174060704</v>
      </c>
      <c r="B12783" t="s">
        <v>290</v>
      </c>
      <c r="C12783" t="s">
        <v>11114</v>
      </c>
      <c r="D12783" t="s">
        <v>26886</v>
      </c>
      <c r="E12783">
        <v>424000</v>
      </c>
      <c r="F12783" t="s">
        <v>1</v>
      </c>
      <c r="G12783" t="s">
        <v>2</v>
      </c>
      <c r="H12783" t="s">
        <v>937</v>
      </c>
      <c r="Y12783" t="s">
        <v>45669</v>
      </c>
    </row>
    <row r="12784" spans="1:25" x14ac:dyDescent="0.25">
      <c r="A12784" t="str">
        <f>"196174150128"</f>
        <v>196174150128</v>
      </c>
      <c r="B12784" t="s">
        <v>1078</v>
      </c>
      <c r="C12784" t="s">
        <v>45671</v>
      </c>
      <c r="D12784" t="s">
        <v>27468</v>
      </c>
      <c r="E12784">
        <v>424006</v>
      </c>
      <c r="F12784" t="s">
        <v>1</v>
      </c>
      <c r="G12784" t="s">
        <v>2</v>
      </c>
      <c r="H12784" t="s">
        <v>1436</v>
      </c>
      <c r="I12784" t="s">
        <v>45670</v>
      </c>
      <c r="J12784" t="s">
        <v>13850</v>
      </c>
      <c r="P12784" t="s">
        <v>8663</v>
      </c>
      <c r="Q12784" t="s">
        <v>22776</v>
      </c>
      <c r="Y12784" t="s">
        <v>45672</v>
      </c>
    </row>
    <row r="12785" spans="1:25" x14ac:dyDescent="0.25">
      <c r="A12785" t="str">
        <f>"196206280038"</f>
        <v>196206280038</v>
      </c>
      <c r="B12785" t="s">
        <v>18</v>
      </c>
      <c r="C12785" t="s">
        <v>45265</v>
      </c>
      <c r="D12785" t="s">
        <v>11719</v>
      </c>
      <c r="E12785">
        <v>424039</v>
      </c>
      <c r="F12785" t="s">
        <v>1</v>
      </c>
      <c r="G12785" t="s">
        <v>2</v>
      </c>
      <c r="H12785" t="s">
        <v>3516</v>
      </c>
      <c r="I12785" t="s">
        <v>45264</v>
      </c>
      <c r="P12785" t="s">
        <v>260</v>
      </c>
      <c r="Y12785" t="s">
        <v>3519</v>
      </c>
    </row>
    <row r="12786" spans="1:25" x14ac:dyDescent="0.25">
      <c r="A12786" t="str">
        <f>"196341104327"</f>
        <v>196341104327</v>
      </c>
      <c r="B12786" t="s">
        <v>930</v>
      </c>
      <c r="C12786" t="s">
        <v>37741</v>
      </c>
      <c r="D12786" t="s">
        <v>45673</v>
      </c>
      <c r="E12786">
        <v>424037</v>
      </c>
      <c r="F12786" t="s">
        <v>1</v>
      </c>
      <c r="G12786" t="s">
        <v>2</v>
      </c>
      <c r="H12786" t="s">
        <v>10000</v>
      </c>
      <c r="Y12786" t="s">
        <v>45674</v>
      </c>
    </row>
    <row r="12787" spans="1:25" x14ac:dyDescent="0.25">
      <c r="A12787" t="str">
        <f>"196391280898"</f>
        <v>196391280898</v>
      </c>
      <c r="B12787" t="s">
        <v>88</v>
      </c>
      <c r="C12787" t="s">
        <v>6066</v>
      </c>
      <c r="D12787" t="s">
        <v>43277</v>
      </c>
      <c r="E12787">
        <v>424002</v>
      </c>
      <c r="F12787" t="s">
        <v>1</v>
      </c>
      <c r="G12787" t="s">
        <v>2</v>
      </c>
      <c r="H12787" t="s">
        <v>45675</v>
      </c>
      <c r="P12787" t="s">
        <v>133</v>
      </c>
      <c r="Y12787" t="s">
        <v>45676</v>
      </c>
    </row>
    <row r="12788" spans="1:25" x14ac:dyDescent="0.25">
      <c r="A12788" t="str">
        <f>"196410076353"</f>
        <v>196410076353</v>
      </c>
      <c r="B12788" t="s">
        <v>574</v>
      </c>
      <c r="C12788" t="s">
        <v>3332</v>
      </c>
      <c r="D12788" t="s">
        <v>9508</v>
      </c>
      <c r="E12788">
        <v>424000</v>
      </c>
      <c r="F12788" t="s">
        <v>1</v>
      </c>
      <c r="G12788" t="s">
        <v>2</v>
      </c>
      <c r="H12788" t="s">
        <v>2671</v>
      </c>
      <c r="I12788" t="s">
        <v>45677</v>
      </c>
      <c r="P12788" t="s">
        <v>2457</v>
      </c>
      <c r="Y12788" t="s">
        <v>45678</v>
      </c>
    </row>
    <row r="12789" spans="1:25" x14ac:dyDescent="0.25">
      <c r="A12789" t="str">
        <f>"196434462348"</f>
        <v>196434462348</v>
      </c>
      <c r="B12789" t="s">
        <v>1152</v>
      </c>
      <c r="C12789" t="s">
        <v>8523</v>
      </c>
      <c r="D12789" t="s">
        <v>45679</v>
      </c>
      <c r="E12789">
        <v>424028</v>
      </c>
      <c r="F12789" t="s">
        <v>1</v>
      </c>
      <c r="G12789" t="s">
        <v>2</v>
      </c>
      <c r="H12789" t="s">
        <v>17393</v>
      </c>
      <c r="J12789" t="s">
        <v>45680</v>
      </c>
      <c r="P12789" t="s">
        <v>2280</v>
      </c>
      <c r="Y12789" t="s">
        <v>25913</v>
      </c>
    </row>
    <row r="12790" spans="1:25" x14ac:dyDescent="0.25">
      <c r="A12790" t="str">
        <f>"196458229609"</f>
        <v>196458229609</v>
      </c>
      <c r="B12790" t="s">
        <v>18</v>
      </c>
      <c r="C12790" t="s">
        <v>2593</v>
      </c>
      <c r="D12790" t="s">
        <v>45681</v>
      </c>
      <c r="E12790">
        <v>424000</v>
      </c>
      <c r="F12790" t="s">
        <v>1</v>
      </c>
      <c r="G12790" t="s">
        <v>2</v>
      </c>
      <c r="H12790" t="s">
        <v>5942</v>
      </c>
      <c r="J12790" t="s">
        <v>45682</v>
      </c>
      <c r="M12790" t="s">
        <v>45683</v>
      </c>
      <c r="P12790" t="s">
        <v>2738</v>
      </c>
      <c r="Y12790" t="s">
        <v>45684</v>
      </c>
    </row>
    <row r="12791" spans="1:25" x14ac:dyDescent="0.25">
      <c r="A12791" t="str">
        <f>"196463467077"</f>
        <v>196463467077</v>
      </c>
      <c r="B12791" t="s">
        <v>204</v>
      </c>
      <c r="C12791" t="s">
        <v>25704</v>
      </c>
      <c r="D12791" t="s">
        <v>45685</v>
      </c>
      <c r="E12791">
        <v>424002</v>
      </c>
      <c r="F12791" t="s">
        <v>1</v>
      </c>
      <c r="G12791" t="s">
        <v>2</v>
      </c>
      <c r="H12791" t="s">
        <v>781</v>
      </c>
      <c r="Y12791" t="s">
        <v>45686</v>
      </c>
    </row>
    <row r="12792" spans="1:25" x14ac:dyDescent="0.25">
      <c r="A12792" t="str">
        <f>"196509210131"</f>
        <v>196509210131</v>
      </c>
      <c r="B12792" t="s">
        <v>1046</v>
      </c>
      <c r="C12792" t="s">
        <v>22946</v>
      </c>
      <c r="D12792" t="s">
        <v>22946</v>
      </c>
      <c r="E12792">
        <v>424038</v>
      </c>
      <c r="F12792" t="s">
        <v>1</v>
      </c>
      <c r="G12792" t="s">
        <v>2</v>
      </c>
      <c r="H12792" t="s">
        <v>14026</v>
      </c>
      <c r="Y12792" t="s">
        <v>45687</v>
      </c>
    </row>
    <row r="12793" spans="1:25" x14ac:dyDescent="0.25">
      <c r="A12793" t="str">
        <f>"196525479517"</f>
        <v>196525479517</v>
      </c>
      <c r="B12793" t="s">
        <v>716</v>
      </c>
      <c r="C12793" t="s">
        <v>26823</v>
      </c>
      <c r="D12793" t="s">
        <v>17643</v>
      </c>
      <c r="E12793">
        <v>424040</v>
      </c>
      <c r="F12793" t="s">
        <v>1</v>
      </c>
      <c r="G12793" t="s">
        <v>2</v>
      </c>
      <c r="H12793" t="s">
        <v>11149</v>
      </c>
      <c r="P12793" t="s">
        <v>2457</v>
      </c>
      <c r="Y12793" t="s">
        <v>11151</v>
      </c>
    </row>
    <row r="12794" spans="1:25" x14ac:dyDescent="0.25">
      <c r="A12794" t="str">
        <f>"196563368967"</f>
        <v>196563368967</v>
      </c>
      <c r="B12794" t="s">
        <v>574</v>
      </c>
      <c r="C12794" t="s">
        <v>14652</v>
      </c>
      <c r="D12794" t="s">
        <v>36608</v>
      </c>
      <c r="F12794" t="s">
        <v>1</v>
      </c>
      <c r="G12794" t="s">
        <v>2</v>
      </c>
      <c r="H12794" t="s">
        <v>7547</v>
      </c>
      <c r="Y12794" t="s">
        <v>45688</v>
      </c>
    </row>
    <row r="12795" spans="1:25" x14ac:dyDescent="0.25">
      <c r="A12795" t="str">
        <f>"196584281696"</f>
        <v>196584281696</v>
      </c>
      <c r="B12795" t="s">
        <v>5840</v>
      </c>
      <c r="C12795" t="s">
        <v>23837</v>
      </c>
      <c r="D12795" t="s">
        <v>10496</v>
      </c>
      <c r="E12795">
        <v>424000</v>
      </c>
      <c r="F12795" t="s">
        <v>1</v>
      </c>
      <c r="G12795" t="s">
        <v>2</v>
      </c>
      <c r="H12795" t="s">
        <v>265</v>
      </c>
      <c r="Y12795" t="s">
        <v>11205</v>
      </c>
    </row>
    <row r="12796" spans="1:25" x14ac:dyDescent="0.25">
      <c r="A12796" t="str">
        <f>"196589133755"</f>
        <v>196589133755</v>
      </c>
      <c r="B12796" t="s">
        <v>1152</v>
      </c>
      <c r="C12796" t="s">
        <v>4682</v>
      </c>
      <c r="D12796" t="s">
        <v>35443</v>
      </c>
      <c r="E12796">
        <v>424038</v>
      </c>
      <c r="F12796" t="s">
        <v>1</v>
      </c>
      <c r="G12796" t="s">
        <v>2</v>
      </c>
      <c r="H12796" t="s">
        <v>2614</v>
      </c>
      <c r="Y12796" t="s">
        <v>2617</v>
      </c>
    </row>
    <row r="12797" spans="1:25" x14ac:dyDescent="0.25">
      <c r="A12797" t="str">
        <f>"196589540408"</f>
        <v>196589540408</v>
      </c>
      <c r="B12797" t="s">
        <v>18</v>
      </c>
      <c r="C12797" t="s">
        <v>143</v>
      </c>
      <c r="D12797" t="s">
        <v>11538</v>
      </c>
      <c r="F12797" t="s">
        <v>1</v>
      </c>
      <c r="G12797" t="s">
        <v>2</v>
      </c>
      <c r="H12797" t="s">
        <v>794</v>
      </c>
      <c r="Y12797" t="s">
        <v>45689</v>
      </c>
    </row>
    <row r="12798" spans="1:25" x14ac:dyDescent="0.25">
      <c r="A12798" t="str">
        <f>"196661699852"</f>
        <v>196661699852</v>
      </c>
      <c r="B12798" t="s">
        <v>430</v>
      </c>
      <c r="C12798" t="s">
        <v>24566</v>
      </c>
      <c r="D12798" t="s">
        <v>45690</v>
      </c>
      <c r="E12798">
        <v>424030</v>
      </c>
      <c r="F12798" t="s">
        <v>1</v>
      </c>
      <c r="G12798" t="s">
        <v>2</v>
      </c>
      <c r="H12798" t="s">
        <v>45691</v>
      </c>
      <c r="I12798" t="s">
        <v>45692</v>
      </c>
      <c r="J12798" t="s">
        <v>30515</v>
      </c>
      <c r="L12798" t="s">
        <v>45693</v>
      </c>
      <c r="P12798" t="s">
        <v>2738</v>
      </c>
      <c r="Q12798" t="s">
        <v>45694</v>
      </c>
      <c r="Y12798" t="s">
        <v>45695</v>
      </c>
    </row>
    <row r="12799" spans="1:25" x14ac:dyDescent="0.25">
      <c r="A12799" t="str">
        <f>"196681798894"</f>
        <v>196681798894</v>
      </c>
      <c r="B12799" t="s">
        <v>1611</v>
      </c>
      <c r="C12799" t="s">
        <v>23954</v>
      </c>
      <c r="D12799" t="s">
        <v>45696</v>
      </c>
      <c r="E12799">
        <v>424037</v>
      </c>
      <c r="F12799" t="s">
        <v>1</v>
      </c>
      <c r="G12799" t="s">
        <v>2</v>
      </c>
      <c r="H12799" t="s">
        <v>1247</v>
      </c>
      <c r="I12799" t="s">
        <v>45697</v>
      </c>
      <c r="P12799" t="s">
        <v>5396</v>
      </c>
      <c r="Y12799" t="s">
        <v>1872</v>
      </c>
    </row>
    <row r="12800" spans="1:25" x14ac:dyDescent="0.25">
      <c r="A12800" t="str">
        <f>"196699231453"</f>
        <v>196699231453</v>
      </c>
      <c r="B12800" t="s">
        <v>530</v>
      </c>
      <c r="C12800" t="s">
        <v>23950</v>
      </c>
      <c r="D12800" t="s">
        <v>23950</v>
      </c>
      <c r="E12800">
        <v>424002</v>
      </c>
      <c r="F12800" t="s">
        <v>1</v>
      </c>
      <c r="G12800" t="s">
        <v>2</v>
      </c>
      <c r="H12800" t="s">
        <v>12567</v>
      </c>
      <c r="Y12800" t="s">
        <v>45698</v>
      </c>
    </row>
    <row r="12801" spans="1:25" x14ac:dyDescent="0.25">
      <c r="A12801" t="str">
        <f>"196702361542"</f>
        <v>196702361542</v>
      </c>
      <c r="B12801" t="s">
        <v>348</v>
      </c>
      <c r="C12801" t="s">
        <v>4366</v>
      </c>
      <c r="D12801" t="s">
        <v>45699</v>
      </c>
      <c r="F12801" t="s">
        <v>1</v>
      </c>
      <c r="G12801" t="s">
        <v>2</v>
      </c>
      <c r="H12801" t="s">
        <v>138</v>
      </c>
      <c r="P12801" t="s">
        <v>144</v>
      </c>
      <c r="Y12801" t="s">
        <v>45700</v>
      </c>
    </row>
    <row r="12802" spans="1:25" x14ac:dyDescent="0.25">
      <c r="A12802" t="str">
        <f>"196755785143"</f>
        <v>196755785143</v>
      </c>
      <c r="B12802" t="s">
        <v>430</v>
      </c>
      <c r="C12802" t="s">
        <v>612</v>
      </c>
      <c r="D12802" t="s">
        <v>22989</v>
      </c>
      <c r="E12802">
        <v>424007</v>
      </c>
      <c r="F12802" t="s">
        <v>1</v>
      </c>
      <c r="G12802" t="s">
        <v>2</v>
      </c>
      <c r="H12802" t="s">
        <v>45701</v>
      </c>
      <c r="P12802" t="s">
        <v>330</v>
      </c>
      <c r="Y12802" t="s">
        <v>45702</v>
      </c>
    </row>
    <row r="12803" spans="1:25" x14ac:dyDescent="0.25">
      <c r="A12803" t="str">
        <f>"196796168652"</f>
        <v>196796168652</v>
      </c>
      <c r="B12803" t="s">
        <v>117</v>
      </c>
      <c r="C12803" t="s">
        <v>873</v>
      </c>
      <c r="D12803" t="s">
        <v>873</v>
      </c>
      <c r="F12803" t="s">
        <v>1</v>
      </c>
      <c r="G12803" t="s">
        <v>2</v>
      </c>
      <c r="H12803" t="s">
        <v>37096</v>
      </c>
      <c r="Y12803" t="s">
        <v>45703</v>
      </c>
    </row>
    <row r="12804" spans="1:25" x14ac:dyDescent="0.25">
      <c r="A12804" t="str">
        <f>"196802055712"</f>
        <v>196802055712</v>
      </c>
      <c r="B12804" t="s">
        <v>397</v>
      </c>
      <c r="C12804" t="s">
        <v>45706</v>
      </c>
      <c r="D12804" t="s">
        <v>45704</v>
      </c>
      <c r="E12804">
        <v>424040</v>
      </c>
      <c r="F12804" t="s">
        <v>1</v>
      </c>
      <c r="G12804" t="s">
        <v>2</v>
      </c>
      <c r="H12804" t="s">
        <v>7989</v>
      </c>
      <c r="J12804" t="s">
        <v>16513</v>
      </c>
      <c r="L12804" t="s">
        <v>45705</v>
      </c>
      <c r="P12804" t="s">
        <v>45707</v>
      </c>
      <c r="Q12804" t="s">
        <v>45708</v>
      </c>
      <c r="Y12804" t="s">
        <v>11906</v>
      </c>
    </row>
    <row r="12805" spans="1:25" x14ac:dyDescent="0.25">
      <c r="A12805" t="str">
        <f>"196810825725"</f>
        <v>196810825725</v>
      </c>
      <c r="B12805" t="s">
        <v>1222</v>
      </c>
      <c r="C12805" t="s">
        <v>2114</v>
      </c>
      <c r="D12805" t="s">
        <v>45709</v>
      </c>
      <c r="E12805">
        <v>424006</v>
      </c>
      <c r="F12805" t="s">
        <v>1</v>
      </c>
      <c r="G12805" t="s">
        <v>2</v>
      </c>
      <c r="H12805" t="s">
        <v>10818</v>
      </c>
      <c r="J12805" t="s">
        <v>23220</v>
      </c>
      <c r="L12805" t="s">
        <v>45710</v>
      </c>
      <c r="M12805" t="s">
        <v>45711</v>
      </c>
      <c r="Q12805" t="s">
        <v>45712</v>
      </c>
      <c r="Y12805" t="s">
        <v>10823</v>
      </c>
    </row>
    <row r="12806" spans="1:25" x14ac:dyDescent="0.25">
      <c r="A12806" t="str">
        <f>"196902185156"</f>
        <v>196902185156</v>
      </c>
      <c r="B12806" t="s">
        <v>574</v>
      </c>
      <c r="C12806" t="s">
        <v>23520</v>
      </c>
      <c r="D12806" t="s">
        <v>45713</v>
      </c>
      <c r="E12806">
        <v>424040</v>
      </c>
      <c r="F12806" t="s">
        <v>1</v>
      </c>
      <c r="G12806" t="s">
        <v>2</v>
      </c>
      <c r="H12806" t="s">
        <v>20151</v>
      </c>
      <c r="Y12806" t="s">
        <v>45714</v>
      </c>
    </row>
    <row r="12807" spans="1:25" x14ac:dyDescent="0.25">
      <c r="A12807" t="str">
        <f>"196944374705"</f>
        <v>196944374705</v>
      </c>
      <c r="B12807" t="s">
        <v>1053</v>
      </c>
      <c r="C12807" t="s">
        <v>1927</v>
      </c>
      <c r="D12807" t="s">
        <v>45715</v>
      </c>
      <c r="E12807">
        <v>424006</v>
      </c>
      <c r="F12807" t="s">
        <v>1</v>
      </c>
      <c r="G12807" t="s">
        <v>2</v>
      </c>
      <c r="H12807" t="s">
        <v>492</v>
      </c>
      <c r="I12807" t="s">
        <v>45716</v>
      </c>
      <c r="P12807" t="s">
        <v>27</v>
      </c>
      <c r="Y12807" t="s">
        <v>29002</v>
      </c>
    </row>
    <row r="12808" spans="1:25" x14ac:dyDescent="0.25">
      <c r="A12808" t="str">
        <f>"196976226983"</f>
        <v>196976226983</v>
      </c>
      <c r="B12808" t="s">
        <v>3544</v>
      </c>
      <c r="C12808" t="s">
        <v>11303</v>
      </c>
      <c r="D12808" t="s">
        <v>45717</v>
      </c>
      <c r="E12808">
        <v>424006</v>
      </c>
      <c r="F12808" t="s">
        <v>1</v>
      </c>
      <c r="G12808" t="s">
        <v>2</v>
      </c>
      <c r="H12808" t="s">
        <v>8482</v>
      </c>
      <c r="Y12808" t="s">
        <v>45718</v>
      </c>
    </row>
    <row r="12809" spans="1:25" x14ac:dyDescent="0.25">
      <c r="A12809" t="str">
        <f>"197001415278"</f>
        <v>197001415278</v>
      </c>
      <c r="B12809" t="s">
        <v>334</v>
      </c>
      <c r="C12809" t="s">
        <v>334</v>
      </c>
      <c r="D12809" t="s">
        <v>45719</v>
      </c>
      <c r="E12809">
        <v>424004</v>
      </c>
      <c r="F12809" t="s">
        <v>1</v>
      </c>
      <c r="G12809" t="s">
        <v>2</v>
      </c>
      <c r="H12809" t="s">
        <v>9044</v>
      </c>
      <c r="J12809" t="s">
        <v>45720</v>
      </c>
      <c r="L12809" t="s">
        <v>45721</v>
      </c>
      <c r="M12809" t="s">
        <v>45722</v>
      </c>
      <c r="Y12809" t="s">
        <v>9046</v>
      </c>
    </row>
    <row r="12810" spans="1:25" x14ac:dyDescent="0.25">
      <c r="A12810" t="str">
        <f>"197011027174"</f>
        <v>197011027174</v>
      </c>
      <c r="B12810" t="s">
        <v>530</v>
      </c>
      <c r="C12810" t="s">
        <v>23950</v>
      </c>
      <c r="D12810" t="s">
        <v>23950</v>
      </c>
      <c r="E12810">
        <v>424039</v>
      </c>
      <c r="F12810" t="s">
        <v>1</v>
      </c>
      <c r="G12810" t="s">
        <v>2</v>
      </c>
      <c r="H12810" t="s">
        <v>45723</v>
      </c>
      <c r="Y12810" t="s">
        <v>45724</v>
      </c>
    </row>
    <row r="12811" spans="1:25" x14ac:dyDescent="0.25">
      <c r="A12811" t="str">
        <f>"197011353954"</f>
        <v>197011353954</v>
      </c>
      <c r="B12811" t="s">
        <v>96</v>
      </c>
      <c r="C12811" t="s">
        <v>25174</v>
      </c>
      <c r="D12811" t="s">
        <v>45725</v>
      </c>
      <c r="E12811">
        <v>424918</v>
      </c>
      <c r="F12811" t="s">
        <v>1</v>
      </c>
      <c r="G12811" t="s">
        <v>2</v>
      </c>
      <c r="H12811" t="s">
        <v>629</v>
      </c>
      <c r="P12811" t="s">
        <v>630</v>
      </c>
      <c r="Q12811" t="s">
        <v>45726</v>
      </c>
      <c r="V12811" t="s">
        <v>45727</v>
      </c>
      <c r="Y12811" t="s">
        <v>44711</v>
      </c>
    </row>
    <row r="12812" spans="1:25" x14ac:dyDescent="0.25">
      <c r="A12812" t="str">
        <f>"197012707449"</f>
        <v>197012707449</v>
      </c>
      <c r="B12812" t="s">
        <v>117</v>
      </c>
      <c r="C12812" t="s">
        <v>873</v>
      </c>
      <c r="D12812" t="s">
        <v>873</v>
      </c>
      <c r="F12812" t="s">
        <v>1</v>
      </c>
      <c r="G12812" t="s">
        <v>2</v>
      </c>
      <c r="H12812" t="s">
        <v>31710</v>
      </c>
      <c r="Y12812" t="s">
        <v>45728</v>
      </c>
    </row>
    <row r="12813" spans="1:25" x14ac:dyDescent="0.25">
      <c r="A12813" t="str">
        <f>"197082497605"</f>
        <v>197082497605</v>
      </c>
      <c r="B12813" t="s">
        <v>176</v>
      </c>
      <c r="C12813" t="s">
        <v>566</v>
      </c>
      <c r="D12813" t="s">
        <v>37170</v>
      </c>
      <c r="E12813">
        <v>424038</v>
      </c>
      <c r="F12813" t="s">
        <v>1</v>
      </c>
      <c r="G12813" t="s">
        <v>2</v>
      </c>
      <c r="H12813" t="s">
        <v>7597</v>
      </c>
      <c r="P12813" t="s">
        <v>1642</v>
      </c>
      <c r="Y12813" t="s">
        <v>16150</v>
      </c>
    </row>
    <row r="12814" spans="1:25" x14ac:dyDescent="0.25">
      <c r="A12814" t="str">
        <f>"197116784682"</f>
        <v>197116784682</v>
      </c>
      <c r="B12814" t="s">
        <v>1617</v>
      </c>
      <c r="C12814" t="s">
        <v>21001</v>
      </c>
      <c r="D12814" t="s">
        <v>20999</v>
      </c>
      <c r="E12814">
        <v>424005</v>
      </c>
      <c r="F12814" t="s">
        <v>1</v>
      </c>
      <c r="G12814" t="s">
        <v>2</v>
      </c>
      <c r="H12814" t="s">
        <v>45729</v>
      </c>
      <c r="Y12814" t="s">
        <v>45730</v>
      </c>
    </row>
    <row r="12815" spans="1:25" x14ac:dyDescent="0.25">
      <c r="A12815" t="str">
        <f>"197117810320"</f>
        <v>197117810320</v>
      </c>
      <c r="B12815" t="s">
        <v>430</v>
      </c>
      <c r="C12815" t="s">
        <v>11849</v>
      </c>
      <c r="D12815" t="s">
        <v>10135</v>
      </c>
      <c r="E12815">
        <v>424020</v>
      </c>
      <c r="F12815" t="s">
        <v>1</v>
      </c>
      <c r="G12815" t="s">
        <v>2</v>
      </c>
      <c r="H12815" t="s">
        <v>7063</v>
      </c>
      <c r="I12815" t="s">
        <v>45731</v>
      </c>
      <c r="J12815" t="s">
        <v>45732</v>
      </c>
      <c r="P12815" t="s">
        <v>330</v>
      </c>
      <c r="Y12815" t="s">
        <v>45733</v>
      </c>
    </row>
    <row r="12816" spans="1:25" x14ac:dyDescent="0.25">
      <c r="A12816" t="str">
        <f>"197146838728"</f>
        <v>197146838728</v>
      </c>
      <c r="B12816" t="s">
        <v>530</v>
      </c>
      <c r="C12816" t="s">
        <v>23950</v>
      </c>
      <c r="D12816" t="s">
        <v>23950</v>
      </c>
      <c r="F12816" t="s">
        <v>1</v>
      </c>
      <c r="G12816" t="s">
        <v>2</v>
      </c>
      <c r="H12816" t="s">
        <v>37096</v>
      </c>
      <c r="Y12816" t="s">
        <v>45734</v>
      </c>
    </row>
    <row r="12817" spans="1:25" x14ac:dyDescent="0.25">
      <c r="A12817" t="str">
        <f>"197166013117"</f>
        <v>197166013117</v>
      </c>
      <c r="B12817" t="s">
        <v>328</v>
      </c>
      <c r="C12817" t="s">
        <v>1920</v>
      </c>
      <c r="D12817" t="s">
        <v>10935</v>
      </c>
      <c r="E12817">
        <v>424037</v>
      </c>
      <c r="F12817" t="s">
        <v>1</v>
      </c>
      <c r="G12817" t="s">
        <v>2</v>
      </c>
      <c r="H12817" t="s">
        <v>1849</v>
      </c>
      <c r="Y12817" t="s">
        <v>45735</v>
      </c>
    </row>
    <row r="12818" spans="1:25" x14ac:dyDescent="0.25">
      <c r="A12818" t="str">
        <f>"197190667306"</f>
        <v>197190667306</v>
      </c>
      <c r="B12818" t="s">
        <v>8011</v>
      </c>
      <c r="C12818" t="s">
        <v>45738</v>
      </c>
      <c r="D12818" t="s">
        <v>9579</v>
      </c>
      <c r="E12818">
        <v>424000</v>
      </c>
      <c r="F12818" t="s">
        <v>1</v>
      </c>
      <c r="G12818" t="s">
        <v>2</v>
      </c>
      <c r="H12818" t="s">
        <v>164</v>
      </c>
      <c r="I12818" t="s">
        <v>45736</v>
      </c>
      <c r="J12818" t="s">
        <v>45737</v>
      </c>
      <c r="P12818" t="s">
        <v>362</v>
      </c>
      <c r="Y12818" t="s">
        <v>172</v>
      </c>
    </row>
    <row r="12819" spans="1:25" x14ac:dyDescent="0.25">
      <c r="A12819" t="str">
        <f>"197194243221"</f>
        <v>197194243221</v>
      </c>
      <c r="B12819" t="s">
        <v>25</v>
      </c>
      <c r="C12819" t="s">
        <v>59</v>
      </c>
      <c r="D12819" t="s">
        <v>45739</v>
      </c>
      <c r="E12819">
        <v>424033</v>
      </c>
      <c r="F12819" t="s">
        <v>1</v>
      </c>
      <c r="G12819" t="s">
        <v>2</v>
      </c>
      <c r="H12819" t="s">
        <v>1782</v>
      </c>
      <c r="Y12819" t="s">
        <v>24609</v>
      </c>
    </row>
    <row r="12820" spans="1:25" x14ac:dyDescent="0.25">
      <c r="A12820" t="str">
        <f>"197203714717"</f>
        <v>197203714717</v>
      </c>
      <c r="B12820" t="s">
        <v>574</v>
      </c>
      <c r="C12820" t="s">
        <v>14652</v>
      </c>
      <c r="D12820" t="s">
        <v>45740</v>
      </c>
      <c r="E12820">
        <v>424037</v>
      </c>
      <c r="F12820" t="s">
        <v>1</v>
      </c>
      <c r="G12820" t="s">
        <v>2</v>
      </c>
      <c r="H12820" t="s">
        <v>29602</v>
      </c>
      <c r="Y12820" t="s">
        <v>45741</v>
      </c>
    </row>
    <row r="12821" spans="1:25" x14ac:dyDescent="0.25">
      <c r="A12821" t="str">
        <f>"197218877837"</f>
        <v>197218877837</v>
      </c>
      <c r="B12821" t="s">
        <v>12698</v>
      </c>
      <c r="C12821" t="s">
        <v>29132</v>
      </c>
      <c r="D12821" t="s">
        <v>29131</v>
      </c>
      <c r="F12821" t="s">
        <v>1</v>
      </c>
      <c r="G12821" t="s">
        <v>2</v>
      </c>
      <c r="H12821" t="s">
        <v>39653</v>
      </c>
      <c r="Y12821" t="s">
        <v>45742</v>
      </c>
    </row>
    <row r="12822" spans="1:25" x14ac:dyDescent="0.25">
      <c r="A12822" t="str">
        <f>"197227750049"</f>
        <v>197227750049</v>
      </c>
      <c r="B12822" t="s">
        <v>96</v>
      </c>
      <c r="C12822" t="s">
        <v>2285</v>
      </c>
      <c r="D12822" t="s">
        <v>45743</v>
      </c>
      <c r="E12822">
        <v>424918</v>
      </c>
      <c r="F12822" t="s">
        <v>1</v>
      </c>
      <c r="G12822" t="s">
        <v>2</v>
      </c>
      <c r="H12822" t="s">
        <v>629</v>
      </c>
      <c r="P12822" t="s">
        <v>630</v>
      </c>
      <c r="Y12822" t="s">
        <v>45744</v>
      </c>
    </row>
    <row r="12823" spans="1:25" x14ac:dyDescent="0.25">
      <c r="A12823" t="str">
        <f>"197259050202"</f>
        <v>197259050202</v>
      </c>
      <c r="B12823" t="s">
        <v>574</v>
      </c>
      <c r="C12823" t="s">
        <v>952</v>
      </c>
      <c r="D12823" t="s">
        <v>28212</v>
      </c>
      <c r="E12823">
        <v>424000</v>
      </c>
      <c r="F12823" t="s">
        <v>1</v>
      </c>
      <c r="G12823" t="s">
        <v>2</v>
      </c>
      <c r="H12823" t="s">
        <v>3454</v>
      </c>
      <c r="Y12823" t="s">
        <v>1634</v>
      </c>
    </row>
    <row r="12824" spans="1:25" x14ac:dyDescent="0.25">
      <c r="A12824" t="str">
        <f>"197318062049"</f>
        <v>197318062049</v>
      </c>
      <c r="B12824" t="s">
        <v>553</v>
      </c>
      <c r="C12824" t="s">
        <v>554</v>
      </c>
      <c r="D12824" t="s">
        <v>26811</v>
      </c>
      <c r="E12824">
        <v>424006</v>
      </c>
      <c r="F12824" t="s">
        <v>1</v>
      </c>
      <c r="G12824" t="s">
        <v>2</v>
      </c>
      <c r="H12824" t="s">
        <v>2012</v>
      </c>
      <c r="J12824" t="s">
        <v>45745</v>
      </c>
      <c r="P12824" t="s">
        <v>216</v>
      </c>
      <c r="Y12824" t="s">
        <v>2016</v>
      </c>
    </row>
    <row r="12825" spans="1:25" x14ac:dyDescent="0.25">
      <c r="A12825" t="str">
        <f>"197334937215"</f>
        <v>197334937215</v>
      </c>
      <c r="B12825" t="s">
        <v>687</v>
      </c>
      <c r="C12825" t="s">
        <v>7478</v>
      </c>
      <c r="D12825" t="s">
        <v>45746</v>
      </c>
      <c r="E12825">
        <v>424004</v>
      </c>
      <c r="F12825" t="s">
        <v>1</v>
      </c>
      <c r="G12825" t="s">
        <v>2</v>
      </c>
      <c r="H12825" t="s">
        <v>45502</v>
      </c>
      <c r="Y12825" t="s">
        <v>45747</v>
      </c>
    </row>
    <row r="12826" spans="1:25" x14ac:dyDescent="0.25">
      <c r="A12826" t="str">
        <f>"197348437236"</f>
        <v>197348437236</v>
      </c>
      <c r="B12826" t="s">
        <v>530</v>
      </c>
      <c r="C12826" t="s">
        <v>23950</v>
      </c>
      <c r="D12826" t="s">
        <v>23950</v>
      </c>
      <c r="F12826" t="s">
        <v>1</v>
      </c>
      <c r="G12826" t="s">
        <v>2</v>
      </c>
      <c r="H12826" t="s">
        <v>7547</v>
      </c>
      <c r="Y12826" t="s">
        <v>45748</v>
      </c>
    </row>
    <row r="12827" spans="1:25" x14ac:dyDescent="0.25">
      <c r="A12827" t="str">
        <f>"197423159847"</f>
        <v>197423159847</v>
      </c>
      <c r="B12827" t="s">
        <v>687</v>
      </c>
      <c r="C12827" t="s">
        <v>42735</v>
      </c>
      <c r="D12827" t="s">
        <v>45749</v>
      </c>
      <c r="E12827">
        <v>424038</v>
      </c>
      <c r="F12827" t="s">
        <v>1</v>
      </c>
      <c r="G12827" t="s">
        <v>2</v>
      </c>
      <c r="H12827" t="s">
        <v>10766</v>
      </c>
      <c r="Y12827" t="s">
        <v>45750</v>
      </c>
    </row>
    <row r="12828" spans="1:25" x14ac:dyDescent="0.25">
      <c r="A12828" t="str">
        <f>"197480351136"</f>
        <v>197480351136</v>
      </c>
      <c r="B12828" t="s">
        <v>1182</v>
      </c>
      <c r="C12828" t="s">
        <v>33074</v>
      </c>
      <c r="D12828" t="s">
        <v>45751</v>
      </c>
      <c r="E12828">
        <v>424004</v>
      </c>
      <c r="F12828" t="s">
        <v>1</v>
      </c>
      <c r="G12828" t="s">
        <v>2</v>
      </c>
      <c r="H12828" t="s">
        <v>351</v>
      </c>
      <c r="Y12828" t="s">
        <v>45752</v>
      </c>
    </row>
    <row r="12829" spans="1:25" x14ac:dyDescent="0.25">
      <c r="A12829" t="str">
        <f>"197497747579"</f>
        <v>197497747579</v>
      </c>
      <c r="B12829" t="s">
        <v>334</v>
      </c>
      <c r="C12829" t="s">
        <v>334</v>
      </c>
      <c r="D12829" t="s">
        <v>25231</v>
      </c>
      <c r="E12829">
        <v>424038</v>
      </c>
      <c r="F12829" t="s">
        <v>1</v>
      </c>
      <c r="G12829" t="s">
        <v>2</v>
      </c>
      <c r="H12829" t="s">
        <v>1366</v>
      </c>
      <c r="I12829" t="s">
        <v>45753</v>
      </c>
      <c r="P12829" t="s">
        <v>45754</v>
      </c>
      <c r="Y12829" t="s">
        <v>7381</v>
      </c>
    </row>
    <row r="12830" spans="1:25" x14ac:dyDescent="0.25">
      <c r="A12830" t="str">
        <f>"197515824909"</f>
        <v>197515824909</v>
      </c>
      <c r="B12830" t="s">
        <v>1078</v>
      </c>
      <c r="C12830" t="s">
        <v>25481</v>
      </c>
      <c r="D12830" t="s">
        <v>7229</v>
      </c>
      <c r="E12830">
        <v>424004</v>
      </c>
      <c r="F12830" t="s">
        <v>1</v>
      </c>
      <c r="G12830" t="s">
        <v>2</v>
      </c>
      <c r="H12830" t="s">
        <v>3266</v>
      </c>
      <c r="Y12830" t="s">
        <v>45755</v>
      </c>
    </row>
    <row r="12831" spans="1:25" x14ac:dyDescent="0.25">
      <c r="A12831" t="str">
        <f>"197568595481"</f>
        <v>197568595481</v>
      </c>
      <c r="B12831" t="s">
        <v>1061</v>
      </c>
      <c r="C12831" t="s">
        <v>26953</v>
      </c>
      <c r="D12831" t="s">
        <v>45756</v>
      </c>
      <c r="F12831" t="s">
        <v>1</v>
      </c>
      <c r="G12831" t="s">
        <v>2</v>
      </c>
      <c r="H12831" t="s">
        <v>28444</v>
      </c>
      <c r="Y12831" t="s">
        <v>45757</v>
      </c>
    </row>
    <row r="12832" spans="1:25" x14ac:dyDescent="0.25">
      <c r="A12832" t="str">
        <f>"197576658415"</f>
        <v>197576658415</v>
      </c>
      <c r="B12832" t="s">
        <v>574</v>
      </c>
      <c r="C12832" t="s">
        <v>9802</v>
      </c>
      <c r="D12832" t="s">
        <v>45758</v>
      </c>
      <c r="E12832">
        <v>424003</v>
      </c>
      <c r="F12832" t="s">
        <v>1</v>
      </c>
      <c r="G12832" t="s">
        <v>2</v>
      </c>
      <c r="H12832" t="s">
        <v>645</v>
      </c>
      <c r="P12832" t="s">
        <v>1027</v>
      </c>
      <c r="Y12832" t="s">
        <v>31015</v>
      </c>
    </row>
    <row r="12833" spans="1:25" x14ac:dyDescent="0.25">
      <c r="A12833" t="str">
        <f>"197594300519"</f>
        <v>197594300519</v>
      </c>
      <c r="B12833" t="s">
        <v>1343</v>
      </c>
      <c r="C12833" t="s">
        <v>13544</v>
      </c>
      <c r="D12833" t="s">
        <v>45759</v>
      </c>
      <c r="E12833">
        <v>424007</v>
      </c>
      <c r="F12833" t="s">
        <v>1</v>
      </c>
      <c r="G12833" t="s">
        <v>2</v>
      </c>
      <c r="H12833" t="s">
        <v>434</v>
      </c>
      <c r="Y12833" t="s">
        <v>438</v>
      </c>
    </row>
    <row r="12834" spans="1:25" x14ac:dyDescent="0.25">
      <c r="A12834" t="str">
        <f>"197615510412"</f>
        <v>197615510412</v>
      </c>
      <c r="B12834" t="s">
        <v>930</v>
      </c>
      <c r="C12834" t="s">
        <v>11882</v>
      </c>
      <c r="D12834" t="s">
        <v>39867</v>
      </c>
      <c r="E12834">
        <v>424028</v>
      </c>
      <c r="F12834" t="s">
        <v>1</v>
      </c>
      <c r="G12834" t="s">
        <v>2</v>
      </c>
      <c r="H12834" t="s">
        <v>1260</v>
      </c>
      <c r="J12834" t="s">
        <v>39868</v>
      </c>
      <c r="P12834" t="s">
        <v>799</v>
      </c>
      <c r="Y12834" t="s">
        <v>1264</v>
      </c>
    </row>
    <row r="12835" spans="1:25" x14ac:dyDescent="0.25">
      <c r="A12835" t="str">
        <f>"197615560016"</f>
        <v>197615560016</v>
      </c>
      <c r="B12835" t="s">
        <v>110</v>
      </c>
      <c r="C12835" t="s">
        <v>45761</v>
      </c>
      <c r="D12835" t="s">
        <v>45760</v>
      </c>
      <c r="E12835">
        <v>424000</v>
      </c>
      <c r="F12835" t="s">
        <v>1</v>
      </c>
      <c r="G12835" t="s">
        <v>2</v>
      </c>
      <c r="H12835" t="s">
        <v>24175</v>
      </c>
      <c r="I12835" t="s">
        <v>36296</v>
      </c>
      <c r="Q12835" t="s">
        <v>45762</v>
      </c>
      <c r="Y12835" t="s">
        <v>30890</v>
      </c>
    </row>
    <row r="12836" spans="1:25" x14ac:dyDescent="0.25">
      <c r="A12836" t="str">
        <f>"197655864739"</f>
        <v>197655864739</v>
      </c>
      <c r="B12836" t="s">
        <v>7312</v>
      </c>
      <c r="C12836" t="s">
        <v>9849</v>
      </c>
      <c r="D12836" t="s">
        <v>45763</v>
      </c>
      <c r="E12836">
        <v>424008</v>
      </c>
      <c r="F12836" t="s">
        <v>1</v>
      </c>
      <c r="G12836" t="s">
        <v>2</v>
      </c>
      <c r="H12836" t="s">
        <v>1383</v>
      </c>
      <c r="I12836" t="s">
        <v>45764</v>
      </c>
      <c r="J12836" t="s">
        <v>45765</v>
      </c>
      <c r="Q12836" t="s">
        <v>45766</v>
      </c>
      <c r="Y12836" t="s">
        <v>1387</v>
      </c>
    </row>
    <row r="12837" spans="1:25" x14ac:dyDescent="0.25">
      <c r="A12837" t="str">
        <f>"197665315244"</f>
        <v>197665315244</v>
      </c>
      <c r="B12837" t="s">
        <v>2846</v>
      </c>
      <c r="C12837" t="s">
        <v>45771</v>
      </c>
      <c r="D12837" t="s">
        <v>45767</v>
      </c>
      <c r="E12837">
        <v>424019</v>
      </c>
      <c r="F12837" t="s">
        <v>1</v>
      </c>
      <c r="G12837" t="s">
        <v>2</v>
      </c>
      <c r="H12837" t="s">
        <v>19290</v>
      </c>
      <c r="J12837" t="s">
        <v>45768</v>
      </c>
      <c r="L12837" t="s">
        <v>45769</v>
      </c>
      <c r="M12837" t="s">
        <v>45770</v>
      </c>
      <c r="P12837" t="s">
        <v>144</v>
      </c>
      <c r="Y12837" t="s">
        <v>45772</v>
      </c>
    </row>
    <row r="12838" spans="1:25" x14ac:dyDescent="0.25">
      <c r="A12838" t="str">
        <f>"197697890264"</f>
        <v>197697890264</v>
      </c>
      <c r="B12838" t="s">
        <v>18</v>
      </c>
      <c r="C12838" t="s">
        <v>45773</v>
      </c>
      <c r="D12838" t="s">
        <v>22</v>
      </c>
      <c r="F12838" t="s">
        <v>1</v>
      </c>
      <c r="G12838" t="s">
        <v>2</v>
      </c>
      <c r="H12838" t="s">
        <v>26431</v>
      </c>
      <c r="Y12838" t="s">
        <v>45774</v>
      </c>
    </row>
    <row r="12839" spans="1:25" x14ac:dyDescent="0.25">
      <c r="A12839" t="str">
        <f>"197700731754"</f>
        <v>197700731754</v>
      </c>
      <c r="B12839" t="s">
        <v>1758</v>
      </c>
      <c r="C12839" t="s">
        <v>1811</v>
      </c>
      <c r="D12839" t="s">
        <v>45775</v>
      </c>
      <c r="E12839">
        <v>424033</v>
      </c>
      <c r="F12839" t="s">
        <v>1</v>
      </c>
      <c r="G12839" t="s">
        <v>2</v>
      </c>
      <c r="H12839" t="s">
        <v>15428</v>
      </c>
      <c r="I12839" t="s">
        <v>45776</v>
      </c>
      <c r="P12839" t="s">
        <v>2050</v>
      </c>
      <c r="Q12839" t="s">
        <v>45777</v>
      </c>
      <c r="V12839" t="s">
        <v>45778</v>
      </c>
      <c r="Y12839" t="s">
        <v>15430</v>
      </c>
    </row>
    <row r="12840" spans="1:25" x14ac:dyDescent="0.25">
      <c r="A12840" t="str">
        <f>"197718677350"</f>
        <v>197718677350</v>
      </c>
      <c r="B12840" t="s">
        <v>25</v>
      </c>
      <c r="C12840" t="s">
        <v>59</v>
      </c>
      <c r="D12840" t="s">
        <v>45779</v>
      </c>
      <c r="E12840">
        <v>424020</v>
      </c>
      <c r="F12840" t="s">
        <v>1</v>
      </c>
      <c r="G12840" t="s">
        <v>2</v>
      </c>
      <c r="H12840" t="s">
        <v>23</v>
      </c>
      <c r="Y12840" t="s">
        <v>45780</v>
      </c>
    </row>
    <row r="12841" spans="1:25" x14ac:dyDescent="0.25">
      <c r="A12841" t="str">
        <f>"197757065822"</f>
        <v>197757065822</v>
      </c>
      <c r="B12841" t="s">
        <v>978</v>
      </c>
      <c r="C12841" t="s">
        <v>8067</v>
      </c>
      <c r="D12841" t="s">
        <v>45781</v>
      </c>
      <c r="E12841">
        <v>424033</v>
      </c>
      <c r="F12841" t="s">
        <v>1</v>
      </c>
      <c r="G12841" t="s">
        <v>2</v>
      </c>
      <c r="H12841" t="s">
        <v>8113</v>
      </c>
      <c r="I12841" t="s">
        <v>45782</v>
      </c>
      <c r="L12841" t="s">
        <v>45783</v>
      </c>
      <c r="M12841" t="s">
        <v>45784</v>
      </c>
      <c r="Y12841" t="s">
        <v>45785</v>
      </c>
    </row>
    <row r="12842" spans="1:25" x14ac:dyDescent="0.25">
      <c r="A12842" t="str">
        <f>"197763949498"</f>
        <v>197763949498</v>
      </c>
      <c r="B12842" t="s">
        <v>18</v>
      </c>
      <c r="C12842" t="s">
        <v>5160</v>
      </c>
      <c r="D12842" t="s">
        <v>45786</v>
      </c>
      <c r="E12842">
        <v>424006</v>
      </c>
      <c r="F12842" t="s">
        <v>1</v>
      </c>
      <c r="G12842" t="s">
        <v>2</v>
      </c>
      <c r="H12842" t="s">
        <v>9007</v>
      </c>
      <c r="L12842" t="s">
        <v>45787</v>
      </c>
      <c r="M12842" t="s">
        <v>45788</v>
      </c>
      <c r="Q12842" t="s">
        <v>45789</v>
      </c>
      <c r="Y12842" t="s">
        <v>9010</v>
      </c>
    </row>
    <row r="12843" spans="1:25" x14ac:dyDescent="0.25">
      <c r="A12843" t="str">
        <f>"197772331712"</f>
        <v>197772331712</v>
      </c>
      <c r="B12843" t="s">
        <v>96</v>
      </c>
      <c r="C12843" t="s">
        <v>8479</v>
      </c>
      <c r="D12843" t="s">
        <v>45790</v>
      </c>
      <c r="E12843">
        <v>424038</v>
      </c>
      <c r="F12843" t="s">
        <v>1</v>
      </c>
      <c r="G12843" t="s">
        <v>2</v>
      </c>
      <c r="H12843" t="s">
        <v>7597</v>
      </c>
      <c r="J12843" t="s">
        <v>45791</v>
      </c>
      <c r="P12843" t="s">
        <v>1642</v>
      </c>
      <c r="Y12843" t="s">
        <v>21639</v>
      </c>
    </row>
    <row r="12844" spans="1:25" x14ac:dyDescent="0.25">
      <c r="A12844" t="str">
        <f>"197781395439"</f>
        <v>197781395439</v>
      </c>
      <c r="B12844" t="s">
        <v>530</v>
      </c>
      <c r="C12844" t="s">
        <v>23950</v>
      </c>
      <c r="D12844" t="s">
        <v>23950</v>
      </c>
      <c r="E12844">
        <v>424002</v>
      </c>
      <c r="F12844" t="s">
        <v>1</v>
      </c>
      <c r="G12844" t="s">
        <v>2</v>
      </c>
      <c r="H12844" t="s">
        <v>45792</v>
      </c>
      <c r="Y12844" t="s">
        <v>45793</v>
      </c>
    </row>
    <row r="12845" spans="1:25" x14ac:dyDescent="0.25">
      <c r="A12845" t="str">
        <f>"197807453374"</f>
        <v>197807453374</v>
      </c>
      <c r="B12845" t="s">
        <v>530</v>
      </c>
      <c r="C12845" t="s">
        <v>23950</v>
      </c>
      <c r="D12845" t="s">
        <v>23950</v>
      </c>
      <c r="F12845" t="s">
        <v>1</v>
      </c>
      <c r="G12845" t="s">
        <v>2</v>
      </c>
      <c r="H12845" t="s">
        <v>7547</v>
      </c>
      <c r="Y12845" t="s">
        <v>45794</v>
      </c>
    </row>
    <row r="12846" spans="1:25" x14ac:dyDescent="0.25">
      <c r="A12846" t="str">
        <f>"197826140576"</f>
        <v>197826140576</v>
      </c>
      <c r="B12846" t="s">
        <v>574</v>
      </c>
      <c r="C12846" t="s">
        <v>646</v>
      </c>
      <c r="D12846" t="s">
        <v>45795</v>
      </c>
      <c r="E12846">
        <v>424039</v>
      </c>
      <c r="F12846" t="s">
        <v>1</v>
      </c>
      <c r="G12846" t="s">
        <v>2</v>
      </c>
      <c r="H12846" t="s">
        <v>26900</v>
      </c>
      <c r="P12846" t="s">
        <v>1505</v>
      </c>
      <c r="Y12846" t="s">
        <v>45796</v>
      </c>
    </row>
    <row r="12847" spans="1:25" x14ac:dyDescent="0.25">
      <c r="A12847" t="str">
        <f>"197828641339"</f>
        <v>197828641339</v>
      </c>
      <c r="B12847" t="s">
        <v>738</v>
      </c>
      <c r="C12847" t="s">
        <v>35568</v>
      </c>
      <c r="D12847" t="s">
        <v>35566</v>
      </c>
      <c r="E12847">
        <v>424006</v>
      </c>
      <c r="F12847" t="s">
        <v>1</v>
      </c>
      <c r="G12847" t="s">
        <v>2</v>
      </c>
      <c r="H12847" t="s">
        <v>27431</v>
      </c>
      <c r="J12847" t="s">
        <v>32391</v>
      </c>
      <c r="M12847" t="s">
        <v>45797</v>
      </c>
      <c r="P12847" t="s">
        <v>642</v>
      </c>
      <c r="Y12847" t="s">
        <v>27435</v>
      </c>
    </row>
    <row r="12848" spans="1:25" x14ac:dyDescent="0.25">
      <c r="A12848" t="str">
        <f>"197858073918"</f>
        <v>197858073918</v>
      </c>
      <c r="B12848" t="s">
        <v>574</v>
      </c>
      <c r="C12848" t="s">
        <v>24922</v>
      </c>
      <c r="D12848" t="s">
        <v>45798</v>
      </c>
      <c r="E12848">
        <v>424000</v>
      </c>
      <c r="F12848" t="s">
        <v>1</v>
      </c>
      <c r="G12848" t="s">
        <v>2</v>
      </c>
      <c r="H12848" t="s">
        <v>164</v>
      </c>
      <c r="Y12848" t="s">
        <v>45799</v>
      </c>
    </row>
    <row r="12849" spans="1:25" x14ac:dyDescent="0.25">
      <c r="A12849" t="str">
        <f>"197932094096"</f>
        <v>197932094096</v>
      </c>
      <c r="B12849" t="s">
        <v>96</v>
      </c>
      <c r="C12849" t="s">
        <v>45801</v>
      </c>
      <c r="D12849" t="s">
        <v>19532</v>
      </c>
      <c r="E12849">
        <v>424002</v>
      </c>
      <c r="F12849" t="s">
        <v>1</v>
      </c>
      <c r="G12849" t="s">
        <v>2</v>
      </c>
      <c r="H12849" t="s">
        <v>5806</v>
      </c>
      <c r="I12849" t="s">
        <v>45800</v>
      </c>
      <c r="P12849" t="s">
        <v>144</v>
      </c>
      <c r="Q12849" t="s">
        <v>45802</v>
      </c>
      <c r="Y12849" t="s">
        <v>45803</v>
      </c>
    </row>
    <row r="12850" spans="1:25" x14ac:dyDescent="0.25">
      <c r="A12850" t="str">
        <f>"197947486208"</f>
        <v>197947486208</v>
      </c>
      <c r="B12850" t="s">
        <v>39072</v>
      </c>
      <c r="C12850" t="s">
        <v>45806</v>
      </c>
      <c r="D12850" t="s">
        <v>45804</v>
      </c>
      <c r="E12850">
        <v>424031</v>
      </c>
      <c r="F12850" t="s">
        <v>1</v>
      </c>
      <c r="G12850" t="s">
        <v>2</v>
      </c>
      <c r="H12850" t="s">
        <v>1524</v>
      </c>
      <c r="M12850" t="s">
        <v>45805</v>
      </c>
      <c r="P12850" t="s">
        <v>27</v>
      </c>
      <c r="Y12850" t="s">
        <v>5358</v>
      </c>
    </row>
    <row r="12851" spans="1:25" x14ac:dyDescent="0.25">
      <c r="A12851" t="str">
        <f>"197967607628"</f>
        <v>197967607628</v>
      </c>
      <c r="B12851" t="s">
        <v>1352</v>
      </c>
      <c r="C12851" t="s">
        <v>1353</v>
      </c>
      <c r="D12851" t="s">
        <v>45807</v>
      </c>
      <c r="E12851">
        <v>424019</v>
      </c>
      <c r="F12851" t="s">
        <v>1</v>
      </c>
      <c r="G12851" t="s">
        <v>2</v>
      </c>
      <c r="H12851" t="s">
        <v>7785</v>
      </c>
      <c r="J12851" t="s">
        <v>45808</v>
      </c>
      <c r="P12851" t="s">
        <v>98</v>
      </c>
      <c r="Y12851" t="s">
        <v>45809</v>
      </c>
    </row>
    <row r="12852" spans="1:25" x14ac:dyDescent="0.25">
      <c r="A12852" t="str">
        <f>"197972133442"</f>
        <v>197972133442</v>
      </c>
      <c r="B12852" t="s">
        <v>456</v>
      </c>
      <c r="C12852" t="s">
        <v>45814</v>
      </c>
      <c r="D12852" t="s">
        <v>45810</v>
      </c>
      <c r="E12852">
        <v>424019</v>
      </c>
      <c r="F12852" t="s">
        <v>1</v>
      </c>
      <c r="G12852" t="s">
        <v>2</v>
      </c>
      <c r="H12852" t="s">
        <v>20084</v>
      </c>
      <c r="J12852" t="s">
        <v>45811</v>
      </c>
      <c r="L12852" t="s">
        <v>45812</v>
      </c>
      <c r="M12852" t="s">
        <v>45813</v>
      </c>
      <c r="P12852" t="s">
        <v>27</v>
      </c>
      <c r="Q12852" t="s">
        <v>45815</v>
      </c>
      <c r="Y12852" t="s">
        <v>1827</v>
      </c>
    </row>
    <row r="12853" spans="1:25" x14ac:dyDescent="0.25">
      <c r="A12853" t="str">
        <f>"198009727592"</f>
        <v>198009727592</v>
      </c>
      <c r="B12853" t="s">
        <v>96</v>
      </c>
      <c r="C12853" t="s">
        <v>2285</v>
      </c>
      <c r="D12853" t="s">
        <v>45816</v>
      </c>
      <c r="E12853">
        <v>424000</v>
      </c>
      <c r="F12853" t="s">
        <v>1</v>
      </c>
      <c r="G12853" t="s">
        <v>2</v>
      </c>
      <c r="H12853" t="s">
        <v>1473</v>
      </c>
      <c r="P12853" t="s">
        <v>941</v>
      </c>
      <c r="Y12853" t="s">
        <v>45817</v>
      </c>
    </row>
    <row r="12854" spans="1:25" x14ac:dyDescent="0.25">
      <c r="A12854" t="str">
        <f>"198017623647"</f>
        <v>198017623647</v>
      </c>
      <c r="B12854" t="s">
        <v>290</v>
      </c>
      <c r="C12854" t="s">
        <v>45819</v>
      </c>
      <c r="D12854" t="s">
        <v>45818</v>
      </c>
      <c r="E12854">
        <v>424033</v>
      </c>
      <c r="F12854" t="s">
        <v>1</v>
      </c>
      <c r="G12854" t="s">
        <v>2</v>
      </c>
      <c r="H12854" t="s">
        <v>1782</v>
      </c>
      <c r="Y12854" t="s">
        <v>45820</v>
      </c>
    </row>
    <row r="12855" spans="1:25" x14ac:dyDescent="0.25">
      <c r="A12855" t="str">
        <f>"198084916473"</f>
        <v>198084916473</v>
      </c>
      <c r="B12855" t="s">
        <v>574</v>
      </c>
      <c r="C12855" t="s">
        <v>14269</v>
      </c>
      <c r="D12855" t="s">
        <v>31232</v>
      </c>
      <c r="E12855">
        <v>424038</v>
      </c>
      <c r="F12855" t="s">
        <v>1</v>
      </c>
      <c r="G12855" t="s">
        <v>2</v>
      </c>
      <c r="H12855" t="s">
        <v>4399</v>
      </c>
      <c r="P12855" t="s">
        <v>216</v>
      </c>
      <c r="Y12855" t="s">
        <v>45821</v>
      </c>
    </row>
    <row r="12856" spans="1:25" x14ac:dyDescent="0.25">
      <c r="A12856" t="str">
        <f>"198103111368"</f>
        <v>198103111368</v>
      </c>
      <c r="B12856" t="s">
        <v>32</v>
      </c>
      <c r="C12856" t="s">
        <v>40</v>
      </c>
      <c r="D12856" t="s">
        <v>31754</v>
      </c>
      <c r="E12856">
        <v>424004</v>
      </c>
      <c r="F12856" t="s">
        <v>1</v>
      </c>
      <c r="G12856" t="s">
        <v>2</v>
      </c>
      <c r="H12856" t="s">
        <v>42398</v>
      </c>
      <c r="P12856" t="s">
        <v>740</v>
      </c>
      <c r="Y12856" t="s">
        <v>45822</v>
      </c>
    </row>
    <row r="12857" spans="1:25" x14ac:dyDescent="0.25">
      <c r="A12857" t="str">
        <f>"198131504606"</f>
        <v>198131504606</v>
      </c>
      <c r="B12857" t="s">
        <v>1611</v>
      </c>
      <c r="C12857" t="s">
        <v>25647</v>
      </c>
      <c r="D12857" t="s">
        <v>45823</v>
      </c>
      <c r="E12857">
        <v>424000</v>
      </c>
      <c r="F12857" t="s">
        <v>1</v>
      </c>
      <c r="G12857" t="s">
        <v>2</v>
      </c>
      <c r="H12857" t="s">
        <v>16280</v>
      </c>
      <c r="P12857" t="s">
        <v>330</v>
      </c>
      <c r="Y12857" t="s">
        <v>40575</v>
      </c>
    </row>
    <row r="12858" spans="1:25" x14ac:dyDescent="0.25">
      <c r="A12858" t="str">
        <f>"198150215212"</f>
        <v>198150215212</v>
      </c>
      <c r="B12858" t="s">
        <v>1046</v>
      </c>
      <c r="C12858" t="s">
        <v>32452</v>
      </c>
      <c r="D12858" t="s">
        <v>45824</v>
      </c>
      <c r="F12858" t="s">
        <v>1</v>
      </c>
      <c r="G12858" t="s">
        <v>2</v>
      </c>
      <c r="H12858" t="s">
        <v>27403</v>
      </c>
      <c r="Y12858" t="s">
        <v>45825</v>
      </c>
    </row>
    <row r="12859" spans="1:25" x14ac:dyDescent="0.25">
      <c r="A12859" t="str">
        <f>"198162162790"</f>
        <v>198162162790</v>
      </c>
      <c r="B12859" t="s">
        <v>738</v>
      </c>
      <c r="C12859" t="s">
        <v>45826</v>
      </c>
      <c r="D12859" t="s">
        <v>45826</v>
      </c>
      <c r="F12859" t="s">
        <v>1</v>
      </c>
      <c r="G12859" t="s">
        <v>2</v>
      </c>
      <c r="H12859" t="s">
        <v>24399</v>
      </c>
      <c r="Y12859" t="s">
        <v>45827</v>
      </c>
    </row>
    <row r="12860" spans="1:25" x14ac:dyDescent="0.25">
      <c r="A12860" t="str">
        <f>"198173990821"</f>
        <v>198173990821</v>
      </c>
      <c r="B12860" t="s">
        <v>18</v>
      </c>
      <c r="C12860" t="s">
        <v>45829</v>
      </c>
      <c r="D12860" t="s">
        <v>45828</v>
      </c>
      <c r="E12860">
        <v>424002</v>
      </c>
      <c r="F12860" t="s">
        <v>1</v>
      </c>
      <c r="G12860" t="s">
        <v>2</v>
      </c>
      <c r="H12860" t="s">
        <v>6679</v>
      </c>
      <c r="P12860" t="s">
        <v>27</v>
      </c>
      <c r="Y12860" t="s">
        <v>45830</v>
      </c>
    </row>
    <row r="12861" spans="1:25" x14ac:dyDescent="0.25">
      <c r="A12861" t="str">
        <f>"198188292819"</f>
        <v>198188292819</v>
      </c>
      <c r="B12861" t="s">
        <v>703</v>
      </c>
      <c r="C12861" t="s">
        <v>2129</v>
      </c>
      <c r="D12861" t="s">
        <v>45831</v>
      </c>
      <c r="E12861">
        <v>424031</v>
      </c>
      <c r="F12861" t="s">
        <v>1</v>
      </c>
      <c r="G12861" t="s">
        <v>2</v>
      </c>
      <c r="H12861" t="s">
        <v>45832</v>
      </c>
      <c r="J12861" t="s">
        <v>45833</v>
      </c>
      <c r="Y12861" t="s">
        <v>20571</v>
      </c>
    </row>
    <row r="12862" spans="1:25" x14ac:dyDescent="0.25">
      <c r="A12862" t="str">
        <f>"198199592460"</f>
        <v>198199592460</v>
      </c>
      <c r="B12862" t="s">
        <v>96</v>
      </c>
      <c r="C12862" t="s">
        <v>659</v>
      </c>
      <c r="D12862" t="s">
        <v>41801</v>
      </c>
      <c r="E12862">
        <v>424000</v>
      </c>
      <c r="F12862" t="s">
        <v>1</v>
      </c>
      <c r="G12862" t="s">
        <v>2</v>
      </c>
      <c r="H12862" t="s">
        <v>1531</v>
      </c>
      <c r="P12862" t="s">
        <v>941</v>
      </c>
      <c r="Y12862" t="s">
        <v>1707</v>
      </c>
    </row>
    <row r="12863" spans="1:25" x14ac:dyDescent="0.25">
      <c r="A12863" t="str">
        <f>"198278302983"</f>
        <v>198278302983</v>
      </c>
      <c r="B12863" t="s">
        <v>123</v>
      </c>
      <c r="C12863" t="s">
        <v>424</v>
      </c>
      <c r="D12863" t="s">
        <v>45834</v>
      </c>
      <c r="E12863">
        <v>424038</v>
      </c>
      <c r="F12863" t="s">
        <v>1</v>
      </c>
      <c r="G12863" t="s">
        <v>2</v>
      </c>
      <c r="H12863" t="s">
        <v>24788</v>
      </c>
      <c r="I12863" t="s">
        <v>45835</v>
      </c>
      <c r="P12863" t="s">
        <v>425</v>
      </c>
      <c r="Y12863" t="s">
        <v>45836</v>
      </c>
    </row>
    <row r="12864" spans="1:25" x14ac:dyDescent="0.25">
      <c r="A12864" t="str">
        <f>"198309764263"</f>
        <v>198309764263</v>
      </c>
      <c r="B12864" t="s">
        <v>284</v>
      </c>
      <c r="C12864" t="s">
        <v>711</v>
      </c>
      <c r="D12864" t="s">
        <v>23285</v>
      </c>
      <c r="E12864">
        <v>424007</v>
      </c>
      <c r="F12864" t="s">
        <v>1</v>
      </c>
      <c r="G12864" t="s">
        <v>2</v>
      </c>
      <c r="H12864" t="s">
        <v>8148</v>
      </c>
      <c r="L12864" t="s">
        <v>38813</v>
      </c>
      <c r="Y12864" t="s">
        <v>45837</v>
      </c>
    </row>
    <row r="12865" spans="1:25" x14ac:dyDescent="0.25">
      <c r="A12865" t="str">
        <f>"198325936066"</f>
        <v>198325936066</v>
      </c>
      <c r="B12865" t="s">
        <v>2104</v>
      </c>
      <c r="C12865" t="s">
        <v>2105</v>
      </c>
      <c r="D12865" t="s">
        <v>24033</v>
      </c>
      <c r="E12865">
        <v>424006</v>
      </c>
      <c r="F12865" t="s">
        <v>1</v>
      </c>
      <c r="G12865" t="s">
        <v>2</v>
      </c>
      <c r="H12865" t="s">
        <v>10019</v>
      </c>
      <c r="L12865" t="s">
        <v>28709</v>
      </c>
      <c r="P12865" t="s">
        <v>1642</v>
      </c>
      <c r="Q12865" t="s">
        <v>28711</v>
      </c>
      <c r="Y12865" t="s">
        <v>45838</v>
      </c>
    </row>
    <row r="12866" spans="1:25" x14ac:dyDescent="0.25">
      <c r="A12866" t="str">
        <f>"198330652912"</f>
        <v>198330652912</v>
      </c>
      <c r="B12866" t="s">
        <v>96</v>
      </c>
      <c r="C12866" t="s">
        <v>12339</v>
      </c>
      <c r="D12866" t="s">
        <v>24127</v>
      </c>
      <c r="E12866">
        <v>424007</v>
      </c>
      <c r="F12866" t="s">
        <v>1</v>
      </c>
      <c r="G12866" t="s">
        <v>2</v>
      </c>
      <c r="H12866" t="s">
        <v>23983</v>
      </c>
      <c r="Y12866" t="s">
        <v>45839</v>
      </c>
    </row>
    <row r="12867" spans="1:25" x14ac:dyDescent="0.25">
      <c r="A12867" t="str">
        <f>"198333818550"</f>
        <v>198333818550</v>
      </c>
      <c r="B12867" t="s">
        <v>640</v>
      </c>
      <c r="C12867" t="s">
        <v>641</v>
      </c>
      <c r="D12867" t="s">
        <v>45840</v>
      </c>
      <c r="E12867">
        <v>424002</v>
      </c>
      <c r="F12867" t="s">
        <v>1</v>
      </c>
      <c r="G12867" t="s">
        <v>2</v>
      </c>
      <c r="H12867" t="s">
        <v>6656</v>
      </c>
      <c r="Y12867" t="s">
        <v>45841</v>
      </c>
    </row>
    <row r="12868" spans="1:25" x14ac:dyDescent="0.25">
      <c r="A12868" t="str">
        <f>"198355581913"</f>
        <v>198355581913</v>
      </c>
      <c r="B12868" t="s">
        <v>18</v>
      </c>
      <c r="C12868" t="s">
        <v>45845</v>
      </c>
      <c r="D12868" t="s">
        <v>45842</v>
      </c>
      <c r="E12868">
        <v>424020</v>
      </c>
      <c r="F12868" t="s">
        <v>1</v>
      </c>
      <c r="G12868" t="s">
        <v>2</v>
      </c>
      <c r="H12868" t="s">
        <v>1837</v>
      </c>
      <c r="I12868" t="s">
        <v>45843</v>
      </c>
      <c r="J12868" t="s">
        <v>45844</v>
      </c>
      <c r="P12868" t="s">
        <v>45846</v>
      </c>
      <c r="Y12868" t="s">
        <v>1842</v>
      </c>
    </row>
    <row r="12869" spans="1:25" x14ac:dyDescent="0.25">
      <c r="A12869" t="str">
        <f>"198367577519"</f>
        <v>198367577519</v>
      </c>
      <c r="B12869" t="s">
        <v>930</v>
      </c>
      <c r="C12869" t="s">
        <v>1096</v>
      </c>
      <c r="D12869" t="s">
        <v>45847</v>
      </c>
      <c r="E12869">
        <v>424005</v>
      </c>
      <c r="F12869" t="s">
        <v>1</v>
      </c>
      <c r="G12869" t="s">
        <v>2</v>
      </c>
      <c r="H12869" t="s">
        <v>29872</v>
      </c>
      <c r="I12869" t="s">
        <v>45848</v>
      </c>
      <c r="P12869" t="s">
        <v>216</v>
      </c>
      <c r="Q12869" t="s">
        <v>45849</v>
      </c>
      <c r="Y12869" t="s">
        <v>45850</v>
      </c>
    </row>
    <row r="12870" spans="1:25" x14ac:dyDescent="0.25">
      <c r="A12870" t="str">
        <f>"198385152224"</f>
        <v>198385152224</v>
      </c>
      <c r="B12870" t="s">
        <v>640</v>
      </c>
      <c r="C12870" t="s">
        <v>29164</v>
      </c>
      <c r="D12870" t="s">
        <v>45851</v>
      </c>
      <c r="F12870" t="s">
        <v>1</v>
      </c>
      <c r="G12870" t="s">
        <v>2</v>
      </c>
      <c r="H12870" t="s">
        <v>27403</v>
      </c>
      <c r="Y12870" t="s">
        <v>45852</v>
      </c>
    </row>
    <row r="12871" spans="1:25" x14ac:dyDescent="0.25">
      <c r="A12871" t="str">
        <f>"198385551791"</f>
        <v>198385551791</v>
      </c>
      <c r="B12871" t="s">
        <v>3094</v>
      </c>
      <c r="C12871" t="s">
        <v>3095</v>
      </c>
      <c r="D12871" t="s">
        <v>45853</v>
      </c>
      <c r="E12871">
        <v>424005</v>
      </c>
      <c r="F12871" t="s">
        <v>1</v>
      </c>
      <c r="G12871" t="s">
        <v>2</v>
      </c>
      <c r="H12871" t="s">
        <v>35244</v>
      </c>
      <c r="Y12871" t="s">
        <v>45854</v>
      </c>
    </row>
    <row r="12872" spans="1:25" x14ac:dyDescent="0.25">
      <c r="A12872" t="str">
        <f>"198412570519"</f>
        <v>198412570519</v>
      </c>
      <c r="B12872" t="s">
        <v>738</v>
      </c>
      <c r="C12872" t="s">
        <v>3363</v>
      </c>
      <c r="D12872" t="s">
        <v>44919</v>
      </c>
      <c r="E12872">
        <v>424033</v>
      </c>
      <c r="F12872" t="s">
        <v>1</v>
      </c>
      <c r="G12872" t="s">
        <v>2</v>
      </c>
      <c r="H12872" t="s">
        <v>4225</v>
      </c>
      <c r="I12872" t="s">
        <v>45855</v>
      </c>
      <c r="L12872" t="s">
        <v>45856</v>
      </c>
      <c r="M12872" t="s">
        <v>44921</v>
      </c>
      <c r="P12872" t="s">
        <v>44922</v>
      </c>
      <c r="Q12872" t="s">
        <v>45857</v>
      </c>
      <c r="Y12872" t="s">
        <v>45858</v>
      </c>
    </row>
    <row r="12873" spans="1:25" x14ac:dyDescent="0.25">
      <c r="A12873" t="str">
        <f>"198457611554"</f>
        <v>198457611554</v>
      </c>
      <c r="B12873" t="s">
        <v>703</v>
      </c>
      <c r="C12873" t="s">
        <v>37970</v>
      </c>
      <c r="D12873" t="s">
        <v>45859</v>
      </c>
      <c r="E12873">
        <v>424006</v>
      </c>
      <c r="F12873" t="s">
        <v>1</v>
      </c>
      <c r="G12873" t="s">
        <v>2</v>
      </c>
      <c r="H12873" t="s">
        <v>6902</v>
      </c>
      <c r="J12873" t="s">
        <v>45860</v>
      </c>
      <c r="L12873" t="s">
        <v>45861</v>
      </c>
      <c r="M12873" t="s">
        <v>45862</v>
      </c>
      <c r="P12873" t="s">
        <v>330</v>
      </c>
      <c r="Y12873" t="s">
        <v>7256</v>
      </c>
    </row>
    <row r="12874" spans="1:25" x14ac:dyDescent="0.25">
      <c r="A12874" t="str">
        <f>"198492558206"</f>
        <v>198492558206</v>
      </c>
      <c r="B12874" t="s">
        <v>290</v>
      </c>
      <c r="C12874" t="s">
        <v>291</v>
      </c>
      <c r="D12874" t="s">
        <v>45863</v>
      </c>
      <c r="E12874">
        <v>424031</v>
      </c>
      <c r="F12874" t="s">
        <v>1</v>
      </c>
      <c r="G12874" t="s">
        <v>2</v>
      </c>
      <c r="H12874" t="s">
        <v>239</v>
      </c>
      <c r="I12874" t="s">
        <v>45864</v>
      </c>
      <c r="J12874" t="s">
        <v>45865</v>
      </c>
      <c r="P12874" t="s">
        <v>21363</v>
      </c>
      <c r="V12874" t="s">
        <v>45866</v>
      </c>
      <c r="Y12874" t="s">
        <v>45867</v>
      </c>
    </row>
    <row r="12875" spans="1:25" x14ac:dyDescent="0.25">
      <c r="A12875" t="str">
        <f>"198529020683"</f>
        <v>198529020683</v>
      </c>
      <c r="B12875" t="s">
        <v>2104</v>
      </c>
      <c r="C12875" t="s">
        <v>13387</v>
      </c>
      <c r="D12875" t="s">
        <v>45868</v>
      </c>
      <c r="E12875">
        <v>424028</v>
      </c>
      <c r="F12875" t="s">
        <v>1</v>
      </c>
      <c r="G12875" t="s">
        <v>2</v>
      </c>
      <c r="H12875" t="s">
        <v>1969</v>
      </c>
      <c r="Y12875" t="s">
        <v>29585</v>
      </c>
    </row>
    <row r="12876" spans="1:25" x14ac:dyDescent="0.25">
      <c r="A12876" t="str">
        <f>"198543785756"</f>
        <v>198543785756</v>
      </c>
      <c r="B12876" t="s">
        <v>703</v>
      </c>
      <c r="C12876" t="s">
        <v>2129</v>
      </c>
      <c r="D12876" t="s">
        <v>45869</v>
      </c>
      <c r="E12876">
        <v>424038</v>
      </c>
      <c r="F12876" t="s">
        <v>1</v>
      </c>
      <c r="G12876" t="s">
        <v>2</v>
      </c>
      <c r="H12876" t="s">
        <v>45870</v>
      </c>
      <c r="J12876" t="s">
        <v>45871</v>
      </c>
      <c r="P12876" t="s">
        <v>330</v>
      </c>
      <c r="Y12876" t="s">
        <v>45872</v>
      </c>
    </row>
    <row r="12877" spans="1:25" x14ac:dyDescent="0.25">
      <c r="A12877" t="str">
        <f>"198549516756"</f>
        <v>198549516756</v>
      </c>
      <c r="B12877" t="s">
        <v>888</v>
      </c>
      <c r="C12877" t="s">
        <v>7389</v>
      </c>
      <c r="D12877" t="s">
        <v>30379</v>
      </c>
      <c r="E12877">
        <v>424000</v>
      </c>
      <c r="F12877" t="s">
        <v>1</v>
      </c>
      <c r="G12877" t="s">
        <v>2</v>
      </c>
      <c r="H12877" t="s">
        <v>2193</v>
      </c>
      <c r="Y12877" t="s">
        <v>2196</v>
      </c>
    </row>
    <row r="12878" spans="1:25" x14ac:dyDescent="0.25">
      <c r="A12878" t="str">
        <f>"198549838725"</f>
        <v>198549838725</v>
      </c>
      <c r="B12878" t="s">
        <v>530</v>
      </c>
      <c r="C12878" t="s">
        <v>23950</v>
      </c>
      <c r="D12878" t="s">
        <v>23950</v>
      </c>
      <c r="F12878" t="s">
        <v>1</v>
      </c>
      <c r="G12878" t="s">
        <v>2</v>
      </c>
      <c r="H12878" t="s">
        <v>39021</v>
      </c>
      <c r="Y12878" t="s">
        <v>45873</v>
      </c>
    </row>
    <row r="12879" spans="1:25" x14ac:dyDescent="0.25">
      <c r="A12879" t="str">
        <f>"198552234124"</f>
        <v>198552234124</v>
      </c>
      <c r="B12879" t="s">
        <v>188</v>
      </c>
      <c r="C12879" t="s">
        <v>23982</v>
      </c>
      <c r="D12879" t="s">
        <v>23982</v>
      </c>
      <c r="F12879" t="s">
        <v>1</v>
      </c>
      <c r="G12879" t="s">
        <v>2</v>
      </c>
      <c r="H12879" t="s">
        <v>33121</v>
      </c>
      <c r="Y12879" t="s">
        <v>45874</v>
      </c>
    </row>
    <row r="12880" spans="1:25" x14ac:dyDescent="0.25">
      <c r="A12880" t="str">
        <f>"198568406729"</f>
        <v>198568406729</v>
      </c>
      <c r="B12880" t="s">
        <v>738</v>
      </c>
      <c r="C12880" t="s">
        <v>739</v>
      </c>
      <c r="D12880" t="s">
        <v>45875</v>
      </c>
      <c r="E12880">
        <v>424019</v>
      </c>
      <c r="F12880" t="s">
        <v>1</v>
      </c>
      <c r="G12880" t="s">
        <v>2</v>
      </c>
      <c r="H12880" t="s">
        <v>9271</v>
      </c>
      <c r="P12880" t="s">
        <v>1027</v>
      </c>
      <c r="Y12880" t="s">
        <v>45876</v>
      </c>
    </row>
    <row r="12881" spans="1:25" x14ac:dyDescent="0.25">
      <c r="A12881" t="str">
        <f>"198590295494"</f>
        <v>198590295494</v>
      </c>
      <c r="B12881" t="s">
        <v>117</v>
      </c>
      <c r="C12881" t="s">
        <v>118</v>
      </c>
      <c r="D12881" t="s">
        <v>45877</v>
      </c>
      <c r="F12881" t="s">
        <v>1</v>
      </c>
      <c r="G12881" t="s">
        <v>2</v>
      </c>
      <c r="H12881" t="s">
        <v>7547</v>
      </c>
      <c r="Y12881" t="s">
        <v>618</v>
      </c>
    </row>
    <row r="12882" spans="1:25" x14ac:dyDescent="0.25">
      <c r="A12882" t="str">
        <f>"198619812834"</f>
        <v>198619812834</v>
      </c>
      <c r="B12882" t="s">
        <v>18</v>
      </c>
      <c r="C12882" t="s">
        <v>4522</v>
      </c>
      <c r="D12882" t="s">
        <v>45878</v>
      </c>
      <c r="F12882" t="s">
        <v>1</v>
      </c>
      <c r="G12882" t="s">
        <v>2</v>
      </c>
      <c r="H12882" t="s">
        <v>45879</v>
      </c>
      <c r="J12882" t="s">
        <v>45880</v>
      </c>
      <c r="L12882" t="s">
        <v>597</v>
      </c>
      <c r="M12882" t="s">
        <v>45881</v>
      </c>
      <c r="P12882" t="s">
        <v>280</v>
      </c>
      <c r="Y12882" t="s">
        <v>45882</v>
      </c>
    </row>
    <row r="12883" spans="1:25" x14ac:dyDescent="0.25">
      <c r="A12883" t="str">
        <f>"198667565545"</f>
        <v>198667565545</v>
      </c>
      <c r="B12883" t="s">
        <v>1343</v>
      </c>
      <c r="C12883" t="s">
        <v>5308</v>
      </c>
      <c r="D12883" t="s">
        <v>1751</v>
      </c>
      <c r="E12883">
        <v>424038</v>
      </c>
      <c r="F12883" t="s">
        <v>1</v>
      </c>
      <c r="G12883" t="s">
        <v>2</v>
      </c>
      <c r="H12883" t="s">
        <v>1366</v>
      </c>
      <c r="Y12883" t="s">
        <v>45883</v>
      </c>
    </row>
    <row r="12884" spans="1:25" x14ac:dyDescent="0.25">
      <c r="A12884" t="str">
        <f>"198697551806"</f>
        <v>198697551806</v>
      </c>
      <c r="B12884" t="s">
        <v>2846</v>
      </c>
      <c r="C12884" t="s">
        <v>29566</v>
      </c>
      <c r="D12884" t="s">
        <v>45884</v>
      </c>
      <c r="E12884">
        <v>424038</v>
      </c>
      <c r="F12884" t="s">
        <v>1</v>
      </c>
      <c r="G12884" t="s">
        <v>2</v>
      </c>
      <c r="H12884" t="s">
        <v>2614</v>
      </c>
      <c r="Y12884" t="s">
        <v>2617</v>
      </c>
    </row>
    <row r="12885" spans="1:25" x14ac:dyDescent="0.25">
      <c r="A12885" t="str">
        <f>"198699489550"</f>
        <v>198699489550</v>
      </c>
      <c r="B12885" t="s">
        <v>574</v>
      </c>
      <c r="C12885" t="s">
        <v>45887</v>
      </c>
      <c r="D12885" t="s">
        <v>45885</v>
      </c>
      <c r="E12885">
        <v>424002</v>
      </c>
      <c r="F12885" t="s">
        <v>1</v>
      </c>
      <c r="G12885" t="s">
        <v>2</v>
      </c>
      <c r="H12885" t="s">
        <v>3068</v>
      </c>
      <c r="J12885" t="s">
        <v>45886</v>
      </c>
      <c r="P12885" t="s">
        <v>9175</v>
      </c>
      <c r="Y12885" t="s">
        <v>45888</v>
      </c>
    </row>
    <row r="12886" spans="1:25" x14ac:dyDescent="0.25">
      <c r="A12886" t="str">
        <f>"198699520606"</f>
        <v>198699520606</v>
      </c>
      <c r="B12886" t="s">
        <v>25</v>
      </c>
      <c r="C12886" t="s">
        <v>20320</v>
      </c>
      <c r="D12886" t="s">
        <v>45889</v>
      </c>
      <c r="E12886">
        <v>424032</v>
      </c>
      <c r="F12886" t="s">
        <v>1</v>
      </c>
      <c r="G12886" t="s">
        <v>2</v>
      </c>
      <c r="H12886" t="s">
        <v>40997</v>
      </c>
      <c r="Y12886" t="s">
        <v>45890</v>
      </c>
    </row>
    <row r="12887" spans="1:25" x14ac:dyDescent="0.25">
      <c r="A12887" t="str">
        <f>"198773854566"</f>
        <v>198773854566</v>
      </c>
      <c r="B12887" t="s">
        <v>1182</v>
      </c>
      <c r="C12887" t="s">
        <v>1183</v>
      </c>
      <c r="D12887" t="s">
        <v>45891</v>
      </c>
      <c r="E12887">
        <v>424004</v>
      </c>
      <c r="F12887" t="s">
        <v>1</v>
      </c>
      <c r="G12887" t="s">
        <v>2</v>
      </c>
      <c r="H12887" t="s">
        <v>351</v>
      </c>
      <c r="J12887" t="s">
        <v>45892</v>
      </c>
      <c r="P12887" t="s">
        <v>330</v>
      </c>
      <c r="Y12887" t="s">
        <v>354</v>
      </c>
    </row>
    <row r="12888" spans="1:25" x14ac:dyDescent="0.25">
      <c r="A12888" t="str">
        <f>"198777106182"</f>
        <v>198777106182</v>
      </c>
      <c r="B12888" t="s">
        <v>2790</v>
      </c>
      <c r="C12888" t="s">
        <v>39782</v>
      </c>
      <c r="D12888" t="s">
        <v>45893</v>
      </c>
      <c r="E12888">
        <v>424031</v>
      </c>
      <c r="F12888" t="s">
        <v>1</v>
      </c>
      <c r="G12888" t="s">
        <v>2</v>
      </c>
      <c r="H12888" t="s">
        <v>4141</v>
      </c>
      <c r="Y12888" t="s">
        <v>45894</v>
      </c>
    </row>
    <row r="12889" spans="1:25" x14ac:dyDescent="0.25">
      <c r="A12889" t="str">
        <f>"198792694384"</f>
        <v>198792694384</v>
      </c>
      <c r="B12889" t="s">
        <v>530</v>
      </c>
      <c r="C12889" t="s">
        <v>23950</v>
      </c>
      <c r="D12889" t="s">
        <v>23950</v>
      </c>
      <c r="E12889">
        <v>424004</v>
      </c>
      <c r="F12889" t="s">
        <v>1</v>
      </c>
      <c r="G12889" t="s">
        <v>2</v>
      </c>
      <c r="H12889" t="s">
        <v>45895</v>
      </c>
      <c r="Y12889" t="s">
        <v>45896</v>
      </c>
    </row>
    <row r="12890" spans="1:25" x14ac:dyDescent="0.25">
      <c r="A12890" t="str">
        <f>"198827016511"</f>
        <v>198827016511</v>
      </c>
      <c r="B12890" t="s">
        <v>96</v>
      </c>
      <c r="C12890" t="s">
        <v>45898</v>
      </c>
      <c r="D12890" t="s">
        <v>45897</v>
      </c>
      <c r="E12890">
        <v>424006</v>
      </c>
      <c r="F12890" t="s">
        <v>1</v>
      </c>
      <c r="G12890" t="s">
        <v>2</v>
      </c>
      <c r="H12890" t="s">
        <v>6133</v>
      </c>
      <c r="Y12890" t="s">
        <v>45899</v>
      </c>
    </row>
    <row r="12891" spans="1:25" x14ac:dyDescent="0.25">
      <c r="A12891" t="str">
        <f>"198831023219"</f>
        <v>198831023219</v>
      </c>
      <c r="B12891" t="s">
        <v>388</v>
      </c>
      <c r="C12891" t="s">
        <v>7194</v>
      </c>
      <c r="D12891" t="s">
        <v>22665</v>
      </c>
      <c r="E12891">
        <v>424002</v>
      </c>
      <c r="F12891" t="s">
        <v>1</v>
      </c>
      <c r="G12891" t="s">
        <v>2</v>
      </c>
      <c r="H12891" t="s">
        <v>3877</v>
      </c>
      <c r="P12891" t="s">
        <v>27</v>
      </c>
      <c r="Y12891" t="s">
        <v>3881</v>
      </c>
    </row>
    <row r="12892" spans="1:25" x14ac:dyDescent="0.25">
      <c r="A12892" t="str">
        <f>"198832302142"</f>
        <v>198832302142</v>
      </c>
      <c r="B12892" t="s">
        <v>25</v>
      </c>
      <c r="C12892" t="s">
        <v>4458</v>
      </c>
      <c r="D12892" t="s">
        <v>45900</v>
      </c>
      <c r="E12892">
        <v>424004</v>
      </c>
      <c r="F12892" t="s">
        <v>1</v>
      </c>
      <c r="G12892" t="s">
        <v>2</v>
      </c>
      <c r="H12892" t="s">
        <v>351</v>
      </c>
      <c r="J12892" t="s">
        <v>45901</v>
      </c>
      <c r="P12892" t="s">
        <v>45902</v>
      </c>
      <c r="Y12892" t="s">
        <v>354</v>
      </c>
    </row>
    <row r="12893" spans="1:25" x14ac:dyDescent="0.25">
      <c r="A12893" t="str">
        <f>"198885156968"</f>
        <v>198885156968</v>
      </c>
      <c r="B12893" t="s">
        <v>574</v>
      </c>
      <c r="C12893" t="s">
        <v>646</v>
      </c>
      <c r="D12893" t="s">
        <v>14804</v>
      </c>
      <c r="E12893">
        <v>424002</v>
      </c>
      <c r="F12893" t="s">
        <v>1</v>
      </c>
      <c r="G12893" t="s">
        <v>2</v>
      </c>
      <c r="H12893" t="s">
        <v>662</v>
      </c>
      <c r="Y12893" t="s">
        <v>45903</v>
      </c>
    </row>
    <row r="12894" spans="1:25" x14ac:dyDescent="0.25">
      <c r="A12894" t="str">
        <f>"198886397957"</f>
        <v>198886397957</v>
      </c>
      <c r="B12894" t="s">
        <v>1053</v>
      </c>
      <c r="C12894" t="s">
        <v>5528</v>
      </c>
      <c r="D12894" t="s">
        <v>9990</v>
      </c>
      <c r="E12894">
        <v>424004</v>
      </c>
      <c r="F12894" t="s">
        <v>1</v>
      </c>
      <c r="G12894" t="s">
        <v>2</v>
      </c>
      <c r="H12894" t="s">
        <v>2133</v>
      </c>
      <c r="I12894" t="s">
        <v>45904</v>
      </c>
      <c r="P12894" t="s">
        <v>2020</v>
      </c>
      <c r="Y12894" t="s">
        <v>2137</v>
      </c>
    </row>
    <row r="12895" spans="1:25" x14ac:dyDescent="0.25">
      <c r="A12895" t="str">
        <f>"198912078016"</f>
        <v>198912078016</v>
      </c>
      <c r="B12895" t="s">
        <v>530</v>
      </c>
      <c r="C12895" t="s">
        <v>23950</v>
      </c>
      <c r="D12895" t="s">
        <v>23950</v>
      </c>
      <c r="F12895" t="s">
        <v>1</v>
      </c>
      <c r="G12895" t="s">
        <v>2</v>
      </c>
      <c r="H12895" t="s">
        <v>45905</v>
      </c>
      <c r="Y12895" t="s">
        <v>45906</v>
      </c>
    </row>
    <row r="12896" spans="1:25" x14ac:dyDescent="0.25">
      <c r="A12896" t="str">
        <f>"198920039803"</f>
        <v>198920039803</v>
      </c>
      <c r="B12896" t="s">
        <v>1053</v>
      </c>
      <c r="C12896" t="s">
        <v>45912</v>
      </c>
      <c r="D12896" t="s">
        <v>45907</v>
      </c>
      <c r="E12896">
        <v>424019</v>
      </c>
      <c r="F12896" t="s">
        <v>1</v>
      </c>
      <c r="G12896" t="s">
        <v>2</v>
      </c>
      <c r="H12896" t="s">
        <v>1467</v>
      </c>
      <c r="I12896" t="s">
        <v>45908</v>
      </c>
      <c r="J12896" t="s">
        <v>45909</v>
      </c>
      <c r="L12896" t="s">
        <v>45910</v>
      </c>
      <c r="M12896" t="s">
        <v>45911</v>
      </c>
      <c r="P12896" t="s">
        <v>133</v>
      </c>
      <c r="Y12896" t="s">
        <v>1630</v>
      </c>
    </row>
    <row r="12897" spans="1:25" x14ac:dyDescent="0.25">
      <c r="A12897" t="str">
        <f>"198947495021"</f>
        <v>198947495021</v>
      </c>
      <c r="B12897" t="s">
        <v>32</v>
      </c>
      <c r="C12897" t="s">
        <v>40</v>
      </c>
      <c r="D12897" t="s">
        <v>23280</v>
      </c>
      <c r="E12897">
        <v>424002</v>
      </c>
      <c r="F12897" t="s">
        <v>1</v>
      </c>
      <c r="G12897" t="s">
        <v>2</v>
      </c>
      <c r="H12897" t="s">
        <v>8832</v>
      </c>
      <c r="J12897" t="s">
        <v>45913</v>
      </c>
      <c r="M12897" t="s">
        <v>45914</v>
      </c>
      <c r="P12897" t="s">
        <v>18341</v>
      </c>
      <c r="V12897" t="s">
        <v>45915</v>
      </c>
      <c r="Y12897" t="s">
        <v>45916</v>
      </c>
    </row>
    <row r="12898" spans="1:25" x14ac:dyDescent="0.25">
      <c r="A12898" t="str">
        <f>"198956543570"</f>
        <v>198956543570</v>
      </c>
      <c r="B12898" t="s">
        <v>7</v>
      </c>
      <c r="C12898" t="s">
        <v>26967</v>
      </c>
      <c r="D12898" t="s">
        <v>45917</v>
      </c>
      <c r="E12898">
        <v>424004</v>
      </c>
      <c r="F12898" t="s">
        <v>1</v>
      </c>
      <c r="G12898" t="s">
        <v>2</v>
      </c>
      <c r="H12898" t="s">
        <v>2392</v>
      </c>
      <c r="Y12898" t="s">
        <v>45918</v>
      </c>
    </row>
    <row r="12899" spans="1:25" x14ac:dyDescent="0.25">
      <c r="A12899" t="str">
        <f>"198975123733"</f>
        <v>198975123733</v>
      </c>
      <c r="B12899" t="s">
        <v>123</v>
      </c>
      <c r="C12899" t="s">
        <v>18438</v>
      </c>
      <c r="D12899" t="s">
        <v>45919</v>
      </c>
      <c r="E12899">
        <v>424019</v>
      </c>
      <c r="F12899" t="s">
        <v>1</v>
      </c>
      <c r="G12899" t="s">
        <v>2</v>
      </c>
      <c r="H12899" t="s">
        <v>12135</v>
      </c>
      <c r="I12899" t="s">
        <v>45920</v>
      </c>
      <c r="J12899" t="s">
        <v>45921</v>
      </c>
      <c r="P12899" t="s">
        <v>45922</v>
      </c>
      <c r="Y12899" t="s">
        <v>45923</v>
      </c>
    </row>
    <row r="12900" spans="1:25" x14ac:dyDescent="0.25">
      <c r="A12900" t="str">
        <f>"198984435343"</f>
        <v>198984435343</v>
      </c>
      <c r="B12900" t="s">
        <v>1152</v>
      </c>
      <c r="C12900" t="s">
        <v>45926</v>
      </c>
      <c r="D12900" t="s">
        <v>45924</v>
      </c>
      <c r="E12900">
        <v>424030</v>
      </c>
      <c r="F12900" t="s">
        <v>1</v>
      </c>
      <c r="G12900" t="s">
        <v>2</v>
      </c>
      <c r="H12900" t="s">
        <v>2834</v>
      </c>
      <c r="I12900" t="s">
        <v>45925</v>
      </c>
      <c r="P12900" t="s">
        <v>45927</v>
      </c>
      <c r="Q12900" t="s">
        <v>45928</v>
      </c>
      <c r="Y12900" t="s">
        <v>45929</v>
      </c>
    </row>
    <row r="12901" spans="1:25" x14ac:dyDescent="0.25">
      <c r="A12901" t="str">
        <f>"199073336026"</f>
        <v>199073336026</v>
      </c>
      <c r="B12901" t="s">
        <v>1362</v>
      </c>
      <c r="C12901" t="s">
        <v>15548</v>
      </c>
      <c r="D12901" t="s">
        <v>45930</v>
      </c>
      <c r="E12901">
        <v>424006</v>
      </c>
      <c r="F12901" t="s">
        <v>1</v>
      </c>
      <c r="G12901" t="s">
        <v>2</v>
      </c>
      <c r="H12901" t="s">
        <v>6902</v>
      </c>
      <c r="L12901" t="s">
        <v>45931</v>
      </c>
      <c r="M12901" t="s">
        <v>45932</v>
      </c>
      <c r="P12901" t="s">
        <v>45933</v>
      </c>
      <c r="Y12901" t="s">
        <v>45934</v>
      </c>
    </row>
    <row r="12902" spans="1:25" x14ac:dyDescent="0.25">
      <c r="A12902" t="str">
        <f>"199073851967"</f>
        <v>199073851967</v>
      </c>
      <c r="B12902" t="s">
        <v>290</v>
      </c>
      <c r="C12902" t="s">
        <v>290</v>
      </c>
      <c r="D12902" t="s">
        <v>45935</v>
      </c>
      <c r="E12902">
        <v>424038</v>
      </c>
      <c r="F12902" t="s">
        <v>1</v>
      </c>
      <c r="G12902" t="s">
        <v>2</v>
      </c>
      <c r="H12902" t="s">
        <v>2855</v>
      </c>
      <c r="Y12902" t="s">
        <v>45936</v>
      </c>
    </row>
    <row r="12903" spans="1:25" x14ac:dyDescent="0.25">
      <c r="A12903" t="str">
        <f>"199122498559"</f>
        <v>199122498559</v>
      </c>
      <c r="B12903" t="s">
        <v>110</v>
      </c>
      <c r="C12903" t="s">
        <v>45761</v>
      </c>
      <c r="D12903" t="s">
        <v>45760</v>
      </c>
      <c r="E12903">
        <v>424002</v>
      </c>
      <c r="F12903" t="s">
        <v>1</v>
      </c>
      <c r="G12903" t="s">
        <v>2</v>
      </c>
      <c r="H12903" t="s">
        <v>5381</v>
      </c>
      <c r="I12903" t="s">
        <v>36296</v>
      </c>
      <c r="Q12903" t="s">
        <v>45762</v>
      </c>
      <c r="Y12903" t="s">
        <v>45937</v>
      </c>
    </row>
    <row r="12904" spans="1:25" x14ac:dyDescent="0.25">
      <c r="A12904" t="str">
        <f>"199125954614"</f>
        <v>199125954614</v>
      </c>
      <c r="B12904" t="s">
        <v>110</v>
      </c>
      <c r="C12904" t="s">
        <v>111</v>
      </c>
      <c r="D12904" t="s">
        <v>1115</v>
      </c>
      <c r="E12904">
        <v>424031</v>
      </c>
      <c r="F12904" t="s">
        <v>1</v>
      </c>
      <c r="G12904" t="s">
        <v>2</v>
      </c>
      <c r="H12904" t="s">
        <v>21103</v>
      </c>
      <c r="Y12904" t="s">
        <v>45938</v>
      </c>
    </row>
    <row r="12905" spans="1:25" x14ac:dyDescent="0.25">
      <c r="A12905" t="str">
        <f>"199147084711"</f>
        <v>199147084711</v>
      </c>
      <c r="B12905" t="s">
        <v>530</v>
      </c>
      <c r="C12905" t="s">
        <v>23950</v>
      </c>
      <c r="D12905" t="s">
        <v>23950</v>
      </c>
      <c r="E12905">
        <v>424000</v>
      </c>
      <c r="F12905" t="s">
        <v>1</v>
      </c>
      <c r="G12905" t="s">
        <v>2</v>
      </c>
      <c r="H12905" t="s">
        <v>92</v>
      </c>
      <c r="Y12905" t="s">
        <v>45939</v>
      </c>
    </row>
    <row r="12906" spans="1:25" x14ac:dyDescent="0.25">
      <c r="A12906" t="str">
        <f>"199194091255"</f>
        <v>199194091255</v>
      </c>
      <c r="B12906" t="s">
        <v>624</v>
      </c>
      <c r="C12906" t="s">
        <v>45942</v>
      </c>
      <c r="D12906" t="s">
        <v>45940</v>
      </c>
      <c r="E12906">
        <v>424028</v>
      </c>
      <c r="F12906" t="s">
        <v>1</v>
      </c>
      <c r="G12906" t="s">
        <v>2</v>
      </c>
      <c r="H12906" t="s">
        <v>3226</v>
      </c>
      <c r="I12906" t="s">
        <v>3227</v>
      </c>
      <c r="J12906" t="s">
        <v>45941</v>
      </c>
      <c r="P12906" t="s">
        <v>987</v>
      </c>
      <c r="Y12906" t="s">
        <v>15316</v>
      </c>
    </row>
    <row r="12907" spans="1:25" x14ac:dyDescent="0.25">
      <c r="A12907" t="str">
        <f>"199208946702"</f>
        <v>199208946702</v>
      </c>
      <c r="B12907" t="s">
        <v>319</v>
      </c>
      <c r="C12907" t="s">
        <v>320</v>
      </c>
      <c r="D12907" t="s">
        <v>45943</v>
      </c>
      <c r="E12907">
        <v>424037</v>
      </c>
      <c r="F12907" t="s">
        <v>1</v>
      </c>
      <c r="G12907" t="s">
        <v>2</v>
      </c>
      <c r="H12907" t="s">
        <v>1247</v>
      </c>
      <c r="P12907" t="s">
        <v>16418</v>
      </c>
      <c r="Y12907" t="s">
        <v>1872</v>
      </c>
    </row>
    <row r="12908" spans="1:25" x14ac:dyDescent="0.25">
      <c r="A12908" t="str">
        <f>"199210469093"</f>
        <v>199210469093</v>
      </c>
      <c r="B12908" t="s">
        <v>123</v>
      </c>
      <c r="C12908" t="s">
        <v>424</v>
      </c>
      <c r="D12908" t="s">
        <v>5772</v>
      </c>
      <c r="E12908">
        <v>424005</v>
      </c>
      <c r="F12908" t="s">
        <v>1</v>
      </c>
      <c r="G12908" t="s">
        <v>2</v>
      </c>
      <c r="H12908" t="s">
        <v>45944</v>
      </c>
      <c r="I12908" t="s">
        <v>5774</v>
      </c>
      <c r="P12908" t="s">
        <v>4998</v>
      </c>
      <c r="Y12908" t="s">
        <v>45945</v>
      </c>
    </row>
    <row r="12909" spans="1:25" x14ac:dyDescent="0.25">
      <c r="A12909" t="str">
        <f>"199349416701"</f>
        <v>199349416701</v>
      </c>
      <c r="B12909" t="s">
        <v>574</v>
      </c>
      <c r="C12909" t="s">
        <v>22533</v>
      </c>
      <c r="D12909" t="s">
        <v>3057</v>
      </c>
      <c r="E12909">
        <v>424003</v>
      </c>
      <c r="F12909" t="s">
        <v>1</v>
      </c>
      <c r="G12909" t="s">
        <v>2</v>
      </c>
      <c r="H12909" t="s">
        <v>28200</v>
      </c>
      <c r="P12909" t="s">
        <v>216</v>
      </c>
      <c r="Y12909" t="s">
        <v>45946</v>
      </c>
    </row>
    <row r="12910" spans="1:25" x14ac:dyDescent="0.25">
      <c r="A12910" t="str">
        <f>"199424723264"</f>
        <v>199424723264</v>
      </c>
      <c r="B12910" t="s">
        <v>1053</v>
      </c>
      <c r="C12910" t="s">
        <v>9938</v>
      </c>
      <c r="D12910" t="s">
        <v>45947</v>
      </c>
      <c r="E12910">
        <v>424006</v>
      </c>
      <c r="F12910" t="s">
        <v>1</v>
      </c>
      <c r="G12910" t="s">
        <v>2</v>
      </c>
      <c r="H12910" t="s">
        <v>27541</v>
      </c>
      <c r="J12910" t="s">
        <v>45948</v>
      </c>
      <c r="P12910" t="s">
        <v>27</v>
      </c>
      <c r="Y12910" t="s">
        <v>13598</v>
      </c>
    </row>
    <row r="12911" spans="1:25" x14ac:dyDescent="0.25">
      <c r="A12911" t="str">
        <f>"199443521736"</f>
        <v>199443521736</v>
      </c>
      <c r="B12911" t="s">
        <v>790</v>
      </c>
      <c r="C12911" t="s">
        <v>23263</v>
      </c>
      <c r="D12911" t="s">
        <v>45949</v>
      </c>
      <c r="E12911">
        <v>424028</v>
      </c>
      <c r="F12911" t="s">
        <v>1</v>
      </c>
      <c r="G12911" t="s">
        <v>2</v>
      </c>
      <c r="H12911" t="s">
        <v>24503</v>
      </c>
      <c r="P12911" t="s">
        <v>8655</v>
      </c>
      <c r="Y12911" t="s">
        <v>45950</v>
      </c>
    </row>
    <row r="12912" spans="1:25" x14ac:dyDescent="0.25">
      <c r="A12912" t="str">
        <f>"199447006464"</f>
        <v>199447006464</v>
      </c>
      <c r="B12912" t="s">
        <v>1617</v>
      </c>
      <c r="C12912" t="s">
        <v>21001</v>
      </c>
      <c r="D12912" t="s">
        <v>20999</v>
      </c>
      <c r="E12912">
        <v>424033</v>
      </c>
      <c r="F12912" t="s">
        <v>1</v>
      </c>
      <c r="G12912" t="s">
        <v>2</v>
      </c>
      <c r="H12912" t="s">
        <v>3221</v>
      </c>
      <c r="Y12912" t="s">
        <v>45951</v>
      </c>
    </row>
    <row r="12913" spans="1:25" x14ac:dyDescent="0.25">
      <c r="A12913" t="str">
        <f>"199469423010"</f>
        <v>199469423010</v>
      </c>
      <c r="B12913" t="s">
        <v>18</v>
      </c>
      <c r="C12913" t="s">
        <v>45956</v>
      </c>
      <c r="D12913" t="s">
        <v>45952</v>
      </c>
      <c r="E12913">
        <v>424019</v>
      </c>
      <c r="F12913" t="s">
        <v>1</v>
      </c>
      <c r="G12913" t="s">
        <v>2</v>
      </c>
      <c r="H12913" t="s">
        <v>29596</v>
      </c>
      <c r="I12913" t="s">
        <v>45953</v>
      </c>
      <c r="L12913" t="s">
        <v>45954</v>
      </c>
      <c r="M12913" t="s">
        <v>45955</v>
      </c>
      <c r="P12913" t="s">
        <v>2406</v>
      </c>
      <c r="Q12913" t="s">
        <v>45957</v>
      </c>
      <c r="V12913" t="s">
        <v>45958</v>
      </c>
      <c r="Y12913" t="s">
        <v>45959</v>
      </c>
    </row>
    <row r="12914" spans="1:25" x14ac:dyDescent="0.25">
      <c r="A12914" t="str">
        <f>"199480733102"</f>
        <v>199480733102</v>
      </c>
      <c r="B12914" t="s">
        <v>417</v>
      </c>
      <c r="C12914" t="s">
        <v>418</v>
      </c>
      <c r="D12914" t="s">
        <v>21574</v>
      </c>
      <c r="E12914">
        <v>424032</v>
      </c>
      <c r="F12914" t="s">
        <v>1</v>
      </c>
      <c r="G12914" t="s">
        <v>2</v>
      </c>
      <c r="H12914" t="s">
        <v>32613</v>
      </c>
      <c r="I12914" t="s">
        <v>45960</v>
      </c>
      <c r="L12914" t="s">
        <v>45961</v>
      </c>
      <c r="M12914" t="s">
        <v>45962</v>
      </c>
      <c r="P12914" t="s">
        <v>1420</v>
      </c>
      <c r="Y12914" t="s">
        <v>45963</v>
      </c>
    </row>
    <row r="12915" spans="1:25" x14ac:dyDescent="0.25">
      <c r="A12915" t="str">
        <f>"199568795166"</f>
        <v>199568795166</v>
      </c>
      <c r="B12915" t="s">
        <v>1046</v>
      </c>
      <c r="C12915" t="s">
        <v>22946</v>
      </c>
      <c r="D12915" t="s">
        <v>22946</v>
      </c>
      <c r="E12915">
        <v>424030</v>
      </c>
      <c r="F12915" t="s">
        <v>1</v>
      </c>
      <c r="G12915" t="s">
        <v>2</v>
      </c>
      <c r="H12915" t="s">
        <v>45964</v>
      </c>
      <c r="Y12915" t="s">
        <v>45965</v>
      </c>
    </row>
    <row r="12916" spans="1:25" x14ac:dyDescent="0.25">
      <c r="A12916" t="str">
        <f>"199630175944"</f>
        <v>199630175944</v>
      </c>
      <c r="B12916" t="s">
        <v>348</v>
      </c>
      <c r="C12916" t="s">
        <v>5728</v>
      </c>
      <c r="D12916" t="s">
        <v>5728</v>
      </c>
      <c r="E12916">
        <v>424016</v>
      </c>
      <c r="F12916" t="s">
        <v>1</v>
      </c>
      <c r="G12916" t="s">
        <v>2</v>
      </c>
      <c r="H12916" t="s">
        <v>17316</v>
      </c>
      <c r="P12916" t="s">
        <v>27</v>
      </c>
      <c r="Y12916" t="s">
        <v>17319</v>
      </c>
    </row>
    <row r="12917" spans="1:25" x14ac:dyDescent="0.25">
      <c r="A12917" t="str">
        <f>"199681581221"</f>
        <v>199681581221</v>
      </c>
      <c r="B12917" t="s">
        <v>430</v>
      </c>
      <c r="C12917" t="s">
        <v>45966</v>
      </c>
      <c r="D12917" t="s">
        <v>45690</v>
      </c>
      <c r="E12917">
        <v>424033</v>
      </c>
      <c r="F12917" t="s">
        <v>1</v>
      </c>
      <c r="G12917" t="s">
        <v>2</v>
      </c>
      <c r="H12917" t="s">
        <v>4300</v>
      </c>
      <c r="I12917" t="s">
        <v>45692</v>
      </c>
      <c r="P12917" t="s">
        <v>2738</v>
      </c>
      <c r="Q12917" t="s">
        <v>45694</v>
      </c>
      <c r="Y12917" t="s">
        <v>5872</v>
      </c>
    </row>
    <row r="12918" spans="1:25" x14ac:dyDescent="0.25">
      <c r="A12918" t="str">
        <f>"199708621477"</f>
        <v>199708621477</v>
      </c>
      <c r="B12918" t="s">
        <v>574</v>
      </c>
      <c r="C12918" t="s">
        <v>22533</v>
      </c>
      <c r="D12918" t="s">
        <v>3057</v>
      </c>
      <c r="E12918">
        <v>424036</v>
      </c>
      <c r="F12918" t="s">
        <v>1</v>
      </c>
      <c r="G12918" t="s">
        <v>2</v>
      </c>
      <c r="H12918" t="s">
        <v>7305</v>
      </c>
      <c r="P12918" t="s">
        <v>216</v>
      </c>
      <c r="Y12918" t="s">
        <v>45967</v>
      </c>
    </row>
    <row r="12919" spans="1:25" x14ac:dyDescent="0.25">
      <c r="A12919" t="str">
        <f>"199735824475"</f>
        <v>199735824475</v>
      </c>
      <c r="B12919" t="s">
        <v>930</v>
      </c>
      <c r="C12919" t="s">
        <v>1096</v>
      </c>
      <c r="D12919" t="s">
        <v>1094</v>
      </c>
      <c r="E12919">
        <v>424007</v>
      </c>
      <c r="F12919" t="s">
        <v>1</v>
      </c>
      <c r="G12919" t="s">
        <v>2</v>
      </c>
      <c r="H12919" t="s">
        <v>2609</v>
      </c>
      <c r="I12919" t="s">
        <v>45968</v>
      </c>
      <c r="J12919" t="s">
        <v>45969</v>
      </c>
      <c r="P12919" t="s">
        <v>27</v>
      </c>
      <c r="Y12919" t="s">
        <v>5834</v>
      </c>
    </row>
    <row r="12920" spans="1:25" x14ac:dyDescent="0.25">
      <c r="A12920" t="str">
        <f>"199774065468"</f>
        <v>199774065468</v>
      </c>
      <c r="B12920" t="s">
        <v>25</v>
      </c>
      <c r="C12920" t="s">
        <v>20320</v>
      </c>
      <c r="D12920" t="s">
        <v>45970</v>
      </c>
      <c r="E12920">
        <v>424033</v>
      </c>
      <c r="F12920" t="s">
        <v>1</v>
      </c>
      <c r="G12920" t="s">
        <v>2</v>
      </c>
      <c r="H12920" t="s">
        <v>10720</v>
      </c>
      <c r="Y12920" t="s">
        <v>45971</v>
      </c>
    </row>
    <row r="12921" spans="1:25" x14ac:dyDescent="0.25">
      <c r="A12921" t="str">
        <f>"199806300574"</f>
        <v>199806300574</v>
      </c>
      <c r="B12921" t="s">
        <v>1152</v>
      </c>
      <c r="C12921" t="s">
        <v>1385</v>
      </c>
      <c r="D12921" t="s">
        <v>1385</v>
      </c>
      <c r="E12921">
        <v>424037</v>
      </c>
      <c r="F12921" t="s">
        <v>1</v>
      </c>
      <c r="G12921" t="s">
        <v>2</v>
      </c>
      <c r="H12921" t="s">
        <v>30</v>
      </c>
      <c r="Y12921" t="s">
        <v>45972</v>
      </c>
    </row>
    <row r="12922" spans="1:25" x14ac:dyDescent="0.25">
      <c r="A12922" t="str">
        <f>"199811755279"</f>
        <v>199811755279</v>
      </c>
      <c r="B12922" t="s">
        <v>18</v>
      </c>
      <c r="C12922" t="s">
        <v>143</v>
      </c>
      <c r="D12922" t="s">
        <v>10334</v>
      </c>
      <c r="E12922">
        <v>424032</v>
      </c>
      <c r="F12922" t="s">
        <v>1</v>
      </c>
      <c r="G12922" t="s">
        <v>2</v>
      </c>
      <c r="H12922" t="s">
        <v>5699</v>
      </c>
      <c r="J12922" t="s">
        <v>10335</v>
      </c>
      <c r="P12922" t="s">
        <v>2050</v>
      </c>
      <c r="Y12922" t="s">
        <v>5709</v>
      </c>
    </row>
    <row r="12923" spans="1:25" x14ac:dyDescent="0.25">
      <c r="A12923" t="str">
        <f>"199822265164"</f>
        <v>199822265164</v>
      </c>
      <c r="B12923" t="s">
        <v>687</v>
      </c>
      <c r="C12923" t="s">
        <v>45977</v>
      </c>
      <c r="D12923" t="s">
        <v>45973</v>
      </c>
      <c r="E12923">
        <v>424006</v>
      </c>
      <c r="F12923" t="s">
        <v>1</v>
      </c>
      <c r="G12923" t="s">
        <v>2</v>
      </c>
      <c r="H12923" t="s">
        <v>478</v>
      </c>
      <c r="I12923" t="s">
        <v>45974</v>
      </c>
      <c r="L12923" t="s">
        <v>45975</v>
      </c>
      <c r="M12923" t="s">
        <v>45976</v>
      </c>
      <c r="P12923" t="s">
        <v>1855</v>
      </c>
      <c r="Y12923" t="s">
        <v>926</v>
      </c>
    </row>
    <row r="12924" spans="1:25" x14ac:dyDescent="0.25">
      <c r="A12924" t="str">
        <f>"199877688834"</f>
        <v>199877688834</v>
      </c>
      <c r="B12924" t="s">
        <v>574</v>
      </c>
      <c r="C12924" t="s">
        <v>22533</v>
      </c>
      <c r="D12924" t="s">
        <v>45978</v>
      </c>
      <c r="E12924">
        <v>424007</v>
      </c>
      <c r="F12924" t="s">
        <v>1</v>
      </c>
      <c r="G12924" t="s">
        <v>2</v>
      </c>
      <c r="H12924" t="s">
        <v>30559</v>
      </c>
      <c r="P12924" t="s">
        <v>216</v>
      </c>
      <c r="Y12924" t="s">
        <v>40475</v>
      </c>
    </row>
    <row r="12925" spans="1:25" x14ac:dyDescent="0.25">
      <c r="A12925" t="str">
        <f>"199883470087"</f>
        <v>199883470087</v>
      </c>
      <c r="B12925" t="s">
        <v>371</v>
      </c>
      <c r="C12925" t="s">
        <v>372</v>
      </c>
      <c r="D12925" t="s">
        <v>45979</v>
      </c>
      <c r="E12925">
        <v>424033</v>
      </c>
      <c r="F12925" t="s">
        <v>1</v>
      </c>
      <c r="G12925" t="s">
        <v>2</v>
      </c>
      <c r="H12925" t="s">
        <v>13837</v>
      </c>
      <c r="L12925" t="s">
        <v>45980</v>
      </c>
      <c r="Y12925" t="s">
        <v>45981</v>
      </c>
    </row>
    <row r="12926" spans="1:25" x14ac:dyDescent="0.25">
      <c r="A12926" t="str">
        <f>"199921754704"</f>
        <v>199921754704</v>
      </c>
      <c r="B12926" t="s">
        <v>243</v>
      </c>
      <c r="C12926" t="s">
        <v>244</v>
      </c>
      <c r="D12926" t="s">
        <v>39608</v>
      </c>
      <c r="E12926">
        <v>424000</v>
      </c>
      <c r="F12926" t="s">
        <v>1</v>
      </c>
      <c r="G12926" t="s">
        <v>2</v>
      </c>
      <c r="H12926" t="s">
        <v>265</v>
      </c>
      <c r="I12926" t="s">
        <v>45982</v>
      </c>
      <c r="P12926" t="s">
        <v>9</v>
      </c>
      <c r="Y12926" t="s">
        <v>45983</v>
      </c>
    </row>
    <row r="12927" spans="1:25" x14ac:dyDescent="0.25">
      <c r="A12927" t="str">
        <f>"199946580179"</f>
        <v>199946580179</v>
      </c>
      <c r="B12927" t="s">
        <v>1475</v>
      </c>
      <c r="C12927" t="s">
        <v>45988</v>
      </c>
      <c r="D12927" t="s">
        <v>45984</v>
      </c>
      <c r="E12927">
        <v>424000</v>
      </c>
      <c r="F12927" t="s">
        <v>1</v>
      </c>
      <c r="G12927" t="s">
        <v>2</v>
      </c>
      <c r="H12927" t="s">
        <v>265</v>
      </c>
      <c r="I12927" t="s">
        <v>45985</v>
      </c>
      <c r="L12927" t="s">
        <v>45986</v>
      </c>
      <c r="M12927" t="s">
        <v>45987</v>
      </c>
      <c r="P12927" t="s">
        <v>133</v>
      </c>
      <c r="Q12927" t="s">
        <v>36860</v>
      </c>
      <c r="V12927" t="s">
        <v>45989</v>
      </c>
      <c r="Y12927" t="s">
        <v>45990</v>
      </c>
    </row>
    <row r="12928" spans="1:25" x14ac:dyDescent="0.25">
      <c r="A12928" t="str">
        <f>"199955971360"</f>
        <v>199955971360</v>
      </c>
      <c r="B12928" t="s">
        <v>790</v>
      </c>
      <c r="C12928" t="s">
        <v>45992</v>
      </c>
      <c r="D12928" t="s">
        <v>45991</v>
      </c>
      <c r="E12928">
        <v>424020</v>
      </c>
      <c r="F12928" t="s">
        <v>1</v>
      </c>
      <c r="G12928" t="s">
        <v>2</v>
      </c>
      <c r="H12928" t="s">
        <v>1837</v>
      </c>
      <c r="J12928" t="s">
        <v>32546</v>
      </c>
      <c r="Y12928" t="s">
        <v>1842</v>
      </c>
    </row>
    <row r="12929" spans="1:25" x14ac:dyDescent="0.25">
      <c r="A12929" t="str">
        <f>"199966137344"</f>
        <v>199966137344</v>
      </c>
      <c r="B12929" t="s">
        <v>25</v>
      </c>
      <c r="C12929" t="s">
        <v>45997</v>
      </c>
      <c r="D12929" t="s">
        <v>45993</v>
      </c>
      <c r="E12929">
        <v>424007</v>
      </c>
      <c r="F12929" t="s">
        <v>1</v>
      </c>
      <c r="G12929" t="s">
        <v>2</v>
      </c>
      <c r="H12929" t="s">
        <v>5647</v>
      </c>
      <c r="I12929" t="s">
        <v>45994</v>
      </c>
      <c r="J12929" t="s">
        <v>45995</v>
      </c>
      <c r="M12929" t="s">
        <v>45996</v>
      </c>
      <c r="P12929" t="s">
        <v>11415</v>
      </c>
      <c r="Q12929" t="s">
        <v>45998</v>
      </c>
      <c r="V12929" t="s">
        <v>45999</v>
      </c>
      <c r="Y12929" t="s">
        <v>46000</v>
      </c>
    </row>
    <row r="12930" spans="1:25" x14ac:dyDescent="0.25">
      <c r="A12930" t="str">
        <f>"200010433718"</f>
        <v>200010433718</v>
      </c>
      <c r="B12930" t="s">
        <v>1573</v>
      </c>
      <c r="C12930" t="s">
        <v>46001</v>
      </c>
      <c r="D12930" t="s">
        <v>42405</v>
      </c>
      <c r="E12930">
        <v>424037</v>
      </c>
      <c r="F12930" t="s">
        <v>1</v>
      </c>
      <c r="G12930" t="s">
        <v>2</v>
      </c>
      <c r="H12930" t="s">
        <v>20142</v>
      </c>
      <c r="P12930" t="s">
        <v>748</v>
      </c>
      <c r="Y12930" t="s">
        <v>46002</v>
      </c>
    </row>
    <row r="12931" spans="1:25" x14ac:dyDescent="0.25">
      <c r="A12931" t="str">
        <f>"200021356644"</f>
        <v>200021356644</v>
      </c>
      <c r="B12931" t="s">
        <v>574</v>
      </c>
      <c r="C12931" t="s">
        <v>952</v>
      </c>
      <c r="D12931" t="s">
        <v>3388</v>
      </c>
      <c r="E12931">
        <v>424006</v>
      </c>
      <c r="F12931" t="s">
        <v>1</v>
      </c>
      <c r="G12931" t="s">
        <v>2</v>
      </c>
      <c r="H12931" t="s">
        <v>692</v>
      </c>
      <c r="P12931" t="s">
        <v>9840</v>
      </c>
      <c r="Y12931" t="s">
        <v>46003</v>
      </c>
    </row>
    <row r="12932" spans="1:25" x14ac:dyDescent="0.25">
      <c r="A12932" t="str">
        <f>"200030115949"</f>
        <v>200030115949</v>
      </c>
      <c r="B12932" t="s">
        <v>4084</v>
      </c>
      <c r="C12932" t="s">
        <v>7951</v>
      </c>
      <c r="D12932" t="s">
        <v>46004</v>
      </c>
      <c r="E12932">
        <v>424001</v>
      </c>
      <c r="F12932" t="s">
        <v>1</v>
      </c>
      <c r="G12932" t="s">
        <v>2</v>
      </c>
      <c r="H12932" t="s">
        <v>31415</v>
      </c>
      <c r="Y12932" t="s">
        <v>46005</v>
      </c>
    </row>
    <row r="12933" spans="1:25" x14ac:dyDescent="0.25">
      <c r="A12933" t="str">
        <f>"200037277283"</f>
        <v>200037277283</v>
      </c>
      <c r="B12933" t="s">
        <v>348</v>
      </c>
      <c r="C12933" t="s">
        <v>6978</v>
      </c>
      <c r="D12933" t="s">
        <v>46006</v>
      </c>
      <c r="E12933">
        <v>424006</v>
      </c>
      <c r="F12933" t="s">
        <v>1</v>
      </c>
      <c r="G12933" t="s">
        <v>2</v>
      </c>
      <c r="H12933" t="s">
        <v>1923</v>
      </c>
      <c r="J12933" t="s">
        <v>46007</v>
      </c>
      <c r="M12933" t="s">
        <v>46008</v>
      </c>
      <c r="P12933" t="s">
        <v>4126</v>
      </c>
      <c r="Q12933" t="s">
        <v>46009</v>
      </c>
      <c r="V12933" t="s">
        <v>46010</v>
      </c>
      <c r="Y12933" t="s">
        <v>1928</v>
      </c>
    </row>
    <row r="12934" spans="1:25" x14ac:dyDescent="0.25">
      <c r="A12934" t="str">
        <f>"200065477177"</f>
        <v>200065477177</v>
      </c>
      <c r="B12934" t="s">
        <v>553</v>
      </c>
      <c r="C12934" t="s">
        <v>12001</v>
      </c>
      <c r="D12934" t="s">
        <v>46011</v>
      </c>
      <c r="E12934">
        <v>424032</v>
      </c>
      <c r="F12934" t="s">
        <v>1</v>
      </c>
      <c r="G12934" t="s">
        <v>2</v>
      </c>
      <c r="H12934" t="s">
        <v>5699</v>
      </c>
      <c r="J12934" t="s">
        <v>46012</v>
      </c>
      <c r="L12934" t="s">
        <v>46013</v>
      </c>
      <c r="M12934" t="s">
        <v>46014</v>
      </c>
      <c r="P12934" t="s">
        <v>216</v>
      </c>
      <c r="Q12934" t="s">
        <v>46015</v>
      </c>
      <c r="V12934" t="s">
        <v>46016</v>
      </c>
      <c r="Y12934" t="s">
        <v>5709</v>
      </c>
    </row>
    <row r="12935" spans="1:25" x14ac:dyDescent="0.25">
      <c r="A12935" t="str">
        <f>"200091276565"</f>
        <v>200091276565</v>
      </c>
      <c r="B12935" t="s">
        <v>482</v>
      </c>
      <c r="C12935" t="s">
        <v>31785</v>
      </c>
      <c r="D12935" t="s">
        <v>46017</v>
      </c>
      <c r="E12935">
        <v>424000</v>
      </c>
      <c r="F12935" t="s">
        <v>1</v>
      </c>
      <c r="G12935" t="s">
        <v>2</v>
      </c>
      <c r="H12935" t="s">
        <v>3421</v>
      </c>
      <c r="I12935" t="s">
        <v>46018</v>
      </c>
      <c r="L12935" t="s">
        <v>30188</v>
      </c>
      <c r="P12935" t="s">
        <v>330</v>
      </c>
      <c r="Q12935" t="s">
        <v>46019</v>
      </c>
      <c r="Y12935" t="s">
        <v>46020</v>
      </c>
    </row>
    <row r="12936" spans="1:25" x14ac:dyDescent="0.25">
      <c r="A12936" t="str">
        <f>"200118454023"</f>
        <v>200118454023</v>
      </c>
      <c r="B12936" t="s">
        <v>530</v>
      </c>
      <c r="C12936" t="s">
        <v>23950</v>
      </c>
      <c r="D12936" t="s">
        <v>23950</v>
      </c>
      <c r="F12936" t="s">
        <v>1</v>
      </c>
      <c r="G12936" t="s">
        <v>2</v>
      </c>
      <c r="H12936" t="s">
        <v>35021</v>
      </c>
      <c r="Y12936" t="s">
        <v>46021</v>
      </c>
    </row>
    <row r="12937" spans="1:25" x14ac:dyDescent="0.25">
      <c r="A12937" t="str">
        <f>"200152519401"</f>
        <v>200152519401</v>
      </c>
      <c r="B12937" t="s">
        <v>530</v>
      </c>
      <c r="C12937" t="s">
        <v>23950</v>
      </c>
      <c r="D12937" t="s">
        <v>23950</v>
      </c>
      <c r="F12937" t="s">
        <v>1</v>
      </c>
      <c r="G12937" t="s">
        <v>2</v>
      </c>
      <c r="H12937" t="s">
        <v>2018</v>
      </c>
      <c r="Y12937" t="s">
        <v>46022</v>
      </c>
    </row>
    <row r="12938" spans="1:25" x14ac:dyDescent="0.25">
      <c r="A12938" t="str">
        <f>"200155333205"</f>
        <v>200155333205</v>
      </c>
      <c r="B12938" t="s">
        <v>348</v>
      </c>
      <c r="C12938" t="s">
        <v>33361</v>
      </c>
      <c r="D12938" t="s">
        <v>46023</v>
      </c>
      <c r="F12938" t="s">
        <v>1</v>
      </c>
      <c r="G12938" t="s">
        <v>2</v>
      </c>
      <c r="H12938" t="s">
        <v>138</v>
      </c>
      <c r="I12938" t="s">
        <v>46024</v>
      </c>
      <c r="L12938" t="s">
        <v>46025</v>
      </c>
      <c r="M12938" t="s">
        <v>46026</v>
      </c>
      <c r="P12938" t="s">
        <v>144</v>
      </c>
      <c r="Q12938" t="s">
        <v>46027</v>
      </c>
      <c r="T12938" t="s">
        <v>46028</v>
      </c>
      <c r="V12938" t="s">
        <v>46029</v>
      </c>
      <c r="Y12938" t="s">
        <v>46030</v>
      </c>
    </row>
    <row r="12939" spans="1:25" x14ac:dyDescent="0.25">
      <c r="A12939" t="str">
        <f>"200156058452"</f>
        <v>200156058452</v>
      </c>
      <c r="B12939" t="s">
        <v>530</v>
      </c>
      <c r="C12939" t="s">
        <v>23950</v>
      </c>
      <c r="D12939" t="s">
        <v>23950</v>
      </c>
      <c r="F12939" t="s">
        <v>1</v>
      </c>
      <c r="G12939" t="s">
        <v>2</v>
      </c>
      <c r="H12939" t="s">
        <v>34563</v>
      </c>
      <c r="Y12939" t="s">
        <v>46031</v>
      </c>
    </row>
    <row r="12940" spans="1:25" x14ac:dyDescent="0.25">
      <c r="A12940" t="str">
        <f>"200163788963"</f>
        <v>200163788963</v>
      </c>
      <c r="B12940" t="s">
        <v>7312</v>
      </c>
      <c r="C12940" t="s">
        <v>9849</v>
      </c>
      <c r="D12940" t="s">
        <v>46032</v>
      </c>
      <c r="E12940">
        <v>424004</v>
      </c>
      <c r="F12940" t="s">
        <v>1</v>
      </c>
      <c r="G12940" t="s">
        <v>2</v>
      </c>
      <c r="H12940" t="s">
        <v>3817</v>
      </c>
      <c r="Q12940" t="s">
        <v>46033</v>
      </c>
      <c r="Y12940" t="s">
        <v>24010</v>
      </c>
    </row>
    <row r="12941" spans="1:25" x14ac:dyDescent="0.25">
      <c r="A12941" t="str">
        <f>"200200052097"</f>
        <v>200200052097</v>
      </c>
      <c r="B12941" t="s">
        <v>738</v>
      </c>
      <c r="C12941" t="s">
        <v>46038</v>
      </c>
      <c r="D12941" t="s">
        <v>46034</v>
      </c>
      <c r="E12941">
        <v>424007</v>
      </c>
      <c r="F12941" t="s">
        <v>1</v>
      </c>
      <c r="G12941" t="s">
        <v>2</v>
      </c>
      <c r="H12941" t="s">
        <v>1085</v>
      </c>
      <c r="J12941" t="s">
        <v>46035</v>
      </c>
      <c r="L12941" t="s">
        <v>46036</v>
      </c>
      <c r="M12941" t="s">
        <v>46037</v>
      </c>
      <c r="P12941" t="s">
        <v>1160</v>
      </c>
      <c r="Q12941" t="s">
        <v>46039</v>
      </c>
      <c r="Y12941" t="s">
        <v>46040</v>
      </c>
    </row>
    <row r="12942" spans="1:25" x14ac:dyDescent="0.25">
      <c r="A12942" t="str">
        <f>"200225210674"</f>
        <v>200225210674</v>
      </c>
      <c r="B12942" t="s">
        <v>538</v>
      </c>
      <c r="C12942" t="s">
        <v>539</v>
      </c>
      <c r="D12942" t="s">
        <v>46041</v>
      </c>
      <c r="E12942">
        <v>424000</v>
      </c>
      <c r="F12942" t="s">
        <v>1</v>
      </c>
      <c r="G12942" t="s">
        <v>2</v>
      </c>
      <c r="H12942" t="s">
        <v>28137</v>
      </c>
      <c r="Y12942" t="s">
        <v>46042</v>
      </c>
    </row>
    <row r="12943" spans="1:25" x14ac:dyDescent="0.25">
      <c r="A12943" t="str">
        <f>"200232575137"</f>
        <v>200232575137</v>
      </c>
      <c r="B12943" t="s">
        <v>797</v>
      </c>
      <c r="C12943" t="s">
        <v>5123</v>
      </c>
      <c r="D12943" t="s">
        <v>5123</v>
      </c>
      <c r="E12943">
        <v>424006</v>
      </c>
      <c r="F12943" t="s">
        <v>1</v>
      </c>
      <c r="G12943" t="s">
        <v>2</v>
      </c>
      <c r="H12943" t="s">
        <v>4541</v>
      </c>
      <c r="Y12943" t="s">
        <v>46043</v>
      </c>
    </row>
    <row r="12944" spans="1:25" x14ac:dyDescent="0.25">
      <c r="A12944" t="str">
        <f>"200319809091"</f>
        <v>200319809091</v>
      </c>
      <c r="B12944" t="s">
        <v>176</v>
      </c>
      <c r="C12944" t="s">
        <v>1275</v>
      </c>
      <c r="D12944" t="s">
        <v>46044</v>
      </c>
      <c r="E12944">
        <v>424006</v>
      </c>
      <c r="F12944" t="s">
        <v>1</v>
      </c>
      <c r="G12944" t="s">
        <v>2</v>
      </c>
      <c r="H12944" t="s">
        <v>2649</v>
      </c>
      <c r="Y12944" t="s">
        <v>2654</v>
      </c>
    </row>
    <row r="12945" spans="1:25" x14ac:dyDescent="0.25">
      <c r="A12945" t="str">
        <f>"200401235031"</f>
        <v>200401235031</v>
      </c>
      <c r="B12945" t="s">
        <v>447</v>
      </c>
      <c r="C12945" t="s">
        <v>448</v>
      </c>
      <c r="D12945" t="s">
        <v>46045</v>
      </c>
      <c r="E12945">
        <v>424028</v>
      </c>
      <c r="F12945" t="s">
        <v>1</v>
      </c>
      <c r="G12945" t="s">
        <v>2</v>
      </c>
      <c r="H12945" t="s">
        <v>16901</v>
      </c>
      <c r="Y12945" t="s">
        <v>46046</v>
      </c>
    </row>
    <row r="12946" spans="1:25" x14ac:dyDescent="0.25">
      <c r="A12946" t="str">
        <f>"200408187982"</f>
        <v>200408187982</v>
      </c>
      <c r="B12946" t="s">
        <v>1152</v>
      </c>
      <c r="C12946" t="s">
        <v>1153</v>
      </c>
      <c r="D12946" t="s">
        <v>10280</v>
      </c>
      <c r="E12946">
        <v>424033</v>
      </c>
      <c r="F12946" t="s">
        <v>1</v>
      </c>
      <c r="G12946" t="s">
        <v>2</v>
      </c>
      <c r="H12946" t="s">
        <v>2597</v>
      </c>
      <c r="I12946" t="s">
        <v>22092</v>
      </c>
      <c r="M12946" t="s">
        <v>10284</v>
      </c>
      <c r="P12946" t="s">
        <v>2738</v>
      </c>
      <c r="Q12946" t="s">
        <v>10286</v>
      </c>
      <c r="R12946" t="s">
        <v>10287</v>
      </c>
      <c r="S12946" t="s">
        <v>10288</v>
      </c>
      <c r="T12946" t="s">
        <v>10289</v>
      </c>
      <c r="U12946" t="s">
        <v>10290</v>
      </c>
      <c r="V12946" t="s">
        <v>10291</v>
      </c>
      <c r="Y12946" t="s">
        <v>2718</v>
      </c>
    </row>
    <row r="12947" spans="1:25" x14ac:dyDescent="0.25">
      <c r="A12947" t="str">
        <f>"200480670516"</f>
        <v>200480670516</v>
      </c>
      <c r="B12947" t="s">
        <v>25</v>
      </c>
      <c r="C12947" t="s">
        <v>59</v>
      </c>
      <c r="D12947" t="s">
        <v>46047</v>
      </c>
      <c r="E12947">
        <v>424000</v>
      </c>
      <c r="F12947" t="s">
        <v>1</v>
      </c>
      <c r="G12947" t="s">
        <v>2</v>
      </c>
      <c r="H12947" t="s">
        <v>265</v>
      </c>
      <c r="Y12947" t="s">
        <v>11205</v>
      </c>
    </row>
    <row r="12948" spans="1:25" x14ac:dyDescent="0.25">
      <c r="A12948" t="str">
        <f>"200481056791"</f>
        <v>200481056791</v>
      </c>
      <c r="B12948" t="s">
        <v>243</v>
      </c>
      <c r="C12948" t="s">
        <v>2538</v>
      </c>
      <c r="D12948" t="s">
        <v>46048</v>
      </c>
      <c r="E12948">
        <v>424000</v>
      </c>
      <c r="F12948" t="s">
        <v>1</v>
      </c>
      <c r="G12948" t="s">
        <v>2</v>
      </c>
      <c r="H12948" t="s">
        <v>937</v>
      </c>
      <c r="I12948" t="s">
        <v>46049</v>
      </c>
      <c r="J12948" t="s">
        <v>46050</v>
      </c>
      <c r="P12948" t="s">
        <v>3379</v>
      </c>
      <c r="Y12948" t="s">
        <v>942</v>
      </c>
    </row>
    <row r="12949" spans="1:25" x14ac:dyDescent="0.25">
      <c r="A12949" t="str">
        <f>"200492489976"</f>
        <v>200492489976</v>
      </c>
      <c r="B12949" t="s">
        <v>24468</v>
      </c>
      <c r="C12949" t="s">
        <v>24469</v>
      </c>
      <c r="D12949" t="s">
        <v>46051</v>
      </c>
      <c r="E12949">
        <v>424004</v>
      </c>
      <c r="F12949" t="s">
        <v>1</v>
      </c>
      <c r="G12949" t="s">
        <v>2</v>
      </c>
      <c r="H12949" t="s">
        <v>2589</v>
      </c>
      <c r="J12949" t="s">
        <v>46052</v>
      </c>
      <c r="Y12949" t="s">
        <v>2595</v>
      </c>
    </row>
    <row r="12950" spans="1:25" x14ac:dyDescent="0.25">
      <c r="A12950" t="str">
        <f>"200539953125"</f>
        <v>200539953125</v>
      </c>
      <c r="B12950" t="s">
        <v>574</v>
      </c>
      <c r="C12950" t="s">
        <v>46053</v>
      </c>
      <c r="D12950" t="s">
        <v>33085</v>
      </c>
      <c r="E12950">
        <v>424007</v>
      </c>
      <c r="F12950" t="s">
        <v>1</v>
      </c>
      <c r="G12950" t="s">
        <v>2</v>
      </c>
      <c r="H12950" t="s">
        <v>1566</v>
      </c>
      <c r="Y12950" t="s">
        <v>2882</v>
      </c>
    </row>
    <row r="12951" spans="1:25" x14ac:dyDescent="0.25">
      <c r="A12951" t="str">
        <f>"200594706597"</f>
        <v>200594706597</v>
      </c>
      <c r="B12951" t="s">
        <v>110</v>
      </c>
      <c r="C12951" t="s">
        <v>111</v>
      </c>
      <c r="D12951" t="s">
        <v>44891</v>
      </c>
      <c r="E12951">
        <v>424000</v>
      </c>
      <c r="F12951" t="s">
        <v>1</v>
      </c>
      <c r="G12951" t="s">
        <v>2</v>
      </c>
      <c r="H12951" t="s">
        <v>2671</v>
      </c>
      <c r="Y12951" t="s">
        <v>2674</v>
      </c>
    </row>
    <row r="12952" spans="1:25" x14ac:dyDescent="0.25">
      <c r="A12952" t="str">
        <f>"200611978170"</f>
        <v>200611978170</v>
      </c>
      <c r="B12952" t="s">
        <v>841</v>
      </c>
      <c r="C12952" t="s">
        <v>26937</v>
      </c>
      <c r="D12952" t="s">
        <v>46054</v>
      </c>
      <c r="E12952">
        <v>424004</v>
      </c>
      <c r="F12952" t="s">
        <v>1</v>
      </c>
      <c r="G12952" t="s">
        <v>2</v>
      </c>
      <c r="H12952" t="s">
        <v>4324</v>
      </c>
      <c r="Y12952" t="s">
        <v>46055</v>
      </c>
    </row>
    <row r="12953" spans="1:25" x14ac:dyDescent="0.25">
      <c r="A12953" t="str">
        <f>"200666006716"</f>
        <v>200666006716</v>
      </c>
      <c r="B12953" t="s">
        <v>1552</v>
      </c>
      <c r="C12953" t="s">
        <v>5112</v>
      </c>
      <c r="D12953" t="s">
        <v>46056</v>
      </c>
      <c r="E12953">
        <v>424006</v>
      </c>
      <c r="F12953" t="s">
        <v>1</v>
      </c>
      <c r="G12953" t="s">
        <v>2</v>
      </c>
      <c r="H12953" t="s">
        <v>1645</v>
      </c>
      <c r="I12953" t="s">
        <v>46057</v>
      </c>
      <c r="L12953" t="s">
        <v>46058</v>
      </c>
      <c r="M12953" t="s">
        <v>46059</v>
      </c>
      <c r="P12953" t="s">
        <v>696</v>
      </c>
      <c r="Y12953" t="s">
        <v>4478</v>
      </c>
    </row>
    <row r="12954" spans="1:25" x14ac:dyDescent="0.25">
      <c r="A12954" t="str">
        <f>"200706964405"</f>
        <v>200706964405</v>
      </c>
      <c r="B12954" t="s">
        <v>110</v>
      </c>
      <c r="C12954" t="s">
        <v>6439</v>
      </c>
      <c r="D12954" t="s">
        <v>46060</v>
      </c>
      <c r="E12954">
        <v>424005</v>
      </c>
      <c r="F12954" t="s">
        <v>1</v>
      </c>
      <c r="G12954" t="s">
        <v>2</v>
      </c>
      <c r="H12954" t="s">
        <v>8983</v>
      </c>
      <c r="I12954" t="s">
        <v>46061</v>
      </c>
      <c r="M12954" t="s">
        <v>46062</v>
      </c>
      <c r="P12954" t="s">
        <v>3938</v>
      </c>
      <c r="Q12954" t="s">
        <v>46063</v>
      </c>
      <c r="V12954" t="s">
        <v>46064</v>
      </c>
      <c r="Y12954" t="s">
        <v>46065</v>
      </c>
    </row>
    <row r="12955" spans="1:25" x14ac:dyDescent="0.25">
      <c r="A12955" t="str">
        <f>"200749439186"</f>
        <v>200749439186</v>
      </c>
      <c r="B12955" t="s">
        <v>2104</v>
      </c>
      <c r="C12955" t="s">
        <v>13387</v>
      </c>
      <c r="D12955" t="s">
        <v>9508</v>
      </c>
      <c r="E12955">
        <v>424003</v>
      </c>
      <c r="F12955" t="s">
        <v>1</v>
      </c>
      <c r="G12955" t="s">
        <v>2</v>
      </c>
      <c r="H12955" t="s">
        <v>7888</v>
      </c>
      <c r="J12955" t="s">
        <v>46066</v>
      </c>
      <c r="Y12955" t="s">
        <v>46067</v>
      </c>
    </row>
    <row r="12956" spans="1:25" x14ac:dyDescent="0.25">
      <c r="A12956" t="str">
        <f>"200750475713"</f>
        <v>200750475713</v>
      </c>
      <c r="B12956" t="s">
        <v>18</v>
      </c>
      <c r="C12956" t="s">
        <v>19661</v>
      </c>
      <c r="D12956" t="s">
        <v>46068</v>
      </c>
      <c r="E12956">
        <v>424016</v>
      </c>
      <c r="F12956" t="s">
        <v>1</v>
      </c>
      <c r="G12956" t="s">
        <v>2</v>
      </c>
      <c r="H12956" t="s">
        <v>8350</v>
      </c>
      <c r="I12956" t="s">
        <v>46069</v>
      </c>
      <c r="J12956" t="s">
        <v>46070</v>
      </c>
      <c r="L12956" t="s">
        <v>46071</v>
      </c>
      <c r="M12956" t="s">
        <v>46072</v>
      </c>
      <c r="P12956" t="s">
        <v>19354</v>
      </c>
      <c r="Q12956" t="s">
        <v>46073</v>
      </c>
      <c r="Y12956" t="s">
        <v>46074</v>
      </c>
    </row>
    <row r="12957" spans="1:25" x14ac:dyDescent="0.25">
      <c r="A12957" t="str">
        <f>"200903710950"</f>
        <v>200903710950</v>
      </c>
      <c r="B12957" t="s">
        <v>417</v>
      </c>
      <c r="C12957" t="s">
        <v>418</v>
      </c>
      <c r="D12957" t="s">
        <v>417</v>
      </c>
      <c r="E12957">
        <v>424038</v>
      </c>
      <c r="F12957" t="s">
        <v>1</v>
      </c>
      <c r="G12957" t="s">
        <v>2</v>
      </c>
      <c r="H12957" t="s">
        <v>1862</v>
      </c>
      <c r="Y12957" t="s">
        <v>46075</v>
      </c>
    </row>
    <row r="12958" spans="1:25" x14ac:dyDescent="0.25">
      <c r="A12958" t="str">
        <f>"200939559472"</f>
        <v>200939559472</v>
      </c>
      <c r="B12958" t="s">
        <v>803</v>
      </c>
      <c r="C12958" t="s">
        <v>29318</v>
      </c>
      <c r="D12958" t="s">
        <v>46076</v>
      </c>
      <c r="E12958">
        <v>424038</v>
      </c>
      <c r="F12958" t="s">
        <v>1</v>
      </c>
      <c r="G12958" t="s">
        <v>2</v>
      </c>
      <c r="H12958" t="s">
        <v>6247</v>
      </c>
      <c r="P12958" t="s">
        <v>2731</v>
      </c>
      <c r="Y12958" t="s">
        <v>11647</v>
      </c>
    </row>
    <row r="12959" spans="1:25" x14ac:dyDescent="0.25">
      <c r="A12959" t="str">
        <f>"200980080924"</f>
        <v>200980080924</v>
      </c>
      <c r="B12959" t="s">
        <v>456</v>
      </c>
      <c r="C12959" t="s">
        <v>39641</v>
      </c>
      <c r="D12959" t="s">
        <v>46077</v>
      </c>
      <c r="E12959">
        <v>424003</v>
      </c>
      <c r="F12959" t="s">
        <v>1</v>
      </c>
      <c r="G12959" t="s">
        <v>2</v>
      </c>
      <c r="H12959" t="s">
        <v>14928</v>
      </c>
      <c r="Y12959" t="s">
        <v>46078</v>
      </c>
    </row>
    <row r="12960" spans="1:25" x14ac:dyDescent="0.25">
      <c r="A12960" t="str">
        <f>"201011568442"</f>
        <v>201011568442</v>
      </c>
      <c r="B12960" t="s">
        <v>654</v>
      </c>
      <c r="C12960" t="s">
        <v>2195</v>
      </c>
      <c r="D12960" t="s">
        <v>46079</v>
      </c>
      <c r="E12960">
        <v>424002</v>
      </c>
      <c r="F12960" t="s">
        <v>1</v>
      </c>
      <c r="G12960" t="s">
        <v>2</v>
      </c>
      <c r="H12960" t="s">
        <v>6502</v>
      </c>
      <c r="I12960" t="s">
        <v>28158</v>
      </c>
      <c r="P12960" t="s">
        <v>27</v>
      </c>
      <c r="Y12960" t="s">
        <v>16586</v>
      </c>
    </row>
    <row r="12961" spans="1:25" x14ac:dyDescent="0.25">
      <c r="A12961" t="str">
        <f>"201041322247"</f>
        <v>201041322247</v>
      </c>
      <c r="B12961" t="s">
        <v>371</v>
      </c>
      <c r="C12961" t="s">
        <v>46086</v>
      </c>
      <c r="D12961" t="s">
        <v>46080</v>
      </c>
      <c r="E12961">
        <v>424031</v>
      </c>
      <c r="F12961" t="s">
        <v>1</v>
      </c>
      <c r="G12961" t="s">
        <v>2</v>
      </c>
      <c r="H12961" t="s">
        <v>46081</v>
      </c>
      <c r="I12961" t="s">
        <v>46082</v>
      </c>
      <c r="J12961" t="s">
        <v>46083</v>
      </c>
      <c r="L12961" t="s">
        <v>46084</v>
      </c>
      <c r="M12961" t="s">
        <v>46085</v>
      </c>
      <c r="Y12961" t="s">
        <v>5097</v>
      </c>
    </row>
    <row r="12962" spans="1:25" x14ac:dyDescent="0.25">
      <c r="A12962" t="str">
        <f>"201062135820"</f>
        <v>201062135820</v>
      </c>
      <c r="B12962" t="s">
        <v>67</v>
      </c>
      <c r="C12962" t="s">
        <v>269</v>
      </c>
      <c r="D12962" t="s">
        <v>491</v>
      </c>
      <c r="E12962">
        <v>424002</v>
      </c>
      <c r="F12962" t="s">
        <v>1</v>
      </c>
      <c r="G12962" t="s">
        <v>2</v>
      </c>
      <c r="H12962" t="s">
        <v>6344</v>
      </c>
      <c r="Y12962" t="s">
        <v>46087</v>
      </c>
    </row>
    <row r="12963" spans="1:25" x14ac:dyDescent="0.25">
      <c r="A12963" t="str">
        <f>"201102262645"</f>
        <v>201102262645</v>
      </c>
      <c r="B12963" t="s">
        <v>290</v>
      </c>
      <c r="C12963" t="s">
        <v>290</v>
      </c>
      <c r="D12963" t="s">
        <v>46088</v>
      </c>
      <c r="F12963" t="s">
        <v>1</v>
      </c>
      <c r="G12963" t="s">
        <v>2</v>
      </c>
      <c r="H12963" t="s">
        <v>25889</v>
      </c>
      <c r="P12963" t="s">
        <v>330</v>
      </c>
      <c r="Y12963" t="s">
        <v>46089</v>
      </c>
    </row>
    <row r="12964" spans="1:25" x14ac:dyDescent="0.25">
      <c r="A12964" t="str">
        <f>"201123325279"</f>
        <v>201123325279</v>
      </c>
      <c r="B12964" t="s">
        <v>574</v>
      </c>
      <c r="C12964" t="s">
        <v>26901</v>
      </c>
      <c r="D12964" t="s">
        <v>38465</v>
      </c>
      <c r="E12964">
        <v>424000</v>
      </c>
      <c r="F12964" t="s">
        <v>1</v>
      </c>
      <c r="G12964" t="s">
        <v>2</v>
      </c>
      <c r="H12964" t="s">
        <v>7628</v>
      </c>
      <c r="I12964" t="s">
        <v>46090</v>
      </c>
      <c r="Y12964" t="s">
        <v>46091</v>
      </c>
    </row>
    <row r="12965" spans="1:25" x14ac:dyDescent="0.25">
      <c r="A12965" t="str">
        <f>"201125473042"</f>
        <v>201125473042</v>
      </c>
      <c r="B12965" t="s">
        <v>456</v>
      </c>
      <c r="C12965" t="s">
        <v>46094</v>
      </c>
      <c r="D12965" t="s">
        <v>46092</v>
      </c>
      <c r="E12965">
        <v>424000</v>
      </c>
      <c r="F12965" t="s">
        <v>1</v>
      </c>
      <c r="G12965" t="s">
        <v>2</v>
      </c>
      <c r="H12965" t="s">
        <v>92</v>
      </c>
      <c r="J12965" t="s">
        <v>46093</v>
      </c>
      <c r="P12965" t="s">
        <v>1760</v>
      </c>
      <c r="Q12965" t="s">
        <v>46095</v>
      </c>
      <c r="S12965" t="s">
        <v>46096</v>
      </c>
      <c r="T12965" t="s">
        <v>46097</v>
      </c>
      <c r="U12965" t="s">
        <v>46098</v>
      </c>
      <c r="V12965" t="s">
        <v>46099</v>
      </c>
      <c r="Y12965" t="s">
        <v>28397</v>
      </c>
    </row>
    <row r="12966" spans="1:25" x14ac:dyDescent="0.25">
      <c r="A12966" t="str">
        <f>"201127427349"</f>
        <v>201127427349</v>
      </c>
      <c r="B12966" t="s">
        <v>96</v>
      </c>
      <c r="C12966" t="s">
        <v>893</v>
      </c>
      <c r="D12966" t="s">
        <v>37022</v>
      </c>
      <c r="E12966">
        <v>424000</v>
      </c>
      <c r="F12966" t="s">
        <v>1</v>
      </c>
      <c r="G12966" t="s">
        <v>2</v>
      </c>
      <c r="H12966" t="s">
        <v>164</v>
      </c>
      <c r="Y12966" t="s">
        <v>46100</v>
      </c>
    </row>
    <row r="12967" spans="1:25" x14ac:dyDescent="0.25">
      <c r="A12967" t="str">
        <f>"201131548194"</f>
        <v>201131548194</v>
      </c>
      <c r="B12967" t="s">
        <v>482</v>
      </c>
      <c r="C12967" t="s">
        <v>483</v>
      </c>
      <c r="D12967" t="s">
        <v>46101</v>
      </c>
      <c r="E12967">
        <v>424006</v>
      </c>
      <c r="F12967" t="s">
        <v>1</v>
      </c>
      <c r="G12967" t="s">
        <v>2</v>
      </c>
      <c r="H12967" t="s">
        <v>478</v>
      </c>
      <c r="I12967" t="s">
        <v>46102</v>
      </c>
      <c r="L12967" t="s">
        <v>46103</v>
      </c>
      <c r="M12967" t="s">
        <v>46104</v>
      </c>
      <c r="P12967" t="s">
        <v>280</v>
      </c>
      <c r="Y12967" t="s">
        <v>46105</v>
      </c>
    </row>
    <row r="12968" spans="1:25" x14ac:dyDescent="0.25">
      <c r="A12968" t="str">
        <f>"201267926727"</f>
        <v>201267926727</v>
      </c>
      <c r="B12968" t="s">
        <v>1352</v>
      </c>
      <c r="C12968" t="s">
        <v>2093</v>
      </c>
      <c r="D12968" t="s">
        <v>46106</v>
      </c>
      <c r="E12968">
        <v>424006</v>
      </c>
      <c r="F12968" t="s">
        <v>1</v>
      </c>
      <c r="G12968" t="s">
        <v>2</v>
      </c>
      <c r="H12968" t="s">
        <v>2557</v>
      </c>
      <c r="P12968" t="s">
        <v>46107</v>
      </c>
      <c r="Y12968" t="s">
        <v>46108</v>
      </c>
    </row>
    <row r="12969" spans="1:25" x14ac:dyDescent="0.25">
      <c r="A12969" t="str">
        <f>"201277651156"</f>
        <v>201277651156</v>
      </c>
      <c r="B12969" t="s">
        <v>574</v>
      </c>
      <c r="C12969" t="s">
        <v>952</v>
      </c>
      <c r="D12969" t="s">
        <v>32407</v>
      </c>
      <c r="E12969">
        <v>424039</v>
      </c>
      <c r="F12969" t="s">
        <v>1</v>
      </c>
      <c r="G12969" t="s">
        <v>2</v>
      </c>
      <c r="H12969" t="s">
        <v>46109</v>
      </c>
      <c r="Y12969" t="s">
        <v>46110</v>
      </c>
    </row>
    <row r="12970" spans="1:25" x14ac:dyDescent="0.25">
      <c r="A12970" t="str">
        <f>"201308338211"</f>
        <v>201308338211</v>
      </c>
      <c r="B12970" t="s">
        <v>5573</v>
      </c>
      <c r="C12970" t="s">
        <v>21453</v>
      </c>
      <c r="D12970" t="s">
        <v>46111</v>
      </c>
      <c r="E12970">
        <v>424039</v>
      </c>
      <c r="F12970" t="s">
        <v>1</v>
      </c>
      <c r="G12970" t="s">
        <v>2</v>
      </c>
      <c r="H12970" t="s">
        <v>5827</v>
      </c>
      <c r="J12970" t="s">
        <v>46112</v>
      </c>
      <c r="P12970" t="s">
        <v>31621</v>
      </c>
      <c r="Y12970" t="s">
        <v>27950</v>
      </c>
    </row>
    <row r="12971" spans="1:25" x14ac:dyDescent="0.25">
      <c r="A12971" t="str">
        <f>"201390512837"</f>
        <v>201390512837</v>
      </c>
      <c r="B12971" t="s">
        <v>160</v>
      </c>
      <c r="C12971" t="s">
        <v>2327</v>
      </c>
      <c r="D12971" t="s">
        <v>46113</v>
      </c>
      <c r="E12971">
        <v>424028</v>
      </c>
      <c r="F12971" t="s">
        <v>1</v>
      </c>
      <c r="G12971" t="s">
        <v>2</v>
      </c>
      <c r="H12971" t="s">
        <v>3628</v>
      </c>
      <c r="I12971" t="s">
        <v>46114</v>
      </c>
      <c r="L12971" t="s">
        <v>46115</v>
      </c>
      <c r="P12971" t="s">
        <v>2839</v>
      </c>
      <c r="Y12971" t="s">
        <v>46116</v>
      </c>
    </row>
    <row r="12972" spans="1:25" x14ac:dyDescent="0.25">
      <c r="A12972" t="str">
        <f>"201403813973"</f>
        <v>201403813973</v>
      </c>
      <c r="B12972" t="s">
        <v>96</v>
      </c>
      <c r="C12972" t="s">
        <v>12115</v>
      </c>
      <c r="D12972" t="s">
        <v>12115</v>
      </c>
      <c r="E12972">
        <v>424007</v>
      </c>
      <c r="F12972" t="s">
        <v>1</v>
      </c>
      <c r="G12972" t="s">
        <v>2</v>
      </c>
      <c r="H12972" t="s">
        <v>30559</v>
      </c>
      <c r="Y12972" t="s">
        <v>32195</v>
      </c>
    </row>
    <row r="12973" spans="1:25" x14ac:dyDescent="0.25">
      <c r="A12973" t="str">
        <f>"201449282275"</f>
        <v>201449282275</v>
      </c>
      <c r="B12973" t="s">
        <v>1046</v>
      </c>
      <c r="C12973" t="s">
        <v>2695</v>
      </c>
      <c r="D12973" t="s">
        <v>5805</v>
      </c>
      <c r="F12973" t="s">
        <v>1</v>
      </c>
      <c r="G12973" t="s">
        <v>2</v>
      </c>
      <c r="H12973" t="s">
        <v>19139</v>
      </c>
      <c r="Y12973" t="s">
        <v>46117</v>
      </c>
    </row>
    <row r="12974" spans="1:25" x14ac:dyDescent="0.25">
      <c r="A12974" t="str">
        <f>"201483466475"</f>
        <v>201483466475</v>
      </c>
      <c r="B12974" t="s">
        <v>640</v>
      </c>
      <c r="C12974" t="s">
        <v>46119</v>
      </c>
      <c r="D12974" t="s">
        <v>46118</v>
      </c>
      <c r="E12974">
        <v>424038</v>
      </c>
      <c r="F12974" t="s">
        <v>1</v>
      </c>
      <c r="G12974" t="s">
        <v>2</v>
      </c>
      <c r="H12974" t="s">
        <v>386</v>
      </c>
      <c r="I12974" t="s">
        <v>44461</v>
      </c>
      <c r="L12974" t="s">
        <v>44462</v>
      </c>
      <c r="P12974" t="s">
        <v>18215</v>
      </c>
      <c r="Q12974" t="s">
        <v>44464</v>
      </c>
      <c r="Y12974" t="s">
        <v>391</v>
      </c>
    </row>
    <row r="12975" spans="1:25" x14ac:dyDescent="0.25">
      <c r="A12975" t="str">
        <f>"201514228553"</f>
        <v>201514228553</v>
      </c>
      <c r="B12975" t="s">
        <v>1222</v>
      </c>
      <c r="C12975" t="s">
        <v>1971</v>
      </c>
      <c r="D12975" t="s">
        <v>46120</v>
      </c>
      <c r="F12975" t="s">
        <v>1</v>
      </c>
      <c r="G12975" t="s">
        <v>2</v>
      </c>
      <c r="H12975" t="s">
        <v>2745</v>
      </c>
      <c r="I12975" t="s">
        <v>46121</v>
      </c>
      <c r="P12975" t="s">
        <v>46122</v>
      </c>
      <c r="Y12975" t="s">
        <v>20246</v>
      </c>
    </row>
    <row r="12976" spans="1:25" x14ac:dyDescent="0.25">
      <c r="A12976" t="str">
        <f>"201558838422"</f>
        <v>201558838422</v>
      </c>
      <c r="B12976" t="s">
        <v>1352</v>
      </c>
      <c r="C12976" t="s">
        <v>1353</v>
      </c>
      <c r="D12976" t="s">
        <v>21159</v>
      </c>
      <c r="E12976">
        <v>424000</v>
      </c>
      <c r="F12976" t="s">
        <v>1</v>
      </c>
      <c r="G12976" t="s">
        <v>2</v>
      </c>
      <c r="H12976" t="s">
        <v>2671</v>
      </c>
      <c r="I12976" t="s">
        <v>46123</v>
      </c>
      <c r="P12976" t="s">
        <v>7638</v>
      </c>
      <c r="Y12976" t="s">
        <v>2674</v>
      </c>
    </row>
    <row r="12977" spans="1:25" x14ac:dyDescent="0.25">
      <c r="A12977" t="str">
        <f>"201570569880"</f>
        <v>201570569880</v>
      </c>
      <c r="B12977" t="s">
        <v>1544</v>
      </c>
      <c r="C12977" t="s">
        <v>7974</v>
      </c>
      <c r="D12977" t="s">
        <v>46124</v>
      </c>
      <c r="E12977">
        <v>424002</v>
      </c>
      <c r="F12977" t="s">
        <v>1</v>
      </c>
      <c r="G12977" t="s">
        <v>2</v>
      </c>
      <c r="H12977" t="s">
        <v>46125</v>
      </c>
      <c r="P12977" t="s">
        <v>1306</v>
      </c>
      <c r="V12977" t="s">
        <v>46126</v>
      </c>
      <c r="Y12977" t="s">
        <v>46127</v>
      </c>
    </row>
    <row r="12978" spans="1:25" x14ac:dyDescent="0.25">
      <c r="A12978" t="str">
        <f>"201594054660"</f>
        <v>201594054660</v>
      </c>
      <c r="B12978" t="s">
        <v>188</v>
      </c>
      <c r="C12978" t="s">
        <v>23982</v>
      </c>
      <c r="D12978" t="s">
        <v>23982</v>
      </c>
      <c r="E12978">
        <v>424000</v>
      </c>
      <c r="F12978" t="s">
        <v>1</v>
      </c>
      <c r="G12978" t="s">
        <v>2</v>
      </c>
      <c r="H12978" t="s">
        <v>4462</v>
      </c>
      <c r="Y12978" t="s">
        <v>46128</v>
      </c>
    </row>
    <row r="12979" spans="1:25" x14ac:dyDescent="0.25">
      <c r="A12979" t="str">
        <f>"201599009302"</f>
        <v>201599009302</v>
      </c>
      <c r="B12979" t="s">
        <v>117</v>
      </c>
      <c r="C12979" t="s">
        <v>873</v>
      </c>
      <c r="D12979" t="s">
        <v>873</v>
      </c>
      <c r="F12979" t="s">
        <v>1</v>
      </c>
      <c r="G12979" t="s">
        <v>2</v>
      </c>
      <c r="H12979" t="s">
        <v>24399</v>
      </c>
      <c r="Y12979" t="s">
        <v>46129</v>
      </c>
    </row>
    <row r="12980" spans="1:25" x14ac:dyDescent="0.25">
      <c r="A12980" t="str">
        <f>"201649163207"</f>
        <v>201649163207</v>
      </c>
      <c r="B12980" t="s">
        <v>7312</v>
      </c>
      <c r="C12980" t="s">
        <v>9849</v>
      </c>
      <c r="D12980" t="s">
        <v>31854</v>
      </c>
      <c r="E12980">
        <v>424038</v>
      </c>
      <c r="F12980" t="s">
        <v>1</v>
      </c>
      <c r="G12980" t="s">
        <v>2</v>
      </c>
      <c r="H12980" t="s">
        <v>2614</v>
      </c>
      <c r="Y12980" t="s">
        <v>46130</v>
      </c>
    </row>
    <row r="12981" spans="1:25" x14ac:dyDescent="0.25">
      <c r="A12981" t="str">
        <f>"201699320354"</f>
        <v>201699320354</v>
      </c>
      <c r="B12981" t="s">
        <v>328</v>
      </c>
      <c r="C12981" t="s">
        <v>1920</v>
      </c>
      <c r="D12981" t="s">
        <v>46131</v>
      </c>
      <c r="F12981" t="s">
        <v>1</v>
      </c>
      <c r="G12981" t="s">
        <v>2</v>
      </c>
      <c r="H12981" t="s">
        <v>3984</v>
      </c>
      <c r="Y12981" t="s">
        <v>4409</v>
      </c>
    </row>
    <row r="12982" spans="1:25" x14ac:dyDescent="0.25">
      <c r="A12982" t="str">
        <f>"201731315949"</f>
        <v>201731315949</v>
      </c>
      <c r="B12982" t="s">
        <v>1053</v>
      </c>
      <c r="C12982" t="s">
        <v>11726</v>
      </c>
      <c r="D12982" t="s">
        <v>46132</v>
      </c>
      <c r="E12982">
        <v>424031</v>
      </c>
      <c r="F12982" t="s">
        <v>1</v>
      </c>
      <c r="G12982" t="s">
        <v>2</v>
      </c>
      <c r="H12982" t="s">
        <v>46133</v>
      </c>
      <c r="J12982" t="s">
        <v>46134</v>
      </c>
      <c r="L12982" t="s">
        <v>46135</v>
      </c>
      <c r="M12982" t="s">
        <v>46136</v>
      </c>
      <c r="P12982" t="s">
        <v>27</v>
      </c>
      <c r="Y12982" t="s">
        <v>46137</v>
      </c>
    </row>
    <row r="12983" spans="1:25" x14ac:dyDescent="0.25">
      <c r="A12983" t="str">
        <f>"201756145867"</f>
        <v>201756145867</v>
      </c>
      <c r="B12983" t="s">
        <v>1611</v>
      </c>
      <c r="C12983" t="s">
        <v>26250</v>
      </c>
      <c r="D12983" t="s">
        <v>46138</v>
      </c>
      <c r="E12983">
        <v>424005</v>
      </c>
      <c r="F12983" t="s">
        <v>1</v>
      </c>
      <c r="G12983" t="s">
        <v>2</v>
      </c>
      <c r="H12983" t="s">
        <v>5429</v>
      </c>
      <c r="I12983" t="s">
        <v>46139</v>
      </c>
      <c r="M12983" t="s">
        <v>46140</v>
      </c>
      <c r="P12983" t="s">
        <v>330</v>
      </c>
      <c r="Y12983" t="s">
        <v>5431</v>
      </c>
    </row>
    <row r="12984" spans="1:25" x14ac:dyDescent="0.25">
      <c r="A12984" t="str">
        <f>"201763730347"</f>
        <v>201763730347</v>
      </c>
      <c r="B12984" t="s">
        <v>1611</v>
      </c>
      <c r="C12984" t="s">
        <v>3218</v>
      </c>
      <c r="D12984" t="s">
        <v>46141</v>
      </c>
      <c r="E12984">
        <v>424031</v>
      </c>
      <c r="F12984" t="s">
        <v>1</v>
      </c>
      <c r="G12984" t="s">
        <v>2</v>
      </c>
      <c r="H12984" t="s">
        <v>28588</v>
      </c>
      <c r="Y12984" t="s">
        <v>46142</v>
      </c>
    </row>
    <row r="12985" spans="1:25" x14ac:dyDescent="0.25">
      <c r="A12985" t="str">
        <f>"201798455211"</f>
        <v>201798455211</v>
      </c>
      <c r="B12985" t="s">
        <v>290</v>
      </c>
      <c r="C12985" t="s">
        <v>290</v>
      </c>
      <c r="D12985" t="s">
        <v>46143</v>
      </c>
      <c r="F12985" t="s">
        <v>1</v>
      </c>
      <c r="G12985" t="s">
        <v>2</v>
      </c>
      <c r="H12985" t="s">
        <v>16696</v>
      </c>
      <c r="P12985" t="s">
        <v>46144</v>
      </c>
      <c r="Y12985" t="s">
        <v>46145</v>
      </c>
    </row>
    <row r="12986" spans="1:25" x14ac:dyDescent="0.25">
      <c r="A12986" t="str">
        <f>"201810829190"</f>
        <v>201810829190</v>
      </c>
      <c r="B12986" t="s">
        <v>25</v>
      </c>
      <c r="C12986" t="s">
        <v>20320</v>
      </c>
      <c r="D12986" t="s">
        <v>46146</v>
      </c>
      <c r="E12986">
        <v>424040</v>
      </c>
      <c r="F12986" t="s">
        <v>1</v>
      </c>
      <c r="G12986" t="s">
        <v>2</v>
      </c>
      <c r="H12986" t="s">
        <v>20151</v>
      </c>
      <c r="Y12986" t="s">
        <v>46147</v>
      </c>
    </row>
    <row r="12987" spans="1:25" x14ac:dyDescent="0.25">
      <c r="A12987" t="str">
        <f>"201815000631"</f>
        <v>201815000631</v>
      </c>
      <c r="B12987" t="s">
        <v>930</v>
      </c>
      <c r="C12987" t="s">
        <v>46152</v>
      </c>
      <c r="D12987" t="s">
        <v>46148</v>
      </c>
      <c r="E12987">
        <v>424030</v>
      </c>
      <c r="F12987" t="s">
        <v>1</v>
      </c>
      <c r="G12987" t="s">
        <v>2</v>
      </c>
      <c r="H12987" t="s">
        <v>15539</v>
      </c>
      <c r="J12987" t="s">
        <v>46149</v>
      </c>
      <c r="L12987" t="s">
        <v>46150</v>
      </c>
      <c r="M12987" t="s">
        <v>46151</v>
      </c>
      <c r="P12987" t="s">
        <v>4831</v>
      </c>
      <c r="Q12987" t="s">
        <v>46153</v>
      </c>
      <c r="Y12987" t="s">
        <v>15540</v>
      </c>
    </row>
    <row r="12988" spans="1:25" x14ac:dyDescent="0.25">
      <c r="A12988" t="str">
        <f>"201851474893"</f>
        <v>201851474893</v>
      </c>
      <c r="B12988" t="s">
        <v>716</v>
      </c>
      <c r="C12988" t="s">
        <v>26823</v>
      </c>
      <c r="D12988" t="s">
        <v>17643</v>
      </c>
      <c r="F12988" t="s">
        <v>1</v>
      </c>
      <c r="G12988" t="s">
        <v>2</v>
      </c>
      <c r="H12988" t="s">
        <v>2018</v>
      </c>
      <c r="P12988" t="s">
        <v>2457</v>
      </c>
      <c r="Y12988" t="s">
        <v>2131</v>
      </c>
    </row>
    <row r="12989" spans="1:25" x14ac:dyDescent="0.25">
      <c r="A12989" t="str">
        <f>"201852521581"</f>
        <v>201852521581</v>
      </c>
      <c r="B12989" t="s">
        <v>1053</v>
      </c>
      <c r="C12989" t="s">
        <v>46158</v>
      </c>
      <c r="D12989" t="s">
        <v>46154</v>
      </c>
      <c r="E12989">
        <v>424006</v>
      </c>
      <c r="F12989" t="s">
        <v>1</v>
      </c>
      <c r="G12989" t="s">
        <v>2</v>
      </c>
      <c r="H12989" t="s">
        <v>2012</v>
      </c>
      <c r="I12989" t="s">
        <v>46155</v>
      </c>
      <c r="L12989" t="s">
        <v>46156</v>
      </c>
      <c r="M12989" t="s">
        <v>46157</v>
      </c>
      <c r="P12989" t="s">
        <v>27</v>
      </c>
      <c r="Y12989" t="s">
        <v>2016</v>
      </c>
    </row>
    <row r="12990" spans="1:25" x14ac:dyDescent="0.25">
      <c r="A12990" t="str">
        <f>"201884105197"</f>
        <v>201884105197</v>
      </c>
      <c r="B12990" t="s">
        <v>80</v>
      </c>
      <c r="C12990" t="s">
        <v>15234</v>
      </c>
      <c r="D12990" t="s">
        <v>46159</v>
      </c>
      <c r="E12990">
        <v>424007</v>
      </c>
      <c r="F12990" t="s">
        <v>1</v>
      </c>
      <c r="G12990" t="s">
        <v>2</v>
      </c>
      <c r="H12990" t="s">
        <v>4666</v>
      </c>
      <c r="I12990" t="s">
        <v>25807</v>
      </c>
      <c r="J12990" t="s">
        <v>46160</v>
      </c>
      <c r="P12990" t="s">
        <v>144</v>
      </c>
      <c r="Y12990" t="s">
        <v>27814</v>
      </c>
    </row>
    <row r="12991" spans="1:25" x14ac:dyDescent="0.25">
      <c r="A12991" t="str">
        <f>"201892444821"</f>
        <v>201892444821</v>
      </c>
      <c r="B12991" t="s">
        <v>379</v>
      </c>
      <c r="C12991" t="s">
        <v>766</v>
      </c>
      <c r="D12991" t="s">
        <v>46161</v>
      </c>
      <c r="E12991">
        <v>424003</v>
      </c>
      <c r="F12991" t="s">
        <v>1</v>
      </c>
      <c r="G12991" t="s">
        <v>2</v>
      </c>
      <c r="H12991" t="s">
        <v>7888</v>
      </c>
      <c r="I12991" t="s">
        <v>46162</v>
      </c>
      <c r="L12991" t="s">
        <v>46163</v>
      </c>
      <c r="M12991" t="s">
        <v>46164</v>
      </c>
      <c r="P12991" t="s">
        <v>216</v>
      </c>
      <c r="Q12991" t="s">
        <v>46165</v>
      </c>
      <c r="R12991" t="s">
        <v>46166</v>
      </c>
      <c r="T12991" t="s">
        <v>46167</v>
      </c>
      <c r="V12991" t="s">
        <v>46168</v>
      </c>
      <c r="Y12991" t="s">
        <v>46169</v>
      </c>
    </row>
    <row r="12992" spans="1:25" x14ac:dyDescent="0.25">
      <c r="A12992" t="str">
        <f>"201952941097"</f>
        <v>201952941097</v>
      </c>
      <c r="B12992" t="s">
        <v>25</v>
      </c>
      <c r="C12992" t="s">
        <v>20320</v>
      </c>
      <c r="D12992" t="s">
        <v>46170</v>
      </c>
      <c r="E12992">
        <v>424039</v>
      </c>
      <c r="F12992" t="s">
        <v>1</v>
      </c>
      <c r="G12992" t="s">
        <v>2</v>
      </c>
      <c r="H12992" t="s">
        <v>7138</v>
      </c>
      <c r="Y12992" t="s">
        <v>46171</v>
      </c>
    </row>
    <row r="12993" spans="1:25" x14ac:dyDescent="0.25">
      <c r="A12993" t="str">
        <f>"201962794072"</f>
        <v>201962794072</v>
      </c>
      <c r="B12993" t="s">
        <v>110</v>
      </c>
      <c r="C12993" t="s">
        <v>111</v>
      </c>
      <c r="D12993" t="s">
        <v>46172</v>
      </c>
      <c r="E12993">
        <v>424003</v>
      </c>
      <c r="F12993" t="s">
        <v>1</v>
      </c>
      <c r="G12993" t="s">
        <v>2</v>
      </c>
      <c r="H12993" t="s">
        <v>3077</v>
      </c>
      <c r="Y12993" t="s">
        <v>46173</v>
      </c>
    </row>
    <row r="12994" spans="1:25" x14ac:dyDescent="0.25">
      <c r="A12994" t="str">
        <f>"202057455377"</f>
        <v>202057455377</v>
      </c>
      <c r="B12994" t="s">
        <v>319</v>
      </c>
      <c r="C12994" t="s">
        <v>320</v>
      </c>
      <c r="D12994" t="s">
        <v>27399</v>
      </c>
      <c r="E12994">
        <v>424003</v>
      </c>
      <c r="F12994" t="s">
        <v>1</v>
      </c>
      <c r="G12994" t="s">
        <v>2</v>
      </c>
      <c r="H12994" t="s">
        <v>38</v>
      </c>
      <c r="I12994" t="s">
        <v>24130</v>
      </c>
      <c r="M12994" t="s">
        <v>24131</v>
      </c>
      <c r="P12994" t="s">
        <v>216</v>
      </c>
      <c r="Y12994" t="s">
        <v>8462</v>
      </c>
    </row>
    <row r="12995" spans="1:25" x14ac:dyDescent="0.25">
      <c r="A12995" t="str">
        <f>"202064830979"</f>
        <v>202064830979</v>
      </c>
      <c r="B12995" t="s">
        <v>1352</v>
      </c>
      <c r="C12995" t="s">
        <v>46178</v>
      </c>
      <c r="D12995" t="s">
        <v>46174</v>
      </c>
      <c r="E12995">
        <v>424002</v>
      </c>
      <c r="F12995" t="s">
        <v>1</v>
      </c>
      <c r="G12995" t="s">
        <v>2</v>
      </c>
      <c r="H12995" t="s">
        <v>6656</v>
      </c>
      <c r="J12995" t="s">
        <v>46175</v>
      </c>
      <c r="L12995" t="s">
        <v>46176</v>
      </c>
      <c r="M12995" t="s">
        <v>46177</v>
      </c>
      <c r="P12995" t="s">
        <v>2923</v>
      </c>
      <c r="Y12995" t="s">
        <v>46179</v>
      </c>
    </row>
    <row r="12996" spans="1:25" x14ac:dyDescent="0.25">
      <c r="A12996" t="str">
        <f>"202079559404"</f>
        <v>202079559404</v>
      </c>
      <c r="B12996" t="s">
        <v>3652</v>
      </c>
      <c r="C12996" t="s">
        <v>3685</v>
      </c>
      <c r="D12996" t="s">
        <v>46180</v>
      </c>
      <c r="F12996" t="s">
        <v>1</v>
      </c>
      <c r="G12996" t="s">
        <v>2</v>
      </c>
      <c r="H12996" t="s">
        <v>7547</v>
      </c>
      <c r="Y12996" t="s">
        <v>46181</v>
      </c>
    </row>
    <row r="12997" spans="1:25" x14ac:dyDescent="0.25">
      <c r="A12997" t="str">
        <f>"202086629204"</f>
        <v>202086629204</v>
      </c>
      <c r="B12997" t="s">
        <v>352</v>
      </c>
      <c r="C12997" t="s">
        <v>3028</v>
      </c>
      <c r="D12997" t="s">
        <v>46182</v>
      </c>
      <c r="E12997">
        <v>424019</v>
      </c>
      <c r="F12997" t="s">
        <v>1</v>
      </c>
      <c r="G12997" t="s">
        <v>2</v>
      </c>
      <c r="H12997" t="s">
        <v>15355</v>
      </c>
      <c r="J12997" t="s">
        <v>46183</v>
      </c>
      <c r="L12997" t="s">
        <v>16920</v>
      </c>
      <c r="M12997" t="s">
        <v>46184</v>
      </c>
      <c r="P12997" t="s">
        <v>216</v>
      </c>
      <c r="Y12997" t="s">
        <v>15363</v>
      </c>
    </row>
    <row r="12998" spans="1:25" x14ac:dyDescent="0.25">
      <c r="A12998" t="str">
        <f>"202095327806"</f>
        <v>202095327806</v>
      </c>
      <c r="B12998" t="s">
        <v>117</v>
      </c>
      <c r="C12998" t="s">
        <v>873</v>
      </c>
      <c r="D12998" t="s">
        <v>873</v>
      </c>
      <c r="F12998" t="s">
        <v>1</v>
      </c>
      <c r="G12998" t="s">
        <v>2</v>
      </c>
      <c r="H12998" t="s">
        <v>29445</v>
      </c>
      <c r="Y12998" t="s">
        <v>46185</v>
      </c>
    </row>
    <row r="12999" spans="1:25" x14ac:dyDescent="0.25">
      <c r="A12999" t="str">
        <f>"202122483838"</f>
        <v>202122483838</v>
      </c>
      <c r="B12999" t="s">
        <v>290</v>
      </c>
      <c r="C12999" t="s">
        <v>290</v>
      </c>
      <c r="D12999" t="s">
        <v>46186</v>
      </c>
      <c r="E12999">
        <v>424000</v>
      </c>
      <c r="F12999" t="s">
        <v>1</v>
      </c>
      <c r="G12999" t="s">
        <v>2</v>
      </c>
      <c r="H12999" t="s">
        <v>6578</v>
      </c>
      <c r="J12999" t="s">
        <v>43396</v>
      </c>
      <c r="P12999" t="s">
        <v>1306</v>
      </c>
      <c r="Y12999" t="s">
        <v>9940</v>
      </c>
    </row>
    <row r="13000" spans="1:25" x14ac:dyDescent="0.25">
      <c r="A13000" t="str">
        <f>"202132932818"</f>
        <v>202132932818</v>
      </c>
      <c r="B13000" t="s">
        <v>123</v>
      </c>
      <c r="C13000" t="s">
        <v>10232</v>
      </c>
      <c r="D13000" t="s">
        <v>46187</v>
      </c>
      <c r="E13000">
        <v>424030</v>
      </c>
      <c r="F13000" t="s">
        <v>1</v>
      </c>
      <c r="G13000" t="s">
        <v>2</v>
      </c>
      <c r="H13000" t="s">
        <v>440</v>
      </c>
      <c r="Y13000" t="s">
        <v>4115</v>
      </c>
    </row>
    <row r="13001" spans="1:25" x14ac:dyDescent="0.25">
      <c r="A13001" t="str">
        <f>"202147294602"</f>
        <v>202147294602</v>
      </c>
      <c r="B13001" t="s">
        <v>1078</v>
      </c>
      <c r="C13001" t="s">
        <v>46192</v>
      </c>
      <c r="D13001" t="s">
        <v>46188</v>
      </c>
      <c r="E13001">
        <v>424007</v>
      </c>
      <c r="F13001" t="s">
        <v>1</v>
      </c>
      <c r="G13001" t="s">
        <v>2</v>
      </c>
      <c r="H13001" t="s">
        <v>1566</v>
      </c>
      <c r="I13001" t="s">
        <v>46189</v>
      </c>
      <c r="L13001" t="s">
        <v>46190</v>
      </c>
      <c r="M13001" t="s">
        <v>46191</v>
      </c>
      <c r="P13001" t="s">
        <v>280</v>
      </c>
      <c r="Y13001" t="s">
        <v>46193</v>
      </c>
    </row>
    <row r="13002" spans="1:25" x14ac:dyDescent="0.25">
      <c r="A13002" t="str">
        <f>"202192381321"</f>
        <v>202192381321</v>
      </c>
      <c r="B13002" t="s">
        <v>1222</v>
      </c>
      <c r="C13002" t="s">
        <v>4795</v>
      </c>
      <c r="D13002" t="s">
        <v>46194</v>
      </c>
      <c r="E13002">
        <v>424006</v>
      </c>
      <c r="F13002" t="s">
        <v>1</v>
      </c>
      <c r="G13002" t="s">
        <v>2</v>
      </c>
      <c r="H13002" t="s">
        <v>2966</v>
      </c>
      <c r="J13002" t="s">
        <v>41092</v>
      </c>
      <c r="M13002" t="s">
        <v>46195</v>
      </c>
      <c r="P13002" t="s">
        <v>340</v>
      </c>
      <c r="Y13002" t="s">
        <v>2970</v>
      </c>
    </row>
    <row r="13003" spans="1:25" x14ac:dyDescent="0.25">
      <c r="A13003" t="str">
        <f>"202220435694"</f>
        <v>202220435694</v>
      </c>
      <c r="B13003" t="s">
        <v>2104</v>
      </c>
      <c r="C13003" t="s">
        <v>37597</v>
      </c>
      <c r="D13003" t="s">
        <v>46196</v>
      </c>
      <c r="E13003">
        <v>424003</v>
      </c>
      <c r="F13003" t="s">
        <v>1</v>
      </c>
      <c r="G13003" t="s">
        <v>2</v>
      </c>
      <c r="H13003" t="s">
        <v>8724</v>
      </c>
      <c r="J13003" t="s">
        <v>31084</v>
      </c>
      <c r="P13003" t="s">
        <v>1306</v>
      </c>
      <c r="Q13003" t="s">
        <v>31086</v>
      </c>
      <c r="V13003" t="s">
        <v>31087</v>
      </c>
      <c r="Y13003" t="s">
        <v>46197</v>
      </c>
    </row>
    <row r="13004" spans="1:25" x14ac:dyDescent="0.25">
      <c r="A13004" t="str">
        <f>"202261080415"</f>
        <v>202261080415</v>
      </c>
      <c r="B13004" t="s">
        <v>430</v>
      </c>
      <c r="C13004" t="s">
        <v>46198</v>
      </c>
      <c r="D13004" t="s">
        <v>46198</v>
      </c>
      <c r="E13004">
        <v>424004</v>
      </c>
      <c r="F13004" t="s">
        <v>1</v>
      </c>
      <c r="G13004" t="s">
        <v>2</v>
      </c>
      <c r="H13004" t="s">
        <v>229</v>
      </c>
      <c r="Y13004" t="s">
        <v>35668</v>
      </c>
    </row>
    <row r="13005" spans="1:25" x14ac:dyDescent="0.25">
      <c r="A13005" t="str">
        <f>"202335582219"</f>
        <v>202335582219</v>
      </c>
      <c r="B13005" t="s">
        <v>32</v>
      </c>
      <c r="C13005" t="s">
        <v>20137</v>
      </c>
      <c r="D13005" t="s">
        <v>46199</v>
      </c>
      <c r="E13005">
        <v>424000</v>
      </c>
      <c r="F13005" t="s">
        <v>1</v>
      </c>
      <c r="G13005" t="s">
        <v>2</v>
      </c>
      <c r="H13005" t="s">
        <v>1473</v>
      </c>
      <c r="I13005" t="s">
        <v>46200</v>
      </c>
      <c r="P13005" t="s">
        <v>13820</v>
      </c>
      <c r="Y13005" t="s">
        <v>4067</v>
      </c>
    </row>
    <row r="13006" spans="1:25" x14ac:dyDescent="0.25">
      <c r="A13006" t="str">
        <f>"202338772703"</f>
        <v>202338772703</v>
      </c>
      <c r="B13006" t="s">
        <v>352</v>
      </c>
      <c r="C13006" t="s">
        <v>46202</v>
      </c>
      <c r="D13006" t="s">
        <v>46201</v>
      </c>
      <c r="E13006">
        <v>424033</v>
      </c>
      <c r="F13006" t="s">
        <v>1</v>
      </c>
      <c r="G13006" t="s">
        <v>2</v>
      </c>
      <c r="H13006" t="s">
        <v>39506</v>
      </c>
      <c r="Y13006" t="s">
        <v>46203</v>
      </c>
    </row>
    <row r="13007" spans="1:25" x14ac:dyDescent="0.25">
      <c r="A13007" t="str">
        <f>"202346010128"</f>
        <v>202346010128</v>
      </c>
      <c r="B13007" t="s">
        <v>1611</v>
      </c>
      <c r="C13007" t="s">
        <v>3218</v>
      </c>
      <c r="D13007" t="s">
        <v>46204</v>
      </c>
      <c r="E13007">
        <v>424031</v>
      </c>
      <c r="F13007" t="s">
        <v>1</v>
      </c>
      <c r="G13007" t="s">
        <v>2</v>
      </c>
      <c r="H13007" t="s">
        <v>40928</v>
      </c>
      <c r="I13007" t="s">
        <v>46205</v>
      </c>
      <c r="L13007" t="s">
        <v>3217</v>
      </c>
      <c r="P13007" t="s">
        <v>12632</v>
      </c>
      <c r="Y13007" t="s">
        <v>20062</v>
      </c>
    </row>
    <row r="13008" spans="1:25" x14ac:dyDescent="0.25">
      <c r="A13008" t="str">
        <f>"202382315667"</f>
        <v>202382315667</v>
      </c>
      <c r="B13008" t="s">
        <v>1391</v>
      </c>
      <c r="C13008" t="s">
        <v>46208</v>
      </c>
      <c r="D13008" t="s">
        <v>46206</v>
      </c>
      <c r="E13008">
        <v>424039</v>
      </c>
      <c r="F13008" t="s">
        <v>1</v>
      </c>
      <c r="G13008" t="s">
        <v>2</v>
      </c>
      <c r="H13008" t="s">
        <v>44732</v>
      </c>
      <c r="I13008" t="s">
        <v>46207</v>
      </c>
      <c r="P13008" t="s">
        <v>8256</v>
      </c>
      <c r="Y13008" t="s">
        <v>46209</v>
      </c>
    </row>
    <row r="13009" spans="1:25" x14ac:dyDescent="0.25">
      <c r="A13009" t="str">
        <f>"202451651729"</f>
        <v>202451651729</v>
      </c>
      <c r="B13009" t="s">
        <v>530</v>
      </c>
      <c r="C13009" t="s">
        <v>23950</v>
      </c>
      <c r="D13009" t="s">
        <v>23950</v>
      </c>
      <c r="E13009">
        <v>424002</v>
      </c>
      <c r="F13009" t="s">
        <v>1</v>
      </c>
      <c r="G13009" t="s">
        <v>2</v>
      </c>
      <c r="H13009" t="s">
        <v>20175</v>
      </c>
      <c r="Y13009" t="s">
        <v>46210</v>
      </c>
    </row>
    <row r="13010" spans="1:25" x14ac:dyDescent="0.25">
      <c r="A13010" t="str">
        <f>"202465944701"</f>
        <v>202465944701</v>
      </c>
      <c r="B13010" t="s">
        <v>530</v>
      </c>
      <c r="C13010" t="s">
        <v>23950</v>
      </c>
      <c r="D13010" t="s">
        <v>23950</v>
      </c>
      <c r="F13010" t="s">
        <v>1</v>
      </c>
      <c r="G13010" t="s">
        <v>2</v>
      </c>
      <c r="H13010" t="s">
        <v>27308</v>
      </c>
      <c r="Y13010" t="s">
        <v>46211</v>
      </c>
    </row>
    <row r="13011" spans="1:25" x14ac:dyDescent="0.25">
      <c r="A13011" t="str">
        <f>"202490349260"</f>
        <v>202490349260</v>
      </c>
      <c r="B13011" t="s">
        <v>574</v>
      </c>
      <c r="C13011" t="s">
        <v>646</v>
      </c>
      <c r="D13011" t="s">
        <v>46212</v>
      </c>
      <c r="E13011">
        <v>424020</v>
      </c>
      <c r="F13011" t="s">
        <v>1</v>
      </c>
      <c r="G13011" t="s">
        <v>2</v>
      </c>
      <c r="H13011" t="s">
        <v>4933</v>
      </c>
      <c r="Y13011" t="s">
        <v>46213</v>
      </c>
    </row>
    <row r="13012" spans="1:25" x14ac:dyDescent="0.25">
      <c r="A13012" t="str">
        <f>"202517637828"</f>
        <v>202517637828</v>
      </c>
      <c r="B13012" t="s">
        <v>88</v>
      </c>
      <c r="C13012" t="s">
        <v>8056</v>
      </c>
      <c r="D13012" t="s">
        <v>46214</v>
      </c>
      <c r="E13012">
        <v>424918</v>
      </c>
      <c r="F13012" t="s">
        <v>1</v>
      </c>
      <c r="G13012" t="s">
        <v>2</v>
      </c>
      <c r="H13012" t="s">
        <v>629</v>
      </c>
      <c r="P13012" t="s">
        <v>630</v>
      </c>
      <c r="Y13012" t="s">
        <v>1744</v>
      </c>
    </row>
    <row r="13013" spans="1:25" x14ac:dyDescent="0.25">
      <c r="A13013" t="str">
        <f>"202524354072"</f>
        <v>202524354072</v>
      </c>
      <c r="B13013" t="s">
        <v>10383</v>
      </c>
      <c r="C13013" t="s">
        <v>31853</v>
      </c>
      <c r="D13013" t="s">
        <v>46215</v>
      </c>
      <c r="E13013">
        <v>424006</v>
      </c>
      <c r="F13013" t="s">
        <v>1</v>
      </c>
      <c r="G13013" t="s">
        <v>2</v>
      </c>
      <c r="H13013" t="s">
        <v>18109</v>
      </c>
      <c r="Y13013" t="s">
        <v>46216</v>
      </c>
    </row>
    <row r="13014" spans="1:25" x14ac:dyDescent="0.25">
      <c r="A13014" t="str">
        <f>"202537550889"</f>
        <v>202537550889</v>
      </c>
      <c r="B13014" t="s">
        <v>1573</v>
      </c>
      <c r="C13014" t="s">
        <v>1817</v>
      </c>
      <c r="D13014" t="s">
        <v>24505</v>
      </c>
      <c r="F13014" t="s">
        <v>1</v>
      </c>
      <c r="G13014" t="s">
        <v>2</v>
      </c>
      <c r="H13014" t="s">
        <v>4152</v>
      </c>
      <c r="Y13014" t="s">
        <v>46217</v>
      </c>
    </row>
    <row r="13015" spans="1:25" x14ac:dyDescent="0.25">
      <c r="A13015" t="str">
        <f>"202657233660"</f>
        <v>202657233660</v>
      </c>
      <c r="B13015" t="s">
        <v>18</v>
      </c>
      <c r="C13015" t="s">
        <v>46221</v>
      </c>
      <c r="D13015" t="s">
        <v>46218</v>
      </c>
      <c r="E13015">
        <v>424033</v>
      </c>
      <c r="F13015" t="s">
        <v>1</v>
      </c>
      <c r="G13015" t="s">
        <v>2</v>
      </c>
      <c r="H13015" t="s">
        <v>1383</v>
      </c>
      <c r="L13015" t="s">
        <v>46219</v>
      </c>
      <c r="M13015" t="s">
        <v>46220</v>
      </c>
      <c r="Y13015" t="s">
        <v>46222</v>
      </c>
    </row>
    <row r="13016" spans="1:25" x14ac:dyDescent="0.25">
      <c r="A13016" t="str">
        <f>"202671148643"</f>
        <v>202671148643</v>
      </c>
      <c r="B13016" t="s">
        <v>96</v>
      </c>
      <c r="C13016" t="s">
        <v>12339</v>
      </c>
      <c r="D13016" t="s">
        <v>46223</v>
      </c>
      <c r="E13016">
        <v>424038</v>
      </c>
      <c r="F13016" t="s">
        <v>1</v>
      </c>
      <c r="G13016" t="s">
        <v>2</v>
      </c>
      <c r="H13016" t="s">
        <v>7597</v>
      </c>
      <c r="I13016" t="s">
        <v>46224</v>
      </c>
      <c r="L13016" t="s">
        <v>46225</v>
      </c>
      <c r="M13016" t="s">
        <v>46226</v>
      </c>
      <c r="P13016" t="s">
        <v>1642</v>
      </c>
      <c r="V13016" t="s">
        <v>46227</v>
      </c>
      <c r="Y13016" t="s">
        <v>46228</v>
      </c>
    </row>
    <row r="13017" spans="1:25" x14ac:dyDescent="0.25">
      <c r="A13017" t="str">
        <f>"202676993576"</f>
        <v>202676993576</v>
      </c>
      <c r="B13017" t="s">
        <v>4084</v>
      </c>
      <c r="C13017" t="s">
        <v>28282</v>
      </c>
      <c r="D13017" t="s">
        <v>28461</v>
      </c>
      <c r="E13017">
        <v>424004</v>
      </c>
      <c r="F13017" t="s">
        <v>1</v>
      </c>
      <c r="G13017" t="s">
        <v>2</v>
      </c>
      <c r="H13017" t="s">
        <v>7947</v>
      </c>
      <c r="Y13017" t="s">
        <v>38099</v>
      </c>
    </row>
    <row r="13018" spans="1:25" x14ac:dyDescent="0.25">
      <c r="A13018" t="str">
        <f>"202677467650"</f>
        <v>202677467650</v>
      </c>
      <c r="B13018" t="s">
        <v>176</v>
      </c>
      <c r="C13018" t="s">
        <v>29570</v>
      </c>
      <c r="D13018" t="s">
        <v>46229</v>
      </c>
      <c r="F13018" t="s">
        <v>1</v>
      </c>
      <c r="G13018" t="s">
        <v>2</v>
      </c>
      <c r="H13018" t="s">
        <v>46230</v>
      </c>
      <c r="J13018" t="s">
        <v>46231</v>
      </c>
      <c r="Y13018" t="s">
        <v>46232</v>
      </c>
    </row>
    <row r="13019" spans="1:25" x14ac:dyDescent="0.25">
      <c r="A13019" t="str">
        <f>"202695677756"</f>
        <v>202695677756</v>
      </c>
      <c r="B13019" t="s">
        <v>18</v>
      </c>
      <c r="C13019" t="s">
        <v>46235</v>
      </c>
      <c r="D13019" t="s">
        <v>46233</v>
      </c>
      <c r="E13019">
        <v>424016</v>
      </c>
      <c r="F13019" t="s">
        <v>1</v>
      </c>
      <c r="G13019" t="s">
        <v>2</v>
      </c>
      <c r="H13019" t="s">
        <v>3703</v>
      </c>
      <c r="I13019" t="s">
        <v>46234</v>
      </c>
      <c r="L13019" t="s">
        <v>13279</v>
      </c>
      <c r="M13019" t="s">
        <v>13280</v>
      </c>
      <c r="P13019" t="s">
        <v>2362</v>
      </c>
      <c r="Y13019" t="s">
        <v>5274</v>
      </c>
    </row>
    <row r="13020" spans="1:25" x14ac:dyDescent="0.25">
      <c r="A13020" t="str">
        <f>"202696917104"</f>
        <v>202696917104</v>
      </c>
      <c r="B13020" t="s">
        <v>5840</v>
      </c>
      <c r="C13020" t="s">
        <v>46240</v>
      </c>
      <c r="D13020" t="s">
        <v>46236</v>
      </c>
      <c r="E13020">
        <v>424006</v>
      </c>
      <c r="F13020" t="s">
        <v>1</v>
      </c>
      <c r="G13020" t="s">
        <v>2</v>
      </c>
      <c r="H13020" t="s">
        <v>8622</v>
      </c>
      <c r="J13020" t="s">
        <v>46237</v>
      </c>
      <c r="L13020" t="s">
        <v>46238</v>
      </c>
      <c r="M13020" t="s">
        <v>46239</v>
      </c>
      <c r="P13020" t="s">
        <v>152</v>
      </c>
      <c r="Y13020" t="s">
        <v>8866</v>
      </c>
    </row>
    <row r="13021" spans="1:25" x14ac:dyDescent="0.25">
      <c r="A13021" t="str">
        <f>"202701943511"</f>
        <v>202701943511</v>
      </c>
      <c r="B13021" t="s">
        <v>654</v>
      </c>
      <c r="C13021" t="s">
        <v>13627</v>
      </c>
      <c r="D13021" t="s">
        <v>46241</v>
      </c>
      <c r="E13021">
        <v>424033</v>
      </c>
      <c r="F13021" t="s">
        <v>1</v>
      </c>
      <c r="G13021" t="s">
        <v>2</v>
      </c>
      <c r="H13021" t="s">
        <v>19261</v>
      </c>
      <c r="L13021" t="s">
        <v>46242</v>
      </c>
      <c r="M13021" t="s">
        <v>46243</v>
      </c>
      <c r="Y13021" t="s">
        <v>20857</v>
      </c>
    </row>
    <row r="13022" spans="1:25" x14ac:dyDescent="0.25">
      <c r="A13022" t="str">
        <f>"202742626099"</f>
        <v>202742626099</v>
      </c>
      <c r="B13022" t="s">
        <v>25</v>
      </c>
      <c r="C13022" t="s">
        <v>20320</v>
      </c>
      <c r="D13022" t="s">
        <v>46244</v>
      </c>
      <c r="F13022" t="s">
        <v>1</v>
      </c>
      <c r="G13022" t="s">
        <v>2</v>
      </c>
      <c r="H13022" t="s">
        <v>46245</v>
      </c>
      <c r="Y13022" t="s">
        <v>46246</v>
      </c>
    </row>
    <row r="13023" spans="1:25" x14ac:dyDescent="0.25">
      <c r="A13023" t="str">
        <f>"202778814684"</f>
        <v>202778814684</v>
      </c>
      <c r="B13023" t="s">
        <v>738</v>
      </c>
      <c r="C13023" t="s">
        <v>739</v>
      </c>
      <c r="D13023" t="s">
        <v>46247</v>
      </c>
      <c r="E13023">
        <v>424020</v>
      </c>
      <c r="F13023" t="s">
        <v>1</v>
      </c>
      <c r="G13023" t="s">
        <v>2</v>
      </c>
      <c r="H13023" t="s">
        <v>3</v>
      </c>
      <c r="J13023" t="s">
        <v>46248</v>
      </c>
      <c r="P13023" t="s">
        <v>13585</v>
      </c>
      <c r="Y13023" t="s">
        <v>14153</v>
      </c>
    </row>
    <row r="13024" spans="1:25" x14ac:dyDescent="0.25">
      <c r="A13024" t="str">
        <f>"202791490578"</f>
        <v>202791490578</v>
      </c>
      <c r="B13024" t="s">
        <v>1046</v>
      </c>
      <c r="C13024" t="s">
        <v>22946</v>
      </c>
      <c r="D13024" t="s">
        <v>22946</v>
      </c>
      <c r="E13024">
        <v>424028</v>
      </c>
      <c r="F13024" t="s">
        <v>1</v>
      </c>
      <c r="G13024" t="s">
        <v>2</v>
      </c>
      <c r="H13024" t="s">
        <v>19423</v>
      </c>
      <c r="Y13024" t="s">
        <v>46249</v>
      </c>
    </row>
    <row r="13025" spans="1:25" x14ac:dyDescent="0.25">
      <c r="A13025" t="str">
        <f>"202840806006"</f>
        <v>202840806006</v>
      </c>
      <c r="B13025" t="s">
        <v>7312</v>
      </c>
      <c r="C13025" t="s">
        <v>21136</v>
      </c>
      <c r="D13025" t="s">
        <v>46250</v>
      </c>
      <c r="E13025">
        <v>424028</v>
      </c>
      <c r="F13025" t="s">
        <v>1</v>
      </c>
      <c r="G13025" t="s">
        <v>2</v>
      </c>
      <c r="H13025" t="s">
        <v>3628</v>
      </c>
      <c r="Y13025" t="s">
        <v>6934</v>
      </c>
    </row>
    <row r="13026" spans="1:25" x14ac:dyDescent="0.25">
      <c r="A13026" t="str">
        <f>"202883188321"</f>
        <v>202883188321</v>
      </c>
      <c r="B13026" t="s">
        <v>574</v>
      </c>
      <c r="C13026" t="s">
        <v>646</v>
      </c>
      <c r="D13026" t="s">
        <v>33144</v>
      </c>
      <c r="E13026">
        <v>424038</v>
      </c>
      <c r="F13026" t="s">
        <v>1</v>
      </c>
      <c r="G13026" t="s">
        <v>2</v>
      </c>
      <c r="H13026" t="s">
        <v>1366</v>
      </c>
      <c r="Y13026" t="s">
        <v>46251</v>
      </c>
    </row>
    <row r="13027" spans="1:25" x14ac:dyDescent="0.25">
      <c r="A13027" t="str">
        <f>"202895233822"</f>
        <v>202895233822</v>
      </c>
      <c r="B13027" t="s">
        <v>96</v>
      </c>
      <c r="C13027" t="s">
        <v>659</v>
      </c>
      <c r="D13027" t="s">
        <v>45192</v>
      </c>
      <c r="E13027">
        <v>424007</v>
      </c>
      <c r="F13027" t="s">
        <v>1</v>
      </c>
      <c r="G13027" t="s">
        <v>2</v>
      </c>
      <c r="H13027" t="s">
        <v>5178</v>
      </c>
      <c r="P13027" t="s">
        <v>2731</v>
      </c>
      <c r="Y13027" t="s">
        <v>46252</v>
      </c>
    </row>
    <row r="13028" spans="1:25" x14ac:dyDescent="0.25">
      <c r="A13028" t="str">
        <f>"202936171394"</f>
        <v>202936171394</v>
      </c>
      <c r="B13028" t="s">
        <v>530</v>
      </c>
      <c r="C13028" t="s">
        <v>23950</v>
      </c>
      <c r="D13028" t="s">
        <v>23950</v>
      </c>
      <c r="F13028" t="s">
        <v>1</v>
      </c>
      <c r="G13028" t="s">
        <v>2</v>
      </c>
      <c r="H13028" t="s">
        <v>46253</v>
      </c>
      <c r="Y13028" t="s">
        <v>46254</v>
      </c>
    </row>
    <row r="13029" spans="1:25" x14ac:dyDescent="0.25">
      <c r="A13029" t="str">
        <f>"202989930604"</f>
        <v>202989930604</v>
      </c>
      <c r="B13029" t="s">
        <v>1053</v>
      </c>
      <c r="C13029" t="s">
        <v>1927</v>
      </c>
      <c r="D13029" t="s">
        <v>46255</v>
      </c>
      <c r="E13029">
        <v>424032</v>
      </c>
      <c r="F13029" t="s">
        <v>1</v>
      </c>
      <c r="G13029" t="s">
        <v>2</v>
      </c>
      <c r="H13029" t="s">
        <v>3508</v>
      </c>
      <c r="Y13029" t="s">
        <v>3514</v>
      </c>
    </row>
    <row r="13030" spans="1:25" x14ac:dyDescent="0.25">
      <c r="A13030" t="str">
        <f>"203002996158"</f>
        <v>203002996158</v>
      </c>
      <c r="B13030" t="s">
        <v>2062</v>
      </c>
      <c r="C13030" t="s">
        <v>3293</v>
      </c>
      <c r="D13030" t="s">
        <v>46256</v>
      </c>
      <c r="E13030">
        <v>424004</v>
      </c>
      <c r="F13030" t="s">
        <v>1</v>
      </c>
      <c r="G13030" t="s">
        <v>2</v>
      </c>
      <c r="H13030" t="s">
        <v>5197</v>
      </c>
      <c r="P13030" t="s">
        <v>152</v>
      </c>
      <c r="Y13030" t="s">
        <v>46257</v>
      </c>
    </row>
    <row r="13031" spans="1:25" x14ac:dyDescent="0.25">
      <c r="A13031" t="str">
        <f>"203025333705"</f>
        <v>203025333705</v>
      </c>
      <c r="B13031" t="s">
        <v>687</v>
      </c>
      <c r="C13031" t="s">
        <v>40616</v>
      </c>
      <c r="D13031" t="s">
        <v>46258</v>
      </c>
      <c r="E13031">
        <v>424007</v>
      </c>
      <c r="F13031" t="s">
        <v>1</v>
      </c>
      <c r="G13031" t="s">
        <v>2</v>
      </c>
      <c r="H13031" t="s">
        <v>24663</v>
      </c>
      <c r="I13031" t="s">
        <v>46259</v>
      </c>
      <c r="L13031" t="s">
        <v>46260</v>
      </c>
      <c r="M13031" t="s">
        <v>46261</v>
      </c>
      <c r="P13031" t="s">
        <v>390</v>
      </c>
      <c r="U13031" t="s">
        <v>46262</v>
      </c>
      <c r="V13031" t="s">
        <v>46263</v>
      </c>
      <c r="Y13031" t="s">
        <v>24669</v>
      </c>
    </row>
    <row r="13032" spans="1:25" x14ac:dyDescent="0.25">
      <c r="A13032" t="str">
        <f>"203055427000"</f>
        <v>203055427000</v>
      </c>
      <c r="B13032" t="s">
        <v>1617</v>
      </c>
      <c r="C13032" t="s">
        <v>21001</v>
      </c>
      <c r="D13032" t="s">
        <v>20999</v>
      </c>
      <c r="E13032">
        <v>424003</v>
      </c>
      <c r="F13032" t="s">
        <v>1</v>
      </c>
      <c r="G13032" t="s">
        <v>2</v>
      </c>
      <c r="H13032" t="s">
        <v>34931</v>
      </c>
      <c r="Y13032" t="s">
        <v>46264</v>
      </c>
    </row>
    <row r="13033" spans="1:25" x14ac:dyDescent="0.25">
      <c r="A13033" t="str">
        <f>"203062513848"</f>
        <v>203062513848</v>
      </c>
      <c r="B13033" t="s">
        <v>18</v>
      </c>
      <c r="C13033" t="s">
        <v>959</v>
      </c>
      <c r="D13033" t="s">
        <v>16444</v>
      </c>
      <c r="E13033">
        <v>424003</v>
      </c>
      <c r="F13033" t="s">
        <v>1</v>
      </c>
      <c r="G13033" t="s">
        <v>2</v>
      </c>
      <c r="H13033" t="s">
        <v>46265</v>
      </c>
      <c r="Y13033" t="s">
        <v>46266</v>
      </c>
    </row>
    <row r="13034" spans="1:25" x14ac:dyDescent="0.25">
      <c r="A13034" t="str">
        <f>"203085259618"</f>
        <v>203085259618</v>
      </c>
      <c r="B13034" t="s">
        <v>18</v>
      </c>
      <c r="C13034" t="s">
        <v>46271</v>
      </c>
      <c r="D13034" t="s">
        <v>46267</v>
      </c>
      <c r="E13034">
        <v>424006</v>
      </c>
      <c r="F13034" t="s">
        <v>1</v>
      </c>
      <c r="G13034" t="s">
        <v>2</v>
      </c>
      <c r="H13034" t="s">
        <v>2012</v>
      </c>
      <c r="I13034" t="s">
        <v>46268</v>
      </c>
      <c r="L13034" t="s">
        <v>46269</v>
      </c>
      <c r="M13034" t="s">
        <v>46270</v>
      </c>
      <c r="P13034" t="s">
        <v>6509</v>
      </c>
      <c r="V13034" t="s">
        <v>46272</v>
      </c>
      <c r="Y13034" t="s">
        <v>46273</v>
      </c>
    </row>
    <row r="13035" spans="1:25" x14ac:dyDescent="0.25">
      <c r="A13035" t="str">
        <f>"203108042009"</f>
        <v>203108042009</v>
      </c>
      <c r="B13035" t="s">
        <v>1475</v>
      </c>
      <c r="C13035" t="s">
        <v>1476</v>
      </c>
      <c r="D13035" t="s">
        <v>46274</v>
      </c>
      <c r="E13035">
        <v>424033</v>
      </c>
      <c r="F13035" t="s">
        <v>1</v>
      </c>
      <c r="G13035" t="s">
        <v>2</v>
      </c>
      <c r="H13035" t="s">
        <v>10720</v>
      </c>
      <c r="Y13035" t="s">
        <v>46275</v>
      </c>
    </row>
    <row r="13036" spans="1:25" x14ac:dyDescent="0.25">
      <c r="A13036" t="str">
        <f>"203108812072"</f>
        <v>203108812072</v>
      </c>
      <c r="B13036" t="s">
        <v>456</v>
      </c>
      <c r="C13036" t="s">
        <v>46277</v>
      </c>
      <c r="D13036" t="s">
        <v>46276</v>
      </c>
      <c r="E13036">
        <v>424039</v>
      </c>
      <c r="F13036" t="s">
        <v>1</v>
      </c>
      <c r="G13036" t="s">
        <v>2</v>
      </c>
      <c r="H13036" t="s">
        <v>17375</v>
      </c>
      <c r="I13036" t="s">
        <v>32201</v>
      </c>
      <c r="P13036" t="s">
        <v>330</v>
      </c>
      <c r="Q13036" t="s">
        <v>28693</v>
      </c>
      <c r="U13036" t="s">
        <v>32204</v>
      </c>
      <c r="V13036" t="s">
        <v>32205</v>
      </c>
      <c r="Y13036" t="s">
        <v>46278</v>
      </c>
    </row>
    <row r="13037" spans="1:25" x14ac:dyDescent="0.25">
      <c r="A13037" t="str">
        <f>"203116593422"</f>
        <v>203116593422</v>
      </c>
      <c r="B13037" t="s">
        <v>1152</v>
      </c>
      <c r="C13037" t="s">
        <v>1153</v>
      </c>
      <c r="D13037" t="s">
        <v>24071</v>
      </c>
      <c r="E13037">
        <v>424000</v>
      </c>
      <c r="F13037" t="s">
        <v>1</v>
      </c>
      <c r="G13037" t="s">
        <v>2</v>
      </c>
      <c r="H13037" t="s">
        <v>2671</v>
      </c>
      <c r="P13037" t="s">
        <v>11446</v>
      </c>
      <c r="Q13037" t="s">
        <v>46279</v>
      </c>
      <c r="R13037" t="s">
        <v>46280</v>
      </c>
      <c r="S13037" t="s">
        <v>46281</v>
      </c>
      <c r="T13037" t="s">
        <v>46282</v>
      </c>
      <c r="U13037" t="s">
        <v>46283</v>
      </c>
      <c r="Y13037" t="s">
        <v>46284</v>
      </c>
    </row>
    <row r="13038" spans="1:25" x14ac:dyDescent="0.25">
      <c r="A13038" t="str">
        <f>"203164100978"</f>
        <v>203164100978</v>
      </c>
      <c r="B13038" t="s">
        <v>930</v>
      </c>
      <c r="C13038" t="s">
        <v>1096</v>
      </c>
      <c r="D13038" t="s">
        <v>46285</v>
      </c>
      <c r="E13038">
        <v>424006</v>
      </c>
      <c r="F13038" t="s">
        <v>1</v>
      </c>
      <c r="G13038" t="s">
        <v>2</v>
      </c>
      <c r="H13038" t="s">
        <v>25538</v>
      </c>
      <c r="J13038" t="s">
        <v>46286</v>
      </c>
      <c r="L13038" t="s">
        <v>597</v>
      </c>
      <c r="M13038" t="s">
        <v>46287</v>
      </c>
      <c r="P13038" t="s">
        <v>1160</v>
      </c>
      <c r="Y13038" t="s">
        <v>25540</v>
      </c>
    </row>
    <row r="13039" spans="1:25" x14ac:dyDescent="0.25">
      <c r="A13039" t="str">
        <f>"203197589792"</f>
        <v>203197589792</v>
      </c>
      <c r="B13039" t="s">
        <v>18</v>
      </c>
      <c r="C13039" t="s">
        <v>143</v>
      </c>
      <c r="D13039" t="s">
        <v>46288</v>
      </c>
      <c r="E13039">
        <v>424005</v>
      </c>
      <c r="F13039" t="s">
        <v>1</v>
      </c>
      <c r="G13039" t="s">
        <v>2</v>
      </c>
      <c r="H13039" t="s">
        <v>17184</v>
      </c>
      <c r="L13039" t="s">
        <v>46289</v>
      </c>
      <c r="M13039" t="s">
        <v>46290</v>
      </c>
      <c r="P13039" t="s">
        <v>280</v>
      </c>
      <c r="Y13039" t="s">
        <v>17189</v>
      </c>
    </row>
    <row r="13040" spans="1:25" x14ac:dyDescent="0.25">
      <c r="A13040" t="str">
        <f>"203220654190"</f>
        <v>203220654190</v>
      </c>
      <c r="B13040" t="s">
        <v>7</v>
      </c>
      <c r="C13040" t="s">
        <v>8238</v>
      </c>
      <c r="D13040" t="s">
        <v>8238</v>
      </c>
      <c r="E13040">
        <v>424028</v>
      </c>
      <c r="F13040" t="s">
        <v>1</v>
      </c>
      <c r="G13040" t="s">
        <v>2</v>
      </c>
      <c r="H13040" t="s">
        <v>18467</v>
      </c>
      <c r="Q13040" t="s">
        <v>46291</v>
      </c>
      <c r="Y13040" t="s">
        <v>42923</v>
      </c>
    </row>
    <row r="13041" spans="1:25" x14ac:dyDescent="0.25">
      <c r="A13041" t="str">
        <f>"203221432342"</f>
        <v>203221432342</v>
      </c>
      <c r="B13041" t="s">
        <v>3094</v>
      </c>
      <c r="C13041" t="s">
        <v>7029</v>
      </c>
      <c r="D13041" t="s">
        <v>46292</v>
      </c>
      <c r="E13041">
        <v>424007</v>
      </c>
      <c r="F13041" t="s">
        <v>1</v>
      </c>
      <c r="G13041" t="s">
        <v>2</v>
      </c>
      <c r="H13041" t="s">
        <v>1319</v>
      </c>
      <c r="L13041" t="s">
        <v>46293</v>
      </c>
      <c r="Q13041" t="s">
        <v>46294</v>
      </c>
      <c r="Y13041" t="s">
        <v>46295</v>
      </c>
    </row>
    <row r="13042" spans="1:25" x14ac:dyDescent="0.25">
      <c r="A13042" t="str">
        <f>"203266647290"</f>
        <v>203266647290</v>
      </c>
      <c r="B13042" t="s">
        <v>1758</v>
      </c>
      <c r="C13042" t="s">
        <v>8089</v>
      </c>
      <c r="D13042" t="s">
        <v>46296</v>
      </c>
      <c r="E13042">
        <v>424000</v>
      </c>
      <c r="F13042" t="s">
        <v>1</v>
      </c>
      <c r="G13042" t="s">
        <v>2</v>
      </c>
      <c r="H13042" t="s">
        <v>1473</v>
      </c>
      <c r="P13042" t="s">
        <v>941</v>
      </c>
      <c r="Y13042" t="s">
        <v>46297</v>
      </c>
    </row>
    <row r="13043" spans="1:25" x14ac:dyDescent="0.25">
      <c r="A13043" t="str">
        <f>"203286413449"</f>
        <v>203286413449</v>
      </c>
      <c r="B13043" t="s">
        <v>1053</v>
      </c>
      <c r="C13043" t="s">
        <v>1799</v>
      </c>
      <c r="D13043" t="s">
        <v>16829</v>
      </c>
      <c r="F13043" t="s">
        <v>1</v>
      </c>
      <c r="G13043" t="s">
        <v>2</v>
      </c>
      <c r="H13043" t="s">
        <v>46298</v>
      </c>
      <c r="I13043" t="s">
        <v>16830</v>
      </c>
      <c r="J13043" t="s">
        <v>16831</v>
      </c>
      <c r="P13043" t="s">
        <v>20</v>
      </c>
      <c r="Y13043" t="s">
        <v>46299</v>
      </c>
    </row>
    <row r="13044" spans="1:25" x14ac:dyDescent="0.25">
      <c r="A13044" t="str">
        <f>"203312952930"</f>
        <v>203312952930</v>
      </c>
      <c r="B13044" t="s">
        <v>574</v>
      </c>
      <c r="C13044" t="s">
        <v>9802</v>
      </c>
      <c r="D13044" t="s">
        <v>9802</v>
      </c>
      <c r="E13044">
        <v>424038</v>
      </c>
      <c r="F13044" t="s">
        <v>1</v>
      </c>
      <c r="G13044" t="s">
        <v>2</v>
      </c>
      <c r="H13044" t="s">
        <v>14026</v>
      </c>
      <c r="Y13044" t="s">
        <v>46300</v>
      </c>
    </row>
    <row r="13045" spans="1:25" x14ac:dyDescent="0.25">
      <c r="A13045" t="str">
        <f>"203314159121"</f>
        <v>203314159121</v>
      </c>
      <c r="B13045" t="s">
        <v>1053</v>
      </c>
      <c r="C13045" t="s">
        <v>1927</v>
      </c>
      <c r="D13045" t="s">
        <v>46301</v>
      </c>
      <c r="E13045">
        <v>424004</v>
      </c>
      <c r="F13045" t="s">
        <v>1</v>
      </c>
      <c r="G13045" t="s">
        <v>2</v>
      </c>
      <c r="H13045" t="s">
        <v>2589</v>
      </c>
      <c r="I13045" t="s">
        <v>46302</v>
      </c>
      <c r="J13045" t="s">
        <v>46303</v>
      </c>
      <c r="P13045" t="s">
        <v>27</v>
      </c>
      <c r="Y13045" t="s">
        <v>2595</v>
      </c>
    </row>
    <row r="13046" spans="1:25" x14ac:dyDescent="0.25">
      <c r="A13046" t="str">
        <f>"203324730458"</f>
        <v>203324730458</v>
      </c>
      <c r="B13046" t="s">
        <v>5573</v>
      </c>
      <c r="C13046" t="s">
        <v>21453</v>
      </c>
      <c r="D13046" t="s">
        <v>25138</v>
      </c>
      <c r="E13046">
        <v>424038</v>
      </c>
      <c r="F13046" t="s">
        <v>1</v>
      </c>
      <c r="G13046" t="s">
        <v>2</v>
      </c>
      <c r="H13046" t="s">
        <v>7597</v>
      </c>
      <c r="I13046" t="s">
        <v>46304</v>
      </c>
      <c r="L13046" t="s">
        <v>29901</v>
      </c>
      <c r="M13046" t="s">
        <v>25142</v>
      </c>
      <c r="P13046" t="s">
        <v>1642</v>
      </c>
      <c r="Q13046" t="s">
        <v>29902</v>
      </c>
      <c r="Y13046" t="s">
        <v>16150</v>
      </c>
    </row>
    <row r="13047" spans="1:25" x14ac:dyDescent="0.25">
      <c r="A13047" t="str">
        <f>"203403417208"</f>
        <v>203403417208</v>
      </c>
      <c r="B13047" t="s">
        <v>574</v>
      </c>
      <c r="C13047" t="s">
        <v>646</v>
      </c>
      <c r="D13047" t="s">
        <v>46305</v>
      </c>
      <c r="E13047">
        <v>424000</v>
      </c>
      <c r="F13047" t="s">
        <v>1</v>
      </c>
      <c r="G13047" t="s">
        <v>2</v>
      </c>
      <c r="H13047" t="s">
        <v>2925</v>
      </c>
      <c r="P13047" t="s">
        <v>3734</v>
      </c>
      <c r="Y13047" t="s">
        <v>46306</v>
      </c>
    </row>
    <row r="13048" spans="1:25" x14ac:dyDescent="0.25">
      <c r="A13048" t="str">
        <f>"203446339983"</f>
        <v>203446339983</v>
      </c>
      <c r="B13048" t="s">
        <v>1152</v>
      </c>
      <c r="C13048" t="s">
        <v>1153</v>
      </c>
      <c r="D13048" t="s">
        <v>10280</v>
      </c>
      <c r="E13048">
        <v>424032</v>
      </c>
      <c r="F13048" t="s">
        <v>1</v>
      </c>
      <c r="G13048" t="s">
        <v>2</v>
      </c>
      <c r="H13048" t="s">
        <v>325</v>
      </c>
      <c r="I13048" t="s">
        <v>22092</v>
      </c>
      <c r="M13048" t="s">
        <v>10284</v>
      </c>
      <c r="Q13048" t="s">
        <v>10286</v>
      </c>
      <c r="R13048" t="s">
        <v>10287</v>
      </c>
      <c r="S13048" t="s">
        <v>10288</v>
      </c>
      <c r="T13048" t="s">
        <v>10289</v>
      </c>
      <c r="U13048" t="s">
        <v>10290</v>
      </c>
      <c r="V13048" t="s">
        <v>10291</v>
      </c>
      <c r="Y13048" t="s">
        <v>46307</v>
      </c>
    </row>
    <row r="13049" spans="1:25" x14ac:dyDescent="0.25">
      <c r="A13049" t="str">
        <f>"203488617672"</f>
        <v>203488617672</v>
      </c>
      <c r="B13049" t="s">
        <v>640</v>
      </c>
      <c r="C13049" t="s">
        <v>663</v>
      </c>
      <c r="D13049" t="s">
        <v>46308</v>
      </c>
      <c r="E13049">
        <v>424003</v>
      </c>
      <c r="F13049" t="s">
        <v>1</v>
      </c>
      <c r="G13049" t="s">
        <v>2</v>
      </c>
      <c r="H13049" t="s">
        <v>1725</v>
      </c>
      <c r="Y13049" t="s">
        <v>3296</v>
      </c>
    </row>
    <row r="13050" spans="1:25" x14ac:dyDescent="0.25">
      <c r="A13050" t="str">
        <f>"203517748233"</f>
        <v>203517748233</v>
      </c>
      <c r="B13050" t="s">
        <v>2846</v>
      </c>
      <c r="C13050" t="s">
        <v>46311</v>
      </c>
      <c r="D13050" t="s">
        <v>32688</v>
      </c>
      <c r="E13050">
        <v>424002</v>
      </c>
      <c r="F13050" t="s">
        <v>1</v>
      </c>
      <c r="G13050" t="s">
        <v>2</v>
      </c>
      <c r="H13050" t="s">
        <v>5596</v>
      </c>
      <c r="I13050" t="s">
        <v>46309</v>
      </c>
      <c r="L13050" t="s">
        <v>9116</v>
      </c>
      <c r="M13050" t="s">
        <v>46310</v>
      </c>
      <c r="P13050" t="s">
        <v>8133</v>
      </c>
      <c r="Q13050" t="s">
        <v>46312</v>
      </c>
      <c r="Y13050" t="s">
        <v>46313</v>
      </c>
    </row>
    <row r="13051" spans="1:25" x14ac:dyDescent="0.25">
      <c r="A13051" t="str">
        <f>"203518514177"</f>
        <v>203518514177</v>
      </c>
      <c r="B13051" t="s">
        <v>930</v>
      </c>
      <c r="C13051" t="s">
        <v>46316</v>
      </c>
      <c r="D13051" t="s">
        <v>46314</v>
      </c>
      <c r="F13051" t="s">
        <v>1</v>
      </c>
      <c r="G13051" t="s">
        <v>2</v>
      </c>
      <c r="H13051" t="s">
        <v>2096</v>
      </c>
      <c r="J13051" t="s">
        <v>46315</v>
      </c>
      <c r="P13051" t="s">
        <v>1160</v>
      </c>
      <c r="Q13051" t="s">
        <v>46317</v>
      </c>
      <c r="V13051" t="s">
        <v>46318</v>
      </c>
      <c r="Y13051" t="s">
        <v>46319</v>
      </c>
    </row>
    <row r="13052" spans="1:25" x14ac:dyDescent="0.25">
      <c r="A13052" t="str">
        <f>"203555343434"</f>
        <v>203555343434</v>
      </c>
      <c r="B13052" t="s">
        <v>300</v>
      </c>
      <c r="C13052" t="s">
        <v>8910</v>
      </c>
      <c r="D13052" t="s">
        <v>46320</v>
      </c>
      <c r="E13052">
        <v>424007</v>
      </c>
      <c r="F13052" t="s">
        <v>1</v>
      </c>
      <c r="G13052" t="s">
        <v>2</v>
      </c>
      <c r="H13052" t="s">
        <v>23983</v>
      </c>
      <c r="Y13052" t="s">
        <v>46321</v>
      </c>
    </row>
    <row r="13053" spans="1:25" x14ac:dyDescent="0.25">
      <c r="A13053" t="str">
        <f>"203555890221"</f>
        <v>203555890221</v>
      </c>
      <c r="B13053" t="s">
        <v>290</v>
      </c>
      <c r="C13053" t="s">
        <v>2722</v>
      </c>
      <c r="D13053" t="s">
        <v>16476</v>
      </c>
      <c r="F13053" t="s">
        <v>1</v>
      </c>
      <c r="G13053" t="s">
        <v>2</v>
      </c>
      <c r="H13053" t="s">
        <v>8989</v>
      </c>
      <c r="P13053" t="s">
        <v>216</v>
      </c>
      <c r="Y13053" t="s">
        <v>46322</v>
      </c>
    </row>
    <row r="13054" spans="1:25" x14ac:dyDescent="0.25">
      <c r="A13054" t="str">
        <f>"203556066946"</f>
        <v>203556066946</v>
      </c>
      <c r="B13054" t="s">
        <v>530</v>
      </c>
      <c r="C13054" t="s">
        <v>23950</v>
      </c>
      <c r="D13054" t="s">
        <v>23950</v>
      </c>
      <c r="E13054">
        <v>424007</v>
      </c>
      <c r="F13054" t="s">
        <v>1</v>
      </c>
      <c r="G13054" t="s">
        <v>2</v>
      </c>
      <c r="H13054" t="s">
        <v>13050</v>
      </c>
      <c r="Y13054" t="s">
        <v>46323</v>
      </c>
    </row>
    <row r="13055" spans="1:25" x14ac:dyDescent="0.25">
      <c r="A13055" t="str">
        <f>"203584773816"</f>
        <v>203584773816</v>
      </c>
      <c r="B13055" t="s">
        <v>18</v>
      </c>
      <c r="C13055" t="s">
        <v>46327</v>
      </c>
      <c r="D13055" t="s">
        <v>46324</v>
      </c>
      <c r="E13055">
        <v>424006</v>
      </c>
      <c r="F13055" t="s">
        <v>1</v>
      </c>
      <c r="G13055" t="s">
        <v>2</v>
      </c>
      <c r="H13055" t="s">
        <v>14949</v>
      </c>
      <c r="J13055" t="s">
        <v>46325</v>
      </c>
      <c r="M13055" t="s">
        <v>46326</v>
      </c>
      <c r="P13055" t="s">
        <v>46328</v>
      </c>
      <c r="V13055" t="s">
        <v>46329</v>
      </c>
      <c r="Y13055" t="s">
        <v>13598</v>
      </c>
    </row>
    <row r="13056" spans="1:25" x14ac:dyDescent="0.25">
      <c r="A13056" t="str">
        <f>"203586903983"</f>
        <v>203586903983</v>
      </c>
      <c r="B13056" t="s">
        <v>379</v>
      </c>
      <c r="C13056" t="s">
        <v>766</v>
      </c>
      <c r="D13056" t="s">
        <v>46330</v>
      </c>
      <c r="E13056">
        <v>424000</v>
      </c>
      <c r="F13056" t="s">
        <v>1</v>
      </c>
      <c r="G13056" t="s">
        <v>2</v>
      </c>
      <c r="H13056" t="s">
        <v>937</v>
      </c>
      <c r="P13056" t="s">
        <v>27</v>
      </c>
      <c r="Y13056" t="s">
        <v>46331</v>
      </c>
    </row>
    <row r="13057" spans="1:25" x14ac:dyDescent="0.25">
      <c r="A13057" t="str">
        <f>"203595170893"</f>
        <v>203595170893</v>
      </c>
      <c r="B13057" t="s">
        <v>930</v>
      </c>
      <c r="C13057" t="s">
        <v>28791</v>
      </c>
      <c r="D13057" t="s">
        <v>46332</v>
      </c>
      <c r="E13057">
        <v>424004</v>
      </c>
      <c r="F13057" t="s">
        <v>1</v>
      </c>
      <c r="G13057" t="s">
        <v>2</v>
      </c>
      <c r="H13057" t="s">
        <v>15365</v>
      </c>
      <c r="I13057" t="s">
        <v>46333</v>
      </c>
      <c r="J13057" t="s">
        <v>46334</v>
      </c>
      <c r="L13057" t="s">
        <v>46335</v>
      </c>
      <c r="M13057" t="s">
        <v>46336</v>
      </c>
      <c r="P13057" t="s">
        <v>410</v>
      </c>
      <c r="Q13057" t="s">
        <v>46337</v>
      </c>
      <c r="Y13057" t="s">
        <v>46338</v>
      </c>
    </row>
    <row r="13058" spans="1:25" x14ac:dyDescent="0.25">
      <c r="A13058" t="str">
        <f>"203670675040"</f>
        <v>203670675040</v>
      </c>
      <c r="B13058" t="s">
        <v>1046</v>
      </c>
      <c r="C13058" t="s">
        <v>2695</v>
      </c>
      <c r="D13058" t="s">
        <v>2695</v>
      </c>
      <c r="E13058">
        <v>424031</v>
      </c>
      <c r="F13058" t="s">
        <v>1</v>
      </c>
      <c r="G13058" t="s">
        <v>2</v>
      </c>
      <c r="H13058" t="s">
        <v>897</v>
      </c>
      <c r="I13058" t="s">
        <v>46339</v>
      </c>
      <c r="P13058" t="s">
        <v>330</v>
      </c>
      <c r="Y13058" t="s">
        <v>46340</v>
      </c>
    </row>
    <row r="13059" spans="1:25" x14ac:dyDescent="0.25">
      <c r="A13059" t="str">
        <f>"203673415188"</f>
        <v>203673415188</v>
      </c>
      <c r="B13059" t="s">
        <v>96</v>
      </c>
      <c r="C13059" t="s">
        <v>893</v>
      </c>
      <c r="D13059" t="s">
        <v>46341</v>
      </c>
      <c r="E13059">
        <v>424918</v>
      </c>
      <c r="F13059" t="s">
        <v>1</v>
      </c>
      <c r="G13059" t="s">
        <v>2</v>
      </c>
      <c r="H13059" t="s">
        <v>629</v>
      </c>
      <c r="P13059" t="s">
        <v>630</v>
      </c>
      <c r="Y13059" t="s">
        <v>1744</v>
      </c>
    </row>
    <row r="13060" spans="1:25" x14ac:dyDescent="0.25">
      <c r="A13060" t="str">
        <f>"203700798711"</f>
        <v>203700798711</v>
      </c>
      <c r="B13060" t="s">
        <v>371</v>
      </c>
      <c r="C13060" t="s">
        <v>46346</v>
      </c>
      <c r="D13060" t="s">
        <v>46342</v>
      </c>
      <c r="E13060">
        <v>424036</v>
      </c>
      <c r="F13060" t="s">
        <v>1</v>
      </c>
      <c r="G13060" t="s">
        <v>2</v>
      </c>
      <c r="H13060" t="s">
        <v>5509</v>
      </c>
      <c r="I13060" t="s">
        <v>46343</v>
      </c>
      <c r="L13060" t="s">
        <v>46344</v>
      </c>
      <c r="M13060" t="s">
        <v>46345</v>
      </c>
      <c r="P13060" t="s">
        <v>46347</v>
      </c>
      <c r="Q13060" t="s">
        <v>46348</v>
      </c>
      <c r="S13060" t="s">
        <v>46349</v>
      </c>
      <c r="T13060" t="s">
        <v>46350</v>
      </c>
      <c r="Y13060" t="s">
        <v>5510</v>
      </c>
    </row>
    <row r="13061" spans="1:25" x14ac:dyDescent="0.25">
      <c r="A13061" t="str">
        <f>"203726394625"</f>
        <v>203726394625</v>
      </c>
      <c r="B13061" t="s">
        <v>1544</v>
      </c>
      <c r="C13061" t="s">
        <v>7974</v>
      </c>
      <c r="D13061" t="s">
        <v>46351</v>
      </c>
      <c r="E13061">
        <v>424028</v>
      </c>
      <c r="F13061" t="s">
        <v>1</v>
      </c>
      <c r="G13061" t="s">
        <v>2</v>
      </c>
      <c r="H13061" t="s">
        <v>28383</v>
      </c>
      <c r="J13061" t="s">
        <v>46352</v>
      </c>
      <c r="P13061" t="s">
        <v>2280</v>
      </c>
      <c r="Y13061" t="s">
        <v>46353</v>
      </c>
    </row>
    <row r="13062" spans="1:25" x14ac:dyDescent="0.25">
      <c r="A13062" t="str">
        <f>"203737335303"</f>
        <v>203737335303</v>
      </c>
      <c r="B13062" t="s">
        <v>654</v>
      </c>
      <c r="C13062" t="s">
        <v>14448</v>
      </c>
      <c r="D13062" t="s">
        <v>3550</v>
      </c>
      <c r="E13062">
        <v>424031</v>
      </c>
      <c r="F13062" t="s">
        <v>1</v>
      </c>
      <c r="G13062" t="s">
        <v>2</v>
      </c>
      <c r="H13062" t="s">
        <v>5353</v>
      </c>
      <c r="J13062" t="s">
        <v>46354</v>
      </c>
      <c r="Q13062" t="s">
        <v>46355</v>
      </c>
      <c r="Y13062" t="s">
        <v>11202</v>
      </c>
    </row>
    <row r="13063" spans="1:25" x14ac:dyDescent="0.25">
      <c r="A13063" t="str">
        <f>"203769402290"</f>
        <v>203769402290</v>
      </c>
      <c r="B13063" t="s">
        <v>1611</v>
      </c>
      <c r="C13063" t="s">
        <v>25647</v>
      </c>
      <c r="D13063" t="s">
        <v>46356</v>
      </c>
      <c r="E13063">
        <v>424000</v>
      </c>
      <c r="F13063" t="s">
        <v>1</v>
      </c>
      <c r="G13063" t="s">
        <v>2</v>
      </c>
      <c r="H13063" t="s">
        <v>16280</v>
      </c>
      <c r="Y13063" t="s">
        <v>46357</v>
      </c>
    </row>
    <row r="13064" spans="1:25" x14ac:dyDescent="0.25">
      <c r="A13064" t="str">
        <f>"203785358592"</f>
        <v>203785358592</v>
      </c>
      <c r="B13064" t="s">
        <v>1343</v>
      </c>
      <c r="C13064" t="s">
        <v>10464</v>
      </c>
      <c r="D13064" t="s">
        <v>37499</v>
      </c>
      <c r="E13064">
        <v>424019</v>
      </c>
      <c r="F13064" t="s">
        <v>1</v>
      </c>
      <c r="G13064" t="s">
        <v>2</v>
      </c>
      <c r="H13064" t="s">
        <v>1467</v>
      </c>
      <c r="P13064" t="s">
        <v>19480</v>
      </c>
      <c r="Y13064" t="s">
        <v>1630</v>
      </c>
    </row>
    <row r="13065" spans="1:25" x14ac:dyDescent="0.25">
      <c r="A13065" t="str">
        <f>"203847500735"</f>
        <v>203847500735</v>
      </c>
      <c r="B13065" t="s">
        <v>290</v>
      </c>
      <c r="C13065" t="s">
        <v>46359</v>
      </c>
      <c r="D13065" t="s">
        <v>19271</v>
      </c>
      <c r="E13065">
        <v>424030</v>
      </c>
      <c r="F13065" t="s">
        <v>1</v>
      </c>
      <c r="G13065" t="s">
        <v>2</v>
      </c>
      <c r="H13065" t="s">
        <v>45691</v>
      </c>
      <c r="I13065" t="s">
        <v>46358</v>
      </c>
      <c r="P13065" t="s">
        <v>46360</v>
      </c>
      <c r="Y13065" t="s">
        <v>46361</v>
      </c>
    </row>
    <row r="13066" spans="1:25" x14ac:dyDescent="0.25">
      <c r="A13066" t="str">
        <f>"203850766758"</f>
        <v>203850766758</v>
      </c>
      <c r="B13066" t="s">
        <v>1152</v>
      </c>
      <c r="C13066" t="s">
        <v>1153</v>
      </c>
      <c r="D13066" t="s">
        <v>10280</v>
      </c>
      <c r="F13066" t="s">
        <v>1</v>
      </c>
      <c r="G13066" t="s">
        <v>2</v>
      </c>
      <c r="H13066" t="s">
        <v>19499</v>
      </c>
      <c r="I13066" t="s">
        <v>22092</v>
      </c>
      <c r="M13066" t="s">
        <v>10284</v>
      </c>
      <c r="P13066" t="s">
        <v>144</v>
      </c>
      <c r="Q13066" t="s">
        <v>10286</v>
      </c>
      <c r="R13066" t="s">
        <v>10287</v>
      </c>
      <c r="S13066" t="s">
        <v>10288</v>
      </c>
      <c r="T13066" t="s">
        <v>10289</v>
      </c>
      <c r="U13066" t="s">
        <v>10290</v>
      </c>
      <c r="V13066" t="s">
        <v>10291</v>
      </c>
      <c r="Y13066" t="s">
        <v>24185</v>
      </c>
    </row>
    <row r="13067" spans="1:25" x14ac:dyDescent="0.25">
      <c r="A13067" t="str">
        <f>"203874978095"</f>
        <v>203874978095</v>
      </c>
      <c r="B13067" t="s">
        <v>18</v>
      </c>
      <c r="C13067" t="s">
        <v>46363</v>
      </c>
      <c r="D13067" t="s">
        <v>46362</v>
      </c>
      <c r="F13067" t="s">
        <v>1</v>
      </c>
      <c r="G13067" t="s">
        <v>2</v>
      </c>
      <c r="H13067" t="s">
        <v>25588</v>
      </c>
      <c r="Y13067" t="s">
        <v>42446</v>
      </c>
    </row>
    <row r="13068" spans="1:25" x14ac:dyDescent="0.25">
      <c r="A13068" t="str">
        <f>"203886805982"</f>
        <v>203886805982</v>
      </c>
      <c r="B13068" t="s">
        <v>290</v>
      </c>
      <c r="C13068" t="s">
        <v>39833</v>
      </c>
      <c r="D13068" t="s">
        <v>46364</v>
      </c>
      <c r="E13068">
        <v>424002</v>
      </c>
      <c r="F13068" t="s">
        <v>1</v>
      </c>
      <c r="G13068" t="s">
        <v>2</v>
      </c>
      <c r="H13068" t="s">
        <v>3807</v>
      </c>
      <c r="I13068" t="s">
        <v>46365</v>
      </c>
      <c r="P13068" t="s">
        <v>46366</v>
      </c>
      <c r="V13068" t="s">
        <v>46367</v>
      </c>
      <c r="Y13068" t="s">
        <v>46368</v>
      </c>
    </row>
    <row r="13069" spans="1:25" x14ac:dyDescent="0.25">
      <c r="A13069" t="str">
        <f>"203902022765"</f>
        <v>203902022765</v>
      </c>
      <c r="B13069" t="s">
        <v>574</v>
      </c>
      <c r="C13069" t="s">
        <v>646</v>
      </c>
      <c r="D13069" t="s">
        <v>46369</v>
      </c>
      <c r="E13069">
        <v>424016</v>
      </c>
      <c r="F13069" t="s">
        <v>1</v>
      </c>
      <c r="G13069" t="s">
        <v>2</v>
      </c>
      <c r="H13069" t="s">
        <v>16109</v>
      </c>
      <c r="P13069" t="s">
        <v>20</v>
      </c>
      <c r="Q13069" t="s">
        <v>46370</v>
      </c>
      <c r="Y13069" t="s">
        <v>16111</v>
      </c>
    </row>
    <row r="13070" spans="1:25" x14ac:dyDescent="0.25">
      <c r="A13070" t="str">
        <f>"203950916328"</f>
        <v>203950916328</v>
      </c>
      <c r="B13070" t="s">
        <v>3652</v>
      </c>
      <c r="C13070" t="s">
        <v>46372</v>
      </c>
      <c r="D13070" t="s">
        <v>46371</v>
      </c>
      <c r="E13070">
        <v>424008</v>
      </c>
      <c r="F13070" t="s">
        <v>1</v>
      </c>
      <c r="G13070" t="s">
        <v>2</v>
      </c>
      <c r="H13070" t="s">
        <v>10118</v>
      </c>
      <c r="L13070" t="s">
        <v>6419</v>
      </c>
      <c r="M13070" t="s">
        <v>6420</v>
      </c>
      <c r="Y13070" t="s">
        <v>28043</v>
      </c>
    </row>
    <row r="13071" spans="1:25" x14ac:dyDescent="0.25">
      <c r="A13071" t="str">
        <f>"203952462267"</f>
        <v>203952462267</v>
      </c>
      <c r="B13071" t="s">
        <v>574</v>
      </c>
      <c r="C13071" t="s">
        <v>646</v>
      </c>
      <c r="D13071" t="s">
        <v>46373</v>
      </c>
      <c r="E13071">
        <v>424006</v>
      </c>
      <c r="F13071" t="s">
        <v>1</v>
      </c>
      <c r="G13071" t="s">
        <v>2</v>
      </c>
      <c r="H13071" t="s">
        <v>4541</v>
      </c>
      <c r="J13071" t="s">
        <v>46374</v>
      </c>
      <c r="P13071" t="s">
        <v>1027</v>
      </c>
      <c r="Y13071" t="s">
        <v>4544</v>
      </c>
    </row>
    <row r="13072" spans="1:25" x14ac:dyDescent="0.25">
      <c r="A13072" t="str">
        <f>"203959796653"</f>
        <v>203959796653</v>
      </c>
      <c r="B13072" t="s">
        <v>334</v>
      </c>
      <c r="C13072" t="s">
        <v>2551</v>
      </c>
      <c r="D13072" t="s">
        <v>41941</v>
      </c>
      <c r="E13072">
        <v>424002</v>
      </c>
      <c r="F13072" t="s">
        <v>1</v>
      </c>
      <c r="G13072" t="s">
        <v>2</v>
      </c>
      <c r="H13072" t="s">
        <v>1190</v>
      </c>
      <c r="I13072" t="s">
        <v>46375</v>
      </c>
      <c r="P13072" t="s">
        <v>27</v>
      </c>
      <c r="Y13072" t="s">
        <v>1284</v>
      </c>
    </row>
    <row r="13073" spans="1:25" x14ac:dyDescent="0.25">
      <c r="A13073" t="str">
        <f>"203967234280"</f>
        <v>203967234280</v>
      </c>
      <c r="B13073" t="s">
        <v>1152</v>
      </c>
      <c r="C13073" t="s">
        <v>2319</v>
      </c>
      <c r="D13073" t="s">
        <v>46376</v>
      </c>
      <c r="E13073">
        <v>424003</v>
      </c>
      <c r="F13073" t="s">
        <v>1</v>
      </c>
      <c r="G13073" t="s">
        <v>2</v>
      </c>
      <c r="H13073" t="s">
        <v>8472</v>
      </c>
      <c r="P13073" t="s">
        <v>40236</v>
      </c>
      <c r="Y13073" t="s">
        <v>46377</v>
      </c>
    </row>
    <row r="13074" spans="1:25" x14ac:dyDescent="0.25">
      <c r="A13074" t="str">
        <f>"203991300159"</f>
        <v>203991300159</v>
      </c>
      <c r="B13074" t="s">
        <v>574</v>
      </c>
      <c r="C13074" t="s">
        <v>21805</v>
      </c>
      <c r="D13074" t="s">
        <v>21175</v>
      </c>
      <c r="E13074">
        <v>424003</v>
      </c>
      <c r="F13074" t="s">
        <v>1</v>
      </c>
      <c r="G13074" t="s">
        <v>2</v>
      </c>
      <c r="H13074" t="s">
        <v>4546</v>
      </c>
      <c r="Y13074" t="s">
        <v>5427</v>
      </c>
    </row>
    <row r="13075" spans="1:25" x14ac:dyDescent="0.25">
      <c r="A13075" t="str">
        <f>"203995518752"</f>
        <v>203995518752</v>
      </c>
      <c r="B13075" t="s">
        <v>3544</v>
      </c>
      <c r="C13075" t="s">
        <v>46379</v>
      </c>
      <c r="D13075" t="s">
        <v>5014</v>
      </c>
      <c r="F13075" t="s">
        <v>1</v>
      </c>
      <c r="G13075" t="s">
        <v>2</v>
      </c>
      <c r="H13075" t="s">
        <v>46378</v>
      </c>
      <c r="Y13075" t="s">
        <v>46380</v>
      </c>
    </row>
    <row r="13076" spans="1:25" x14ac:dyDescent="0.25">
      <c r="A13076" t="str">
        <f>"204027369808"</f>
        <v>204027369808</v>
      </c>
      <c r="B13076" t="s">
        <v>640</v>
      </c>
      <c r="C13076" t="s">
        <v>663</v>
      </c>
      <c r="D13076" t="s">
        <v>46381</v>
      </c>
      <c r="E13076">
        <v>424002</v>
      </c>
      <c r="F13076" t="s">
        <v>1</v>
      </c>
      <c r="G13076" t="s">
        <v>2</v>
      </c>
      <c r="H13076" t="s">
        <v>6597</v>
      </c>
      <c r="J13076" t="s">
        <v>46382</v>
      </c>
      <c r="P13076" t="s">
        <v>24744</v>
      </c>
      <c r="Y13076" t="s">
        <v>40877</v>
      </c>
    </row>
    <row r="13077" spans="1:25" x14ac:dyDescent="0.25">
      <c r="A13077" t="str">
        <f>"204066615265"</f>
        <v>204066615265</v>
      </c>
      <c r="B13077" t="s">
        <v>430</v>
      </c>
      <c r="C13077" t="s">
        <v>44556</v>
      </c>
      <c r="D13077" t="s">
        <v>46383</v>
      </c>
      <c r="E13077">
        <v>424038</v>
      </c>
      <c r="F13077" t="s">
        <v>1</v>
      </c>
      <c r="G13077" t="s">
        <v>2</v>
      </c>
      <c r="H13077" t="s">
        <v>10681</v>
      </c>
      <c r="I13077" t="s">
        <v>46384</v>
      </c>
      <c r="J13077" t="s">
        <v>46385</v>
      </c>
      <c r="L13077" t="s">
        <v>46386</v>
      </c>
      <c r="M13077" t="s">
        <v>46387</v>
      </c>
      <c r="P13077" t="s">
        <v>144</v>
      </c>
      <c r="Q13077" t="s">
        <v>46388</v>
      </c>
      <c r="V13077" t="s">
        <v>46389</v>
      </c>
      <c r="Y13077" t="s">
        <v>46390</v>
      </c>
    </row>
    <row r="13078" spans="1:25" x14ac:dyDescent="0.25">
      <c r="A13078" t="str">
        <f>"204086983633"</f>
        <v>204086983633</v>
      </c>
      <c r="B13078" t="s">
        <v>1391</v>
      </c>
      <c r="C13078" t="s">
        <v>46395</v>
      </c>
      <c r="D13078" t="s">
        <v>46391</v>
      </c>
      <c r="E13078">
        <v>424007</v>
      </c>
      <c r="F13078" t="s">
        <v>1</v>
      </c>
      <c r="G13078" t="s">
        <v>2</v>
      </c>
      <c r="H13078" t="s">
        <v>10252</v>
      </c>
      <c r="I13078" t="s">
        <v>46392</v>
      </c>
      <c r="L13078" t="s">
        <v>46393</v>
      </c>
      <c r="M13078" t="s">
        <v>46394</v>
      </c>
      <c r="P13078" t="s">
        <v>2923</v>
      </c>
      <c r="Q13078" t="s">
        <v>46396</v>
      </c>
      <c r="R13078" t="s">
        <v>46397</v>
      </c>
      <c r="T13078" t="s">
        <v>46398</v>
      </c>
      <c r="U13078" t="s">
        <v>46399</v>
      </c>
      <c r="V13078" t="s">
        <v>46400</v>
      </c>
      <c r="Y13078" t="s">
        <v>10258</v>
      </c>
    </row>
    <row r="13079" spans="1:25" x14ac:dyDescent="0.25">
      <c r="A13079" t="str">
        <f>"204119162506"</f>
        <v>204119162506</v>
      </c>
      <c r="B13079" t="s">
        <v>1046</v>
      </c>
      <c r="C13079" t="s">
        <v>27404</v>
      </c>
      <c r="D13079" t="s">
        <v>46401</v>
      </c>
      <c r="F13079" t="s">
        <v>1</v>
      </c>
      <c r="G13079" t="s">
        <v>2</v>
      </c>
      <c r="H13079" t="s">
        <v>27403</v>
      </c>
      <c r="L13079" t="s">
        <v>46402</v>
      </c>
      <c r="P13079" t="s">
        <v>46403</v>
      </c>
      <c r="Y13079" t="s">
        <v>46404</v>
      </c>
    </row>
    <row r="13080" spans="1:25" x14ac:dyDescent="0.25">
      <c r="A13080" t="str">
        <f>"204215776552"</f>
        <v>204215776552</v>
      </c>
      <c r="B13080" t="s">
        <v>2790</v>
      </c>
      <c r="C13080" t="s">
        <v>3528</v>
      </c>
      <c r="D13080" t="s">
        <v>46405</v>
      </c>
      <c r="E13080">
        <v>424000</v>
      </c>
      <c r="F13080" t="s">
        <v>1</v>
      </c>
      <c r="G13080" t="s">
        <v>2</v>
      </c>
      <c r="H13080" t="s">
        <v>2304</v>
      </c>
      <c r="M13080" t="s">
        <v>46406</v>
      </c>
      <c r="Y13080" t="s">
        <v>46407</v>
      </c>
    </row>
    <row r="13081" spans="1:25" x14ac:dyDescent="0.25">
      <c r="A13081" t="str">
        <f>"204237684638"</f>
        <v>204237684638</v>
      </c>
      <c r="B13081" t="s">
        <v>703</v>
      </c>
      <c r="C13081" t="s">
        <v>11222</v>
      </c>
      <c r="D13081" t="s">
        <v>46408</v>
      </c>
      <c r="E13081">
        <v>424002</v>
      </c>
      <c r="F13081" t="s">
        <v>1</v>
      </c>
      <c r="G13081" t="s">
        <v>2</v>
      </c>
      <c r="H13081" t="s">
        <v>46409</v>
      </c>
      <c r="I13081" t="s">
        <v>46410</v>
      </c>
      <c r="P13081" t="s">
        <v>27</v>
      </c>
      <c r="Y13081" t="s">
        <v>46411</v>
      </c>
    </row>
    <row r="13082" spans="1:25" x14ac:dyDescent="0.25">
      <c r="A13082" t="str">
        <f>"204249713740"</f>
        <v>204249713740</v>
      </c>
      <c r="B13082" t="s">
        <v>88</v>
      </c>
      <c r="C13082" t="s">
        <v>23027</v>
      </c>
      <c r="D13082" t="s">
        <v>46412</v>
      </c>
      <c r="E13082">
        <v>424006</v>
      </c>
      <c r="F13082" t="s">
        <v>1</v>
      </c>
      <c r="G13082" t="s">
        <v>2</v>
      </c>
      <c r="H13082" t="s">
        <v>46413</v>
      </c>
      <c r="J13082" t="s">
        <v>46414</v>
      </c>
      <c r="L13082" t="s">
        <v>19507</v>
      </c>
      <c r="M13082" t="s">
        <v>46415</v>
      </c>
      <c r="Y13082" t="s">
        <v>46416</v>
      </c>
    </row>
    <row r="13083" spans="1:25" x14ac:dyDescent="0.25">
      <c r="A13083" t="str">
        <f>"204282125745"</f>
        <v>204282125745</v>
      </c>
      <c r="B13083" t="s">
        <v>3094</v>
      </c>
      <c r="C13083" t="s">
        <v>10543</v>
      </c>
      <c r="D13083" t="s">
        <v>46417</v>
      </c>
      <c r="E13083">
        <v>424002</v>
      </c>
      <c r="F13083" t="s">
        <v>1</v>
      </c>
      <c r="G13083" t="s">
        <v>2</v>
      </c>
      <c r="H13083" t="s">
        <v>39767</v>
      </c>
      <c r="I13083" t="s">
        <v>46418</v>
      </c>
      <c r="L13083" t="s">
        <v>46419</v>
      </c>
      <c r="M13083" t="s">
        <v>46420</v>
      </c>
      <c r="P13083" t="s">
        <v>46421</v>
      </c>
      <c r="Q13083" t="s">
        <v>46422</v>
      </c>
      <c r="Y13083" t="s">
        <v>46423</v>
      </c>
    </row>
    <row r="13084" spans="1:25" x14ac:dyDescent="0.25">
      <c r="A13084" t="str">
        <f>"204288655800"</f>
        <v>204288655800</v>
      </c>
      <c r="B13084" t="s">
        <v>160</v>
      </c>
      <c r="C13084" t="s">
        <v>1666</v>
      </c>
      <c r="D13084" t="s">
        <v>46424</v>
      </c>
      <c r="E13084">
        <v>424006</v>
      </c>
      <c r="F13084" t="s">
        <v>1</v>
      </c>
      <c r="G13084" t="s">
        <v>2</v>
      </c>
      <c r="H13084" t="s">
        <v>6622</v>
      </c>
      <c r="I13084" t="s">
        <v>46425</v>
      </c>
      <c r="P13084" t="s">
        <v>20</v>
      </c>
      <c r="Y13084" t="s">
        <v>20431</v>
      </c>
    </row>
    <row r="13085" spans="1:25" x14ac:dyDescent="0.25">
      <c r="A13085" t="str">
        <f>"204376095802"</f>
        <v>204376095802</v>
      </c>
      <c r="B13085" t="s">
        <v>188</v>
      </c>
      <c r="C13085" t="s">
        <v>8311</v>
      </c>
      <c r="D13085" t="s">
        <v>26430</v>
      </c>
      <c r="E13085">
        <v>424006</v>
      </c>
      <c r="F13085" t="s">
        <v>1</v>
      </c>
      <c r="G13085" t="s">
        <v>2</v>
      </c>
      <c r="H13085" t="s">
        <v>46426</v>
      </c>
      <c r="Y13085" t="s">
        <v>46427</v>
      </c>
    </row>
    <row r="13086" spans="1:25" x14ac:dyDescent="0.25">
      <c r="A13086" t="str">
        <f>"204454418892"</f>
        <v>204454418892</v>
      </c>
      <c r="B13086" t="s">
        <v>188</v>
      </c>
      <c r="C13086" t="s">
        <v>8311</v>
      </c>
      <c r="D13086" t="s">
        <v>46428</v>
      </c>
      <c r="E13086">
        <v>424007</v>
      </c>
      <c r="F13086" t="s">
        <v>1</v>
      </c>
      <c r="G13086" t="s">
        <v>2</v>
      </c>
      <c r="H13086" t="s">
        <v>10252</v>
      </c>
      <c r="I13086" t="s">
        <v>46429</v>
      </c>
      <c r="L13086" t="s">
        <v>46430</v>
      </c>
      <c r="M13086" t="s">
        <v>46431</v>
      </c>
      <c r="P13086" t="s">
        <v>27</v>
      </c>
      <c r="Y13086" t="s">
        <v>10258</v>
      </c>
    </row>
    <row r="13087" spans="1:25" x14ac:dyDescent="0.25">
      <c r="A13087" t="str">
        <f>"204503217614"</f>
        <v>204503217614</v>
      </c>
      <c r="B13087" t="s">
        <v>1573</v>
      </c>
      <c r="C13087" t="s">
        <v>24508</v>
      </c>
      <c r="D13087" t="s">
        <v>24854</v>
      </c>
      <c r="E13087">
        <v>424003</v>
      </c>
      <c r="F13087" t="s">
        <v>1</v>
      </c>
      <c r="G13087" t="s">
        <v>2</v>
      </c>
      <c r="H13087" t="s">
        <v>38</v>
      </c>
      <c r="I13087" t="s">
        <v>3279</v>
      </c>
      <c r="L13087" t="s">
        <v>3280</v>
      </c>
      <c r="M13087" t="s">
        <v>3281</v>
      </c>
      <c r="P13087" t="s">
        <v>216</v>
      </c>
      <c r="Y13087" t="s">
        <v>46432</v>
      </c>
    </row>
    <row r="13088" spans="1:25" x14ac:dyDescent="0.25">
      <c r="A13088" t="str">
        <f>"204620753248"</f>
        <v>204620753248</v>
      </c>
      <c r="B13088" t="s">
        <v>3544</v>
      </c>
      <c r="C13088" t="s">
        <v>11303</v>
      </c>
      <c r="D13088" t="s">
        <v>46433</v>
      </c>
      <c r="E13088">
        <v>424006</v>
      </c>
      <c r="F13088" t="s">
        <v>1</v>
      </c>
      <c r="G13088" t="s">
        <v>2</v>
      </c>
      <c r="H13088" t="s">
        <v>478</v>
      </c>
      <c r="Y13088" t="s">
        <v>46434</v>
      </c>
    </row>
    <row r="13089" spans="1:25" x14ac:dyDescent="0.25">
      <c r="A13089" t="str">
        <f>"204629242070"</f>
        <v>204629242070</v>
      </c>
      <c r="B13089" t="s">
        <v>1611</v>
      </c>
      <c r="C13089" t="s">
        <v>4172</v>
      </c>
      <c r="D13089" t="s">
        <v>46435</v>
      </c>
      <c r="E13089">
        <v>424037</v>
      </c>
      <c r="F13089" t="s">
        <v>1</v>
      </c>
      <c r="G13089" t="s">
        <v>2</v>
      </c>
      <c r="H13089" t="s">
        <v>16723</v>
      </c>
      <c r="M13089" t="s">
        <v>46436</v>
      </c>
      <c r="P13089" t="s">
        <v>12632</v>
      </c>
      <c r="Y13089" t="s">
        <v>46437</v>
      </c>
    </row>
    <row r="13090" spans="1:25" x14ac:dyDescent="0.25">
      <c r="A13090" t="str">
        <f>"204652799836"</f>
        <v>204652799836</v>
      </c>
      <c r="B13090" t="s">
        <v>1152</v>
      </c>
      <c r="C13090" t="s">
        <v>1153</v>
      </c>
      <c r="D13090" t="s">
        <v>37628</v>
      </c>
      <c r="E13090">
        <v>424031</v>
      </c>
      <c r="F13090" t="s">
        <v>1</v>
      </c>
      <c r="G13090" t="s">
        <v>2</v>
      </c>
      <c r="H13090" t="s">
        <v>29453</v>
      </c>
      <c r="Y13090" t="s">
        <v>46438</v>
      </c>
    </row>
    <row r="13091" spans="1:25" x14ac:dyDescent="0.25">
      <c r="A13091" t="str">
        <f>"204654336063"</f>
        <v>204654336063</v>
      </c>
      <c r="B13091" t="s">
        <v>930</v>
      </c>
      <c r="C13091" t="s">
        <v>1096</v>
      </c>
      <c r="D13091" t="s">
        <v>46439</v>
      </c>
      <c r="E13091">
        <v>424032</v>
      </c>
      <c r="F13091" t="s">
        <v>1</v>
      </c>
      <c r="G13091" t="s">
        <v>2</v>
      </c>
      <c r="H13091" t="s">
        <v>40997</v>
      </c>
      <c r="P13091" t="s">
        <v>46440</v>
      </c>
      <c r="Q13091" t="s">
        <v>46441</v>
      </c>
      <c r="Y13091" t="s">
        <v>46442</v>
      </c>
    </row>
    <row r="13092" spans="1:25" x14ac:dyDescent="0.25">
      <c r="A13092" t="str">
        <f>"204660486479"</f>
        <v>204660486479</v>
      </c>
      <c r="B13092" t="s">
        <v>1544</v>
      </c>
      <c r="C13092" t="s">
        <v>24552</v>
      </c>
      <c r="D13092" t="s">
        <v>46443</v>
      </c>
      <c r="F13092" t="s">
        <v>1</v>
      </c>
      <c r="G13092" t="s">
        <v>2</v>
      </c>
      <c r="H13092" t="s">
        <v>35075</v>
      </c>
      <c r="J13092" t="s">
        <v>46444</v>
      </c>
      <c r="P13092" t="s">
        <v>46445</v>
      </c>
      <c r="Q13092" t="s">
        <v>46446</v>
      </c>
      <c r="V13092" t="s">
        <v>46447</v>
      </c>
      <c r="Y13092" t="s">
        <v>46448</v>
      </c>
    </row>
    <row r="13093" spans="1:25" x14ac:dyDescent="0.25">
      <c r="A13093" t="str">
        <f>"204675081982"</f>
        <v>204675081982</v>
      </c>
      <c r="B13093" t="s">
        <v>456</v>
      </c>
      <c r="C13093" t="s">
        <v>46454</v>
      </c>
      <c r="D13093" t="s">
        <v>46449</v>
      </c>
      <c r="E13093">
        <v>424016</v>
      </c>
      <c r="F13093" t="s">
        <v>1</v>
      </c>
      <c r="G13093" t="s">
        <v>2</v>
      </c>
      <c r="H13093" t="s">
        <v>5652</v>
      </c>
      <c r="I13093" t="s">
        <v>46450</v>
      </c>
      <c r="J13093" t="s">
        <v>46451</v>
      </c>
      <c r="L13093" t="s">
        <v>46452</v>
      </c>
      <c r="M13093" t="s">
        <v>46453</v>
      </c>
      <c r="P13093" t="s">
        <v>152</v>
      </c>
      <c r="Q13093" t="s">
        <v>46455</v>
      </c>
      <c r="R13093" t="s">
        <v>46456</v>
      </c>
      <c r="U13093" t="s">
        <v>46457</v>
      </c>
      <c r="Y13093" t="s">
        <v>46458</v>
      </c>
    </row>
    <row r="13094" spans="1:25" x14ac:dyDescent="0.25">
      <c r="A13094" t="str">
        <f>"204677368570"</f>
        <v>204677368570</v>
      </c>
      <c r="B13094" t="s">
        <v>188</v>
      </c>
      <c r="C13094" t="s">
        <v>23982</v>
      </c>
      <c r="D13094" t="s">
        <v>23982</v>
      </c>
      <c r="E13094">
        <v>424038</v>
      </c>
      <c r="F13094" t="s">
        <v>1</v>
      </c>
      <c r="G13094" t="s">
        <v>2</v>
      </c>
      <c r="H13094" t="s">
        <v>9930</v>
      </c>
      <c r="Y13094" t="s">
        <v>46459</v>
      </c>
    </row>
    <row r="13095" spans="1:25" x14ac:dyDescent="0.25">
      <c r="A13095" t="str">
        <f>"204772594654"</f>
        <v>204772594654</v>
      </c>
      <c r="B13095" t="s">
        <v>530</v>
      </c>
      <c r="C13095" t="s">
        <v>23950</v>
      </c>
      <c r="D13095" t="s">
        <v>23950</v>
      </c>
      <c r="E13095">
        <v>424028</v>
      </c>
      <c r="F13095" t="s">
        <v>1</v>
      </c>
      <c r="G13095" t="s">
        <v>2</v>
      </c>
      <c r="H13095" t="s">
        <v>46460</v>
      </c>
      <c r="Y13095" t="s">
        <v>46461</v>
      </c>
    </row>
    <row r="13096" spans="1:25" x14ac:dyDescent="0.25">
      <c r="A13096" t="str">
        <f>"204779155526"</f>
        <v>204779155526</v>
      </c>
      <c r="B13096" t="s">
        <v>1078</v>
      </c>
      <c r="C13096" t="s">
        <v>26548</v>
      </c>
      <c r="D13096" t="s">
        <v>40473</v>
      </c>
      <c r="E13096">
        <v>424032</v>
      </c>
      <c r="F13096" t="s">
        <v>1</v>
      </c>
      <c r="G13096" t="s">
        <v>2</v>
      </c>
      <c r="H13096" t="s">
        <v>15560</v>
      </c>
      <c r="Y13096" t="s">
        <v>46462</v>
      </c>
    </row>
    <row r="13097" spans="1:25" x14ac:dyDescent="0.25">
      <c r="A13097" t="str">
        <f>"204796319922"</f>
        <v>204796319922</v>
      </c>
      <c r="B13097" t="s">
        <v>462</v>
      </c>
      <c r="C13097" t="s">
        <v>5618</v>
      </c>
      <c r="D13097" t="s">
        <v>25956</v>
      </c>
      <c r="E13097">
        <v>424003</v>
      </c>
      <c r="F13097" t="s">
        <v>1</v>
      </c>
      <c r="G13097" t="s">
        <v>2</v>
      </c>
      <c r="H13097" t="s">
        <v>562</v>
      </c>
      <c r="P13097" t="s">
        <v>2050</v>
      </c>
      <c r="Y13097" t="s">
        <v>14209</v>
      </c>
    </row>
    <row r="13098" spans="1:25" x14ac:dyDescent="0.25">
      <c r="A13098" t="str">
        <f>"204804046144"</f>
        <v>204804046144</v>
      </c>
      <c r="B13098" t="s">
        <v>32</v>
      </c>
      <c r="C13098" t="s">
        <v>40</v>
      </c>
      <c r="D13098" t="s">
        <v>10554</v>
      </c>
      <c r="E13098">
        <v>424028</v>
      </c>
      <c r="F13098" t="s">
        <v>1</v>
      </c>
      <c r="G13098" t="s">
        <v>2</v>
      </c>
      <c r="H13098" t="s">
        <v>36156</v>
      </c>
      <c r="I13098" t="s">
        <v>46463</v>
      </c>
      <c r="J13098" t="s">
        <v>46464</v>
      </c>
      <c r="P13098" t="s">
        <v>2050</v>
      </c>
      <c r="Y13098" t="s">
        <v>46465</v>
      </c>
    </row>
    <row r="13099" spans="1:25" x14ac:dyDescent="0.25">
      <c r="A13099" t="str">
        <f>"204828851818"</f>
        <v>204828851818</v>
      </c>
      <c r="B13099" t="s">
        <v>18</v>
      </c>
      <c r="C13099" t="s">
        <v>2593</v>
      </c>
      <c r="D13099" t="s">
        <v>46466</v>
      </c>
      <c r="E13099">
        <v>424006</v>
      </c>
      <c r="F13099" t="s">
        <v>1</v>
      </c>
      <c r="G13099" t="s">
        <v>2</v>
      </c>
      <c r="H13099" t="s">
        <v>1348</v>
      </c>
      <c r="I13099" t="s">
        <v>46467</v>
      </c>
      <c r="L13099" t="s">
        <v>46468</v>
      </c>
      <c r="M13099" t="s">
        <v>46469</v>
      </c>
      <c r="P13099" t="s">
        <v>2738</v>
      </c>
      <c r="Q13099" t="s">
        <v>46470</v>
      </c>
      <c r="S13099" t="s">
        <v>46471</v>
      </c>
      <c r="T13099" t="s">
        <v>46472</v>
      </c>
      <c r="V13099" t="s">
        <v>46473</v>
      </c>
      <c r="Y13099" t="s">
        <v>7609</v>
      </c>
    </row>
    <row r="13100" spans="1:25" x14ac:dyDescent="0.25">
      <c r="A13100" t="str">
        <f>"204835163618"</f>
        <v>204835163618</v>
      </c>
      <c r="B13100" t="s">
        <v>284</v>
      </c>
      <c r="C13100" t="s">
        <v>711</v>
      </c>
      <c r="D13100" t="s">
        <v>46474</v>
      </c>
      <c r="F13100" t="s">
        <v>1</v>
      </c>
      <c r="G13100" t="s">
        <v>2</v>
      </c>
      <c r="H13100" t="s">
        <v>21074</v>
      </c>
      <c r="I13100" t="s">
        <v>46475</v>
      </c>
      <c r="L13100" t="s">
        <v>46476</v>
      </c>
      <c r="M13100" t="s">
        <v>46477</v>
      </c>
      <c r="P13100" t="s">
        <v>20</v>
      </c>
      <c r="Y13100" t="s">
        <v>46478</v>
      </c>
    </row>
    <row r="13101" spans="1:25" x14ac:dyDescent="0.25">
      <c r="A13101" t="str">
        <f>"204842860456"</f>
        <v>204842860456</v>
      </c>
      <c r="B13101" t="s">
        <v>290</v>
      </c>
      <c r="C13101" t="s">
        <v>46481</v>
      </c>
      <c r="D13101" t="s">
        <v>46479</v>
      </c>
      <c r="E13101">
        <v>424002</v>
      </c>
      <c r="F13101" t="s">
        <v>1</v>
      </c>
      <c r="G13101" t="s">
        <v>2</v>
      </c>
      <c r="H13101" t="s">
        <v>5933</v>
      </c>
      <c r="I13101" t="s">
        <v>46480</v>
      </c>
      <c r="P13101" t="s">
        <v>46482</v>
      </c>
      <c r="Q13101" t="s">
        <v>46483</v>
      </c>
      <c r="T13101" t="s">
        <v>46484</v>
      </c>
      <c r="Y13101" t="s">
        <v>46485</v>
      </c>
    </row>
    <row r="13102" spans="1:25" x14ac:dyDescent="0.25">
      <c r="A13102" t="str">
        <f>"204852404753"</f>
        <v>204852404753</v>
      </c>
      <c r="B13102" t="s">
        <v>348</v>
      </c>
      <c r="C13102" t="s">
        <v>21764</v>
      </c>
      <c r="D13102" t="s">
        <v>35477</v>
      </c>
      <c r="E13102">
        <v>424039</v>
      </c>
      <c r="F13102" t="s">
        <v>1</v>
      </c>
      <c r="G13102" t="s">
        <v>2</v>
      </c>
      <c r="H13102" t="s">
        <v>5827</v>
      </c>
      <c r="J13102" t="s">
        <v>46486</v>
      </c>
      <c r="P13102" t="s">
        <v>941</v>
      </c>
      <c r="Y13102" t="s">
        <v>46487</v>
      </c>
    </row>
    <row r="13103" spans="1:25" x14ac:dyDescent="0.25">
      <c r="A13103" t="str">
        <f>"204873891020"</f>
        <v>204873891020</v>
      </c>
      <c r="B13103" t="s">
        <v>96</v>
      </c>
      <c r="C13103" t="s">
        <v>16462</v>
      </c>
      <c r="D13103" t="s">
        <v>16476</v>
      </c>
      <c r="E13103">
        <v>424000</v>
      </c>
      <c r="F13103" t="s">
        <v>1</v>
      </c>
      <c r="G13103" t="s">
        <v>2</v>
      </c>
      <c r="H13103" t="s">
        <v>1473</v>
      </c>
      <c r="P13103" t="s">
        <v>941</v>
      </c>
      <c r="Y13103" t="s">
        <v>4067</v>
      </c>
    </row>
    <row r="13104" spans="1:25" x14ac:dyDescent="0.25">
      <c r="A13104" t="str">
        <f>"204893773364"</f>
        <v>204893773364</v>
      </c>
      <c r="B13104" t="s">
        <v>25</v>
      </c>
      <c r="C13104" t="s">
        <v>20320</v>
      </c>
      <c r="D13104" t="s">
        <v>46488</v>
      </c>
      <c r="E13104">
        <v>424030</v>
      </c>
      <c r="F13104" t="s">
        <v>1</v>
      </c>
      <c r="G13104" t="s">
        <v>2</v>
      </c>
      <c r="H13104" t="s">
        <v>39117</v>
      </c>
      <c r="I13104" t="s">
        <v>46489</v>
      </c>
      <c r="P13104" t="s">
        <v>330</v>
      </c>
      <c r="Y13104" t="s">
        <v>46490</v>
      </c>
    </row>
    <row r="13105" spans="1:25" x14ac:dyDescent="0.25">
      <c r="A13105" t="str">
        <f>"204937383110"</f>
        <v>204937383110</v>
      </c>
      <c r="B13105" t="s">
        <v>430</v>
      </c>
      <c r="C13105" t="s">
        <v>2431</v>
      </c>
      <c r="D13105" t="s">
        <v>46491</v>
      </c>
      <c r="E13105">
        <v>424002</v>
      </c>
      <c r="F13105" t="s">
        <v>1</v>
      </c>
      <c r="G13105" t="s">
        <v>2</v>
      </c>
      <c r="H13105" t="s">
        <v>1886</v>
      </c>
      <c r="I13105" t="s">
        <v>35331</v>
      </c>
      <c r="J13105" t="s">
        <v>35332</v>
      </c>
      <c r="P13105" t="s">
        <v>2050</v>
      </c>
      <c r="V13105" t="s">
        <v>46492</v>
      </c>
      <c r="Y13105" t="s">
        <v>1888</v>
      </c>
    </row>
    <row r="13106" spans="1:25" x14ac:dyDescent="0.25">
      <c r="A13106" t="str">
        <f>"205012250487"</f>
        <v>205012250487</v>
      </c>
      <c r="B13106" t="s">
        <v>738</v>
      </c>
      <c r="C13106" t="s">
        <v>23115</v>
      </c>
      <c r="D13106" t="s">
        <v>46493</v>
      </c>
      <c r="E13106">
        <v>424028</v>
      </c>
      <c r="F13106" t="s">
        <v>1</v>
      </c>
      <c r="G13106" t="s">
        <v>2</v>
      </c>
      <c r="H13106" t="s">
        <v>23258</v>
      </c>
      <c r="J13106" t="s">
        <v>46494</v>
      </c>
      <c r="P13106" t="s">
        <v>2580</v>
      </c>
      <c r="Y13106" t="s">
        <v>46495</v>
      </c>
    </row>
    <row r="13107" spans="1:25" x14ac:dyDescent="0.25">
      <c r="A13107" t="str">
        <f>"205045497103"</f>
        <v>205045497103</v>
      </c>
      <c r="B13107" t="s">
        <v>32</v>
      </c>
      <c r="C13107" t="s">
        <v>777</v>
      </c>
      <c r="D13107" t="s">
        <v>46496</v>
      </c>
      <c r="E13107">
        <v>424004</v>
      </c>
      <c r="F13107" t="s">
        <v>1</v>
      </c>
      <c r="G13107" t="s">
        <v>2</v>
      </c>
      <c r="H13107" t="s">
        <v>351</v>
      </c>
      <c r="Y13107" t="s">
        <v>354</v>
      </c>
    </row>
    <row r="13108" spans="1:25" x14ac:dyDescent="0.25">
      <c r="A13108" t="str">
        <f>"205054407470"</f>
        <v>205054407470</v>
      </c>
      <c r="B13108" t="s">
        <v>574</v>
      </c>
      <c r="C13108" t="s">
        <v>21805</v>
      </c>
      <c r="D13108" t="s">
        <v>24214</v>
      </c>
      <c r="E13108">
        <v>424003</v>
      </c>
      <c r="F13108" t="s">
        <v>1</v>
      </c>
      <c r="G13108" t="s">
        <v>2</v>
      </c>
      <c r="H13108" t="s">
        <v>21660</v>
      </c>
      <c r="J13108" t="s">
        <v>24215</v>
      </c>
      <c r="P13108" t="s">
        <v>216</v>
      </c>
      <c r="Y13108" t="s">
        <v>24917</v>
      </c>
    </row>
    <row r="13109" spans="1:25" x14ac:dyDescent="0.25">
      <c r="A13109" t="str">
        <f>"205120202717"</f>
        <v>205120202717</v>
      </c>
      <c r="B13109" t="s">
        <v>482</v>
      </c>
      <c r="C13109" t="s">
        <v>483</v>
      </c>
      <c r="D13109" t="s">
        <v>46497</v>
      </c>
      <c r="E13109">
        <v>424028</v>
      </c>
      <c r="F13109" t="s">
        <v>1</v>
      </c>
      <c r="G13109" t="s">
        <v>2</v>
      </c>
      <c r="H13109" t="s">
        <v>1447</v>
      </c>
      <c r="J13109" t="s">
        <v>46498</v>
      </c>
      <c r="L13109" t="s">
        <v>46499</v>
      </c>
      <c r="M13109" t="s">
        <v>46500</v>
      </c>
      <c r="P13109" t="s">
        <v>1452</v>
      </c>
      <c r="Q13109" t="s">
        <v>46501</v>
      </c>
      <c r="R13109" t="s">
        <v>46502</v>
      </c>
      <c r="T13109" t="s">
        <v>46503</v>
      </c>
      <c r="V13109" t="s">
        <v>46504</v>
      </c>
      <c r="Y13109" t="s">
        <v>46505</v>
      </c>
    </row>
    <row r="13110" spans="1:25" x14ac:dyDescent="0.25">
      <c r="A13110" t="str">
        <f>"205188331142"</f>
        <v>205188331142</v>
      </c>
      <c r="B13110" t="s">
        <v>96</v>
      </c>
      <c r="C13110" t="s">
        <v>27219</v>
      </c>
      <c r="D13110" t="s">
        <v>46506</v>
      </c>
      <c r="E13110">
        <v>424000</v>
      </c>
      <c r="F13110" t="s">
        <v>1</v>
      </c>
      <c r="G13110" t="s">
        <v>2</v>
      </c>
      <c r="H13110" t="s">
        <v>2671</v>
      </c>
      <c r="L13110" t="s">
        <v>46507</v>
      </c>
      <c r="M13110" t="s">
        <v>46508</v>
      </c>
      <c r="P13110" t="s">
        <v>2050</v>
      </c>
      <c r="Q13110" t="s">
        <v>46509</v>
      </c>
      <c r="V13110" t="s">
        <v>46510</v>
      </c>
      <c r="Y13110" t="s">
        <v>2674</v>
      </c>
    </row>
    <row r="13111" spans="1:25" x14ac:dyDescent="0.25">
      <c r="A13111" t="str">
        <f>"205194400221"</f>
        <v>205194400221</v>
      </c>
      <c r="B13111" t="s">
        <v>32</v>
      </c>
      <c r="C13111" t="s">
        <v>182</v>
      </c>
      <c r="D13111" t="s">
        <v>22377</v>
      </c>
      <c r="E13111">
        <v>424918</v>
      </c>
      <c r="F13111" t="s">
        <v>1</v>
      </c>
      <c r="G13111" t="s">
        <v>2</v>
      </c>
      <c r="H13111" t="s">
        <v>629</v>
      </c>
      <c r="P13111" t="s">
        <v>630</v>
      </c>
      <c r="Y13111" t="s">
        <v>1744</v>
      </c>
    </row>
    <row r="13112" spans="1:25" x14ac:dyDescent="0.25">
      <c r="A13112" t="str">
        <f>"205243052205"</f>
        <v>205243052205</v>
      </c>
      <c r="B13112" t="s">
        <v>1343</v>
      </c>
      <c r="C13112" t="s">
        <v>5308</v>
      </c>
      <c r="D13112" t="s">
        <v>46511</v>
      </c>
      <c r="E13112">
        <v>424033</v>
      </c>
      <c r="F13112" t="s">
        <v>1</v>
      </c>
      <c r="G13112" t="s">
        <v>2</v>
      </c>
      <c r="H13112" t="s">
        <v>76</v>
      </c>
      <c r="J13112" t="s">
        <v>46512</v>
      </c>
      <c r="P13112" t="s">
        <v>1213</v>
      </c>
      <c r="Q13112" t="s">
        <v>46513</v>
      </c>
      <c r="Y13112" t="s">
        <v>17629</v>
      </c>
    </row>
    <row r="13113" spans="1:25" x14ac:dyDescent="0.25">
      <c r="A13113" t="str">
        <f>"205262755171"</f>
        <v>205262755171</v>
      </c>
      <c r="B13113" t="s">
        <v>1046</v>
      </c>
      <c r="C13113" t="s">
        <v>46518</v>
      </c>
      <c r="D13113" t="s">
        <v>46514</v>
      </c>
      <c r="E13113">
        <v>424019</v>
      </c>
      <c r="F13113" t="s">
        <v>1</v>
      </c>
      <c r="G13113" t="s">
        <v>2</v>
      </c>
      <c r="H13113" t="s">
        <v>7785</v>
      </c>
      <c r="J13113" t="s">
        <v>46515</v>
      </c>
      <c r="L13113" t="s">
        <v>46516</v>
      </c>
      <c r="M13113" t="s">
        <v>46517</v>
      </c>
      <c r="P13113" t="s">
        <v>98</v>
      </c>
      <c r="Q13113" t="s">
        <v>46519</v>
      </c>
      <c r="V13113" t="s">
        <v>46520</v>
      </c>
      <c r="Y13113" t="s">
        <v>38931</v>
      </c>
    </row>
    <row r="13114" spans="1:25" x14ac:dyDescent="0.25">
      <c r="A13114" t="str">
        <f>"205267244848"</f>
        <v>205267244848</v>
      </c>
      <c r="B13114" t="s">
        <v>348</v>
      </c>
      <c r="C13114" t="s">
        <v>4366</v>
      </c>
      <c r="D13114" t="s">
        <v>46521</v>
      </c>
      <c r="F13114" t="s">
        <v>1</v>
      </c>
      <c r="G13114" t="s">
        <v>2</v>
      </c>
      <c r="H13114" t="s">
        <v>138</v>
      </c>
      <c r="P13114" t="s">
        <v>144</v>
      </c>
      <c r="Y13114" t="s">
        <v>46522</v>
      </c>
    </row>
    <row r="13115" spans="1:25" x14ac:dyDescent="0.25">
      <c r="A13115" t="str">
        <f>"205339820933"</f>
        <v>205339820933</v>
      </c>
      <c r="B13115" t="s">
        <v>67</v>
      </c>
      <c r="C13115" t="s">
        <v>27252</v>
      </c>
      <c r="D13115" t="s">
        <v>1153</v>
      </c>
      <c r="E13115">
        <v>424005</v>
      </c>
      <c r="F13115" t="s">
        <v>1</v>
      </c>
      <c r="G13115" t="s">
        <v>2</v>
      </c>
      <c r="H13115" t="s">
        <v>7480</v>
      </c>
      <c r="Y13115" t="s">
        <v>46523</v>
      </c>
    </row>
    <row r="13116" spans="1:25" x14ac:dyDescent="0.25">
      <c r="A13116" t="str">
        <f>"205345829814"</f>
        <v>205345829814</v>
      </c>
      <c r="B13116" t="s">
        <v>530</v>
      </c>
      <c r="C13116" t="s">
        <v>23950</v>
      </c>
      <c r="D13116" t="s">
        <v>23950</v>
      </c>
      <c r="F13116" t="s">
        <v>1</v>
      </c>
      <c r="G13116" t="s">
        <v>2</v>
      </c>
      <c r="H13116" t="s">
        <v>34563</v>
      </c>
      <c r="Y13116" t="s">
        <v>46524</v>
      </c>
    </row>
    <row r="13117" spans="1:25" x14ac:dyDescent="0.25">
      <c r="A13117" t="str">
        <f>"205346523579"</f>
        <v>205346523579</v>
      </c>
      <c r="B13117" t="s">
        <v>1222</v>
      </c>
      <c r="C13117" t="s">
        <v>12417</v>
      </c>
      <c r="D13117" t="s">
        <v>2114</v>
      </c>
      <c r="E13117">
        <v>424000</v>
      </c>
      <c r="F13117" t="s">
        <v>1</v>
      </c>
      <c r="G13117" t="s">
        <v>2</v>
      </c>
      <c r="H13117" t="s">
        <v>265</v>
      </c>
      <c r="Y13117" t="s">
        <v>46525</v>
      </c>
    </row>
    <row r="13118" spans="1:25" x14ac:dyDescent="0.25">
      <c r="A13118" t="str">
        <f>"205354615344"</f>
        <v>205354615344</v>
      </c>
      <c r="B13118" t="s">
        <v>738</v>
      </c>
      <c r="C13118" t="s">
        <v>38590</v>
      </c>
      <c r="D13118" t="s">
        <v>46526</v>
      </c>
      <c r="E13118">
        <v>424007</v>
      </c>
      <c r="F13118" t="s">
        <v>1</v>
      </c>
      <c r="G13118" t="s">
        <v>2</v>
      </c>
      <c r="H13118" t="s">
        <v>46527</v>
      </c>
      <c r="I13118" t="s">
        <v>46528</v>
      </c>
      <c r="J13118" t="s">
        <v>46529</v>
      </c>
      <c r="L13118" t="s">
        <v>46530</v>
      </c>
      <c r="M13118" t="s">
        <v>46531</v>
      </c>
      <c r="Q13118" t="s">
        <v>46532</v>
      </c>
      <c r="T13118" t="s">
        <v>46533</v>
      </c>
      <c r="V13118" t="s">
        <v>46534</v>
      </c>
      <c r="Y13118" t="s">
        <v>46535</v>
      </c>
    </row>
    <row r="13119" spans="1:25" x14ac:dyDescent="0.25">
      <c r="A13119" t="str">
        <f>"205412558764"</f>
        <v>205412558764</v>
      </c>
      <c r="B13119" t="s">
        <v>290</v>
      </c>
      <c r="C13119" t="s">
        <v>290</v>
      </c>
      <c r="D13119" t="s">
        <v>46536</v>
      </c>
      <c r="E13119">
        <v>424007</v>
      </c>
      <c r="F13119" t="s">
        <v>1</v>
      </c>
      <c r="G13119" t="s">
        <v>2</v>
      </c>
      <c r="H13119" t="s">
        <v>23667</v>
      </c>
      <c r="Y13119" t="s">
        <v>46537</v>
      </c>
    </row>
    <row r="13120" spans="1:25" x14ac:dyDescent="0.25">
      <c r="A13120" t="str">
        <f>"205420143431"</f>
        <v>205420143431</v>
      </c>
      <c r="B13120" t="s">
        <v>888</v>
      </c>
      <c r="C13120" t="s">
        <v>7389</v>
      </c>
      <c r="D13120" t="s">
        <v>46538</v>
      </c>
      <c r="E13120">
        <v>424008</v>
      </c>
      <c r="F13120" t="s">
        <v>1</v>
      </c>
      <c r="G13120" t="s">
        <v>2</v>
      </c>
      <c r="H13120" t="s">
        <v>15428</v>
      </c>
      <c r="J13120" t="s">
        <v>46539</v>
      </c>
      <c r="L13120" t="s">
        <v>38300</v>
      </c>
      <c r="Q13120" t="s">
        <v>38301</v>
      </c>
      <c r="Y13120" t="s">
        <v>15430</v>
      </c>
    </row>
    <row r="13121" spans="1:25" x14ac:dyDescent="0.25">
      <c r="A13121" t="str">
        <f>"205439851198"</f>
        <v>205439851198</v>
      </c>
      <c r="B13121" t="s">
        <v>96</v>
      </c>
      <c r="C13121" t="s">
        <v>659</v>
      </c>
      <c r="D13121" t="s">
        <v>11020</v>
      </c>
      <c r="E13121">
        <v>424918</v>
      </c>
      <c r="F13121" t="s">
        <v>1</v>
      </c>
      <c r="G13121" t="s">
        <v>2</v>
      </c>
      <c r="H13121" t="s">
        <v>629</v>
      </c>
      <c r="P13121" t="s">
        <v>630</v>
      </c>
      <c r="Y13121" t="s">
        <v>46540</v>
      </c>
    </row>
    <row r="13122" spans="1:25" x14ac:dyDescent="0.25">
      <c r="A13122" t="str">
        <f>"205448629357"</f>
        <v>205448629357</v>
      </c>
      <c r="B13122" t="s">
        <v>25</v>
      </c>
      <c r="C13122" t="s">
        <v>3708</v>
      </c>
      <c r="D13122" t="s">
        <v>46541</v>
      </c>
      <c r="E13122">
        <v>424006</v>
      </c>
      <c r="F13122" t="s">
        <v>1</v>
      </c>
      <c r="G13122" t="s">
        <v>2</v>
      </c>
      <c r="H13122" t="s">
        <v>7254</v>
      </c>
      <c r="I13122" t="s">
        <v>46542</v>
      </c>
      <c r="L13122" t="s">
        <v>46543</v>
      </c>
      <c r="M13122" t="s">
        <v>46544</v>
      </c>
      <c r="P13122" t="s">
        <v>280</v>
      </c>
      <c r="Y13122" t="s">
        <v>46545</v>
      </c>
    </row>
    <row r="13123" spans="1:25" x14ac:dyDescent="0.25">
      <c r="A13123" t="str">
        <f>"205520795623"</f>
        <v>205520795623</v>
      </c>
      <c r="B13123" t="s">
        <v>1475</v>
      </c>
      <c r="C13123" t="s">
        <v>1476</v>
      </c>
      <c r="D13123" t="s">
        <v>1476</v>
      </c>
      <c r="E13123">
        <v>424000</v>
      </c>
      <c r="F13123" t="s">
        <v>1</v>
      </c>
      <c r="G13123" t="s">
        <v>2</v>
      </c>
      <c r="H13123" t="s">
        <v>2206</v>
      </c>
      <c r="Y13123" t="s">
        <v>46546</v>
      </c>
    </row>
    <row r="13124" spans="1:25" x14ac:dyDescent="0.25">
      <c r="A13124" t="str">
        <f>"205536926199"</f>
        <v>205536926199</v>
      </c>
      <c r="B13124" t="s">
        <v>574</v>
      </c>
      <c r="C13124" t="s">
        <v>646</v>
      </c>
      <c r="D13124" t="s">
        <v>46547</v>
      </c>
      <c r="E13124">
        <v>424007</v>
      </c>
      <c r="F13124" t="s">
        <v>1</v>
      </c>
      <c r="G13124" t="s">
        <v>2</v>
      </c>
      <c r="H13124" t="s">
        <v>4869</v>
      </c>
      <c r="I13124" t="s">
        <v>10434</v>
      </c>
      <c r="P13124" t="s">
        <v>152</v>
      </c>
      <c r="Y13124" t="s">
        <v>5759</v>
      </c>
    </row>
    <row r="13125" spans="1:25" x14ac:dyDescent="0.25">
      <c r="A13125" t="str">
        <f>"205571417766"</f>
        <v>205571417766</v>
      </c>
      <c r="B13125" t="s">
        <v>888</v>
      </c>
      <c r="C13125" t="s">
        <v>39493</v>
      </c>
      <c r="D13125" t="s">
        <v>46548</v>
      </c>
      <c r="E13125">
        <v>424000</v>
      </c>
      <c r="F13125" t="s">
        <v>1</v>
      </c>
      <c r="G13125" t="s">
        <v>2</v>
      </c>
      <c r="H13125" t="s">
        <v>46549</v>
      </c>
      <c r="I13125" t="s">
        <v>46550</v>
      </c>
      <c r="L13125" t="s">
        <v>3631</v>
      </c>
      <c r="P13125" t="s">
        <v>2839</v>
      </c>
      <c r="Y13125" t="s">
        <v>46551</v>
      </c>
    </row>
    <row r="13126" spans="1:25" x14ac:dyDescent="0.25">
      <c r="A13126" t="str">
        <f>"205587708032"</f>
        <v>205587708032</v>
      </c>
      <c r="B13126" t="s">
        <v>2601</v>
      </c>
      <c r="C13126" t="s">
        <v>46555</v>
      </c>
      <c r="D13126" t="s">
        <v>46552</v>
      </c>
      <c r="E13126">
        <v>424000</v>
      </c>
      <c r="F13126" t="s">
        <v>1</v>
      </c>
      <c r="G13126" t="s">
        <v>2</v>
      </c>
      <c r="H13126" t="s">
        <v>1531</v>
      </c>
      <c r="J13126" t="s">
        <v>19372</v>
      </c>
      <c r="L13126" t="s">
        <v>46553</v>
      </c>
      <c r="M13126" t="s">
        <v>46554</v>
      </c>
      <c r="P13126" t="s">
        <v>1027</v>
      </c>
      <c r="Q13126" t="s">
        <v>46556</v>
      </c>
      <c r="S13126" t="s">
        <v>46557</v>
      </c>
      <c r="V13126" t="s">
        <v>46558</v>
      </c>
      <c r="Y13126" t="s">
        <v>4373</v>
      </c>
    </row>
    <row r="13127" spans="1:25" x14ac:dyDescent="0.25">
      <c r="A13127" t="str">
        <f>"205598082116"</f>
        <v>205598082116</v>
      </c>
      <c r="B13127" t="s">
        <v>654</v>
      </c>
      <c r="C13127" t="s">
        <v>2974</v>
      </c>
      <c r="D13127" t="s">
        <v>46559</v>
      </c>
      <c r="E13127">
        <v>424003</v>
      </c>
      <c r="F13127" t="s">
        <v>1</v>
      </c>
      <c r="G13127" t="s">
        <v>2</v>
      </c>
      <c r="H13127" t="s">
        <v>5773</v>
      </c>
      <c r="I13127" t="s">
        <v>46560</v>
      </c>
      <c r="J13127" t="s">
        <v>46561</v>
      </c>
      <c r="L13127" t="s">
        <v>46562</v>
      </c>
      <c r="M13127" t="s">
        <v>46563</v>
      </c>
      <c r="P13127" t="s">
        <v>390</v>
      </c>
      <c r="Y13127" t="s">
        <v>5775</v>
      </c>
    </row>
    <row r="13128" spans="1:25" x14ac:dyDescent="0.25">
      <c r="A13128" t="str">
        <f>"205614180407"</f>
        <v>205614180407</v>
      </c>
      <c r="B13128" t="s">
        <v>1061</v>
      </c>
      <c r="C13128" t="s">
        <v>26953</v>
      </c>
      <c r="D13128" t="s">
        <v>46564</v>
      </c>
      <c r="F13128" t="s">
        <v>1</v>
      </c>
      <c r="G13128" t="s">
        <v>2</v>
      </c>
      <c r="H13128" t="s">
        <v>37500</v>
      </c>
      <c r="Y13128" t="s">
        <v>46565</v>
      </c>
    </row>
    <row r="13129" spans="1:25" x14ac:dyDescent="0.25">
      <c r="A13129" t="str">
        <f>"205628638238"</f>
        <v>205628638238</v>
      </c>
      <c r="B13129" t="s">
        <v>176</v>
      </c>
      <c r="C13129" t="s">
        <v>27547</v>
      </c>
      <c r="D13129" t="s">
        <v>27545</v>
      </c>
      <c r="F13129" t="s">
        <v>1</v>
      </c>
      <c r="G13129" t="s">
        <v>2</v>
      </c>
      <c r="H13129" t="s">
        <v>46566</v>
      </c>
      <c r="Y13129" t="s">
        <v>46567</v>
      </c>
    </row>
    <row r="13130" spans="1:25" x14ac:dyDescent="0.25">
      <c r="A13130" t="str">
        <f>"205656137617"</f>
        <v>205656137617</v>
      </c>
      <c r="B13130" t="s">
        <v>18</v>
      </c>
      <c r="C13130" t="s">
        <v>2015</v>
      </c>
      <c r="D13130" t="s">
        <v>10018</v>
      </c>
      <c r="E13130">
        <v>424019</v>
      </c>
      <c r="F13130" t="s">
        <v>1</v>
      </c>
      <c r="G13130" t="s">
        <v>2</v>
      </c>
      <c r="H13130" t="s">
        <v>19290</v>
      </c>
      <c r="I13130" t="s">
        <v>46568</v>
      </c>
      <c r="J13130" t="s">
        <v>46569</v>
      </c>
      <c r="L13130" t="s">
        <v>46570</v>
      </c>
      <c r="M13130" t="s">
        <v>46571</v>
      </c>
      <c r="P13130" t="s">
        <v>1071</v>
      </c>
      <c r="Q13130" t="s">
        <v>46572</v>
      </c>
      <c r="V13130" t="s">
        <v>46573</v>
      </c>
      <c r="Y13130" t="s">
        <v>46574</v>
      </c>
    </row>
    <row r="13131" spans="1:25" x14ac:dyDescent="0.25">
      <c r="A13131" t="str">
        <f>"205658352274"</f>
        <v>205658352274</v>
      </c>
      <c r="B13131" t="s">
        <v>430</v>
      </c>
      <c r="C13131" t="s">
        <v>29001</v>
      </c>
      <c r="D13131" t="s">
        <v>46575</v>
      </c>
      <c r="E13131">
        <v>424002</v>
      </c>
      <c r="F13131" t="s">
        <v>1</v>
      </c>
      <c r="G13131" t="s">
        <v>2</v>
      </c>
      <c r="H13131" t="s">
        <v>6319</v>
      </c>
      <c r="J13131" t="s">
        <v>46576</v>
      </c>
      <c r="P13131" t="s">
        <v>46577</v>
      </c>
      <c r="Q13131" t="s">
        <v>46578</v>
      </c>
      <c r="V13131" t="s">
        <v>46579</v>
      </c>
      <c r="Y13131" t="s">
        <v>46580</v>
      </c>
    </row>
    <row r="13132" spans="1:25" x14ac:dyDescent="0.25">
      <c r="A13132" t="str">
        <f>"205672286821"</f>
        <v>205672286821</v>
      </c>
      <c r="B13132" t="s">
        <v>1323</v>
      </c>
      <c r="C13132" t="s">
        <v>1324</v>
      </c>
      <c r="D13132" t="s">
        <v>46581</v>
      </c>
      <c r="E13132">
        <v>424000</v>
      </c>
      <c r="F13132" t="s">
        <v>1</v>
      </c>
      <c r="G13132" t="s">
        <v>2</v>
      </c>
      <c r="H13132" t="s">
        <v>837</v>
      </c>
      <c r="I13132" t="s">
        <v>46582</v>
      </c>
      <c r="Y13132" t="s">
        <v>46583</v>
      </c>
    </row>
    <row r="13133" spans="1:25" x14ac:dyDescent="0.25">
      <c r="A13133" t="str">
        <f>"205783384223"</f>
        <v>205783384223</v>
      </c>
      <c r="B13133" t="s">
        <v>18</v>
      </c>
      <c r="C13133" t="s">
        <v>5273</v>
      </c>
      <c r="D13133" t="s">
        <v>46584</v>
      </c>
      <c r="E13133">
        <v>424006</v>
      </c>
      <c r="F13133" t="s">
        <v>1</v>
      </c>
      <c r="G13133" t="s">
        <v>2</v>
      </c>
      <c r="H13133" t="s">
        <v>1923</v>
      </c>
      <c r="I13133" t="s">
        <v>46585</v>
      </c>
      <c r="P13133" t="s">
        <v>34</v>
      </c>
      <c r="Q13133" t="s">
        <v>46586</v>
      </c>
      <c r="Y13133" t="s">
        <v>1928</v>
      </c>
    </row>
    <row r="13134" spans="1:25" x14ac:dyDescent="0.25">
      <c r="A13134" t="str">
        <f>"205788812757"</f>
        <v>205788812757</v>
      </c>
      <c r="B13134" t="s">
        <v>456</v>
      </c>
      <c r="C13134" t="s">
        <v>2773</v>
      </c>
      <c r="D13134" t="s">
        <v>46587</v>
      </c>
      <c r="E13134">
        <v>424031</v>
      </c>
      <c r="F13134" t="s">
        <v>1</v>
      </c>
      <c r="G13134" t="s">
        <v>2</v>
      </c>
      <c r="H13134" t="s">
        <v>239</v>
      </c>
      <c r="Y13134" t="s">
        <v>246</v>
      </c>
    </row>
    <row r="13135" spans="1:25" x14ac:dyDescent="0.25">
      <c r="A13135" t="str">
        <f>"205801762541"</f>
        <v>205801762541</v>
      </c>
      <c r="B13135" t="s">
        <v>553</v>
      </c>
      <c r="C13135" t="s">
        <v>46591</v>
      </c>
      <c r="D13135" t="s">
        <v>46588</v>
      </c>
      <c r="E13135">
        <v>424000</v>
      </c>
      <c r="F13135" t="s">
        <v>1</v>
      </c>
      <c r="G13135" t="s">
        <v>2</v>
      </c>
      <c r="H13135" t="s">
        <v>1531</v>
      </c>
      <c r="I13135" t="s">
        <v>46589</v>
      </c>
      <c r="L13135" t="s">
        <v>46590</v>
      </c>
      <c r="P13135" t="s">
        <v>27</v>
      </c>
      <c r="Q13135" t="s">
        <v>46592</v>
      </c>
      <c r="Y13135" t="s">
        <v>6838</v>
      </c>
    </row>
    <row r="13136" spans="1:25" x14ac:dyDescent="0.25">
      <c r="A13136" t="str">
        <f>"205806157536"</f>
        <v>205806157536</v>
      </c>
      <c r="B13136" t="s">
        <v>1573</v>
      </c>
      <c r="C13136" t="s">
        <v>1817</v>
      </c>
      <c r="D13136" t="s">
        <v>46593</v>
      </c>
      <c r="E13136">
        <v>424030</v>
      </c>
      <c r="F13136" t="s">
        <v>1</v>
      </c>
      <c r="G13136" t="s">
        <v>2</v>
      </c>
      <c r="H13136" t="s">
        <v>12562</v>
      </c>
      <c r="Y13136" t="s">
        <v>46594</v>
      </c>
    </row>
    <row r="13137" spans="1:25" x14ac:dyDescent="0.25">
      <c r="A13137" t="str">
        <f>"205829681146"</f>
        <v>205829681146</v>
      </c>
      <c r="B13137" t="s">
        <v>188</v>
      </c>
      <c r="C13137" t="s">
        <v>23982</v>
      </c>
      <c r="D13137" t="s">
        <v>23982</v>
      </c>
      <c r="E13137">
        <v>424005</v>
      </c>
      <c r="F13137" t="s">
        <v>1</v>
      </c>
      <c r="G13137" t="s">
        <v>2</v>
      </c>
      <c r="H13137" t="s">
        <v>30829</v>
      </c>
      <c r="Y13137" t="s">
        <v>46595</v>
      </c>
    </row>
    <row r="13138" spans="1:25" x14ac:dyDescent="0.25">
      <c r="A13138" t="str">
        <f>"205843155123"</f>
        <v>205843155123</v>
      </c>
      <c r="B13138" t="s">
        <v>18</v>
      </c>
      <c r="C13138" t="s">
        <v>46599</v>
      </c>
      <c r="D13138" t="s">
        <v>46596</v>
      </c>
      <c r="E13138">
        <v>424007</v>
      </c>
      <c r="F13138" t="s">
        <v>1</v>
      </c>
      <c r="G13138" t="s">
        <v>2</v>
      </c>
      <c r="H13138" t="s">
        <v>46597</v>
      </c>
      <c r="I13138" t="s">
        <v>24664</v>
      </c>
      <c r="L13138" t="s">
        <v>24666</v>
      </c>
      <c r="M13138" t="s">
        <v>46598</v>
      </c>
      <c r="P13138" t="s">
        <v>6467</v>
      </c>
      <c r="Y13138" t="s">
        <v>16603</v>
      </c>
    </row>
    <row r="13139" spans="1:25" x14ac:dyDescent="0.25">
      <c r="A13139" t="str">
        <f>"205850570423"</f>
        <v>205850570423</v>
      </c>
      <c r="B13139" t="s">
        <v>7</v>
      </c>
      <c r="C13139" t="s">
        <v>9893</v>
      </c>
      <c r="D13139" t="s">
        <v>46600</v>
      </c>
      <c r="E13139">
        <v>424019</v>
      </c>
      <c r="F13139" t="s">
        <v>1</v>
      </c>
      <c r="G13139" t="s">
        <v>2</v>
      </c>
      <c r="H13139" t="s">
        <v>9271</v>
      </c>
      <c r="I13139" t="s">
        <v>21162</v>
      </c>
      <c r="P13139" t="s">
        <v>2513</v>
      </c>
      <c r="Y13139" t="s">
        <v>14680</v>
      </c>
    </row>
    <row r="13140" spans="1:25" x14ac:dyDescent="0.25">
      <c r="A13140" t="str">
        <f>"205960423510"</f>
        <v>205960423510</v>
      </c>
      <c r="B13140" t="s">
        <v>624</v>
      </c>
      <c r="C13140" t="s">
        <v>1637</v>
      </c>
      <c r="D13140" t="s">
        <v>21574</v>
      </c>
      <c r="E13140">
        <v>424016</v>
      </c>
      <c r="F13140" t="s">
        <v>1</v>
      </c>
      <c r="G13140" t="s">
        <v>2</v>
      </c>
      <c r="H13140" t="s">
        <v>2637</v>
      </c>
      <c r="I13140" t="s">
        <v>46601</v>
      </c>
      <c r="P13140" t="s">
        <v>1071</v>
      </c>
      <c r="Y13140" t="s">
        <v>16336</v>
      </c>
    </row>
    <row r="13141" spans="1:25" x14ac:dyDescent="0.25">
      <c r="A13141" t="str">
        <f>"205999459315"</f>
        <v>205999459315</v>
      </c>
      <c r="B13141" t="s">
        <v>530</v>
      </c>
      <c r="C13141" t="s">
        <v>23950</v>
      </c>
      <c r="D13141" t="s">
        <v>23950</v>
      </c>
      <c r="F13141" t="s">
        <v>1</v>
      </c>
      <c r="G13141" t="s">
        <v>2</v>
      </c>
      <c r="H13141" t="s">
        <v>25180</v>
      </c>
      <c r="Y13141" t="s">
        <v>46602</v>
      </c>
    </row>
    <row r="13142" spans="1:25" x14ac:dyDescent="0.25">
      <c r="A13142" t="str">
        <f>"206006485271"</f>
        <v>206006485271</v>
      </c>
      <c r="B13142" t="s">
        <v>80</v>
      </c>
      <c r="C13142" t="s">
        <v>3295</v>
      </c>
      <c r="D13142" t="s">
        <v>20758</v>
      </c>
      <c r="F13142" t="s">
        <v>1</v>
      </c>
      <c r="G13142" t="s">
        <v>2</v>
      </c>
      <c r="H13142" t="s">
        <v>7547</v>
      </c>
      <c r="I13142" t="s">
        <v>20760</v>
      </c>
      <c r="Y13142" t="s">
        <v>46603</v>
      </c>
    </row>
    <row r="13143" spans="1:25" x14ac:dyDescent="0.25">
      <c r="A13143" t="str">
        <f>"206006866232"</f>
        <v>206006866232</v>
      </c>
      <c r="B13143" t="s">
        <v>32</v>
      </c>
      <c r="C13143" t="s">
        <v>28032</v>
      </c>
      <c r="D13143" t="s">
        <v>46604</v>
      </c>
      <c r="E13143">
        <v>424003</v>
      </c>
      <c r="F13143" t="s">
        <v>1</v>
      </c>
      <c r="G13143" t="s">
        <v>2</v>
      </c>
      <c r="H13143" t="s">
        <v>22849</v>
      </c>
      <c r="I13143" t="s">
        <v>46605</v>
      </c>
      <c r="P13143" t="s">
        <v>44184</v>
      </c>
      <c r="Q13143" t="s">
        <v>46606</v>
      </c>
      <c r="Y13143" t="s">
        <v>46607</v>
      </c>
    </row>
    <row r="13144" spans="1:25" x14ac:dyDescent="0.25">
      <c r="A13144" t="str">
        <f>"206010431565"</f>
        <v>206010431565</v>
      </c>
      <c r="B13144" t="s">
        <v>151</v>
      </c>
      <c r="C13144" t="s">
        <v>2522</v>
      </c>
      <c r="D13144" t="s">
        <v>17009</v>
      </c>
      <c r="E13144">
        <v>424036</v>
      </c>
      <c r="F13144" t="s">
        <v>1</v>
      </c>
      <c r="G13144" t="s">
        <v>2</v>
      </c>
      <c r="H13144" t="s">
        <v>19750</v>
      </c>
      <c r="I13144" t="s">
        <v>17010</v>
      </c>
      <c r="L13144" t="s">
        <v>5579</v>
      </c>
      <c r="M13144" t="s">
        <v>2521</v>
      </c>
      <c r="P13144" t="s">
        <v>869</v>
      </c>
      <c r="Y13144" t="s">
        <v>27245</v>
      </c>
    </row>
    <row r="13145" spans="1:25" x14ac:dyDescent="0.25">
      <c r="A13145" t="str">
        <f>"206041539048"</f>
        <v>206041539048</v>
      </c>
      <c r="B13145" t="s">
        <v>110</v>
      </c>
      <c r="C13145" t="s">
        <v>34116</v>
      </c>
      <c r="D13145" t="s">
        <v>37153</v>
      </c>
      <c r="E13145">
        <v>424002</v>
      </c>
      <c r="F13145" t="s">
        <v>1</v>
      </c>
      <c r="G13145" t="s">
        <v>2</v>
      </c>
      <c r="H13145" t="s">
        <v>662</v>
      </c>
      <c r="J13145" t="s">
        <v>46608</v>
      </c>
      <c r="L13145" t="s">
        <v>46609</v>
      </c>
      <c r="M13145" t="s">
        <v>46610</v>
      </c>
      <c r="P13145" t="s">
        <v>4459</v>
      </c>
      <c r="Q13145" t="s">
        <v>46611</v>
      </c>
      <c r="R13145" t="s">
        <v>46612</v>
      </c>
      <c r="Y13145" t="s">
        <v>46613</v>
      </c>
    </row>
    <row r="13146" spans="1:25" x14ac:dyDescent="0.25">
      <c r="A13146" t="str">
        <f>"206053674549"</f>
        <v>206053674549</v>
      </c>
      <c r="B13146" t="s">
        <v>88</v>
      </c>
      <c r="C13146" t="s">
        <v>46615</v>
      </c>
      <c r="D13146" t="s">
        <v>46614</v>
      </c>
      <c r="E13146">
        <v>424004</v>
      </c>
      <c r="F13146" t="s">
        <v>1</v>
      </c>
      <c r="G13146" t="s">
        <v>2</v>
      </c>
      <c r="H13146" t="s">
        <v>3266</v>
      </c>
      <c r="Y13146" t="s">
        <v>46616</v>
      </c>
    </row>
    <row r="13147" spans="1:25" x14ac:dyDescent="0.25">
      <c r="A13147" t="str">
        <f>"206069976982"</f>
        <v>206069976982</v>
      </c>
      <c r="B13147" t="s">
        <v>96</v>
      </c>
      <c r="C13147" t="s">
        <v>24441</v>
      </c>
      <c r="D13147" t="s">
        <v>46617</v>
      </c>
      <c r="E13147">
        <v>424030</v>
      </c>
      <c r="F13147" t="s">
        <v>1</v>
      </c>
      <c r="G13147" t="s">
        <v>2</v>
      </c>
      <c r="H13147" t="s">
        <v>10204</v>
      </c>
      <c r="Y13147" t="s">
        <v>46618</v>
      </c>
    </row>
    <row r="13148" spans="1:25" x14ac:dyDescent="0.25">
      <c r="A13148" t="str">
        <f>"206079305638"</f>
        <v>206079305638</v>
      </c>
      <c r="B13148" t="s">
        <v>117</v>
      </c>
      <c r="C13148" t="s">
        <v>118</v>
      </c>
      <c r="D13148" t="s">
        <v>46619</v>
      </c>
      <c r="E13148">
        <v>424028</v>
      </c>
      <c r="F13148" t="s">
        <v>1</v>
      </c>
      <c r="G13148" t="s">
        <v>2</v>
      </c>
      <c r="H13148" t="s">
        <v>1260</v>
      </c>
      <c r="I13148" t="s">
        <v>46620</v>
      </c>
      <c r="P13148" t="s">
        <v>330</v>
      </c>
      <c r="Y13148" t="s">
        <v>46621</v>
      </c>
    </row>
    <row r="13149" spans="1:25" x14ac:dyDescent="0.25">
      <c r="A13149" t="str">
        <f>"206091776792"</f>
        <v>206091776792</v>
      </c>
      <c r="B13149" t="s">
        <v>3544</v>
      </c>
      <c r="C13149" t="s">
        <v>11303</v>
      </c>
      <c r="D13149" t="s">
        <v>37151</v>
      </c>
      <c r="E13149">
        <v>424032</v>
      </c>
      <c r="F13149" t="s">
        <v>1</v>
      </c>
      <c r="G13149" t="s">
        <v>2</v>
      </c>
      <c r="H13149" t="s">
        <v>46622</v>
      </c>
      <c r="P13149" t="s">
        <v>280</v>
      </c>
      <c r="Y13149" t="s">
        <v>46623</v>
      </c>
    </row>
    <row r="13150" spans="1:25" x14ac:dyDescent="0.25">
      <c r="A13150" t="str">
        <f>"206110508466"</f>
        <v>206110508466</v>
      </c>
      <c r="B13150" t="s">
        <v>3094</v>
      </c>
      <c r="C13150" t="s">
        <v>46629</v>
      </c>
      <c r="D13150" t="s">
        <v>46624</v>
      </c>
      <c r="E13150">
        <v>424003</v>
      </c>
      <c r="F13150" t="s">
        <v>1</v>
      </c>
      <c r="G13150" t="s">
        <v>2</v>
      </c>
      <c r="H13150" t="s">
        <v>46625</v>
      </c>
      <c r="J13150" t="s">
        <v>46626</v>
      </c>
      <c r="L13150" t="s">
        <v>46627</v>
      </c>
      <c r="M13150" t="s">
        <v>46628</v>
      </c>
      <c r="P13150" t="s">
        <v>280</v>
      </c>
      <c r="Q13150" t="s">
        <v>46630</v>
      </c>
      <c r="Y13150" t="s">
        <v>46631</v>
      </c>
    </row>
    <row r="13151" spans="1:25" x14ac:dyDescent="0.25">
      <c r="A13151" t="str">
        <f>"206144035571"</f>
        <v>206144035571</v>
      </c>
      <c r="B13151" t="s">
        <v>1352</v>
      </c>
      <c r="C13151" t="s">
        <v>1353</v>
      </c>
      <c r="D13151" t="s">
        <v>17450</v>
      </c>
      <c r="E13151">
        <v>424002</v>
      </c>
      <c r="F13151" t="s">
        <v>1</v>
      </c>
      <c r="G13151" t="s">
        <v>2</v>
      </c>
      <c r="H13151" t="s">
        <v>662</v>
      </c>
      <c r="P13151" t="s">
        <v>5829</v>
      </c>
      <c r="Q13151" t="s">
        <v>46632</v>
      </c>
      <c r="V13151" t="s">
        <v>46633</v>
      </c>
      <c r="Y13151" t="s">
        <v>3342</v>
      </c>
    </row>
    <row r="13152" spans="1:25" x14ac:dyDescent="0.25">
      <c r="A13152" t="str">
        <f>"206166810319"</f>
        <v>206166810319</v>
      </c>
      <c r="B13152" t="s">
        <v>456</v>
      </c>
      <c r="C13152" t="s">
        <v>2773</v>
      </c>
      <c r="D13152" t="s">
        <v>46634</v>
      </c>
      <c r="E13152">
        <v>424038</v>
      </c>
      <c r="F13152" t="s">
        <v>1</v>
      </c>
      <c r="G13152" t="s">
        <v>2</v>
      </c>
      <c r="H13152" t="s">
        <v>7597</v>
      </c>
      <c r="I13152" t="s">
        <v>46635</v>
      </c>
      <c r="L13152" t="s">
        <v>46636</v>
      </c>
      <c r="M13152" t="s">
        <v>46637</v>
      </c>
      <c r="P13152" t="s">
        <v>9175</v>
      </c>
      <c r="Q13152" t="s">
        <v>46638</v>
      </c>
      <c r="Y13152" t="s">
        <v>16150</v>
      </c>
    </row>
    <row r="13153" spans="1:25" x14ac:dyDescent="0.25">
      <c r="A13153" t="str">
        <f>"206172203359"</f>
        <v>206172203359</v>
      </c>
      <c r="B13153" t="s">
        <v>96</v>
      </c>
      <c r="C13153" t="s">
        <v>893</v>
      </c>
      <c r="D13153" t="s">
        <v>46639</v>
      </c>
      <c r="E13153">
        <v>424918</v>
      </c>
      <c r="F13153" t="s">
        <v>1</v>
      </c>
      <c r="G13153" t="s">
        <v>2</v>
      </c>
      <c r="H13153" t="s">
        <v>629</v>
      </c>
      <c r="P13153" t="s">
        <v>630</v>
      </c>
      <c r="Y13153" t="s">
        <v>4513</v>
      </c>
    </row>
    <row r="13154" spans="1:25" x14ac:dyDescent="0.25">
      <c r="A13154" t="str">
        <f>"206232657501"</f>
        <v>206232657501</v>
      </c>
      <c r="B13154" t="s">
        <v>1573</v>
      </c>
      <c r="C13154" t="s">
        <v>1817</v>
      </c>
      <c r="D13154" t="s">
        <v>42405</v>
      </c>
      <c r="E13154">
        <v>424039</v>
      </c>
      <c r="F13154" t="s">
        <v>1</v>
      </c>
      <c r="G13154" t="s">
        <v>2</v>
      </c>
      <c r="H13154" t="s">
        <v>5827</v>
      </c>
      <c r="Y13154" t="s">
        <v>10310</v>
      </c>
    </row>
    <row r="13155" spans="1:25" x14ac:dyDescent="0.25">
      <c r="A13155" t="str">
        <f>"206310209067"</f>
        <v>206310209067</v>
      </c>
      <c r="B13155" t="s">
        <v>574</v>
      </c>
      <c r="C13155" t="s">
        <v>14652</v>
      </c>
      <c r="D13155" t="s">
        <v>46640</v>
      </c>
      <c r="E13155">
        <v>424002</v>
      </c>
      <c r="F13155" t="s">
        <v>1</v>
      </c>
      <c r="G13155" t="s">
        <v>2</v>
      </c>
      <c r="H13155" t="s">
        <v>5692</v>
      </c>
      <c r="Y13155" t="s">
        <v>11243</v>
      </c>
    </row>
    <row r="13156" spans="1:25" x14ac:dyDescent="0.25">
      <c r="A13156" t="str">
        <f>"206333258949"</f>
        <v>206333258949</v>
      </c>
      <c r="B13156" t="s">
        <v>110</v>
      </c>
      <c r="C13156" t="s">
        <v>46646</v>
      </c>
      <c r="D13156" t="s">
        <v>46641</v>
      </c>
      <c r="E13156">
        <v>424000</v>
      </c>
      <c r="F13156" t="s">
        <v>1</v>
      </c>
      <c r="G13156" t="s">
        <v>2</v>
      </c>
      <c r="H13156" t="s">
        <v>1473</v>
      </c>
      <c r="I13156" t="s">
        <v>46642</v>
      </c>
      <c r="J13156" t="s">
        <v>46643</v>
      </c>
      <c r="L13156" t="s">
        <v>46644</v>
      </c>
      <c r="M13156" t="s">
        <v>46645</v>
      </c>
      <c r="P13156" t="s">
        <v>941</v>
      </c>
      <c r="Q13156" t="s">
        <v>46647</v>
      </c>
      <c r="R13156" t="s">
        <v>46648</v>
      </c>
      <c r="T13156" t="s">
        <v>46649</v>
      </c>
      <c r="U13156" t="s">
        <v>46650</v>
      </c>
      <c r="V13156" t="s">
        <v>46651</v>
      </c>
      <c r="Y13156" t="s">
        <v>4067</v>
      </c>
    </row>
    <row r="13157" spans="1:25" x14ac:dyDescent="0.25">
      <c r="A13157" t="str">
        <f>"206347258884"</f>
        <v>206347258884</v>
      </c>
      <c r="B13157" t="s">
        <v>462</v>
      </c>
      <c r="C13157" t="s">
        <v>5618</v>
      </c>
      <c r="D13157" t="s">
        <v>46652</v>
      </c>
      <c r="E13157">
        <v>424007</v>
      </c>
      <c r="F13157" t="s">
        <v>1</v>
      </c>
      <c r="G13157" t="s">
        <v>2</v>
      </c>
      <c r="H13157" t="s">
        <v>20698</v>
      </c>
      <c r="I13157" t="s">
        <v>46653</v>
      </c>
      <c r="L13157" t="s">
        <v>46654</v>
      </c>
      <c r="M13157" t="s">
        <v>46655</v>
      </c>
      <c r="P13157" t="s">
        <v>27</v>
      </c>
      <c r="Y13157" t="s">
        <v>46656</v>
      </c>
    </row>
    <row r="13158" spans="1:25" x14ac:dyDescent="0.25">
      <c r="A13158" t="str">
        <f>"206351441756"</f>
        <v>206351441756</v>
      </c>
      <c r="B13158" t="s">
        <v>2104</v>
      </c>
      <c r="C13158" t="s">
        <v>11739</v>
      </c>
      <c r="D13158" t="s">
        <v>46657</v>
      </c>
      <c r="E13158">
        <v>424000</v>
      </c>
      <c r="F13158" t="s">
        <v>1</v>
      </c>
      <c r="G13158" t="s">
        <v>2</v>
      </c>
      <c r="H13158" t="s">
        <v>2925</v>
      </c>
      <c r="Q13158" t="s">
        <v>46658</v>
      </c>
      <c r="Y13158" t="s">
        <v>2929</v>
      </c>
    </row>
    <row r="13159" spans="1:25" x14ac:dyDescent="0.25">
      <c r="A13159" t="str">
        <f>"206422618298"</f>
        <v>206422618298</v>
      </c>
      <c r="B13159" t="s">
        <v>3544</v>
      </c>
      <c r="C13159" t="s">
        <v>24644</v>
      </c>
      <c r="D13159" t="s">
        <v>46659</v>
      </c>
      <c r="E13159">
        <v>424038</v>
      </c>
      <c r="F13159" t="s">
        <v>1</v>
      </c>
      <c r="G13159" t="s">
        <v>2</v>
      </c>
      <c r="H13159" t="s">
        <v>21388</v>
      </c>
      <c r="I13159" t="s">
        <v>46660</v>
      </c>
      <c r="J13159" t="s">
        <v>46661</v>
      </c>
      <c r="M13159" t="s">
        <v>46662</v>
      </c>
      <c r="P13159" t="s">
        <v>133</v>
      </c>
      <c r="Q13159" t="s">
        <v>46663</v>
      </c>
      <c r="S13159" t="s">
        <v>46664</v>
      </c>
      <c r="T13159" t="s">
        <v>46665</v>
      </c>
      <c r="Y13159" t="s">
        <v>24293</v>
      </c>
    </row>
    <row r="13160" spans="1:25" x14ac:dyDescent="0.25">
      <c r="A13160" t="str">
        <f>"206455116676"</f>
        <v>206455116676</v>
      </c>
      <c r="B13160" t="s">
        <v>2601</v>
      </c>
      <c r="C13160" t="s">
        <v>5375</v>
      </c>
      <c r="D13160" t="s">
        <v>46666</v>
      </c>
      <c r="E13160">
        <v>424038</v>
      </c>
      <c r="F13160" t="s">
        <v>1</v>
      </c>
      <c r="G13160" t="s">
        <v>2</v>
      </c>
      <c r="H13160" t="s">
        <v>7597</v>
      </c>
      <c r="J13160" t="s">
        <v>41003</v>
      </c>
      <c r="P13160" t="s">
        <v>2738</v>
      </c>
      <c r="Y13160" t="s">
        <v>46667</v>
      </c>
    </row>
    <row r="13161" spans="1:25" x14ac:dyDescent="0.25">
      <c r="A13161" t="str">
        <f>"206466103092"</f>
        <v>206466103092</v>
      </c>
      <c r="B13161" t="s">
        <v>18</v>
      </c>
      <c r="C13161" t="s">
        <v>46673</v>
      </c>
      <c r="D13161" t="s">
        <v>46668</v>
      </c>
      <c r="E13161">
        <v>424032</v>
      </c>
      <c r="F13161" t="s">
        <v>1</v>
      </c>
      <c r="G13161" t="s">
        <v>2</v>
      </c>
      <c r="H13161" t="s">
        <v>46669</v>
      </c>
      <c r="I13161" t="s">
        <v>46670</v>
      </c>
      <c r="L13161" t="s">
        <v>46671</v>
      </c>
      <c r="M13161" t="s">
        <v>46672</v>
      </c>
      <c r="P13161" t="s">
        <v>27</v>
      </c>
      <c r="Y13161" t="s">
        <v>46674</v>
      </c>
    </row>
    <row r="13162" spans="1:25" x14ac:dyDescent="0.25">
      <c r="A13162" t="str">
        <f>"206511244281"</f>
        <v>206511244281</v>
      </c>
      <c r="B13162" t="s">
        <v>96</v>
      </c>
      <c r="C13162" t="s">
        <v>25084</v>
      </c>
      <c r="D13162" t="s">
        <v>3470</v>
      </c>
      <c r="E13162">
        <v>424007</v>
      </c>
      <c r="F13162" t="s">
        <v>1</v>
      </c>
      <c r="G13162" t="s">
        <v>2</v>
      </c>
      <c r="H13162" t="s">
        <v>5178</v>
      </c>
      <c r="P13162" t="s">
        <v>2731</v>
      </c>
      <c r="Y13162" t="s">
        <v>46675</v>
      </c>
    </row>
    <row r="13163" spans="1:25" x14ac:dyDescent="0.25">
      <c r="A13163" t="str">
        <f>"206525686000"</f>
        <v>206525686000</v>
      </c>
      <c r="B13163" t="s">
        <v>96</v>
      </c>
      <c r="C13163" t="s">
        <v>893</v>
      </c>
      <c r="D13163" t="s">
        <v>14528</v>
      </c>
      <c r="E13163">
        <v>424000</v>
      </c>
      <c r="F13163" t="s">
        <v>1</v>
      </c>
      <c r="G13163" t="s">
        <v>2</v>
      </c>
      <c r="H13163" t="s">
        <v>9927</v>
      </c>
      <c r="P13163" t="s">
        <v>133</v>
      </c>
      <c r="Y13163" t="s">
        <v>46676</v>
      </c>
    </row>
    <row r="13164" spans="1:25" x14ac:dyDescent="0.25">
      <c r="A13164" t="str">
        <f>"206527172342"</f>
        <v>206527172342</v>
      </c>
      <c r="B13164" t="s">
        <v>530</v>
      </c>
      <c r="C13164" t="s">
        <v>23950</v>
      </c>
      <c r="D13164" t="s">
        <v>23950</v>
      </c>
      <c r="F13164" t="s">
        <v>1</v>
      </c>
      <c r="G13164" t="s">
        <v>2</v>
      </c>
      <c r="H13164" t="s">
        <v>27403</v>
      </c>
      <c r="Y13164" t="s">
        <v>46677</v>
      </c>
    </row>
    <row r="13165" spans="1:25" x14ac:dyDescent="0.25">
      <c r="A13165" t="str">
        <f>"206537906511"</f>
        <v>206537906511</v>
      </c>
      <c r="B13165" t="s">
        <v>1573</v>
      </c>
      <c r="C13165" t="s">
        <v>1817</v>
      </c>
      <c r="D13165" t="s">
        <v>46678</v>
      </c>
      <c r="E13165">
        <v>424038</v>
      </c>
      <c r="F13165" t="s">
        <v>1</v>
      </c>
      <c r="G13165" t="s">
        <v>2</v>
      </c>
      <c r="H13165" t="s">
        <v>21388</v>
      </c>
      <c r="I13165" t="s">
        <v>46679</v>
      </c>
      <c r="L13165" t="s">
        <v>46680</v>
      </c>
      <c r="M13165" t="s">
        <v>46681</v>
      </c>
      <c r="Y13165" t="s">
        <v>24293</v>
      </c>
    </row>
    <row r="13166" spans="1:25" x14ac:dyDescent="0.25">
      <c r="A13166" t="str">
        <f>"206561741726"</f>
        <v>206561741726</v>
      </c>
      <c r="B13166" t="s">
        <v>32</v>
      </c>
      <c r="C13166" t="s">
        <v>4125</v>
      </c>
      <c r="D13166" t="s">
        <v>38129</v>
      </c>
      <c r="E13166">
        <v>424002</v>
      </c>
      <c r="F13166" t="s">
        <v>1</v>
      </c>
      <c r="G13166" t="s">
        <v>2</v>
      </c>
      <c r="H13166" t="s">
        <v>5806</v>
      </c>
      <c r="P13166" t="s">
        <v>144</v>
      </c>
      <c r="Q13166" t="s">
        <v>46682</v>
      </c>
      <c r="Y13166" t="s">
        <v>5812</v>
      </c>
    </row>
    <row r="13167" spans="1:25" x14ac:dyDescent="0.25">
      <c r="A13167" t="str">
        <f>"206592816928"</f>
        <v>206592816928</v>
      </c>
      <c r="B13167" t="s">
        <v>408</v>
      </c>
      <c r="C13167" t="s">
        <v>46687</v>
      </c>
      <c r="D13167" t="s">
        <v>46683</v>
      </c>
      <c r="F13167" t="s">
        <v>1</v>
      </c>
      <c r="G13167" t="s">
        <v>2</v>
      </c>
      <c r="H13167" t="s">
        <v>19499</v>
      </c>
      <c r="I13167" t="s">
        <v>46684</v>
      </c>
      <c r="L13167" t="s">
        <v>46685</v>
      </c>
      <c r="M13167" t="s">
        <v>46686</v>
      </c>
      <c r="P13167" t="s">
        <v>45273</v>
      </c>
      <c r="Q13167" t="s">
        <v>46688</v>
      </c>
      <c r="R13167" t="s">
        <v>46689</v>
      </c>
      <c r="T13167" t="s">
        <v>46690</v>
      </c>
      <c r="V13167" t="s">
        <v>46691</v>
      </c>
      <c r="Y13167" t="s">
        <v>24185</v>
      </c>
    </row>
    <row r="13168" spans="1:25" x14ac:dyDescent="0.25">
      <c r="A13168" t="str">
        <f>"206602006768"</f>
        <v>206602006768</v>
      </c>
      <c r="B13168" t="s">
        <v>160</v>
      </c>
      <c r="C13168" t="s">
        <v>21371</v>
      </c>
      <c r="D13168" t="s">
        <v>46692</v>
      </c>
      <c r="E13168">
        <v>424028</v>
      </c>
      <c r="F13168" t="s">
        <v>1</v>
      </c>
      <c r="G13168" t="s">
        <v>2</v>
      </c>
      <c r="H13168" t="s">
        <v>30569</v>
      </c>
      <c r="Y13168" t="s">
        <v>46693</v>
      </c>
    </row>
    <row r="13169" spans="1:25" x14ac:dyDescent="0.25">
      <c r="A13169" t="str">
        <f>"206623436696"</f>
        <v>206623436696</v>
      </c>
      <c r="B13169" t="s">
        <v>738</v>
      </c>
      <c r="C13169" t="s">
        <v>739</v>
      </c>
      <c r="D13169" t="s">
        <v>46694</v>
      </c>
      <c r="E13169">
        <v>424004</v>
      </c>
      <c r="F13169" t="s">
        <v>1</v>
      </c>
      <c r="G13169" t="s">
        <v>2</v>
      </c>
      <c r="H13169" t="s">
        <v>46695</v>
      </c>
      <c r="Y13169" t="s">
        <v>46696</v>
      </c>
    </row>
    <row r="13170" spans="1:25" x14ac:dyDescent="0.25">
      <c r="A13170" t="str">
        <f>"206629670959"</f>
        <v>206629670959</v>
      </c>
      <c r="B13170" t="s">
        <v>797</v>
      </c>
      <c r="C13170" t="s">
        <v>5123</v>
      </c>
      <c r="D13170" t="s">
        <v>797</v>
      </c>
      <c r="E13170">
        <v>424037</v>
      </c>
      <c r="F13170" t="s">
        <v>1</v>
      </c>
      <c r="G13170" t="s">
        <v>2</v>
      </c>
      <c r="H13170" t="s">
        <v>21270</v>
      </c>
      <c r="P13170" t="s">
        <v>216</v>
      </c>
      <c r="Y13170" t="s">
        <v>46697</v>
      </c>
    </row>
    <row r="13171" spans="1:25" x14ac:dyDescent="0.25">
      <c r="A13171" t="str">
        <f>"206663223036"</f>
        <v>206663223036</v>
      </c>
      <c r="B13171" t="s">
        <v>96</v>
      </c>
      <c r="C13171" t="s">
        <v>893</v>
      </c>
      <c r="D13171" t="s">
        <v>46698</v>
      </c>
      <c r="E13171">
        <v>424000</v>
      </c>
      <c r="F13171" t="s">
        <v>1</v>
      </c>
      <c r="G13171" t="s">
        <v>2</v>
      </c>
      <c r="H13171" t="s">
        <v>1473</v>
      </c>
      <c r="J13171" t="s">
        <v>46699</v>
      </c>
      <c r="M13171" t="s">
        <v>46700</v>
      </c>
      <c r="P13171" t="s">
        <v>941</v>
      </c>
      <c r="Y13171" t="s">
        <v>46701</v>
      </c>
    </row>
    <row r="13172" spans="1:25" x14ac:dyDescent="0.25">
      <c r="A13172" t="str">
        <f>"206729562983"</f>
        <v>206729562983</v>
      </c>
      <c r="B13172" t="s">
        <v>151</v>
      </c>
      <c r="C13172" t="s">
        <v>151</v>
      </c>
      <c r="D13172" t="s">
        <v>46702</v>
      </c>
      <c r="E13172">
        <v>424028</v>
      </c>
      <c r="F13172" t="s">
        <v>1</v>
      </c>
      <c r="G13172" t="s">
        <v>2</v>
      </c>
      <c r="H13172" t="s">
        <v>24503</v>
      </c>
      <c r="J13172" t="s">
        <v>46703</v>
      </c>
      <c r="P13172" t="s">
        <v>3822</v>
      </c>
      <c r="Y13172" t="s">
        <v>22102</v>
      </c>
    </row>
    <row r="13173" spans="1:25" x14ac:dyDescent="0.25">
      <c r="A13173" t="str">
        <f>"206746842499"</f>
        <v>206746842499</v>
      </c>
      <c r="B13173" t="s">
        <v>462</v>
      </c>
      <c r="C13173" t="s">
        <v>1140</v>
      </c>
      <c r="D13173" t="s">
        <v>46704</v>
      </c>
      <c r="E13173">
        <v>424000</v>
      </c>
      <c r="F13173" t="s">
        <v>1</v>
      </c>
      <c r="G13173" t="s">
        <v>2</v>
      </c>
      <c r="H13173" t="s">
        <v>837</v>
      </c>
      <c r="P13173" t="s">
        <v>19495</v>
      </c>
      <c r="Q13173" t="s">
        <v>46705</v>
      </c>
      <c r="Y13173" t="s">
        <v>2964</v>
      </c>
    </row>
    <row r="13174" spans="1:25" x14ac:dyDescent="0.25">
      <c r="A13174" t="str">
        <f>"206795622007"</f>
        <v>206795622007</v>
      </c>
      <c r="B13174" t="s">
        <v>379</v>
      </c>
      <c r="C13174" t="s">
        <v>380</v>
      </c>
      <c r="D13174" t="s">
        <v>8393</v>
      </c>
      <c r="F13174" t="s">
        <v>1</v>
      </c>
      <c r="G13174" t="s">
        <v>2</v>
      </c>
      <c r="H13174" t="s">
        <v>29043</v>
      </c>
      <c r="I13174" t="s">
        <v>46706</v>
      </c>
      <c r="L13174" t="s">
        <v>8395</v>
      </c>
      <c r="M13174" t="s">
        <v>8396</v>
      </c>
      <c r="P13174" t="s">
        <v>8397</v>
      </c>
      <c r="Q13174" t="s">
        <v>8412</v>
      </c>
      <c r="R13174" t="s">
        <v>8399</v>
      </c>
      <c r="S13174" t="s">
        <v>8400</v>
      </c>
      <c r="T13174" t="s">
        <v>46707</v>
      </c>
      <c r="Y13174" t="s">
        <v>46708</v>
      </c>
    </row>
    <row r="13175" spans="1:25" x14ac:dyDescent="0.25">
      <c r="A13175" t="str">
        <f>"206822115725"</f>
        <v>206822115725</v>
      </c>
      <c r="B13175" t="s">
        <v>96</v>
      </c>
      <c r="C13175" t="s">
        <v>893</v>
      </c>
      <c r="D13175" t="s">
        <v>46709</v>
      </c>
      <c r="E13175">
        <v>424038</v>
      </c>
      <c r="F13175" t="s">
        <v>1</v>
      </c>
      <c r="G13175" t="s">
        <v>2</v>
      </c>
      <c r="H13175" t="s">
        <v>2614</v>
      </c>
      <c r="Y13175" t="s">
        <v>2617</v>
      </c>
    </row>
    <row r="13176" spans="1:25" x14ac:dyDescent="0.25">
      <c r="A13176" t="str">
        <f>"206855149364"</f>
        <v>206855149364</v>
      </c>
      <c r="B13176" t="s">
        <v>388</v>
      </c>
      <c r="C13176" t="s">
        <v>5565</v>
      </c>
      <c r="D13176" t="s">
        <v>46710</v>
      </c>
      <c r="E13176">
        <v>424007</v>
      </c>
      <c r="F13176" t="s">
        <v>1</v>
      </c>
      <c r="G13176" t="s">
        <v>2</v>
      </c>
      <c r="H13176" t="s">
        <v>220</v>
      </c>
      <c r="J13176" t="s">
        <v>46711</v>
      </c>
      <c r="P13176" t="s">
        <v>280</v>
      </c>
      <c r="Y13176" t="s">
        <v>227</v>
      </c>
    </row>
    <row r="13177" spans="1:25" x14ac:dyDescent="0.25">
      <c r="A13177" t="str">
        <f>"206918715150"</f>
        <v>206918715150</v>
      </c>
      <c r="B13177" t="s">
        <v>348</v>
      </c>
      <c r="C13177" t="s">
        <v>349</v>
      </c>
      <c r="D13177" t="s">
        <v>15659</v>
      </c>
      <c r="E13177">
        <v>424002</v>
      </c>
      <c r="F13177" t="s">
        <v>1</v>
      </c>
      <c r="G13177" t="s">
        <v>2</v>
      </c>
      <c r="H13177" t="s">
        <v>5998</v>
      </c>
      <c r="I13177" t="s">
        <v>46712</v>
      </c>
      <c r="M13177" t="s">
        <v>46713</v>
      </c>
      <c r="P13177" t="s">
        <v>399</v>
      </c>
      <c r="Q13177" t="s">
        <v>46714</v>
      </c>
      <c r="Y13177" t="s">
        <v>6000</v>
      </c>
    </row>
    <row r="13178" spans="1:25" x14ac:dyDescent="0.25">
      <c r="A13178" t="str">
        <f>"206940046422"</f>
        <v>206940046422</v>
      </c>
      <c r="B13178" t="s">
        <v>319</v>
      </c>
      <c r="C13178" t="s">
        <v>320</v>
      </c>
      <c r="D13178" t="s">
        <v>46715</v>
      </c>
      <c r="E13178">
        <v>424004</v>
      </c>
      <c r="F13178" t="s">
        <v>1</v>
      </c>
      <c r="G13178" t="s">
        <v>2</v>
      </c>
      <c r="H13178" t="s">
        <v>3285</v>
      </c>
      <c r="I13178" t="s">
        <v>10344</v>
      </c>
      <c r="Y13178" t="s">
        <v>46716</v>
      </c>
    </row>
    <row r="13179" spans="1:25" x14ac:dyDescent="0.25">
      <c r="A13179" t="str">
        <f>"206948701095"</f>
        <v>206948701095</v>
      </c>
      <c r="B13179" t="s">
        <v>1152</v>
      </c>
      <c r="C13179" t="s">
        <v>8523</v>
      </c>
      <c r="D13179" t="s">
        <v>46717</v>
      </c>
      <c r="E13179">
        <v>424019</v>
      </c>
      <c r="F13179" t="s">
        <v>1</v>
      </c>
      <c r="G13179" t="s">
        <v>2</v>
      </c>
      <c r="H13179" t="s">
        <v>23613</v>
      </c>
      <c r="J13179" t="s">
        <v>46718</v>
      </c>
      <c r="P13179" t="s">
        <v>133</v>
      </c>
      <c r="Q13179" t="s">
        <v>46719</v>
      </c>
      <c r="Y13179" t="s">
        <v>46720</v>
      </c>
    </row>
    <row r="13180" spans="1:25" x14ac:dyDescent="0.25">
      <c r="A13180" t="str">
        <f>"207008214871"</f>
        <v>207008214871</v>
      </c>
      <c r="B13180" t="s">
        <v>430</v>
      </c>
      <c r="C13180" t="s">
        <v>16178</v>
      </c>
      <c r="D13180" t="s">
        <v>10135</v>
      </c>
      <c r="F13180" t="s">
        <v>1</v>
      </c>
      <c r="G13180" t="s">
        <v>2</v>
      </c>
      <c r="H13180" t="s">
        <v>24976</v>
      </c>
      <c r="Y13180" t="s">
        <v>46721</v>
      </c>
    </row>
    <row r="13181" spans="1:25" x14ac:dyDescent="0.25">
      <c r="A13181" t="str">
        <f>"207070081664"</f>
        <v>207070081664</v>
      </c>
      <c r="B13181" t="s">
        <v>790</v>
      </c>
      <c r="C13181" t="s">
        <v>46725</v>
      </c>
      <c r="D13181" t="s">
        <v>36875</v>
      </c>
      <c r="E13181">
        <v>424000</v>
      </c>
      <c r="F13181" t="s">
        <v>1</v>
      </c>
      <c r="G13181" t="s">
        <v>2</v>
      </c>
      <c r="H13181" t="s">
        <v>1531</v>
      </c>
      <c r="J13181" t="s">
        <v>46722</v>
      </c>
      <c r="L13181" t="s">
        <v>46723</v>
      </c>
      <c r="M13181" t="s">
        <v>46724</v>
      </c>
      <c r="P13181" t="s">
        <v>2296</v>
      </c>
      <c r="Q13181" t="s">
        <v>46726</v>
      </c>
      <c r="Y13181" t="s">
        <v>46727</v>
      </c>
    </row>
    <row r="13182" spans="1:25" x14ac:dyDescent="0.25">
      <c r="A13182" t="str">
        <f>"207100513425"</f>
        <v>207100513425</v>
      </c>
      <c r="B13182" t="s">
        <v>1758</v>
      </c>
      <c r="C13182" t="s">
        <v>8089</v>
      </c>
      <c r="D13182" t="s">
        <v>46728</v>
      </c>
      <c r="E13182">
        <v>424000</v>
      </c>
      <c r="F13182" t="s">
        <v>1</v>
      </c>
      <c r="G13182" t="s">
        <v>2</v>
      </c>
      <c r="H13182" t="s">
        <v>86</v>
      </c>
      <c r="I13182" t="s">
        <v>46729</v>
      </c>
      <c r="J13182" t="s">
        <v>46730</v>
      </c>
      <c r="L13182" t="s">
        <v>46731</v>
      </c>
      <c r="M13182" t="s">
        <v>46732</v>
      </c>
      <c r="P13182" t="s">
        <v>1027</v>
      </c>
      <c r="Q13182" t="s">
        <v>46733</v>
      </c>
      <c r="R13182" t="s">
        <v>46734</v>
      </c>
      <c r="T13182" t="s">
        <v>46735</v>
      </c>
      <c r="U13182" t="s">
        <v>46736</v>
      </c>
      <c r="Y13182" t="s">
        <v>46737</v>
      </c>
    </row>
    <row r="13183" spans="1:25" x14ac:dyDescent="0.25">
      <c r="A13183" t="str">
        <f>"207116938698"</f>
        <v>207116938698</v>
      </c>
      <c r="B13183" t="s">
        <v>123</v>
      </c>
      <c r="C13183" t="s">
        <v>10249</v>
      </c>
      <c r="D13183" t="s">
        <v>46738</v>
      </c>
      <c r="E13183">
        <v>424008</v>
      </c>
      <c r="F13183" t="s">
        <v>1</v>
      </c>
      <c r="G13183" t="s">
        <v>2</v>
      </c>
      <c r="H13183" t="s">
        <v>15428</v>
      </c>
      <c r="J13183" t="s">
        <v>46739</v>
      </c>
      <c r="P13183" t="s">
        <v>4998</v>
      </c>
      <c r="Q13183" t="s">
        <v>46740</v>
      </c>
      <c r="Y13183" t="s">
        <v>46741</v>
      </c>
    </row>
    <row r="13184" spans="1:25" x14ac:dyDescent="0.25">
      <c r="A13184" t="str">
        <f>"207125718593"</f>
        <v>207125718593</v>
      </c>
      <c r="B13184" t="s">
        <v>1299</v>
      </c>
      <c r="C13184" t="s">
        <v>1300</v>
      </c>
      <c r="D13184" t="s">
        <v>33257</v>
      </c>
      <c r="F13184" t="s">
        <v>1</v>
      </c>
      <c r="G13184" t="s">
        <v>2</v>
      </c>
      <c r="H13184" t="s">
        <v>29412</v>
      </c>
      <c r="Y13184" t="s">
        <v>46742</v>
      </c>
    </row>
    <row r="13185" spans="1:25" x14ac:dyDescent="0.25">
      <c r="A13185" t="str">
        <f>"207150336776"</f>
        <v>207150336776</v>
      </c>
      <c r="B13185" t="s">
        <v>2062</v>
      </c>
      <c r="C13185" t="s">
        <v>3293</v>
      </c>
      <c r="D13185" t="s">
        <v>46743</v>
      </c>
      <c r="E13185">
        <v>424003</v>
      </c>
      <c r="F13185" t="s">
        <v>1</v>
      </c>
      <c r="G13185" t="s">
        <v>2</v>
      </c>
      <c r="H13185" t="s">
        <v>5311</v>
      </c>
      <c r="P13185" t="s">
        <v>46744</v>
      </c>
      <c r="Y13185" t="s">
        <v>46745</v>
      </c>
    </row>
    <row r="13186" spans="1:25" x14ac:dyDescent="0.25">
      <c r="A13186" t="str">
        <f>"207165037294"</f>
        <v>207165037294</v>
      </c>
      <c r="B13186" t="s">
        <v>96</v>
      </c>
      <c r="C13186" t="s">
        <v>659</v>
      </c>
      <c r="D13186" t="s">
        <v>31437</v>
      </c>
      <c r="E13186">
        <v>424000</v>
      </c>
      <c r="F13186" t="s">
        <v>1</v>
      </c>
      <c r="G13186" t="s">
        <v>2</v>
      </c>
      <c r="H13186" t="s">
        <v>10803</v>
      </c>
      <c r="Y13186" t="s">
        <v>10805</v>
      </c>
    </row>
    <row r="13187" spans="1:25" x14ac:dyDescent="0.25">
      <c r="A13187" t="str">
        <f>"207185989274"</f>
        <v>207185989274</v>
      </c>
      <c r="B13187" t="s">
        <v>352</v>
      </c>
      <c r="C13187" t="s">
        <v>353</v>
      </c>
      <c r="D13187" t="s">
        <v>36490</v>
      </c>
      <c r="E13187">
        <v>424004</v>
      </c>
      <c r="F13187" t="s">
        <v>1</v>
      </c>
      <c r="G13187" t="s">
        <v>2</v>
      </c>
      <c r="H13187" t="s">
        <v>351</v>
      </c>
      <c r="P13187" t="s">
        <v>27</v>
      </c>
      <c r="Y13187" t="s">
        <v>46746</v>
      </c>
    </row>
    <row r="13188" spans="1:25" x14ac:dyDescent="0.25">
      <c r="A13188" t="str">
        <f>"207244788075"</f>
        <v>207244788075</v>
      </c>
      <c r="B13188" t="s">
        <v>25</v>
      </c>
      <c r="C13188" t="s">
        <v>24938</v>
      </c>
      <c r="D13188" t="s">
        <v>46747</v>
      </c>
      <c r="E13188">
        <v>424007</v>
      </c>
      <c r="F13188" t="s">
        <v>1</v>
      </c>
      <c r="G13188" t="s">
        <v>2</v>
      </c>
      <c r="H13188" t="s">
        <v>46748</v>
      </c>
      <c r="I13188" t="s">
        <v>39359</v>
      </c>
      <c r="M13188" t="s">
        <v>46749</v>
      </c>
      <c r="Y13188" t="s">
        <v>46750</v>
      </c>
    </row>
    <row r="13189" spans="1:25" x14ac:dyDescent="0.25">
      <c r="A13189" t="str">
        <f>"207277504686"</f>
        <v>207277504686</v>
      </c>
      <c r="B13189" t="s">
        <v>4084</v>
      </c>
      <c r="C13189" t="s">
        <v>28282</v>
      </c>
      <c r="D13189" t="s">
        <v>28461</v>
      </c>
      <c r="E13189">
        <v>424031</v>
      </c>
      <c r="F13189" t="s">
        <v>1</v>
      </c>
      <c r="G13189" t="s">
        <v>2</v>
      </c>
      <c r="H13189" t="s">
        <v>41440</v>
      </c>
      <c r="Y13189" t="s">
        <v>45938</v>
      </c>
    </row>
    <row r="13190" spans="1:25" x14ac:dyDescent="0.25">
      <c r="A13190" t="str">
        <f>"207281745230"</f>
        <v>207281745230</v>
      </c>
      <c r="B13190" t="s">
        <v>574</v>
      </c>
      <c r="C13190" t="s">
        <v>46751</v>
      </c>
      <c r="D13190" t="s">
        <v>646</v>
      </c>
      <c r="E13190">
        <v>424037</v>
      </c>
      <c r="F13190" t="s">
        <v>1</v>
      </c>
      <c r="G13190" t="s">
        <v>2</v>
      </c>
      <c r="H13190" t="s">
        <v>12646</v>
      </c>
      <c r="Y13190" t="s">
        <v>46752</v>
      </c>
    </row>
    <row r="13191" spans="1:25" x14ac:dyDescent="0.25">
      <c r="A13191" t="str">
        <f>"207326279629"</f>
        <v>207326279629</v>
      </c>
      <c r="B13191" t="s">
        <v>18</v>
      </c>
      <c r="C13191" t="s">
        <v>46754</v>
      </c>
      <c r="D13191" t="s">
        <v>17285</v>
      </c>
      <c r="F13191" t="s">
        <v>1</v>
      </c>
      <c r="G13191" t="s">
        <v>2</v>
      </c>
      <c r="H13191" t="s">
        <v>2096</v>
      </c>
      <c r="I13191" t="s">
        <v>28391</v>
      </c>
      <c r="L13191" t="s">
        <v>26422</v>
      </c>
      <c r="M13191" t="s">
        <v>46753</v>
      </c>
      <c r="P13191" t="s">
        <v>20</v>
      </c>
      <c r="Y13191" t="s">
        <v>46319</v>
      </c>
    </row>
    <row r="13192" spans="1:25" x14ac:dyDescent="0.25">
      <c r="A13192" t="str">
        <f>"207331323493"</f>
        <v>207331323493</v>
      </c>
      <c r="B13192" t="s">
        <v>1475</v>
      </c>
      <c r="C13192" t="s">
        <v>1476</v>
      </c>
      <c r="D13192" t="s">
        <v>23105</v>
      </c>
      <c r="E13192">
        <v>424004</v>
      </c>
      <c r="F13192" t="s">
        <v>1</v>
      </c>
      <c r="G13192" t="s">
        <v>2</v>
      </c>
      <c r="H13192" t="s">
        <v>15365</v>
      </c>
      <c r="Y13192" t="s">
        <v>46755</v>
      </c>
    </row>
    <row r="13193" spans="1:25" x14ac:dyDescent="0.25">
      <c r="A13193" t="str">
        <f>"207347140064"</f>
        <v>207347140064</v>
      </c>
      <c r="B13193" t="s">
        <v>96</v>
      </c>
      <c r="C13193" t="s">
        <v>24401</v>
      </c>
      <c r="D13193" t="s">
        <v>37514</v>
      </c>
      <c r="E13193">
        <v>424007</v>
      </c>
      <c r="F13193" t="s">
        <v>1</v>
      </c>
      <c r="G13193" t="s">
        <v>2</v>
      </c>
      <c r="H13193" t="s">
        <v>5178</v>
      </c>
      <c r="P13193" t="s">
        <v>2731</v>
      </c>
      <c r="Y13193" t="s">
        <v>46756</v>
      </c>
    </row>
    <row r="13194" spans="1:25" x14ac:dyDescent="0.25">
      <c r="A13194" t="str">
        <f>"207353933423"</f>
        <v>207353933423</v>
      </c>
      <c r="B13194" t="s">
        <v>7312</v>
      </c>
      <c r="C13194" t="s">
        <v>9849</v>
      </c>
      <c r="D13194" t="s">
        <v>46757</v>
      </c>
      <c r="E13194">
        <v>424002</v>
      </c>
      <c r="F13194" t="s">
        <v>1</v>
      </c>
      <c r="G13194" t="s">
        <v>2</v>
      </c>
      <c r="H13194" t="s">
        <v>19211</v>
      </c>
      <c r="P13194" t="s">
        <v>941</v>
      </c>
      <c r="Y13194" t="s">
        <v>46758</v>
      </c>
    </row>
    <row r="13195" spans="1:25" x14ac:dyDescent="0.25">
      <c r="A13195" t="str">
        <f>"207427756492"</f>
        <v>207427756492</v>
      </c>
      <c r="B13195" t="s">
        <v>110</v>
      </c>
      <c r="C13195" t="s">
        <v>111</v>
      </c>
      <c r="D13195" t="s">
        <v>10532</v>
      </c>
      <c r="E13195">
        <v>424000</v>
      </c>
      <c r="F13195" t="s">
        <v>1</v>
      </c>
      <c r="G13195" t="s">
        <v>2</v>
      </c>
      <c r="H13195" t="s">
        <v>1531</v>
      </c>
      <c r="J13195" t="s">
        <v>46759</v>
      </c>
      <c r="P13195" t="s">
        <v>1404</v>
      </c>
      <c r="Y13195" t="s">
        <v>46760</v>
      </c>
    </row>
    <row r="13196" spans="1:25" x14ac:dyDescent="0.25">
      <c r="A13196" t="str">
        <f>"207450599486"</f>
        <v>207450599486</v>
      </c>
      <c r="B13196" t="s">
        <v>888</v>
      </c>
      <c r="C13196" t="s">
        <v>4712</v>
      </c>
      <c r="D13196" t="s">
        <v>46761</v>
      </c>
      <c r="E13196">
        <v>424007</v>
      </c>
      <c r="F13196" t="s">
        <v>1</v>
      </c>
      <c r="G13196" t="s">
        <v>2</v>
      </c>
      <c r="H13196" t="s">
        <v>1319</v>
      </c>
      <c r="I13196" t="s">
        <v>36555</v>
      </c>
      <c r="L13196" t="s">
        <v>46762</v>
      </c>
      <c r="M13196" t="s">
        <v>46763</v>
      </c>
      <c r="P13196" t="s">
        <v>36556</v>
      </c>
      <c r="Y13196" t="s">
        <v>18331</v>
      </c>
    </row>
    <row r="13197" spans="1:25" x14ac:dyDescent="0.25">
      <c r="A13197" t="str">
        <f>"207510201044"</f>
        <v>207510201044</v>
      </c>
      <c r="B13197" t="s">
        <v>430</v>
      </c>
      <c r="C13197" t="s">
        <v>11849</v>
      </c>
      <c r="D13197" t="s">
        <v>46764</v>
      </c>
      <c r="E13197">
        <v>424002</v>
      </c>
      <c r="F13197" t="s">
        <v>1</v>
      </c>
      <c r="G13197" t="s">
        <v>2</v>
      </c>
      <c r="H13197" t="s">
        <v>5806</v>
      </c>
      <c r="J13197" t="s">
        <v>46765</v>
      </c>
      <c r="L13197" t="s">
        <v>46766</v>
      </c>
      <c r="M13197" t="s">
        <v>46767</v>
      </c>
      <c r="P13197" t="s">
        <v>46768</v>
      </c>
      <c r="Q13197" t="s">
        <v>46769</v>
      </c>
      <c r="Y13197" t="s">
        <v>46770</v>
      </c>
    </row>
    <row r="13198" spans="1:25" x14ac:dyDescent="0.25">
      <c r="A13198" t="str">
        <f>"207607842862"</f>
        <v>207607842862</v>
      </c>
      <c r="B13198" t="s">
        <v>530</v>
      </c>
      <c r="C13198" t="s">
        <v>23950</v>
      </c>
      <c r="D13198" t="s">
        <v>23950</v>
      </c>
      <c r="F13198" t="s">
        <v>1</v>
      </c>
      <c r="G13198" t="s">
        <v>2</v>
      </c>
      <c r="H13198" t="s">
        <v>31886</v>
      </c>
      <c r="Y13198" t="s">
        <v>46771</v>
      </c>
    </row>
    <row r="13199" spans="1:25" x14ac:dyDescent="0.25">
      <c r="A13199" t="str">
        <f>"207616417154"</f>
        <v>207616417154</v>
      </c>
      <c r="B13199" t="s">
        <v>574</v>
      </c>
      <c r="C13199" t="s">
        <v>27049</v>
      </c>
      <c r="D13199" t="s">
        <v>569</v>
      </c>
      <c r="E13199">
        <v>424037</v>
      </c>
      <c r="F13199" t="s">
        <v>1</v>
      </c>
      <c r="G13199" t="s">
        <v>2</v>
      </c>
      <c r="H13199" t="s">
        <v>18247</v>
      </c>
      <c r="P13199" t="s">
        <v>216</v>
      </c>
      <c r="Y13199" t="s">
        <v>46772</v>
      </c>
    </row>
    <row r="13200" spans="1:25" x14ac:dyDescent="0.25">
      <c r="A13200" t="str">
        <f>"207617401975"</f>
        <v>207617401975</v>
      </c>
      <c r="B13200" t="s">
        <v>1352</v>
      </c>
      <c r="C13200" t="s">
        <v>1353</v>
      </c>
      <c r="D13200" t="s">
        <v>46773</v>
      </c>
      <c r="E13200">
        <v>424000</v>
      </c>
      <c r="F13200" t="s">
        <v>1</v>
      </c>
      <c r="G13200" t="s">
        <v>2</v>
      </c>
      <c r="H13200" t="s">
        <v>10803</v>
      </c>
      <c r="Y13200" t="s">
        <v>10805</v>
      </c>
    </row>
    <row r="13201" spans="1:25" x14ac:dyDescent="0.25">
      <c r="A13201" t="str">
        <f>"207676733097"</f>
        <v>207676733097</v>
      </c>
      <c r="B13201" t="s">
        <v>1352</v>
      </c>
      <c r="C13201" t="s">
        <v>1353</v>
      </c>
      <c r="D13201" t="s">
        <v>46774</v>
      </c>
      <c r="E13201">
        <v>424039</v>
      </c>
      <c r="F13201" t="s">
        <v>1</v>
      </c>
      <c r="G13201" t="s">
        <v>2</v>
      </c>
      <c r="H13201" t="s">
        <v>5827</v>
      </c>
      <c r="Y13201" t="s">
        <v>23921</v>
      </c>
    </row>
    <row r="13202" spans="1:25" x14ac:dyDescent="0.25">
      <c r="A13202" t="str">
        <f>"207697928395"</f>
        <v>207697928395</v>
      </c>
      <c r="B13202" t="s">
        <v>447</v>
      </c>
      <c r="C13202" t="s">
        <v>46779</v>
      </c>
      <c r="D13202" t="s">
        <v>46775</v>
      </c>
      <c r="E13202">
        <v>424037</v>
      </c>
      <c r="F13202" t="s">
        <v>1</v>
      </c>
      <c r="G13202" t="s">
        <v>2</v>
      </c>
      <c r="H13202" t="s">
        <v>10000</v>
      </c>
      <c r="I13202" t="s">
        <v>46776</v>
      </c>
      <c r="J13202" t="s">
        <v>46777</v>
      </c>
      <c r="M13202" t="s">
        <v>46778</v>
      </c>
      <c r="P13202" t="s">
        <v>27</v>
      </c>
      <c r="Y13202" t="s">
        <v>46780</v>
      </c>
    </row>
    <row r="13203" spans="1:25" x14ac:dyDescent="0.25">
      <c r="A13203" t="str">
        <f>"207725014694"</f>
        <v>207725014694</v>
      </c>
      <c r="B13203" t="s">
        <v>160</v>
      </c>
      <c r="C13203" t="s">
        <v>9976</v>
      </c>
      <c r="D13203" t="s">
        <v>46781</v>
      </c>
      <c r="E13203">
        <v>424003</v>
      </c>
      <c r="F13203" t="s">
        <v>1</v>
      </c>
      <c r="G13203" t="s">
        <v>2</v>
      </c>
      <c r="H13203" t="s">
        <v>26085</v>
      </c>
      <c r="I13203" t="s">
        <v>46782</v>
      </c>
      <c r="P13203" t="s">
        <v>1027</v>
      </c>
      <c r="Y13203" t="s">
        <v>26088</v>
      </c>
    </row>
    <row r="13204" spans="1:25" x14ac:dyDescent="0.25">
      <c r="A13204" t="str">
        <f>"207754709130"</f>
        <v>207754709130</v>
      </c>
      <c r="B13204" t="s">
        <v>1729</v>
      </c>
      <c r="C13204" t="s">
        <v>2992</v>
      </c>
      <c r="D13204" t="s">
        <v>46783</v>
      </c>
      <c r="E13204">
        <v>424004</v>
      </c>
      <c r="F13204" t="s">
        <v>1</v>
      </c>
      <c r="G13204" t="s">
        <v>2</v>
      </c>
      <c r="H13204" t="s">
        <v>229</v>
      </c>
      <c r="Y13204" t="s">
        <v>46784</v>
      </c>
    </row>
    <row r="13205" spans="1:25" x14ac:dyDescent="0.25">
      <c r="A13205" t="str">
        <f>"207817566075"</f>
        <v>207817566075</v>
      </c>
      <c r="B13205" t="s">
        <v>123</v>
      </c>
      <c r="C13205" t="s">
        <v>196</v>
      </c>
      <c r="D13205" t="s">
        <v>46785</v>
      </c>
      <c r="F13205" t="s">
        <v>1</v>
      </c>
      <c r="G13205" t="s">
        <v>2</v>
      </c>
      <c r="H13205" t="s">
        <v>6353</v>
      </c>
      <c r="I13205" t="s">
        <v>46786</v>
      </c>
      <c r="J13205" t="s">
        <v>46787</v>
      </c>
      <c r="P13205" t="s">
        <v>46788</v>
      </c>
      <c r="Y13205" t="s">
        <v>46789</v>
      </c>
    </row>
    <row r="13206" spans="1:25" x14ac:dyDescent="0.25">
      <c r="A13206" t="str">
        <f>"207830052406"</f>
        <v>207830052406</v>
      </c>
      <c r="B13206" t="s">
        <v>888</v>
      </c>
      <c r="C13206" t="s">
        <v>7389</v>
      </c>
      <c r="D13206" t="s">
        <v>29249</v>
      </c>
      <c r="E13206">
        <v>424000</v>
      </c>
      <c r="F13206" t="s">
        <v>1</v>
      </c>
      <c r="G13206" t="s">
        <v>2</v>
      </c>
      <c r="H13206" t="s">
        <v>28208</v>
      </c>
      <c r="J13206" t="s">
        <v>46790</v>
      </c>
      <c r="L13206" t="s">
        <v>29251</v>
      </c>
      <c r="P13206" t="s">
        <v>33848</v>
      </c>
      <c r="Q13206" t="s">
        <v>29252</v>
      </c>
      <c r="Y13206" t="s">
        <v>46791</v>
      </c>
    </row>
    <row r="13207" spans="1:25" x14ac:dyDescent="0.25">
      <c r="A13207" t="str">
        <f>"207877267812"</f>
        <v>207877267812</v>
      </c>
      <c r="B13207" t="s">
        <v>348</v>
      </c>
      <c r="C13207" t="s">
        <v>21764</v>
      </c>
      <c r="D13207" t="s">
        <v>15779</v>
      </c>
      <c r="E13207">
        <v>424038</v>
      </c>
      <c r="F13207" t="s">
        <v>1</v>
      </c>
      <c r="G13207" t="s">
        <v>2</v>
      </c>
      <c r="H13207" t="s">
        <v>6550</v>
      </c>
      <c r="I13207" t="s">
        <v>46792</v>
      </c>
      <c r="J13207" t="s">
        <v>46793</v>
      </c>
      <c r="P13207" t="s">
        <v>941</v>
      </c>
      <c r="Y13207" t="s">
        <v>6552</v>
      </c>
    </row>
    <row r="13208" spans="1:25" x14ac:dyDescent="0.25">
      <c r="A13208" t="str">
        <f>"207907675780"</f>
        <v>207907675780</v>
      </c>
      <c r="B13208" t="s">
        <v>7</v>
      </c>
      <c r="C13208" t="s">
        <v>9397</v>
      </c>
      <c r="D13208" t="s">
        <v>46794</v>
      </c>
      <c r="E13208">
        <v>424007</v>
      </c>
      <c r="F13208" t="s">
        <v>1</v>
      </c>
      <c r="G13208" t="s">
        <v>2</v>
      </c>
      <c r="H13208" t="s">
        <v>46795</v>
      </c>
      <c r="P13208" t="s">
        <v>330</v>
      </c>
      <c r="Y13208" t="s">
        <v>46796</v>
      </c>
    </row>
    <row r="13209" spans="1:25" x14ac:dyDescent="0.25">
      <c r="A13209" t="str">
        <f>"207914137429"</f>
        <v>207914137429</v>
      </c>
      <c r="B13209" t="s">
        <v>290</v>
      </c>
      <c r="C13209" t="s">
        <v>11114</v>
      </c>
      <c r="D13209" t="s">
        <v>44466</v>
      </c>
      <c r="E13209">
        <v>424031</v>
      </c>
      <c r="F13209" t="s">
        <v>1</v>
      </c>
      <c r="G13209" t="s">
        <v>2</v>
      </c>
      <c r="H13209" t="s">
        <v>46797</v>
      </c>
      <c r="J13209" t="s">
        <v>22472</v>
      </c>
      <c r="P13209" t="s">
        <v>216</v>
      </c>
      <c r="Y13209" t="s">
        <v>46798</v>
      </c>
    </row>
    <row r="13210" spans="1:25" x14ac:dyDescent="0.25">
      <c r="A13210" t="str">
        <f>"207918574537"</f>
        <v>207918574537</v>
      </c>
      <c r="B13210" t="s">
        <v>654</v>
      </c>
      <c r="C13210" t="s">
        <v>14448</v>
      </c>
      <c r="D13210" t="s">
        <v>46799</v>
      </c>
      <c r="E13210">
        <v>424007</v>
      </c>
      <c r="F13210" t="s">
        <v>1</v>
      </c>
      <c r="G13210" t="s">
        <v>2</v>
      </c>
      <c r="H13210" t="s">
        <v>2168</v>
      </c>
      <c r="Y13210" t="s">
        <v>46800</v>
      </c>
    </row>
    <row r="13211" spans="1:25" x14ac:dyDescent="0.25">
      <c r="A13211" t="str">
        <f>"207933036238"</f>
        <v>207933036238</v>
      </c>
      <c r="B13211" t="s">
        <v>574</v>
      </c>
      <c r="C13211" t="s">
        <v>646</v>
      </c>
      <c r="D13211" t="s">
        <v>5285</v>
      </c>
      <c r="E13211">
        <v>424019</v>
      </c>
      <c r="F13211" t="s">
        <v>1</v>
      </c>
      <c r="G13211" t="s">
        <v>2</v>
      </c>
      <c r="H13211" t="s">
        <v>23613</v>
      </c>
      <c r="P13211" t="s">
        <v>2457</v>
      </c>
      <c r="Y13211" t="s">
        <v>46801</v>
      </c>
    </row>
    <row r="13212" spans="1:25" x14ac:dyDescent="0.25">
      <c r="A13212" t="str">
        <f>"207933715361"</f>
        <v>207933715361</v>
      </c>
      <c r="B13212" t="s">
        <v>18</v>
      </c>
      <c r="C13212" t="s">
        <v>5273</v>
      </c>
      <c r="D13212" t="s">
        <v>46802</v>
      </c>
      <c r="E13212">
        <v>424016</v>
      </c>
      <c r="F13212" t="s">
        <v>1</v>
      </c>
      <c r="G13212" t="s">
        <v>2</v>
      </c>
      <c r="H13212" t="s">
        <v>3703</v>
      </c>
      <c r="P13212" t="s">
        <v>25321</v>
      </c>
      <c r="Y13212" t="s">
        <v>5274</v>
      </c>
    </row>
    <row r="13213" spans="1:25" x14ac:dyDescent="0.25">
      <c r="A13213" t="str">
        <f>"207941626281"</f>
        <v>207941626281</v>
      </c>
      <c r="B13213" t="s">
        <v>397</v>
      </c>
      <c r="C13213" t="s">
        <v>11502</v>
      </c>
      <c r="D13213" t="s">
        <v>46803</v>
      </c>
      <c r="E13213">
        <v>424004</v>
      </c>
      <c r="F13213" t="s">
        <v>1</v>
      </c>
      <c r="G13213" t="s">
        <v>2</v>
      </c>
      <c r="H13213" t="s">
        <v>4844</v>
      </c>
      <c r="I13213" t="s">
        <v>46804</v>
      </c>
      <c r="K13213" t="s">
        <v>46805</v>
      </c>
      <c r="P13213" t="s">
        <v>911</v>
      </c>
      <c r="Y13213" t="s">
        <v>21056</v>
      </c>
    </row>
    <row r="13214" spans="1:25" x14ac:dyDescent="0.25">
      <c r="A13214" t="str">
        <f>"207949119878"</f>
        <v>207949119878</v>
      </c>
      <c r="B13214" t="s">
        <v>67</v>
      </c>
      <c r="C13214" t="s">
        <v>269</v>
      </c>
      <c r="D13214" t="s">
        <v>46806</v>
      </c>
      <c r="F13214" t="s">
        <v>1</v>
      </c>
      <c r="G13214" t="s">
        <v>2</v>
      </c>
      <c r="H13214" t="s">
        <v>138</v>
      </c>
      <c r="P13214" t="s">
        <v>144</v>
      </c>
      <c r="Y13214" t="s">
        <v>146</v>
      </c>
    </row>
    <row r="13215" spans="1:25" x14ac:dyDescent="0.25">
      <c r="A13215" t="str">
        <f>"207949710741"</f>
        <v>207949710741</v>
      </c>
      <c r="B13215" t="s">
        <v>738</v>
      </c>
      <c r="C13215" t="s">
        <v>46811</v>
      </c>
      <c r="D13215" t="s">
        <v>46807</v>
      </c>
      <c r="E13215">
        <v>424007</v>
      </c>
      <c r="F13215" t="s">
        <v>1</v>
      </c>
      <c r="G13215" t="s">
        <v>2</v>
      </c>
      <c r="H13215" t="s">
        <v>10252</v>
      </c>
      <c r="I13215" t="s">
        <v>46808</v>
      </c>
      <c r="L13215" t="s">
        <v>46809</v>
      </c>
      <c r="M13215" t="s">
        <v>46810</v>
      </c>
      <c r="P13215" t="s">
        <v>280</v>
      </c>
      <c r="Y13215" t="s">
        <v>10258</v>
      </c>
    </row>
    <row r="13216" spans="1:25" x14ac:dyDescent="0.25">
      <c r="A13216" t="str">
        <f>"207951720487"</f>
        <v>207951720487</v>
      </c>
      <c r="B13216" t="s">
        <v>430</v>
      </c>
      <c r="C13216" t="s">
        <v>46813</v>
      </c>
      <c r="D13216" t="s">
        <v>21810</v>
      </c>
      <c r="E13216">
        <v>424002</v>
      </c>
      <c r="F13216" t="s">
        <v>1</v>
      </c>
      <c r="G13216" t="s">
        <v>2</v>
      </c>
      <c r="H13216" t="s">
        <v>3864</v>
      </c>
      <c r="J13216" t="s">
        <v>46812</v>
      </c>
      <c r="P13216" t="s">
        <v>144</v>
      </c>
      <c r="Y13216" t="s">
        <v>3867</v>
      </c>
    </row>
    <row r="13217" spans="1:25" x14ac:dyDescent="0.25">
      <c r="A13217" t="str">
        <f>"207954071461"</f>
        <v>207954071461</v>
      </c>
      <c r="B13217" t="s">
        <v>348</v>
      </c>
      <c r="C13217" t="s">
        <v>46815</v>
      </c>
      <c r="D13217" t="s">
        <v>43289</v>
      </c>
      <c r="E13217">
        <v>424038</v>
      </c>
      <c r="F13217" t="s">
        <v>1</v>
      </c>
      <c r="G13217" t="s">
        <v>2</v>
      </c>
      <c r="H13217" t="s">
        <v>16183</v>
      </c>
      <c r="J13217" t="s">
        <v>46814</v>
      </c>
      <c r="P13217" t="s">
        <v>144</v>
      </c>
      <c r="Q13217" t="s">
        <v>46816</v>
      </c>
      <c r="R13217" t="s">
        <v>46817</v>
      </c>
      <c r="Y13217" t="s">
        <v>46818</v>
      </c>
    </row>
    <row r="13218" spans="1:25" x14ac:dyDescent="0.25">
      <c r="A13218" t="str">
        <f>"207972565263"</f>
        <v>207972565263</v>
      </c>
      <c r="B13218" t="s">
        <v>703</v>
      </c>
      <c r="C13218" t="s">
        <v>36056</v>
      </c>
      <c r="D13218" t="s">
        <v>46819</v>
      </c>
      <c r="E13218">
        <v>424002</v>
      </c>
      <c r="F13218" t="s">
        <v>1</v>
      </c>
      <c r="G13218" t="s">
        <v>2</v>
      </c>
      <c r="H13218" t="s">
        <v>6502</v>
      </c>
      <c r="J13218" t="s">
        <v>46820</v>
      </c>
      <c r="P13218" t="s">
        <v>2280</v>
      </c>
      <c r="Y13218" t="s">
        <v>16586</v>
      </c>
    </row>
    <row r="13219" spans="1:25" x14ac:dyDescent="0.25">
      <c r="A13219" t="str">
        <f>"208000245457"</f>
        <v>208000245457</v>
      </c>
      <c r="B13219" t="s">
        <v>96</v>
      </c>
      <c r="C13219" t="s">
        <v>24441</v>
      </c>
      <c r="D13219" t="s">
        <v>46821</v>
      </c>
      <c r="E13219">
        <v>424000</v>
      </c>
      <c r="F13219" t="s">
        <v>1</v>
      </c>
      <c r="G13219" t="s">
        <v>2</v>
      </c>
      <c r="H13219" t="s">
        <v>1975</v>
      </c>
      <c r="I13219" t="s">
        <v>21820</v>
      </c>
      <c r="L13219" t="s">
        <v>21821</v>
      </c>
      <c r="M13219" t="s">
        <v>21822</v>
      </c>
      <c r="P13219" t="s">
        <v>2050</v>
      </c>
      <c r="Q13219" t="s">
        <v>21823</v>
      </c>
      <c r="V13219" t="s">
        <v>21824</v>
      </c>
      <c r="Y13219" t="s">
        <v>46822</v>
      </c>
    </row>
    <row r="13220" spans="1:25" x14ac:dyDescent="0.25">
      <c r="A13220" t="str">
        <f>"208011666747"</f>
        <v>208011666747</v>
      </c>
      <c r="B13220" t="s">
        <v>703</v>
      </c>
      <c r="C13220" t="s">
        <v>2129</v>
      </c>
      <c r="D13220" t="s">
        <v>46823</v>
      </c>
      <c r="E13220">
        <v>424016</v>
      </c>
      <c r="F13220" t="s">
        <v>1</v>
      </c>
      <c r="G13220" t="s">
        <v>2</v>
      </c>
      <c r="H13220" t="s">
        <v>5561</v>
      </c>
      <c r="J13220" t="s">
        <v>21117</v>
      </c>
      <c r="P13220" t="s">
        <v>330</v>
      </c>
      <c r="Y13220" t="s">
        <v>5567</v>
      </c>
    </row>
    <row r="13221" spans="1:25" x14ac:dyDescent="0.25">
      <c r="A13221" t="str">
        <f>"208041558203"</f>
        <v>208041558203</v>
      </c>
      <c r="B13221" t="s">
        <v>379</v>
      </c>
      <c r="C13221" t="s">
        <v>766</v>
      </c>
      <c r="D13221" t="s">
        <v>32990</v>
      </c>
      <c r="E13221">
        <v>424019</v>
      </c>
      <c r="F13221" t="s">
        <v>1</v>
      </c>
      <c r="G13221" t="s">
        <v>2</v>
      </c>
      <c r="H13221" t="s">
        <v>174</v>
      </c>
      <c r="Y13221" t="s">
        <v>46824</v>
      </c>
    </row>
    <row r="13222" spans="1:25" x14ac:dyDescent="0.25">
      <c r="A13222" t="str">
        <f>"208049643800"</f>
        <v>208049643800</v>
      </c>
      <c r="B13222" t="s">
        <v>10383</v>
      </c>
      <c r="C13222" t="s">
        <v>40528</v>
      </c>
      <c r="D13222" t="s">
        <v>28890</v>
      </c>
      <c r="E13222">
        <v>424002</v>
      </c>
      <c r="F13222" t="s">
        <v>1</v>
      </c>
      <c r="G13222" t="s">
        <v>2</v>
      </c>
      <c r="H13222" t="s">
        <v>1874</v>
      </c>
      <c r="Y13222" t="s">
        <v>46825</v>
      </c>
    </row>
    <row r="13223" spans="1:25" x14ac:dyDescent="0.25">
      <c r="A13223" t="str">
        <f>"208123468635"</f>
        <v>208123468635</v>
      </c>
      <c r="B13223" t="s">
        <v>2601</v>
      </c>
      <c r="C13223" t="s">
        <v>24678</v>
      </c>
      <c r="D13223" t="s">
        <v>46826</v>
      </c>
      <c r="E13223">
        <v>424039</v>
      </c>
      <c r="F13223" t="s">
        <v>1</v>
      </c>
      <c r="G13223" t="s">
        <v>2</v>
      </c>
      <c r="H13223" t="s">
        <v>10036</v>
      </c>
      <c r="Y13223" t="s">
        <v>40466</v>
      </c>
    </row>
    <row r="13224" spans="1:25" x14ac:dyDescent="0.25">
      <c r="A13224" t="str">
        <f>"208174031069"</f>
        <v>208174031069</v>
      </c>
      <c r="B13224" t="s">
        <v>1078</v>
      </c>
      <c r="C13224" t="s">
        <v>26035</v>
      </c>
      <c r="D13224" t="s">
        <v>4776</v>
      </c>
      <c r="E13224">
        <v>424006</v>
      </c>
      <c r="F13224" t="s">
        <v>1</v>
      </c>
      <c r="G13224" t="s">
        <v>2</v>
      </c>
      <c r="H13224" t="s">
        <v>6096</v>
      </c>
      <c r="Y13224" t="s">
        <v>46827</v>
      </c>
    </row>
    <row r="13225" spans="1:25" x14ac:dyDescent="0.25">
      <c r="A13225" t="str">
        <f>"208183487161"</f>
        <v>208183487161</v>
      </c>
      <c r="B13225" t="s">
        <v>3008</v>
      </c>
      <c r="C13225" t="s">
        <v>46830</v>
      </c>
      <c r="D13225" t="s">
        <v>46828</v>
      </c>
      <c r="E13225">
        <v>424004</v>
      </c>
      <c r="F13225" t="s">
        <v>1</v>
      </c>
      <c r="G13225" t="s">
        <v>2</v>
      </c>
      <c r="H13225" t="s">
        <v>7224</v>
      </c>
      <c r="I13225" t="s">
        <v>46829</v>
      </c>
      <c r="P13225" t="s">
        <v>911</v>
      </c>
      <c r="Y13225" t="s">
        <v>11992</v>
      </c>
    </row>
    <row r="13226" spans="1:25" x14ac:dyDescent="0.25">
      <c r="A13226" t="str">
        <f>"208194018652"</f>
        <v>208194018652</v>
      </c>
      <c r="B13226" t="s">
        <v>188</v>
      </c>
      <c r="C13226" t="s">
        <v>24568</v>
      </c>
      <c r="D13226" t="s">
        <v>24568</v>
      </c>
      <c r="E13226">
        <v>424033</v>
      </c>
      <c r="F13226" t="s">
        <v>1</v>
      </c>
      <c r="G13226" t="s">
        <v>2</v>
      </c>
      <c r="H13226" t="s">
        <v>6126</v>
      </c>
      <c r="Y13226" t="s">
        <v>46831</v>
      </c>
    </row>
    <row r="13227" spans="1:25" x14ac:dyDescent="0.25">
      <c r="A13227" t="str">
        <f>"208200149562"</f>
        <v>208200149562</v>
      </c>
      <c r="B13227" t="s">
        <v>348</v>
      </c>
      <c r="C13227" t="s">
        <v>5728</v>
      </c>
      <c r="D13227" t="s">
        <v>46832</v>
      </c>
      <c r="E13227">
        <v>424003</v>
      </c>
      <c r="F13227" t="s">
        <v>1</v>
      </c>
      <c r="G13227" t="s">
        <v>2</v>
      </c>
      <c r="H13227" t="s">
        <v>3459</v>
      </c>
      <c r="Y13227" t="s">
        <v>46833</v>
      </c>
    </row>
    <row r="13228" spans="1:25" x14ac:dyDescent="0.25">
      <c r="A13228" t="str">
        <f>"208208870064"</f>
        <v>208208870064</v>
      </c>
      <c r="B13228" t="s">
        <v>96</v>
      </c>
      <c r="C13228" t="s">
        <v>893</v>
      </c>
      <c r="D13228" t="s">
        <v>46834</v>
      </c>
      <c r="E13228">
        <v>424918</v>
      </c>
      <c r="F13228" t="s">
        <v>1</v>
      </c>
      <c r="G13228" t="s">
        <v>2</v>
      </c>
      <c r="H13228" t="s">
        <v>629</v>
      </c>
      <c r="P13228" t="s">
        <v>630</v>
      </c>
      <c r="Y13228" t="s">
        <v>1744</v>
      </c>
    </row>
    <row r="13229" spans="1:25" x14ac:dyDescent="0.25">
      <c r="A13229" t="str">
        <f>"208234270540"</f>
        <v>208234270540</v>
      </c>
      <c r="B13229" t="s">
        <v>1611</v>
      </c>
      <c r="C13229" t="s">
        <v>2214</v>
      </c>
      <c r="D13229" t="s">
        <v>46835</v>
      </c>
      <c r="E13229">
        <v>424037</v>
      </c>
      <c r="F13229" t="s">
        <v>1</v>
      </c>
      <c r="G13229" t="s">
        <v>2</v>
      </c>
      <c r="H13229" t="s">
        <v>3216</v>
      </c>
      <c r="P13229" t="s">
        <v>46836</v>
      </c>
      <c r="Y13229" t="s">
        <v>46837</v>
      </c>
    </row>
    <row r="13230" spans="1:25" x14ac:dyDescent="0.25">
      <c r="A13230" t="str">
        <f>"208247983699"</f>
        <v>208247983699</v>
      </c>
      <c r="B13230" t="s">
        <v>7312</v>
      </c>
      <c r="C13230" t="s">
        <v>19097</v>
      </c>
      <c r="D13230" t="s">
        <v>17643</v>
      </c>
      <c r="E13230">
        <v>424000</v>
      </c>
      <c r="F13230" t="s">
        <v>1</v>
      </c>
      <c r="G13230" t="s">
        <v>2</v>
      </c>
      <c r="H13230" t="s">
        <v>837</v>
      </c>
      <c r="Y13230" t="s">
        <v>46838</v>
      </c>
    </row>
    <row r="13231" spans="1:25" x14ac:dyDescent="0.25">
      <c r="A13231" t="str">
        <f>"208284441187"</f>
        <v>208284441187</v>
      </c>
      <c r="B13231" t="s">
        <v>117</v>
      </c>
      <c r="C13231" t="s">
        <v>6850</v>
      </c>
      <c r="D13231" t="s">
        <v>46839</v>
      </c>
      <c r="F13231" t="s">
        <v>1</v>
      </c>
      <c r="G13231" t="s">
        <v>2</v>
      </c>
      <c r="H13231" t="s">
        <v>27612</v>
      </c>
      <c r="Y13231" t="s">
        <v>46840</v>
      </c>
    </row>
    <row r="13232" spans="1:25" x14ac:dyDescent="0.25">
      <c r="A13232" t="str">
        <f>"208326002743"</f>
        <v>208326002743</v>
      </c>
      <c r="B13232" t="s">
        <v>3573</v>
      </c>
      <c r="C13232" t="s">
        <v>5251</v>
      </c>
      <c r="D13232" t="s">
        <v>46841</v>
      </c>
      <c r="E13232">
        <v>424002</v>
      </c>
      <c r="F13232" t="s">
        <v>1</v>
      </c>
      <c r="G13232" t="s">
        <v>2</v>
      </c>
      <c r="H13232" t="s">
        <v>823</v>
      </c>
      <c r="Y13232" t="s">
        <v>828</v>
      </c>
    </row>
    <row r="13233" spans="1:25" x14ac:dyDescent="0.25">
      <c r="A13233" t="str">
        <f>"208386690715"</f>
        <v>208386690715</v>
      </c>
      <c r="B13233" t="s">
        <v>624</v>
      </c>
      <c r="C13233" t="s">
        <v>46843</v>
      </c>
      <c r="D13233" t="s">
        <v>41973</v>
      </c>
      <c r="F13233" t="s">
        <v>1</v>
      </c>
      <c r="G13233" t="s">
        <v>2</v>
      </c>
      <c r="H13233" t="s">
        <v>1508</v>
      </c>
      <c r="I13233" t="s">
        <v>46842</v>
      </c>
      <c r="P13233" t="s">
        <v>11801</v>
      </c>
      <c r="V13233" t="s">
        <v>46844</v>
      </c>
      <c r="Y13233" t="s">
        <v>10196</v>
      </c>
    </row>
    <row r="13234" spans="1:25" x14ac:dyDescent="0.25">
      <c r="A13234" t="str">
        <f>"208429738647"</f>
        <v>208429738647</v>
      </c>
      <c r="B13234" t="s">
        <v>25</v>
      </c>
      <c r="C13234" t="s">
        <v>20320</v>
      </c>
      <c r="D13234" t="s">
        <v>46845</v>
      </c>
      <c r="E13234">
        <v>424000</v>
      </c>
      <c r="F13234" t="s">
        <v>1</v>
      </c>
      <c r="G13234" t="s">
        <v>2</v>
      </c>
      <c r="H13234" t="s">
        <v>2311</v>
      </c>
      <c r="Y13234" t="s">
        <v>46846</v>
      </c>
    </row>
    <row r="13235" spans="1:25" x14ac:dyDescent="0.25">
      <c r="A13235" t="str">
        <f>"208464671309"</f>
        <v>208464671309</v>
      </c>
      <c r="B13235" t="s">
        <v>1046</v>
      </c>
      <c r="C13235" t="s">
        <v>30893</v>
      </c>
      <c r="D13235" t="s">
        <v>46847</v>
      </c>
      <c r="E13235">
        <v>424004</v>
      </c>
      <c r="F13235" t="s">
        <v>1</v>
      </c>
      <c r="G13235" t="s">
        <v>2</v>
      </c>
      <c r="H13235" t="s">
        <v>30892</v>
      </c>
      <c r="P13235" t="s">
        <v>330</v>
      </c>
      <c r="Y13235" t="s">
        <v>30894</v>
      </c>
    </row>
    <row r="13236" spans="1:25" x14ac:dyDescent="0.25">
      <c r="A13236" t="str">
        <f>"208473257472"</f>
        <v>208473257472</v>
      </c>
      <c r="B13236" t="s">
        <v>530</v>
      </c>
      <c r="C13236" t="s">
        <v>23950</v>
      </c>
      <c r="D13236" t="s">
        <v>23950</v>
      </c>
      <c r="F13236" t="s">
        <v>1</v>
      </c>
      <c r="G13236" t="s">
        <v>2</v>
      </c>
      <c r="H13236" t="s">
        <v>46848</v>
      </c>
      <c r="Y13236" t="s">
        <v>46849</v>
      </c>
    </row>
    <row r="13237" spans="1:25" x14ac:dyDescent="0.25">
      <c r="A13237" t="str">
        <f>"208533008248"</f>
        <v>208533008248</v>
      </c>
      <c r="B13237" t="s">
        <v>640</v>
      </c>
      <c r="C13237" t="s">
        <v>663</v>
      </c>
      <c r="D13237" t="s">
        <v>46850</v>
      </c>
      <c r="E13237">
        <v>424002</v>
      </c>
      <c r="F13237" t="s">
        <v>1</v>
      </c>
      <c r="G13237" t="s">
        <v>2</v>
      </c>
      <c r="H13237" t="s">
        <v>10546</v>
      </c>
      <c r="Q13237" t="s">
        <v>46851</v>
      </c>
      <c r="Y13237" t="s">
        <v>23665</v>
      </c>
    </row>
    <row r="13238" spans="1:25" x14ac:dyDescent="0.25">
      <c r="A13238" t="str">
        <f>"208556548478"</f>
        <v>208556548478</v>
      </c>
      <c r="B13238" t="s">
        <v>1152</v>
      </c>
      <c r="C13238" t="s">
        <v>10452</v>
      </c>
      <c r="D13238" t="s">
        <v>46852</v>
      </c>
      <c r="E13238">
        <v>424028</v>
      </c>
      <c r="F13238" t="s">
        <v>1</v>
      </c>
      <c r="G13238" t="s">
        <v>2</v>
      </c>
      <c r="H13238" t="s">
        <v>46853</v>
      </c>
      <c r="I13238" t="s">
        <v>46854</v>
      </c>
      <c r="P13238" t="s">
        <v>144</v>
      </c>
      <c r="Y13238" t="s">
        <v>46855</v>
      </c>
    </row>
    <row r="13239" spans="1:25" x14ac:dyDescent="0.25">
      <c r="A13239" t="str">
        <f>"208558560044"</f>
        <v>208558560044</v>
      </c>
      <c r="B13239" t="s">
        <v>624</v>
      </c>
      <c r="C13239" t="s">
        <v>29146</v>
      </c>
      <c r="D13239" t="s">
        <v>44576</v>
      </c>
      <c r="E13239">
        <v>424020</v>
      </c>
      <c r="F13239" t="s">
        <v>1</v>
      </c>
      <c r="G13239" t="s">
        <v>2</v>
      </c>
      <c r="H13239" t="s">
        <v>1997</v>
      </c>
      <c r="Y13239" t="s">
        <v>1999</v>
      </c>
    </row>
    <row r="13240" spans="1:25" x14ac:dyDescent="0.25">
      <c r="A13240" t="str">
        <f>"208627679175"</f>
        <v>208627679175</v>
      </c>
      <c r="B13240" t="s">
        <v>574</v>
      </c>
      <c r="C13240" t="s">
        <v>24952</v>
      </c>
      <c r="D13240" t="s">
        <v>24951</v>
      </c>
      <c r="E13240">
        <v>424006</v>
      </c>
      <c r="F13240" t="s">
        <v>1</v>
      </c>
      <c r="G13240" t="s">
        <v>2</v>
      </c>
      <c r="H13240" t="s">
        <v>2966</v>
      </c>
      <c r="Y13240" t="s">
        <v>46856</v>
      </c>
    </row>
    <row r="13241" spans="1:25" x14ac:dyDescent="0.25">
      <c r="A13241" t="str">
        <f>"208629394893"</f>
        <v>208629394893</v>
      </c>
      <c r="B13241" t="s">
        <v>96</v>
      </c>
      <c r="C13241" t="s">
        <v>2285</v>
      </c>
      <c r="D13241" t="s">
        <v>3470</v>
      </c>
      <c r="E13241">
        <v>424038</v>
      </c>
      <c r="F13241" t="s">
        <v>1</v>
      </c>
      <c r="G13241" t="s">
        <v>2</v>
      </c>
      <c r="H13241" t="s">
        <v>2614</v>
      </c>
      <c r="Y13241" t="s">
        <v>2617</v>
      </c>
    </row>
    <row r="13242" spans="1:25" x14ac:dyDescent="0.25">
      <c r="A13242" t="str">
        <f>"208649728571"</f>
        <v>208649728571</v>
      </c>
      <c r="B13242" t="s">
        <v>96</v>
      </c>
      <c r="C13242" t="s">
        <v>7071</v>
      </c>
      <c r="D13242" t="s">
        <v>29520</v>
      </c>
      <c r="E13242">
        <v>424002</v>
      </c>
      <c r="F13242" t="s">
        <v>1</v>
      </c>
      <c r="G13242" t="s">
        <v>2</v>
      </c>
      <c r="H13242" t="s">
        <v>11581</v>
      </c>
      <c r="Y13242" t="s">
        <v>46857</v>
      </c>
    </row>
    <row r="13243" spans="1:25" x14ac:dyDescent="0.25">
      <c r="A13243" t="str">
        <f>"208672714820"</f>
        <v>208672714820</v>
      </c>
      <c r="B13243" t="s">
        <v>25</v>
      </c>
      <c r="C13243" t="s">
        <v>20320</v>
      </c>
      <c r="D13243" t="s">
        <v>46858</v>
      </c>
      <c r="E13243">
        <v>424006</v>
      </c>
      <c r="F13243" t="s">
        <v>1</v>
      </c>
      <c r="G13243" t="s">
        <v>2</v>
      </c>
      <c r="H13243" t="s">
        <v>18935</v>
      </c>
      <c r="Y13243" t="s">
        <v>46859</v>
      </c>
    </row>
    <row r="13244" spans="1:25" x14ac:dyDescent="0.25">
      <c r="A13244" t="str">
        <f>"208691764499"</f>
        <v>208691764499</v>
      </c>
      <c r="B13244" t="s">
        <v>430</v>
      </c>
      <c r="C13244" t="s">
        <v>16178</v>
      </c>
      <c r="D13244" t="s">
        <v>10135</v>
      </c>
      <c r="E13244">
        <v>424038</v>
      </c>
      <c r="F13244" t="s">
        <v>1</v>
      </c>
      <c r="G13244" t="s">
        <v>2</v>
      </c>
      <c r="H13244" t="s">
        <v>16808</v>
      </c>
      <c r="P13244" t="s">
        <v>2738</v>
      </c>
      <c r="Y13244" t="s">
        <v>46860</v>
      </c>
    </row>
    <row r="13245" spans="1:25" x14ac:dyDescent="0.25">
      <c r="A13245" t="str">
        <f>"208696004557"</f>
        <v>208696004557</v>
      </c>
      <c r="B13245" t="s">
        <v>48</v>
      </c>
      <c r="C13245" t="s">
        <v>46864</v>
      </c>
      <c r="D13245" t="s">
        <v>46861</v>
      </c>
      <c r="E13245">
        <v>424020</v>
      </c>
      <c r="F13245" t="s">
        <v>1</v>
      </c>
      <c r="G13245" t="s">
        <v>2</v>
      </c>
      <c r="H13245" t="s">
        <v>2766</v>
      </c>
      <c r="I13245" t="s">
        <v>46862</v>
      </c>
      <c r="J13245" t="s">
        <v>46863</v>
      </c>
      <c r="P13245" t="s">
        <v>46865</v>
      </c>
      <c r="Q13245" t="s">
        <v>46866</v>
      </c>
      <c r="Y13245" t="s">
        <v>20578</v>
      </c>
    </row>
    <row r="13246" spans="1:25" x14ac:dyDescent="0.25">
      <c r="A13246" t="str">
        <f>"208699534048"</f>
        <v>208699534048</v>
      </c>
      <c r="B13246" t="s">
        <v>25</v>
      </c>
      <c r="C13246" t="s">
        <v>20320</v>
      </c>
      <c r="D13246" t="s">
        <v>46867</v>
      </c>
      <c r="E13246">
        <v>424008</v>
      </c>
      <c r="F13246" t="s">
        <v>1</v>
      </c>
      <c r="G13246" t="s">
        <v>2</v>
      </c>
      <c r="H13246" t="s">
        <v>46868</v>
      </c>
      <c r="Y13246" t="s">
        <v>46869</v>
      </c>
    </row>
    <row r="13247" spans="1:25" x14ac:dyDescent="0.25">
      <c r="A13247" t="str">
        <f>"208725273103"</f>
        <v>208725273103</v>
      </c>
      <c r="B13247" t="s">
        <v>151</v>
      </c>
      <c r="C13247" t="s">
        <v>4240</v>
      </c>
      <c r="D13247" t="s">
        <v>10304</v>
      </c>
      <c r="E13247">
        <v>424006</v>
      </c>
      <c r="F13247" t="s">
        <v>1</v>
      </c>
      <c r="G13247" t="s">
        <v>2</v>
      </c>
      <c r="H13247" t="s">
        <v>17413</v>
      </c>
      <c r="Y13247" t="s">
        <v>46870</v>
      </c>
    </row>
    <row r="13248" spans="1:25" x14ac:dyDescent="0.25">
      <c r="A13248" t="str">
        <f>"208769898891"</f>
        <v>208769898891</v>
      </c>
      <c r="B13248" t="s">
        <v>553</v>
      </c>
      <c r="C13248" t="s">
        <v>46874</v>
      </c>
      <c r="D13248" t="s">
        <v>46871</v>
      </c>
      <c r="E13248">
        <v>424033</v>
      </c>
      <c r="F13248" t="s">
        <v>1</v>
      </c>
      <c r="G13248" t="s">
        <v>2</v>
      </c>
      <c r="H13248" t="s">
        <v>2597</v>
      </c>
      <c r="I13248" t="s">
        <v>46872</v>
      </c>
      <c r="J13248" t="s">
        <v>46873</v>
      </c>
      <c r="P13248" t="s">
        <v>1760</v>
      </c>
      <c r="Q13248" t="s">
        <v>46875</v>
      </c>
      <c r="Y13248" t="s">
        <v>2718</v>
      </c>
    </row>
    <row r="13249" spans="1:25" x14ac:dyDescent="0.25">
      <c r="A13249" t="str">
        <f>"208801244054"</f>
        <v>208801244054</v>
      </c>
      <c r="B13249" t="s">
        <v>1362</v>
      </c>
      <c r="C13249" t="s">
        <v>23155</v>
      </c>
      <c r="D13249" t="s">
        <v>46876</v>
      </c>
      <c r="E13249">
        <v>424003</v>
      </c>
      <c r="F13249" t="s">
        <v>1</v>
      </c>
      <c r="G13249" t="s">
        <v>2</v>
      </c>
      <c r="H13249" t="s">
        <v>248</v>
      </c>
      <c r="Y13249" t="s">
        <v>41312</v>
      </c>
    </row>
    <row r="13250" spans="1:25" x14ac:dyDescent="0.25">
      <c r="A13250" t="str">
        <f>"208808738418"</f>
        <v>208808738418</v>
      </c>
      <c r="B13250" t="s">
        <v>1078</v>
      </c>
      <c r="C13250" t="s">
        <v>46878</v>
      </c>
      <c r="D13250" t="s">
        <v>37195</v>
      </c>
      <c r="E13250">
        <v>424031</v>
      </c>
      <c r="F13250" t="s">
        <v>1</v>
      </c>
      <c r="G13250" t="s">
        <v>2</v>
      </c>
      <c r="H13250" t="s">
        <v>239</v>
      </c>
      <c r="I13250" t="s">
        <v>46877</v>
      </c>
      <c r="P13250" t="s">
        <v>245</v>
      </c>
      <c r="Y13250" t="s">
        <v>246</v>
      </c>
    </row>
    <row r="13251" spans="1:25" x14ac:dyDescent="0.25">
      <c r="A13251" t="str">
        <f>"208838817600"</f>
        <v>208838817600</v>
      </c>
      <c r="B13251" t="s">
        <v>1552</v>
      </c>
      <c r="C13251" t="s">
        <v>36317</v>
      </c>
      <c r="D13251" t="s">
        <v>46879</v>
      </c>
      <c r="E13251">
        <v>424032</v>
      </c>
      <c r="F13251" t="s">
        <v>1</v>
      </c>
      <c r="G13251" t="s">
        <v>2</v>
      </c>
      <c r="H13251" t="s">
        <v>7583</v>
      </c>
      <c r="Y13251" t="s">
        <v>46880</v>
      </c>
    </row>
    <row r="13252" spans="1:25" x14ac:dyDescent="0.25">
      <c r="A13252" t="str">
        <f>"208866811710"</f>
        <v>208866811710</v>
      </c>
      <c r="B13252" t="s">
        <v>408</v>
      </c>
      <c r="C13252" t="s">
        <v>25792</v>
      </c>
      <c r="D13252" t="s">
        <v>25790</v>
      </c>
      <c r="F13252" t="s">
        <v>1</v>
      </c>
      <c r="G13252" t="s">
        <v>2</v>
      </c>
      <c r="H13252" t="s">
        <v>23254</v>
      </c>
      <c r="P13252" t="s">
        <v>46881</v>
      </c>
      <c r="Y13252" t="s">
        <v>46882</v>
      </c>
    </row>
    <row r="13253" spans="1:25" x14ac:dyDescent="0.25">
      <c r="A13253" t="str">
        <f>"208875309110"</f>
        <v>208875309110</v>
      </c>
      <c r="B13253" t="s">
        <v>574</v>
      </c>
      <c r="C13253" t="s">
        <v>14269</v>
      </c>
      <c r="D13253" t="s">
        <v>29922</v>
      </c>
      <c r="F13253" t="s">
        <v>1</v>
      </c>
      <c r="G13253" t="s">
        <v>2</v>
      </c>
      <c r="H13253" t="s">
        <v>10643</v>
      </c>
      <c r="P13253" t="s">
        <v>216</v>
      </c>
      <c r="Y13253" t="s">
        <v>46883</v>
      </c>
    </row>
    <row r="13254" spans="1:25" x14ac:dyDescent="0.25">
      <c r="A13254" t="str">
        <f>"208892593890"</f>
        <v>208892593890</v>
      </c>
      <c r="B13254" t="s">
        <v>430</v>
      </c>
      <c r="C13254" t="s">
        <v>15694</v>
      </c>
      <c r="D13254" t="s">
        <v>46884</v>
      </c>
      <c r="E13254">
        <v>424006</v>
      </c>
      <c r="F13254" t="s">
        <v>1</v>
      </c>
      <c r="G13254" t="s">
        <v>2</v>
      </c>
      <c r="H13254" t="s">
        <v>1923</v>
      </c>
      <c r="P13254" t="s">
        <v>46885</v>
      </c>
      <c r="Q13254" t="s">
        <v>46886</v>
      </c>
      <c r="Y13254" t="s">
        <v>1928</v>
      </c>
    </row>
    <row r="13255" spans="1:25" x14ac:dyDescent="0.25">
      <c r="A13255" t="str">
        <f>"208910840573"</f>
        <v>208910840573</v>
      </c>
      <c r="B13255" t="s">
        <v>574</v>
      </c>
      <c r="C13255" t="s">
        <v>646</v>
      </c>
      <c r="D13255" t="s">
        <v>46887</v>
      </c>
      <c r="E13255">
        <v>424020</v>
      </c>
      <c r="F13255" t="s">
        <v>1</v>
      </c>
      <c r="G13255" t="s">
        <v>2</v>
      </c>
      <c r="H13255" t="s">
        <v>23</v>
      </c>
      <c r="Y13255" t="s">
        <v>46888</v>
      </c>
    </row>
    <row r="13256" spans="1:25" x14ac:dyDescent="0.25">
      <c r="A13256" t="str">
        <f>"208954368271"</f>
        <v>208954368271</v>
      </c>
      <c r="B13256" t="s">
        <v>18</v>
      </c>
      <c r="C13256" t="s">
        <v>46892</v>
      </c>
      <c r="D13256" t="s">
        <v>46889</v>
      </c>
      <c r="E13256">
        <v>424007</v>
      </c>
      <c r="F13256" t="s">
        <v>1</v>
      </c>
      <c r="G13256" t="s">
        <v>2</v>
      </c>
      <c r="H13256" t="s">
        <v>14995</v>
      </c>
      <c r="I13256" t="s">
        <v>12368</v>
      </c>
      <c r="L13256" t="s">
        <v>46890</v>
      </c>
      <c r="M13256" t="s">
        <v>46891</v>
      </c>
      <c r="P13256" t="s">
        <v>280</v>
      </c>
      <c r="Y13256" t="s">
        <v>46893</v>
      </c>
    </row>
    <row r="13257" spans="1:25" x14ac:dyDescent="0.25">
      <c r="A13257" t="str">
        <f>"208955373924"</f>
        <v>208955373924</v>
      </c>
      <c r="B13257" t="s">
        <v>456</v>
      </c>
      <c r="C13257" t="s">
        <v>2040</v>
      </c>
      <c r="D13257" t="s">
        <v>46894</v>
      </c>
      <c r="E13257">
        <v>424020</v>
      </c>
      <c r="F13257" t="s">
        <v>1</v>
      </c>
      <c r="G13257" t="s">
        <v>2</v>
      </c>
      <c r="H13257" t="s">
        <v>1837</v>
      </c>
      <c r="I13257" t="s">
        <v>46895</v>
      </c>
      <c r="M13257" t="s">
        <v>46896</v>
      </c>
      <c r="P13257" t="s">
        <v>330</v>
      </c>
      <c r="Y13257" t="s">
        <v>1842</v>
      </c>
    </row>
    <row r="13258" spans="1:25" x14ac:dyDescent="0.25">
      <c r="A13258" t="str">
        <f>"208955604951"</f>
        <v>208955604951</v>
      </c>
      <c r="B13258" t="s">
        <v>3544</v>
      </c>
      <c r="C13258" t="s">
        <v>11303</v>
      </c>
      <c r="D13258" t="s">
        <v>46897</v>
      </c>
      <c r="E13258">
        <v>424003</v>
      </c>
      <c r="F13258" t="s">
        <v>1</v>
      </c>
      <c r="G13258" t="s">
        <v>2</v>
      </c>
      <c r="H13258" t="s">
        <v>9203</v>
      </c>
      <c r="Y13258" t="s">
        <v>46898</v>
      </c>
    </row>
    <row r="13259" spans="1:25" x14ac:dyDescent="0.25">
      <c r="A13259" t="str">
        <f>"208995094973"</f>
        <v>208995094973</v>
      </c>
      <c r="B13259" t="s">
        <v>67</v>
      </c>
      <c r="C13259" t="s">
        <v>496</v>
      </c>
      <c r="D13259" t="s">
        <v>46899</v>
      </c>
      <c r="E13259">
        <v>424008</v>
      </c>
      <c r="F13259" t="s">
        <v>1</v>
      </c>
      <c r="G13259" t="s">
        <v>2</v>
      </c>
      <c r="H13259" t="s">
        <v>1031</v>
      </c>
      <c r="I13259" t="s">
        <v>46900</v>
      </c>
      <c r="P13259" t="s">
        <v>17179</v>
      </c>
      <c r="Y13259" t="s">
        <v>46901</v>
      </c>
    </row>
    <row r="13260" spans="1:25" x14ac:dyDescent="0.25">
      <c r="A13260" t="str">
        <f>"209010390639"</f>
        <v>209010390639</v>
      </c>
      <c r="B13260" t="s">
        <v>640</v>
      </c>
      <c r="C13260" t="s">
        <v>46905</v>
      </c>
      <c r="D13260" t="s">
        <v>46902</v>
      </c>
      <c r="E13260">
        <v>424038</v>
      </c>
      <c r="F13260" t="s">
        <v>1</v>
      </c>
      <c r="G13260" t="s">
        <v>2</v>
      </c>
      <c r="H13260" t="s">
        <v>2145</v>
      </c>
      <c r="J13260" t="s">
        <v>46903</v>
      </c>
      <c r="L13260" t="s">
        <v>46904</v>
      </c>
      <c r="P13260" t="s">
        <v>46906</v>
      </c>
      <c r="Q13260" t="s">
        <v>46907</v>
      </c>
      <c r="V13260" t="s">
        <v>46908</v>
      </c>
      <c r="Y13260" t="s">
        <v>46909</v>
      </c>
    </row>
    <row r="13261" spans="1:25" x14ac:dyDescent="0.25">
      <c r="A13261" t="str">
        <f>"209013602585"</f>
        <v>209013602585</v>
      </c>
      <c r="B13261" t="s">
        <v>348</v>
      </c>
      <c r="C13261" t="s">
        <v>12108</v>
      </c>
      <c r="D13261" t="s">
        <v>46910</v>
      </c>
      <c r="E13261">
        <v>424019</v>
      </c>
      <c r="F13261" t="s">
        <v>1</v>
      </c>
      <c r="G13261" t="s">
        <v>2</v>
      </c>
      <c r="H13261" t="s">
        <v>174</v>
      </c>
      <c r="Y13261" t="s">
        <v>46911</v>
      </c>
    </row>
    <row r="13262" spans="1:25" x14ac:dyDescent="0.25">
      <c r="A13262" t="str">
        <f>"209025715572"</f>
        <v>209025715572</v>
      </c>
      <c r="B13262" t="s">
        <v>224</v>
      </c>
      <c r="C13262" t="s">
        <v>46914</v>
      </c>
      <c r="D13262" t="s">
        <v>46912</v>
      </c>
      <c r="E13262">
        <v>424007</v>
      </c>
      <c r="F13262" t="s">
        <v>1</v>
      </c>
      <c r="G13262" t="s">
        <v>2</v>
      </c>
      <c r="H13262" t="s">
        <v>220</v>
      </c>
      <c r="J13262" t="s">
        <v>46913</v>
      </c>
      <c r="P13262" t="s">
        <v>216</v>
      </c>
      <c r="Y13262" t="s">
        <v>46915</v>
      </c>
    </row>
    <row r="13263" spans="1:25" x14ac:dyDescent="0.25">
      <c r="A13263" t="str">
        <f>"209039392536"</f>
        <v>209039392536</v>
      </c>
      <c r="B13263" t="s">
        <v>978</v>
      </c>
      <c r="C13263" t="s">
        <v>14285</v>
      </c>
      <c r="D13263" t="s">
        <v>35706</v>
      </c>
      <c r="E13263">
        <v>424030</v>
      </c>
      <c r="F13263" t="s">
        <v>1</v>
      </c>
      <c r="G13263" t="s">
        <v>2</v>
      </c>
      <c r="H13263" t="s">
        <v>32094</v>
      </c>
      <c r="I13263" t="s">
        <v>35707</v>
      </c>
      <c r="J13263" t="s">
        <v>35708</v>
      </c>
      <c r="M13263" t="s">
        <v>46916</v>
      </c>
      <c r="P13263" t="s">
        <v>330</v>
      </c>
      <c r="Y13263" t="s">
        <v>46917</v>
      </c>
    </row>
    <row r="13264" spans="1:25" x14ac:dyDescent="0.25">
      <c r="A13264" t="str">
        <f>"209058870786"</f>
        <v>209058870786</v>
      </c>
      <c r="B13264" t="s">
        <v>574</v>
      </c>
      <c r="C13264" t="s">
        <v>14652</v>
      </c>
      <c r="D13264" t="s">
        <v>24972</v>
      </c>
      <c r="E13264">
        <v>424038</v>
      </c>
      <c r="F13264" t="s">
        <v>1</v>
      </c>
      <c r="G13264" t="s">
        <v>2</v>
      </c>
      <c r="H13264" t="s">
        <v>46918</v>
      </c>
      <c r="Y13264" t="s">
        <v>30277</v>
      </c>
    </row>
    <row r="13265" spans="1:25" x14ac:dyDescent="0.25">
      <c r="A13265" t="str">
        <f>"209074416524"</f>
        <v>209074416524</v>
      </c>
      <c r="B13265" t="s">
        <v>1758</v>
      </c>
      <c r="C13265" t="s">
        <v>46920</v>
      </c>
      <c r="D13265" t="s">
        <v>46919</v>
      </c>
      <c r="E13265">
        <v>424038</v>
      </c>
      <c r="F13265" t="s">
        <v>1</v>
      </c>
      <c r="G13265" t="s">
        <v>2</v>
      </c>
      <c r="H13265" t="s">
        <v>34776</v>
      </c>
      <c r="I13265" t="s">
        <v>4717</v>
      </c>
      <c r="L13265" t="s">
        <v>4719</v>
      </c>
      <c r="M13265" t="s">
        <v>4720</v>
      </c>
      <c r="P13265" t="s">
        <v>17482</v>
      </c>
      <c r="Q13265" t="s">
        <v>4722</v>
      </c>
      <c r="T13265" t="s">
        <v>46921</v>
      </c>
      <c r="V13265" t="s">
        <v>4723</v>
      </c>
      <c r="Y13265" t="s">
        <v>46922</v>
      </c>
    </row>
    <row r="13266" spans="1:25" x14ac:dyDescent="0.25">
      <c r="A13266" t="str">
        <f>"209097632679"</f>
        <v>209097632679</v>
      </c>
      <c r="B13266" t="s">
        <v>930</v>
      </c>
      <c r="C13266" t="s">
        <v>46928</v>
      </c>
      <c r="D13266" t="s">
        <v>46923</v>
      </c>
      <c r="F13266" t="s">
        <v>1</v>
      </c>
      <c r="G13266" t="s">
        <v>2</v>
      </c>
      <c r="H13266" t="s">
        <v>2541</v>
      </c>
      <c r="I13266" t="s">
        <v>46924</v>
      </c>
      <c r="J13266" t="s">
        <v>46925</v>
      </c>
      <c r="L13266" t="s">
        <v>46926</v>
      </c>
      <c r="M13266" t="s">
        <v>46927</v>
      </c>
      <c r="P13266" t="s">
        <v>1160</v>
      </c>
      <c r="Q13266" t="s">
        <v>46929</v>
      </c>
      <c r="Y13266" t="s">
        <v>46930</v>
      </c>
    </row>
    <row r="13267" spans="1:25" x14ac:dyDescent="0.25">
      <c r="A13267" t="str">
        <f>"209103086498"</f>
        <v>209103086498</v>
      </c>
      <c r="B13267" t="s">
        <v>574</v>
      </c>
      <c r="C13267" t="s">
        <v>8884</v>
      </c>
      <c r="D13267" t="s">
        <v>8880</v>
      </c>
      <c r="E13267">
        <v>424008</v>
      </c>
      <c r="F13267" t="s">
        <v>1</v>
      </c>
      <c r="G13267" t="s">
        <v>2</v>
      </c>
      <c r="H13267" t="s">
        <v>11207</v>
      </c>
      <c r="J13267" t="s">
        <v>46931</v>
      </c>
      <c r="L13267" t="s">
        <v>26240</v>
      </c>
      <c r="M13267" t="s">
        <v>8883</v>
      </c>
      <c r="P13267" t="s">
        <v>26241</v>
      </c>
      <c r="Q13267" t="s">
        <v>8886</v>
      </c>
      <c r="T13267" t="s">
        <v>8887</v>
      </c>
      <c r="V13267" t="s">
        <v>8888</v>
      </c>
      <c r="Y13267" t="s">
        <v>46932</v>
      </c>
    </row>
    <row r="13268" spans="1:25" x14ac:dyDescent="0.25">
      <c r="A13268" t="str">
        <f>"209120333309"</f>
        <v>209120333309</v>
      </c>
      <c r="B13268" t="s">
        <v>379</v>
      </c>
      <c r="C13268" t="s">
        <v>766</v>
      </c>
      <c r="D13268" t="s">
        <v>46933</v>
      </c>
      <c r="E13268">
        <v>424031</v>
      </c>
      <c r="F13268" t="s">
        <v>1</v>
      </c>
      <c r="G13268" t="s">
        <v>2</v>
      </c>
      <c r="H13268" t="s">
        <v>1524</v>
      </c>
      <c r="J13268" t="s">
        <v>46934</v>
      </c>
      <c r="L13268" t="s">
        <v>46935</v>
      </c>
      <c r="M13268" t="s">
        <v>46936</v>
      </c>
      <c r="P13268" t="s">
        <v>15526</v>
      </c>
      <c r="Q13268" t="s">
        <v>46937</v>
      </c>
      <c r="Y13268" t="s">
        <v>5358</v>
      </c>
    </row>
    <row r="13269" spans="1:25" x14ac:dyDescent="0.25">
      <c r="A13269" t="str">
        <f>"209135477942"</f>
        <v>209135477942</v>
      </c>
      <c r="B13269" t="s">
        <v>117</v>
      </c>
      <c r="C13269" t="s">
        <v>873</v>
      </c>
      <c r="D13269" t="s">
        <v>870</v>
      </c>
      <c r="E13269">
        <v>424039</v>
      </c>
      <c r="F13269" t="s">
        <v>1</v>
      </c>
      <c r="G13269" t="s">
        <v>2</v>
      </c>
      <c r="H13269" t="s">
        <v>46938</v>
      </c>
      <c r="Y13269" t="s">
        <v>46939</v>
      </c>
    </row>
    <row r="13270" spans="1:25" x14ac:dyDescent="0.25">
      <c r="A13270" t="str">
        <f>"209167798346"</f>
        <v>209167798346</v>
      </c>
      <c r="B13270" t="s">
        <v>397</v>
      </c>
      <c r="C13270" t="s">
        <v>1432</v>
      </c>
      <c r="D13270" t="s">
        <v>46940</v>
      </c>
      <c r="E13270">
        <v>424039</v>
      </c>
      <c r="F13270" t="s">
        <v>1</v>
      </c>
      <c r="G13270" t="s">
        <v>2</v>
      </c>
      <c r="H13270" t="s">
        <v>7138</v>
      </c>
      <c r="J13270" t="s">
        <v>46941</v>
      </c>
      <c r="M13270" t="s">
        <v>46942</v>
      </c>
      <c r="P13270" t="s">
        <v>2580</v>
      </c>
      <c r="Y13270" t="s">
        <v>46943</v>
      </c>
    </row>
    <row r="13271" spans="1:25" x14ac:dyDescent="0.25">
      <c r="A13271" t="str">
        <f>"209181598257"</f>
        <v>209181598257</v>
      </c>
      <c r="B13271" t="s">
        <v>1343</v>
      </c>
      <c r="C13271" t="s">
        <v>1344</v>
      </c>
      <c r="D13271" t="s">
        <v>46944</v>
      </c>
      <c r="E13271">
        <v>424019</v>
      </c>
      <c r="F13271" t="s">
        <v>1</v>
      </c>
      <c r="G13271" t="s">
        <v>2</v>
      </c>
      <c r="H13271" t="s">
        <v>7785</v>
      </c>
      <c r="P13271" t="s">
        <v>98</v>
      </c>
      <c r="Y13271" t="s">
        <v>46945</v>
      </c>
    </row>
    <row r="13272" spans="1:25" x14ac:dyDescent="0.25">
      <c r="A13272" t="str">
        <f>"209228030514"</f>
        <v>209228030514</v>
      </c>
      <c r="B13272" t="s">
        <v>348</v>
      </c>
      <c r="C13272" t="s">
        <v>35242</v>
      </c>
      <c r="D13272" t="s">
        <v>46946</v>
      </c>
      <c r="E13272">
        <v>424032</v>
      </c>
      <c r="F13272" t="s">
        <v>1</v>
      </c>
      <c r="G13272" t="s">
        <v>2</v>
      </c>
      <c r="H13272" t="s">
        <v>5699</v>
      </c>
      <c r="J13272" t="s">
        <v>26327</v>
      </c>
      <c r="M13272" t="s">
        <v>35241</v>
      </c>
      <c r="P13272" t="s">
        <v>46947</v>
      </c>
      <c r="Y13272" t="s">
        <v>5709</v>
      </c>
    </row>
    <row r="13273" spans="1:25" x14ac:dyDescent="0.25">
      <c r="A13273" t="str">
        <f>"209228731518"</f>
        <v>209228731518</v>
      </c>
      <c r="B13273" t="s">
        <v>188</v>
      </c>
      <c r="C13273" t="s">
        <v>24568</v>
      </c>
      <c r="D13273" t="s">
        <v>24568</v>
      </c>
      <c r="E13273">
        <v>424000</v>
      </c>
      <c r="F13273" t="s">
        <v>1</v>
      </c>
      <c r="G13273" t="s">
        <v>2</v>
      </c>
      <c r="H13273" t="s">
        <v>1531</v>
      </c>
      <c r="P13273" t="s">
        <v>16184</v>
      </c>
      <c r="Y13273" t="s">
        <v>46948</v>
      </c>
    </row>
    <row r="13274" spans="1:25" x14ac:dyDescent="0.25">
      <c r="A13274" t="str">
        <f>"209232883521"</f>
        <v>209232883521</v>
      </c>
      <c r="B13274" t="s">
        <v>624</v>
      </c>
      <c r="C13274" t="s">
        <v>1637</v>
      </c>
      <c r="D13274" t="s">
        <v>19677</v>
      </c>
      <c r="E13274">
        <v>424006</v>
      </c>
      <c r="F13274" t="s">
        <v>1</v>
      </c>
      <c r="G13274" t="s">
        <v>2</v>
      </c>
      <c r="H13274" t="s">
        <v>3389</v>
      </c>
      <c r="I13274" t="s">
        <v>46949</v>
      </c>
      <c r="J13274" t="s">
        <v>46950</v>
      </c>
      <c r="L13274" t="s">
        <v>46951</v>
      </c>
      <c r="P13274" t="s">
        <v>799</v>
      </c>
      <c r="Q13274" t="s">
        <v>46952</v>
      </c>
      <c r="Y13274" t="s">
        <v>3394</v>
      </c>
    </row>
    <row r="13275" spans="1:25" x14ac:dyDescent="0.25">
      <c r="A13275" t="str">
        <f>"209243077695"</f>
        <v>209243077695</v>
      </c>
      <c r="B13275" t="s">
        <v>348</v>
      </c>
      <c r="C13275" t="s">
        <v>13490</v>
      </c>
      <c r="D13275" t="s">
        <v>33059</v>
      </c>
      <c r="F13275" t="s">
        <v>1</v>
      </c>
      <c r="G13275" t="s">
        <v>2</v>
      </c>
      <c r="H13275" t="s">
        <v>138</v>
      </c>
      <c r="J13275" t="s">
        <v>46953</v>
      </c>
      <c r="P13275" t="s">
        <v>144</v>
      </c>
      <c r="Y13275" t="s">
        <v>146</v>
      </c>
    </row>
    <row r="13276" spans="1:25" x14ac:dyDescent="0.25">
      <c r="A13276" t="str">
        <f>"209295201969"</f>
        <v>209295201969</v>
      </c>
      <c r="B13276" t="s">
        <v>1046</v>
      </c>
      <c r="C13276" t="s">
        <v>22946</v>
      </c>
      <c r="D13276" t="s">
        <v>22946</v>
      </c>
      <c r="E13276">
        <v>424028</v>
      </c>
      <c r="F13276" t="s">
        <v>1</v>
      </c>
      <c r="G13276" t="s">
        <v>2</v>
      </c>
      <c r="H13276" t="s">
        <v>24503</v>
      </c>
      <c r="Y13276" t="s">
        <v>46954</v>
      </c>
    </row>
    <row r="13277" spans="1:25" x14ac:dyDescent="0.25">
      <c r="A13277" t="str">
        <f>"209316869588"</f>
        <v>209316869588</v>
      </c>
      <c r="B13277" t="s">
        <v>25</v>
      </c>
      <c r="C13277" t="s">
        <v>20320</v>
      </c>
      <c r="D13277" t="s">
        <v>46955</v>
      </c>
      <c r="E13277">
        <v>424004</v>
      </c>
      <c r="F13277" t="s">
        <v>1</v>
      </c>
      <c r="G13277" t="s">
        <v>2</v>
      </c>
      <c r="H13277" t="s">
        <v>42398</v>
      </c>
      <c r="Y13277" t="s">
        <v>46956</v>
      </c>
    </row>
    <row r="13278" spans="1:25" x14ac:dyDescent="0.25">
      <c r="A13278" t="str">
        <f>"209404551620"</f>
        <v>209404551620</v>
      </c>
      <c r="B13278" t="s">
        <v>319</v>
      </c>
      <c r="C13278" t="s">
        <v>320</v>
      </c>
      <c r="D13278" t="s">
        <v>41958</v>
      </c>
      <c r="E13278">
        <v>424038</v>
      </c>
      <c r="F13278" t="s">
        <v>1</v>
      </c>
      <c r="G13278" t="s">
        <v>2</v>
      </c>
      <c r="H13278" t="s">
        <v>2614</v>
      </c>
      <c r="I13278" t="s">
        <v>46957</v>
      </c>
      <c r="P13278" t="s">
        <v>10345</v>
      </c>
      <c r="Y13278" t="s">
        <v>2617</v>
      </c>
    </row>
    <row r="13279" spans="1:25" x14ac:dyDescent="0.25">
      <c r="A13279" t="str">
        <f>"209411761208"</f>
        <v>209411761208</v>
      </c>
      <c r="B13279" t="s">
        <v>574</v>
      </c>
      <c r="C13279" t="s">
        <v>646</v>
      </c>
      <c r="D13279" t="s">
        <v>4221</v>
      </c>
      <c r="E13279">
        <v>424039</v>
      </c>
      <c r="F13279" t="s">
        <v>1</v>
      </c>
      <c r="G13279" t="s">
        <v>2</v>
      </c>
      <c r="H13279" t="s">
        <v>12786</v>
      </c>
      <c r="Y13279" t="s">
        <v>46958</v>
      </c>
    </row>
    <row r="13280" spans="1:25" x14ac:dyDescent="0.25">
      <c r="A13280" t="str">
        <f>"209455233414"</f>
        <v>209455233414</v>
      </c>
      <c r="B13280" t="s">
        <v>290</v>
      </c>
      <c r="C13280" t="s">
        <v>290</v>
      </c>
      <c r="D13280" t="s">
        <v>46959</v>
      </c>
      <c r="F13280" t="s">
        <v>1</v>
      </c>
      <c r="G13280" t="s">
        <v>2</v>
      </c>
      <c r="H13280" t="s">
        <v>3018</v>
      </c>
      <c r="I13280" t="s">
        <v>46960</v>
      </c>
      <c r="P13280" t="s">
        <v>45139</v>
      </c>
      <c r="Q13280" t="s">
        <v>46961</v>
      </c>
      <c r="Y13280" t="s">
        <v>46962</v>
      </c>
    </row>
    <row r="13281" spans="1:25" x14ac:dyDescent="0.25">
      <c r="A13281" t="str">
        <f>"209467223176"</f>
        <v>209467223176</v>
      </c>
      <c r="B13281" t="s">
        <v>397</v>
      </c>
      <c r="C13281" t="s">
        <v>1432</v>
      </c>
      <c r="D13281" t="s">
        <v>46963</v>
      </c>
      <c r="E13281">
        <v>424006</v>
      </c>
      <c r="F13281" t="s">
        <v>1</v>
      </c>
      <c r="G13281" t="s">
        <v>2</v>
      </c>
      <c r="H13281" t="s">
        <v>2796</v>
      </c>
      <c r="Y13281" t="s">
        <v>46964</v>
      </c>
    </row>
    <row r="13282" spans="1:25" x14ac:dyDescent="0.25">
      <c r="A13282" t="str">
        <f>"209495451204"</f>
        <v>209495451204</v>
      </c>
      <c r="B13282" t="s">
        <v>290</v>
      </c>
      <c r="C13282" t="s">
        <v>291</v>
      </c>
      <c r="D13282" t="s">
        <v>14041</v>
      </c>
      <c r="E13282">
        <v>424036</v>
      </c>
      <c r="F13282" t="s">
        <v>1</v>
      </c>
      <c r="G13282" t="s">
        <v>2</v>
      </c>
      <c r="H13282" t="s">
        <v>13325</v>
      </c>
      <c r="P13282" t="s">
        <v>1505</v>
      </c>
      <c r="Y13282" t="s">
        <v>46965</v>
      </c>
    </row>
    <row r="13283" spans="1:25" x14ac:dyDescent="0.25">
      <c r="A13283" t="str">
        <f>"209497074594"</f>
        <v>209497074594</v>
      </c>
      <c r="B13283" t="s">
        <v>117</v>
      </c>
      <c r="C13283" t="s">
        <v>873</v>
      </c>
      <c r="D13283" t="s">
        <v>873</v>
      </c>
      <c r="E13283">
        <v>424038</v>
      </c>
      <c r="F13283" t="s">
        <v>1</v>
      </c>
      <c r="G13283" t="s">
        <v>2</v>
      </c>
      <c r="H13283" t="s">
        <v>9865</v>
      </c>
      <c r="Y13283" t="s">
        <v>46966</v>
      </c>
    </row>
    <row r="13284" spans="1:25" x14ac:dyDescent="0.25">
      <c r="A13284" t="str">
        <f>"209508011346"</f>
        <v>209508011346</v>
      </c>
      <c r="B13284" t="s">
        <v>1053</v>
      </c>
      <c r="C13284" t="s">
        <v>46969</v>
      </c>
      <c r="D13284" t="s">
        <v>46967</v>
      </c>
      <c r="E13284">
        <v>424006</v>
      </c>
      <c r="F13284" t="s">
        <v>1</v>
      </c>
      <c r="G13284" t="s">
        <v>2</v>
      </c>
      <c r="H13284" t="s">
        <v>2012</v>
      </c>
      <c r="J13284" t="s">
        <v>46968</v>
      </c>
      <c r="P13284" t="s">
        <v>1528</v>
      </c>
      <c r="Y13284" t="s">
        <v>2016</v>
      </c>
    </row>
    <row r="13285" spans="1:25" x14ac:dyDescent="0.25">
      <c r="A13285" t="str">
        <f>"209521746349"</f>
        <v>209521746349</v>
      </c>
      <c r="B13285" t="s">
        <v>319</v>
      </c>
      <c r="C13285" t="s">
        <v>46974</v>
      </c>
      <c r="D13285" t="s">
        <v>46970</v>
      </c>
      <c r="E13285">
        <v>424032</v>
      </c>
      <c r="F13285" t="s">
        <v>1</v>
      </c>
      <c r="G13285" t="s">
        <v>2</v>
      </c>
      <c r="H13285" t="s">
        <v>46971</v>
      </c>
      <c r="J13285" t="s">
        <v>46972</v>
      </c>
      <c r="L13285" t="s">
        <v>35157</v>
      </c>
      <c r="M13285" t="s">
        <v>46973</v>
      </c>
      <c r="P13285" t="s">
        <v>689</v>
      </c>
      <c r="Q13285" t="s">
        <v>46975</v>
      </c>
      <c r="Y13285" t="s">
        <v>46976</v>
      </c>
    </row>
    <row r="13286" spans="1:25" x14ac:dyDescent="0.25">
      <c r="A13286" t="str">
        <f>"209533684199"</f>
        <v>209533684199</v>
      </c>
      <c r="B13286" t="s">
        <v>160</v>
      </c>
      <c r="C13286" t="s">
        <v>2479</v>
      </c>
      <c r="D13286" t="s">
        <v>46977</v>
      </c>
      <c r="E13286">
        <v>424038</v>
      </c>
      <c r="F13286" t="s">
        <v>1</v>
      </c>
      <c r="G13286" t="s">
        <v>2</v>
      </c>
      <c r="H13286" t="s">
        <v>8196</v>
      </c>
      <c r="Y13286" t="s">
        <v>46978</v>
      </c>
    </row>
    <row r="13287" spans="1:25" x14ac:dyDescent="0.25">
      <c r="A13287" t="str">
        <f>"209567558555"</f>
        <v>209567558555</v>
      </c>
      <c r="B13287" t="s">
        <v>1611</v>
      </c>
      <c r="C13287" t="s">
        <v>4172</v>
      </c>
      <c r="D13287" t="s">
        <v>46979</v>
      </c>
      <c r="E13287">
        <v>424037</v>
      </c>
      <c r="F13287" t="s">
        <v>1</v>
      </c>
      <c r="G13287" t="s">
        <v>2</v>
      </c>
      <c r="H13287" t="s">
        <v>42270</v>
      </c>
      <c r="Y13287" t="s">
        <v>46980</v>
      </c>
    </row>
    <row r="13288" spans="1:25" x14ac:dyDescent="0.25">
      <c r="A13288" t="str">
        <f>"209595105648"</f>
        <v>209595105648</v>
      </c>
      <c r="B13288" t="s">
        <v>930</v>
      </c>
      <c r="C13288" t="s">
        <v>927</v>
      </c>
      <c r="D13288" t="s">
        <v>46981</v>
      </c>
      <c r="E13288">
        <v>424040</v>
      </c>
      <c r="F13288" t="s">
        <v>1</v>
      </c>
      <c r="G13288" t="s">
        <v>2</v>
      </c>
      <c r="H13288" t="s">
        <v>14424</v>
      </c>
      <c r="I13288" t="s">
        <v>46982</v>
      </c>
      <c r="J13288" t="s">
        <v>46983</v>
      </c>
      <c r="Y13288" t="s">
        <v>14428</v>
      </c>
    </row>
    <row r="13289" spans="1:25" x14ac:dyDescent="0.25">
      <c r="A13289" t="str">
        <f>"209605571284"</f>
        <v>209605571284</v>
      </c>
      <c r="B13289" t="s">
        <v>7849</v>
      </c>
      <c r="C13289" t="s">
        <v>35647</v>
      </c>
      <c r="D13289" t="s">
        <v>46984</v>
      </c>
      <c r="E13289">
        <v>424000</v>
      </c>
      <c r="F13289" t="s">
        <v>1</v>
      </c>
      <c r="G13289" t="s">
        <v>2</v>
      </c>
      <c r="H13289" t="s">
        <v>5615</v>
      </c>
      <c r="J13289" t="s">
        <v>46985</v>
      </c>
      <c r="P13289" t="s">
        <v>30171</v>
      </c>
      <c r="Y13289" t="s">
        <v>46986</v>
      </c>
    </row>
    <row r="13290" spans="1:25" x14ac:dyDescent="0.25">
      <c r="A13290" t="str">
        <f>"209613008480"</f>
        <v>209613008480</v>
      </c>
      <c r="B13290" t="s">
        <v>930</v>
      </c>
      <c r="C13290" t="s">
        <v>1096</v>
      </c>
      <c r="D13290" t="s">
        <v>46987</v>
      </c>
      <c r="E13290">
        <v>424026</v>
      </c>
      <c r="F13290" t="s">
        <v>1</v>
      </c>
      <c r="G13290" t="s">
        <v>2</v>
      </c>
      <c r="H13290" t="s">
        <v>4779</v>
      </c>
      <c r="J13290" t="s">
        <v>46988</v>
      </c>
      <c r="P13290" t="s">
        <v>13205</v>
      </c>
      <c r="Y13290" t="s">
        <v>46989</v>
      </c>
    </row>
    <row r="13291" spans="1:25" x14ac:dyDescent="0.25">
      <c r="A13291" t="str">
        <f>"209619548432"</f>
        <v>209619548432</v>
      </c>
      <c r="B13291" t="s">
        <v>1152</v>
      </c>
      <c r="C13291" t="s">
        <v>22438</v>
      </c>
      <c r="D13291" t="s">
        <v>46990</v>
      </c>
      <c r="F13291" t="s">
        <v>1</v>
      </c>
      <c r="G13291" t="s">
        <v>2</v>
      </c>
      <c r="H13291" t="s">
        <v>6026</v>
      </c>
      <c r="I13291" t="s">
        <v>46991</v>
      </c>
      <c r="P13291" t="s">
        <v>22439</v>
      </c>
      <c r="Y13291" t="s">
        <v>21228</v>
      </c>
    </row>
    <row r="13292" spans="1:25" x14ac:dyDescent="0.25">
      <c r="A13292" t="str">
        <f>"209630512463"</f>
        <v>209630512463</v>
      </c>
      <c r="B13292" t="s">
        <v>574</v>
      </c>
      <c r="C13292" t="s">
        <v>24952</v>
      </c>
      <c r="D13292" t="s">
        <v>24951</v>
      </c>
      <c r="E13292">
        <v>424019</v>
      </c>
      <c r="F13292" t="s">
        <v>1</v>
      </c>
      <c r="G13292" t="s">
        <v>2</v>
      </c>
      <c r="H13292" t="s">
        <v>14385</v>
      </c>
      <c r="M13292" t="s">
        <v>37319</v>
      </c>
      <c r="Y13292" t="s">
        <v>46992</v>
      </c>
    </row>
    <row r="13293" spans="1:25" x14ac:dyDescent="0.25">
      <c r="A13293" t="str">
        <f>"209696748506"</f>
        <v>209696748506</v>
      </c>
      <c r="B13293" t="s">
        <v>96</v>
      </c>
      <c r="C13293" t="s">
        <v>893</v>
      </c>
      <c r="D13293" t="s">
        <v>46993</v>
      </c>
      <c r="E13293">
        <v>424000</v>
      </c>
      <c r="F13293" t="s">
        <v>1</v>
      </c>
      <c r="G13293" t="s">
        <v>2</v>
      </c>
      <c r="H13293" t="s">
        <v>24175</v>
      </c>
      <c r="Y13293" t="s">
        <v>30890</v>
      </c>
    </row>
    <row r="13294" spans="1:25" x14ac:dyDescent="0.25">
      <c r="A13294" t="str">
        <f>"209696907885"</f>
        <v>209696907885</v>
      </c>
      <c r="B13294" t="s">
        <v>88</v>
      </c>
      <c r="C13294" t="s">
        <v>46996</v>
      </c>
      <c r="D13294" t="s">
        <v>46994</v>
      </c>
      <c r="E13294">
        <v>424039</v>
      </c>
      <c r="F13294" t="s">
        <v>1</v>
      </c>
      <c r="G13294" t="s">
        <v>2</v>
      </c>
      <c r="H13294" t="s">
        <v>5827</v>
      </c>
      <c r="J13294" t="s">
        <v>46995</v>
      </c>
      <c r="P13294" t="s">
        <v>941</v>
      </c>
      <c r="Y13294" t="s">
        <v>23921</v>
      </c>
    </row>
    <row r="13295" spans="1:25" x14ac:dyDescent="0.25">
      <c r="A13295" t="str">
        <f>"209741006851"</f>
        <v>209741006851</v>
      </c>
      <c r="B13295" t="s">
        <v>530</v>
      </c>
      <c r="C13295" t="s">
        <v>23950</v>
      </c>
      <c r="D13295" t="s">
        <v>23950</v>
      </c>
      <c r="F13295" t="s">
        <v>1</v>
      </c>
      <c r="G13295" t="s">
        <v>2</v>
      </c>
      <c r="H13295" t="s">
        <v>46997</v>
      </c>
      <c r="Y13295" t="s">
        <v>46998</v>
      </c>
    </row>
    <row r="13296" spans="1:25" x14ac:dyDescent="0.25">
      <c r="A13296" t="str">
        <f>"209742868805"</f>
        <v>209742868805</v>
      </c>
      <c r="B13296" t="s">
        <v>7</v>
      </c>
      <c r="C13296" t="s">
        <v>6023</v>
      </c>
      <c r="D13296" t="s">
        <v>46999</v>
      </c>
      <c r="E13296">
        <v>424038</v>
      </c>
      <c r="F13296" t="s">
        <v>1</v>
      </c>
      <c r="G13296" t="s">
        <v>2</v>
      </c>
      <c r="H13296" t="s">
        <v>546</v>
      </c>
      <c r="I13296" t="s">
        <v>47000</v>
      </c>
      <c r="P13296" t="s">
        <v>15877</v>
      </c>
      <c r="Y13296" t="s">
        <v>549</v>
      </c>
    </row>
    <row r="13297" spans="1:25" x14ac:dyDescent="0.25">
      <c r="A13297" t="str">
        <f>"209832533347"</f>
        <v>209832533347</v>
      </c>
      <c r="B13297" t="s">
        <v>96</v>
      </c>
      <c r="C13297" t="s">
        <v>893</v>
      </c>
      <c r="D13297" t="s">
        <v>19130</v>
      </c>
      <c r="E13297">
        <v>424000</v>
      </c>
      <c r="F13297" t="s">
        <v>1</v>
      </c>
      <c r="G13297" t="s">
        <v>2</v>
      </c>
      <c r="H13297" t="s">
        <v>86</v>
      </c>
      <c r="I13297" t="s">
        <v>47001</v>
      </c>
      <c r="P13297" t="s">
        <v>2050</v>
      </c>
      <c r="Y13297" t="s">
        <v>47002</v>
      </c>
    </row>
    <row r="13298" spans="1:25" x14ac:dyDescent="0.25">
      <c r="A13298" t="str">
        <f>"209846663544"</f>
        <v>209846663544</v>
      </c>
      <c r="B13298" t="s">
        <v>930</v>
      </c>
      <c r="C13298" t="s">
        <v>1940</v>
      </c>
      <c r="D13298" t="s">
        <v>10726</v>
      </c>
      <c r="E13298">
        <v>424007</v>
      </c>
      <c r="F13298" t="s">
        <v>1</v>
      </c>
      <c r="G13298" t="s">
        <v>2</v>
      </c>
      <c r="H13298" t="s">
        <v>46527</v>
      </c>
      <c r="I13298" t="s">
        <v>10728</v>
      </c>
      <c r="M13298" t="s">
        <v>47003</v>
      </c>
      <c r="P13298" t="s">
        <v>216</v>
      </c>
      <c r="Q13298" t="s">
        <v>10730</v>
      </c>
      <c r="T13298" t="s">
        <v>47004</v>
      </c>
      <c r="V13298" t="s">
        <v>47005</v>
      </c>
      <c r="Y13298" t="s">
        <v>46535</v>
      </c>
    </row>
    <row r="13299" spans="1:25" x14ac:dyDescent="0.25">
      <c r="A13299" t="str">
        <f>"209864502935"</f>
        <v>209864502935</v>
      </c>
      <c r="B13299" t="s">
        <v>574</v>
      </c>
      <c r="C13299" t="s">
        <v>27049</v>
      </c>
      <c r="D13299" t="s">
        <v>47006</v>
      </c>
      <c r="E13299">
        <v>424033</v>
      </c>
      <c r="F13299" t="s">
        <v>1</v>
      </c>
      <c r="G13299" t="s">
        <v>2</v>
      </c>
      <c r="H13299" t="s">
        <v>1782</v>
      </c>
      <c r="L13299" t="s">
        <v>47007</v>
      </c>
      <c r="M13299" t="s">
        <v>47008</v>
      </c>
      <c r="Y13299" t="s">
        <v>24609</v>
      </c>
    </row>
    <row r="13300" spans="1:25" x14ac:dyDescent="0.25">
      <c r="A13300" t="str">
        <f>"209882553564"</f>
        <v>209882553564</v>
      </c>
      <c r="B13300" t="s">
        <v>574</v>
      </c>
      <c r="C13300" t="s">
        <v>25422</v>
      </c>
      <c r="D13300" t="s">
        <v>47009</v>
      </c>
      <c r="E13300">
        <v>424019</v>
      </c>
      <c r="F13300" t="s">
        <v>1</v>
      </c>
      <c r="G13300" t="s">
        <v>2</v>
      </c>
      <c r="H13300" t="s">
        <v>9271</v>
      </c>
      <c r="Y13300" t="s">
        <v>47010</v>
      </c>
    </row>
    <row r="13301" spans="1:25" x14ac:dyDescent="0.25">
      <c r="A13301" t="str">
        <f>"209902398972"</f>
        <v>209902398972</v>
      </c>
      <c r="B13301" t="s">
        <v>447</v>
      </c>
      <c r="C13301" t="s">
        <v>16100</v>
      </c>
      <c r="D13301" t="s">
        <v>35042</v>
      </c>
      <c r="E13301">
        <v>424032</v>
      </c>
      <c r="F13301" t="s">
        <v>1</v>
      </c>
      <c r="G13301" t="s">
        <v>2</v>
      </c>
      <c r="H13301" t="s">
        <v>25553</v>
      </c>
      <c r="Y13301" t="s">
        <v>47011</v>
      </c>
    </row>
    <row r="13302" spans="1:25" x14ac:dyDescent="0.25">
      <c r="A13302" t="str">
        <f>"209965291639"</f>
        <v>209965291639</v>
      </c>
      <c r="B13302" t="s">
        <v>530</v>
      </c>
      <c r="C13302" t="s">
        <v>23950</v>
      </c>
      <c r="D13302" t="s">
        <v>23950</v>
      </c>
      <c r="E13302">
        <v>424028</v>
      </c>
      <c r="F13302" t="s">
        <v>1</v>
      </c>
      <c r="G13302" t="s">
        <v>2</v>
      </c>
      <c r="H13302" t="s">
        <v>24899</v>
      </c>
      <c r="Y13302" t="s">
        <v>47012</v>
      </c>
    </row>
    <row r="13303" spans="1:25" x14ac:dyDescent="0.25">
      <c r="A13303" t="str">
        <f>"209970859106"</f>
        <v>209970859106</v>
      </c>
      <c r="B13303" t="s">
        <v>430</v>
      </c>
      <c r="C13303" t="s">
        <v>940</v>
      </c>
      <c r="D13303" t="s">
        <v>1873</v>
      </c>
      <c r="E13303">
        <v>424039</v>
      </c>
      <c r="F13303" t="s">
        <v>1</v>
      </c>
      <c r="G13303" t="s">
        <v>2</v>
      </c>
      <c r="H13303" t="s">
        <v>5827</v>
      </c>
      <c r="J13303" t="s">
        <v>47013</v>
      </c>
      <c r="P13303" t="s">
        <v>941</v>
      </c>
      <c r="Y13303" t="s">
        <v>27950</v>
      </c>
    </row>
    <row r="13304" spans="1:25" x14ac:dyDescent="0.25">
      <c r="A13304" t="str">
        <f>"209983048066"</f>
        <v>209983048066</v>
      </c>
      <c r="B13304" t="s">
        <v>930</v>
      </c>
      <c r="C13304" t="s">
        <v>1096</v>
      </c>
      <c r="D13304" t="s">
        <v>47014</v>
      </c>
      <c r="E13304">
        <v>424037</v>
      </c>
      <c r="F13304" t="s">
        <v>1</v>
      </c>
      <c r="G13304" t="s">
        <v>2</v>
      </c>
      <c r="H13304" t="s">
        <v>29153</v>
      </c>
      <c r="J13304" t="s">
        <v>47015</v>
      </c>
      <c r="L13304" t="s">
        <v>47016</v>
      </c>
      <c r="P13304" t="s">
        <v>216</v>
      </c>
      <c r="Q13304" t="s">
        <v>47017</v>
      </c>
      <c r="V13304" t="s">
        <v>47018</v>
      </c>
      <c r="Y13304" t="s">
        <v>47019</v>
      </c>
    </row>
    <row r="13305" spans="1:25" x14ac:dyDescent="0.25">
      <c r="A13305" t="str">
        <f>"209995376951"</f>
        <v>209995376951</v>
      </c>
      <c r="B13305" t="s">
        <v>624</v>
      </c>
      <c r="C13305" t="s">
        <v>1637</v>
      </c>
      <c r="D13305" t="s">
        <v>47020</v>
      </c>
      <c r="E13305">
        <v>424006</v>
      </c>
      <c r="F13305" t="s">
        <v>1</v>
      </c>
      <c r="G13305" t="s">
        <v>2</v>
      </c>
      <c r="H13305" t="s">
        <v>4078</v>
      </c>
      <c r="I13305" t="s">
        <v>47021</v>
      </c>
      <c r="P13305" t="s">
        <v>20</v>
      </c>
      <c r="Y13305" t="s">
        <v>4080</v>
      </c>
    </row>
    <row r="13306" spans="1:25" x14ac:dyDescent="0.25">
      <c r="A13306" t="str">
        <f>"209996862352"</f>
        <v>209996862352</v>
      </c>
      <c r="B13306" t="s">
        <v>25</v>
      </c>
      <c r="C13306" t="s">
        <v>20320</v>
      </c>
      <c r="D13306" t="s">
        <v>47022</v>
      </c>
      <c r="E13306">
        <v>424036</v>
      </c>
      <c r="F13306" t="s">
        <v>1</v>
      </c>
      <c r="G13306" t="s">
        <v>2</v>
      </c>
      <c r="H13306" t="s">
        <v>47023</v>
      </c>
      <c r="Y13306" t="s">
        <v>47024</v>
      </c>
    </row>
    <row r="13307" spans="1:25" x14ac:dyDescent="0.25">
      <c r="A13307" t="str">
        <f>"210015899839"</f>
        <v>210015899839</v>
      </c>
      <c r="B13307" t="s">
        <v>1222</v>
      </c>
      <c r="C13307" t="s">
        <v>47027</v>
      </c>
      <c r="D13307" t="s">
        <v>47025</v>
      </c>
      <c r="E13307">
        <v>424002</v>
      </c>
      <c r="F13307" t="s">
        <v>1</v>
      </c>
      <c r="G13307" t="s">
        <v>2</v>
      </c>
      <c r="H13307" t="s">
        <v>3864</v>
      </c>
      <c r="J13307" t="s">
        <v>47026</v>
      </c>
      <c r="P13307" t="s">
        <v>47028</v>
      </c>
      <c r="Q13307" t="s">
        <v>47029</v>
      </c>
      <c r="V13307" t="s">
        <v>47030</v>
      </c>
      <c r="Y13307" t="s">
        <v>47031</v>
      </c>
    </row>
    <row r="13308" spans="1:25" x14ac:dyDescent="0.25">
      <c r="A13308" t="str">
        <f>"210065840355"</f>
        <v>210065840355</v>
      </c>
      <c r="B13308" t="s">
        <v>687</v>
      </c>
      <c r="C13308" t="s">
        <v>5413</v>
      </c>
      <c r="D13308" t="s">
        <v>47032</v>
      </c>
      <c r="E13308">
        <v>424040</v>
      </c>
      <c r="F13308" t="s">
        <v>1</v>
      </c>
      <c r="G13308" t="s">
        <v>2</v>
      </c>
      <c r="H13308" t="s">
        <v>40272</v>
      </c>
      <c r="I13308" t="s">
        <v>47033</v>
      </c>
      <c r="P13308" t="s">
        <v>133</v>
      </c>
      <c r="Y13308" t="s">
        <v>40274</v>
      </c>
    </row>
    <row r="13309" spans="1:25" x14ac:dyDescent="0.25">
      <c r="A13309" t="str">
        <f>"210078275293"</f>
        <v>210078275293</v>
      </c>
      <c r="B13309" t="s">
        <v>80</v>
      </c>
      <c r="C13309" t="s">
        <v>14246</v>
      </c>
      <c r="D13309" t="s">
        <v>33325</v>
      </c>
      <c r="E13309">
        <v>424006</v>
      </c>
      <c r="F13309" t="s">
        <v>1</v>
      </c>
      <c r="G13309" t="s">
        <v>2</v>
      </c>
      <c r="H13309" t="s">
        <v>18109</v>
      </c>
      <c r="I13309" t="s">
        <v>47034</v>
      </c>
      <c r="J13309" t="s">
        <v>47035</v>
      </c>
      <c r="P13309" t="s">
        <v>47036</v>
      </c>
      <c r="Y13309" t="s">
        <v>20362</v>
      </c>
    </row>
    <row r="13310" spans="1:25" x14ac:dyDescent="0.25">
      <c r="A13310" t="str">
        <f>"210115896903"</f>
        <v>210115896903</v>
      </c>
      <c r="B13310" t="s">
        <v>530</v>
      </c>
      <c r="C13310" t="s">
        <v>23950</v>
      </c>
      <c r="D13310" t="s">
        <v>23950</v>
      </c>
      <c r="E13310">
        <v>424030</v>
      </c>
      <c r="F13310" t="s">
        <v>1</v>
      </c>
      <c r="G13310" t="s">
        <v>2</v>
      </c>
      <c r="H13310" t="s">
        <v>47037</v>
      </c>
      <c r="Y13310" t="s">
        <v>47038</v>
      </c>
    </row>
    <row r="13311" spans="1:25" x14ac:dyDescent="0.25">
      <c r="A13311" t="str">
        <f>"210126687821"</f>
        <v>210126687821</v>
      </c>
      <c r="B13311" t="s">
        <v>3573</v>
      </c>
      <c r="C13311" t="s">
        <v>3644</v>
      </c>
      <c r="D13311" t="s">
        <v>47039</v>
      </c>
      <c r="E13311">
        <v>424004</v>
      </c>
      <c r="F13311" t="s">
        <v>1</v>
      </c>
      <c r="G13311" t="s">
        <v>2</v>
      </c>
      <c r="H13311" t="s">
        <v>351</v>
      </c>
      <c r="Y13311" t="s">
        <v>354</v>
      </c>
    </row>
    <row r="13312" spans="1:25" x14ac:dyDescent="0.25">
      <c r="A13312" t="str">
        <f>"210140657788"</f>
        <v>210140657788</v>
      </c>
      <c r="B13312" t="s">
        <v>930</v>
      </c>
      <c r="C13312" t="s">
        <v>10263</v>
      </c>
      <c r="D13312" t="s">
        <v>10263</v>
      </c>
      <c r="E13312">
        <v>424913</v>
      </c>
      <c r="F13312" t="s">
        <v>1</v>
      </c>
      <c r="G13312" t="s">
        <v>2</v>
      </c>
      <c r="H13312" t="s">
        <v>35506</v>
      </c>
      <c r="Y13312" t="s">
        <v>47040</v>
      </c>
    </row>
    <row r="13313" spans="1:25" x14ac:dyDescent="0.25">
      <c r="A13313" t="str">
        <f>"210141340981"</f>
        <v>210141340981</v>
      </c>
      <c r="B13313" t="s">
        <v>290</v>
      </c>
      <c r="C13313" t="s">
        <v>290</v>
      </c>
      <c r="D13313" t="s">
        <v>47041</v>
      </c>
      <c r="E13313">
        <v>424006</v>
      </c>
      <c r="F13313" t="s">
        <v>1</v>
      </c>
      <c r="G13313" t="s">
        <v>2</v>
      </c>
      <c r="H13313" t="s">
        <v>492</v>
      </c>
      <c r="I13313" t="s">
        <v>47042</v>
      </c>
      <c r="J13313" t="s">
        <v>47043</v>
      </c>
      <c r="P13313" t="s">
        <v>7650</v>
      </c>
      <c r="Y13313" t="s">
        <v>47044</v>
      </c>
    </row>
    <row r="13314" spans="1:25" x14ac:dyDescent="0.25">
      <c r="A13314" t="str">
        <f>"210143408177"</f>
        <v>210143408177</v>
      </c>
      <c r="B13314" t="s">
        <v>1182</v>
      </c>
      <c r="C13314" t="s">
        <v>6011</v>
      </c>
      <c r="D13314" t="s">
        <v>47045</v>
      </c>
      <c r="F13314" t="s">
        <v>1</v>
      </c>
      <c r="G13314" t="s">
        <v>2</v>
      </c>
      <c r="H13314" t="s">
        <v>47046</v>
      </c>
      <c r="L13314" t="s">
        <v>47047</v>
      </c>
      <c r="M13314" t="s">
        <v>47048</v>
      </c>
      <c r="T13314" t="s">
        <v>47049</v>
      </c>
      <c r="U13314" t="s">
        <v>47050</v>
      </c>
      <c r="V13314" t="s">
        <v>47051</v>
      </c>
      <c r="Y13314" t="s">
        <v>47052</v>
      </c>
    </row>
    <row r="13315" spans="1:25" x14ac:dyDescent="0.25">
      <c r="A13315" t="str">
        <f>"210154704965"</f>
        <v>210154704965</v>
      </c>
      <c r="B13315" t="s">
        <v>5573</v>
      </c>
      <c r="C13315" t="s">
        <v>21453</v>
      </c>
      <c r="D13315" t="s">
        <v>28971</v>
      </c>
      <c r="E13315">
        <v>424918</v>
      </c>
      <c r="F13315" t="s">
        <v>1</v>
      </c>
      <c r="G13315" t="s">
        <v>2</v>
      </c>
      <c r="H13315" t="s">
        <v>629</v>
      </c>
      <c r="P13315" t="s">
        <v>630</v>
      </c>
      <c r="Y13315" t="s">
        <v>1744</v>
      </c>
    </row>
    <row r="13316" spans="1:25" x14ac:dyDescent="0.25">
      <c r="A13316" t="str">
        <f>"210160403518"</f>
        <v>210160403518</v>
      </c>
      <c r="B13316" t="s">
        <v>2846</v>
      </c>
      <c r="C13316" t="s">
        <v>47057</v>
      </c>
      <c r="D13316" t="s">
        <v>47053</v>
      </c>
      <c r="E13316">
        <v>424037</v>
      </c>
      <c r="F13316" t="s">
        <v>1</v>
      </c>
      <c r="G13316" t="s">
        <v>2</v>
      </c>
      <c r="H13316" t="s">
        <v>31633</v>
      </c>
      <c r="I13316" t="s">
        <v>47054</v>
      </c>
      <c r="L13316" t="s">
        <v>47055</v>
      </c>
      <c r="M13316" t="s">
        <v>47056</v>
      </c>
      <c r="P13316" t="s">
        <v>47058</v>
      </c>
      <c r="Q13316" t="s">
        <v>47059</v>
      </c>
      <c r="V13316" t="s">
        <v>47060</v>
      </c>
      <c r="Y13316" t="s">
        <v>47061</v>
      </c>
    </row>
    <row r="13317" spans="1:25" x14ac:dyDescent="0.25">
      <c r="A13317" t="str">
        <f>"210179751087"</f>
        <v>210179751087</v>
      </c>
      <c r="B13317" t="s">
        <v>67</v>
      </c>
      <c r="C13317" t="s">
        <v>269</v>
      </c>
      <c r="D13317" t="s">
        <v>32618</v>
      </c>
      <c r="E13317">
        <v>424000</v>
      </c>
      <c r="F13317" t="s">
        <v>1</v>
      </c>
      <c r="G13317" t="s">
        <v>2</v>
      </c>
      <c r="H13317" t="s">
        <v>5523</v>
      </c>
      <c r="I13317" t="s">
        <v>35880</v>
      </c>
      <c r="L13317" t="s">
        <v>28986</v>
      </c>
      <c r="M13317" t="s">
        <v>28987</v>
      </c>
      <c r="P13317" t="s">
        <v>260</v>
      </c>
      <c r="Q13317" t="s">
        <v>28988</v>
      </c>
      <c r="R13317" t="s">
        <v>47062</v>
      </c>
      <c r="T13317" t="s">
        <v>28989</v>
      </c>
      <c r="Y13317" t="s">
        <v>5529</v>
      </c>
    </row>
    <row r="13318" spans="1:25" x14ac:dyDescent="0.25">
      <c r="A13318" t="str">
        <f>"210194910487"</f>
        <v>210194910487</v>
      </c>
      <c r="B13318" t="s">
        <v>188</v>
      </c>
      <c r="C13318" t="s">
        <v>24568</v>
      </c>
      <c r="D13318" t="s">
        <v>24568</v>
      </c>
      <c r="E13318">
        <v>424006</v>
      </c>
      <c r="F13318" t="s">
        <v>1</v>
      </c>
      <c r="G13318" t="s">
        <v>2</v>
      </c>
      <c r="H13318" t="s">
        <v>2649</v>
      </c>
      <c r="Y13318" t="s">
        <v>47063</v>
      </c>
    </row>
    <row r="13319" spans="1:25" x14ac:dyDescent="0.25">
      <c r="A13319" t="str">
        <f>"210206294631"</f>
        <v>210206294631</v>
      </c>
      <c r="B13319" t="s">
        <v>176</v>
      </c>
      <c r="C13319" t="s">
        <v>566</v>
      </c>
      <c r="D13319" t="s">
        <v>47064</v>
      </c>
      <c r="E13319">
        <v>424019</v>
      </c>
      <c r="F13319" t="s">
        <v>1</v>
      </c>
      <c r="G13319" t="s">
        <v>2</v>
      </c>
      <c r="H13319" t="s">
        <v>12135</v>
      </c>
      <c r="Y13319" t="s">
        <v>45923</v>
      </c>
    </row>
    <row r="13320" spans="1:25" x14ac:dyDescent="0.25">
      <c r="A13320" t="str">
        <f>"210222112239"</f>
        <v>210222112239</v>
      </c>
      <c r="B13320" t="s">
        <v>3700</v>
      </c>
      <c r="C13320" t="s">
        <v>4023</v>
      </c>
      <c r="D13320" t="s">
        <v>16695</v>
      </c>
      <c r="E13320">
        <v>424020</v>
      </c>
      <c r="F13320" t="s">
        <v>1</v>
      </c>
      <c r="G13320" t="s">
        <v>2</v>
      </c>
      <c r="H13320" t="s">
        <v>7063</v>
      </c>
      <c r="J13320" t="s">
        <v>16698</v>
      </c>
      <c r="P13320" t="s">
        <v>1404</v>
      </c>
      <c r="Y13320" t="s">
        <v>47065</v>
      </c>
    </row>
    <row r="13321" spans="1:25" x14ac:dyDescent="0.25">
      <c r="A13321" t="str">
        <f>"210243058344"</f>
        <v>210243058344</v>
      </c>
      <c r="B13321" t="s">
        <v>574</v>
      </c>
      <c r="C13321" t="s">
        <v>23520</v>
      </c>
      <c r="D13321" t="s">
        <v>38967</v>
      </c>
      <c r="E13321">
        <v>424000</v>
      </c>
      <c r="F13321" t="s">
        <v>1</v>
      </c>
      <c r="G13321" t="s">
        <v>2</v>
      </c>
      <c r="H13321" t="s">
        <v>1531</v>
      </c>
      <c r="Y13321" t="s">
        <v>47066</v>
      </c>
    </row>
    <row r="13322" spans="1:25" x14ac:dyDescent="0.25">
      <c r="A13322" t="str">
        <f>"210256777064"</f>
        <v>210256777064</v>
      </c>
      <c r="B13322" t="s">
        <v>290</v>
      </c>
      <c r="C13322" t="s">
        <v>291</v>
      </c>
      <c r="D13322" t="s">
        <v>47067</v>
      </c>
      <c r="F13322" t="s">
        <v>1</v>
      </c>
      <c r="G13322" t="s">
        <v>2</v>
      </c>
      <c r="H13322" t="s">
        <v>47068</v>
      </c>
      <c r="P13322" t="s">
        <v>47069</v>
      </c>
      <c r="Y13322" t="s">
        <v>47070</v>
      </c>
    </row>
    <row r="13323" spans="1:25" x14ac:dyDescent="0.25">
      <c r="A13323" t="str">
        <f>"210262641554"</f>
        <v>210262641554</v>
      </c>
      <c r="B13323" t="s">
        <v>151</v>
      </c>
      <c r="C13323" t="s">
        <v>2522</v>
      </c>
      <c r="D13323" t="s">
        <v>47071</v>
      </c>
      <c r="E13323">
        <v>424036</v>
      </c>
      <c r="F13323" t="s">
        <v>1</v>
      </c>
      <c r="G13323" t="s">
        <v>2</v>
      </c>
      <c r="H13323" t="s">
        <v>14976</v>
      </c>
      <c r="I13323" t="s">
        <v>47072</v>
      </c>
      <c r="L13323" t="s">
        <v>5579</v>
      </c>
      <c r="M13323" t="s">
        <v>2521</v>
      </c>
      <c r="P13323" t="s">
        <v>47073</v>
      </c>
      <c r="Y13323" t="s">
        <v>47074</v>
      </c>
    </row>
    <row r="13324" spans="1:25" x14ac:dyDescent="0.25">
      <c r="A13324" t="str">
        <f>"210265735898"</f>
        <v>210265735898</v>
      </c>
      <c r="B13324" t="s">
        <v>12698</v>
      </c>
      <c r="C13324" t="s">
        <v>29132</v>
      </c>
      <c r="D13324" t="s">
        <v>29131</v>
      </c>
      <c r="F13324" t="s">
        <v>1</v>
      </c>
      <c r="G13324" t="s">
        <v>2</v>
      </c>
      <c r="H13324" t="s">
        <v>31710</v>
      </c>
      <c r="Y13324" t="s">
        <v>47075</v>
      </c>
    </row>
    <row r="13325" spans="1:25" x14ac:dyDescent="0.25">
      <c r="A13325" t="str">
        <f>"210266281308"</f>
        <v>210266281308</v>
      </c>
      <c r="B13325" t="s">
        <v>18</v>
      </c>
      <c r="C13325" t="s">
        <v>12289</v>
      </c>
      <c r="D13325" t="s">
        <v>47076</v>
      </c>
      <c r="E13325">
        <v>424036</v>
      </c>
      <c r="F13325" t="s">
        <v>1</v>
      </c>
      <c r="G13325" t="s">
        <v>2</v>
      </c>
      <c r="H13325" t="s">
        <v>2291</v>
      </c>
      <c r="I13325" t="s">
        <v>47077</v>
      </c>
      <c r="P13325" t="s">
        <v>2079</v>
      </c>
      <c r="Y13325" t="s">
        <v>47078</v>
      </c>
    </row>
    <row r="13326" spans="1:25" x14ac:dyDescent="0.25">
      <c r="A13326" t="str">
        <f>"210307139207"</f>
        <v>210307139207</v>
      </c>
      <c r="B13326" t="s">
        <v>96</v>
      </c>
      <c r="C13326" t="s">
        <v>2285</v>
      </c>
      <c r="D13326" t="s">
        <v>47079</v>
      </c>
      <c r="F13326" t="s">
        <v>1</v>
      </c>
      <c r="G13326" t="s">
        <v>2</v>
      </c>
      <c r="H13326" t="s">
        <v>19499</v>
      </c>
      <c r="P13326" t="s">
        <v>144</v>
      </c>
      <c r="Y13326" t="s">
        <v>47080</v>
      </c>
    </row>
    <row r="13327" spans="1:25" x14ac:dyDescent="0.25">
      <c r="A13327" t="str">
        <f>"210365923343"</f>
        <v>210365923343</v>
      </c>
      <c r="B13327" t="s">
        <v>32</v>
      </c>
      <c r="C13327" t="s">
        <v>182</v>
      </c>
      <c r="D13327" t="s">
        <v>47081</v>
      </c>
      <c r="E13327">
        <v>424004</v>
      </c>
      <c r="F13327" t="s">
        <v>1</v>
      </c>
      <c r="G13327" t="s">
        <v>2</v>
      </c>
      <c r="H13327" t="s">
        <v>229</v>
      </c>
      <c r="P13327" t="s">
        <v>47082</v>
      </c>
      <c r="Y13327" t="s">
        <v>237</v>
      </c>
    </row>
    <row r="13328" spans="1:25" x14ac:dyDescent="0.25">
      <c r="A13328" t="str">
        <f>"210374527526"</f>
        <v>210374527526</v>
      </c>
      <c r="B13328" t="s">
        <v>117</v>
      </c>
      <c r="C13328" t="s">
        <v>873</v>
      </c>
      <c r="D13328" t="s">
        <v>873</v>
      </c>
      <c r="F13328" t="s">
        <v>1</v>
      </c>
      <c r="G13328" t="s">
        <v>2</v>
      </c>
      <c r="H13328" t="s">
        <v>31690</v>
      </c>
      <c r="Y13328" t="s">
        <v>47083</v>
      </c>
    </row>
    <row r="13329" spans="1:25" x14ac:dyDescent="0.25">
      <c r="A13329" t="str">
        <f>"210411189891"</f>
        <v>210411189891</v>
      </c>
      <c r="B13329" t="s">
        <v>1475</v>
      </c>
      <c r="C13329" t="s">
        <v>1476</v>
      </c>
      <c r="D13329" t="s">
        <v>47084</v>
      </c>
      <c r="E13329">
        <v>424033</v>
      </c>
      <c r="F13329" t="s">
        <v>1</v>
      </c>
      <c r="G13329" t="s">
        <v>2</v>
      </c>
      <c r="H13329" t="s">
        <v>22482</v>
      </c>
      <c r="P13329" t="s">
        <v>216</v>
      </c>
      <c r="Y13329" t="s">
        <v>47085</v>
      </c>
    </row>
    <row r="13330" spans="1:25" x14ac:dyDescent="0.25">
      <c r="A13330" t="str">
        <f>"210442226593"</f>
        <v>210442226593</v>
      </c>
      <c r="B13330" t="s">
        <v>430</v>
      </c>
      <c r="C13330" t="s">
        <v>47088</v>
      </c>
      <c r="D13330" t="s">
        <v>45130</v>
      </c>
      <c r="E13330">
        <v>424004</v>
      </c>
      <c r="F13330" t="s">
        <v>1</v>
      </c>
      <c r="G13330" t="s">
        <v>2</v>
      </c>
      <c r="H13330" t="s">
        <v>23522</v>
      </c>
      <c r="I13330" t="s">
        <v>47086</v>
      </c>
      <c r="L13330" t="s">
        <v>47087</v>
      </c>
      <c r="P13330" t="s">
        <v>21167</v>
      </c>
      <c r="Q13330" t="s">
        <v>47089</v>
      </c>
      <c r="Y13330" t="s">
        <v>3139</v>
      </c>
    </row>
    <row r="13331" spans="1:25" x14ac:dyDescent="0.25">
      <c r="A13331" t="str">
        <f>"210468336088"</f>
        <v>210468336088</v>
      </c>
      <c r="B13331" t="s">
        <v>32</v>
      </c>
      <c r="C13331" t="s">
        <v>47093</v>
      </c>
      <c r="D13331" t="s">
        <v>47090</v>
      </c>
      <c r="E13331">
        <v>424006</v>
      </c>
      <c r="F13331" t="s">
        <v>1</v>
      </c>
      <c r="G13331" t="s">
        <v>2</v>
      </c>
      <c r="H13331" t="s">
        <v>2042</v>
      </c>
      <c r="I13331" t="s">
        <v>47091</v>
      </c>
      <c r="J13331" t="s">
        <v>47092</v>
      </c>
      <c r="P13331" t="s">
        <v>5278</v>
      </c>
      <c r="Q13331" t="s">
        <v>47094</v>
      </c>
      <c r="Y13331" t="s">
        <v>47095</v>
      </c>
    </row>
    <row r="13332" spans="1:25" x14ac:dyDescent="0.25">
      <c r="A13332" t="str">
        <f>"210562776174"</f>
        <v>210562776174</v>
      </c>
      <c r="B13332" t="s">
        <v>430</v>
      </c>
      <c r="C13332" t="s">
        <v>47100</v>
      </c>
      <c r="D13332" t="s">
        <v>47096</v>
      </c>
      <c r="E13332">
        <v>424038</v>
      </c>
      <c r="F13332" t="s">
        <v>1</v>
      </c>
      <c r="G13332" t="s">
        <v>2</v>
      </c>
      <c r="H13332" t="s">
        <v>24788</v>
      </c>
      <c r="I13332" t="s">
        <v>47097</v>
      </c>
      <c r="J13332" t="s">
        <v>47098</v>
      </c>
      <c r="M13332" t="s">
        <v>47099</v>
      </c>
      <c r="P13332" t="s">
        <v>6400</v>
      </c>
      <c r="Q13332" t="s">
        <v>47101</v>
      </c>
      <c r="V13332" t="s">
        <v>47102</v>
      </c>
      <c r="Y13332" t="s">
        <v>41744</v>
      </c>
    </row>
    <row r="13333" spans="1:25" x14ac:dyDescent="0.25">
      <c r="A13333" t="str">
        <f>"210571202143"</f>
        <v>210571202143</v>
      </c>
      <c r="B13333" t="s">
        <v>176</v>
      </c>
      <c r="C13333" t="s">
        <v>2838</v>
      </c>
      <c r="D13333" t="s">
        <v>47103</v>
      </c>
      <c r="E13333">
        <v>424000</v>
      </c>
      <c r="F13333" t="s">
        <v>1</v>
      </c>
      <c r="G13333" t="s">
        <v>2</v>
      </c>
      <c r="H13333" t="s">
        <v>523</v>
      </c>
      <c r="I13333" t="s">
        <v>47104</v>
      </c>
      <c r="L13333" t="s">
        <v>47105</v>
      </c>
      <c r="M13333" t="s">
        <v>47106</v>
      </c>
      <c r="Y13333" t="s">
        <v>526</v>
      </c>
    </row>
    <row r="13334" spans="1:25" x14ac:dyDescent="0.25">
      <c r="A13334" t="str">
        <f>"210631440287"</f>
        <v>210631440287</v>
      </c>
      <c r="B13334" t="s">
        <v>32</v>
      </c>
      <c r="C13334" t="s">
        <v>40</v>
      </c>
      <c r="D13334" t="s">
        <v>47107</v>
      </c>
      <c r="E13334">
        <v>424031</v>
      </c>
      <c r="F13334" t="s">
        <v>1</v>
      </c>
      <c r="G13334" t="s">
        <v>2</v>
      </c>
      <c r="H13334" t="s">
        <v>413</v>
      </c>
      <c r="I13334" t="s">
        <v>47108</v>
      </c>
      <c r="J13334" t="s">
        <v>47109</v>
      </c>
      <c r="P13334" t="s">
        <v>2079</v>
      </c>
      <c r="Q13334" t="s">
        <v>47110</v>
      </c>
      <c r="Y13334" t="s">
        <v>47111</v>
      </c>
    </row>
    <row r="13335" spans="1:25" x14ac:dyDescent="0.25">
      <c r="A13335" t="str">
        <f>"210635853562"</f>
        <v>210635853562</v>
      </c>
      <c r="B13335" t="s">
        <v>18</v>
      </c>
      <c r="C13335" t="s">
        <v>31834</v>
      </c>
      <c r="D13335" t="s">
        <v>47112</v>
      </c>
      <c r="F13335" t="s">
        <v>1</v>
      </c>
      <c r="G13335" t="s">
        <v>2</v>
      </c>
      <c r="H13335" t="s">
        <v>2745</v>
      </c>
      <c r="I13335" t="s">
        <v>47113</v>
      </c>
      <c r="M13335" t="s">
        <v>47114</v>
      </c>
      <c r="P13335" t="s">
        <v>152</v>
      </c>
      <c r="Y13335" t="s">
        <v>2751</v>
      </c>
    </row>
    <row r="13336" spans="1:25" x14ac:dyDescent="0.25">
      <c r="A13336" t="str">
        <f>"210638833469"</f>
        <v>210638833469</v>
      </c>
      <c r="B13336" t="s">
        <v>1230</v>
      </c>
      <c r="C13336" t="s">
        <v>2526</v>
      </c>
      <c r="D13336" t="s">
        <v>47115</v>
      </c>
      <c r="E13336">
        <v>424006</v>
      </c>
      <c r="F13336" t="s">
        <v>1</v>
      </c>
      <c r="G13336" t="s">
        <v>2</v>
      </c>
      <c r="H13336" t="s">
        <v>6096</v>
      </c>
      <c r="I13336" t="s">
        <v>47116</v>
      </c>
      <c r="P13336" t="s">
        <v>6100</v>
      </c>
      <c r="Y13336" t="s">
        <v>47117</v>
      </c>
    </row>
    <row r="13337" spans="1:25" x14ac:dyDescent="0.25">
      <c r="A13337" t="str">
        <f>"210661714993"</f>
        <v>210661714993</v>
      </c>
      <c r="B13337" t="s">
        <v>716</v>
      </c>
      <c r="C13337" t="s">
        <v>717</v>
      </c>
      <c r="D13337" t="s">
        <v>47118</v>
      </c>
      <c r="F13337" t="s">
        <v>1</v>
      </c>
      <c r="G13337" t="s">
        <v>2</v>
      </c>
      <c r="H13337" t="s">
        <v>2745</v>
      </c>
      <c r="I13337" t="s">
        <v>47119</v>
      </c>
      <c r="Y13337" t="s">
        <v>2751</v>
      </c>
    </row>
    <row r="13338" spans="1:25" x14ac:dyDescent="0.25">
      <c r="A13338" t="str">
        <f>"210673031623"</f>
        <v>210673031623</v>
      </c>
      <c r="B13338" t="s">
        <v>348</v>
      </c>
      <c r="C13338" t="s">
        <v>26811</v>
      </c>
      <c r="D13338" t="s">
        <v>47120</v>
      </c>
      <c r="F13338" t="s">
        <v>1</v>
      </c>
      <c r="G13338" t="s">
        <v>2</v>
      </c>
      <c r="H13338" t="s">
        <v>138</v>
      </c>
      <c r="M13338" t="s">
        <v>47121</v>
      </c>
      <c r="P13338" t="s">
        <v>144</v>
      </c>
      <c r="Y13338" t="s">
        <v>146</v>
      </c>
    </row>
    <row r="13339" spans="1:25" x14ac:dyDescent="0.25">
      <c r="A13339" t="str">
        <f>"210730954234"</f>
        <v>210730954234</v>
      </c>
      <c r="B13339" t="s">
        <v>888</v>
      </c>
      <c r="C13339" t="s">
        <v>888</v>
      </c>
      <c r="D13339" t="s">
        <v>47122</v>
      </c>
      <c r="E13339">
        <v>424030</v>
      </c>
      <c r="F13339" t="s">
        <v>1</v>
      </c>
      <c r="G13339" t="s">
        <v>2</v>
      </c>
      <c r="H13339" t="s">
        <v>440</v>
      </c>
      <c r="I13339" t="s">
        <v>47123</v>
      </c>
      <c r="P13339" t="s">
        <v>2839</v>
      </c>
      <c r="Y13339" t="s">
        <v>47124</v>
      </c>
    </row>
    <row r="13340" spans="1:25" x14ac:dyDescent="0.25">
      <c r="A13340" t="str">
        <f>"210779069967"</f>
        <v>210779069967</v>
      </c>
      <c r="B13340" t="s">
        <v>151</v>
      </c>
      <c r="C13340" t="s">
        <v>151</v>
      </c>
      <c r="D13340" t="s">
        <v>47125</v>
      </c>
      <c r="E13340">
        <v>424031</v>
      </c>
      <c r="F13340" t="s">
        <v>1</v>
      </c>
      <c r="G13340" t="s">
        <v>2</v>
      </c>
      <c r="H13340" t="s">
        <v>1524</v>
      </c>
      <c r="J13340" t="s">
        <v>47126</v>
      </c>
      <c r="P13340" t="s">
        <v>27</v>
      </c>
      <c r="Y13340" t="s">
        <v>5358</v>
      </c>
    </row>
    <row r="13341" spans="1:25" x14ac:dyDescent="0.25">
      <c r="A13341" t="str">
        <f>"210791735126"</f>
        <v>210791735126</v>
      </c>
      <c r="B13341" t="s">
        <v>96</v>
      </c>
      <c r="C13341" t="s">
        <v>47128</v>
      </c>
      <c r="D13341" t="s">
        <v>47127</v>
      </c>
      <c r="E13341">
        <v>424000</v>
      </c>
      <c r="F13341" t="s">
        <v>1</v>
      </c>
      <c r="G13341" t="s">
        <v>2</v>
      </c>
      <c r="H13341" t="s">
        <v>1473</v>
      </c>
      <c r="P13341" t="s">
        <v>941</v>
      </c>
      <c r="Y13341" t="s">
        <v>47129</v>
      </c>
    </row>
    <row r="13342" spans="1:25" x14ac:dyDescent="0.25">
      <c r="A13342" t="str">
        <f>"210809741251"</f>
        <v>210809741251</v>
      </c>
      <c r="B13342" t="s">
        <v>290</v>
      </c>
      <c r="C13342" t="s">
        <v>23328</v>
      </c>
      <c r="D13342" t="s">
        <v>47130</v>
      </c>
      <c r="E13342">
        <v>424038</v>
      </c>
      <c r="F13342" t="s">
        <v>1</v>
      </c>
      <c r="G13342" t="s">
        <v>2</v>
      </c>
      <c r="H13342" t="s">
        <v>7597</v>
      </c>
      <c r="P13342" t="s">
        <v>1642</v>
      </c>
      <c r="Y13342" t="s">
        <v>16150</v>
      </c>
    </row>
    <row r="13343" spans="1:25" x14ac:dyDescent="0.25">
      <c r="A13343" t="str">
        <f>"210885772673"</f>
        <v>210885772673</v>
      </c>
      <c r="B13343" t="s">
        <v>530</v>
      </c>
      <c r="C13343" t="s">
        <v>23950</v>
      </c>
      <c r="D13343" t="s">
        <v>23950</v>
      </c>
      <c r="E13343">
        <v>424019</v>
      </c>
      <c r="F13343" t="s">
        <v>1</v>
      </c>
      <c r="G13343" t="s">
        <v>2</v>
      </c>
      <c r="H13343" t="s">
        <v>10061</v>
      </c>
      <c r="Y13343" t="s">
        <v>47131</v>
      </c>
    </row>
    <row r="13344" spans="1:25" x14ac:dyDescent="0.25">
      <c r="A13344" t="str">
        <f>"210910594245"</f>
        <v>210910594245</v>
      </c>
      <c r="B13344" t="s">
        <v>32</v>
      </c>
      <c r="C13344" t="s">
        <v>20811</v>
      </c>
      <c r="D13344" t="s">
        <v>47132</v>
      </c>
      <c r="E13344">
        <v>424918</v>
      </c>
      <c r="F13344" t="s">
        <v>1</v>
      </c>
      <c r="G13344" t="s">
        <v>2</v>
      </c>
      <c r="H13344" t="s">
        <v>629</v>
      </c>
      <c r="P13344" t="s">
        <v>630</v>
      </c>
      <c r="Y13344" t="s">
        <v>47133</v>
      </c>
    </row>
    <row r="13345" spans="1:25" x14ac:dyDescent="0.25">
      <c r="A13345" t="str">
        <f>"210919850818"</f>
        <v>210919850818</v>
      </c>
      <c r="B13345" t="s">
        <v>32</v>
      </c>
      <c r="C13345" t="s">
        <v>777</v>
      </c>
      <c r="D13345" t="s">
        <v>47134</v>
      </c>
      <c r="E13345">
        <v>424020</v>
      </c>
      <c r="F13345" t="s">
        <v>1</v>
      </c>
      <c r="G13345" t="s">
        <v>2</v>
      </c>
      <c r="H13345" t="s">
        <v>2112</v>
      </c>
      <c r="I13345" t="s">
        <v>2113</v>
      </c>
      <c r="P13345" t="s">
        <v>152</v>
      </c>
      <c r="Y13345" t="s">
        <v>47135</v>
      </c>
    </row>
    <row r="13346" spans="1:25" x14ac:dyDescent="0.25">
      <c r="A13346" t="str">
        <f>"210924378565"</f>
        <v>210924378565</v>
      </c>
      <c r="B13346" t="s">
        <v>1222</v>
      </c>
      <c r="C13346" t="s">
        <v>22060</v>
      </c>
      <c r="D13346" t="s">
        <v>47136</v>
      </c>
      <c r="F13346" t="s">
        <v>1</v>
      </c>
      <c r="G13346" t="s">
        <v>2</v>
      </c>
      <c r="H13346" t="s">
        <v>3984</v>
      </c>
      <c r="J13346" t="s">
        <v>9133</v>
      </c>
      <c r="P13346" t="s">
        <v>340</v>
      </c>
      <c r="Y13346" t="s">
        <v>4409</v>
      </c>
    </row>
    <row r="13347" spans="1:25" x14ac:dyDescent="0.25">
      <c r="A13347" t="str">
        <f>"210924613767"</f>
        <v>210924613767</v>
      </c>
      <c r="B13347" t="s">
        <v>574</v>
      </c>
      <c r="C13347" t="s">
        <v>24087</v>
      </c>
      <c r="D13347" t="s">
        <v>32710</v>
      </c>
      <c r="E13347">
        <v>424038</v>
      </c>
      <c r="F13347" t="s">
        <v>1</v>
      </c>
      <c r="G13347" t="s">
        <v>2</v>
      </c>
      <c r="H13347" t="s">
        <v>2614</v>
      </c>
      <c r="J13347" t="s">
        <v>31102</v>
      </c>
      <c r="P13347" t="s">
        <v>10150</v>
      </c>
      <c r="Y13347" t="s">
        <v>47137</v>
      </c>
    </row>
    <row r="13348" spans="1:25" x14ac:dyDescent="0.25">
      <c r="A13348" t="str">
        <f>"210970888658"</f>
        <v>210970888658</v>
      </c>
      <c r="B13348" t="s">
        <v>188</v>
      </c>
      <c r="C13348" t="s">
        <v>24568</v>
      </c>
      <c r="D13348" t="s">
        <v>24568</v>
      </c>
      <c r="E13348">
        <v>424031</v>
      </c>
      <c r="F13348" t="s">
        <v>1</v>
      </c>
      <c r="G13348" t="s">
        <v>2</v>
      </c>
      <c r="H13348" t="s">
        <v>47138</v>
      </c>
      <c r="Y13348" t="s">
        <v>47139</v>
      </c>
    </row>
    <row r="13349" spans="1:25" x14ac:dyDescent="0.25">
      <c r="A13349" t="str">
        <f>"210973637859"</f>
        <v>210973637859</v>
      </c>
      <c r="B13349" t="s">
        <v>530</v>
      </c>
      <c r="C13349" t="s">
        <v>23950</v>
      </c>
      <c r="D13349" t="s">
        <v>23950</v>
      </c>
      <c r="E13349">
        <v>424003</v>
      </c>
      <c r="F13349" t="s">
        <v>1</v>
      </c>
      <c r="G13349" t="s">
        <v>2</v>
      </c>
      <c r="H13349" t="s">
        <v>47140</v>
      </c>
      <c r="Y13349" t="s">
        <v>47141</v>
      </c>
    </row>
    <row r="13350" spans="1:25" x14ac:dyDescent="0.25">
      <c r="A13350" t="str">
        <f>"211004705804"</f>
        <v>211004705804</v>
      </c>
      <c r="B13350" t="s">
        <v>1544</v>
      </c>
      <c r="C13350" t="s">
        <v>15598</v>
      </c>
      <c r="D13350" t="s">
        <v>25155</v>
      </c>
      <c r="E13350">
        <v>424037</v>
      </c>
      <c r="F13350" t="s">
        <v>1</v>
      </c>
      <c r="G13350" t="s">
        <v>2</v>
      </c>
      <c r="H13350" t="s">
        <v>3278</v>
      </c>
      <c r="Y13350" t="s">
        <v>47142</v>
      </c>
    </row>
    <row r="13351" spans="1:25" x14ac:dyDescent="0.25">
      <c r="A13351" t="str">
        <f>"211058917734"</f>
        <v>211058917734</v>
      </c>
      <c r="B13351" t="s">
        <v>32</v>
      </c>
      <c r="C13351" t="s">
        <v>40</v>
      </c>
      <c r="D13351" t="s">
        <v>47143</v>
      </c>
      <c r="E13351">
        <v>424038</v>
      </c>
      <c r="F13351" t="s">
        <v>1</v>
      </c>
      <c r="G13351" t="s">
        <v>2</v>
      </c>
      <c r="H13351" t="s">
        <v>2434</v>
      </c>
      <c r="Y13351" t="s">
        <v>47144</v>
      </c>
    </row>
    <row r="13352" spans="1:25" x14ac:dyDescent="0.25">
      <c r="A13352" t="str">
        <f>"211092951852"</f>
        <v>211092951852</v>
      </c>
      <c r="B13352" t="s">
        <v>530</v>
      </c>
      <c r="C13352" t="s">
        <v>23950</v>
      </c>
      <c r="D13352" t="s">
        <v>23950</v>
      </c>
      <c r="E13352">
        <v>424031</v>
      </c>
      <c r="F13352" t="s">
        <v>1</v>
      </c>
      <c r="G13352" t="s">
        <v>2</v>
      </c>
      <c r="H13352" t="s">
        <v>29453</v>
      </c>
      <c r="Y13352" t="s">
        <v>47145</v>
      </c>
    </row>
    <row r="13353" spans="1:25" x14ac:dyDescent="0.25">
      <c r="A13353" t="str">
        <f>"211097334455"</f>
        <v>211097334455</v>
      </c>
      <c r="B13353" t="s">
        <v>462</v>
      </c>
      <c r="C13353" t="s">
        <v>47150</v>
      </c>
      <c r="D13353" t="s">
        <v>47146</v>
      </c>
      <c r="E13353">
        <v>424031</v>
      </c>
      <c r="F13353" t="s">
        <v>1</v>
      </c>
      <c r="G13353" t="s">
        <v>2</v>
      </c>
      <c r="H13353" t="s">
        <v>239</v>
      </c>
      <c r="I13353" t="s">
        <v>47147</v>
      </c>
      <c r="L13353" t="s">
        <v>47148</v>
      </c>
      <c r="M13353" t="s">
        <v>47149</v>
      </c>
      <c r="P13353" t="s">
        <v>16441</v>
      </c>
      <c r="Y13353" t="s">
        <v>246</v>
      </c>
    </row>
    <row r="13354" spans="1:25" x14ac:dyDescent="0.25">
      <c r="A13354" t="str">
        <f>"211099457094"</f>
        <v>211099457094</v>
      </c>
      <c r="B13354" t="s">
        <v>96</v>
      </c>
      <c r="C13354" t="s">
        <v>47151</v>
      </c>
      <c r="D13354" t="s">
        <v>45583</v>
      </c>
      <c r="E13354">
        <v>424006</v>
      </c>
      <c r="F13354" t="s">
        <v>1</v>
      </c>
      <c r="G13354" t="s">
        <v>2</v>
      </c>
      <c r="H13354" t="s">
        <v>6133</v>
      </c>
      <c r="P13354" t="s">
        <v>9785</v>
      </c>
      <c r="Y13354" t="s">
        <v>47152</v>
      </c>
    </row>
    <row r="13355" spans="1:25" x14ac:dyDescent="0.25">
      <c r="A13355" t="str">
        <f>"211149357041"</f>
        <v>211149357041</v>
      </c>
      <c r="B13355" t="s">
        <v>1152</v>
      </c>
      <c r="C13355" t="s">
        <v>47156</v>
      </c>
      <c r="D13355" t="s">
        <v>47153</v>
      </c>
      <c r="E13355">
        <v>424038</v>
      </c>
      <c r="F13355" t="s">
        <v>1</v>
      </c>
      <c r="G13355" t="s">
        <v>2</v>
      </c>
      <c r="H13355" t="s">
        <v>16183</v>
      </c>
      <c r="I13355" t="s">
        <v>47154</v>
      </c>
      <c r="M13355" t="s">
        <v>47155</v>
      </c>
      <c r="P13355" t="s">
        <v>216</v>
      </c>
      <c r="Y13355" t="s">
        <v>16185</v>
      </c>
    </row>
    <row r="13356" spans="1:25" x14ac:dyDescent="0.25">
      <c r="A13356" t="str">
        <f>"211192447611"</f>
        <v>211192447611</v>
      </c>
      <c r="B13356" t="s">
        <v>1046</v>
      </c>
      <c r="C13356" t="s">
        <v>22946</v>
      </c>
      <c r="D13356" t="s">
        <v>22946</v>
      </c>
      <c r="E13356">
        <v>424003</v>
      </c>
      <c r="F13356" t="s">
        <v>1</v>
      </c>
      <c r="G13356" t="s">
        <v>2</v>
      </c>
      <c r="H13356" t="s">
        <v>9811</v>
      </c>
      <c r="Y13356" t="s">
        <v>47157</v>
      </c>
    </row>
    <row r="13357" spans="1:25" x14ac:dyDescent="0.25">
      <c r="A13357" t="str">
        <f>"211211783316"</f>
        <v>211211783316</v>
      </c>
      <c r="B13357" t="s">
        <v>348</v>
      </c>
      <c r="C13357" t="s">
        <v>4366</v>
      </c>
      <c r="D13357" t="s">
        <v>13745</v>
      </c>
      <c r="E13357">
        <v>424019</v>
      </c>
      <c r="F13357" t="s">
        <v>1</v>
      </c>
      <c r="G13357" t="s">
        <v>2</v>
      </c>
      <c r="H13357" t="s">
        <v>20692</v>
      </c>
      <c r="Y13357" t="s">
        <v>47158</v>
      </c>
    </row>
    <row r="13358" spans="1:25" x14ac:dyDescent="0.25">
      <c r="A13358" t="str">
        <f>"211244127546"</f>
        <v>211244127546</v>
      </c>
      <c r="B13358" t="s">
        <v>25</v>
      </c>
      <c r="C13358" t="s">
        <v>20320</v>
      </c>
      <c r="D13358" t="s">
        <v>47159</v>
      </c>
      <c r="F13358" t="s">
        <v>1</v>
      </c>
      <c r="G13358" t="s">
        <v>2</v>
      </c>
      <c r="H13358" t="s">
        <v>35350</v>
      </c>
      <c r="Y13358" t="s">
        <v>47160</v>
      </c>
    </row>
    <row r="13359" spans="1:25" x14ac:dyDescent="0.25">
      <c r="A13359" t="str">
        <f>"211252151422"</f>
        <v>211252151422</v>
      </c>
      <c r="B13359" t="s">
        <v>32</v>
      </c>
      <c r="C13359" t="s">
        <v>182</v>
      </c>
      <c r="D13359" t="s">
        <v>37400</v>
      </c>
      <c r="E13359">
        <v>424006</v>
      </c>
      <c r="F13359" t="s">
        <v>1</v>
      </c>
      <c r="G13359" t="s">
        <v>2</v>
      </c>
      <c r="H13359" t="s">
        <v>5846</v>
      </c>
      <c r="P13359" t="s">
        <v>47161</v>
      </c>
      <c r="Y13359" t="s">
        <v>17495</v>
      </c>
    </row>
    <row r="13360" spans="1:25" x14ac:dyDescent="0.25">
      <c r="A13360" t="str">
        <f>"211287689991"</f>
        <v>211287689991</v>
      </c>
      <c r="B13360" t="s">
        <v>96</v>
      </c>
      <c r="C13360" t="s">
        <v>695</v>
      </c>
      <c r="D13360" t="s">
        <v>24312</v>
      </c>
      <c r="E13360">
        <v>424038</v>
      </c>
      <c r="F13360" t="s">
        <v>1</v>
      </c>
      <c r="G13360" t="s">
        <v>2</v>
      </c>
      <c r="H13360" t="s">
        <v>2614</v>
      </c>
      <c r="Y13360" t="s">
        <v>2617</v>
      </c>
    </row>
    <row r="13361" spans="1:25" x14ac:dyDescent="0.25">
      <c r="A13361" t="str">
        <f>"211335236212"</f>
        <v>211335236212</v>
      </c>
      <c r="B13361" t="s">
        <v>574</v>
      </c>
      <c r="C13361" t="s">
        <v>646</v>
      </c>
      <c r="D13361" t="s">
        <v>47162</v>
      </c>
      <c r="E13361">
        <v>424040</v>
      </c>
      <c r="F13361" t="s">
        <v>1</v>
      </c>
      <c r="G13361" t="s">
        <v>2</v>
      </c>
      <c r="H13361" t="s">
        <v>7989</v>
      </c>
      <c r="Y13361" t="s">
        <v>47163</v>
      </c>
    </row>
    <row r="13362" spans="1:25" x14ac:dyDescent="0.25">
      <c r="A13362" t="str">
        <f>"211342236384"</f>
        <v>211342236384</v>
      </c>
      <c r="B13362" t="s">
        <v>574</v>
      </c>
      <c r="C13362" t="s">
        <v>646</v>
      </c>
      <c r="D13362" t="s">
        <v>11071</v>
      </c>
      <c r="F13362" t="s">
        <v>1</v>
      </c>
      <c r="G13362" t="s">
        <v>2</v>
      </c>
      <c r="H13362" t="s">
        <v>47164</v>
      </c>
      <c r="P13362" t="s">
        <v>330</v>
      </c>
      <c r="Y13362" t="s">
        <v>47165</v>
      </c>
    </row>
    <row r="13363" spans="1:25" x14ac:dyDescent="0.25">
      <c r="A13363" t="str">
        <f>"211357443931"</f>
        <v>211357443931</v>
      </c>
      <c r="B13363" t="s">
        <v>1323</v>
      </c>
      <c r="C13363" t="s">
        <v>1324</v>
      </c>
      <c r="D13363" t="s">
        <v>28627</v>
      </c>
      <c r="E13363">
        <v>424000</v>
      </c>
      <c r="F13363" t="s">
        <v>1</v>
      </c>
      <c r="G13363" t="s">
        <v>2</v>
      </c>
      <c r="H13363" t="s">
        <v>837</v>
      </c>
      <c r="Y13363" t="s">
        <v>2964</v>
      </c>
    </row>
    <row r="13364" spans="1:25" x14ac:dyDescent="0.25">
      <c r="A13364" t="str">
        <f>"211361933123"</f>
        <v>211361933123</v>
      </c>
      <c r="B13364" t="s">
        <v>25</v>
      </c>
      <c r="C13364" t="s">
        <v>20320</v>
      </c>
      <c r="D13364" t="s">
        <v>47166</v>
      </c>
      <c r="E13364">
        <v>424020</v>
      </c>
      <c r="F13364" t="s">
        <v>1</v>
      </c>
      <c r="G13364" t="s">
        <v>2</v>
      </c>
      <c r="H13364" t="s">
        <v>9442</v>
      </c>
      <c r="Y13364" t="s">
        <v>47167</v>
      </c>
    </row>
    <row r="13365" spans="1:25" x14ac:dyDescent="0.25">
      <c r="A13365" t="str">
        <f>"211365118275"</f>
        <v>211365118275</v>
      </c>
      <c r="B13365" t="s">
        <v>1475</v>
      </c>
      <c r="C13365" t="s">
        <v>1476</v>
      </c>
      <c r="D13365" t="s">
        <v>47168</v>
      </c>
      <c r="F13365" t="s">
        <v>1</v>
      </c>
      <c r="G13365" t="s">
        <v>2</v>
      </c>
      <c r="H13365" t="s">
        <v>1428</v>
      </c>
      <c r="P13365" t="s">
        <v>1433</v>
      </c>
      <c r="Y13365" t="s">
        <v>47169</v>
      </c>
    </row>
    <row r="13366" spans="1:25" x14ac:dyDescent="0.25">
      <c r="A13366" t="str">
        <f>"211436887379"</f>
        <v>211436887379</v>
      </c>
      <c r="B13366" t="s">
        <v>32</v>
      </c>
      <c r="C13366" t="s">
        <v>777</v>
      </c>
      <c r="D13366" t="s">
        <v>47170</v>
      </c>
      <c r="E13366">
        <v>424038</v>
      </c>
      <c r="F13366" t="s">
        <v>1</v>
      </c>
      <c r="G13366" t="s">
        <v>2</v>
      </c>
      <c r="H13366" t="s">
        <v>1366</v>
      </c>
      <c r="Y13366" t="s">
        <v>47171</v>
      </c>
    </row>
    <row r="13367" spans="1:25" x14ac:dyDescent="0.25">
      <c r="A13367" t="str">
        <f>"211449917480"</f>
        <v>211449917480</v>
      </c>
      <c r="B13367" t="s">
        <v>160</v>
      </c>
      <c r="C13367" t="s">
        <v>2327</v>
      </c>
      <c r="D13367" t="s">
        <v>34214</v>
      </c>
      <c r="F13367" t="s">
        <v>1</v>
      </c>
      <c r="G13367" t="s">
        <v>2</v>
      </c>
      <c r="H13367" t="s">
        <v>25036</v>
      </c>
      <c r="Y13367" t="s">
        <v>47172</v>
      </c>
    </row>
    <row r="13368" spans="1:25" x14ac:dyDescent="0.25">
      <c r="A13368" t="str">
        <f>"211463795026"</f>
        <v>211463795026</v>
      </c>
      <c r="B13368" t="s">
        <v>1758</v>
      </c>
      <c r="C13368" t="s">
        <v>39256</v>
      </c>
      <c r="D13368" t="s">
        <v>47173</v>
      </c>
      <c r="E13368">
        <v>424003</v>
      </c>
      <c r="F13368" t="s">
        <v>1</v>
      </c>
      <c r="G13368" t="s">
        <v>2</v>
      </c>
      <c r="H13368" t="s">
        <v>38</v>
      </c>
      <c r="I13368" t="s">
        <v>47174</v>
      </c>
      <c r="L13368" t="s">
        <v>47175</v>
      </c>
      <c r="M13368" t="s">
        <v>47176</v>
      </c>
      <c r="P13368" t="s">
        <v>1027</v>
      </c>
      <c r="Q13368" t="s">
        <v>7208</v>
      </c>
      <c r="V13368" t="s">
        <v>47177</v>
      </c>
      <c r="Y13368" t="s">
        <v>47178</v>
      </c>
    </row>
    <row r="13369" spans="1:25" x14ac:dyDescent="0.25">
      <c r="A13369" t="str">
        <f>"211499921457"</f>
        <v>211499921457</v>
      </c>
      <c r="B13369" t="s">
        <v>80</v>
      </c>
      <c r="C13369" t="s">
        <v>11414</v>
      </c>
      <c r="D13369" t="s">
        <v>47179</v>
      </c>
      <c r="E13369">
        <v>424003</v>
      </c>
      <c r="F13369" t="s">
        <v>1</v>
      </c>
      <c r="G13369" t="s">
        <v>2</v>
      </c>
      <c r="H13369" t="s">
        <v>36192</v>
      </c>
      <c r="I13369" t="s">
        <v>47180</v>
      </c>
      <c r="J13369" t="s">
        <v>47181</v>
      </c>
      <c r="K13369" t="s">
        <v>47182</v>
      </c>
      <c r="P13369" t="s">
        <v>2839</v>
      </c>
      <c r="Y13369" t="s">
        <v>47183</v>
      </c>
    </row>
    <row r="13370" spans="1:25" x14ac:dyDescent="0.25">
      <c r="A13370" t="str">
        <f>"211526376291"</f>
        <v>211526376291</v>
      </c>
      <c r="B13370" t="s">
        <v>1152</v>
      </c>
      <c r="C13370" t="s">
        <v>1153</v>
      </c>
      <c r="D13370" t="s">
        <v>10280</v>
      </c>
      <c r="E13370">
        <v>424038</v>
      </c>
      <c r="F13370" t="s">
        <v>1</v>
      </c>
      <c r="G13370" t="s">
        <v>2</v>
      </c>
      <c r="H13370" t="s">
        <v>24788</v>
      </c>
      <c r="I13370" t="s">
        <v>22092</v>
      </c>
      <c r="M13370" t="s">
        <v>10284</v>
      </c>
      <c r="Q13370" t="s">
        <v>10286</v>
      </c>
      <c r="R13370" t="s">
        <v>10287</v>
      </c>
      <c r="S13370" t="s">
        <v>10288</v>
      </c>
      <c r="T13370" t="s">
        <v>10289</v>
      </c>
      <c r="U13370" t="s">
        <v>10290</v>
      </c>
      <c r="V13370" t="s">
        <v>10291</v>
      </c>
      <c r="Y13370" t="s">
        <v>41744</v>
      </c>
    </row>
    <row r="13371" spans="1:25" x14ac:dyDescent="0.25">
      <c r="A13371" t="str">
        <f>"211551819591"</f>
        <v>211551819591</v>
      </c>
      <c r="B13371" t="s">
        <v>18</v>
      </c>
      <c r="C13371" t="s">
        <v>21839</v>
      </c>
      <c r="D13371" t="s">
        <v>47184</v>
      </c>
      <c r="E13371">
        <v>424007</v>
      </c>
      <c r="F13371" t="s">
        <v>1</v>
      </c>
      <c r="G13371" t="s">
        <v>2</v>
      </c>
      <c r="H13371" t="s">
        <v>1992</v>
      </c>
      <c r="I13371" t="s">
        <v>47185</v>
      </c>
      <c r="L13371" t="s">
        <v>47186</v>
      </c>
      <c r="P13371" t="s">
        <v>1597</v>
      </c>
      <c r="Q13371" t="s">
        <v>47187</v>
      </c>
      <c r="R13371" t="s">
        <v>47188</v>
      </c>
      <c r="V13371" t="s">
        <v>47189</v>
      </c>
      <c r="Y13371" t="s">
        <v>47190</v>
      </c>
    </row>
    <row r="13372" spans="1:25" x14ac:dyDescent="0.25">
      <c r="A13372" t="str">
        <f>"211554558688"</f>
        <v>211554558688</v>
      </c>
      <c r="B13372" t="s">
        <v>96</v>
      </c>
      <c r="C13372" t="s">
        <v>47191</v>
      </c>
      <c r="D13372" t="s">
        <v>15258</v>
      </c>
      <c r="E13372">
        <v>424038</v>
      </c>
      <c r="F13372" t="s">
        <v>1</v>
      </c>
      <c r="G13372" t="s">
        <v>2</v>
      </c>
      <c r="H13372" t="s">
        <v>2614</v>
      </c>
      <c r="Y13372" t="s">
        <v>47192</v>
      </c>
    </row>
    <row r="13373" spans="1:25" x14ac:dyDescent="0.25">
      <c r="A13373" t="str">
        <f>"211561451227"</f>
        <v>211561451227</v>
      </c>
      <c r="B13373" t="s">
        <v>290</v>
      </c>
      <c r="C13373" t="s">
        <v>291</v>
      </c>
      <c r="D13373" t="s">
        <v>47193</v>
      </c>
      <c r="F13373" t="s">
        <v>1</v>
      </c>
      <c r="G13373" t="s">
        <v>2</v>
      </c>
      <c r="H13373" t="s">
        <v>37783</v>
      </c>
      <c r="Y13373" t="s">
        <v>47194</v>
      </c>
    </row>
    <row r="13374" spans="1:25" x14ac:dyDescent="0.25">
      <c r="A13374" t="str">
        <f>"211578428120"</f>
        <v>211578428120</v>
      </c>
      <c r="B13374" t="s">
        <v>176</v>
      </c>
      <c r="C13374" t="s">
        <v>279</v>
      </c>
      <c r="D13374" t="s">
        <v>47195</v>
      </c>
      <c r="E13374">
        <v>424005</v>
      </c>
      <c r="F13374" t="s">
        <v>1</v>
      </c>
      <c r="G13374" t="s">
        <v>2</v>
      </c>
      <c r="H13374" t="s">
        <v>47196</v>
      </c>
      <c r="Y13374" t="s">
        <v>47197</v>
      </c>
    </row>
    <row r="13375" spans="1:25" x14ac:dyDescent="0.25">
      <c r="A13375" t="str">
        <f>"211616158461"</f>
        <v>211616158461</v>
      </c>
      <c r="B13375" t="s">
        <v>96</v>
      </c>
      <c r="C13375" t="s">
        <v>47200</v>
      </c>
      <c r="D13375" t="s">
        <v>47198</v>
      </c>
      <c r="E13375">
        <v>424000</v>
      </c>
      <c r="F13375" t="s">
        <v>1</v>
      </c>
      <c r="G13375" t="s">
        <v>2</v>
      </c>
      <c r="H13375" t="s">
        <v>92</v>
      </c>
      <c r="J13375" t="s">
        <v>47199</v>
      </c>
      <c r="P13375" t="s">
        <v>98</v>
      </c>
      <c r="Y13375" t="s">
        <v>47201</v>
      </c>
    </row>
    <row r="13376" spans="1:25" x14ac:dyDescent="0.25">
      <c r="A13376" t="str">
        <f>"211625815538"</f>
        <v>211625815538</v>
      </c>
      <c r="B13376" t="s">
        <v>96</v>
      </c>
      <c r="C13376" t="s">
        <v>893</v>
      </c>
      <c r="D13376" t="s">
        <v>47202</v>
      </c>
      <c r="E13376">
        <v>424000</v>
      </c>
      <c r="F13376" t="s">
        <v>1</v>
      </c>
      <c r="G13376" t="s">
        <v>2</v>
      </c>
      <c r="H13376" t="s">
        <v>1473</v>
      </c>
      <c r="P13376" t="s">
        <v>941</v>
      </c>
      <c r="Y13376" t="s">
        <v>4067</v>
      </c>
    </row>
    <row r="13377" spans="1:25" x14ac:dyDescent="0.25">
      <c r="A13377" t="str">
        <f>"211629386499"</f>
        <v>211629386499</v>
      </c>
      <c r="B13377" t="s">
        <v>640</v>
      </c>
      <c r="C13377" t="s">
        <v>45310</v>
      </c>
      <c r="D13377" t="s">
        <v>45306</v>
      </c>
      <c r="E13377">
        <v>424036</v>
      </c>
      <c r="F13377" t="s">
        <v>1</v>
      </c>
      <c r="G13377" t="s">
        <v>2</v>
      </c>
      <c r="H13377" t="s">
        <v>13325</v>
      </c>
      <c r="I13377" t="s">
        <v>45307</v>
      </c>
      <c r="J13377" t="s">
        <v>45308</v>
      </c>
      <c r="L13377" t="s">
        <v>45309</v>
      </c>
      <c r="Q13377" t="s">
        <v>45311</v>
      </c>
      <c r="Y13377" t="s">
        <v>40310</v>
      </c>
    </row>
    <row r="13378" spans="1:25" x14ac:dyDescent="0.25">
      <c r="A13378" t="str">
        <f>"211665172087"</f>
        <v>211665172087</v>
      </c>
      <c r="B13378" t="s">
        <v>3094</v>
      </c>
      <c r="C13378" t="s">
        <v>12179</v>
      </c>
      <c r="D13378" t="s">
        <v>47203</v>
      </c>
      <c r="E13378">
        <v>424006</v>
      </c>
      <c r="F13378" t="s">
        <v>1</v>
      </c>
      <c r="G13378" t="s">
        <v>2</v>
      </c>
      <c r="H13378" t="s">
        <v>47204</v>
      </c>
      <c r="I13378" t="s">
        <v>47205</v>
      </c>
      <c r="K13378" t="s">
        <v>47206</v>
      </c>
      <c r="L13378" t="s">
        <v>47207</v>
      </c>
      <c r="M13378" t="s">
        <v>47208</v>
      </c>
      <c r="P13378" t="s">
        <v>22504</v>
      </c>
      <c r="Y13378" t="s">
        <v>47209</v>
      </c>
    </row>
    <row r="13379" spans="1:25" x14ac:dyDescent="0.25">
      <c r="A13379" t="str">
        <f>"211671858428"</f>
        <v>211671858428</v>
      </c>
      <c r="B13379" t="s">
        <v>930</v>
      </c>
      <c r="C13379" t="s">
        <v>1096</v>
      </c>
      <c r="D13379" t="s">
        <v>1096</v>
      </c>
      <c r="F13379" t="s">
        <v>1</v>
      </c>
      <c r="G13379" t="s">
        <v>2</v>
      </c>
      <c r="H13379" t="s">
        <v>47210</v>
      </c>
      <c r="P13379" t="s">
        <v>41</v>
      </c>
      <c r="Y13379" t="s">
        <v>47211</v>
      </c>
    </row>
    <row r="13380" spans="1:25" x14ac:dyDescent="0.25">
      <c r="A13380" t="str">
        <f>"211700242497"</f>
        <v>211700242497</v>
      </c>
      <c r="B13380" t="s">
        <v>1222</v>
      </c>
      <c r="C13380" t="s">
        <v>2114</v>
      </c>
      <c r="D13380" t="s">
        <v>2114</v>
      </c>
      <c r="E13380">
        <v>424038</v>
      </c>
      <c r="F13380" t="s">
        <v>1</v>
      </c>
      <c r="G13380" t="s">
        <v>2</v>
      </c>
      <c r="H13380" t="s">
        <v>2614</v>
      </c>
      <c r="Y13380" t="s">
        <v>47212</v>
      </c>
    </row>
    <row r="13381" spans="1:25" x14ac:dyDescent="0.25">
      <c r="A13381" t="str">
        <f>"211724156897"</f>
        <v>211724156897</v>
      </c>
      <c r="B13381" t="s">
        <v>888</v>
      </c>
      <c r="C13381" t="s">
        <v>7389</v>
      </c>
      <c r="D13381" t="s">
        <v>47213</v>
      </c>
      <c r="E13381">
        <v>424000</v>
      </c>
      <c r="F13381" t="s">
        <v>1</v>
      </c>
      <c r="G13381" t="s">
        <v>2</v>
      </c>
      <c r="H13381" t="s">
        <v>837</v>
      </c>
      <c r="Y13381" t="s">
        <v>47214</v>
      </c>
    </row>
    <row r="13382" spans="1:25" x14ac:dyDescent="0.25">
      <c r="A13382" t="str">
        <f>"211733298379"</f>
        <v>211733298379</v>
      </c>
      <c r="B13382" t="s">
        <v>388</v>
      </c>
      <c r="C13382" t="s">
        <v>47216</v>
      </c>
      <c r="D13382" t="s">
        <v>3326</v>
      </c>
      <c r="E13382">
        <v>424007</v>
      </c>
      <c r="F13382" t="s">
        <v>1</v>
      </c>
      <c r="G13382" t="s">
        <v>2</v>
      </c>
      <c r="H13382" t="s">
        <v>5647</v>
      </c>
      <c r="I13382" t="s">
        <v>47215</v>
      </c>
      <c r="P13382" t="s">
        <v>280</v>
      </c>
      <c r="Y13382" t="s">
        <v>47217</v>
      </c>
    </row>
    <row r="13383" spans="1:25" x14ac:dyDescent="0.25">
      <c r="A13383" t="str">
        <f>"211777940568"</f>
        <v>211777940568</v>
      </c>
      <c r="B13383" t="s">
        <v>3573</v>
      </c>
      <c r="C13383" t="s">
        <v>3574</v>
      </c>
      <c r="D13383" t="s">
        <v>47218</v>
      </c>
      <c r="E13383">
        <v>424031</v>
      </c>
      <c r="F13383" t="s">
        <v>1</v>
      </c>
      <c r="G13383" t="s">
        <v>2</v>
      </c>
      <c r="H13383" t="s">
        <v>13460</v>
      </c>
      <c r="I13383" t="s">
        <v>47219</v>
      </c>
      <c r="L13383" t="s">
        <v>47220</v>
      </c>
      <c r="M13383" t="s">
        <v>47221</v>
      </c>
      <c r="P13383" t="s">
        <v>8256</v>
      </c>
      <c r="Y13383" t="s">
        <v>47222</v>
      </c>
    </row>
    <row r="13384" spans="1:25" x14ac:dyDescent="0.25">
      <c r="A13384" t="str">
        <f>"211843169253"</f>
        <v>211843169253</v>
      </c>
      <c r="B13384" t="s">
        <v>1053</v>
      </c>
      <c r="C13384" t="s">
        <v>47226</v>
      </c>
      <c r="D13384" t="s">
        <v>47223</v>
      </c>
      <c r="E13384">
        <v>424002</v>
      </c>
      <c r="F13384" t="s">
        <v>1</v>
      </c>
      <c r="G13384" t="s">
        <v>2</v>
      </c>
      <c r="H13384" t="s">
        <v>1190</v>
      </c>
      <c r="L13384" t="s">
        <v>47224</v>
      </c>
      <c r="M13384" t="s">
        <v>47225</v>
      </c>
      <c r="P13384" t="s">
        <v>47227</v>
      </c>
      <c r="Y13384" t="s">
        <v>1284</v>
      </c>
    </row>
    <row r="13385" spans="1:25" x14ac:dyDescent="0.25">
      <c r="A13385" t="str">
        <f>"211877976344"</f>
        <v>211877976344</v>
      </c>
      <c r="B13385" t="s">
        <v>1323</v>
      </c>
      <c r="C13385" t="s">
        <v>1324</v>
      </c>
      <c r="D13385" t="s">
        <v>47228</v>
      </c>
      <c r="E13385">
        <v>424002</v>
      </c>
      <c r="F13385" t="s">
        <v>1</v>
      </c>
      <c r="G13385" t="s">
        <v>2</v>
      </c>
      <c r="H13385" t="s">
        <v>8677</v>
      </c>
      <c r="I13385" t="s">
        <v>47229</v>
      </c>
      <c r="P13385" t="s">
        <v>20</v>
      </c>
      <c r="Y13385" t="s">
        <v>8681</v>
      </c>
    </row>
    <row r="13386" spans="1:25" x14ac:dyDescent="0.25">
      <c r="A13386" t="str">
        <f>"211948618854"</f>
        <v>211948618854</v>
      </c>
      <c r="B13386" t="s">
        <v>1544</v>
      </c>
      <c r="C13386" t="s">
        <v>3596</v>
      </c>
      <c r="D13386" t="s">
        <v>44981</v>
      </c>
      <c r="E13386">
        <v>424037</v>
      </c>
      <c r="F13386" t="s">
        <v>1</v>
      </c>
      <c r="G13386" t="s">
        <v>2</v>
      </c>
      <c r="H13386" t="s">
        <v>30</v>
      </c>
      <c r="J13386" t="s">
        <v>10473</v>
      </c>
      <c r="P13386" t="s">
        <v>280</v>
      </c>
      <c r="Y13386" t="s">
        <v>47230</v>
      </c>
    </row>
    <row r="13387" spans="1:25" x14ac:dyDescent="0.25">
      <c r="A13387" t="str">
        <f>"211987212477"</f>
        <v>211987212477</v>
      </c>
      <c r="B13387" t="s">
        <v>188</v>
      </c>
      <c r="C13387" t="s">
        <v>8311</v>
      </c>
      <c r="D13387" t="s">
        <v>27900</v>
      </c>
      <c r="E13387">
        <v>424007</v>
      </c>
      <c r="F13387" t="s">
        <v>1</v>
      </c>
      <c r="G13387" t="s">
        <v>2</v>
      </c>
      <c r="H13387" t="s">
        <v>14211</v>
      </c>
      <c r="P13387" t="s">
        <v>14213</v>
      </c>
      <c r="Y13387" t="s">
        <v>47231</v>
      </c>
    </row>
    <row r="13388" spans="1:25" x14ac:dyDescent="0.25">
      <c r="A13388" t="str">
        <f>"211989860256"</f>
        <v>211989860256</v>
      </c>
      <c r="B13388" t="s">
        <v>574</v>
      </c>
      <c r="C13388" t="s">
        <v>9802</v>
      </c>
      <c r="D13388" t="s">
        <v>47232</v>
      </c>
      <c r="E13388">
        <v>424002</v>
      </c>
      <c r="F13388" t="s">
        <v>1</v>
      </c>
      <c r="G13388" t="s">
        <v>2</v>
      </c>
      <c r="H13388" t="s">
        <v>7297</v>
      </c>
      <c r="I13388" t="s">
        <v>47233</v>
      </c>
      <c r="L13388" t="s">
        <v>47234</v>
      </c>
      <c r="M13388" t="s">
        <v>47235</v>
      </c>
      <c r="P13388" t="s">
        <v>216</v>
      </c>
      <c r="Q13388" t="s">
        <v>47236</v>
      </c>
      <c r="R13388" t="s">
        <v>47237</v>
      </c>
      <c r="T13388" t="s">
        <v>47238</v>
      </c>
      <c r="U13388" t="s">
        <v>47239</v>
      </c>
      <c r="V13388" t="s">
        <v>47240</v>
      </c>
      <c r="Y13388" t="s">
        <v>47241</v>
      </c>
    </row>
    <row r="13389" spans="1:25" x14ac:dyDescent="0.25">
      <c r="A13389" t="str">
        <f>"212097291899"</f>
        <v>212097291899</v>
      </c>
      <c r="B13389" t="s">
        <v>96</v>
      </c>
      <c r="C13389" t="s">
        <v>659</v>
      </c>
      <c r="D13389" t="s">
        <v>47242</v>
      </c>
      <c r="E13389">
        <v>424000</v>
      </c>
      <c r="F13389" t="s">
        <v>1</v>
      </c>
      <c r="G13389" t="s">
        <v>2</v>
      </c>
      <c r="H13389" t="s">
        <v>1531</v>
      </c>
      <c r="Y13389" t="s">
        <v>1707</v>
      </c>
    </row>
    <row r="13390" spans="1:25" x14ac:dyDescent="0.25">
      <c r="A13390" t="str">
        <f>"212098924698"</f>
        <v>212098924698</v>
      </c>
      <c r="B13390" t="s">
        <v>233</v>
      </c>
      <c r="C13390" t="s">
        <v>29653</v>
      </c>
      <c r="D13390" t="s">
        <v>28326</v>
      </c>
      <c r="E13390">
        <v>424006</v>
      </c>
      <c r="F13390" t="s">
        <v>1</v>
      </c>
      <c r="G13390" t="s">
        <v>2</v>
      </c>
      <c r="H13390" t="s">
        <v>15013</v>
      </c>
      <c r="Y13390" t="s">
        <v>47243</v>
      </c>
    </row>
    <row r="13391" spans="1:25" x14ac:dyDescent="0.25">
      <c r="A13391" t="str">
        <f>"212099980751"</f>
        <v>212099980751</v>
      </c>
      <c r="B13391" t="s">
        <v>1230</v>
      </c>
      <c r="C13391" t="s">
        <v>2526</v>
      </c>
      <c r="D13391" t="s">
        <v>47244</v>
      </c>
      <c r="E13391">
        <v>424033</v>
      </c>
      <c r="F13391" t="s">
        <v>1</v>
      </c>
      <c r="G13391" t="s">
        <v>2</v>
      </c>
      <c r="H13391" t="s">
        <v>5492</v>
      </c>
      <c r="I13391" t="s">
        <v>47245</v>
      </c>
      <c r="P13391" t="s">
        <v>20</v>
      </c>
      <c r="Y13391" t="s">
        <v>6576</v>
      </c>
    </row>
    <row r="13392" spans="1:25" x14ac:dyDescent="0.25">
      <c r="A13392" t="str">
        <f>"212114566719"</f>
        <v>212114566719</v>
      </c>
      <c r="B13392" t="s">
        <v>703</v>
      </c>
      <c r="C13392" t="s">
        <v>47250</v>
      </c>
      <c r="D13392" t="s">
        <v>47246</v>
      </c>
      <c r="E13392">
        <v>424007</v>
      </c>
      <c r="F13392" t="s">
        <v>1</v>
      </c>
      <c r="G13392" t="s">
        <v>2</v>
      </c>
      <c r="H13392" t="s">
        <v>1566</v>
      </c>
      <c r="J13392" t="s">
        <v>47247</v>
      </c>
      <c r="L13392" t="s">
        <v>47248</v>
      </c>
      <c r="M13392" t="s">
        <v>47249</v>
      </c>
      <c r="P13392" t="s">
        <v>280</v>
      </c>
      <c r="Y13392" t="s">
        <v>47251</v>
      </c>
    </row>
    <row r="13393" spans="1:25" x14ac:dyDescent="0.25">
      <c r="A13393" t="str">
        <f>"212172413170"</f>
        <v>212172413170</v>
      </c>
      <c r="B13393" t="s">
        <v>530</v>
      </c>
      <c r="C13393" t="s">
        <v>23950</v>
      </c>
      <c r="D13393" t="s">
        <v>23950</v>
      </c>
      <c r="E13393">
        <v>424002</v>
      </c>
      <c r="F13393" t="s">
        <v>1</v>
      </c>
      <c r="G13393" t="s">
        <v>2</v>
      </c>
      <c r="H13393" t="s">
        <v>3807</v>
      </c>
      <c r="Y13393" t="s">
        <v>47252</v>
      </c>
    </row>
    <row r="13394" spans="1:25" x14ac:dyDescent="0.25">
      <c r="A13394" t="str">
        <f>"212189977716"</f>
        <v>212189977716</v>
      </c>
      <c r="B13394" t="s">
        <v>574</v>
      </c>
      <c r="C13394" t="s">
        <v>952</v>
      </c>
      <c r="D13394" t="s">
        <v>47253</v>
      </c>
      <c r="E13394">
        <v>424038</v>
      </c>
      <c r="F13394" t="s">
        <v>1</v>
      </c>
      <c r="G13394" t="s">
        <v>2</v>
      </c>
      <c r="H13394" t="s">
        <v>17746</v>
      </c>
      <c r="Q13394" t="s">
        <v>40640</v>
      </c>
      <c r="Y13394" t="s">
        <v>18933</v>
      </c>
    </row>
    <row r="13395" spans="1:25" x14ac:dyDescent="0.25">
      <c r="A13395" t="str">
        <f>"212219331440"</f>
        <v>212219331440</v>
      </c>
      <c r="B13395" t="s">
        <v>32</v>
      </c>
      <c r="C13395" t="s">
        <v>20792</v>
      </c>
      <c r="D13395" t="s">
        <v>47254</v>
      </c>
      <c r="E13395">
        <v>424031</v>
      </c>
      <c r="F13395" t="s">
        <v>1</v>
      </c>
      <c r="G13395" t="s">
        <v>2</v>
      </c>
      <c r="H13395" t="s">
        <v>239</v>
      </c>
      <c r="J13395" t="s">
        <v>47255</v>
      </c>
      <c r="V13395" t="s">
        <v>47256</v>
      </c>
      <c r="Y13395" t="s">
        <v>246</v>
      </c>
    </row>
    <row r="13396" spans="1:25" x14ac:dyDescent="0.25">
      <c r="A13396" t="str">
        <f>"212267094885"</f>
        <v>212267094885</v>
      </c>
      <c r="B13396" t="s">
        <v>2790</v>
      </c>
      <c r="C13396" t="s">
        <v>39782</v>
      </c>
      <c r="D13396" t="s">
        <v>47257</v>
      </c>
      <c r="F13396" t="s">
        <v>1</v>
      </c>
      <c r="G13396" t="s">
        <v>2</v>
      </c>
      <c r="H13396" t="s">
        <v>35473</v>
      </c>
      <c r="P13396" t="s">
        <v>47258</v>
      </c>
      <c r="Q13396" t="s">
        <v>47259</v>
      </c>
      <c r="Y13396" t="s">
        <v>47260</v>
      </c>
    </row>
    <row r="13397" spans="1:25" x14ac:dyDescent="0.25">
      <c r="A13397" t="str">
        <f>"212275164284"</f>
        <v>212275164284</v>
      </c>
      <c r="B13397" t="s">
        <v>328</v>
      </c>
      <c r="C13397" t="s">
        <v>1920</v>
      </c>
      <c r="D13397" t="s">
        <v>47261</v>
      </c>
      <c r="E13397">
        <v>424006</v>
      </c>
      <c r="F13397" t="s">
        <v>1</v>
      </c>
      <c r="G13397" t="s">
        <v>2</v>
      </c>
      <c r="H13397" t="s">
        <v>699</v>
      </c>
      <c r="I13397" t="s">
        <v>47262</v>
      </c>
      <c r="P13397" t="s">
        <v>3123</v>
      </c>
      <c r="Y13397" t="s">
        <v>47263</v>
      </c>
    </row>
    <row r="13398" spans="1:25" x14ac:dyDescent="0.25">
      <c r="A13398" t="str">
        <f>"212390525104"</f>
        <v>212390525104</v>
      </c>
      <c r="B13398" t="s">
        <v>930</v>
      </c>
      <c r="C13398" t="s">
        <v>1096</v>
      </c>
      <c r="D13398" t="s">
        <v>1094</v>
      </c>
      <c r="E13398">
        <v>424039</v>
      </c>
      <c r="F13398" t="s">
        <v>1</v>
      </c>
      <c r="G13398" t="s">
        <v>2</v>
      </c>
      <c r="H13398" t="s">
        <v>47264</v>
      </c>
      <c r="J13398" t="s">
        <v>47265</v>
      </c>
      <c r="P13398" t="s">
        <v>7436</v>
      </c>
      <c r="Y13398" t="s">
        <v>47266</v>
      </c>
    </row>
    <row r="13399" spans="1:25" x14ac:dyDescent="0.25">
      <c r="A13399" t="str">
        <f>"212457707518"</f>
        <v>212457707518</v>
      </c>
      <c r="B13399" t="s">
        <v>1025</v>
      </c>
      <c r="C13399" t="s">
        <v>1026</v>
      </c>
      <c r="D13399" t="s">
        <v>47267</v>
      </c>
      <c r="E13399">
        <v>424037</v>
      </c>
      <c r="F13399" t="s">
        <v>1</v>
      </c>
      <c r="G13399" t="s">
        <v>2</v>
      </c>
      <c r="H13399" t="s">
        <v>2680</v>
      </c>
      <c r="Y13399" t="s">
        <v>22281</v>
      </c>
    </row>
    <row r="13400" spans="1:25" x14ac:dyDescent="0.25">
      <c r="A13400" t="str">
        <f>"212506533536"</f>
        <v>212506533536</v>
      </c>
      <c r="B13400" t="s">
        <v>1315</v>
      </c>
      <c r="C13400" t="s">
        <v>47273</v>
      </c>
      <c r="D13400" t="s">
        <v>47268</v>
      </c>
      <c r="E13400">
        <v>424006</v>
      </c>
      <c r="F13400" t="s">
        <v>1</v>
      </c>
      <c r="G13400" t="s">
        <v>2</v>
      </c>
      <c r="H13400" t="s">
        <v>2012</v>
      </c>
      <c r="I13400" t="s">
        <v>47269</v>
      </c>
      <c r="J13400" t="s">
        <v>47270</v>
      </c>
      <c r="L13400" t="s">
        <v>47271</v>
      </c>
      <c r="M13400" t="s">
        <v>47272</v>
      </c>
      <c r="P13400" t="s">
        <v>280</v>
      </c>
      <c r="Y13400" t="s">
        <v>2016</v>
      </c>
    </row>
    <row r="13401" spans="1:25" x14ac:dyDescent="0.25">
      <c r="A13401" t="str">
        <f>"212551051061"</f>
        <v>212551051061</v>
      </c>
      <c r="B13401" t="s">
        <v>224</v>
      </c>
      <c r="C13401" t="s">
        <v>47276</v>
      </c>
      <c r="D13401" t="s">
        <v>47274</v>
      </c>
      <c r="E13401">
        <v>424004</v>
      </c>
      <c r="F13401" t="s">
        <v>1</v>
      </c>
      <c r="G13401" t="s">
        <v>2</v>
      </c>
      <c r="H13401" t="s">
        <v>186</v>
      </c>
      <c r="I13401" t="s">
        <v>47275</v>
      </c>
      <c r="P13401" t="s">
        <v>1160</v>
      </c>
      <c r="Y13401" t="s">
        <v>15043</v>
      </c>
    </row>
    <row r="13402" spans="1:25" x14ac:dyDescent="0.25">
      <c r="A13402" t="str">
        <f>"212627385527"</f>
        <v>212627385527</v>
      </c>
      <c r="B13402" t="s">
        <v>25</v>
      </c>
      <c r="C13402" t="s">
        <v>24938</v>
      </c>
      <c r="D13402" t="s">
        <v>47277</v>
      </c>
      <c r="E13402">
        <v>424007</v>
      </c>
      <c r="F13402" t="s">
        <v>1</v>
      </c>
      <c r="G13402" t="s">
        <v>2</v>
      </c>
      <c r="H13402" t="s">
        <v>45472</v>
      </c>
      <c r="I13402" t="s">
        <v>47278</v>
      </c>
      <c r="M13402" t="s">
        <v>47279</v>
      </c>
      <c r="Y13402" t="s">
        <v>47280</v>
      </c>
    </row>
    <row r="13403" spans="1:25" x14ac:dyDescent="0.25">
      <c r="A13403" t="str">
        <f>"212656944421"</f>
        <v>212656944421</v>
      </c>
      <c r="B13403" t="s">
        <v>96</v>
      </c>
      <c r="C13403" t="s">
        <v>7071</v>
      </c>
      <c r="D13403" t="s">
        <v>23015</v>
      </c>
      <c r="E13403">
        <v>424006</v>
      </c>
      <c r="F13403" t="s">
        <v>1</v>
      </c>
      <c r="G13403" t="s">
        <v>2</v>
      </c>
      <c r="H13403" t="s">
        <v>15013</v>
      </c>
      <c r="Y13403" t="s">
        <v>47281</v>
      </c>
    </row>
    <row r="13404" spans="1:25" x14ac:dyDescent="0.25">
      <c r="A13404" t="str">
        <f>"212696144578"</f>
        <v>212696144578</v>
      </c>
      <c r="B13404" t="s">
        <v>1475</v>
      </c>
      <c r="C13404" t="s">
        <v>4005</v>
      </c>
      <c r="D13404" t="s">
        <v>7821</v>
      </c>
      <c r="E13404">
        <v>424038</v>
      </c>
      <c r="F13404" t="s">
        <v>1</v>
      </c>
      <c r="G13404" t="s">
        <v>2</v>
      </c>
      <c r="H13404" t="s">
        <v>4399</v>
      </c>
      <c r="P13404" t="s">
        <v>7826</v>
      </c>
      <c r="Y13404" t="s">
        <v>47282</v>
      </c>
    </row>
    <row r="13405" spans="1:25" x14ac:dyDescent="0.25">
      <c r="A13405" t="str">
        <f>"212721075639"</f>
        <v>212721075639</v>
      </c>
      <c r="B13405" t="s">
        <v>151</v>
      </c>
      <c r="C13405" t="s">
        <v>151</v>
      </c>
      <c r="D13405" t="s">
        <v>47283</v>
      </c>
      <c r="F13405" t="s">
        <v>1</v>
      </c>
      <c r="G13405" t="s">
        <v>2</v>
      </c>
      <c r="H13405" t="s">
        <v>3984</v>
      </c>
      <c r="I13405" t="s">
        <v>47284</v>
      </c>
      <c r="P13405" t="s">
        <v>27</v>
      </c>
      <c r="Y13405" t="s">
        <v>47285</v>
      </c>
    </row>
    <row r="13406" spans="1:25" x14ac:dyDescent="0.25">
      <c r="A13406" t="str">
        <f>"212769602944"</f>
        <v>212769602944</v>
      </c>
      <c r="B13406" t="s">
        <v>25</v>
      </c>
      <c r="C13406" t="s">
        <v>24938</v>
      </c>
      <c r="D13406" t="s">
        <v>47286</v>
      </c>
      <c r="E13406">
        <v>424038</v>
      </c>
      <c r="F13406" t="s">
        <v>1</v>
      </c>
      <c r="G13406" t="s">
        <v>2</v>
      </c>
      <c r="H13406" t="s">
        <v>24788</v>
      </c>
      <c r="Y13406" t="s">
        <v>47287</v>
      </c>
    </row>
    <row r="13407" spans="1:25" x14ac:dyDescent="0.25">
      <c r="A13407" t="str">
        <f>"212773526173"</f>
        <v>212773526173</v>
      </c>
      <c r="B13407" t="s">
        <v>32</v>
      </c>
      <c r="C13407" t="s">
        <v>40</v>
      </c>
      <c r="D13407" t="s">
        <v>40</v>
      </c>
      <c r="E13407">
        <v>424005</v>
      </c>
      <c r="F13407" t="s">
        <v>1</v>
      </c>
      <c r="G13407" t="s">
        <v>2</v>
      </c>
      <c r="H13407" t="s">
        <v>24973</v>
      </c>
      <c r="Y13407" t="s">
        <v>47288</v>
      </c>
    </row>
    <row r="13408" spans="1:25" x14ac:dyDescent="0.25">
      <c r="A13408" t="str">
        <f>"212825854930"</f>
        <v>212825854930</v>
      </c>
      <c r="B13408" t="s">
        <v>67</v>
      </c>
      <c r="C13408" t="s">
        <v>27252</v>
      </c>
      <c r="D13408" t="s">
        <v>10280</v>
      </c>
      <c r="E13408">
        <v>424031</v>
      </c>
      <c r="F13408" t="s">
        <v>1</v>
      </c>
      <c r="G13408" t="s">
        <v>2</v>
      </c>
      <c r="H13408" t="s">
        <v>14920</v>
      </c>
      <c r="Y13408" t="s">
        <v>47289</v>
      </c>
    </row>
    <row r="13409" spans="1:25" x14ac:dyDescent="0.25">
      <c r="A13409" t="str">
        <f>"212849352129"</f>
        <v>212849352129</v>
      </c>
      <c r="B13409" t="s">
        <v>530</v>
      </c>
      <c r="C13409" t="s">
        <v>23950</v>
      </c>
      <c r="D13409" t="s">
        <v>23950</v>
      </c>
      <c r="F13409" t="s">
        <v>1</v>
      </c>
      <c r="G13409" t="s">
        <v>2</v>
      </c>
      <c r="H13409" t="s">
        <v>4957</v>
      </c>
      <c r="Y13409" t="s">
        <v>47290</v>
      </c>
    </row>
    <row r="13410" spans="1:25" x14ac:dyDescent="0.25">
      <c r="A13410" t="str">
        <f>"212855539029"</f>
        <v>212855539029</v>
      </c>
      <c r="B13410" t="s">
        <v>519</v>
      </c>
      <c r="C13410" t="s">
        <v>23996</v>
      </c>
      <c r="D13410" t="s">
        <v>47291</v>
      </c>
      <c r="E13410">
        <v>424038</v>
      </c>
      <c r="F13410" t="s">
        <v>1</v>
      </c>
      <c r="G13410" t="s">
        <v>2</v>
      </c>
      <c r="H13410" t="s">
        <v>16988</v>
      </c>
      <c r="J13410" t="s">
        <v>18068</v>
      </c>
      <c r="Y13410" t="s">
        <v>21440</v>
      </c>
    </row>
    <row r="13411" spans="1:25" x14ac:dyDescent="0.25">
      <c r="A13411" t="str">
        <f>"212878911191"</f>
        <v>212878911191</v>
      </c>
      <c r="B13411" t="s">
        <v>1152</v>
      </c>
      <c r="C13411" t="s">
        <v>1159</v>
      </c>
      <c r="D13411" t="s">
        <v>47292</v>
      </c>
      <c r="E13411">
        <v>424006</v>
      </c>
      <c r="F13411" t="s">
        <v>1</v>
      </c>
      <c r="G13411" t="s">
        <v>2</v>
      </c>
      <c r="H13411" t="s">
        <v>478</v>
      </c>
      <c r="J13411" t="s">
        <v>19483</v>
      </c>
      <c r="L13411" t="s">
        <v>47293</v>
      </c>
      <c r="M13411" t="s">
        <v>47294</v>
      </c>
      <c r="P13411" t="s">
        <v>390</v>
      </c>
      <c r="Q13411" t="s">
        <v>47295</v>
      </c>
      <c r="S13411" t="s">
        <v>47296</v>
      </c>
      <c r="Y13411" t="s">
        <v>926</v>
      </c>
    </row>
    <row r="13412" spans="1:25" x14ac:dyDescent="0.25">
      <c r="A13412" t="str">
        <f>"212885078605"</f>
        <v>212885078605</v>
      </c>
      <c r="B13412" t="s">
        <v>123</v>
      </c>
      <c r="C13412" t="s">
        <v>196</v>
      </c>
      <c r="D13412" t="s">
        <v>1128</v>
      </c>
      <c r="E13412">
        <v>424030</v>
      </c>
      <c r="F13412" t="s">
        <v>1</v>
      </c>
      <c r="G13412" t="s">
        <v>2</v>
      </c>
      <c r="H13412" t="s">
        <v>440</v>
      </c>
      <c r="Y13412" t="s">
        <v>4115</v>
      </c>
    </row>
    <row r="13413" spans="1:25" x14ac:dyDescent="0.25">
      <c r="A13413" t="str">
        <f>"212894507842"</f>
        <v>212894507842</v>
      </c>
      <c r="B13413" t="s">
        <v>574</v>
      </c>
      <c r="C13413" t="s">
        <v>952</v>
      </c>
      <c r="D13413" t="s">
        <v>37723</v>
      </c>
      <c r="E13413">
        <v>424036</v>
      </c>
      <c r="F13413" t="s">
        <v>1</v>
      </c>
      <c r="G13413" t="s">
        <v>2</v>
      </c>
      <c r="H13413" t="s">
        <v>7305</v>
      </c>
      <c r="Y13413" t="s">
        <v>47297</v>
      </c>
    </row>
    <row r="13414" spans="1:25" x14ac:dyDescent="0.25">
      <c r="A13414" t="str">
        <f>"212900369705"</f>
        <v>212900369705</v>
      </c>
      <c r="B13414" t="s">
        <v>25</v>
      </c>
      <c r="C13414" t="s">
        <v>47300</v>
      </c>
      <c r="D13414" t="s">
        <v>47298</v>
      </c>
      <c r="E13414">
        <v>424006</v>
      </c>
      <c r="F13414" t="s">
        <v>1</v>
      </c>
      <c r="G13414" t="s">
        <v>2</v>
      </c>
      <c r="H13414" t="s">
        <v>10818</v>
      </c>
      <c r="I13414" t="s">
        <v>47299</v>
      </c>
      <c r="L13414" t="s">
        <v>33439</v>
      </c>
      <c r="M13414" t="s">
        <v>33440</v>
      </c>
      <c r="P13414" t="s">
        <v>11651</v>
      </c>
      <c r="Q13414" t="s">
        <v>47301</v>
      </c>
      <c r="Y13414" t="s">
        <v>47302</v>
      </c>
    </row>
    <row r="13415" spans="1:25" x14ac:dyDescent="0.25">
      <c r="A13415" t="str">
        <f>"212906305730"</f>
        <v>212906305730</v>
      </c>
      <c r="B13415" t="s">
        <v>96</v>
      </c>
      <c r="C13415" t="s">
        <v>507</v>
      </c>
      <c r="D13415" t="s">
        <v>47303</v>
      </c>
      <c r="E13415">
        <v>424918</v>
      </c>
      <c r="F13415" t="s">
        <v>1</v>
      </c>
      <c r="G13415" t="s">
        <v>2</v>
      </c>
      <c r="H13415" t="s">
        <v>629</v>
      </c>
      <c r="P13415" t="s">
        <v>630</v>
      </c>
      <c r="Y13415" t="s">
        <v>42641</v>
      </c>
    </row>
    <row r="13416" spans="1:25" x14ac:dyDescent="0.25">
      <c r="A13416" t="str">
        <f>"212907039279"</f>
        <v>212907039279</v>
      </c>
      <c r="B13416" t="s">
        <v>2104</v>
      </c>
      <c r="C13416" t="s">
        <v>2105</v>
      </c>
      <c r="D13416" t="s">
        <v>28021</v>
      </c>
      <c r="E13416">
        <v>424006</v>
      </c>
      <c r="F13416" t="s">
        <v>1</v>
      </c>
      <c r="G13416" t="s">
        <v>2</v>
      </c>
      <c r="H13416" t="s">
        <v>4628</v>
      </c>
      <c r="Y13416" t="s">
        <v>6884</v>
      </c>
    </row>
    <row r="13417" spans="1:25" x14ac:dyDescent="0.25">
      <c r="A13417" t="str">
        <f>"212981105896"</f>
        <v>212981105896</v>
      </c>
      <c r="B13417" t="s">
        <v>96</v>
      </c>
      <c r="C13417" t="s">
        <v>893</v>
      </c>
      <c r="D13417" t="s">
        <v>47304</v>
      </c>
      <c r="E13417">
        <v>424918</v>
      </c>
      <c r="F13417" t="s">
        <v>1</v>
      </c>
      <c r="G13417" t="s">
        <v>2</v>
      </c>
      <c r="H13417" t="s">
        <v>629</v>
      </c>
      <c r="I13417" t="s">
        <v>20946</v>
      </c>
      <c r="P13417" t="s">
        <v>630</v>
      </c>
      <c r="Y13417" t="s">
        <v>1744</v>
      </c>
    </row>
    <row r="13418" spans="1:25" x14ac:dyDescent="0.25">
      <c r="A13418" t="str">
        <f>"212985041994"</f>
        <v>212985041994</v>
      </c>
      <c r="B13418" t="s">
        <v>574</v>
      </c>
      <c r="C13418" t="s">
        <v>24087</v>
      </c>
      <c r="D13418" t="s">
        <v>17775</v>
      </c>
      <c r="E13418">
        <v>424007</v>
      </c>
      <c r="F13418" t="s">
        <v>1</v>
      </c>
      <c r="G13418" t="s">
        <v>2</v>
      </c>
      <c r="H13418" t="s">
        <v>41715</v>
      </c>
      <c r="P13418" t="s">
        <v>22557</v>
      </c>
      <c r="Y13418" t="s">
        <v>47305</v>
      </c>
    </row>
    <row r="13419" spans="1:25" x14ac:dyDescent="0.25">
      <c r="A13419" t="str">
        <f>"212998532732"</f>
        <v>212998532732</v>
      </c>
      <c r="B13419" t="s">
        <v>388</v>
      </c>
      <c r="C13419" t="s">
        <v>47309</v>
      </c>
      <c r="D13419" t="s">
        <v>47306</v>
      </c>
      <c r="F13419" t="s">
        <v>1</v>
      </c>
      <c r="G13419" t="s">
        <v>2</v>
      </c>
      <c r="H13419" t="s">
        <v>138</v>
      </c>
      <c r="L13419" t="s">
        <v>47307</v>
      </c>
      <c r="M13419" t="s">
        <v>47308</v>
      </c>
      <c r="P13419" t="s">
        <v>8945</v>
      </c>
      <c r="Y13419" t="s">
        <v>47310</v>
      </c>
    </row>
    <row r="13420" spans="1:25" x14ac:dyDescent="0.25">
      <c r="A13420" t="str">
        <f>"213011953912"</f>
        <v>213011953912</v>
      </c>
      <c r="B13420" t="s">
        <v>123</v>
      </c>
      <c r="C13420" t="s">
        <v>424</v>
      </c>
      <c r="D13420" t="s">
        <v>46944</v>
      </c>
      <c r="F13420" t="s">
        <v>1</v>
      </c>
      <c r="G13420" t="s">
        <v>2</v>
      </c>
      <c r="H13420" t="s">
        <v>19499</v>
      </c>
      <c r="P13420" t="s">
        <v>471</v>
      </c>
      <c r="Y13420" t="s">
        <v>24185</v>
      </c>
    </row>
    <row r="13421" spans="1:25" x14ac:dyDescent="0.25">
      <c r="A13421" t="str">
        <f>"213018397220"</f>
        <v>213018397220</v>
      </c>
      <c r="B13421" t="s">
        <v>25</v>
      </c>
      <c r="C13421" t="s">
        <v>1470</v>
      </c>
      <c r="D13421" t="s">
        <v>47311</v>
      </c>
      <c r="E13421">
        <v>424000</v>
      </c>
      <c r="F13421" t="s">
        <v>1</v>
      </c>
      <c r="G13421" t="s">
        <v>2</v>
      </c>
      <c r="H13421" t="s">
        <v>10803</v>
      </c>
      <c r="I13421" t="s">
        <v>47312</v>
      </c>
      <c r="P13421" t="s">
        <v>13021</v>
      </c>
      <c r="Y13421" t="s">
        <v>47313</v>
      </c>
    </row>
    <row r="13422" spans="1:25" x14ac:dyDescent="0.25">
      <c r="A13422" t="str">
        <f>"213027458821"</f>
        <v>213027458821</v>
      </c>
      <c r="B13422" t="s">
        <v>18</v>
      </c>
      <c r="C13422" t="s">
        <v>38139</v>
      </c>
      <c r="D13422" t="s">
        <v>47314</v>
      </c>
      <c r="E13422">
        <v>424019</v>
      </c>
      <c r="F13422" t="s">
        <v>1</v>
      </c>
      <c r="G13422" t="s">
        <v>2</v>
      </c>
      <c r="H13422" t="s">
        <v>1801</v>
      </c>
      <c r="Y13422" t="s">
        <v>43441</v>
      </c>
    </row>
    <row r="13423" spans="1:25" x14ac:dyDescent="0.25">
      <c r="A13423" t="str">
        <f>"213051578050"</f>
        <v>213051578050</v>
      </c>
      <c r="B13423" t="s">
        <v>160</v>
      </c>
      <c r="C13423" t="s">
        <v>9976</v>
      </c>
      <c r="D13423" t="s">
        <v>47315</v>
      </c>
      <c r="E13423">
        <v>424038</v>
      </c>
      <c r="F13423" t="s">
        <v>1</v>
      </c>
      <c r="G13423" t="s">
        <v>2</v>
      </c>
      <c r="H13423" t="s">
        <v>386</v>
      </c>
      <c r="P13423" t="s">
        <v>47316</v>
      </c>
      <c r="Y13423" t="s">
        <v>391</v>
      </c>
    </row>
    <row r="13424" spans="1:25" x14ac:dyDescent="0.25">
      <c r="A13424" t="str">
        <f>"213054505471"</f>
        <v>213054505471</v>
      </c>
      <c r="B13424" t="s">
        <v>530</v>
      </c>
      <c r="C13424" t="s">
        <v>23950</v>
      </c>
      <c r="D13424" t="s">
        <v>23950</v>
      </c>
      <c r="F13424" t="s">
        <v>1</v>
      </c>
      <c r="G13424" t="s">
        <v>2</v>
      </c>
      <c r="H13424" t="s">
        <v>47317</v>
      </c>
      <c r="Y13424" t="s">
        <v>47318</v>
      </c>
    </row>
    <row r="13425" spans="1:25" x14ac:dyDescent="0.25">
      <c r="A13425" t="str">
        <f>"213061151389"</f>
        <v>213061151389</v>
      </c>
      <c r="B13425" t="s">
        <v>18</v>
      </c>
      <c r="C13425" t="s">
        <v>47320</v>
      </c>
      <c r="D13425" t="s">
        <v>47319</v>
      </c>
      <c r="E13425">
        <v>424038</v>
      </c>
      <c r="F13425" t="s">
        <v>1</v>
      </c>
      <c r="G13425" t="s">
        <v>2</v>
      </c>
      <c r="H13425" t="s">
        <v>23978</v>
      </c>
      <c r="Y13425" t="s">
        <v>47321</v>
      </c>
    </row>
    <row r="13426" spans="1:25" x14ac:dyDescent="0.25">
      <c r="A13426" t="str">
        <f>"213082857446"</f>
        <v>213082857446</v>
      </c>
      <c r="B13426" t="s">
        <v>176</v>
      </c>
      <c r="C13426" t="s">
        <v>2838</v>
      </c>
      <c r="D13426" t="s">
        <v>47322</v>
      </c>
      <c r="E13426">
        <v>424006</v>
      </c>
      <c r="F13426" t="s">
        <v>1</v>
      </c>
      <c r="G13426" t="s">
        <v>2</v>
      </c>
      <c r="H13426" t="s">
        <v>26584</v>
      </c>
      <c r="I13426" t="s">
        <v>47323</v>
      </c>
      <c r="J13426" t="s">
        <v>47324</v>
      </c>
      <c r="L13426" t="s">
        <v>47325</v>
      </c>
      <c r="M13426" t="s">
        <v>47326</v>
      </c>
      <c r="P13426" t="s">
        <v>330</v>
      </c>
      <c r="Q13426" t="s">
        <v>47327</v>
      </c>
      <c r="Y13426" t="s">
        <v>26586</v>
      </c>
    </row>
    <row r="13427" spans="1:25" x14ac:dyDescent="0.25">
      <c r="A13427" t="str">
        <f>"213150009769"</f>
        <v>213150009769</v>
      </c>
      <c r="B13427" t="s">
        <v>290</v>
      </c>
      <c r="C13427" t="s">
        <v>47331</v>
      </c>
      <c r="D13427" t="s">
        <v>47328</v>
      </c>
      <c r="F13427" t="s">
        <v>1</v>
      </c>
      <c r="G13427" t="s">
        <v>2</v>
      </c>
      <c r="H13427" t="s">
        <v>27421</v>
      </c>
      <c r="I13427" t="s">
        <v>47329</v>
      </c>
      <c r="J13427" t="s">
        <v>47330</v>
      </c>
      <c r="P13427" t="s">
        <v>2738</v>
      </c>
      <c r="Q13427" t="s">
        <v>47332</v>
      </c>
      <c r="T13427" t="s">
        <v>47333</v>
      </c>
      <c r="V13427" t="s">
        <v>47334</v>
      </c>
      <c r="Y13427" t="s">
        <v>47335</v>
      </c>
    </row>
    <row r="13428" spans="1:25" x14ac:dyDescent="0.25">
      <c r="A13428" t="str">
        <f>"213175721180"</f>
        <v>213175721180</v>
      </c>
      <c r="B13428" t="s">
        <v>888</v>
      </c>
      <c r="C13428" t="s">
        <v>7389</v>
      </c>
      <c r="D13428" t="s">
        <v>47336</v>
      </c>
      <c r="E13428">
        <v>424020</v>
      </c>
      <c r="F13428" t="s">
        <v>1</v>
      </c>
      <c r="G13428" t="s">
        <v>2</v>
      </c>
      <c r="H13428" t="s">
        <v>8702</v>
      </c>
      <c r="P13428" t="s">
        <v>47337</v>
      </c>
      <c r="Y13428" t="s">
        <v>47338</v>
      </c>
    </row>
    <row r="13429" spans="1:25" x14ac:dyDescent="0.25">
      <c r="A13429" t="str">
        <f>"213178751497"</f>
        <v>213178751497</v>
      </c>
      <c r="B13429" t="s">
        <v>397</v>
      </c>
      <c r="C13429" t="s">
        <v>47342</v>
      </c>
      <c r="D13429" t="s">
        <v>47339</v>
      </c>
      <c r="E13429">
        <v>424006</v>
      </c>
      <c r="F13429" t="s">
        <v>1</v>
      </c>
      <c r="G13429" t="s">
        <v>2</v>
      </c>
      <c r="H13429" t="s">
        <v>5479</v>
      </c>
      <c r="I13429" t="s">
        <v>47340</v>
      </c>
      <c r="L13429" t="s">
        <v>47341</v>
      </c>
      <c r="P13429" t="s">
        <v>41</v>
      </c>
      <c r="Q13429" t="s">
        <v>44923</v>
      </c>
      <c r="Y13429" t="s">
        <v>47343</v>
      </c>
    </row>
    <row r="13430" spans="1:25" x14ac:dyDescent="0.25">
      <c r="A13430" t="str">
        <f>"213199627035"</f>
        <v>213199627035</v>
      </c>
      <c r="B13430" t="s">
        <v>456</v>
      </c>
      <c r="C13430" t="s">
        <v>23372</v>
      </c>
      <c r="D13430" t="s">
        <v>29858</v>
      </c>
      <c r="E13430">
        <v>424000</v>
      </c>
      <c r="F13430" t="s">
        <v>1</v>
      </c>
      <c r="G13430" t="s">
        <v>2</v>
      </c>
      <c r="H13430" t="s">
        <v>4255</v>
      </c>
      <c r="J13430" t="s">
        <v>47344</v>
      </c>
      <c r="L13430" t="s">
        <v>47345</v>
      </c>
      <c r="P13430" t="s">
        <v>37887</v>
      </c>
      <c r="Y13430" t="s">
        <v>47346</v>
      </c>
    </row>
    <row r="13431" spans="1:25" x14ac:dyDescent="0.25">
      <c r="A13431" t="str">
        <f>"213244565539"</f>
        <v>213244565539</v>
      </c>
      <c r="B13431" t="s">
        <v>25</v>
      </c>
      <c r="C13431" t="s">
        <v>24938</v>
      </c>
      <c r="D13431" t="s">
        <v>47347</v>
      </c>
      <c r="F13431" t="s">
        <v>1</v>
      </c>
      <c r="G13431" t="s">
        <v>2</v>
      </c>
      <c r="H13431" t="s">
        <v>47348</v>
      </c>
      <c r="I13431" t="s">
        <v>28307</v>
      </c>
      <c r="L13431" t="s">
        <v>26146</v>
      </c>
      <c r="M13431" t="s">
        <v>47349</v>
      </c>
      <c r="P13431" t="s">
        <v>2951</v>
      </c>
      <c r="Y13431" t="s">
        <v>47350</v>
      </c>
    </row>
    <row r="13432" spans="1:25" x14ac:dyDescent="0.25">
      <c r="A13432" t="str">
        <f>"213250470469"</f>
        <v>213250470469</v>
      </c>
      <c r="B13432" t="s">
        <v>1152</v>
      </c>
      <c r="C13432" t="s">
        <v>1385</v>
      </c>
      <c r="D13432" t="s">
        <v>28279</v>
      </c>
      <c r="E13432">
        <v>424006</v>
      </c>
      <c r="F13432" t="s">
        <v>1</v>
      </c>
      <c r="G13432" t="s">
        <v>2</v>
      </c>
      <c r="H13432" t="s">
        <v>27057</v>
      </c>
      <c r="Y13432" t="s">
        <v>47351</v>
      </c>
    </row>
    <row r="13433" spans="1:25" x14ac:dyDescent="0.25">
      <c r="A13433" t="str">
        <f>"213255875642"</f>
        <v>213255875642</v>
      </c>
      <c r="B13433" t="s">
        <v>1323</v>
      </c>
      <c r="C13433" t="s">
        <v>1324</v>
      </c>
      <c r="D13433" t="s">
        <v>47352</v>
      </c>
      <c r="E13433">
        <v>424002</v>
      </c>
      <c r="F13433" t="s">
        <v>1</v>
      </c>
      <c r="G13433" t="s">
        <v>2</v>
      </c>
      <c r="H13433" t="s">
        <v>6397</v>
      </c>
      <c r="I13433" t="s">
        <v>47353</v>
      </c>
      <c r="Y13433" t="s">
        <v>18209</v>
      </c>
    </row>
    <row r="13434" spans="1:25" x14ac:dyDescent="0.25">
      <c r="A13434" t="str">
        <f>"213266343862"</f>
        <v>213266343862</v>
      </c>
      <c r="B13434" t="s">
        <v>430</v>
      </c>
      <c r="C13434" t="s">
        <v>612</v>
      </c>
      <c r="D13434" t="s">
        <v>9923</v>
      </c>
      <c r="E13434">
        <v>424028</v>
      </c>
      <c r="F13434" t="s">
        <v>1</v>
      </c>
      <c r="G13434" t="s">
        <v>2</v>
      </c>
      <c r="H13434" t="s">
        <v>23999</v>
      </c>
      <c r="I13434" t="s">
        <v>47354</v>
      </c>
      <c r="L13434" t="s">
        <v>610</v>
      </c>
      <c r="M13434" t="s">
        <v>611</v>
      </c>
      <c r="P13434" t="s">
        <v>216</v>
      </c>
      <c r="Y13434" t="s">
        <v>47355</v>
      </c>
    </row>
    <row r="13435" spans="1:25" x14ac:dyDescent="0.25">
      <c r="A13435" t="str">
        <f>"213306514667"</f>
        <v>213306514667</v>
      </c>
      <c r="B13435" t="s">
        <v>1078</v>
      </c>
      <c r="C13435" t="s">
        <v>1944</v>
      </c>
      <c r="D13435" t="s">
        <v>47356</v>
      </c>
      <c r="E13435">
        <v>424016</v>
      </c>
      <c r="F13435" t="s">
        <v>1</v>
      </c>
      <c r="G13435" t="s">
        <v>2</v>
      </c>
      <c r="H13435" t="s">
        <v>28675</v>
      </c>
      <c r="J13435" t="s">
        <v>28676</v>
      </c>
      <c r="P13435" t="s">
        <v>2397</v>
      </c>
      <c r="Y13435" t="s">
        <v>28678</v>
      </c>
    </row>
    <row r="13436" spans="1:25" x14ac:dyDescent="0.25">
      <c r="A13436" t="str">
        <f>"213383928762"</f>
        <v>213383928762</v>
      </c>
      <c r="B13436" t="s">
        <v>24124</v>
      </c>
      <c r="C13436" t="s">
        <v>36327</v>
      </c>
      <c r="D13436" t="s">
        <v>6511</v>
      </c>
      <c r="E13436">
        <v>424019</v>
      </c>
      <c r="F13436" t="s">
        <v>1</v>
      </c>
      <c r="G13436" t="s">
        <v>2</v>
      </c>
      <c r="H13436" t="s">
        <v>19290</v>
      </c>
      <c r="J13436" t="s">
        <v>47357</v>
      </c>
      <c r="L13436" t="s">
        <v>47358</v>
      </c>
      <c r="Q13436" t="s">
        <v>47359</v>
      </c>
      <c r="Y13436" t="s">
        <v>19298</v>
      </c>
    </row>
    <row r="13437" spans="1:25" x14ac:dyDescent="0.25">
      <c r="A13437" t="str">
        <f>"213398639629"</f>
        <v>213398639629</v>
      </c>
      <c r="B13437" t="s">
        <v>574</v>
      </c>
      <c r="C13437" t="s">
        <v>23462</v>
      </c>
      <c r="D13437" t="s">
        <v>27898</v>
      </c>
      <c r="F13437" t="s">
        <v>1</v>
      </c>
      <c r="G13437" t="s">
        <v>2</v>
      </c>
      <c r="H13437" t="s">
        <v>24384</v>
      </c>
      <c r="Y13437" t="s">
        <v>47360</v>
      </c>
    </row>
    <row r="13438" spans="1:25" x14ac:dyDescent="0.25">
      <c r="A13438" t="str">
        <f>"213426530468"</f>
        <v>213426530468</v>
      </c>
      <c r="B13438" t="s">
        <v>88</v>
      </c>
      <c r="C13438" t="s">
        <v>21830</v>
      </c>
      <c r="D13438" t="s">
        <v>47361</v>
      </c>
      <c r="F13438" t="s">
        <v>1</v>
      </c>
      <c r="G13438" t="s">
        <v>2</v>
      </c>
      <c r="H13438" t="s">
        <v>47362</v>
      </c>
      <c r="Y13438" t="s">
        <v>47363</v>
      </c>
    </row>
    <row r="13439" spans="1:25" x14ac:dyDescent="0.25">
      <c r="A13439" t="str">
        <f>"213429530746"</f>
        <v>213429530746</v>
      </c>
      <c r="B13439" t="s">
        <v>32</v>
      </c>
      <c r="C13439" t="s">
        <v>777</v>
      </c>
      <c r="D13439" t="s">
        <v>29371</v>
      </c>
      <c r="E13439">
        <v>424039</v>
      </c>
      <c r="F13439" t="s">
        <v>1</v>
      </c>
      <c r="G13439" t="s">
        <v>2</v>
      </c>
      <c r="H13439" t="s">
        <v>34313</v>
      </c>
      <c r="P13439" t="s">
        <v>216</v>
      </c>
      <c r="Y13439" t="s">
        <v>47364</v>
      </c>
    </row>
    <row r="13440" spans="1:25" x14ac:dyDescent="0.25">
      <c r="A13440" t="str">
        <f>"213667908836"</f>
        <v>213667908836</v>
      </c>
      <c r="B13440" t="s">
        <v>18</v>
      </c>
      <c r="C13440" t="s">
        <v>47368</v>
      </c>
      <c r="D13440" t="s">
        <v>47365</v>
      </c>
      <c r="E13440">
        <v>424004</v>
      </c>
      <c r="F13440" t="s">
        <v>1</v>
      </c>
      <c r="G13440" t="s">
        <v>2</v>
      </c>
      <c r="H13440" t="s">
        <v>3840</v>
      </c>
      <c r="J13440" t="s">
        <v>47366</v>
      </c>
      <c r="M13440" t="s">
        <v>47367</v>
      </c>
      <c r="P13440" t="s">
        <v>340</v>
      </c>
      <c r="Y13440" t="s">
        <v>47369</v>
      </c>
    </row>
    <row r="13441" spans="1:25" x14ac:dyDescent="0.25">
      <c r="A13441" t="str">
        <f>"213684313664"</f>
        <v>213684313664</v>
      </c>
      <c r="B13441" t="s">
        <v>1053</v>
      </c>
      <c r="C13441" t="s">
        <v>1927</v>
      </c>
      <c r="D13441" t="s">
        <v>47370</v>
      </c>
      <c r="E13441">
        <v>424031</v>
      </c>
      <c r="F13441" t="s">
        <v>1</v>
      </c>
      <c r="G13441" t="s">
        <v>2</v>
      </c>
      <c r="H13441" t="s">
        <v>10559</v>
      </c>
      <c r="J13441" t="s">
        <v>47371</v>
      </c>
      <c r="P13441" t="s">
        <v>27</v>
      </c>
      <c r="Y13441" t="s">
        <v>11702</v>
      </c>
    </row>
    <row r="13442" spans="1:25" x14ac:dyDescent="0.25">
      <c r="A13442" t="str">
        <f>"213729133452"</f>
        <v>213729133452</v>
      </c>
      <c r="B13442" t="s">
        <v>703</v>
      </c>
      <c r="C13442" t="s">
        <v>2129</v>
      </c>
      <c r="D13442" t="s">
        <v>47372</v>
      </c>
      <c r="F13442" t="s">
        <v>1</v>
      </c>
      <c r="G13442" t="s">
        <v>2</v>
      </c>
      <c r="H13442" t="s">
        <v>343</v>
      </c>
      <c r="I13442" t="s">
        <v>47373</v>
      </c>
      <c r="Y13442" t="s">
        <v>47374</v>
      </c>
    </row>
    <row r="13443" spans="1:25" x14ac:dyDescent="0.25">
      <c r="A13443" t="str">
        <f>"213741632376"</f>
        <v>213741632376</v>
      </c>
      <c r="B13443" t="s">
        <v>25</v>
      </c>
      <c r="C13443" t="s">
        <v>24938</v>
      </c>
      <c r="D13443" t="s">
        <v>47375</v>
      </c>
      <c r="E13443">
        <v>424028</v>
      </c>
      <c r="F13443" t="s">
        <v>1</v>
      </c>
      <c r="G13443" t="s">
        <v>2</v>
      </c>
      <c r="H13443" t="s">
        <v>24739</v>
      </c>
      <c r="I13443" t="s">
        <v>27184</v>
      </c>
      <c r="Y13443" t="s">
        <v>47376</v>
      </c>
    </row>
    <row r="13444" spans="1:25" x14ac:dyDescent="0.25">
      <c r="A13444" t="str">
        <f>"213765885370"</f>
        <v>213765885370</v>
      </c>
      <c r="B13444" t="s">
        <v>5840</v>
      </c>
      <c r="C13444" t="s">
        <v>23837</v>
      </c>
      <c r="D13444" t="s">
        <v>47377</v>
      </c>
      <c r="E13444">
        <v>424002</v>
      </c>
      <c r="F13444" t="s">
        <v>1</v>
      </c>
      <c r="G13444" t="s">
        <v>2</v>
      </c>
      <c r="H13444" t="s">
        <v>2338</v>
      </c>
      <c r="Y13444" t="s">
        <v>2954</v>
      </c>
    </row>
    <row r="13445" spans="1:25" x14ac:dyDescent="0.25">
      <c r="A13445" t="str">
        <f>"213789264433"</f>
        <v>213789264433</v>
      </c>
      <c r="B13445" t="s">
        <v>176</v>
      </c>
      <c r="C13445" t="s">
        <v>250</v>
      </c>
      <c r="D13445" t="s">
        <v>47378</v>
      </c>
      <c r="E13445">
        <v>424038</v>
      </c>
      <c r="F13445" t="s">
        <v>1</v>
      </c>
      <c r="G13445" t="s">
        <v>2</v>
      </c>
      <c r="H13445" t="s">
        <v>1366</v>
      </c>
      <c r="Y13445" t="s">
        <v>47379</v>
      </c>
    </row>
    <row r="13446" spans="1:25" x14ac:dyDescent="0.25">
      <c r="A13446" t="str">
        <f>"213816327489"</f>
        <v>213816327489</v>
      </c>
      <c r="B13446" t="s">
        <v>1758</v>
      </c>
      <c r="C13446" t="s">
        <v>8089</v>
      </c>
      <c r="D13446" t="s">
        <v>47380</v>
      </c>
      <c r="E13446">
        <v>424002</v>
      </c>
      <c r="F13446" t="s">
        <v>1</v>
      </c>
      <c r="G13446" t="s">
        <v>2</v>
      </c>
      <c r="H13446" t="s">
        <v>744</v>
      </c>
      <c r="P13446" t="s">
        <v>748</v>
      </c>
      <c r="Y13446" t="s">
        <v>47381</v>
      </c>
    </row>
    <row r="13447" spans="1:25" x14ac:dyDescent="0.25">
      <c r="A13447" t="str">
        <f>"213821442575"</f>
        <v>213821442575</v>
      </c>
      <c r="B13447" t="s">
        <v>110</v>
      </c>
      <c r="C13447" t="s">
        <v>36297</v>
      </c>
      <c r="D13447" t="s">
        <v>47382</v>
      </c>
      <c r="E13447">
        <v>424000</v>
      </c>
      <c r="F13447" t="s">
        <v>1</v>
      </c>
      <c r="G13447" t="s">
        <v>2</v>
      </c>
      <c r="H13447" t="s">
        <v>1746</v>
      </c>
      <c r="Y13447" t="s">
        <v>47383</v>
      </c>
    </row>
    <row r="13448" spans="1:25" x14ac:dyDescent="0.25">
      <c r="A13448" t="str">
        <f>"213824323771"</f>
        <v>213824323771</v>
      </c>
      <c r="B13448" t="s">
        <v>462</v>
      </c>
      <c r="C13448" t="s">
        <v>12544</v>
      </c>
      <c r="D13448" t="s">
        <v>47384</v>
      </c>
      <c r="E13448">
        <v>424039</v>
      </c>
      <c r="F13448" t="s">
        <v>1</v>
      </c>
      <c r="G13448" t="s">
        <v>2</v>
      </c>
      <c r="H13448" t="s">
        <v>148</v>
      </c>
      <c r="Y13448" t="s">
        <v>47385</v>
      </c>
    </row>
    <row r="13449" spans="1:25" x14ac:dyDescent="0.25">
      <c r="A13449" t="str">
        <f>"213838841134"</f>
        <v>213838841134</v>
      </c>
      <c r="B13449" t="s">
        <v>1222</v>
      </c>
      <c r="C13449" t="s">
        <v>47389</v>
      </c>
      <c r="D13449" t="s">
        <v>47386</v>
      </c>
      <c r="E13449">
        <v>424033</v>
      </c>
      <c r="F13449" t="s">
        <v>1</v>
      </c>
      <c r="G13449" t="s">
        <v>2</v>
      </c>
      <c r="H13449" t="s">
        <v>2597</v>
      </c>
      <c r="J13449" t="s">
        <v>47387</v>
      </c>
      <c r="L13449" t="s">
        <v>47388</v>
      </c>
      <c r="P13449" t="s">
        <v>8945</v>
      </c>
      <c r="Q13449" t="s">
        <v>47390</v>
      </c>
      <c r="V13449" t="s">
        <v>47391</v>
      </c>
      <c r="Y13449" t="s">
        <v>47392</v>
      </c>
    </row>
    <row r="13450" spans="1:25" x14ac:dyDescent="0.25">
      <c r="A13450" t="str">
        <f>"213855088980"</f>
        <v>213855088980</v>
      </c>
      <c r="B13450" t="s">
        <v>930</v>
      </c>
      <c r="C13450" t="s">
        <v>9679</v>
      </c>
      <c r="D13450" t="s">
        <v>47393</v>
      </c>
      <c r="E13450">
        <v>424004</v>
      </c>
      <c r="F13450" t="s">
        <v>1</v>
      </c>
      <c r="G13450" t="s">
        <v>2</v>
      </c>
      <c r="H13450" t="s">
        <v>12781</v>
      </c>
      <c r="Q13450" t="s">
        <v>47394</v>
      </c>
      <c r="Y13450" t="s">
        <v>47395</v>
      </c>
    </row>
    <row r="13451" spans="1:25" x14ac:dyDescent="0.25">
      <c r="A13451" t="str">
        <f>"213887227836"</f>
        <v>213887227836</v>
      </c>
      <c r="B13451" t="s">
        <v>1352</v>
      </c>
      <c r="C13451" t="s">
        <v>47399</v>
      </c>
      <c r="D13451" t="s">
        <v>47396</v>
      </c>
      <c r="E13451">
        <v>424006</v>
      </c>
      <c r="F13451" t="s">
        <v>1</v>
      </c>
      <c r="G13451" t="s">
        <v>2</v>
      </c>
      <c r="H13451" t="s">
        <v>10019</v>
      </c>
      <c r="I13451" t="s">
        <v>46679</v>
      </c>
      <c r="J13451" t="s">
        <v>47397</v>
      </c>
      <c r="L13451" t="s">
        <v>46680</v>
      </c>
      <c r="M13451" t="s">
        <v>47398</v>
      </c>
      <c r="P13451" t="s">
        <v>410</v>
      </c>
      <c r="Q13451" t="s">
        <v>47400</v>
      </c>
      <c r="Y13451" t="s">
        <v>32316</v>
      </c>
    </row>
    <row r="13452" spans="1:25" x14ac:dyDescent="0.25">
      <c r="A13452" t="str">
        <f>"214052477155"</f>
        <v>214052477155</v>
      </c>
      <c r="B13452" t="s">
        <v>25</v>
      </c>
      <c r="C13452" t="s">
        <v>24938</v>
      </c>
      <c r="D13452" t="s">
        <v>47401</v>
      </c>
      <c r="F13452" t="s">
        <v>1</v>
      </c>
      <c r="G13452" t="s">
        <v>2</v>
      </c>
      <c r="H13452" t="s">
        <v>47402</v>
      </c>
      <c r="I13452" t="s">
        <v>47403</v>
      </c>
      <c r="M13452" t="s">
        <v>47404</v>
      </c>
      <c r="P13452" t="s">
        <v>27</v>
      </c>
      <c r="Y13452" t="s">
        <v>47405</v>
      </c>
    </row>
    <row r="13453" spans="1:25" x14ac:dyDescent="0.25">
      <c r="A13453" t="str">
        <f>"214057089620"</f>
        <v>214057089620</v>
      </c>
      <c r="B13453" t="s">
        <v>352</v>
      </c>
      <c r="C13453" t="s">
        <v>47410</v>
      </c>
      <c r="D13453" t="s">
        <v>47406</v>
      </c>
      <c r="F13453" t="s">
        <v>1</v>
      </c>
      <c r="G13453" t="s">
        <v>2</v>
      </c>
      <c r="H13453" t="s">
        <v>4897</v>
      </c>
      <c r="J13453" t="s">
        <v>47407</v>
      </c>
      <c r="L13453" t="s">
        <v>47408</v>
      </c>
      <c r="M13453" t="s">
        <v>47409</v>
      </c>
      <c r="P13453" t="s">
        <v>27</v>
      </c>
      <c r="Y13453" t="s">
        <v>47411</v>
      </c>
    </row>
    <row r="13454" spans="1:25" x14ac:dyDescent="0.25">
      <c r="A13454" t="str">
        <f>"214111396908"</f>
        <v>214111396908</v>
      </c>
      <c r="B13454" t="s">
        <v>224</v>
      </c>
      <c r="C13454" t="s">
        <v>4931</v>
      </c>
      <c r="D13454" t="s">
        <v>47412</v>
      </c>
      <c r="F13454" t="s">
        <v>1</v>
      </c>
      <c r="G13454" t="s">
        <v>2</v>
      </c>
      <c r="H13454" t="s">
        <v>39021</v>
      </c>
      <c r="J13454" t="s">
        <v>47413</v>
      </c>
      <c r="L13454" t="s">
        <v>47414</v>
      </c>
      <c r="M13454" t="s">
        <v>47415</v>
      </c>
      <c r="Y13454" t="s">
        <v>47416</v>
      </c>
    </row>
    <row r="13455" spans="1:25" x14ac:dyDescent="0.25">
      <c r="A13455" t="str">
        <f>"214136267038"</f>
        <v>214136267038</v>
      </c>
      <c r="B13455" t="s">
        <v>176</v>
      </c>
      <c r="C13455" t="s">
        <v>8142</v>
      </c>
      <c r="D13455" t="s">
        <v>47417</v>
      </c>
      <c r="E13455">
        <v>424026</v>
      </c>
      <c r="F13455" t="s">
        <v>1</v>
      </c>
      <c r="G13455" t="s">
        <v>2</v>
      </c>
      <c r="H13455" t="s">
        <v>1095</v>
      </c>
      <c r="Y13455" t="s">
        <v>1097</v>
      </c>
    </row>
    <row r="13456" spans="1:25" x14ac:dyDescent="0.25">
      <c r="A13456" t="str">
        <f>"214136525637"</f>
        <v>214136525637</v>
      </c>
      <c r="B13456" t="s">
        <v>654</v>
      </c>
      <c r="C13456" t="s">
        <v>14448</v>
      </c>
      <c r="D13456" t="s">
        <v>4776</v>
      </c>
      <c r="E13456">
        <v>424007</v>
      </c>
      <c r="F13456" t="s">
        <v>1</v>
      </c>
      <c r="G13456" t="s">
        <v>2</v>
      </c>
      <c r="H13456" t="s">
        <v>31225</v>
      </c>
      <c r="Y13456" t="s">
        <v>47418</v>
      </c>
    </row>
    <row r="13457" spans="1:25" x14ac:dyDescent="0.25">
      <c r="A13457" t="str">
        <f>"214155152618"</f>
        <v>214155152618</v>
      </c>
      <c r="B13457" t="s">
        <v>430</v>
      </c>
      <c r="C13457" t="s">
        <v>47421</v>
      </c>
      <c r="D13457" t="s">
        <v>47419</v>
      </c>
      <c r="E13457">
        <v>424004</v>
      </c>
      <c r="F13457" t="s">
        <v>1</v>
      </c>
      <c r="G13457" t="s">
        <v>2</v>
      </c>
      <c r="H13457" t="s">
        <v>505</v>
      </c>
      <c r="I13457" t="s">
        <v>47420</v>
      </c>
      <c r="P13457" t="s">
        <v>1027</v>
      </c>
      <c r="Q13457" t="s">
        <v>47422</v>
      </c>
      <c r="V13457" t="s">
        <v>47423</v>
      </c>
      <c r="Y13457" t="s">
        <v>24037</v>
      </c>
    </row>
    <row r="13458" spans="1:25" x14ac:dyDescent="0.25">
      <c r="A13458" t="str">
        <f>"214224413973"</f>
        <v>214224413973</v>
      </c>
      <c r="B13458" t="s">
        <v>1758</v>
      </c>
      <c r="C13458" t="s">
        <v>7867</v>
      </c>
      <c r="D13458" t="s">
        <v>1805</v>
      </c>
      <c r="E13458">
        <v>424028</v>
      </c>
      <c r="F13458" t="s">
        <v>1</v>
      </c>
      <c r="G13458" t="s">
        <v>2</v>
      </c>
      <c r="H13458" t="s">
        <v>24899</v>
      </c>
      <c r="I13458" t="s">
        <v>25649</v>
      </c>
      <c r="P13458" t="s">
        <v>312</v>
      </c>
      <c r="Y13458" t="s">
        <v>47424</v>
      </c>
    </row>
    <row r="13459" spans="1:25" x14ac:dyDescent="0.25">
      <c r="A13459" t="str">
        <f>"214232942932"</f>
        <v>214232942932</v>
      </c>
      <c r="B13459" t="s">
        <v>18</v>
      </c>
      <c r="C13459" t="s">
        <v>47428</v>
      </c>
      <c r="D13459" t="s">
        <v>47425</v>
      </c>
      <c r="E13459">
        <v>424008</v>
      </c>
      <c r="F13459" t="s">
        <v>1</v>
      </c>
      <c r="G13459" t="s">
        <v>2</v>
      </c>
      <c r="H13459" t="s">
        <v>47426</v>
      </c>
      <c r="J13459" t="s">
        <v>47427</v>
      </c>
      <c r="P13459" t="s">
        <v>280</v>
      </c>
      <c r="Y13459" t="s">
        <v>47429</v>
      </c>
    </row>
    <row r="13460" spans="1:25" x14ac:dyDescent="0.25">
      <c r="A13460" t="str">
        <f>"214253129712"</f>
        <v>214253129712</v>
      </c>
      <c r="B13460" t="s">
        <v>6478</v>
      </c>
      <c r="C13460" t="s">
        <v>47433</v>
      </c>
      <c r="D13460" t="s">
        <v>47430</v>
      </c>
      <c r="E13460">
        <v>424008</v>
      </c>
      <c r="F13460" t="s">
        <v>1</v>
      </c>
      <c r="G13460" t="s">
        <v>2</v>
      </c>
      <c r="H13460" t="s">
        <v>12529</v>
      </c>
      <c r="I13460" t="s">
        <v>47431</v>
      </c>
      <c r="J13460" t="s">
        <v>47432</v>
      </c>
      <c r="L13460" t="s">
        <v>10381</v>
      </c>
      <c r="M13460" t="s">
        <v>10382</v>
      </c>
      <c r="P13460" t="s">
        <v>4006</v>
      </c>
      <c r="Q13460" t="s">
        <v>10386</v>
      </c>
      <c r="Y13460" t="s">
        <v>47434</v>
      </c>
    </row>
    <row r="13461" spans="1:25" x14ac:dyDescent="0.25">
      <c r="A13461" t="str">
        <f>"214282977369"</f>
        <v>214282977369</v>
      </c>
      <c r="B13461" t="s">
        <v>1053</v>
      </c>
      <c r="C13461" t="s">
        <v>11751</v>
      </c>
      <c r="D13461" t="s">
        <v>13165</v>
      </c>
      <c r="E13461">
        <v>424004</v>
      </c>
      <c r="F13461" t="s">
        <v>1</v>
      </c>
      <c r="G13461" t="s">
        <v>2</v>
      </c>
      <c r="H13461" t="s">
        <v>351</v>
      </c>
      <c r="J13461" t="s">
        <v>13167</v>
      </c>
      <c r="P13461" t="s">
        <v>280</v>
      </c>
      <c r="Y13461" t="s">
        <v>354</v>
      </c>
    </row>
    <row r="13462" spans="1:25" x14ac:dyDescent="0.25">
      <c r="A13462" t="str">
        <f>"214299406561"</f>
        <v>214299406561</v>
      </c>
      <c r="B13462" t="s">
        <v>233</v>
      </c>
      <c r="C13462" t="s">
        <v>14003</v>
      </c>
      <c r="D13462" t="s">
        <v>22154</v>
      </c>
      <c r="E13462">
        <v>424038</v>
      </c>
      <c r="F13462" t="s">
        <v>1</v>
      </c>
      <c r="G13462" t="s">
        <v>2</v>
      </c>
      <c r="H13462" t="s">
        <v>34776</v>
      </c>
      <c r="Y13462" t="s">
        <v>47435</v>
      </c>
    </row>
    <row r="13463" spans="1:25" x14ac:dyDescent="0.25">
      <c r="A13463" t="str">
        <f>"214307954471"</f>
        <v>214307954471</v>
      </c>
      <c r="B13463" t="s">
        <v>96</v>
      </c>
      <c r="C13463" t="s">
        <v>695</v>
      </c>
      <c r="D13463" t="s">
        <v>12115</v>
      </c>
      <c r="E13463">
        <v>424033</v>
      </c>
      <c r="F13463" t="s">
        <v>1</v>
      </c>
      <c r="G13463" t="s">
        <v>2</v>
      </c>
      <c r="H13463" t="s">
        <v>10720</v>
      </c>
      <c r="Y13463" t="s">
        <v>47436</v>
      </c>
    </row>
    <row r="13464" spans="1:25" x14ac:dyDescent="0.25">
      <c r="A13464" t="str">
        <f>"214308741942"</f>
        <v>214308741942</v>
      </c>
      <c r="B13464" t="s">
        <v>1315</v>
      </c>
      <c r="C13464" t="s">
        <v>4274</v>
      </c>
      <c r="D13464" t="s">
        <v>47437</v>
      </c>
      <c r="F13464" t="s">
        <v>1</v>
      </c>
      <c r="G13464" t="s">
        <v>2</v>
      </c>
      <c r="H13464" t="s">
        <v>3711</v>
      </c>
      <c r="Y13464" t="s">
        <v>47438</v>
      </c>
    </row>
    <row r="13465" spans="1:25" x14ac:dyDescent="0.25">
      <c r="A13465" t="str">
        <f>"214331733984"</f>
        <v>214331733984</v>
      </c>
      <c r="B13465" t="s">
        <v>738</v>
      </c>
      <c r="C13465" t="s">
        <v>739</v>
      </c>
      <c r="D13465" t="s">
        <v>2578</v>
      </c>
      <c r="E13465">
        <v>424028</v>
      </c>
      <c r="F13465" t="s">
        <v>1</v>
      </c>
      <c r="G13465" t="s">
        <v>2</v>
      </c>
      <c r="H13465" t="s">
        <v>13373</v>
      </c>
      <c r="Y13465" t="s">
        <v>47439</v>
      </c>
    </row>
    <row r="13466" spans="1:25" x14ac:dyDescent="0.25">
      <c r="A13466" t="str">
        <f>"214332324196"</f>
        <v>214332324196</v>
      </c>
      <c r="B13466" t="s">
        <v>1617</v>
      </c>
      <c r="C13466" t="s">
        <v>21001</v>
      </c>
      <c r="D13466" t="s">
        <v>47440</v>
      </c>
      <c r="E13466">
        <v>424004</v>
      </c>
      <c r="F13466" t="s">
        <v>1</v>
      </c>
      <c r="G13466" t="s">
        <v>2</v>
      </c>
      <c r="H13466" t="s">
        <v>3266</v>
      </c>
      <c r="Y13466" t="s">
        <v>47441</v>
      </c>
    </row>
    <row r="13467" spans="1:25" x14ac:dyDescent="0.25">
      <c r="A13467" t="str">
        <f>"214389967495"</f>
        <v>214389967495</v>
      </c>
      <c r="B13467" t="s">
        <v>530</v>
      </c>
      <c r="C13467" t="s">
        <v>23950</v>
      </c>
      <c r="D13467" t="s">
        <v>23950</v>
      </c>
      <c r="F13467" t="s">
        <v>1</v>
      </c>
      <c r="G13467" t="s">
        <v>2</v>
      </c>
      <c r="H13467" t="s">
        <v>47442</v>
      </c>
      <c r="Y13467" t="s">
        <v>47443</v>
      </c>
    </row>
    <row r="13468" spans="1:25" x14ac:dyDescent="0.25">
      <c r="A13468" t="str">
        <f>"214392217779"</f>
        <v>214392217779</v>
      </c>
      <c r="B13468" t="s">
        <v>1617</v>
      </c>
      <c r="C13468" t="s">
        <v>21001</v>
      </c>
      <c r="D13468" t="s">
        <v>24203</v>
      </c>
      <c r="E13468">
        <v>424006</v>
      </c>
      <c r="F13468" t="s">
        <v>1</v>
      </c>
      <c r="G13468" t="s">
        <v>2</v>
      </c>
      <c r="H13468" t="s">
        <v>47444</v>
      </c>
      <c r="Y13468" t="s">
        <v>40068</v>
      </c>
    </row>
    <row r="13469" spans="1:25" x14ac:dyDescent="0.25">
      <c r="A13469" t="str">
        <f>"214419601863"</f>
        <v>214419601863</v>
      </c>
      <c r="B13469" t="s">
        <v>530</v>
      </c>
      <c r="C13469" t="s">
        <v>23950</v>
      </c>
      <c r="D13469" t="s">
        <v>23950</v>
      </c>
      <c r="F13469" t="s">
        <v>1</v>
      </c>
      <c r="G13469" t="s">
        <v>2</v>
      </c>
      <c r="H13469" t="s">
        <v>47445</v>
      </c>
      <c r="Y13469" t="s">
        <v>47446</v>
      </c>
    </row>
    <row r="13470" spans="1:25" x14ac:dyDescent="0.25">
      <c r="A13470" t="str">
        <f>"214450601638"</f>
        <v>214450601638</v>
      </c>
      <c r="B13470" t="s">
        <v>233</v>
      </c>
      <c r="C13470" t="s">
        <v>47448</v>
      </c>
      <c r="D13470" t="s">
        <v>47447</v>
      </c>
      <c r="E13470">
        <v>424006</v>
      </c>
      <c r="F13470" t="s">
        <v>1</v>
      </c>
      <c r="G13470" t="s">
        <v>2</v>
      </c>
      <c r="H13470" t="s">
        <v>2012</v>
      </c>
      <c r="P13470" t="s">
        <v>20</v>
      </c>
      <c r="Y13470" t="s">
        <v>2016</v>
      </c>
    </row>
    <row r="13471" spans="1:25" x14ac:dyDescent="0.25">
      <c r="A13471" t="str">
        <f>"214505979997"</f>
        <v>214505979997</v>
      </c>
      <c r="B13471" t="s">
        <v>574</v>
      </c>
      <c r="C13471" t="s">
        <v>646</v>
      </c>
      <c r="D13471" t="s">
        <v>47449</v>
      </c>
      <c r="E13471">
        <v>424000</v>
      </c>
      <c r="F13471" t="s">
        <v>1</v>
      </c>
      <c r="G13471" t="s">
        <v>2</v>
      </c>
      <c r="H13471" t="s">
        <v>265</v>
      </c>
      <c r="Y13471" t="s">
        <v>11205</v>
      </c>
    </row>
    <row r="13472" spans="1:25" x14ac:dyDescent="0.25">
      <c r="A13472" t="str">
        <f>"214557425561"</f>
        <v>214557425561</v>
      </c>
      <c r="B13472" t="s">
        <v>519</v>
      </c>
      <c r="C13472" t="s">
        <v>47454</v>
      </c>
      <c r="D13472" t="s">
        <v>47450</v>
      </c>
      <c r="F13472" t="s">
        <v>1</v>
      </c>
      <c r="G13472" t="s">
        <v>2</v>
      </c>
      <c r="H13472" t="s">
        <v>3984</v>
      </c>
      <c r="J13472" t="s">
        <v>47451</v>
      </c>
      <c r="L13472" t="s">
        <v>47452</v>
      </c>
      <c r="M13472" t="s">
        <v>47453</v>
      </c>
      <c r="P13472" t="s">
        <v>47455</v>
      </c>
      <c r="Y13472" t="s">
        <v>47456</v>
      </c>
    </row>
    <row r="13473" spans="1:25" x14ac:dyDescent="0.25">
      <c r="A13473" t="str">
        <f>"214672559247"</f>
        <v>214672559247</v>
      </c>
      <c r="B13473" t="s">
        <v>12698</v>
      </c>
      <c r="C13473" t="s">
        <v>12699</v>
      </c>
      <c r="D13473" t="s">
        <v>47457</v>
      </c>
      <c r="E13473">
        <v>424003</v>
      </c>
      <c r="F13473" t="s">
        <v>1</v>
      </c>
      <c r="G13473" t="s">
        <v>2</v>
      </c>
      <c r="H13473" t="s">
        <v>6194</v>
      </c>
      <c r="J13473" t="s">
        <v>47458</v>
      </c>
      <c r="P13473" t="s">
        <v>410</v>
      </c>
      <c r="Y13473" t="s">
        <v>10233</v>
      </c>
    </row>
    <row r="13474" spans="1:25" x14ac:dyDescent="0.25">
      <c r="A13474" t="str">
        <f>"214683566645"</f>
        <v>214683566645</v>
      </c>
      <c r="B13474" t="s">
        <v>96</v>
      </c>
      <c r="C13474" t="s">
        <v>311</v>
      </c>
      <c r="D13474" t="s">
        <v>40227</v>
      </c>
      <c r="E13474">
        <v>424918</v>
      </c>
      <c r="F13474" t="s">
        <v>1</v>
      </c>
      <c r="G13474" t="s">
        <v>2</v>
      </c>
      <c r="H13474" t="s">
        <v>629</v>
      </c>
      <c r="P13474" t="s">
        <v>630</v>
      </c>
      <c r="Y13474" t="s">
        <v>47459</v>
      </c>
    </row>
    <row r="13475" spans="1:25" x14ac:dyDescent="0.25">
      <c r="A13475" t="str">
        <f>"214703165362"</f>
        <v>214703165362</v>
      </c>
      <c r="B13475" t="s">
        <v>18</v>
      </c>
      <c r="C13475" t="s">
        <v>12714</v>
      </c>
      <c r="D13475" t="s">
        <v>47460</v>
      </c>
      <c r="E13475">
        <v>424008</v>
      </c>
      <c r="F13475" t="s">
        <v>1</v>
      </c>
      <c r="G13475" t="s">
        <v>2</v>
      </c>
      <c r="H13475" t="s">
        <v>2001</v>
      </c>
      <c r="Y13475" t="s">
        <v>47461</v>
      </c>
    </row>
    <row r="13476" spans="1:25" x14ac:dyDescent="0.25">
      <c r="A13476" t="str">
        <f>"214705668796"</f>
        <v>214705668796</v>
      </c>
      <c r="B13476" t="s">
        <v>1053</v>
      </c>
      <c r="C13476" t="s">
        <v>47464</v>
      </c>
      <c r="D13476" t="s">
        <v>47462</v>
      </c>
      <c r="E13476">
        <v>424003</v>
      </c>
      <c r="F13476" t="s">
        <v>1</v>
      </c>
      <c r="G13476" t="s">
        <v>2</v>
      </c>
      <c r="H13476" t="s">
        <v>47140</v>
      </c>
      <c r="J13476" t="s">
        <v>47463</v>
      </c>
      <c r="P13476" t="s">
        <v>330</v>
      </c>
      <c r="Y13476" t="s">
        <v>47465</v>
      </c>
    </row>
    <row r="13477" spans="1:25" x14ac:dyDescent="0.25">
      <c r="A13477" t="str">
        <f>"214710613637"</f>
        <v>214710613637</v>
      </c>
      <c r="B13477" t="s">
        <v>574</v>
      </c>
      <c r="C13477" t="s">
        <v>646</v>
      </c>
      <c r="D13477" t="s">
        <v>31263</v>
      </c>
      <c r="E13477">
        <v>424003</v>
      </c>
      <c r="F13477" t="s">
        <v>1</v>
      </c>
      <c r="G13477" t="s">
        <v>2</v>
      </c>
      <c r="H13477" t="s">
        <v>720</v>
      </c>
      <c r="Y13477" t="s">
        <v>26503</v>
      </c>
    </row>
    <row r="13478" spans="1:25" x14ac:dyDescent="0.25">
      <c r="A13478" t="str">
        <f>"214743796569"</f>
        <v>214743796569</v>
      </c>
      <c r="B13478" t="s">
        <v>151</v>
      </c>
      <c r="C13478" t="s">
        <v>151</v>
      </c>
      <c r="D13478" t="s">
        <v>47466</v>
      </c>
      <c r="E13478">
        <v>424007</v>
      </c>
      <c r="F13478" t="s">
        <v>1</v>
      </c>
      <c r="G13478" t="s">
        <v>2</v>
      </c>
      <c r="H13478" t="s">
        <v>499</v>
      </c>
      <c r="J13478" t="s">
        <v>28276</v>
      </c>
      <c r="L13478" t="s">
        <v>47467</v>
      </c>
      <c r="P13478" t="s">
        <v>390</v>
      </c>
      <c r="Y13478" t="s">
        <v>47468</v>
      </c>
    </row>
    <row r="13479" spans="1:25" x14ac:dyDescent="0.25">
      <c r="A13479" t="str">
        <f>"214753806272"</f>
        <v>214753806272</v>
      </c>
      <c r="B13479" t="s">
        <v>519</v>
      </c>
      <c r="C13479" t="s">
        <v>2009</v>
      </c>
      <c r="D13479" t="s">
        <v>47469</v>
      </c>
      <c r="E13479">
        <v>424005</v>
      </c>
      <c r="F13479" t="s">
        <v>1</v>
      </c>
      <c r="G13479" t="s">
        <v>2</v>
      </c>
      <c r="H13479" t="s">
        <v>5429</v>
      </c>
      <c r="I13479" t="s">
        <v>47470</v>
      </c>
      <c r="L13479" t="s">
        <v>47471</v>
      </c>
      <c r="M13479" t="s">
        <v>47472</v>
      </c>
      <c r="P13479" t="s">
        <v>4280</v>
      </c>
      <c r="Q13479" t="s">
        <v>47473</v>
      </c>
      <c r="T13479" t="s">
        <v>47474</v>
      </c>
      <c r="U13479" t="s">
        <v>47475</v>
      </c>
      <c r="V13479" t="s">
        <v>47476</v>
      </c>
      <c r="Y13479" t="s">
        <v>5431</v>
      </c>
    </row>
    <row r="13480" spans="1:25" x14ac:dyDescent="0.25">
      <c r="A13480" t="str">
        <f>"214753920494"</f>
        <v>214753920494</v>
      </c>
      <c r="B13480" t="s">
        <v>233</v>
      </c>
      <c r="C13480" t="s">
        <v>47478</v>
      </c>
      <c r="D13480" t="s">
        <v>47477</v>
      </c>
      <c r="E13480">
        <v>424020</v>
      </c>
      <c r="F13480" t="s">
        <v>1</v>
      </c>
      <c r="G13480" t="s">
        <v>2</v>
      </c>
      <c r="H13480" t="s">
        <v>6262</v>
      </c>
      <c r="Y13480" t="s">
        <v>6264</v>
      </c>
    </row>
    <row r="13481" spans="1:25" x14ac:dyDescent="0.25">
      <c r="A13481" t="str">
        <f>"214838644647"</f>
        <v>214838644647</v>
      </c>
      <c r="B13481" t="s">
        <v>123</v>
      </c>
      <c r="C13481" t="s">
        <v>424</v>
      </c>
      <c r="D13481" t="s">
        <v>47479</v>
      </c>
      <c r="E13481">
        <v>424033</v>
      </c>
      <c r="F13481" t="s">
        <v>1</v>
      </c>
      <c r="G13481" t="s">
        <v>2</v>
      </c>
      <c r="H13481" t="s">
        <v>47480</v>
      </c>
      <c r="I13481" t="s">
        <v>47481</v>
      </c>
      <c r="P13481" t="s">
        <v>425</v>
      </c>
      <c r="Y13481" t="s">
        <v>47482</v>
      </c>
    </row>
    <row r="13482" spans="1:25" x14ac:dyDescent="0.25">
      <c r="A13482" t="str">
        <f>"214845825858"</f>
        <v>214845825858</v>
      </c>
      <c r="B13482" t="s">
        <v>530</v>
      </c>
      <c r="C13482" t="s">
        <v>23950</v>
      </c>
      <c r="D13482" t="s">
        <v>23950</v>
      </c>
      <c r="F13482" t="s">
        <v>1</v>
      </c>
      <c r="G13482" t="s">
        <v>2</v>
      </c>
      <c r="H13482" t="s">
        <v>42627</v>
      </c>
      <c r="Y13482" t="s">
        <v>47483</v>
      </c>
    </row>
    <row r="13483" spans="1:25" x14ac:dyDescent="0.25">
      <c r="A13483" t="str">
        <f>"214858411734"</f>
        <v>214858411734</v>
      </c>
      <c r="B13483" t="s">
        <v>371</v>
      </c>
      <c r="C13483" t="s">
        <v>372</v>
      </c>
      <c r="D13483" t="s">
        <v>47484</v>
      </c>
      <c r="E13483">
        <v>424020</v>
      </c>
      <c r="F13483" t="s">
        <v>1</v>
      </c>
      <c r="G13483" t="s">
        <v>2</v>
      </c>
      <c r="H13483" t="s">
        <v>47485</v>
      </c>
      <c r="J13483" t="s">
        <v>47486</v>
      </c>
      <c r="P13483" t="s">
        <v>260</v>
      </c>
      <c r="Y13483" t="s">
        <v>47487</v>
      </c>
    </row>
    <row r="13484" spans="1:25" x14ac:dyDescent="0.25">
      <c r="A13484" t="str">
        <f>"214861704850"</f>
        <v>214861704850</v>
      </c>
      <c r="B13484" t="s">
        <v>88</v>
      </c>
      <c r="C13484" t="s">
        <v>6066</v>
      </c>
      <c r="D13484" t="s">
        <v>34171</v>
      </c>
      <c r="E13484">
        <v>424000</v>
      </c>
      <c r="F13484" t="s">
        <v>1</v>
      </c>
      <c r="G13484" t="s">
        <v>2</v>
      </c>
      <c r="H13484" t="s">
        <v>11438</v>
      </c>
      <c r="P13484" t="s">
        <v>458</v>
      </c>
      <c r="Y13484" t="s">
        <v>47488</v>
      </c>
    </row>
    <row r="13485" spans="1:25" x14ac:dyDescent="0.25">
      <c r="A13485" t="str">
        <f>"214862174523"</f>
        <v>214862174523</v>
      </c>
      <c r="B13485" t="s">
        <v>1152</v>
      </c>
      <c r="C13485" t="s">
        <v>4682</v>
      </c>
      <c r="D13485" t="s">
        <v>25385</v>
      </c>
      <c r="E13485">
        <v>424038</v>
      </c>
      <c r="F13485" t="s">
        <v>1</v>
      </c>
      <c r="G13485" t="s">
        <v>2</v>
      </c>
      <c r="H13485" t="s">
        <v>6059</v>
      </c>
      <c r="Y13485" t="s">
        <v>47489</v>
      </c>
    </row>
    <row r="13486" spans="1:25" x14ac:dyDescent="0.25">
      <c r="A13486" t="str">
        <f>"214985701454"</f>
        <v>214985701454</v>
      </c>
      <c r="B13486" t="s">
        <v>96</v>
      </c>
      <c r="C13486" t="s">
        <v>11891</v>
      </c>
      <c r="D13486" t="s">
        <v>37840</v>
      </c>
      <c r="E13486">
        <v>424000</v>
      </c>
      <c r="F13486" t="s">
        <v>1</v>
      </c>
      <c r="G13486" t="s">
        <v>2</v>
      </c>
      <c r="H13486" t="s">
        <v>1473</v>
      </c>
      <c r="P13486" t="s">
        <v>941</v>
      </c>
      <c r="Y13486" t="s">
        <v>4067</v>
      </c>
    </row>
    <row r="13487" spans="1:25" x14ac:dyDescent="0.25">
      <c r="A13487" t="str">
        <f>"215005196527"</f>
        <v>215005196527</v>
      </c>
      <c r="B13487" t="s">
        <v>7312</v>
      </c>
      <c r="C13487" t="s">
        <v>21136</v>
      </c>
      <c r="D13487" t="s">
        <v>13738</v>
      </c>
      <c r="E13487">
        <v>424038</v>
      </c>
      <c r="F13487" t="s">
        <v>1</v>
      </c>
      <c r="G13487" t="s">
        <v>2</v>
      </c>
      <c r="H13487" t="s">
        <v>26079</v>
      </c>
      <c r="Y13487" t="s">
        <v>47490</v>
      </c>
    </row>
    <row r="13488" spans="1:25" x14ac:dyDescent="0.25">
      <c r="A13488" t="str">
        <f>"215015645872"</f>
        <v>215015645872</v>
      </c>
      <c r="B13488" t="s">
        <v>18</v>
      </c>
      <c r="C13488" t="s">
        <v>47492</v>
      </c>
      <c r="D13488" t="s">
        <v>9011</v>
      </c>
      <c r="E13488">
        <v>424007</v>
      </c>
      <c r="F13488" t="s">
        <v>1</v>
      </c>
      <c r="G13488" t="s">
        <v>2</v>
      </c>
      <c r="H13488" t="s">
        <v>17120</v>
      </c>
      <c r="J13488" t="s">
        <v>47491</v>
      </c>
      <c r="P13488" t="s">
        <v>20</v>
      </c>
      <c r="Y13488" t="s">
        <v>47493</v>
      </c>
    </row>
    <row r="13489" spans="1:25" x14ac:dyDescent="0.25">
      <c r="A13489" t="str">
        <f>"215081057018"</f>
        <v>215081057018</v>
      </c>
      <c r="B13489" t="s">
        <v>96</v>
      </c>
      <c r="C13489" t="s">
        <v>16462</v>
      </c>
      <c r="D13489" t="s">
        <v>47494</v>
      </c>
      <c r="E13489">
        <v>424038</v>
      </c>
      <c r="F13489" t="s">
        <v>1</v>
      </c>
      <c r="G13489" t="s">
        <v>2</v>
      </c>
      <c r="H13489" t="s">
        <v>12143</v>
      </c>
      <c r="Y13489" t="s">
        <v>47495</v>
      </c>
    </row>
    <row r="13490" spans="1:25" x14ac:dyDescent="0.25">
      <c r="A13490" t="str">
        <f>"215132529203"</f>
        <v>215132529203</v>
      </c>
      <c r="B13490" t="s">
        <v>930</v>
      </c>
      <c r="C13490" t="s">
        <v>10263</v>
      </c>
      <c r="D13490" t="s">
        <v>47496</v>
      </c>
      <c r="F13490" t="s">
        <v>1</v>
      </c>
      <c r="G13490" t="s">
        <v>2</v>
      </c>
      <c r="H13490" t="s">
        <v>1359</v>
      </c>
      <c r="I13490" t="s">
        <v>47497</v>
      </c>
      <c r="J13490" t="s">
        <v>47498</v>
      </c>
      <c r="Y13490" t="s">
        <v>47499</v>
      </c>
    </row>
    <row r="13491" spans="1:25" x14ac:dyDescent="0.25">
      <c r="A13491" t="str">
        <f>"215146557841"</f>
        <v>215146557841</v>
      </c>
      <c r="B13491" t="s">
        <v>530</v>
      </c>
      <c r="C13491" t="s">
        <v>23950</v>
      </c>
      <c r="D13491" t="s">
        <v>23950</v>
      </c>
      <c r="E13491">
        <v>424019</v>
      </c>
      <c r="F13491" t="s">
        <v>1</v>
      </c>
      <c r="G13491" t="s">
        <v>2</v>
      </c>
      <c r="H13491" t="s">
        <v>37538</v>
      </c>
      <c r="Y13491" t="s">
        <v>47500</v>
      </c>
    </row>
    <row r="13492" spans="1:25" x14ac:dyDescent="0.25">
      <c r="A13492" t="str">
        <f>"215162692684"</f>
        <v>215162692684</v>
      </c>
      <c r="B13492" t="s">
        <v>80</v>
      </c>
      <c r="C13492" t="s">
        <v>3295</v>
      </c>
      <c r="D13492" t="s">
        <v>47501</v>
      </c>
      <c r="E13492">
        <v>424006</v>
      </c>
      <c r="F13492" t="s">
        <v>1</v>
      </c>
      <c r="G13492" t="s">
        <v>2</v>
      </c>
      <c r="H13492" t="s">
        <v>21558</v>
      </c>
      <c r="J13492" t="s">
        <v>47502</v>
      </c>
      <c r="P13492" t="s">
        <v>47503</v>
      </c>
      <c r="Y13492" t="s">
        <v>26687</v>
      </c>
    </row>
    <row r="13493" spans="1:25" x14ac:dyDescent="0.25">
      <c r="A13493" t="str">
        <f>"215195561611"</f>
        <v>215195561611</v>
      </c>
      <c r="B13493" t="s">
        <v>519</v>
      </c>
      <c r="C13493" t="s">
        <v>47504</v>
      </c>
      <c r="D13493" t="s">
        <v>47504</v>
      </c>
      <c r="E13493">
        <v>424002</v>
      </c>
      <c r="F13493" t="s">
        <v>1</v>
      </c>
      <c r="G13493" t="s">
        <v>2</v>
      </c>
      <c r="H13493" t="s">
        <v>6656</v>
      </c>
      <c r="Y13493" t="s">
        <v>47505</v>
      </c>
    </row>
    <row r="13494" spans="1:25" x14ac:dyDescent="0.25">
      <c r="A13494" t="str">
        <f>"215197731539"</f>
        <v>215197731539</v>
      </c>
      <c r="B13494" t="s">
        <v>18</v>
      </c>
      <c r="C13494" t="s">
        <v>4522</v>
      </c>
      <c r="D13494" t="s">
        <v>47506</v>
      </c>
      <c r="F13494" t="s">
        <v>1</v>
      </c>
      <c r="G13494" t="s">
        <v>2</v>
      </c>
      <c r="H13494" t="s">
        <v>47507</v>
      </c>
      <c r="J13494" t="s">
        <v>47508</v>
      </c>
      <c r="P13494" t="s">
        <v>280</v>
      </c>
      <c r="Y13494" t="s">
        <v>47509</v>
      </c>
    </row>
    <row r="13495" spans="1:25" x14ac:dyDescent="0.25">
      <c r="A13495" t="str">
        <f>"215246702955"</f>
        <v>215246702955</v>
      </c>
      <c r="B13495" t="s">
        <v>574</v>
      </c>
      <c r="C13495" t="s">
        <v>47511</v>
      </c>
      <c r="D13495" t="s">
        <v>47510</v>
      </c>
      <c r="E13495">
        <v>424039</v>
      </c>
      <c r="F13495" t="s">
        <v>1</v>
      </c>
      <c r="G13495" t="s">
        <v>2</v>
      </c>
      <c r="H13495" t="s">
        <v>5827</v>
      </c>
      <c r="P13495" t="s">
        <v>112</v>
      </c>
      <c r="Y13495" t="s">
        <v>47512</v>
      </c>
    </row>
    <row r="13496" spans="1:25" x14ac:dyDescent="0.25">
      <c r="A13496" t="str">
        <f>"215302647924"</f>
        <v>215302647924</v>
      </c>
      <c r="B13496" t="s">
        <v>1544</v>
      </c>
      <c r="C13496" t="s">
        <v>7974</v>
      </c>
      <c r="D13496" t="s">
        <v>47513</v>
      </c>
      <c r="F13496" t="s">
        <v>1</v>
      </c>
      <c r="G13496" t="s">
        <v>2</v>
      </c>
      <c r="H13496" t="s">
        <v>26684</v>
      </c>
      <c r="P13496" t="s">
        <v>330</v>
      </c>
      <c r="Y13496" t="s">
        <v>47514</v>
      </c>
    </row>
    <row r="13497" spans="1:25" x14ac:dyDescent="0.25">
      <c r="A13497" t="str">
        <f>"215350593191"</f>
        <v>215350593191</v>
      </c>
      <c r="B13497" t="s">
        <v>553</v>
      </c>
      <c r="C13497" t="s">
        <v>554</v>
      </c>
      <c r="D13497" t="s">
        <v>47515</v>
      </c>
      <c r="E13497">
        <v>424004</v>
      </c>
      <c r="F13497" t="s">
        <v>1</v>
      </c>
      <c r="G13497" t="s">
        <v>2</v>
      </c>
      <c r="H13497" t="s">
        <v>10421</v>
      </c>
      <c r="P13497" t="s">
        <v>330</v>
      </c>
      <c r="Y13497" t="s">
        <v>47516</v>
      </c>
    </row>
    <row r="13498" spans="1:25" x14ac:dyDescent="0.25">
      <c r="A13498" t="str">
        <f>"215356166238"</f>
        <v>215356166238</v>
      </c>
      <c r="B13498" t="s">
        <v>328</v>
      </c>
      <c r="C13498" t="s">
        <v>1920</v>
      </c>
      <c r="D13498" t="s">
        <v>47517</v>
      </c>
      <c r="E13498">
        <v>424000</v>
      </c>
      <c r="F13498" t="s">
        <v>1</v>
      </c>
      <c r="G13498" t="s">
        <v>2</v>
      </c>
      <c r="H13498" t="s">
        <v>523</v>
      </c>
      <c r="Y13498" t="s">
        <v>47518</v>
      </c>
    </row>
    <row r="13499" spans="1:25" x14ac:dyDescent="0.25">
      <c r="A13499" t="str">
        <f>"215404071917"</f>
        <v>215404071917</v>
      </c>
      <c r="B13499" t="s">
        <v>290</v>
      </c>
      <c r="C13499" t="s">
        <v>290</v>
      </c>
      <c r="D13499" t="s">
        <v>47519</v>
      </c>
      <c r="E13499">
        <v>424000</v>
      </c>
      <c r="F13499" t="s">
        <v>1</v>
      </c>
      <c r="G13499" t="s">
        <v>2</v>
      </c>
      <c r="H13499" t="s">
        <v>7015</v>
      </c>
      <c r="P13499" t="s">
        <v>312</v>
      </c>
      <c r="Y13499" t="s">
        <v>47520</v>
      </c>
    </row>
    <row r="13500" spans="1:25" x14ac:dyDescent="0.25">
      <c r="A13500" t="str">
        <f>"215423654651"</f>
        <v>215423654651</v>
      </c>
      <c r="B13500" t="s">
        <v>88</v>
      </c>
      <c r="C13500" t="s">
        <v>47523</v>
      </c>
      <c r="D13500" t="s">
        <v>47521</v>
      </c>
      <c r="E13500">
        <v>424000</v>
      </c>
      <c r="F13500" t="s">
        <v>1</v>
      </c>
      <c r="G13500" t="s">
        <v>2</v>
      </c>
      <c r="H13500" t="s">
        <v>37758</v>
      </c>
      <c r="J13500" t="s">
        <v>47522</v>
      </c>
      <c r="P13500" t="s">
        <v>2050</v>
      </c>
      <c r="Y13500" t="s">
        <v>47524</v>
      </c>
    </row>
    <row r="13501" spans="1:25" x14ac:dyDescent="0.25">
      <c r="A13501" t="str">
        <f>"215433122854"</f>
        <v>215433122854</v>
      </c>
      <c r="B13501" t="s">
        <v>1222</v>
      </c>
      <c r="C13501" t="s">
        <v>12417</v>
      </c>
      <c r="D13501" t="s">
        <v>47525</v>
      </c>
      <c r="E13501">
        <v>424008</v>
      </c>
      <c r="F13501" t="s">
        <v>1</v>
      </c>
      <c r="G13501" t="s">
        <v>2</v>
      </c>
      <c r="H13501" t="s">
        <v>1031</v>
      </c>
      <c r="J13501" t="s">
        <v>47526</v>
      </c>
      <c r="P13501" t="s">
        <v>47527</v>
      </c>
      <c r="Y13501" t="s">
        <v>47528</v>
      </c>
    </row>
    <row r="13502" spans="1:25" x14ac:dyDescent="0.25">
      <c r="A13502" t="str">
        <f>"215454042362"</f>
        <v>215454042362</v>
      </c>
      <c r="B13502" t="s">
        <v>32</v>
      </c>
      <c r="C13502" t="s">
        <v>47534</v>
      </c>
      <c r="D13502" t="s">
        <v>47529</v>
      </c>
      <c r="E13502">
        <v>424006</v>
      </c>
      <c r="F13502" t="s">
        <v>1</v>
      </c>
      <c r="G13502" t="s">
        <v>2</v>
      </c>
      <c r="H13502" t="s">
        <v>34168</v>
      </c>
      <c r="I13502" t="s">
        <v>47530</v>
      </c>
      <c r="J13502" t="s">
        <v>47531</v>
      </c>
      <c r="L13502" t="s">
        <v>47532</v>
      </c>
      <c r="M13502" t="s">
        <v>47533</v>
      </c>
      <c r="P13502" t="s">
        <v>1027</v>
      </c>
      <c r="Q13502" t="s">
        <v>47535</v>
      </c>
      <c r="V13502" t="s">
        <v>47536</v>
      </c>
      <c r="Y13502" t="s">
        <v>47537</v>
      </c>
    </row>
    <row r="13503" spans="1:25" x14ac:dyDescent="0.25">
      <c r="A13503" t="str">
        <f>"215473662563"</f>
        <v>215473662563</v>
      </c>
      <c r="B13503" t="s">
        <v>1611</v>
      </c>
      <c r="C13503" t="s">
        <v>14699</v>
      </c>
      <c r="D13503" t="s">
        <v>47538</v>
      </c>
      <c r="E13503">
        <v>424037</v>
      </c>
      <c r="F13503" t="s">
        <v>1</v>
      </c>
      <c r="G13503" t="s">
        <v>2</v>
      </c>
      <c r="H13503" t="s">
        <v>3216</v>
      </c>
      <c r="I13503" t="s">
        <v>47539</v>
      </c>
      <c r="M13503" t="s">
        <v>47540</v>
      </c>
      <c r="P13503" t="s">
        <v>47541</v>
      </c>
      <c r="Y13503" t="s">
        <v>13404</v>
      </c>
    </row>
    <row r="13504" spans="1:25" x14ac:dyDescent="0.25">
      <c r="A13504" t="str">
        <f>"215534465508"</f>
        <v>215534465508</v>
      </c>
      <c r="B13504" t="s">
        <v>290</v>
      </c>
      <c r="C13504" t="s">
        <v>21096</v>
      </c>
      <c r="D13504" t="s">
        <v>24972</v>
      </c>
      <c r="E13504">
        <v>424039</v>
      </c>
      <c r="F13504" t="s">
        <v>1</v>
      </c>
      <c r="G13504" t="s">
        <v>2</v>
      </c>
      <c r="H13504" t="s">
        <v>17888</v>
      </c>
      <c r="Y13504" t="s">
        <v>47542</v>
      </c>
    </row>
    <row r="13505" spans="1:25" x14ac:dyDescent="0.25">
      <c r="A13505" t="str">
        <f>"215548116980"</f>
        <v>215548116980</v>
      </c>
      <c r="B13505" t="s">
        <v>469</v>
      </c>
      <c r="C13505" t="s">
        <v>47545</v>
      </c>
      <c r="D13505" t="s">
        <v>47543</v>
      </c>
      <c r="E13505">
        <v>424006</v>
      </c>
      <c r="F13505" t="s">
        <v>1</v>
      </c>
      <c r="G13505" t="s">
        <v>2</v>
      </c>
      <c r="H13505" t="s">
        <v>47544</v>
      </c>
      <c r="Y13505" t="s">
        <v>20917</v>
      </c>
    </row>
    <row r="13506" spans="1:25" x14ac:dyDescent="0.25">
      <c r="A13506" t="str">
        <f>"215561087857"</f>
        <v>215561087857</v>
      </c>
      <c r="B13506" t="s">
        <v>1846</v>
      </c>
      <c r="C13506" t="s">
        <v>47549</v>
      </c>
      <c r="D13506" t="s">
        <v>47546</v>
      </c>
      <c r="E13506">
        <v>424039</v>
      </c>
      <c r="F13506" t="s">
        <v>1</v>
      </c>
      <c r="G13506" t="s">
        <v>2</v>
      </c>
      <c r="H13506" t="s">
        <v>47547</v>
      </c>
      <c r="J13506" t="s">
        <v>47548</v>
      </c>
      <c r="P13506" t="s">
        <v>152</v>
      </c>
      <c r="Y13506" t="s">
        <v>47550</v>
      </c>
    </row>
    <row r="13507" spans="1:25" x14ac:dyDescent="0.25">
      <c r="A13507" t="str">
        <f>"215632088950"</f>
        <v>215632088950</v>
      </c>
      <c r="B13507" t="s">
        <v>574</v>
      </c>
      <c r="C13507" t="s">
        <v>952</v>
      </c>
      <c r="D13507" t="s">
        <v>35107</v>
      </c>
      <c r="E13507">
        <v>424020</v>
      </c>
      <c r="F13507" t="s">
        <v>1</v>
      </c>
      <c r="G13507" t="s">
        <v>2</v>
      </c>
      <c r="H13507" t="s">
        <v>23</v>
      </c>
      <c r="P13507" t="s">
        <v>1027</v>
      </c>
      <c r="Y13507" t="s">
        <v>6162</v>
      </c>
    </row>
    <row r="13508" spans="1:25" x14ac:dyDescent="0.25">
      <c r="A13508" t="str">
        <f>"215639888948"</f>
        <v>215639888948</v>
      </c>
      <c r="B13508" t="s">
        <v>687</v>
      </c>
      <c r="C13508" t="s">
        <v>47555</v>
      </c>
      <c r="D13508" t="s">
        <v>47551</v>
      </c>
      <c r="F13508" t="s">
        <v>1</v>
      </c>
      <c r="G13508" t="s">
        <v>2</v>
      </c>
      <c r="H13508" t="s">
        <v>42226</v>
      </c>
      <c r="I13508" t="s">
        <v>47552</v>
      </c>
      <c r="L13508" t="s">
        <v>47553</v>
      </c>
      <c r="M13508" t="s">
        <v>47554</v>
      </c>
      <c r="P13508" t="s">
        <v>152</v>
      </c>
      <c r="Y13508" t="s">
        <v>42229</v>
      </c>
    </row>
    <row r="13509" spans="1:25" x14ac:dyDescent="0.25">
      <c r="A13509" t="str">
        <f>"215651268643"</f>
        <v>215651268643</v>
      </c>
      <c r="B13509" t="s">
        <v>18</v>
      </c>
      <c r="C13509" t="s">
        <v>45829</v>
      </c>
      <c r="D13509" t="s">
        <v>14077</v>
      </c>
      <c r="F13509" t="s">
        <v>1</v>
      </c>
      <c r="G13509" t="s">
        <v>2</v>
      </c>
      <c r="H13509" t="s">
        <v>1221</v>
      </c>
      <c r="I13509" t="s">
        <v>47556</v>
      </c>
      <c r="P13509" t="s">
        <v>47557</v>
      </c>
      <c r="Y13509" t="s">
        <v>47558</v>
      </c>
    </row>
    <row r="13510" spans="1:25" x14ac:dyDescent="0.25">
      <c r="A13510" t="str">
        <f>"215785387211"</f>
        <v>215785387211</v>
      </c>
      <c r="B13510" t="s">
        <v>96</v>
      </c>
      <c r="C13510" t="s">
        <v>31012</v>
      </c>
      <c r="D13510" t="s">
        <v>31011</v>
      </c>
      <c r="E13510">
        <v>424038</v>
      </c>
      <c r="F13510" t="s">
        <v>1</v>
      </c>
      <c r="G13510" t="s">
        <v>2</v>
      </c>
      <c r="H13510" t="s">
        <v>7597</v>
      </c>
      <c r="J13510" t="s">
        <v>47559</v>
      </c>
      <c r="L13510" t="s">
        <v>47560</v>
      </c>
      <c r="M13510" t="s">
        <v>47561</v>
      </c>
      <c r="P13510" t="s">
        <v>1642</v>
      </c>
      <c r="Q13510" t="s">
        <v>31013</v>
      </c>
      <c r="V13510" t="s">
        <v>47562</v>
      </c>
      <c r="Y13510" t="s">
        <v>16150</v>
      </c>
    </row>
    <row r="13511" spans="1:25" x14ac:dyDescent="0.25">
      <c r="A13511" t="str">
        <f>"215828147762"</f>
        <v>215828147762</v>
      </c>
      <c r="B13511" t="s">
        <v>669</v>
      </c>
      <c r="C13511" t="s">
        <v>2689</v>
      </c>
      <c r="D13511" t="s">
        <v>47563</v>
      </c>
      <c r="F13511" t="s">
        <v>1</v>
      </c>
      <c r="G13511" t="s">
        <v>2</v>
      </c>
      <c r="H13511" t="s">
        <v>8989</v>
      </c>
      <c r="Y13511" t="s">
        <v>47564</v>
      </c>
    </row>
    <row r="13512" spans="1:25" x14ac:dyDescent="0.25">
      <c r="A13512" t="str">
        <f>"215836776954"</f>
        <v>215836776954</v>
      </c>
      <c r="B13512" t="s">
        <v>1078</v>
      </c>
      <c r="C13512" t="s">
        <v>2306</v>
      </c>
      <c r="D13512" t="s">
        <v>47565</v>
      </c>
      <c r="E13512">
        <v>424002</v>
      </c>
      <c r="F13512" t="s">
        <v>1</v>
      </c>
      <c r="G13512" t="s">
        <v>2</v>
      </c>
      <c r="H13512" t="s">
        <v>5162</v>
      </c>
      <c r="P13512" t="s">
        <v>1213</v>
      </c>
      <c r="Y13512" t="s">
        <v>47566</v>
      </c>
    </row>
    <row r="13513" spans="1:25" x14ac:dyDescent="0.25">
      <c r="A13513" t="str">
        <f>"215872475516"</f>
        <v>215872475516</v>
      </c>
      <c r="B13513" t="s">
        <v>447</v>
      </c>
      <c r="C13513" t="s">
        <v>5875</v>
      </c>
      <c r="D13513" t="s">
        <v>3664</v>
      </c>
      <c r="F13513" t="s">
        <v>1</v>
      </c>
      <c r="G13513" t="s">
        <v>2</v>
      </c>
      <c r="H13513" t="s">
        <v>23852</v>
      </c>
      <c r="I13513" t="s">
        <v>27078</v>
      </c>
      <c r="L13513" t="s">
        <v>27079</v>
      </c>
      <c r="P13513" t="s">
        <v>1638</v>
      </c>
      <c r="Y13513" t="s">
        <v>24833</v>
      </c>
    </row>
    <row r="13514" spans="1:25" x14ac:dyDescent="0.25">
      <c r="A13514" t="str">
        <f>"215874021114"</f>
        <v>215874021114</v>
      </c>
      <c r="B13514" t="s">
        <v>1061</v>
      </c>
      <c r="C13514" t="s">
        <v>26953</v>
      </c>
      <c r="D13514" t="s">
        <v>47567</v>
      </c>
      <c r="F13514" t="s">
        <v>1</v>
      </c>
      <c r="G13514" t="s">
        <v>2</v>
      </c>
      <c r="H13514" t="s">
        <v>44127</v>
      </c>
      <c r="Y13514" t="s">
        <v>47568</v>
      </c>
    </row>
    <row r="13515" spans="1:25" x14ac:dyDescent="0.25">
      <c r="A13515" t="str">
        <f>"215890885850"</f>
        <v>215890885850</v>
      </c>
      <c r="B13515" t="s">
        <v>1611</v>
      </c>
      <c r="C13515" t="s">
        <v>3218</v>
      </c>
      <c r="D13515" t="s">
        <v>47569</v>
      </c>
      <c r="E13515">
        <v>424037</v>
      </c>
      <c r="F13515" t="s">
        <v>1</v>
      </c>
      <c r="G13515" t="s">
        <v>2</v>
      </c>
      <c r="H13515" t="s">
        <v>15407</v>
      </c>
      <c r="I13515" t="s">
        <v>47570</v>
      </c>
      <c r="L13515" t="s">
        <v>3217</v>
      </c>
      <c r="P13515" t="s">
        <v>280</v>
      </c>
      <c r="Y13515" t="s">
        <v>4724</v>
      </c>
    </row>
    <row r="13516" spans="1:25" x14ac:dyDescent="0.25">
      <c r="A13516" t="str">
        <f>"215947318662"</f>
        <v>215947318662</v>
      </c>
      <c r="B13516" t="s">
        <v>1343</v>
      </c>
      <c r="C13516" t="s">
        <v>1344</v>
      </c>
      <c r="D13516" t="s">
        <v>6318</v>
      </c>
      <c r="E13516">
        <v>424020</v>
      </c>
      <c r="F13516" t="s">
        <v>1</v>
      </c>
      <c r="G13516" t="s">
        <v>2</v>
      </c>
      <c r="H13516" t="s">
        <v>6262</v>
      </c>
      <c r="J13516" t="s">
        <v>47571</v>
      </c>
      <c r="P13516" t="s">
        <v>6263</v>
      </c>
      <c r="Y13516" t="s">
        <v>23184</v>
      </c>
    </row>
    <row r="13517" spans="1:25" x14ac:dyDescent="0.25">
      <c r="A13517" t="str">
        <f>"215970514064"</f>
        <v>215970514064</v>
      </c>
      <c r="B13517" t="s">
        <v>1152</v>
      </c>
      <c r="C13517" t="s">
        <v>1153</v>
      </c>
      <c r="D13517" t="s">
        <v>24071</v>
      </c>
      <c r="F13517" t="s">
        <v>1</v>
      </c>
      <c r="G13517" t="s">
        <v>2</v>
      </c>
      <c r="H13517" t="s">
        <v>30571</v>
      </c>
      <c r="Y13517" t="s">
        <v>47572</v>
      </c>
    </row>
    <row r="13518" spans="1:25" x14ac:dyDescent="0.25">
      <c r="A13518" t="str">
        <f>"215999293211"</f>
        <v>215999293211</v>
      </c>
      <c r="B13518" t="s">
        <v>290</v>
      </c>
      <c r="C13518" t="s">
        <v>290</v>
      </c>
      <c r="D13518" t="s">
        <v>5285</v>
      </c>
      <c r="E13518">
        <v>424038</v>
      </c>
      <c r="F13518" t="s">
        <v>1</v>
      </c>
      <c r="G13518" t="s">
        <v>2</v>
      </c>
      <c r="H13518" t="s">
        <v>23251</v>
      </c>
      <c r="Y13518" t="s">
        <v>47573</v>
      </c>
    </row>
    <row r="13519" spans="1:25" x14ac:dyDescent="0.25">
      <c r="A13519" t="str">
        <f>"216009090990"</f>
        <v>216009090990</v>
      </c>
      <c r="B13519" t="s">
        <v>32</v>
      </c>
      <c r="C13519" t="s">
        <v>182</v>
      </c>
      <c r="D13519" t="s">
        <v>47574</v>
      </c>
      <c r="F13519" t="s">
        <v>1</v>
      </c>
      <c r="G13519" t="s">
        <v>2</v>
      </c>
      <c r="H13519" t="s">
        <v>24169</v>
      </c>
      <c r="I13519" t="s">
        <v>47575</v>
      </c>
      <c r="J13519" t="s">
        <v>47576</v>
      </c>
      <c r="P13519" t="s">
        <v>144</v>
      </c>
      <c r="Y13519" t="s">
        <v>24173</v>
      </c>
    </row>
    <row r="13520" spans="1:25" x14ac:dyDescent="0.25">
      <c r="A13520" t="str">
        <f>"216054976985"</f>
        <v>216054976985</v>
      </c>
      <c r="B13520" t="s">
        <v>123</v>
      </c>
      <c r="C13520" t="s">
        <v>10232</v>
      </c>
      <c r="D13520" t="s">
        <v>14619</v>
      </c>
      <c r="E13520">
        <v>424003</v>
      </c>
      <c r="F13520" t="s">
        <v>1</v>
      </c>
      <c r="G13520" t="s">
        <v>2</v>
      </c>
      <c r="H13520" t="s">
        <v>1042</v>
      </c>
      <c r="I13520" t="s">
        <v>47577</v>
      </c>
      <c r="L13520" t="s">
        <v>14622</v>
      </c>
      <c r="M13520" t="s">
        <v>14623</v>
      </c>
      <c r="P13520" t="s">
        <v>47578</v>
      </c>
      <c r="Y13520" t="s">
        <v>11321</v>
      </c>
    </row>
    <row r="13521" spans="1:25" x14ac:dyDescent="0.25">
      <c r="A13521" t="str">
        <f>"216111163043"</f>
        <v>216111163043</v>
      </c>
      <c r="B13521" t="s">
        <v>348</v>
      </c>
      <c r="C13521" t="s">
        <v>4366</v>
      </c>
      <c r="D13521" t="s">
        <v>47579</v>
      </c>
      <c r="F13521" t="s">
        <v>1</v>
      </c>
      <c r="G13521" t="s">
        <v>2</v>
      </c>
      <c r="H13521" t="s">
        <v>138</v>
      </c>
      <c r="I13521" t="s">
        <v>47580</v>
      </c>
      <c r="J13521" t="s">
        <v>47581</v>
      </c>
      <c r="L13521" t="s">
        <v>47582</v>
      </c>
      <c r="M13521" t="s">
        <v>47583</v>
      </c>
      <c r="P13521" t="s">
        <v>144</v>
      </c>
      <c r="Y13521" t="s">
        <v>146</v>
      </c>
    </row>
    <row r="13522" spans="1:25" x14ac:dyDescent="0.25">
      <c r="A13522" t="str">
        <f>"216126468875"</f>
        <v>216126468875</v>
      </c>
      <c r="B13522" t="s">
        <v>417</v>
      </c>
      <c r="C13522" t="s">
        <v>418</v>
      </c>
      <c r="D13522" t="s">
        <v>47584</v>
      </c>
      <c r="E13522">
        <v>424033</v>
      </c>
      <c r="F13522" t="s">
        <v>1</v>
      </c>
      <c r="G13522" t="s">
        <v>2</v>
      </c>
      <c r="H13522" t="s">
        <v>16703</v>
      </c>
      <c r="I13522" t="s">
        <v>47585</v>
      </c>
      <c r="J13522" t="s">
        <v>47586</v>
      </c>
      <c r="P13522" t="s">
        <v>6400</v>
      </c>
      <c r="Y13522" t="s">
        <v>47587</v>
      </c>
    </row>
    <row r="13523" spans="1:25" x14ac:dyDescent="0.25">
      <c r="A13523" t="str">
        <f>"216145980029"</f>
        <v>216145980029</v>
      </c>
      <c r="B13523" t="s">
        <v>530</v>
      </c>
      <c r="C13523" t="s">
        <v>23950</v>
      </c>
      <c r="D13523" t="s">
        <v>23950</v>
      </c>
      <c r="F13523" t="s">
        <v>1</v>
      </c>
      <c r="G13523" t="s">
        <v>2</v>
      </c>
      <c r="H13523" t="s">
        <v>41610</v>
      </c>
      <c r="Y13523" t="s">
        <v>47588</v>
      </c>
    </row>
    <row r="13524" spans="1:25" x14ac:dyDescent="0.25">
      <c r="A13524" t="str">
        <f>"216169288661"</f>
        <v>216169288661</v>
      </c>
      <c r="B13524" t="s">
        <v>1343</v>
      </c>
      <c r="C13524" t="s">
        <v>29280</v>
      </c>
      <c r="D13524" t="s">
        <v>47589</v>
      </c>
      <c r="E13524">
        <v>424000</v>
      </c>
      <c r="F13524" t="s">
        <v>1</v>
      </c>
      <c r="G13524" t="s">
        <v>2</v>
      </c>
      <c r="H13524" t="s">
        <v>1531</v>
      </c>
      <c r="Y13524" t="s">
        <v>1707</v>
      </c>
    </row>
    <row r="13525" spans="1:25" x14ac:dyDescent="0.25">
      <c r="A13525" t="str">
        <f>"216296042469"</f>
        <v>216296042469</v>
      </c>
      <c r="B13525" t="s">
        <v>18</v>
      </c>
      <c r="C13525" t="s">
        <v>4522</v>
      </c>
      <c r="D13525" t="s">
        <v>17532</v>
      </c>
      <c r="E13525">
        <v>424026</v>
      </c>
      <c r="F13525" t="s">
        <v>1</v>
      </c>
      <c r="G13525" t="s">
        <v>2</v>
      </c>
      <c r="H13525" t="s">
        <v>1095</v>
      </c>
      <c r="I13525" t="s">
        <v>47590</v>
      </c>
      <c r="P13525" t="s">
        <v>27</v>
      </c>
      <c r="Y13525" t="s">
        <v>1097</v>
      </c>
    </row>
    <row r="13526" spans="1:25" x14ac:dyDescent="0.25">
      <c r="A13526" t="str">
        <f>"216307161883"</f>
        <v>216307161883</v>
      </c>
      <c r="B13526" t="s">
        <v>530</v>
      </c>
      <c r="C13526" t="s">
        <v>23950</v>
      </c>
      <c r="D13526" t="s">
        <v>23950</v>
      </c>
      <c r="F13526" t="s">
        <v>1</v>
      </c>
      <c r="G13526" t="s">
        <v>2</v>
      </c>
      <c r="H13526" t="s">
        <v>31829</v>
      </c>
      <c r="Y13526" t="s">
        <v>47591</v>
      </c>
    </row>
    <row r="13527" spans="1:25" x14ac:dyDescent="0.25">
      <c r="A13527" t="str">
        <f>"216313723930"</f>
        <v>216313723930</v>
      </c>
      <c r="B13527" t="s">
        <v>1352</v>
      </c>
      <c r="C13527" t="s">
        <v>1353</v>
      </c>
      <c r="D13527" t="s">
        <v>40441</v>
      </c>
      <c r="E13527">
        <v>424918</v>
      </c>
      <c r="F13527" t="s">
        <v>1</v>
      </c>
      <c r="G13527" t="s">
        <v>2</v>
      </c>
      <c r="H13527" t="s">
        <v>629</v>
      </c>
      <c r="J13527" t="s">
        <v>45346</v>
      </c>
      <c r="M13527" t="s">
        <v>47592</v>
      </c>
      <c r="P13527" t="s">
        <v>144</v>
      </c>
      <c r="V13527" t="s">
        <v>47593</v>
      </c>
      <c r="Y13527" t="s">
        <v>47594</v>
      </c>
    </row>
    <row r="13528" spans="1:25" x14ac:dyDescent="0.25">
      <c r="A13528" t="str">
        <f>"216330410453"</f>
        <v>216330410453</v>
      </c>
      <c r="B13528" t="s">
        <v>160</v>
      </c>
      <c r="C13528" t="s">
        <v>1666</v>
      </c>
      <c r="D13528" t="s">
        <v>47595</v>
      </c>
      <c r="E13528">
        <v>424007</v>
      </c>
      <c r="F13528" t="s">
        <v>1</v>
      </c>
      <c r="G13528" t="s">
        <v>2</v>
      </c>
      <c r="H13528" t="s">
        <v>15005</v>
      </c>
      <c r="I13528" t="s">
        <v>47596</v>
      </c>
      <c r="P13528" t="s">
        <v>20</v>
      </c>
      <c r="Y13528" t="s">
        <v>15006</v>
      </c>
    </row>
    <row r="13529" spans="1:25" x14ac:dyDescent="0.25">
      <c r="A13529" t="str">
        <f>"216338901613"</f>
        <v>216338901613</v>
      </c>
      <c r="B13529" t="s">
        <v>930</v>
      </c>
      <c r="C13529" t="s">
        <v>47599</v>
      </c>
      <c r="D13529" t="s">
        <v>3922</v>
      </c>
      <c r="F13529" t="s">
        <v>1</v>
      </c>
      <c r="G13529" t="s">
        <v>2</v>
      </c>
      <c r="H13529" t="s">
        <v>11577</v>
      </c>
      <c r="I13529" t="s">
        <v>47597</v>
      </c>
      <c r="L13529" t="s">
        <v>8198</v>
      </c>
      <c r="M13529" t="s">
        <v>47598</v>
      </c>
      <c r="P13529" t="s">
        <v>152</v>
      </c>
      <c r="Q13529" t="s">
        <v>47600</v>
      </c>
      <c r="Y13529" t="s">
        <v>47601</v>
      </c>
    </row>
    <row r="13530" spans="1:25" x14ac:dyDescent="0.25">
      <c r="A13530" t="str">
        <f>"216353156121"</f>
        <v>216353156121</v>
      </c>
      <c r="B13530" t="s">
        <v>18</v>
      </c>
      <c r="C13530" t="s">
        <v>47606</v>
      </c>
      <c r="D13530" t="s">
        <v>47602</v>
      </c>
      <c r="E13530">
        <v>424016</v>
      </c>
      <c r="F13530" t="s">
        <v>1</v>
      </c>
      <c r="G13530" t="s">
        <v>2</v>
      </c>
      <c r="H13530" t="s">
        <v>673</v>
      </c>
      <c r="I13530" t="s">
        <v>47603</v>
      </c>
      <c r="L13530" t="s">
        <v>47604</v>
      </c>
      <c r="M13530" t="s">
        <v>47605</v>
      </c>
      <c r="P13530" t="s">
        <v>6467</v>
      </c>
      <c r="Q13530" t="s">
        <v>47607</v>
      </c>
      <c r="T13530" t="s">
        <v>47608</v>
      </c>
      <c r="U13530" t="s">
        <v>47609</v>
      </c>
      <c r="V13530" t="s">
        <v>47610</v>
      </c>
      <c r="Y13530" t="s">
        <v>47611</v>
      </c>
    </row>
    <row r="13531" spans="1:25" x14ac:dyDescent="0.25">
      <c r="A13531" t="str">
        <f>"216381081772"</f>
        <v>216381081772</v>
      </c>
      <c r="B13531" t="s">
        <v>1152</v>
      </c>
      <c r="C13531" t="s">
        <v>1153</v>
      </c>
      <c r="D13531" t="s">
        <v>10280</v>
      </c>
      <c r="E13531">
        <v>424004</v>
      </c>
      <c r="F13531" t="s">
        <v>1</v>
      </c>
      <c r="G13531" t="s">
        <v>2</v>
      </c>
      <c r="H13531" t="s">
        <v>34964</v>
      </c>
      <c r="I13531" t="s">
        <v>22092</v>
      </c>
      <c r="M13531" t="s">
        <v>10284</v>
      </c>
      <c r="Q13531" t="s">
        <v>10286</v>
      </c>
      <c r="R13531" t="s">
        <v>10287</v>
      </c>
      <c r="S13531" t="s">
        <v>10288</v>
      </c>
      <c r="T13531" t="s">
        <v>10289</v>
      </c>
      <c r="U13531" t="s">
        <v>10290</v>
      </c>
      <c r="V13531" t="s">
        <v>10291</v>
      </c>
      <c r="Y13531" t="s">
        <v>47612</v>
      </c>
    </row>
    <row r="13532" spans="1:25" x14ac:dyDescent="0.25">
      <c r="A13532" t="str">
        <f>"216448375652"</f>
        <v>216448375652</v>
      </c>
      <c r="B13532" t="s">
        <v>530</v>
      </c>
      <c r="C13532" t="s">
        <v>23950</v>
      </c>
      <c r="D13532" t="s">
        <v>23950</v>
      </c>
      <c r="F13532" t="s">
        <v>1</v>
      </c>
      <c r="G13532" t="s">
        <v>2</v>
      </c>
      <c r="H13532" t="s">
        <v>25017</v>
      </c>
      <c r="Y13532" t="s">
        <v>47613</v>
      </c>
    </row>
    <row r="13533" spans="1:25" x14ac:dyDescent="0.25">
      <c r="A13533" t="str">
        <f>"216524223723"</f>
        <v>216524223723</v>
      </c>
      <c r="B13533" t="s">
        <v>530</v>
      </c>
      <c r="C13533" t="s">
        <v>23950</v>
      </c>
      <c r="D13533" t="s">
        <v>23950</v>
      </c>
      <c r="F13533" t="s">
        <v>1</v>
      </c>
      <c r="G13533" t="s">
        <v>2</v>
      </c>
      <c r="H13533" t="s">
        <v>26272</v>
      </c>
      <c r="Y13533" t="s">
        <v>47614</v>
      </c>
    </row>
    <row r="13534" spans="1:25" x14ac:dyDescent="0.25">
      <c r="A13534" t="str">
        <f>"216558971526"</f>
        <v>216558971526</v>
      </c>
      <c r="B13534" t="s">
        <v>96</v>
      </c>
      <c r="C13534" t="s">
        <v>9085</v>
      </c>
      <c r="D13534" t="s">
        <v>17931</v>
      </c>
      <c r="E13534">
        <v>424918</v>
      </c>
      <c r="F13534" t="s">
        <v>1</v>
      </c>
      <c r="G13534" t="s">
        <v>2</v>
      </c>
      <c r="H13534" t="s">
        <v>629</v>
      </c>
      <c r="P13534" t="s">
        <v>630</v>
      </c>
      <c r="Y13534" t="s">
        <v>1744</v>
      </c>
    </row>
    <row r="13535" spans="1:25" x14ac:dyDescent="0.25">
      <c r="A13535" t="str">
        <f>"216640855303"</f>
        <v>216640855303</v>
      </c>
      <c r="B13535" t="s">
        <v>519</v>
      </c>
      <c r="C13535" t="s">
        <v>23996</v>
      </c>
      <c r="D13535" t="s">
        <v>47615</v>
      </c>
      <c r="E13535">
        <v>424004</v>
      </c>
      <c r="F13535" t="s">
        <v>1</v>
      </c>
      <c r="G13535" t="s">
        <v>2</v>
      </c>
      <c r="H13535" t="s">
        <v>3489</v>
      </c>
      <c r="Y13535" t="s">
        <v>47616</v>
      </c>
    </row>
    <row r="13536" spans="1:25" x14ac:dyDescent="0.25">
      <c r="A13536" t="str">
        <f>"216699379175"</f>
        <v>216699379175</v>
      </c>
      <c r="B13536" t="s">
        <v>1544</v>
      </c>
      <c r="C13536" t="s">
        <v>7974</v>
      </c>
      <c r="D13536" t="s">
        <v>24570</v>
      </c>
      <c r="E13536">
        <v>424020</v>
      </c>
      <c r="F13536" t="s">
        <v>1</v>
      </c>
      <c r="G13536" t="s">
        <v>2</v>
      </c>
      <c r="H13536" t="s">
        <v>23</v>
      </c>
      <c r="Y13536" t="s">
        <v>47617</v>
      </c>
    </row>
    <row r="13537" spans="1:25" x14ac:dyDescent="0.25">
      <c r="A13537" t="str">
        <f>"216700715623"</f>
        <v>216700715623</v>
      </c>
      <c r="B13537" t="s">
        <v>574</v>
      </c>
      <c r="C13537" t="s">
        <v>27049</v>
      </c>
      <c r="D13537" t="s">
        <v>569</v>
      </c>
      <c r="E13537">
        <v>424028</v>
      </c>
      <c r="F13537" t="s">
        <v>1</v>
      </c>
      <c r="G13537" t="s">
        <v>2</v>
      </c>
      <c r="H13537" t="s">
        <v>7204</v>
      </c>
      <c r="I13537" t="s">
        <v>25932</v>
      </c>
      <c r="P13537" t="s">
        <v>330</v>
      </c>
      <c r="Y13537" t="s">
        <v>47618</v>
      </c>
    </row>
    <row r="13538" spans="1:25" x14ac:dyDescent="0.25">
      <c r="A13538" t="str">
        <f>"216762956991"</f>
        <v>216762956991</v>
      </c>
      <c r="B13538" t="s">
        <v>456</v>
      </c>
      <c r="C13538" t="s">
        <v>2773</v>
      </c>
      <c r="D13538" t="s">
        <v>47619</v>
      </c>
      <c r="E13538">
        <v>424002</v>
      </c>
      <c r="F13538" t="s">
        <v>1</v>
      </c>
      <c r="G13538" t="s">
        <v>2</v>
      </c>
      <c r="H13538" t="s">
        <v>570</v>
      </c>
      <c r="I13538" t="s">
        <v>47620</v>
      </c>
      <c r="M13538" t="s">
        <v>47621</v>
      </c>
      <c r="P13538" t="s">
        <v>2406</v>
      </c>
      <c r="Q13538" t="s">
        <v>47622</v>
      </c>
      <c r="R13538" t="s">
        <v>47623</v>
      </c>
      <c r="T13538" t="s">
        <v>47624</v>
      </c>
      <c r="U13538" t="s">
        <v>47625</v>
      </c>
      <c r="Y13538" t="s">
        <v>18782</v>
      </c>
    </row>
    <row r="13539" spans="1:25" x14ac:dyDescent="0.25">
      <c r="A13539" t="str">
        <f>"216829684343"</f>
        <v>216829684343</v>
      </c>
      <c r="B13539" t="s">
        <v>530</v>
      </c>
      <c r="C13539" t="s">
        <v>23950</v>
      </c>
      <c r="D13539" t="s">
        <v>23950</v>
      </c>
      <c r="E13539">
        <v>424039</v>
      </c>
      <c r="F13539" t="s">
        <v>1</v>
      </c>
      <c r="G13539" t="s">
        <v>2</v>
      </c>
      <c r="H13539" t="s">
        <v>557</v>
      </c>
      <c r="Y13539" t="s">
        <v>47626</v>
      </c>
    </row>
    <row r="13540" spans="1:25" x14ac:dyDescent="0.25">
      <c r="A13540" t="str">
        <f>"216867499695"</f>
        <v>216867499695</v>
      </c>
      <c r="B13540" t="s">
        <v>160</v>
      </c>
      <c r="C13540" t="s">
        <v>1666</v>
      </c>
      <c r="D13540" t="s">
        <v>47627</v>
      </c>
      <c r="E13540">
        <v>424003</v>
      </c>
      <c r="F13540" t="s">
        <v>1</v>
      </c>
      <c r="G13540" t="s">
        <v>2</v>
      </c>
      <c r="H13540" t="s">
        <v>47628</v>
      </c>
      <c r="Y13540" t="s">
        <v>26582</v>
      </c>
    </row>
    <row r="13541" spans="1:25" x14ac:dyDescent="0.25">
      <c r="A13541" t="str">
        <f>"216881420486"</f>
        <v>216881420486</v>
      </c>
      <c r="B13541" t="s">
        <v>96</v>
      </c>
      <c r="C13541" t="s">
        <v>893</v>
      </c>
      <c r="D13541" t="s">
        <v>47629</v>
      </c>
      <c r="E13541">
        <v>424000</v>
      </c>
      <c r="F13541" t="s">
        <v>1</v>
      </c>
      <c r="G13541" t="s">
        <v>2</v>
      </c>
      <c r="H13541" t="s">
        <v>6578</v>
      </c>
      <c r="Y13541" t="s">
        <v>47630</v>
      </c>
    </row>
    <row r="13542" spans="1:25" x14ac:dyDescent="0.25">
      <c r="A13542" t="str">
        <f>"216885741177"</f>
        <v>216885741177</v>
      </c>
      <c r="B13542" t="s">
        <v>978</v>
      </c>
      <c r="C13542" t="s">
        <v>47634</v>
      </c>
      <c r="D13542" t="s">
        <v>47631</v>
      </c>
      <c r="E13542">
        <v>424033</v>
      </c>
      <c r="F13542" t="s">
        <v>1</v>
      </c>
      <c r="G13542" t="s">
        <v>2</v>
      </c>
      <c r="H13542" t="s">
        <v>22290</v>
      </c>
      <c r="I13542" t="s">
        <v>47632</v>
      </c>
      <c r="L13542" t="s">
        <v>47633</v>
      </c>
      <c r="P13542" t="s">
        <v>47635</v>
      </c>
      <c r="Q13542" t="s">
        <v>47636</v>
      </c>
      <c r="Y13542" t="s">
        <v>47637</v>
      </c>
    </row>
    <row r="13543" spans="1:25" x14ac:dyDescent="0.25">
      <c r="A13543" t="str">
        <f>"216887215145"</f>
        <v>216887215145</v>
      </c>
      <c r="B13543" t="s">
        <v>32</v>
      </c>
      <c r="C13543" t="s">
        <v>40</v>
      </c>
      <c r="D13543" t="s">
        <v>37022</v>
      </c>
      <c r="E13543">
        <v>424028</v>
      </c>
      <c r="F13543" t="s">
        <v>1</v>
      </c>
      <c r="G13543" t="s">
        <v>2</v>
      </c>
      <c r="H13543" t="s">
        <v>15129</v>
      </c>
      <c r="Y13543" t="s">
        <v>47638</v>
      </c>
    </row>
    <row r="13544" spans="1:25" x14ac:dyDescent="0.25">
      <c r="A13544" t="str">
        <f>"216961138489"</f>
        <v>216961138489</v>
      </c>
      <c r="B13544" t="s">
        <v>96</v>
      </c>
      <c r="C13544" t="s">
        <v>893</v>
      </c>
      <c r="D13544" t="s">
        <v>47639</v>
      </c>
      <c r="E13544">
        <v>424000</v>
      </c>
      <c r="F13544" t="s">
        <v>1</v>
      </c>
      <c r="G13544" t="s">
        <v>2</v>
      </c>
      <c r="H13544" t="s">
        <v>1531</v>
      </c>
      <c r="Y13544" t="s">
        <v>1707</v>
      </c>
    </row>
    <row r="13545" spans="1:25" x14ac:dyDescent="0.25">
      <c r="A13545" t="str">
        <f>"216963661227"</f>
        <v>216963661227</v>
      </c>
      <c r="B13545" t="s">
        <v>123</v>
      </c>
      <c r="C13545" t="s">
        <v>10769</v>
      </c>
      <c r="D13545" t="s">
        <v>47640</v>
      </c>
      <c r="E13545">
        <v>424019</v>
      </c>
      <c r="F13545" t="s">
        <v>1</v>
      </c>
      <c r="G13545" t="s">
        <v>2</v>
      </c>
      <c r="H13545" t="s">
        <v>47641</v>
      </c>
      <c r="I13545" t="s">
        <v>47642</v>
      </c>
      <c r="J13545" t="s">
        <v>47643</v>
      </c>
      <c r="P13545" t="s">
        <v>216</v>
      </c>
      <c r="Q13545" t="s">
        <v>47644</v>
      </c>
      <c r="Y13545" t="s">
        <v>47645</v>
      </c>
    </row>
    <row r="13546" spans="1:25" x14ac:dyDescent="0.25">
      <c r="A13546" t="str">
        <f>"216975661248"</f>
        <v>216975661248</v>
      </c>
      <c r="B13546" t="s">
        <v>5745</v>
      </c>
      <c r="C13546" t="s">
        <v>47647</v>
      </c>
      <c r="D13546" t="s">
        <v>18004</v>
      </c>
      <c r="E13546">
        <v>424007</v>
      </c>
      <c r="F13546" t="s">
        <v>1</v>
      </c>
      <c r="G13546" t="s">
        <v>2</v>
      </c>
      <c r="H13546" t="s">
        <v>6794</v>
      </c>
      <c r="I13546" t="s">
        <v>47646</v>
      </c>
      <c r="P13546" t="s">
        <v>27</v>
      </c>
      <c r="Y13546" t="s">
        <v>6797</v>
      </c>
    </row>
    <row r="13547" spans="1:25" x14ac:dyDescent="0.25">
      <c r="A13547" t="str">
        <f>"216980072902"</f>
        <v>216980072902</v>
      </c>
      <c r="B13547" t="s">
        <v>738</v>
      </c>
      <c r="C13547" t="s">
        <v>739</v>
      </c>
      <c r="D13547" t="s">
        <v>47648</v>
      </c>
      <c r="E13547">
        <v>424006</v>
      </c>
      <c r="F13547" t="s">
        <v>1</v>
      </c>
      <c r="G13547" t="s">
        <v>2</v>
      </c>
      <c r="H13547" t="s">
        <v>7984</v>
      </c>
      <c r="J13547" t="s">
        <v>47649</v>
      </c>
      <c r="M13547" t="s">
        <v>47650</v>
      </c>
      <c r="P13547" t="s">
        <v>10486</v>
      </c>
      <c r="Y13547" t="s">
        <v>32951</v>
      </c>
    </row>
    <row r="13548" spans="1:25" x14ac:dyDescent="0.25">
      <c r="A13548" t="str">
        <f>"217022445212"</f>
        <v>217022445212</v>
      </c>
      <c r="B13548" t="s">
        <v>1544</v>
      </c>
      <c r="C13548" t="s">
        <v>15598</v>
      </c>
      <c r="D13548" t="s">
        <v>14690</v>
      </c>
      <c r="E13548">
        <v>424033</v>
      </c>
      <c r="F13548" t="s">
        <v>1</v>
      </c>
      <c r="G13548" t="s">
        <v>2</v>
      </c>
      <c r="H13548" t="s">
        <v>1383</v>
      </c>
      <c r="P13548" t="s">
        <v>1505</v>
      </c>
      <c r="Y13548" t="s">
        <v>47651</v>
      </c>
    </row>
    <row r="13549" spans="1:25" x14ac:dyDescent="0.25">
      <c r="A13549" t="str">
        <f>"217047511899"</f>
        <v>217047511899</v>
      </c>
      <c r="B13549" t="s">
        <v>96</v>
      </c>
      <c r="C13549" t="s">
        <v>695</v>
      </c>
      <c r="D13549" t="s">
        <v>12083</v>
      </c>
      <c r="E13549">
        <v>424028</v>
      </c>
      <c r="F13549" t="s">
        <v>1</v>
      </c>
      <c r="G13549" t="s">
        <v>2</v>
      </c>
      <c r="H13549" t="s">
        <v>1969</v>
      </c>
      <c r="Y13549" t="s">
        <v>47652</v>
      </c>
    </row>
    <row r="13550" spans="1:25" x14ac:dyDescent="0.25">
      <c r="A13550" t="str">
        <f>"217056061438"</f>
        <v>217056061438</v>
      </c>
      <c r="B13550" t="s">
        <v>1611</v>
      </c>
      <c r="C13550" t="s">
        <v>26250</v>
      </c>
      <c r="D13550" t="s">
        <v>47653</v>
      </c>
      <c r="E13550">
        <v>424005</v>
      </c>
      <c r="F13550" t="s">
        <v>1</v>
      </c>
      <c r="G13550" t="s">
        <v>2</v>
      </c>
      <c r="H13550" t="s">
        <v>11683</v>
      </c>
      <c r="Y13550" t="s">
        <v>47654</v>
      </c>
    </row>
    <row r="13551" spans="1:25" x14ac:dyDescent="0.25">
      <c r="A13551" t="str">
        <f>"217056553956"</f>
        <v>217056553956</v>
      </c>
      <c r="B13551" t="s">
        <v>3652</v>
      </c>
      <c r="C13551" t="s">
        <v>14101</v>
      </c>
      <c r="D13551" t="s">
        <v>15763</v>
      </c>
      <c r="E13551">
        <v>424007</v>
      </c>
      <c r="F13551" t="s">
        <v>1</v>
      </c>
      <c r="G13551" t="s">
        <v>2</v>
      </c>
      <c r="H13551" t="s">
        <v>5281</v>
      </c>
      <c r="Y13551" t="s">
        <v>47655</v>
      </c>
    </row>
    <row r="13552" spans="1:25" x14ac:dyDescent="0.25">
      <c r="A13552" t="str">
        <f>"217120816347"</f>
        <v>217120816347</v>
      </c>
      <c r="B13552" t="s">
        <v>530</v>
      </c>
      <c r="C13552" t="s">
        <v>23950</v>
      </c>
      <c r="D13552" t="s">
        <v>23950</v>
      </c>
      <c r="E13552">
        <v>424002</v>
      </c>
      <c r="F13552" t="s">
        <v>1</v>
      </c>
      <c r="G13552" t="s">
        <v>2</v>
      </c>
      <c r="H13552" t="s">
        <v>18689</v>
      </c>
      <c r="Y13552" t="s">
        <v>47656</v>
      </c>
    </row>
    <row r="13553" spans="1:25" x14ac:dyDescent="0.25">
      <c r="A13553" t="str">
        <f>"217125510386"</f>
        <v>217125510386</v>
      </c>
      <c r="B13553" t="s">
        <v>123</v>
      </c>
      <c r="C13553" t="s">
        <v>10249</v>
      </c>
      <c r="D13553" t="s">
        <v>47657</v>
      </c>
      <c r="E13553">
        <v>424003</v>
      </c>
      <c r="F13553" t="s">
        <v>1</v>
      </c>
      <c r="G13553" t="s">
        <v>2</v>
      </c>
      <c r="H13553" t="s">
        <v>46625</v>
      </c>
      <c r="I13553" t="s">
        <v>18222</v>
      </c>
      <c r="J13553" t="s">
        <v>46626</v>
      </c>
      <c r="P13553" t="s">
        <v>47658</v>
      </c>
      <c r="Q13553" t="s">
        <v>47659</v>
      </c>
      <c r="Y13553" t="s">
        <v>47660</v>
      </c>
    </row>
    <row r="13554" spans="1:25" x14ac:dyDescent="0.25">
      <c r="A13554" t="str">
        <f>"217151338644"</f>
        <v>217151338644</v>
      </c>
      <c r="B13554" t="s">
        <v>2818</v>
      </c>
      <c r="C13554" t="s">
        <v>47661</v>
      </c>
      <c r="D13554" t="s">
        <v>47661</v>
      </c>
      <c r="F13554" t="s">
        <v>1</v>
      </c>
      <c r="G13554" t="s">
        <v>2</v>
      </c>
      <c r="H13554" t="s">
        <v>35008</v>
      </c>
      <c r="Y13554" t="s">
        <v>47662</v>
      </c>
    </row>
    <row r="13555" spans="1:25" x14ac:dyDescent="0.25">
      <c r="A13555" t="str">
        <f>"217158210148"</f>
        <v>217158210148</v>
      </c>
      <c r="B13555" t="s">
        <v>530</v>
      </c>
      <c r="C13555" t="s">
        <v>23950</v>
      </c>
      <c r="D13555" t="s">
        <v>23950</v>
      </c>
      <c r="E13555">
        <v>424020</v>
      </c>
      <c r="F13555" t="s">
        <v>1</v>
      </c>
      <c r="G13555" t="s">
        <v>2</v>
      </c>
      <c r="H13555" t="s">
        <v>18860</v>
      </c>
      <c r="Y13555" t="s">
        <v>47663</v>
      </c>
    </row>
    <row r="13556" spans="1:25" x14ac:dyDescent="0.25">
      <c r="A13556" t="str">
        <f>"217294463485"</f>
        <v>217294463485</v>
      </c>
      <c r="B13556" t="s">
        <v>1053</v>
      </c>
      <c r="C13556" t="s">
        <v>47668</v>
      </c>
      <c r="D13556" t="s">
        <v>47664</v>
      </c>
      <c r="E13556">
        <v>424038</v>
      </c>
      <c r="F13556" t="s">
        <v>1</v>
      </c>
      <c r="G13556" t="s">
        <v>2</v>
      </c>
      <c r="H13556" t="s">
        <v>8196</v>
      </c>
      <c r="I13556" t="s">
        <v>47665</v>
      </c>
      <c r="L13556" t="s">
        <v>47666</v>
      </c>
      <c r="M13556" t="s">
        <v>47667</v>
      </c>
      <c r="P13556" t="s">
        <v>133</v>
      </c>
      <c r="Q13556" t="s">
        <v>47669</v>
      </c>
      <c r="T13556" t="s">
        <v>47670</v>
      </c>
      <c r="U13556" t="s">
        <v>47671</v>
      </c>
      <c r="Y13556" t="s">
        <v>15483</v>
      </c>
    </row>
    <row r="13557" spans="1:25" x14ac:dyDescent="0.25">
      <c r="A13557" t="str">
        <f>"217304815290"</f>
        <v>217304815290</v>
      </c>
      <c r="B13557" t="s">
        <v>25</v>
      </c>
      <c r="C13557" t="s">
        <v>59</v>
      </c>
      <c r="D13557" t="s">
        <v>41973</v>
      </c>
      <c r="E13557">
        <v>424016</v>
      </c>
      <c r="F13557" t="s">
        <v>1</v>
      </c>
      <c r="G13557" t="s">
        <v>2</v>
      </c>
      <c r="H13557" t="s">
        <v>673</v>
      </c>
      <c r="Y13557" t="s">
        <v>1072</v>
      </c>
    </row>
    <row r="13558" spans="1:25" x14ac:dyDescent="0.25">
      <c r="A13558" t="str">
        <f>"217329507775"</f>
        <v>217329507775</v>
      </c>
      <c r="B13558" t="s">
        <v>96</v>
      </c>
      <c r="C13558" t="s">
        <v>24441</v>
      </c>
      <c r="D13558" t="s">
        <v>47672</v>
      </c>
      <c r="E13558">
        <v>424038</v>
      </c>
      <c r="F13558" t="s">
        <v>1</v>
      </c>
      <c r="G13558" t="s">
        <v>2</v>
      </c>
      <c r="H13558" t="s">
        <v>7597</v>
      </c>
      <c r="P13558" t="s">
        <v>1642</v>
      </c>
      <c r="Y13558" t="s">
        <v>16150</v>
      </c>
    </row>
    <row r="13559" spans="1:25" x14ac:dyDescent="0.25">
      <c r="A13559" t="str">
        <f>"217353467980"</f>
        <v>217353467980</v>
      </c>
      <c r="B13559" t="s">
        <v>352</v>
      </c>
      <c r="C13559" t="s">
        <v>10059</v>
      </c>
      <c r="D13559" t="s">
        <v>47673</v>
      </c>
      <c r="E13559">
        <v>424007</v>
      </c>
      <c r="F13559" t="s">
        <v>1</v>
      </c>
      <c r="G13559" t="s">
        <v>2</v>
      </c>
      <c r="H13559" t="s">
        <v>10411</v>
      </c>
      <c r="J13559" t="s">
        <v>10898</v>
      </c>
      <c r="P13559" t="s">
        <v>216</v>
      </c>
      <c r="Y13559" t="s">
        <v>10413</v>
      </c>
    </row>
    <row r="13560" spans="1:25" x14ac:dyDescent="0.25">
      <c r="A13560" t="str">
        <f>"217403048921"</f>
        <v>217403048921</v>
      </c>
      <c r="B13560" t="s">
        <v>2104</v>
      </c>
      <c r="C13560" t="s">
        <v>39522</v>
      </c>
      <c r="D13560" t="s">
        <v>39520</v>
      </c>
      <c r="E13560">
        <v>424002</v>
      </c>
      <c r="F13560" t="s">
        <v>1</v>
      </c>
      <c r="G13560" t="s">
        <v>2</v>
      </c>
      <c r="H13560" t="s">
        <v>47674</v>
      </c>
      <c r="J13560" t="s">
        <v>39521</v>
      </c>
      <c r="P13560" t="s">
        <v>144</v>
      </c>
      <c r="Y13560" t="s">
        <v>47675</v>
      </c>
    </row>
    <row r="13561" spans="1:25" x14ac:dyDescent="0.25">
      <c r="A13561" t="str">
        <f>"217452172280"</f>
        <v>217452172280</v>
      </c>
      <c r="B13561" t="s">
        <v>687</v>
      </c>
      <c r="C13561" t="s">
        <v>5413</v>
      </c>
      <c r="D13561" t="s">
        <v>47676</v>
      </c>
      <c r="E13561">
        <v>424033</v>
      </c>
      <c r="F13561" t="s">
        <v>1</v>
      </c>
      <c r="G13561" t="s">
        <v>2</v>
      </c>
      <c r="H13561" t="s">
        <v>22290</v>
      </c>
      <c r="I13561" t="s">
        <v>47677</v>
      </c>
      <c r="L13561" t="s">
        <v>47678</v>
      </c>
      <c r="M13561" t="s">
        <v>47679</v>
      </c>
      <c r="Y13561" t="s">
        <v>43744</v>
      </c>
    </row>
    <row r="13562" spans="1:25" x14ac:dyDescent="0.25">
      <c r="A13562" t="str">
        <f>"217465328675"</f>
        <v>217465328675</v>
      </c>
      <c r="B13562" t="s">
        <v>151</v>
      </c>
      <c r="C13562" t="s">
        <v>4240</v>
      </c>
      <c r="D13562" t="s">
        <v>47680</v>
      </c>
      <c r="E13562">
        <v>424000</v>
      </c>
      <c r="F13562" t="s">
        <v>1</v>
      </c>
      <c r="G13562" t="s">
        <v>2</v>
      </c>
      <c r="H13562" t="s">
        <v>4462</v>
      </c>
      <c r="Y13562" t="s">
        <v>22222</v>
      </c>
    </row>
    <row r="13563" spans="1:25" x14ac:dyDescent="0.25">
      <c r="A13563" t="str">
        <f>"217489107906"</f>
        <v>217489107906</v>
      </c>
      <c r="B13563" t="s">
        <v>1544</v>
      </c>
      <c r="C13563" t="s">
        <v>7974</v>
      </c>
      <c r="D13563" t="s">
        <v>13203</v>
      </c>
      <c r="E13563">
        <v>424000</v>
      </c>
      <c r="F13563" t="s">
        <v>1</v>
      </c>
      <c r="G13563" t="s">
        <v>2</v>
      </c>
      <c r="H13563" t="s">
        <v>47681</v>
      </c>
      <c r="Y13563" t="s">
        <v>11205</v>
      </c>
    </row>
    <row r="13564" spans="1:25" x14ac:dyDescent="0.25">
      <c r="A13564" t="str">
        <f>"217521875244"</f>
        <v>217521875244</v>
      </c>
      <c r="B13564" t="s">
        <v>96</v>
      </c>
      <c r="C13564" t="s">
        <v>893</v>
      </c>
      <c r="D13564" t="s">
        <v>1084</v>
      </c>
      <c r="E13564">
        <v>424000</v>
      </c>
      <c r="F13564" t="s">
        <v>1</v>
      </c>
      <c r="G13564" t="s">
        <v>2</v>
      </c>
      <c r="H13564" t="s">
        <v>1473</v>
      </c>
      <c r="P13564" t="s">
        <v>941</v>
      </c>
      <c r="Y13564" t="s">
        <v>47682</v>
      </c>
    </row>
    <row r="13565" spans="1:25" x14ac:dyDescent="0.25">
      <c r="A13565" t="str">
        <f>"217528680637"</f>
        <v>217528680637</v>
      </c>
      <c r="B13565" t="s">
        <v>1352</v>
      </c>
      <c r="C13565" t="s">
        <v>33490</v>
      </c>
      <c r="D13565" t="s">
        <v>47683</v>
      </c>
      <c r="F13565" t="s">
        <v>1</v>
      </c>
      <c r="G13565" t="s">
        <v>2</v>
      </c>
      <c r="H13565" t="s">
        <v>3984</v>
      </c>
      <c r="Y13565" t="s">
        <v>4409</v>
      </c>
    </row>
    <row r="13566" spans="1:25" x14ac:dyDescent="0.25">
      <c r="A13566" t="str">
        <f>"217617842033"</f>
        <v>217617842033</v>
      </c>
      <c r="B13566" t="s">
        <v>110</v>
      </c>
      <c r="C13566" t="s">
        <v>47686</v>
      </c>
      <c r="D13566" t="s">
        <v>17714</v>
      </c>
      <c r="E13566">
        <v>424002</v>
      </c>
      <c r="F13566" t="s">
        <v>1</v>
      </c>
      <c r="G13566" t="s">
        <v>2</v>
      </c>
      <c r="H13566" t="s">
        <v>3604</v>
      </c>
      <c r="I13566" t="s">
        <v>47684</v>
      </c>
      <c r="J13566" t="s">
        <v>47685</v>
      </c>
      <c r="P13566" t="s">
        <v>17719</v>
      </c>
      <c r="Q13566" t="s">
        <v>17720</v>
      </c>
      <c r="Y13566" t="s">
        <v>47687</v>
      </c>
    </row>
    <row r="13567" spans="1:25" x14ac:dyDescent="0.25">
      <c r="A13567" t="str">
        <f>"217698000403"</f>
        <v>217698000403</v>
      </c>
      <c r="B13567" t="s">
        <v>290</v>
      </c>
      <c r="C13567" t="s">
        <v>21096</v>
      </c>
      <c r="D13567" t="s">
        <v>11114</v>
      </c>
      <c r="E13567">
        <v>424002</v>
      </c>
      <c r="F13567" t="s">
        <v>1</v>
      </c>
      <c r="G13567" t="s">
        <v>2</v>
      </c>
      <c r="H13567" t="s">
        <v>5692</v>
      </c>
      <c r="Y13567" t="s">
        <v>47688</v>
      </c>
    </row>
    <row r="13568" spans="1:25" x14ac:dyDescent="0.25">
      <c r="A13568" t="str">
        <f>"217832995392"</f>
        <v>217832995392</v>
      </c>
      <c r="B13568" t="s">
        <v>117</v>
      </c>
      <c r="C13568" t="s">
        <v>873</v>
      </c>
      <c r="D13568" t="s">
        <v>873</v>
      </c>
      <c r="F13568" t="s">
        <v>1</v>
      </c>
      <c r="G13568" t="s">
        <v>2</v>
      </c>
      <c r="H13568" t="s">
        <v>29600</v>
      </c>
      <c r="P13568" t="s">
        <v>16766</v>
      </c>
      <c r="Y13568" t="s">
        <v>47689</v>
      </c>
    </row>
    <row r="13569" spans="1:25" x14ac:dyDescent="0.25">
      <c r="A13569" t="str">
        <f>"217871391727"</f>
        <v>217871391727</v>
      </c>
      <c r="B13569" t="s">
        <v>1053</v>
      </c>
      <c r="C13569" t="s">
        <v>47692</v>
      </c>
      <c r="D13569" t="s">
        <v>47690</v>
      </c>
      <c r="E13569">
        <v>424005</v>
      </c>
      <c r="F13569" t="s">
        <v>1</v>
      </c>
      <c r="G13569" t="s">
        <v>2</v>
      </c>
      <c r="H13569" t="s">
        <v>1310</v>
      </c>
      <c r="M13569" t="s">
        <v>47691</v>
      </c>
      <c r="P13569" t="s">
        <v>17482</v>
      </c>
      <c r="Y13569" t="s">
        <v>3926</v>
      </c>
    </row>
    <row r="13570" spans="1:25" x14ac:dyDescent="0.25">
      <c r="A13570" t="str">
        <f>"217872608917"</f>
        <v>217872608917</v>
      </c>
      <c r="B13570" t="s">
        <v>930</v>
      </c>
      <c r="C13570" t="s">
        <v>47695</v>
      </c>
      <c r="D13570" t="s">
        <v>47693</v>
      </c>
      <c r="F13570" t="s">
        <v>1</v>
      </c>
      <c r="G13570" t="s">
        <v>2</v>
      </c>
      <c r="H13570" t="s">
        <v>12610</v>
      </c>
      <c r="I13570" t="s">
        <v>47694</v>
      </c>
      <c r="P13570" t="s">
        <v>9533</v>
      </c>
      <c r="Y13570" t="s">
        <v>47696</v>
      </c>
    </row>
    <row r="13571" spans="1:25" x14ac:dyDescent="0.25">
      <c r="A13571" t="str">
        <f>"217994755744"</f>
        <v>217994755744</v>
      </c>
      <c r="B13571" t="s">
        <v>379</v>
      </c>
      <c r="C13571" t="s">
        <v>766</v>
      </c>
      <c r="D13571" t="s">
        <v>47697</v>
      </c>
      <c r="E13571">
        <v>424036</v>
      </c>
      <c r="F13571" t="s">
        <v>1</v>
      </c>
      <c r="G13571" t="s">
        <v>2</v>
      </c>
      <c r="H13571" t="s">
        <v>375</v>
      </c>
      <c r="J13571" t="s">
        <v>47698</v>
      </c>
      <c r="L13571" t="s">
        <v>47699</v>
      </c>
      <c r="M13571" t="s">
        <v>47700</v>
      </c>
      <c r="P13571" t="s">
        <v>133</v>
      </c>
      <c r="Y13571" t="s">
        <v>384</v>
      </c>
    </row>
    <row r="13572" spans="1:25" x14ac:dyDescent="0.25">
      <c r="A13572" t="str">
        <f>"218005585660"</f>
        <v>218005585660</v>
      </c>
      <c r="B13572" t="s">
        <v>117</v>
      </c>
      <c r="C13572" t="s">
        <v>6850</v>
      </c>
      <c r="D13572" t="s">
        <v>47701</v>
      </c>
      <c r="F13572" t="s">
        <v>1</v>
      </c>
      <c r="G13572" t="s">
        <v>2</v>
      </c>
      <c r="H13572" t="s">
        <v>7547</v>
      </c>
      <c r="P13572" t="s">
        <v>330</v>
      </c>
      <c r="Y13572" t="s">
        <v>47702</v>
      </c>
    </row>
    <row r="13573" spans="1:25" x14ac:dyDescent="0.25">
      <c r="A13573" t="str">
        <f>"218037626018"</f>
        <v>218037626018</v>
      </c>
      <c r="B13573" t="s">
        <v>1573</v>
      </c>
      <c r="C13573" t="s">
        <v>1753</v>
      </c>
      <c r="D13573" t="s">
        <v>27363</v>
      </c>
      <c r="E13573">
        <v>424000</v>
      </c>
      <c r="F13573" t="s">
        <v>1</v>
      </c>
      <c r="G13573" t="s">
        <v>2</v>
      </c>
      <c r="H13573" t="s">
        <v>404</v>
      </c>
      <c r="P13573" t="s">
        <v>2572</v>
      </c>
      <c r="Y13573" t="s">
        <v>5477</v>
      </c>
    </row>
    <row r="13574" spans="1:25" x14ac:dyDescent="0.25">
      <c r="A13574" t="str">
        <f>"218048494560"</f>
        <v>218048494560</v>
      </c>
      <c r="B13574" t="s">
        <v>519</v>
      </c>
      <c r="C13574" t="s">
        <v>2009</v>
      </c>
      <c r="D13574" t="s">
        <v>2009</v>
      </c>
      <c r="E13574">
        <v>424005</v>
      </c>
      <c r="F13574" t="s">
        <v>1</v>
      </c>
      <c r="G13574" t="s">
        <v>2</v>
      </c>
      <c r="H13574" t="s">
        <v>29872</v>
      </c>
      <c r="Y13574" t="s">
        <v>47703</v>
      </c>
    </row>
    <row r="13575" spans="1:25" x14ac:dyDescent="0.25">
      <c r="A13575" t="str">
        <f>"218089526702"</f>
        <v>218089526702</v>
      </c>
      <c r="B13575" t="s">
        <v>7</v>
      </c>
      <c r="C13575" t="s">
        <v>9397</v>
      </c>
      <c r="D13575" t="s">
        <v>21640</v>
      </c>
      <c r="F13575" t="s">
        <v>1</v>
      </c>
      <c r="G13575" t="s">
        <v>2</v>
      </c>
      <c r="H13575" t="s">
        <v>1003</v>
      </c>
      <c r="I13575" t="s">
        <v>47704</v>
      </c>
      <c r="J13575" t="s">
        <v>47705</v>
      </c>
      <c r="L13575" t="s">
        <v>47706</v>
      </c>
      <c r="M13575" t="s">
        <v>47707</v>
      </c>
      <c r="P13575" t="s">
        <v>2315</v>
      </c>
      <c r="Q13575" t="s">
        <v>21645</v>
      </c>
      <c r="S13575" t="s">
        <v>47708</v>
      </c>
      <c r="T13575" t="s">
        <v>21647</v>
      </c>
      <c r="V13575" t="s">
        <v>21648</v>
      </c>
      <c r="Y13575" t="s">
        <v>47709</v>
      </c>
    </row>
    <row r="13576" spans="1:25" x14ac:dyDescent="0.25">
      <c r="A13576" t="str">
        <f>"218110388965"</f>
        <v>218110388965</v>
      </c>
      <c r="B13576" t="s">
        <v>348</v>
      </c>
      <c r="C13576" t="s">
        <v>35242</v>
      </c>
      <c r="D13576" t="s">
        <v>43327</v>
      </c>
      <c r="F13576" t="s">
        <v>1</v>
      </c>
      <c r="G13576" t="s">
        <v>2</v>
      </c>
      <c r="H13576" t="s">
        <v>30031</v>
      </c>
      <c r="J13576" t="s">
        <v>26327</v>
      </c>
      <c r="M13576" t="s">
        <v>35241</v>
      </c>
      <c r="P13576" t="s">
        <v>2050</v>
      </c>
      <c r="Y13576" t="s">
        <v>47710</v>
      </c>
    </row>
    <row r="13577" spans="1:25" x14ac:dyDescent="0.25">
      <c r="A13577" t="str">
        <f>"218110802537"</f>
        <v>218110802537</v>
      </c>
      <c r="B13577" t="s">
        <v>96</v>
      </c>
      <c r="C13577" t="s">
        <v>659</v>
      </c>
      <c r="D13577" t="s">
        <v>47711</v>
      </c>
      <c r="E13577">
        <v>424000</v>
      </c>
      <c r="F13577" t="s">
        <v>1</v>
      </c>
      <c r="G13577" t="s">
        <v>2</v>
      </c>
      <c r="H13577" t="s">
        <v>2671</v>
      </c>
      <c r="Y13577" t="s">
        <v>47712</v>
      </c>
    </row>
    <row r="13578" spans="1:25" x14ac:dyDescent="0.25">
      <c r="A13578" t="str">
        <f>"218131252445"</f>
        <v>218131252445</v>
      </c>
      <c r="B13578" t="s">
        <v>530</v>
      </c>
      <c r="C13578" t="s">
        <v>23950</v>
      </c>
      <c r="D13578" t="s">
        <v>23950</v>
      </c>
      <c r="E13578">
        <v>424003</v>
      </c>
      <c r="F13578" t="s">
        <v>1</v>
      </c>
      <c r="G13578" t="s">
        <v>2</v>
      </c>
      <c r="H13578" t="s">
        <v>47713</v>
      </c>
      <c r="Y13578" t="s">
        <v>47714</v>
      </c>
    </row>
    <row r="13579" spans="1:25" x14ac:dyDescent="0.25">
      <c r="A13579" t="str">
        <f>"218132942750"</f>
        <v>218132942750</v>
      </c>
      <c r="B13579" t="s">
        <v>25</v>
      </c>
      <c r="C13579" t="s">
        <v>24938</v>
      </c>
      <c r="D13579" t="s">
        <v>47715</v>
      </c>
      <c r="E13579">
        <v>424008</v>
      </c>
      <c r="F13579" t="s">
        <v>1</v>
      </c>
      <c r="G13579" t="s">
        <v>2</v>
      </c>
      <c r="H13579" t="s">
        <v>33661</v>
      </c>
      <c r="I13579" t="s">
        <v>24408</v>
      </c>
      <c r="L13579" t="s">
        <v>42434</v>
      </c>
      <c r="M13579" t="s">
        <v>47716</v>
      </c>
      <c r="Y13579" t="s">
        <v>47717</v>
      </c>
    </row>
    <row r="13580" spans="1:25" x14ac:dyDescent="0.25">
      <c r="A13580" t="str">
        <f>"218133532694"</f>
        <v>218133532694</v>
      </c>
      <c r="B13580" t="s">
        <v>1053</v>
      </c>
      <c r="C13580" t="s">
        <v>47721</v>
      </c>
      <c r="D13580" t="s">
        <v>47718</v>
      </c>
      <c r="E13580">
        <v>424006</v>
      </c>
      <c r="F13580" t="s">
        <v>1</v>
      </c>
      <c r="G13580" t="s">
        <v>2</v>
      </c>
      <c r="H13580" t="s">
        <v>1436</v>
      </c>
      <c r="I13580" t="s">
        <v>44276</v>
      </c>
      <c r="J13580" t="s">
        <v>47719</v>
      </c>
      <c r="L13580" t="s">
        <v>47720</v>
      </c>
      <c r="P13580" t="s">
        <v>27</v>
      </c>
      <c r="Q13580" t="s">
        <v>47722</v>
      </c>
      <c r="Y13580" t="s">
        <v>1443</v>
      </c>
    </row>
    <row r="13581" spans="1:25" x14ac:dyDescent="0.25">
      <c r="A13581" t="str">
        <f>"218152558102"</f>
        <v>218152558102</v>
      </c>
      <c r="B13581" t="s">
        <v>348</v>
      </c>
      <c r="C13581" t="s">
        <v>22288</v>
      </c>
      <c r="D13581" t="s">
        <v>47723</v>
      </c>
      <c r="E13581">
        <v>424006</v>
      </c>
      <c r="F13581" t="s">
        <v>1</v>
      </c>
      <c r="G13581" t="s">
        <v>2</v>
      </c>
      <c r="H13581" t="s">
        <v>2012</v>
      </c>
      <c r="I13581" t="s">
        <v>47724</v>
      </c>
      <c r="J13581" t="s">
        <v>47725</v>
      </c>
      <c r="L13581" t="s">
        <v>47726</v>
      </c>
      <c r="M13581" t="s">
        <v>47727</v>
      </c>
      <c r="P13581" t="s">
        <v>941</v>
      </c>
      <c r="Q13581" t="s">
        <v>47728</v>
      </c>
      <c r="R13581" t="s">
        <v>47729</v>
      </c>
      <c r="S13581" t="s">
        <v>47730</v>
      </c>
      <c r="T13581" t="s">
        <v>47731</v>
      </c>
      <c r="U13581" t="s">
        <v>47732</v>
      </c>
      <c r="V13581" t="s">
        <v>47733</v>
      </c>
      <c r="Y13581" t="s">
        <v>2016</v>
      </c>
    </row>
    <row r="13582" spans="1:25" x14ac:dyDescent="0.25">
      <c r="A13582" t="str">
        <f>"218195280304"</f>
        <v>218195280304</v>
      </c>
      <c r="B13582" t="s">
        <v>96</v>
      </c>
      <c r="C13582" t="s">
        <v>695</v>
      </c>
      <c r="D13582" t="s">
        <v>47734</v>
      </c>
      <c r="E13582">
        <v>424000</v>
      </c>
      <c r="F13582" t="s">
        <v>1</v>
      </c>
      <c r="G13582" t="s">
        <v>2</v>
      </c>
      <c r="H13582" t="s">
        <v>837</v>
      </c>
      <c r="Y13582" t="s">
        <v>47735</v>
      </c>
    </row>
    <row r="13583" spans="1:25" x14ac:dyDescent="0.25">
      <c r="A13583" t="str">
        <f>"218199634152"</f>
        <v>218199634152</v>
      </c>
      <c r="B13583" t="s">
        <v>408</v>
      </c>
      <c r="C13583" t="s">
        <v>25792</v>
      </c>
      <c r="D13583" t="s">
        <v>25790</v>
      </c>
      <c r="F13583" t="s">
        <v>1</v>
      </c>
      <c r="G13583" t="s">
        <v>2</v>
      </c>
      <c r="H13583" t="s">
        <v>7547</v>
      </c>
      <c r="Y13583" t="s">
        <v>47736</v>
      </c>
    </row>
    <row r="13584" spans="1:25" x14ac:dyDescent="0.25">
      <c r="A13584" t="str">
        <f>"218212954292"</f>
        <v>218212954292</v>
      </c>
      <c r="B13584" t="s">
        <v>117</v>
      </c>
      <c r="C13584" t="s">
        <v>873</v>
      </c>
      <c r="D13584" t="s">
        <v>873</v>
      </c>
      <c r="F13584" t="s">
        <v>1</v>
      </c>
      <c r="G13584" t="s">
        <v>2</v>
      </c>
      <c r="H13584" t="s">
        <v>23519</v>
      </c>
      <c r="Y13584" t="s">
        <v>47737</v>
      </c>
    </row>
    <row r="13585" spans="1:25" x14ac:dyDescent="0.25">
      <c r="A13585" t="str">
        <f>"218250538556"</f>
        <v>218250538556</v>
      </c>
      <c r="B13585" t="s">
        <v>738</v>
      </c>
      <c r="C13585" t="s">
        <v>35610</v>
      </c>
      <c r="D13585" t="s">
        <v>35607</v>
      </c>
      <c r="E13585">
        <v>424040</v>
      </c>
      <c r="F13585" t="s">
        <v>1</v>
      </c>
      <c r="G13585" t="s">
        <v>2</v>
      </c>
      <c r="H13585" t="s">
        <v>45326</v>
      </c>
      <c r="J13585" t="s">
        <v>47738</v>
      </c>
      <c r="M13585" t="s">
        <v>35609</v>
      </c>
      <c r="P13585" t="s">
        <v>144</v>
      </c>
      <c r="Y13585" t="s">
        <v>13447</v>
      </c>
    </row>
    <row r="13586" spans="1:25" x14ac:dyDescent="0.25">
      <c r="A13586" t="str">
        <f>"218259619948"</f>
        <v>218259619948</v>
      </c>
      <c r="B13586" t="s">
        <v>574</v>
      </c>
      <c r="C13586" t="s">
        <v>47739</v>
      </c>
      <c r="D13586" t="s">
        <v>31232</v>
      </c>
      <c r="E13586">
        <v>424007</v>
      </c>
      <c r="F13586" t="s">
        <v>1</v>
      </c>
      <c r="G13586" t="s">
        <v>2</v>
      </c>
      <c r="H13586" t="s">
        <v>4411</v>
      </c>
      <c r="Y13586" t="s">
        <v>47740</v>
      </c>
    </row>
    <row r="13587" spans="1:25" x14ac:dyDescent="0.25">
      <c r="A13587" t="str">
        <f>"218263533070"</f>
        <v>218263533070</v>
      </c>
      <c r="B13587" t="s">
        <v>574</v>
      </c>
      <c r="C13587" t="s">
        <v>3332</v>
      </c>
      <c r="D13587" t="s">
        <v>2733</v>
      </c>
      <c r="E13587">
        <v>424007</v>
      </c>
      <c r="F13587" t="s">
        <v>1</v>
      </c>
      <c r="G13587" t="s">
        <v>2</v>
      </c>
      <c r="H13587" t="s">
        <v>14435</v>
      </c>
      <c r="P13587" t="s">
        <v>27701</v>
      </c>
      <c r="Y13587" t="s">
        <v>47741</v>
      </c>
    </row>
    <row r="13588" spans="1:25" x14ac:dyDescent="0.25">
      <c r="A13588" t="str">
        <f>"218275477935"</f>
        <v>218275477935</v>
      </c>
      <c r="B13588" t="s">
        <v>574</v>
      </c>
      <c r="C13588" t="s">
        <v>24405</v>
      </c>
      <c r="D13588" t="s">
        <v>32710</v>
      </c>
      <c r="E13588">
        <v>424040</v>
      </c>
      <c r="F13588" t="s">
        <v>1</v>
      </c>
      <c r="G13588" t="s">
        <v>2</v>
      </c>
      <c r="H13588" t="s">
        <v>5602</v>
      </c>
      <c r="Y13588" t="s">
        <v>47742</v>
      </c>
    </row>
    <row r="13589" spans="1:25" x14ac:dyDescent="0.25">
      <c r="A13589" t="str">
        <f>"218277410588"</f>
        <v>218277410588</v>
      </c>
      <c r="B13589" t="s">
        <v>18</v>
      </c>
      <c r="C13589" t="s">
        <v>12269</v>
      </c>
      <c r="D13589" t="s">
        <v>19133</v>
      </c>
      <c r="F13589" t="s">
        <v>1</v>
      </c>
      <c r="G13589" t="s">
        <v>2</v>
      </c>
      <c r="H13589" t="s">
        <v>18806</v>
      </c>
      <c r="Y13589" t="s">
        <v>47743</v>
      </c>
    </row>
    <row r="13590" spans="1:25" x14ac:dyDescent="0.25">
      <c r="A13590" t="str">
        <f>"218282045196"</f>
        <v>218282045196</v>
      </c>
      <c r="B13590" t="s">
        <v>243</v>
      </c>
      <c r="C13590" t="s">
        <v>244</v>
      </c>
      <c r="D13590" t="s">
        <v>47744</v>
      </c>
      <c r="F13590" t="s">
        <v>1</v>
      </c>
      <c r="G13590" t="s">
        <v>2</v>
      </c>
      <c r="H13590" t="s">
        <v>1195</v>
      </c>
      <c r="I13590" t="s">
        <v>47745</v>
      </c>
      <c r="J13590" t="s">
        <v>47746</v>
      </c>
      <c r="L13590" t="s">
        <v>47747</v>
      </c>
      <c r="M13590" t="s">
        <v>47748</v>
      </c>
      <c r="P13590" t="s">
        <v>390</v>
      </c>
      <c r="Q13590" t="s">
        <v>47749</v>
      </c>
      <c r="V13590" t="s">
        <v>47750</v>
      </c>
      <c r="Y13590" t="s">
        <v>1201</v>
      </c>
    </row>
    <row r="13591" spans="1:25" x14ac:dyDescent="0.25">
      <c r="A13591" t="str">
        <f>"218331094684"</f>
        <v>218331094684</v>
      </c>
      <c r="B13591" t="s">
        <v>930</v>
      </c>
      <c r="C13591" t="s">
        <v>10263</v>
      </c>
      <c r="D13591" t="s">
        <v>45260</v>
      </c>
      <c r="F13591" t="s">
        <v>1</v>
      </c>
      <c r="G13591" t="s">
        <v>2</v>
      </c>
      <c r="H13591" t="s">
        <v>43961</v>
      </c>
      <c r="P13591" t="s">
        <v>330</v>
      </c>
      <c r="Y13591" t="s">
        <v>47751</v>
      </c>
    </row>
    <row r="13592" spans="1:25" x14ac:dyDescent="0.25">
      <c r="A13592" t="str">
        <f>"218333006498"</f>
        <v>218333006498</v>
      </c>
      <c r="B13592" t="s">
        <v>574</v>
      </c>
      <c r="C13592" t="s">
        <v>24952</v>
      </c>
      <c r="D13592" t="s">
        <v>24951</v>
      </c>
      <c r="E13592">
        <v>424028</v>
      </c>
      <c r="F13592" t="s">
        <v>1</v>
      </c>
      <c r="G13592" t="s">
        <v>2</v>
      </c>
      <c r="H13592" t="s">
        <v>28946</v>
      </c>
      <c r="Y13592" t="s">
        <v>47752</v>
      </c>
    </row>
    <row r="13593" spans="1:25" x14ac:dyDescent="0.25">
      <c r="A13593" t="str">
        <f>"218360121826"</f>
        <v>218360121826</v>
      </c>
      <c r="B13593" t="s">
        <v>530</v>
      </c>
      <c r="C13593" t="s">
        <v>23950</v>
      </c>
      <c r="D13593" t="s">
        <v>23950</v>
      </c>
      <c r="F13593" t="s">
        <v>1</v>
      </c>
      <c r="G13593" t="s">
        <v>2</v>
      </c>
      <c r="H13593" t="s">
        <v>7547</v>
      </c>
      <c r="Y13593" t="s">
        <v>47753</v>
      </c>
    </row>
    <row r="13594" spans="1:25" x14ac:dyDescent="0.25">
      <c r="A13594" t="str">
        <f>"218360985984"</f>
        <v>218360985984</v>
      </c>
      <c r="B13594" t="s">
        <v>117</v>
      </c>
      <c r="C13594" t="s">
        <v>118</v>
      </c>
      <c r="D13594" t="s">
        <v>47754</v>
      </c>
      <c r="F13594" t="s">
        <v>1</v>
      </c>
      <c r="G13594" t="s">
        <v>2</v>
      </c>
      <c r="H13594" t="s">
        <v>7547</v>
      </c>
      <c r="Y13594" t="s">
        <v>47755</v>
      </c>
    </row>
    <row r="13595" spans="1:25" x14ac:dyDescent="0.25">
      <c r="A13595" t="str">
        <f>"218389839094"</f>
        <v>218389839094</v>
      </c>
      <c r="B13595" t="s">
        <v>32</v>
      </c>
      <c r="C13595" t="s">
        <v>5809</v>
      </c>
      <c r="D13595" t="s">
        <v>47756</v>
      </c>
      <c r="E13595">
        <v>424038</v>
      </c>
      <c r="F13595" t="s">
        <v>1</v>
      </c>
      <c r="G13595" t="s">
        <v>2</v>
      </c>
      <c r="H13595" t="s">
        <v>13095</v>
      </c>
      <c r="I13595" t="s">
        <v>47757</v>
      </c>
      <c r="P13595" t="s">
        <v>1855</v>
      </c>
      <c r="Q13595" t="s">
        <v>47758</v>
      </c>
      <c r="Y13595" t="s">
        <v>47759</v>
      </c>
    </row>
    <row r="13596" spans="1:25" x14ac:dyDescent="0.25">
      <c r="A13596" t="str">
        <f>"218433553250"</f>
        <v>218433553250</v>
      </c>
      <c r="B13596" t="s">
        <v>738</v>
      </c>
      <c r="C13596" t="s">
        <v>47762</v>
      </c>
      <c r="D13596" t="s">
        <v>47760</v>
      </c>
      <c r="E13596">
        <v>424004</v>
      </c>
      <c r="F13596" t="s">
        <v>1</v>
      </c>
      <c r="G13596" t="s">
        <v>2</v>
      </c>
      <c r="H13596" t="s">
        <v>14351</v>
      </c>
      <c r="J13596" t="s">
        <v>47761</v>
      </c>
      <c r="P13596" t="s">
        <v>152</v>
      </c>
      <c r="T13596" t="s">
        <v>11045</v>
      </c>
      <c r="V13596" t="s">
        <v>11046</v>
      </c>
      <c r="Y13596" t="s">
        <v>47763</v>
      </c>
    </row>
    <row r="13597" spans="1:25" x14ac:dyDescent="0.25">
      <c r="A13597" t="str">
        <f>"218450971295"</f>
        <v>218450971295</v>
      </c>
      <c r="B13597" t="s">
        <v>379</v>
      </c>
      <c r="C13597" t="s">
        <v>4908</v>
      </c>
      <c r="D13597" t="s">
        <v>32905</v>
      </c>
      <c r="E13597">
        <v>424036</v>
      </c>
      <c r="F13597" t="s">
        <v>1</v>
      </c>
      <c r="G13597" t="s">
        <v>2</v>
      </c>
      <c r="H13597" t="s">
        <v>12575</v>
      </c>
      <c r="Y13597" t="s">
        <v>47764</v>
      </c>
    </row>
    <row r="13598" spans="1:25" x14ac:dyDescent="0.25">
      <c r="A13598" t="str">
        <f>"218464422733"</f>
        <v>218464422733</v>
      </c>
      <c r="B13598" t="s">
        <v>430</v>
      </c>
      <c r="C13598" t="s">
        <v>612</v>
      </c>
      <c r="D13598" t="s">
        <v>47765</v>
      </c>
      <c r="F13598" t="s">
        <v>1</v>
      </c>
      <c r="G13598" t="s">
        <v>2</v>
      </c>
      <c r="H13598" t="s">
        <v>26431</v>
      </c>
      <c r="J13598" t="s">
        <v>47766</v>
      </c>
      <c r="P13598" t="s">
        <v>11850</v>
      </c>
      <c r="V13598" t="s">
        <v>47767</v>
      </c>
      <c r="Y13598" t="s">
        <v>47768</v>
      </c>
    </row>
    <row r="13599" spans="1:25" x14ac:dyDescent="0.25">
      <c r="A13599" t="str">
        <f>"218485580038"</f>
        <v>218485580038</v>
      </c>
      <c r="B13599" t="s">
        <v>160</v>
      </c>
      <c r="C13599" t="s">
        <v>15654</v>
      </c>
      <c r="D13599" t="s">
        <v>47769</v>
      </c>
      <c r="E13599">
        <v>424036</v>
      </c>
      <c r="F13599" t="s">
        <v>1</v>
      </c>
      <c r="G13599" t="s">
        <v>2</v>
      </c>
      <c r="H13599" t="s">
        <v>6072</v>
      </c>
      <c r="Y13599" t="s">
        <v>47770</v>
      </c>
    </row>
    <row r="13600" spans="1:25" x14ac:dyDescent="0.25">
      <c r="A13600" t="str">
        <f>"218491961147"</f>
        <v>218491961147</v>
      </c>
      <c r="B13600" t="s">
        <v>574</v>
      </c>
      <c r="C13600" t="s">
        <v>27049</v>
      </c>
      <c r="D13600" t="s">
        <v>569</v>
      </c>
      <c r="E13600">
        <v>424033</v>
      </c>
      <c r="F13600" t="s">
        <v>1</v>
      </c>
      <c r="G13600" t="s">
        <v>2</v>
      </c>
      <c r="H13600" t="s">
        <v>1383</v>
      </c>
      <c r="Y13600" t="s">
        <v>1387</v>
      </c>
    </row>
    <row r="13601" spans="1:25" x14ac:dyDescent="0.25">
      <c r="A13601" t="str">
        <f>"218524763597"</f>
        <v>218524763597</v>
      </c>
      <c r="B13601" t="s">
        <v>67</v>
      </c>
      <c r="C13601" t="s">
        <v>40895</v>
      </c>
      <c r="D13601" t="s">
        <v>47771</v>
      </c>
      <c r="E13601">
        <v>424037</v>
      </c>
      <c r="F13601" t="s">
        <v>1</v>
      </c>
      <c r="G13601" t="s">
        <v>2</v>
      </c>
      <c r="H13601" t="s">
        <v>47772</v>
      </c>
      <c r="I13601" t="s">
        <v>47773</v>
      </c>
      <c r="P13601" t="s">
        <v>47774</v>
      </c>
      <c r="Y13601" t="s">
        <v>47775</v>
      </c>
    </row>
    <row r="13602" spans="1:25" x14ac:dyDescent="0.25">
      <c r="A13602" t="str">
        <f>"218527690951"</f>
        <v>218527690951</v>
      </c>
      <c r="B13602" t="s">
        <v>188</v>
      </c>
      <c r="C13602" t="s">
        <v>189</v>
      </c>
      <c r="D13602" t="s">
        <v>47776</v>
      </c>
      <c r="F13602" t="s">
        <v>1</v>
      </c>
      <c r="G13602" t="s">
        <v>2</v>
      </c>
      <c r="H13602" t="s">
        <v>23274</v>
      </c>
      <c r="J13602" t="s">
        <v>47777</v>
      </c>
      <c r="L13602" t="s">
        <v>47778</v>
      </c>
      <c r="M13602" t="s">
        <v>47779</v>
      </c>
      <c r="P13602" t="s">
        <v>20</v>
      </c>
      <c r="Q13602" t="s">
        <v>47780</v>
      </c>
      <c r="Y13602" t="s">
        <v>47781</v>
      </c>
    </row>
    <row r="13603" spans="1:25" x14ac:dyDescent="0.25">
      <c r="A13603" t="str">
        <f>"218529914565"</f>
        <v>218529914565</v>
      </c>
      <c r="B13603" t="s">
        <v>1352</v>
      </c>
      <c r="C13603" t="s">
        <v>47785</v>
      </c>
      <c r="D13603" t="s">
        <v>47782</v>
      </c>
      <c r="E13603">
        <v>424006</v>
      </c>
      <c r="F13603" t="s">
        <v>1</v>
      </c>
      <c r="G13603" t="s">
        <v>2</v>
      </c>
      <c r="H13603" t="s">
        <v>47783</v>
      </c>
      <c r="M13603" t="s">
        <v>47784</v>
      </c>
      <c r="V13603" t="s">
        <v>47786</v>
      </c>
      <c r="Y13603" t="s">
        <v>47787</v>
      </c>
    </row>
    <row r="13604" spans="1:25" x14ac:dyDescent="0.25">
      <c r="A13604" t="str">
        <f>"218543806074"</f>
        <v>218543806074</v>
      </c>
      <c r="B13604" t="s">
        <v>5840</v>
      </c>
      <c r="C13604" t="s">
        <v>47788</v>
      </c>
      <c r="D13604" t="s">
        <v>47788</v>
      </c>
      <c r="E13604">
        <v>424016</v>
      </c>
      <c r="F13604" t="s">
        <v>1</v>
      </c>
      <c r="G13604" t="s">
        <v>2</v>
      </c>
      <c r="H13604" t="s">
        <v>8350</v>
      </c>
      <c r="I13604" t="s">
        <v>47789</v>
      </c>
      <c r="L13604" t="s">
        <v>47790</v>
      </c>
      <c r="M13604" t="s">
        <v>47791</v>
      </c>
      <c r="P13604" t="s">
        <v>5922</v>
      </c>
      <c r="Y13604" t="s">
        <v>19273</v>
      </c>
    </row>
    <row r="13605" spans="1:25" x14ac:dyDescent="0.25">
      <c r="A13605" t="str">
        <f>"218549445721"</f>
        <v>218549445721</v>
      </c>
      <c r="B13605" t="s">
        <v>16429</v>
      </c>
      <c r="C13605" t="s">
        <v>16430</v>
      </c>
      <c r="D13605" t="s">
        <v>24677</v>
      </c>
      <c r="E13605">
        <v>424039</v>
      </c>
      <c r="F13605" t="s">
        <v>1</v>
      </c>
      <c r="G13605" t="s">
        <v>2</v>
      </c>
      <c r="H13605" t="s">
        <v>17375</v>
      </c>
      <c r="Y13605" t="s">
        <v>47792</v>
      </c>
    </row>
    <row r="13606" spans="1:25" x14ac:dyDescent="0.25">
      <c r="A13606" t="str">
        <f>"218656702320"</f>
        <v>218656702320</v>
      </c>
      <c r="B13606" t="s">
        <v>1573</v>
      </c>
      <c r="C13606" t="s">
        <v>47798</v>
      </c>
      <c r="D13606" t="s">
        <v>47793</v>
      </c>
      <c r="E13606">
        <v>424006</v>
      </c>
      <c r="F13606" t="s">
        <v>1</v>
      </c>
      <c r="G13606" t="s">
        <v>2</v>
      </c>
      <c r="H13606" t="s">
        <v>9823</v>
      </c>
      <c r="I13606" t="s">
        <v>47794</v>
      </c>
      <c r="J13606" t="s">
        <v>47795</v>
      </c>
      <c r="L13606" t="s">
        <v>47796</v>
      </c>
      <c r="M13606" t="s">
        <v>47797</v>
      </c>
      <c r="P13606" t="s">
        <v>47799</v>
      </c>
      <c r="Y13606" t="s">
        <v>47800</v>
      </c>
    </row>
    <row r="13607" spans="1:25" x14ac:dyDescent="0.25">
      <c r="A13607" t="str">
        <f>"218700079491"</f>
        <v>218700079491</v>
      </c>
      <c r="B13607" t="s">
        <v>2474</v>
      </c>
      <c r="C13607" t="s">
        <v>2475</v>
      </c>
      <c r="D13607" t="s">
        <v>41141</v>
      </c>
      <c r="E13607">
        <v>424000</v>
      </c>
      <c r="F13607" t="s">
        <v>1</v>
      </c>
      <c r="G13607" t="s">
        <v>2</v>
      </c>
      <c r="H13607" t="s">
        <v>2547</v>
      </c>
      <c r="I13607" t="s">
        <v>41142</v>
      </c>
      <c r="P13607" t="s">
        <v>280</v>
      </c>
      <c r="Y13607" t="s">
        <v>6500</v>
      </c>
    </row>
    <row r="13608" spans="1:25" x14ac:dyDescent="0.25">
      <c r="A13608" t="str">
        <f>"218701949649"</f>
        <v>218701949649</v>
      </c>
      <c r="B13608" t="s">
        <v>32</v>
      </c>
      <c r="C13608" t="s">
        <v>23179</v>
      </c>
      <c r="D13608" t="s">
        <v>47801</v>
      </c>
      <c r="E13608">
        <v>424026</v>
      </c>
      <c r="F13608" t="s">
        <v>1</v>
      </c>
      <c r="G13608" t="s">
        <v>2</v>
      </c>
      <c r="H13608" t="s">
        <v>47802</v>
      </c>
      <c r="J13608" t="s">
        <v>47803</v>
      </c>
      <c r="L13608" t="s">
        <v>47804</v>
      </c>
      <c r="M13608" t="s">
        <v>47805</v>
      </c>
      <c r="P13608" t="s">
        <v>9820</v>
      </c>
      <c r="T13608" t="s">
        <v>47806</v>
      </c>
      <c r="Y13608" t="s">
        <v>6422</v>
      </c>
    </row>
    <row r="13609" spans="1:25" x14ac:dyDescent="0.25">
      <c r="A13609" t="str">
        <f>"218705383985"</f>
        <v>218705383985</v>
      </c>
      <c r="B13609" t="s">
        <v>1323</v>
      </c>
      <c r="C13609" t="s">
        <v>1324</v>
      </c>
      <c r="D13609" t="s">
        <v>47807</v>
      </c>
      <c r="E13609">
        <v>424006</v>
      </c>
      <c r="F13609" t="s">
        <v>1</v>
      </c>
      <c r="G13609" t="s">
        <v>2</v>
      </c>
      <c r="H13609" t="s">
        <v>3913</v>
      </c>
      <c r="I13609" t="s">
        <v>47808</v>
      </c>
      <c r="P13609" t="s">
        <v>20</v>
      </c>
      <c r="Y13609" t="s">
        <v>3921</v>
      </c>
    </row>
    <row r="13610" spans="1:25" x14ac:dyDescent="0.25">
      <c r="A13610" t="str">
        <f>"218722456324"</f>
        <v>218722456324</v>
      </c>
      <c r="B13610" t="s">
        <v>1152</v>
      </c>
      <c r="C13610" t="s">
        <v>1385</v>
      </c>
      <c r="D13610" t="s">
        <v>1385</v>
      </c>
      <c r="E13610">
        <v>424039</v>
      </c>
      <c r="F13610" t="s">
        <v>1</v>
      </c>
      <c r="G13610" t="s">
        <v>2</v>
      </c>
      <c r="H13610" t="s">
        <v>5827</v>
      </c>
      <c r="Y13610" t="s">
        <v>47809</v>
      </c>
    </row>
    <row r="13611" spans="1:25" x14ac:dyDescent="0.25">
      <c r="A13611" t="str">
        <f>"218749069684"</f>
        <v>218749069684</v>
      </c>
      <c r="B13611" t="s">
        <v>7849</v>
      </c>
      <c r="C13611" t="s">
        <v>10351</v>
      </c>
      <c r="D13611" t="s">
        <v>47810</v>
      </c>
      <c r="E13611">
        <v>424007</v>
      </c>
      <c r="F13611" t="s">
        <v>1</v>
      </c>
      <c r="G13611" t="s">
        <v>2</v>
      </c>
      <c r="H13611" t="s">
        <v>32041</v>
      </c>
      <c r="Y13611" t="s">
        <v>47811</v>
      </c>
    </row>
    <row r="13612" spans="1:25" x14ac:dyDescent="0.25">
      <c r="A13612" t="str">
        <f>"218797718096"</f>
        <v>218797718096</v>
      </c>
      <c r="B13612" t="s">
        <v>1611</v>
      </c>
      <c r="C13612" t="s">
        <v>47813</v>
      </c>
      <c r="D13612" t="s">
        <v>47812</v>
      </c>
      <c r="E13612">
        <v>424000</v>
      </c>
      <c r="F13612" t="s">
        <v>1</v>
      </c>
      <c r="G13612" t="s">
        <v>2</v>
      </c>
      <c r="H13612" t="s">
        <v>25646</v>
      </c>
      <c r="Y13612" t="s">
        <v>47814</v>
      </c>
    </row>
    <row r="13613" spans="1:25" x14ac:dyDescent="0.25">
      <c r="A13613" t="str">
        <f>"218817177069"</f>
        <v>218817177069</v>
      </c>
      <c r="B13613" t="s">
        <v>1053</v>
      </c>
      <c r="C13613" t="s">
        <v>1927</v>
      </c>
      <c r="D13613" t="s">
        <v>47815</v>
      </c>
      <c r="E13613">
        <v>424006</v>
      </c>
      <c r="F13613" t="s">
        <v>1</v>
      </c>
      <c r="G13613" t="s">
        <v>2</v>
      </c>
      <c r="H13613" t="s">
        <v>4078</v>
      </c>
      <c r="I13613" t="s">
        <v>34012</v>
      </c>
      <c r="M13613" t="s">
        <v>47816</v>
      </c>
      <c r="Y13613" t="s">
        <v>4080</v>
      </c>
    </row>
    <row r="13614" spans="1:25" x14ac:dyDescent="0.25">
      <c r="A13614" t="str">
        <f>"218840720346"</f>
        <v>218840720346</v>
      </c>
      <c r="B13614" t="s">
        <v>7</v>
      </c>
      <c r="C13614" t="s">
        <v>8238</v>
      </c>
      <c r="D13614" t="s">
        <v>47817</v>
      </c>
      <c r="E13614">
        <v>424004</v>
      </c>
      <c r="F13614" t="s">
        <v>1</v>
      </c>
      <c r="G13614" t="s">
        <v>2</v>
      </c>
      <c r="H13614" t="s">
        <v>351</v>
      </c>
      <c r="J13614" t="s">
        <v>47818</v>
      </c>
      <c r="Y13614" t="s">
        <v>354</v>
      </c>
    </row>
    <row r="13615" spans="1:25" x14ac:dyDescent="0.25">
      <c r="A13615" t="str">
        <f>"218904429830"</f>
        <v>218904429830</v>
      </c>
      <c r="B13615" t="s">
        <v>530</v>
      </c>
      <c r="C13615" t="s">
        <v>5046</v>
      </c>
      <c r="D13615" t="s">
        <v>47819</v>
      </c>
      <c r="E13615">
        <v>424004</v>
      </c>
      <c r="F13615" t="s">
        <v>1</v>
      </c>
      <c r="G13615" t="s">
        <v>2</v>
      </c>
      <c r="H13615" t="s">
        <v>47820</v>
      </c>
      <c r="P13615" t="s">
        <v>3690</v>
      </c>
      <c r="Y13615" t="s">
        <v>47821</v>
      </c>
    </row>
    <row r="13616" spans="1:25" x14ac:dyDescent="0.25">
      <c r="A13616" t="str">
        <f>"218932279746"</f>
        <v>218932279746</v>
      </c>
      <c r="B13616" t="s">
        <v>574</v>
      </c>
      <c r="C13616" t="s">
        <v>646</v>
      </c>
      <c r="D13616" t="s">
        <v>47822</v>
      </c>
      <c r="E13616">
        <v>424028</v>
      </c>
      <c r="F13616" t="s">
        <v>1</v>
      </c>
      <c r="G13616" t="s">
        <v>2</v>
      </c>
      <c r="H13616" t="s">
        <v>5034</v>
      </c>
      <c r="J13616" t="s">
        <v>47823</v>
      </c>
      <c r="P13616" t="s">
        <v>330</v>
      </c>
      <c r="Y13616" t="s">
        <v>5036</v>
      </c>
    </row>
    <row r="13617" spans="1:25" x14ac:dyDescent="0.25">
      <c r="A13617" t="str">
        <f>"218938500701"</f>
        <v>218938500701</v>
      </c>
      <c r="B13617" t="s">
        <v>2846</v>
      </c>
      <c r="C13617" t="s">
        <v>19520</v>
      </c>
      <c r="D13617" t="s">
        <v>19518</v>
      </c>
      <c r="E13617">
        <v>424026</v>
      </c>
      <c r="F13617" t="s">
        <v>1</v>
      </c>
      <c r="G13617" t="s">
        <v>2</v>
      </c>
      <c r="H13617" t="s">
        <v>8586</v>
      </c>
      <c r="J13617" t="s">
        <v>19519</v>
      </c>
      <c r="L13617" t="s">
        <v>8198</v>
      </c>
      <c r="M13617" t="s">
        <v>47824</v>
      </c>
      <c r="P13617" t="s">
        <v>1232</v>
      </c>
      <c r="Y13617" t="s">
        <v>47825</v>
      </c>
    </row>
    <row r="13618" spans="1:25" x14ac:dyDescent="0.25">
      <c r="A13618" t="str">
        <f>"218949603287"</f>
        <v>218949603287</v>
      </c>
      <c r="B13618" t="s">
        <v>224</v>
      </c>
      <c r="C13618" t="s">
        <v>47827</v>
      </c>
      <c r="D13618" t="s">
        <v>16580</v>
      </c>
      <c r="E13618">
        <v>424005</v>
      </c>
      <c r="F13618" t="s">
        <v>1</v>
      </c>
      <c r="G13618" t="s">
        <v>2</v>
      </c>
      <c r="H13618" t="s">
        <v>18082</v>
      </c>
      <c r="J13618" t="s">
        <v>47826</v>
      </c>
      <c r="L13618" t="s">
        <v>16582</v>
      </c>
      <c r="M13618" t="s">
        <v>16583</v>
      </c>
      <c r="P13618" t="s">
        <v>7390</v>
      </c>
      <c r="Y13618" t="s">
        <v>19944</v>
      </c>
    </row>
    <row r="13619" spans="1:25" x14ac:dyDescent="0.25">
      <c r="A13619" t="str">
        <f>"218968423130"</f>
        <v>218968423130</v>
      </c>
      <c r="B13619" t="s">
        <v>96</v>
      </c>
      <c r="C13619" t="s">
        <v>695</v>
      </c>
      <c r="D13619" t="s">
        <v>47828</v>
      </c>
      <c r="E13619">
        <v>424031</v>
      </c>
      <c r="F13619" t="s">
        <v>1</v>
      </c>
      <c r="G13619" t="s">
        <v>2</v>
      </c>
      <c r="H13619" t="s">
        <v>239</v>
      </c>
      <c r="J13619" t="s">
        <v>47829</v>
      </c>
      <c r="P13619" t="s">
        <v>216</v>
      </c>
      <c r="Y13619" t="s">
        <v>246</v>
      </c>
    </row>
    <row r="13620" spans="1:25" x14ac:dyDescent="0.25">
      <c r="A13620" t="str">
        <f>"218984475109"</f>
        <v>218984475109</v>
      </c>
      <c r="B13620" t="s">
        <v>18</v>
      </c>
      <c r="C13620" t="s">
        <v>21839</v>
      </c>
      <c r="D13620" t="s">
        <v>13452</v>
      </c>
      <c r="E13620">
        <v>424918</v>
      </c>
      <c r="F13620" t="s">
        <v>1</v>
      </c>
      <c r="G13620" t="s">
        <v>2</v>
      </c>
      <c r="H13620" t="s">
        <v>629</v>
      </c>
      <c r="I13620" t="s">
        <v>47830</v>
      </c>
      <c r="J13620" t="s">
        <v>47831</v>
      </c>
      <c r="P13620" t="s">
        <v>2050</v>
      </c>
      <c r="Y13620" t="s">
        <v>1744</v>
      </c>
    </row>
    <row r="13621" spans="1:25" x14ac:dyDescent="0.25">
      <c r="A13621" t="str">
        <f>"219028365312"</f>
        <v>219028365312</v>
      </c>
      <c r="B13621" t="s">
        <v>188</v>
      </c>
      <c r="C13621" t="s">
        <v>24568</v>
      </c>
      <c r="D13621" t="s">
        <v>24568</v>
      </c>
      <c r="E13621">
        <v>424006</v>
      </c>
      <c r="F13621" t="s">
        <v>1</v>
      </c>
      <c r="G13621" t="s">
        <v>2</v>
      </c>
      <c r="H13621" t="s">
        <v>6902</v>
      </c>
      <c r="Y13621" t="s">
        <v>47832</v>
      </c>
    </row>
    <row r="13622" spans="1:25" x14ac:dyDescent="0.25">
      <c r="A13622" t="str">
        <f>"219104745609"</f>
        <v>219104745609</v>
      </c>
      <c r="B13622" t="s">
        <v>2104</v>
      </c>
      <c r="C13622" t="s">
        <v>13387</v>
      </c>
      <c r="D13622" t="s">
        <v>15417</v>
      </c>
      <c r="E13622">
        <v>424038</v>
      </c>
      <c r="F13622" t="s">
        <v>1</v>
      </c>
      <c r="G13622" t="s">
        <v>2</v>
      </c>
      <c r="H13622" t="s">
        <v>11130</v>
      </c>
      <c r="P13622" t="s">
        <v>8133</v>
      </c>
      <c r="Y13622" t="s">
        <v>47833</v>
      </c>
    </row>
    <row r="13623" spans="1:25" x14ac:dyDescent="0.25">
      <c r="A13623" t="str">
        <f>"219118776436"</f>
        <v>219118776436</v>
      </c>
      <c r="B13623" t="s">
        <v>430</v>
      </c>
      <c r="C13623" t="s">
        <v>612</v>
      </c>
      <c r="D13623" t="s">
        <v>22989</v>
      </c>
      <c r="E13623">
        <v>424020</v>
      </c>
      <c r="F13623" t="s">
        <v>1</v>
      </c>
      <c r="G13623" t="s">
        <v>2</v>
      </c>
      <c r="H13623" t="s">
        <v>47834</v>
      </c>
      <c r="P13623" t="s">
        <v>330</v>
      </c>
      <c r="Y13623" t="s">
        <v>47835</v>
      </c>
    </row>
    <row r="13624" spans="1:25" x14ac:dyDescent="0.25">
      <c r="A13624" t="str">
        <f>"219135674116"</f>
        <v>219135674116</v>
      </c>
      <c r="B13624" t="s">
        <v>930</v>
      </c>
      <c r="C13624" t="s">
        <v>927</v>
      </c>
      <c r="D13624" t="s">
        <v>927</v>
      </c>
      <c r="E13624">
        <v>424028</v>
      </c>
      <c r="F13624" t="s">
        <v>1</v>
      </c>
      <c r="G13624" t="s">
        <v>2</v>
      </c>
      <c r="H13624" t="s">
        <v>8743</v>
      </c>
      <c r="Y13624" t="s">
        <v>47836</v>
      </c>
    </row>
    <row r="13625" spans="1:25" x14ac:dyDescent="0.25">
      <c r="A13625" t="str">
        <f>"219152038382"</f>
        <v>219152038382</v>
      </c>
      <c r="B13625" t="s">
        <v>32</v>
      </c>
      <c r="C13625" t="s">
        <v>182</v>
      </c>
      <c r="D13625" t="s">
        <v>47837</v>
      </c>
      <c r="F13625" t="s">
        <v>1</v>
      </c>
      <c r="G13625" t="s">
        <v>2</v>
      </c>
      <c r="H13625" t="s">
        <v>2018</v>
      </c>
      <c r="J13625" t="s">
        <v>47838</v>
      </c>
      <c r="P13625" t="s">
        <v>15793</v>
      </c>
      <c r="Q13625" t="s">
        <v>47839</v>
      </c>
      <c r="Y13625" t="s">
        <v>47840</v>
      </c>
    </row>
    <row r="13626" spans="1:25" x14ac:dyDescent="0.25">
      <c r="A13626" t="str">
        <f>"219207208312"</f>
        <v>219207208312</v>
      </c>
      <c r="B13626" t="s">
        <v>32</v>
      </c>
      <c r="C13626" t="s">
        <v>25216</v>
      </c>
      <c r="D13626" t="s">
        <v>47841</v>
      </c>
      <c r="E13626">
        <v>424006</v>
      </c>
      <c r="F13626" t="s">
        <v>1</v>
      </c>
      <c r="G13626" t="s">
        <v>2</v>
      </c>
      <c r="H13626" t="s">
        <v>6133</v>
      </c>
      <c r="Y13626" t="s">
        <v>47842</v>
      </c>
    </row>
    <row r="13627" spans="1:25" x14ac:dyDescent="0.25">
      <c r="A13627" t="str">
        <f>"219209837521"</f>
        <v>219209837521</v>
      </c>
      <c r="B13627" t="s">
        <v>930</v>
      </c>
      <c r="C13627" t="s">
        <v>1096</v>
      </c>
      <c r="D13627" t="s">
        <v>1094</v>
      </c>
      <c r="E13627">
        <v>424016</v>
      </c>
      <c r="F13627" t="s">
        <v>1</v>
      </c>
      <c r="G13627" t="s">
        <v>2</v>
      </c>
      <c r="H13627" t="s">
        <v>2637</v>
      </c>
      <c r="I13627" t="s">
        <v>47843</v>
      </c>
      <c r="J13627" t="s">
        <v>47844</v>
      </c>
      <c r="P13627" t="s">
        <v>3690</v>
      </c>
      <c r="Y13627" t="s">
        <v>9844</v>
      </c>
    </row>
    <row r="13628" spans="1:25" x14ac:dyDescent="0.25">
      <c r="A13628" t="str">
        <f>"219213437322"</f>
        <v>219213437322</v>
      </c>
      <c r="B13628" t="s">
        <v>574</v>
      </c>
      <c r="C13628" t="s">
        <v>646</v>
      </c>
      <c r="D13628" t="s">
        <v>4221</v>
      </c>
      <c r="E13628">
        <v>424006</v>
      </c>
      <c r="F13628" t="s">
        <v>1</v>
      </c>
      <c r="G13628" t="s">
        <v>2</v>
      </c>
      <c r="H13628" t="s">
        <v>3521</v>
      </c>
      <c r="P13628" t="s">
        <v>390</v>
      </c>
      <c r="Y13628" t="s">
        <v>47845</v>
      </c>
    </row>
    <row r="13629" spans="1:25" x14ac:dyDescent="0.25">
      <c r="A13629" t="str">
        <f>"219253598967"</f>
        <v>219253598967</v>
      </c>
      <c r="B13629" t="s">
        <v>1230</v>
      </c>
      <c r="C13629" t="s">
        <v>2526</v>
      </c>
      <c r="D13629" t="s">
        <v>47846</v>
      </c>
      <c r="E13629">
        <v>424005</v>
      </c>
      <c r="F13629" t="s">
        <v>1</v>
      </c>
      <c r="G13629" t="s">
        <v>2</v>
      </c>
      <c r="H13629" t="s">
        <v>29872</v>
      </c>
      <c r="I13629" t="s">
        <v>47847</v>
      </c>
      <c r="Y13629" t="s">
        <v>29875</v>
      </c>
    </row>
    <row r="13630" spans="1:25" x14ac:dyDescent="0.25">
      <c r="A13630" t="str">
        <f>"219256179491"</f>
        <v>219256179491</v>
      </c>
      <c r="B13630" t="s">
        <v>519</v>
      </c>
      <c r="C13630" t="s">
        <v>23996</v>
      </c>
      <c r="D13630" t="s">
        <v>27657</v>
      </c>
      <c r="E13630">
        <v>424038</v>
      </c>
      <c r="F13630" t="s">
        <v>1</v>
      </c>
      <c r="G13630" t="s">
        <v>2</v>
      </c>
      <c r="H13630" t="s">
        <v>1366</v>
      </c>
      <c r="Y13630" t="s">
        <v>47848</v>
      </c>
    </row>
    <row r="13631" spans="1:25" x14ac:dyDescent="0.25">
      <c r="A13631" t="str">
        <f>"219316762989"</f>
        <v>219316762989</v>
      </c>
      <c r="B13631" t="s">
        <v>18</v>
      </c>
      <c r="C13631" t="s">
        <v>143</v>
      </c>
      <c r="D13631" t="s">
        <v>47849</v>
      </c>
      <c r="E13631">
        <v>424019</v>
      </c>
      <c r="F13631" t="s">
        <v>1</v>
      </c>
      <c r="G13631" t="s">
        <v>2</v>
      </c>
      <c r="H13631" t="s">
        <v>1467</v>
      </c>
      <c r="I13631" t="s">
        <v>47850</v>
      </c>
      <c r="L13631" t="s">
        <v>141</v>
      </c>
      <c r="M13631" t="s">
        <v>47851</v>
      </c>
      <c r="P13631" t="s">
        <v>112</v>
      </c>
      <c r="Y13631" t="s">
        <v>1630</v>
      </c>
    </row>
    <row r="13632" spans="1:25" x14ac:dyDescent="0.25">
      <c r="A13632" t="str">
        <f>"219436651026"</f>
        <v>219436651026</v>
      </c>
      <c r="B13632" t="s">
        <v>624</v>
      </c>
      <c r="C13632" t="s">
        <v>24400</v>
      </c>
      <c r="D13632" t="s">
        <v>47852</v>
      </c>
      <c r="F13632" t="s">
        <v>1</v>
      </c>
      <c r="G13632" t="s">
        <v>2</v>
      </c>
      <c r="H13632" t="s">
        <v>16696</v>
      </c>
      <c r="P13632" t="s">
        <v>216</v>
      </c>
      <c r="Y13632" t="s">
        <v>47853</v>
      </c>
    </row>
    <row r="13633" spans="1:25" x14ac:dyDescent="0.25">
      <c r="A13633" t="str">
        <f>"219494889591"</f>
        <v>219494889591</v>
      </c>
      <c r="B13633" t="s">
        <v>530</v>
      </c>
      <c r="C13633" t="s">
        <v>23950</v>
      </c>
      <c r="D13633" t="s">
        <v>23950</v>
      </c>
      <c r="F13633" t="s">
        <v>1</v>
      </c>
      <c r="G13633" t="s">
        <v>2</v>
      </c>
      <c r="H13633" t="s">
        <v>32125</v>
      </c>
      <c r="Y13633" t="s">
        <v>47854</v>
      </c>
    </row>
    <row r="13634" spans="1:25" x14ac:dyDescent="0.25">
      <c r="A13634" t="str">
        <f>"219581533233"</f>
        <v>219581533233</v>
      </c>
      <c r="B13634" t="s">
        <v>224</v>
      </c>
      <c r="C13634" t="s">
        <v>3240</v>
      </c>
      <c r="D13634" t="s">
        <v>47855</v>
      </c>
      <c r="E13634">
        <v>424005</v>
      </c>
      <c r="F13634" t="s">
        <v>1</v>
      </c>
      <c r="G13634" t="s">
        <v>2</v>
      </c>
      <c r="H13634" t="s">
        <v>1310</v>
      </c>
      <c r="I13634" t="s">
        <v>47856</v>
      </c>
      <c r="P13634" t="s">
        <v>20</v>
      </c>
      <c r="Y13634" t="s">
        <v>3926</v>
      </c>
    </row>
    <row r="13635" spans="1:25" x14ac:dyDescent="0.25">
      <c r="A13635" t="str">
        <f>"219592875876"</f>
        <v>219592875876</v>
      </c>
      <c r="B13635" t="s">
        <v>7312</v>
      </c>
      <c r="C13635" t="s">
        <v>19097</v>
      </c>
      <c r="D13635" t="s">
        <v>19130</v>
      </c>
      <c r="E13635">
        <v>424039</v>
      </c>
      <c r="F13635" t="s">
        <v>1</v>
      </c>
      <c r="G13635" t="s">
        <v>2</v>
      </c>
      <c r="H13635" t="s">
        <v>23651</v>
      </c>
      <c r="Y13635" t="s">
        <v>47857</v>
      </c>
    </row>
    <row r="13636" spans="1:25" x14ac:dyDescent="0.25">
      <c r="A13636" t="str">
        <f>"219605148192"</f>
        <v>219605148192</v>
      </c>
      <c r="B13636" t="s">
        <v>160</v>
      </c>
      <c r="C13636" t="s">
        <v>1666</v>
      </c>
      <c r="D13636" t="s">
        <v>47858</v>
      </c>
      <c r="E13636">
        <v>424006</v>
      </c>
      <c r="F13636" t="s">
        <v>1</v>
      </c>
      <c r="G13636" t="s">
        <v>2</v>
      </c>
      <c r="H13636" t="s">
        <v>2012</v>
      </c>
      <c r="Y13636" t="s">
        <v>2016</v>
      </c>
    </row>
    <row r="13637" spans="1:25" x14ac:dyDescent="0.25">
      <c r="A13637" t="str">
        <f>"219617707026"</f>
        <v>219617707026</v>
      </c>
      <c r="B13637" t="s">
        <v>1078</v>
      </c>
      <c r="C13637" t="s">
        <v>25481</v>
      </c>
      <c r="D13637" t="s">
        <v>7229</v>
      </c>
      <c r="E13637">
        <v>424039</v>
      </c>
      <c r="F13637" t="s">
        <v>1</v>
      </c>
      <c r="G13637" t="s">
        <v>2</v>
      </c>
      <c r="H13637" t="s">
        <v>2729</v>
      </c>
      <c r="P13637" t="s">
        <v>2731</v>
      </c>
      <c r="Y13637" t="s">
        <v>33075</v>
      </c>
    </row>
    <row r="13638" spans="1:25" x14ac:dyDescent="0.25">
      <c r="A13638" t="str">
        <f>"219619222867"</f>
        <v>219619222867</v>
      </c>
      <c r="B13638" t="s">
        <v>530</v>
      </c>
      <c r="C13638" t="s">
        <v>23950</v>
      </c>
      <c r="D13638" t="s">
        <v>23950</v>
      </c>
      <c r="E13638">
        <v>424033</v>
      </c>
      <c r="F13638" t="s">
        <v>1</v>
      </c>
      <c r="G13638" t="s">
        <v>2</v>
      </c>
      <c r="H13638" t="s">
        <v>47859</v>
      </c>
      <c r="Y13638" t="s">
        <v>47860</v>
      </c>
    </row>
    <row r="13639" spans="1:25" x14ac:dyDescent="0.25">
      <c r="A13639" t="str">
        <f>"219688196593"</f>
        <v>219688196593</v>
      </c>
      <c r="B13639" t="s">
        <v>176</v>
      </c>
      <c r="C13639" t="s">
        <v>566</v>
      </c>
      <c r="D13639" t="s">
        <v>566</v>
      </c>
      <c r="F13639" t="s">
        <v>1</v>
      </c>
      <c r="G13639" t="s">
        <v>2</v>
      </c>
      <c r="H13639" t="s">
        <v>33592</v>
      </c>
      <c r="Y13639" t="s">
        <v>47861</v>
      </c>
    </row>
    <row r="13640" spans="1:25" x14ac:dyDescent="0.25">
      <c r="A13640" t="str">
        <f>"219712308200"</f>
        <v>219712308200</v>
      </c>
      <c r="B13640" t="s">
        <v>1152</v>
      </c>
      <c r="C13640" t="s">
        <v>33153</v>
      </c>
      <c r="D13640" t="s">
        <v>47862</v>
      </c>
      <c r="E13640">
        <v>424038</v>
      </c>
      <c r="F13640" t="s">
        <v>1</v>
      </c>
      <c r="G13640" t="s">
        <v>2</v>
      </c>
      <c r="H13640" t="s">
        <v>1366</v>
      </c>
      <c r="J13640" t="s">
        <v>17873</v>
      </c>
      <c r="P13640" t="s">
        <v>330</v>
      </c>
      <c r="Y13640" t="s">
        <v>7381</v>
      </c>
    </row>
    <row r="13641" spans="1:25" x14ac:dyDescent="0.25">
      <c r="A13641" t="str">
        <f>"219726046761"</f>
        <v>219726046761</v>
      </c>
      <c r="B13641" t="s">
        <v>1053</v>
      </c>
      <c r="C13641" t="s">
        <v>47864</v>
      </c>
      <c r="D13641" t="s">
        <v>1927</v>
      </c>
      <c r="E13641">
        <v>424006</v>
      </c>
      <c r="F13641" t="s">
        <v>1</v>
      </c>
      <c r="G13641" t="s">
        <v>2</v>
      </c>
      <c r="H13641" t="s">
        <v>4880</v>
      </c>
      <c r="I13641" t="s">
        <v>47863</v>
      </c>
      <c r="P13641" t="s">
        <v>2879</v>
      </c>
      <c r="Y13641" t="s">
        <v>47865</v>
      </c>
    </row>
    <row r="13642" spans="1:25" x14ac:dyDescent="0.25">
      <c r="A13642" t="str">
        <f>"219726533817"</f>
        <v>219726533817</v>
      </c>
      <c r="B13642" t="s">
        <v>348</v>
      </c>
      <c r="C13642" t="s">
        <v>4366</v>
      </c>
      <c r="D13642" t="s">
        <v>47866</v>
      </c>
      <c r="E13642">
        <v>424019</v>
      </c>
      <c r="F13642" t="s">
        <v>1</v>
      </c>
      <c r="G13642" t="s">
        <v>2</v>
      </c>
      <c r="H13642" t="s">
        <v>20692</v>
      </c>
      <c r="I13642" t="s">
        <v>47867</v>
      </c>
      <c r="P13642" t="s">
        <v>941</v>
      </c>
      <c r="Q13642" t="s">
        <v>47868</v>
      </c>
      <c r="Y13642" t="s">
        <v>47869</v>
      </c>
    </row>
    <row r="13643" spans="1:25" x14ac:dyDescent="0.25">
      <c r="A13643" t="str">
        <f>"219749619032"</f>
        <v>219749619032</v>
      </c>
      <c r="B13643" t="s">
        <v>176</v>
      </c>
      <c r="C13643" t="s">
        <v>279</v>
      </c>
      <c r="D13643" t="s">
        <v>279</v>
      </c>
      <c r="E13643">
        <v>424004</v>
      </c>
      <c r="F13643" t="s">
        <v>1</v>
      </c>
      <c r="G13643" t="s">
        <v>2</v>
      </c>
      <c r="H13643" t="s">
        <v>47870</v>
      </c>
      <c r="Y13643" t="s">
        <v>47871</v>
      </c>
    </row>
    <row r="13644" spans="1:25" x14ac:dyDescent="0.25">
      <c r="A13644" t="str">
        <f>"219774035183"</f>
        <v>219774035183</v>
      </c>
      <c r="B13644" t="s">
        <v>224</v>
      </c>
      <c r="C13644" t="s">
        <v>47874</v>
      </c>
      <c r="D13644" t="s">
        <v>28096</v>
      </c>
      <c r="F13644" t="s">
        <v>1</v>
      </c>
      <c r="G13644" t="s">
        <v>2</v>
      </c>
      <c r="H13644" t="s">
        <v>47872</v>
      </c>
      <c r="J13644" t="s">
        <v>47873</v>
      </c>
      <c r="P13644" t="s">
        <v>40916</v>
      </c>
      <c r="Y13644" t="s">
        <v>47875</v>
      </c>
    </row>
    <row r="13645" spans="1:25" x14ac:dyDescent="0.25">
      <c r="A13645" t="str">
        <f>"219826247641"</f>
        <v>219826247641</v>
      </c>
      <c r="B13645" t="s">
        <v>96</v>
      </c>
      <c r="C13645" t="s">
        <v>5883</v>
      </c>
      <c r="D13645" t="s">
        <v>19130</v>
      </c>
      <c r="E13645">
        <v>424008</v>
      </c>
      <c r="F13645" t="s">
        <v>1</v>
      </c>
      <c r="G13645" t="s">
        <v>2</v>
      </c>
      <c r="H13645" t="s">
        <v>528</v>
      </c>
      <c r="P13645" t="s">
        <v>340</v>
      </c>
      <c r="Y13645" t="s">
        <v>47876</v>
      </c>
    </row>
    <row r="13646" spans="1:25" x14ac:dyDescent="0.25">
      <c r="A13646" t="str">
        <f>"219842198418"</f>
        <v>219842198418</v>
      </c>
      <c r="B13646" t="s">
        <v>96</v>
      </c>
      <c r="C13646" t="s">
        <v>14551</v>
      </c>
      <c r="D13646" t="s">
        <v>47877</v>
      </c>
      <c r="E13646">
        <v>424918</v>
      </c>
      <c r="F13646" t="s">
        <v>1</v>
      </c>
      <c r="G13646" t="s">
        <v>2</v>
      </c>
      <c r="H13646" t="s">
        <v>629</v>
      </c>
      <c r="J13646" t="s">
        <v>47878</v>
      </c>
      <c r="P13646" t="s">
        <v>10296</v>
      </c>
      <c r="Y13646" t="s">
        <v>47879</v>
      </c>
    </row>
    <row r="13647" spans="1:25" x14ac:dyDescent="0.25">
      <c r="A13647" t="str">
        <f>"219853802483"</f>
        <v>219853802483</v>
      </c>
      <c r="B13647" t="s">
        <v>284</v>
      </c>
      <c r="C13647" t="s">
        <v>3445</v>
      </c>
      <c r="D13647" t="s">
        <v>47880</v>
      </c>
      <c r="E13647">
        <v>424016</v>
      </c>
      <c r="F13647" t="s">
        <v>1</v>
      </c>
      <c r="G13647" t="s">
        <v>2</v>
      </c>
      <c r="H13647" t="s">
        <v>12926</v>
      </c>
      <c r="I13647" t="s">
        <v>12927</v>
      </c>
      <c r="Y13647" t="s">
        <v>12929</v>
      </c>
    </row>
    <row r="13648" spans="1:25" x14ac:dyDescent="0.25">
      <c r="A13648" t="str">
        <f>"219857389577"</f>
        <v>219857389577</v>
      </c>
      <c r="B13648" t="s">
        <v>574</v>
      </c>
      <c r="C13648" t="s">
        <v>32712</v>
      </c>
      <c r="D13648" t="s">
        <v>32710</v>
      </c>
      <c r="E13648">
        <v>424039</v>
      </c>
      <c r="F13648" t="s">
        <v>1</v>
      </c>
      <c r="G13648" t="s">
        <v>2</v>
      </c>
      <c r="H13648" t="s">
        <v>23651</v>
      </c>
      <c r="Y13648" t="s">
        <v>47881</v>
      </c>
    </row>
    <row r="13649" spans="1:25" x14ac:dyDescent="0.25">
      <c r="A13649" t="str">
        <f>"219858830709"</f>
        <v>219858830709</v>
      </c>
      <c r="B13649" t="s">
        <v>2055</v>
      </c>
      <c r="C13649" t="s">
        <v>47884</v>
      </c>
      <c r="D13649" t="s">
        <v>47882</v>
      </c>
      <c r="E13649">
        <v>424038</v>
      </c>
      <c r="F13649" t="s">
        <v>1</v>
      </c>
      <c r="G13649" t="s">
        <v>2</v>
      </c>
      <c r="H13649" t="s">
        <v>8196</v>
      </c>
      <c r="I13649" t="s">
        <v>47883</v>
      </c>
      <c r="P13649" t="s">
        <v>47885</v>
      </c>
      <c r="Q13649" t="s">
        <v>45574</v>
      </c>
      <c r="Y13649" t="s">
        <v>15483</v>
      </c>
    </row>
    <row r="13650" spans="1:25" x14ac:dyDescent="0.25">
      <c r="A13650" t="str">
        <f>"219863411161"</f>
        <v>219863411161</v>
      </c>
      <c r="B13650" t="s">
        <v>96</v>
      </c>
      <c r="C13650" t="s">
        <v>695</v>
      </c>
      <c r="D13650" t="s">
        <v>47886</v>
      </c>
      <c r="E13650">
        <v>424005</v>
      </c>
      <c r="F13650" t="s">
        <v>1</v>
      </c>
      <c r="G13650" t="s">
        <v>2</v>
      </c>
      <c r="H13650" t="s">
        <v>30829</v>
      </c>
      <c r="J13650" t="s">
        <v>47887</v>
      </c>
      <c r="P13650" t="s">
        <v>47888</v>
      </c>
      <c r="Y13650" t="s">
        <v>33722</v>
      </c>
    </row>
    <row r="13651" spans="1:25" x14ac:dyDescent="0.25">
      <c r="A13651" t="str">
        <f>"219930620362"</f>
        <v>219930620362</v>
      </c>
      <c r="B13651" t="s">
        <v>319</v>
      </c>
      <c r="C13651" t="s">
        <v>320</v>
      </c>
      <c r="D13651" t="s">
        <v>47889</v>
      </c>
      <c r="E13651">
        <v>424039</v>
      </c>
      <c r="F13651" t="s">
        <v>1</v>
      </c>
      <c r="G13651" t="s">
        <v>2</v>
      </c>
      <c r="H13651" t="s">
        <v>17375</v>
      </c>
      <c r="Y13651" t="s">
        <v>47890</v>
      </c>
    </row>
    <row r="13652" spans="1:25" x14ac:dyDescent="0.25">
      <c r="A13652" t="str">
        <f>"219970263458"</f>
        <v>219970263458</v>
      </c>
      <c r="B13652" t="s">
        <v>530</v>
      </c>
      <c r="C13652" t="s">
        <v>23950</v>
      </c>
      <c r="D13652" t="s">
        <v>23950</v>
      </c>
      <c r="E13652">
        <v>424033</v>
      </c>
      <c r="F13652" t="s">
        <v>1</v>
      </c>
      <c r="G13652" t="s">
        <v>2</v>
      </c>
      <c r="H13652" t="s">
        <v>24707</v>
      </c>
      <c r="Y13652" t="s">
        <v>47891</v>
      </c>
    </row>
    <row r="13653" spans="1:25" x14ac:dyDescent="0.25">
      <c r="A13653" t="str">
        <f>"219985331467"</f>
        <v>219985331467</v>
      </c>
      <c r="B13653" t="s">
        <v>290</v>
      </c>
      <c r="C13653" t="s">
        <v>11603</v>
      </c>
      <c r="D13653" t="s">
        <v>26376</v>
      </c>
      <c r="E13653">
        <v>424000</v>
      </c>
      <c r="F13653" t="s">
        <v>1</v>
      </c>
      <c r="G13653" t="s">
        <v>2</v>
      </c>
      <c r="H13653" t="s">
        <v>2671</v>
      </c>
      <c r="Y13653" t="s">
        <v>47892</v>
      </c>
    </row>
    <row r="13654" spans="1:25" x14ac:dyDescent="0.25">
      <c r="A13654" t="str">
        <f>"219992579174"</f>
        <v>219992579174</v>
      </c>
      <c r="B13654" t="s">
        <v>25</v>
      </c>
      <c r="C13654" t="s">
        <v>13425</v>
      </c>
      <c r="D13654" t="s">
        <v>1272</v>
      </c>
      <c r="E13654">
        <v>424006</v>
      </c>
      <c r="F13654" t="s">
        <v>1</v>
      </c>
      <c r="G13654" t="s">
        <v>2</v>
      </c>
      <c r="H13654" t="s">
        <v>11612</v>
      </c>
      <c r="Y13654" t="s">
        <v>11614</v>
      </c>
    </row>
    <row r="13655" spans="1:25" x14ac:dyDescent="0.25">
      <c r="A13655" t="str">
        <f>"220015201934"</f>
        <v>220015201934</v>
      </c>
      <c r="B13655" t="s">
        <v>25</v>
      </c>
      <c r="C13655" t="s">
        <v>24938</v>
      </c>
      <c r="D13655" t="s">
        <v>47893</v>
      </c>
      <c r="E13655">
        <v>424019</v>
      </c>
      <c r="F13655" t="s">
        <v>1</v>
      </c>
      <c r="G13655" t="s">
        <v>2</v>
      </c>
      <c r="H13655" t="s">
        <v>42900</v>
      </c>
      <c r="I13655" t="s">
        <v>47894</v>
      </c>
      <c r="M13655" t="s">
        <v>47895</v>
      </c>
      <c r="Y13655" t="s">
        <v>47896</v>
      </c>
    </row>
    <row r="13656" spans="1:25" x14ac:dyDescent="0.25">
      <c r="A13656" t="str">
        <f>"220074798946"</f>
        <v>220074798946</v>
      </c>
      <c r="B13656" t="s">
        <v>32</v>
      </c>
      <c r="C13656" t="s">
        <v>5809</v>
      </c>
      <c r="D13656" t="s">
        <v>47897</v>
      </c>
      <c r="E13656">
        <v>424038</v>
      </c>
      <c r="F13656" t="s">
        <v>1</v>
      </c>
      <c r="G13656" t="s">
        <v>2</v>
      </c>
      <c r="H13656" t="s">
        <v>16183</v>
      </c>
      <c r="P13656" t="s">
        <v>1027</v>
      </c>
      <c r="Y13656" t="s">
        <v>47898</v>
      </c>
    </row>
    <row r="13657" spans="1:25" x14ac:dyDescent="0.25">
      <c r="A13657" t="str">
        <f>"220094263714"</f>
        <v>220094263714</v>
      </c>
      <c r="B13657" t="s">
        <v>1046</v>
      </c>
      <c r="C13657" t="s">
        <v>22946</v>
      </c>
      <c r="D13657" t="s">
        <v>22946</v>
      </c>
      <c r="E13657">
        <v>424019</v>
      </c>
      <c r="F13657" t="s">
        <v>1</v>
      </c>
      <c r="G13657" t="s">
        <v>2</v>
      </c>
      <c r="H13657" t="s">
        <v>47899</v>
      </c>
      <c r="Y13657" t="s">
        <v>47900</v>
      </c>
    </row>
    <row r="13658" spans="1:25" x14ac:dyDescent="0.25">
      <c r="A13658" t="str">
        <f>"220098868404"</f>
        <v>220098868404</v>
      </c>
      <c r="B13658" t="s">
        <v>574</v>
      </c>
      <c r="C13658" t="s">
        <v>646</v>
      </c>
      <c r="D13658" t="s">
        <v>5768</v>
      </c>
      <c r="E13658">
        <v>424006</v>
      </c>
      <c r="F13658" t="s">
        <v>1</v>
      </c>
      <c r="G13658" t="s">
        <v>2</v>
      </c>
      <c r="H13658" t="s">
        <v>2775</v>
      </c>
      <c r="Y13658" t="s">
        <v>2779</v>
      </c>
    </row>
    <row r="13659" spans="1:25" x14ac:dyDescent="0.25">
      <c r="A13659" t="str">
        <f>"220105890771"</f>
        <v>220105890771</v>
      </c>
      <c r="B13659" t="s">
        <v>25</v>
      </c>
      <c r="C13659" t="s">
        <v>20320</v>
      </c>
      <c r="D13659" t="s">
        <v>47901</v>
      </c>
      <c r="E13659">
        <v>424033</v>
      </c>
      <c r="F13659" t="s">
        <v>1</v>
      </c>
      <c r="G13659" t="s">
        <v>2</v>
      </c>
      <c r="H13659" t="s">
        <v>24707</v>
      </c>
      <c r="Y13659" t="s">
        <v>47902</v>
      </c>
    </row>
    <row r="13660" spans="1:25" x14ac:dyDescent="0.25">
      <c r="A13660" t="str">
        <f>"220115510501"</f>
        <v>220115510501</v>
      </c>
      <c r="B13660" t="s">
        <v>96</v>
      </c>
      <c r="C13660" t="s">
        <v>893</v>
      </c>
      <c r="D13660" t="s">
        <v>26502</v>
      </c>
      <c r="E13660">
        <v>424002</v>
      </c>
      <c r="F13660" t="s">
        <v>1</v>
      </c>
      <c r="G13660" t="s">
        <v>2</v>
      </c>
      <c r="H13660" t="s">
        <v>12917</v>
      </c>
      <c r="Y13660" t="s">
        <v>12919</v>
      </c>
    </row>
    <row r="13661" spans="1:25" x14ac:dyDescent="0.25">
      <c r="A13661" t="str">
        <f>"220126464234"</f>
        <v>220126464234</v>
      </c>
      <c r="B13661" t="s">
        <v>1152</v>
      </c>
      <c r="C13661" t="s">
        <v>1153</v>
      </c>
      <c r="D13661" t="s">
        <v>10280</v>
      </c>
      <c r="E13661">
        <v>424007</v>
      </c>
      <c r="F13661" t="s">
        <v>1</v>
      </c>
      <c r="G13661" t="s">
        <v>2</v>
      </c>
      <c r="H13661" t="s">
        <v>4411</v>
      </c>
      <c r="Y13661" t="s">
        <v>47903</v>
      </c>
    </row>
    <row r="13662" spans="1:25" x14ac:dyDescent="0.25">
      <c r="A13662" t="str">
        <f>"220151895048"</f>
        <v>220151895048</v>
      </c>
      <c r="B13662" t="s">
        <v>7</v>
      </c>
      <c r="C13662" t="s">
        <v>6023</v>
      </c>
      <c r="D13662" t="s">
        <v>47904</v>
      </c>
      <c r="E13662">
        <v>424006</v>
      </c>
      <c r="F13662" t="s">
        <v>1</v>
      </c>
      <c r="G13662" t="s">
        <v>2</v>
      </c>
      <c r="H13662" t="s">
        <v>155</v>
      </c>
      <c r="I13662" t="s">
        <v>47905</v>
      </c>
      <c r="L13662" t="s">
        <v>47906</v>
      </c>
      <c r="M13662" t="s">
        <v>47907</v>
      </c>
      <c r="P13662" t="s">
        <v>2438</v>
      </c>
      <c r="Q13662" t="s">
        <v>47908</v>
      </c>
      <c r="Y13662" t="s">
        <v>162</v>
      </c>
    </row>
    <row r="13663" spans="1:25" x14ac:dyDescent="0.25">
      <c r="A13663" t="str">
        <f>"220167471109"</f>
        <v>220167471109</v>
      </c>
      <c r="B13663" t="s">
        <v>25</v>
      </c>
      <c r="C13663" t="s">
        <v>59</v>
      </c>
      <c r="D13663" t="s">
        <v>13061</v>
      </c>
      <c r="E13663">
        <v>424031</v>
      </c>
      <c r="F13663" t="s">
        <v>1</v>
      </c>
      <c r="G13663" t="s">
        <v>2</v>
      </c>
      <c r="H13663" t="s">
        <v>413</v>
      </c>
      <c r="I13663" t="s">
        <v>47909</v>
      </c>
      <c r="J13663" t="s">
        <v>47910</v>
      </c>
      <c r="P13663" t="s">
        <v>1760</v>
      </c>
      <c r="Y13663" t="s">
        <v>47911</v>
      </c>
    </row>
    <row r="13664" spans="1:25" x14ac:dyDescent="0.25">
      <c r="A13664" t="str">
        <f>"220177128569"</f>
        <v>220177128569</v>
      </c>
      <c r="B13664" t="s">
        <v>3573</v>
      </c>
      <c r="C13664" t="s">
        <v>7808</v>
      </c>
      <c r="D13664" t="s">
        <v>47912</v>
      </c>
      <c r="E13664">
        <v>424000</v>
      </c>
      <c r="F13664" t="s">
        <v>1</v>
      </c>
      <c r="G13664" t="s">
        <v>2</v>
      </c>
      <c r="H13664" t="s">
        <v>8365</v>
      </c>
      <c r="I13664" t="s">
        <v>47913</v>
      </c>
      <c r="L13664" t="s">
        <v>47914</v>
      </c>
      <c r="M13664" t="s">
        <v>47915</v>
      </c>
      <c r="Y13664" t="s">
        <v>8369</v>
      </c>
    </row>
    <row r="13665" spans="1:25" x14ac:dyDescent="0.25">
      <c r="A13665" t="str">
        <f>"220189994708"</f>
        <v>220189994708</v>
      </c>
      <c r="B13665" t="s">
        <v>456</v>
      </c>
      <c r="C13665" t="s">
        <v>24964</v>
      </c>
      <c r="D13665" t="s">
        <v>47916</v>
      </c>
      <c r="E13665">
        <v>424000</v>
      </c>
      <c r="F13665" t="s">
        <v>1</v>
      </c>
      <c r="G13665" t="s">
        <v>2</v>
      </c>
      <c r="H13665" t="s">
        <v>4427</v>
      </c>
      <c r="I13665" t="s">
        <v>36423</v>
      </c>
      <c r="P13665" t="s">
        <v>330</v>
      </c>
      <c r="Y13665" t="s">
        <v>4431</v>
      </c>
    </row>
    <row r="13666" spans="1:25" x14ac:dyDescent="0.25">
      <c r="A13666" t="str">
        <f>"220206307728"</f>
        <v>220206307728</v>
      </c>
      <c r="B13666" t="s">
        <v>25</v>
      </c>
      <c r="C13666" t="s">
        <v>20320</v>
      </c>
      <c r="D13666" t="s">
        <v>47917</v>
      </c>
      <c r="E13666">
        <v>424003</v>
      </c>
      <c r="F13666" t="s">
        <v>1</v>
      </c>
      <c r="G13666" t="s">
        <v>2</v>
      </c>
      <c r="H13666" t="s">
        <v>47918</v>
      </c>
      <c r="J13666" t="s">
        <v>27350</v>
      </c>
      <c r="M13666" t="s">
        <v>47919</v>
      </c>
      <c r="Q13666" t="s">
        <v>28550</v>
      </c>
      <c r="Y13666" t="s">
        <v>47920</v>
      </c>
    </row>
    <row r="13667" spans="1:25" x14ac:dyDescent="0.25">
      <c r="A13667" t="str">
        <f>"220250415154"</f>
        <v>220250415154</v>
      </c>
      <c r="B13667" t="s">
        <v>110</v>
      </c>
      <c r="C13667" t="s">
        <v>111</v>
      </c>
      <c r="D13667" t="s">
        <v>111</v>
      </c>
      <c r="E13667">
        <v>424000</v>
      </c>
      <c r="F13667" t="s">
        <v>1</v>
      </c>
      <c r="G13667" t="s">
        <v>2</v>
      </c>
      <c r="H13667" t="s">
        <v>4255</v>
      </c>
      <c r="M13667" t="s">
        <v>33769</v>
      </c>
      <c r="Y13667" t="s">
        <v>4256</v>
      </c>
    </row>
    <row r="13668" spans="1:25" x14ac:dyDescent="0.25">
      <c r="A13668" t="str">
        <f>"220250934416"</f>
        <v>220250934416</v>
      </c>
      <c r="B13668" t="s">
        <v>1152</v>
      </c>
      <c r="C13668" t="s">
        <v>8449</v>
      </c>
      <c r="D13668" t="s">
        <v>38451</v>
      </c>
      <c r="E13668">
        <v>424003</v>
      </c>
      <c r="F13668" t="s">
        <v>1</v>
      </c>
      <c r="G13668" t="s">
        <v>2</v>
      </c>
      <c r="H13668" t="s">
        <v>21404</v>
      </c>
      <c r="I13668" t="s">
        <v>47921</v>
      </c>
      <c r="P13668" t="s">
        <v>5689</v>
      </c>
      <c r="Y13668" t="s">
        <v>47922</v>
      </c>
    </row>
    <row r="13669" spans="1:25" x14ac:dyDescent="0.25">
      <c r="A13669" t="str">
        <f>"220251487114"</f>
        <v>220251487114</v>
      </c>
      <c r="B13669" t="s">
        <v>2104</v>
      </c>
      <c r="C13669" t="s">
        <v>2105</v>
      </c>
      <c r="D13669" t="s">
        <v>24033</v>
      </c>
      <c r="E13669">
        <v>424020</v>
      </c>
      <c r="F13669" t="s">
        <v>1</v>
      </c>
      <c r="G13669" t="s">
        <v>2</v>
      </c>
      <c r="H13669" t="s">
        <v>2917</v>
      </c>
      <c r="P13669" t="s">
        <v>1642</v>
      </c>
      <c r="Y13669" t="s">
        <v>47923</v>
      </c>
    </row>
    <row r="13670" spans="1:25" x14ac:dyDescent="0.25">
      <c r="A13670" t="str">
        <f>"220258306439"</f>
        <v>220258306439</v>
      </c>
      <c r="B13670" t="s">
        <v>1046</v>
      </c>
      <c r="C13670" t="s">
        <v>22946</v>
      </c>
      <c r="D13670" t="s">
        <v>22946</v>
      </c>
      <c r="E13670">
        <v>424019</v>
      </c>
      <c r="F13670" t="s">
        <v>1</v>
      </c>
      <c r="G13670" t="s">
        <v>2</v>
      </c>
      <c r="H13670" t="s">
        <v>47924</v>
      </c>
      <c r="Y13670" t="s">
        <v>47925</v>
      </c>
    </row>
    <row r="13671" spans="1:25" x14ac:dyDescent="0.25">
      <c r="A13671" t="str">
        <f>"220286105804"</f>
        <v>220286105804</v>
      </c>
      <c r="B13671" t="s">
        <v>4495</v>
      </c>
      <c r="C13671" t="s">
        <v>11755</v>
      </c>
      <c r="D13671" t="s">
        <v>47045</v>
      </c>
      <c r="F13671" t="s">
        <v>1</v>
      </c>
      <c r="G13671" t="s">
        <v>2</v>
      </c>
      <c r="H13671" t="s">
        <v>47046</v>
      </c>
      <c r="M13671" t="s">
        <v>47926</v>
      </c>
      <c r="Y13671" t="s">
        <v>47052</v>
      </c>
    </row>
    <row r="13672" spans="1:25" x14ac:dyDescent="0.25">
      <c r="A13672" t="str">
        <f>"220293455445"</f>
        <v>220293455445</v>
      </c>
      <c r="B13672" t="s">
        <v>1053</v>
      </c>
      <c r="C13672" t="s">
        <v>47928</v>
      </c>
      <c r="D13672" t="s">
        <v>1927</v>
      </c>
      <c r="E13672">
        <v>424007</v>
      </c>
      <c r="F13672" t="s">
        <v>1</v>
      </c>
      <c r="G13672" t="s">
        <v>2</v>
      </c>
      <c r="H13672" t="s">
        <v>1566</v>
      </c>
      <c r="J13672" t="s">
        <v>47927</v>
      </c>
      <c r="P13672" t="s">
        <v>11090</v>
      </c>
      <c r="Y13672" t="s">
        <v>21179</v>
      </c>
    </row>
    <row r="13673" spans="1:25" x14ac:dyDescent="0.25">
      <c r="A13673" t="str">
        <f>"220317803873"</f>
        <v>220317803873</v>
      </c>
      <c r="B13673" t="s">
        <v>96</v>
      </c>
      <c r="C13673" t="s">
        <v>893</v>
      </c>
      <c r="D13673" t="s">
        <v>47929</v>
      </c>
      <c r="E13673">
        <v>424000</v>
      </c>
      <c r="F13673" t="s">
        <v>1</v>
      </c>
      <c r="G13673" t="s">
        <v>2</v>
      </c>
      <c r="H13673" t="s">
        <v>92</v>
      </c>
      <c r="Y13673" t="s">
        <v>28397</v>
      </c>
    </row>
    <row r="13674" spans="1:25" x14ac:dyDescent="0.25">
      <c r="A13674" t="str">
        <f>"220365014907"</f>
        <v>220365014907</v>
      </c>
      <c r="B13674" t="s">
        <v>530</v>
      </c>
      <c r="C13674" t="s">
        <v>23950</v>
      </c>
      <c r="D13674" t="s">
        <v>23950</v>
      </c>
      <c r="F13674" t="s">
        <v>1</v>
      </c>
      <c r="G13674" t="s">
        <v>2</v>
      </c>
      <c r="H13674" t="s">
        <v>27308</v>
      </c>
      <c r="Y13674" t="s">
        <v>47930</v>
      </c>
    </row>
    <row r="13675" spans="1:25" x14ac:dyDescent="0.25">
      <c r="A13675" t="str">
        <f>"220392908575"</f>
        <v>220392908575</v>
      </c>
      <c r="B13675" t="s">
        <v>96</v>
      </c>
      <c r="C13675" t="s">
        <v>893</v>
      </c>
      <c r="D13675" t="s">
        <v>10532</v>
      </c>
      <c r="E13675">
        <v>424000</v>
      </c>
      <c r="F13675" t="s">
        <v>1</v>
      </c>
      <c r="G13675" t="s">
        <v>2</v>
      </c>
      <c r="H13675" t="s">
        <v>1746</v>
      </c>
      <c r="P13675" t="s">
        <v>112</v>
      </c>
      <c r="Y13675" t="s">
        <v>47931</v>
      </c>
    </row>
    <row r="13676" spans="1:25" x14ac:dyDescent="0.25">
      <c r="A13676" t="str">
        <f>"220396955902"</f>
        <v>220396955902</v>
      </c>
      <c r="B13676" t="s">
        <v>930</v>
      </c>
      <c r="C13676" t="s">
        <v>10263</v>
      </c>
      <c r="D13676" t="s">
        <v>10263</v>
      </c>
      <c r="F13676" t="s">
        <v>1</v>
      </c>
      <c r="G13676" t="s">
        <v>2</v>
      </c>
      <c r="H13676" t="s">
        <v>25889</v>
      </c>
      <c r="Y13676" t="s">
        <v>47932</v>
      </c>
    </row>
    <row r="13677" spans="1:25" x14ac:dyDescent="0.25">
      <c r="A13677" t="str">
        <f>"220414248620"</f>
        <v>220414248620</v>
      </c>
      <c r="B13677" t="s">
        <v>10986</v>
      </c>
      <c r="C13677" t="s">
        <v>10987</v>
      </c>
      <c r="D13677" t="s">
        <v>38672</v>
      </c>
      <c r="E13677">
        <v>424006</v>
      </c>
      <c r="F13677" t="s">
        <v>1</v>
      </c>
      <c r="G13677" t="s">
        <v>2</v>
      </c>
      <c r="H13677" t="s">
        <v>6628</v>
      </c>
      <c r="Y13677" t="s">
        <v>47933</v>
      </c>
    </row>
    <row r="13678" spans="1:25" x14ac:dyDescent="0.25">
      <c r="A13678" t="str">
        <f>"220418581251"</f>
        <v>220418581251</v>
      </c>
      <c r="B13678" t="s">
        <v>1222</v>
      </c>
      <c r="C13678" t="s">
        <v>2114</v>
      </c>
      <c r="D13678" t="s">
        <v>2114</v>
      </c>
      <c r="E13678">
        <v>424000</v>
      </c>
      <c r="F13678" t="s">
        <v>1</v>
      </c>
      <c r="G13678" t="s">
        <v>2</v>
      </c>
      <c r="H13678" t="s">
        <v>1473</v>
      </c>
      <c r="P13678" t="s">
        <v>941</v>
      </c>
      <c r="Y13678" t="s">
        <v>47934</v>
      </c>
    </row>
    <row r="13679" spans="1:25" x14ac:dyDescent="0.25">
      <c r="A13679" t="str">
        <f>"220484691993"</f>
        <v>220484691993</v>
      </c>
      <c r="B13679" t="s">
        <v>7</v>
      </c>
      <c r="C13679" t="s">
        <v>9893</v>
      </c>
      <c r="D13679" t="s">
        <v>47935</v>
      </c>
      <c r="E13679">
        <v>424033</v>
      </c>
      <c r="F13679" t="s">
        <v>1</v>
      </c>
      <c r="G13679" t="s">
        <v>2</v>
      </c>
      <c r="H13679" t="s">
        <v>47936</v>
      </c>
      <c r="I13679" t="s">
        <v>47937</v>
      </c>
      <c r="P13679" t="s">
        <v>47938</v>
      </c>
      <c r="Y13679" t="s">
        <v>47939</v>
      </c>
    </row>
    <row r="13680" spans="1:25" x14ac:dyDescent="0.25">
      <c r="A13680" t="str">
        <f>"220490322722"</f>
        <v>220490322722</v>
      </c>
      <c r="B13680" t="s">
        <v>3200</v>
      </c>
      <c r="C13680" t="s">
        <v>22015</v>
      </c>
      <c r="D13680" t="s">
        <v>36950</v>
      </c>
      <c r="E13680">
        <v>424038</v>
      </c>
      <c r="F13680" t="s">
        <v>1</v>
      </c>
      <c r="G13680" t="s">
        <v>2</v>
      </c>
      <c r="H13680" t="s">
        <v>1366</v>
      </c>
      <c r="J13680" t="s">
        <v>47940</v>
      </c>
      <c r="P13680" t="s">
        <v>47941</v>
      </c>
      <c r="Y13680" t="s">
        <v>47942</v>
      </c>
    </row>
    <row r="13681" spans="1:25" x14ac:dyDescent="0.25">
      <c r="A13681" t="str">
        <f>"220503737248"</f>
        <v>220503737248</v>
      </c>
      <c r="B13681" t="s">
        <v>1544</v>
      </c>
      <c r="C13681" t="s">
        <v>47945</v>
      </c>
      <c r="D13681" t="s">
        <v>47943</v>
      </c>
      <c r="E13681">
        <v>424000</v>
      </c>
      <c r="F13681" t="s">
        <v>1</v>
      </c>
      <c r="G13681" t="s">
        <v>2</v>
      </c>
      <c r="H13681" t="s">
        <v>4427</v>
      </c>
      <c r="J13681" t="s">
        <v>47944</v>
      </c>
      <c r="P13681" t="s">
        <v>47946</v>
      </c>
      <c r="Y13681" t="s">
        <v>47947</v>
      </c>
    </row>
    <row r="13682" spans="1:25" x14ac:dyDescent="0.25">
      <c r="A13682" t="str">
        <f>"220520313388"</f>
        <v>220520313388</v>
      </c>
      <c r="B13682" t="s">
        <v>591</v>
      </c>
      <c r="C13682" t="s">
        <v>1904</v>
      </c>
      <c r="D13682" t="s">
        <v>1904</v>
      </c>
      <c r="E13682">
        <v>424005</v>
      </c>
      <c r="F13682" t="s">
        <v>1</v>
      </c>
      <c r="G13682" t="s">
        <v>2</v>
      </c>
      <c r="H13682" t="s">
        <v>1310</v>
      </c>
      <c r="I13682" t="s">
        <v>47948</v>
      </c>
      <c r="K13682" t="s">
        <v>47948</v>
      </c>
      <c r="P13682" t="s">
        <v>280</v>
      </c>
      <c r="Y13682" t="s">
        <v>3926</v>
      </c>
    </row>
    <row r="13683" spans="1:25" x14ac:dyDescent="0.25">
      <c r="A13683" t="str">
        <f>"220614519939"</f>
        <v>220614519939</v>
      </c>
      <c r="B13683" t="s">
        <v>371</v>
      </c>
      <c r="C13683" t="s">
        <v>47952</v>
      </c>
      <c r="D13683" t="s">
        <v>47949</v>
      </c>
      <c r="E13683">
        <v>424000</v>
      </c>
      <c r="F13683" t="s">
        <v>1</v>
      </c>
      <c r="G13683" t="s">
        <v>2</v>
      </c>
      <c r="H13683" t="s">
        <v>34149</v>
      </c>
      <c r="I13683" t="s">
        <v>47950</v>
      </c>
      <c r="L13683" t="s">
        <v>47951</v>
      </c>
      <c r="P13683" t="s">
        <v>27</v>
      </c>
      <c r="Q13683" t="s">
        <v>47953</v>
      </c>
      <c r="R13683" t="s">
        <v>47954</v>
      </c>
      <c r="Y13683" t="s">
        <v>34150</v>
      </c>
    </row>
    <row r="13684" spans="1:25" x14ac:dyDescent="0.25">
      <c r="A13684" t="str">
        <f>"220632808260"</f>
        <v>220632808260</v>
      </c>
      <c r="B13684" t="s">
        <v>117</v>
      </c>
      <c r="C13684" t="s">
        <v>873</v>
      </c>
      <c r="D13684" t="s">
        <v>873</v>
      </c>
      <c r="F13684" t="s">
        <v>1</v>
      </c>
      <c r="G13684" t="s">
        <v>2</v>
      </c>
      <c r="H13684" t="s">
        <v>27567</v>
      </c>
      <c r="Y13684" t="s">
        <v>47955</v>
      </c>
    </row>
    <row r="13685" spans="1:25" x14ac:dyDescent="0.25">
      <c r="A13685" t="str">
        <f>"220650774729"</f>
        <v>220650774729</v>
      </c>
      <c r="B13685" t="s">
        <v>462</v>
      </c>
      <c r="C13685" t="s">
        <v>525</v>
      </c>
      <c r="D13685" t="s">
        <v>47956</v>
      </c>
      <c r="E13685">
        <v>424002</v>
      </c>
      <c r="F13685" t="s">
        <v>1</v>
      </c>
      <c r="G13685" t="s">
        <v>2</v>
      </c>
      <c r="H13685" t="s">
        <v>2714</v>
      </c>
      <c r="I13685" t="s">
        <v>47957</v>
      </c>
      <c r="P13685" t="s">
        <v>9</v>
      </c>
      <c r="Y13685" t="s">
        <v>2715</v>
      </c>
    </row>
    <row r="13686" spans="1:25" x14ac:dyDescent="0.25">
      <c r="A13686" t="str">
        <f>"220707385378"</f>
        <v>220707385378</v>
      </c>
      <c r="B13686" t="s">
        <v>1053</v>
      </c>
      <c r="C13686" t="s">
        <v>47959</v>
      </c>
      <c r="D13686" t="s">
        <v>8155</v>
      </c>
      <c r="E13686">
        <v>424006</v>
      </c>
      <c r="F13686" t="s">
        <v>1</v>
      </c>
      <c r="G13686" t="s">
        <v>2</v>
      </c>
      <c r="H13686" t="s">
        <v>28010</v>
      </c>
      <c r="I13686" t="s">
        <v>22624</v>
      </c>
      <c r="J13686" t="s">
        <v>22625</v>
      </c>
      <c r="L13686" t="s">
        <v>16920</v>
      </c>
      <c r="M13686" t="s">
        <v>47958</v>
      </c>
      <c r="P13686" t="s">
        <v>47960</v>
      </c>
      <c r="Q13686" t="s">
        <v>47961</v>
      </c>
      <c r="R13686" t="s">
        <v>47962</v>
      </c>
      <c r="V13686" t="s">
        <v>47963</v>
      </c>
      <c r="Y13686" t="s">
        <v>47964</v>
      </c>
    </row>
    <row r="13687" spans="1:25" x14ac:dyDescent="0.25">
      <c r="A13687" t="str">
        <f>"220734061582"</f>
        <v>220734061582</v>
      </c>
      <c r="B13687" t="s">
        <v>204</v>
      </c>
      <c r="C13687" t="s">
        <v>29461</v>
      </c>
      <c r="D13687" t="s">
        <v>47965</v>
      </c>
      <c r="E13687">
        <v>424039</v>
      </c>
      <c r="F13687" t="s">
        <v>1</v>
      </c>
      <c r="G13687" t="s">
        <v>2</v>
      </c>
      <c r="H13687" t="s">
        <v>20272</v>
      </c>
      <c r="Y13687" t="s">
        <v>47966</v>
      </c>
    </row>
    <row r="13688" spans="1:25" x14ac:dyDescent="0.25">
      <c r="A13688" t="str">
        <f>"220745550600"</f>
        <v>220745550600</v>
      </c>
      <c r="B13688" t="s">
        <v>530</v>
      </c>
      <c r="C13688" t="s">
        <v>23950</v>
      </c>
      <c r="D13688" t="s">
        <v>23950</v>
      </c>
      <c r="E13688">
        <v>424007</v>
      </c>
      <c r="F13688" t="s">
        <v>1</v>
      </c>
      <c r="G13688" t="s">
        <v>2</v>
      </c>
      <c r="H13688" t="s">
        <v>47967</v>
      </c>
      <c r="Y13688" t="s">
        <v>47968</v>
      </c>
    </row>
    <row r="13689" spans="1:25" x14ac:dyDescent="0.25">
      <c r="A13689" t="str">
        <f>"220766062405"</f>
        <v>220766062405</v>
      </c>
      <c r="B13689" t="s">
        <v>88</v>
      </c>
      <c r="C13689" t="s">
        <v>4246</v>
      </c>
      <c r="D13689" t="s">
        <v>47969</v>
      </c>
      <c r="E13689">
        <v>424036</v>
      </c>
      <c r="F13689" t="s">
        <v>1</v>
      </c>
      <c r="G13689" t="s">
        <v>2</v>
      </c>
      <c r="H13689" t="s">
        <v>8222</v>
      </c>
      <c r="I13689" t="s">
        <v>47970</v>
      </c>
      <c r="Y13689" t="s">
        <v>12963</v>
      </c>
    </row>
    <row r="13690" spans="1:25" x14ac:dyDescent="0.25">
      <c r="A13690" t="str">
        <f>"220772337614"</f>
        <v>220772337614</v>
      </c>
      <c r="B13690" t="s">
        <v>654</v>
      </c>
      <c r="C13690" t="s">
        <v>2195</v>
      </c>
      <c r="D13690" t="s">
        <v>25782</v>
      </c>
      <c r="E13690">
        <v>424031</v>
      </c>
      <c r="F13690" t="s">
        <v>1</v>
      </c>
      <c r="G13690" t="s">
        <v>2</v>
      </c>
      <c r="H13690" t="s">
        <v>4622</v>
      </c>
      <c r="I13690" t="s">
        <v>25784</v>
      </c>
      <c r="M13690" t="s">
        <v>25785</v>
      </c>
      <c r="P13690" t="s">
        <v>1160</v>
      </c>
      <c r="Y13690" t="s">
        <v>7838</v>
      </c>
    </row>
    <row r="13691" spans="1:25" x14ac:dyDescent="0.25">
      <c r="A13691" t="str">
        <f>"220783969570"</f>
        <v>220783969570</v>
      </c>
      <c r="B13691" t="s">
        <v>96</v>
      </c>
      <c r="C13691" t="s">
        <v>20353</v>
      </c>
      <c r="D13691" t="s">
        <v>20353</v>
      </c>
      <c r="E13691">
        <v>424005</v>
      </c>
      <c r="F13691" t="s">
        <v>1</v>
      </c>
      <c r="G13691" t="s">
        <v>2</v>
      </c>
      <c r="H13691" t="s">
        <v>7480</v>
      </c>
      <c r="P13691" t="s">
        <v>7638</v>
      </c>
      <c r="Y13691" t="s">
        <v>47971</v>
      </c>
    </row>
    <row r="13692" spans="1:25" x14ac:dyDescent="0.25">
      <c r="A13692" t="str">
        <f>"220814147042"</f>
        <v>220814147042</v>
      </c>
      <c r="B13692" t="s">
        <v>18</v>
      </c>
      <c r="C13692" t="s">
        <v>47975</v>
      </c>
      <c r="D13692" t="s">
        <v>47972</v>
      </c>
      <c r="E13692">
        <v>424004</v>
      </c>
      <c r="F13692" t="s">
        <v>1</v>
      </c>
      <c r="G13692" t="s">
        <v>2</v>
      </c>
      <c r="H13692" t="s">
        <v>47973</v>
      </c>
      <c r="I13692" t="s">
        <v>47974</v>
      </c>
      <c r="P13692" t="s">
        <v>47976</v>
      </c>
      <c r="Y13692" t="s">
        <v>47977</v>
      </c>
    </row>
    <row r="13693" spans="1:25" x14ac:dyDescent="0.25">
      <c r="A13693" t="str">
        <f>"220836427179"</f>
        <v>220836427179</v>
      </c>
      <c r="B13693" t="s">
        <v>2104</v>
      </c>
      <c r="C13693" t="s">
        <v>11739</v>
      </c>
      <c r="D13693" t="s">
        <v>47978</v>
      </c>
      <c r="E13693">
        <v>424002</v>
      </c>
      <c r="F13693" t="s">
        <v>1</v>
      </c>
      <c r="G13693" t="s">
        <v>2</v>
      </c>
      <c r="H13693" t="s">
        <v>3864</v>
      </c>
      <c r="J13693" t="s">
        <v>47979</v>
      </c>
      <c r="P13693" t="s">
        <v>98</v>
      </c>
      <c r="Y13693" t="s">
        <v>3867</v>
      </c>
    </row>
    <row r="13694" spans="1:25" x14ac:dyDescent="0.25">
      <c r="A13694" t="str">
        <f>"220872944830"</f>
        <v>220872944830</v>
      </c>
      <c r="B13694" t="s">
        <v>117</v>
      </c>
      <c r="C13694" t="s">
        <v>26692</v>
      </c>
      <c r="D13694" t="s">
        <v>26690</v>
      </c>
      <c r="E13694">
        <v>424006</v>
      </c>
      <c r="F13694" t="s">
        <v>1</v>
      </c>
      <c r="G13694" t="s">
        <v>2</v>
      </c>
      <c r="H13694" t="s">
        <v>47980</v>
      </c>
      <c r="Y13694" t="s">
        <v>47981</v>
      </c>
    </row>
    <row r="13695" spans="1:25" x14ac:dyDescent="0.25">
      <c r="A13695" t="str">
        <f>"220924304401"</f>
        <v>220924304401</v>
      </c>
      <c r="B13695" t="s">
        <v>123</v>
      </c>
      <c r="C13695" t="s">
        <v>196</v>
      </c>
      <c r="D13695" t="s">
        <v>47982</v>
      </c>
      <c r="E13695">
        <v>424007</v>
      </c>
      <c r="F13695" t="s">
        <v>1</v>
      </c>
      <c r="G13695" t="s">
        <v>2</v>
      </c>
      <c r="H13695" t="s">
        <v>11314</v>
      </c>
      <c r="J13695" t="s">
        <v>47983</v>
      </c>
      <c r="P13695" t="s">
        <v>47984</v>
      </c>
      <c r="Y13695" t="s">
        <v>47985</v>
      </c>
    </row>
    <row r="13696" spans="1:25" x14ac:dyDescent="0.25">
      <c r="A13696" t="str">
        <f>"220939130280"</f>
        <v>220939130280</v>
      </c>
      <c r="B13696" t="s">
        <v>88</v>
      </c>
      <c r="C13696" t="s">
        <v>47988</v>
      </c>
      <c r="D13696" t="s">
        <v>47986</v>
      </c>
      <c r="E13696">
        <v>424031</v>
      </c>
      <c r="F13696" t="s">
        <v>1</v>
      </c>
      <c r="G13696" t="s">
        <v>2</v>
      </c>
      <c r="H13696" t="s">
        <v>757</v>
      </c>
      <c r="I13696" t="s">
        <v>47987</v>
      </c>
      <c r="P13696" t="s">
        <v>1027</v>
      </c>
      <c r="Q13696" t="s">
        <v>47989</v>
      </c>
      <c r="V13696" t="s">
        <v>47990</v>
      </c>
      <c r="Y13696" t="s">
        <v>47991</v>
      </c>
    </row>
    <row r="13697" spans="1:25" x14ac:dyDescent="0.25">
      <c r="A13697" t="str">
        <f>"221068297044"</f>
        <v>221068297044</v>
      </c>
      <c r="B13697" t="s">
        <v>530</v>
      </c>
      <c r="C13697" t="s">
        <v>23950</v>
      </c>
      <c r="D13697" t="s">
        <v>23950</v>
      </c>
      <c r="F13697" t="s">
        <v>1</v>
      </c>
      <c r="G13697" t="s">
        <v>2</v>
      </c>
      <c r="H13697" t="s">
        <v>31290</v>
      </c>
      <c r="Y13697" t="s">
        <v>47992</v>
      </c>
    </row>
    <row r="13698" spans="1:25" x14ac:dyDescent="0.25">
      <c r="A13698" t="str">
        <f>"221081231747"</f>
        <v>221081231747</v>
      </c>
      <c r="B13698" t="s">
        <v>1544</v>
      </c>
      <c r="C13698" t="s">
        <v>3596</v>
      </c>
      <c r="D13698" t="s">
        <v>3596</v>
      </c>
      <c r="E13698">
        <v>424031</v>
      </c>
      <c r="F13698" t="s">
        <v>1</v>
      </c>
      <c r="G13698" t="s">
        <v>2</v>
      </c>
      <c r="H13698" t="s">
        <v>47993</v>
      </c>
      <c r="Y13698" t="s">
        <v>47994</v>
      </c>
    </row>
    <row r="13699" spans="1:25" x14ac:dyDescent="0.25">
      <c r="A13699" t="str">
        <f>"221211824399"</f>
        <v>221211824399</v>
      </c>
      <c r="B13699" t="s">
        <v>96</v>
      </c>
      <c r="C13699" t="s">
        <v>47995</v>
      </c>
      <c r="D13699" t="s">
        <v>16476</v>
      </c>
      <c r="E13699">
        <v>424007</v>
      </c>
      <c r="F13699" t="s">
        <v>1</v>
      </c>
      <c r="G13699" t="s">
        <v>2</v>
      </c>
      <c r="H13699" t="s">
        <v>5178</v>
      </c>
      <c r="J13699" t="s">
        <v>16827</v>
      </c>
      <c r="P13699" t="s">
        <v>2731</v>
      </c>
      <c r="Y13699" t="s">
        <v>47996</v>
      </c>
    </row>
    <row r="13700" spans="1:25" x14ac:dyDescent="0.25">
      <c r="A13700" t="str">
        <f>"221233349451"</f>
        <v>221233349451</v>
      </c>
      <c r="B13700" t="s">
        <v>1152</v>
      </c>
      <c r="C13700" t="s">
        <v>1385</v>
      </c>
      <c r="D13700" t="s">
        <v>47997</v>
      </c>
      <c r="E13700">
        <v>424003</v>
      </c>
      <c r="F13700" t="s">
        <v>1</v>
      </c>
      <c r="G13700" t="s">
        <v>2</v>
      </c>
      <c r="H13700" t="s">
        <v>22543</v>
      </c>
      <c r="J13700" t="s">
        <v>47998</v>
      </c>
      <c r="P13700" t="s">
        <v>27</v>
      </c>
      <c r="Y13700" t="s">
        <v>26582</v>
      </c>
    </row>
    <row r="13701" spans="1:25" x14ac:dyDescent="0.25">
      <c r="A13701" t="str">
        <f>"221242459880"</f>
        <v>221242459880</v>
      </c>
      <c r="B13701" t="s">
        <v>96</v>
      </c>
      <c r="C13701" t="s">
        <v>2285</v>
      </c>
      <c r="D13701" t="s">
        <v>30723</v>
      </c>
      <c r="E13701">
        <v>424000</v>
      </c>
      <c r="F13701" t="s">
        <v>1</v>
      </c>
      <c r="G13701" t="s">
        <v>2</v>
      </c>
      <c r="H13701" t="s">
        <v>92</v>
      </c>
      <c r="P13701" t="s">
        <v>144</v>
      </c>
      <c r="Y13701" t="s">
        <v>47999</v>
      </c>
    </row>
    <row r="13702" spans="1:25" x14ac:dyDescent="0.25">
      <c r="A13702" t="str">
        <f>"221243034902"</f>
        <v>221243034902</v>
      </c>
      <c r="B13702" t="s">
        <v>1475</v>
      </c>
      <c r="C13702" t="s">
        <v>4005</v>
      </c>
      <c r="D13702" t="s">
        <v>7821</v>
      </c>
      <c r="E13702">
        <v>424007</v>
      </c>
      <c r="F13702" t="s">
        <v>1</v>
      </c>
      <c r="G13702" t="s">
        <v>2</v>
      </c>
      <c r="H13702" t="s">
        <v>11776</v>
      </c>
      <c r="P13702" t="s">
        <v>48000</v>
      </c>
      <c r="Y13702" t="s">
        <v>48001</v>
      </c>
    </row>
    <row r="13703" spans="1:25" x14ac:dyDescent="0.25">
      <c r="A13703" t="str">
        <f>"221249367102"</f>
        <v>221249367102</v>
      </c>
      <c r="B13703" t="s">
        <v>930</v>
      </c>
      <c r="C13703" t="s">
        <v>48004</v>
      </c>
      <c r="D13703" t="s">
        <v>48002</v>
      </c>
      <c r="E13703">
        <v>424032</v>
      </c>
      <c r="F13703" t="s">
        <v>1</v>
      </c>
      <c r="G13703" t="s">
        <v>2</v>
      </c>
      <c r="H13703" t="s">
        <v>14657</v>
      </c>
      <c r="J13703" t="s">
        <v>48003</v>
      </c>
      <c r="P13703" t="s">
        <v>4848</v>
      </c>
      <c r="Q13703" t="s">
        <v>48005</v>
      </c>
      <c r="Y13703" t="s">
        <v>48006</v>
      </c>
    </row>
    <row r="13704" spans="1:25" x14ac:dyDescent="0.25">
      <c r="A13704" t="str">
        <f>"221263622171"</f>
        <v>221263622171</v>
      </c>
      <c r="B13704" t="s">
        <v>430</v>
      </c>
      <c r="C13704" t="s">
        <v>612</v>
      </c>
      <c r="D13704" t="s">
        <v>48007</v>
      </c>
      <c r="E13704">
        <v>424002</v>
      </c>
      <c r="F13704" t="s">
        <v>1</v>
      </c>
      <c r="G13704" t="s">
        <v>2</v>
      </c>
      <c r="H13704" t="s">
        <v>6656</v>
      </c>
      <c r="I13704" t="s">
        <v>48008</v>
      </c>
      <c r="J13704" t="s">
        <v>48009</v>
      </c>
      <c r="M13704" t="s">
        <v>48010</v>
      </c>
      <c r="P13704" t="s">
        <v>2050</v>
      </c>
      <c r="Y13704" t="s">
        <v>48011</v>
      </c>
    </row>
    <row r="13705" spans="1:25" x14ac:dyDescent="0.25">
      <c r="A13705" t="str">
        <f>"221315316954"</f>
        <v>221315316954</v>
      </c>
      <c r="B13705" t="s">
        <v>530</v>
      </c>
      <c r="C13705" t="s">
        <v>23950</v>
      </c>
      <c r="D13705" t="s">
        <v>23950</v>
      </c>
      <c r="E13705">
        <v>424007</v>
      </c>
      <c r="F13705" t="s">
        <v>1</v>
      </c>
      <c r="G13705" t="s">
        <v>2</v>
      </c>
      <c r="H13705" t="s">
        <v>14435</v>
      </c>
      <c r="Y13705" t="s">
        <v>48012</v>
      </c>
    </row>
    <row r="13706" spans="1:25" x14ac:dyDescent="0.25">
      <c r="A13706" t="str">
        <f>"221319606760"</f>
        <v>221319606760</v>
      </c>
      <c r="B13706" t="s">
        <v>574</v>
      </c>
      <c r="C13706" t="s">
        <v>46053</v>
      </c>
      <c r="D13706" t="s">
        <v>48013</v>
      </c>
      <c r="E13706">
        <v>424007</v>
      </c>
      <c r="F13706" t="s">
        <v>1</v>
      </c>
      <c r="G13706" t="s">
        <v>2</v>
      </c>
      <c r="H13706" t="s">
        <v>9471</v>
      </c>
      <c r="Y13706" t="s">
        <v>9478</v>
      </c>
    </row>
    <row r="13707" spans="1:25" x14ac:dyDescent="0.25">
      <c r="A13707" t="str">
        <f>"221335776611"</f>
        <v>221335776611</v>
      </c>
      <c r="B13707" t="s">
        <v>110</v>
      </c>
      <c r="C13707" t="s">
        <v>11942</v>
      </c>
      <c r="D13707" t="s">
        <v>48014</v>
      </c>
      <c r="E13707">
        <v>424031</v>
      </c>
      <c r="F13707" t="s">
        <v>1</v>
      </c>
      <c r="G13707" t="s">
        <v>2</v>
      </c>
      <c r="H13707" t="s">
        <v>14639</v>
      </c>
      <c r="I13707" t="s">
        <v>48015</v>
      </c>
      <c r="L13707" t="s">
        <v>48016</v>
      </c>
      <c r="M13707" t="s">
        <v>48017</v>
      </c>
      <c r="P13707" t="s">
        <v>152</v>
      </c>
      <c r="Y13707" t="s">
        <v>48018</v>
      </c>
    </row>
    <row r="13708" spans="1:25" x14ac:dyDescent="0.25">
      <c r="A13708" t="str">
        <f>"221362466297"</f>
        <v>221362466297</v>
      </c>
      <c r="B13708" t="s">
        <v>123</v>
      </c>
      <c r="C13708" t="s">
        <v>196</v>
      </c>
      <c r="D13708" t="s">
        <v>48019</v>
      </c>
      <c r="E13708">
        <v>424007</v>
      </c>
      <c r="F13708" t="s">
        <v>1</v>
      </c>
      <c r="G13708" t="s">
        <v>2</v>
      </c>
      <c r="H13708" t="s">
        <v>5647</v>
      </c>
      <c r="I13708" t="s">
        <v>16013</v>
      </c>
      <c r="P13708" t="s">
        <v>48020</v>
      </c>
      <c r="Y13708" t="s">
        <v>12500</v>
      </c>
    </row>
    <row r="13709" spans="1:25" x14ac:dyDescent="0.25">
      <c r="A13709" t="str">
        <f>"221369900044"</f>
        <v>221369900044</v>
      </c>
      <c r="B13709" t="s">
        <v>25</v>
      </c>
      <c r="C13709" t="s">
        <v>20320</v>
      </c>
      <c r="D13709" t="s">
        <v>48021</v>
      </c>
      <c r="E13709">
        <v>424020</v>
      </c>
      <c r="F13709" t="s">
        <v>1</v>
      </c>
      <c r="G13709" t="s">
        <v>2</v>
      </c>
      <c r="H13709" t="s">
        <v>24402</v>
      </c>
      <c r="Y13709" t="s">
        <v>48022</v>
      </c>
    </row>
    <row r="13710" spans="1:25" x14ac:dyDescent="0.25">
      <c r="A13710" t="str">
        <f>"221387791255"</f>
        <v>221387791255</v>
      </c>
      <c r="B13710" t="s">
        <v>348</v>
      </c>
      <c r="C13710" t="s">
        <v>40912</v>
      </c>
      <c r="D13710" t="s">
        <v>27778</v>
      </c>
      <c r="E13710">
        <v>424038</v>
      </c>
      <c r="F13710" t="s">
        <v>1</v>
      </c>
      <c r="G13710" t="s">
        <v>2</v>
      </c>
      <c r="H13710" t="s">
        <v>6550</v>
      </c>
      <c r="J13710" t="s">
        <v>48023</v>
      </c>
      <c r="M13710" t="s">
        <v>27780</v>
      </c>
      <c r="P13710" t="s">
        <v>941</v>
      </c>
      <c r="V13710" t="s">
        <v>27782</v>
      </c>
      <c r="Y13710" t="s">
        <v>6552</v>
      </c>
    </row>
    <row r="13711" spans="1:25" x14ac:dyDescent="0.25">
      <c r="A13711" t="str">
        <f>"221392052471"</f>
        <v>221392052471</v>
      </c>
      <c r="B13711" t="s">
        <v>3544</v>
      </c>
      <c r="C13711" t="s">
        <v>11303</v>
      </c>
      <c r="D13711" t="s">
        <v>48024</v>
      </c>
      <c r="E13711">
        <v>424007</v>
      </c>
      <c r="F13711" t="s">
        <v>1</v>
      </c>
      <c r="G13711" t="s">
        <v>2</v>
      </c>
      <c r="H13711" t="s">
        <v>12328</v>
      </c>
      <c r="L13711" t="s">
        <v>12330</v>
      </c>
      <c r="M13711" t="s">
        <v>12331</v>
      </c>
      <c r="Y13711" t="s">
        <v>48025</v>
      </c>
    </row>
    <row r="13712" spans="1:25" x14ac:dyDescent="0.25">
      <c r="A13712" t="str">
        <f>"221402121797"</f>
        <v>221402121797</v>
      </c>
      <c r="B13712" t="s">
        <v>290</v>
      </c>
      <c r="C13712" t="s">
        <v>1641</v>
      </c>
      <c r="D13712" t="s">
        <v>11854</v>
      </c>
      <c r="E13712">
        <v>424006</v>
      </c>
      <c r="F13712" t="s">
        <v>1</v>
      </c>
      <c r="G13712" t="s">
        <v>2</v>
      </c>
      <c r="H13712" t="s">
        <v>5886</v>
      </c>
      <c r="Y13712" t="s">
        <v>5889</v>
      </c>
    </row>
    <row r="13713" spans="1:25" x14ac:dyDescent="0.25">
      <c r="A13713" t="str">
        <f>"221450903364"</f>
        <v>221450903364</v>
      </c>
      <c r="B13713" t="s">
        <v>8011</v>
      </c>
      <c r="C13713" t="s">
        <v>24988</v>
      </c>
      <c r="D13713" t="s">
        <v>8011</v>
      </c>
      <c r="F13713" t="s">
        <v>1</v>
      </c>
      <c r="G13713" t="s">
        <v>2</v>
      </c>
      <c r="H13713" t="s">
        <v>25588</v>
      </c>
      <c r="Y13713" t="s">
        <v>48026</v>
      </c>
    </row>
    <row r="13714" spans="1:25" x14ac:dyDescent="0.25">
      <c r="A13714" t="str">
        <f>"221472163370"</f>
        <v>221472163370</v>
      </c>
      <c r="B13714" t="s">
        <v>1611</v>
      </c>
      <c r="C13714" t="s">
        <v>14699</v>
      </c>
      <c r="D13714" t="s">
        <v>48027</v>
      </c>
      <c r="E13714">
        <v>424037</v>
      </c>
      <c r="F13714" t="s">
        <v>1</v>
      </c>
      <c r="G13714" t="s">
        <v>2</v>
      </c>
      <c r="H13714" t="s">
        <v>16664</v>
      </c>
      <c r="I13714" t="s">
        <v>48028</v>
      </c>
      <c r="L13714" t="s">
        <v>20111</v>
      </c>
      <c r="M13714" t="s">
        <v>20178</v>
      </c>
      <c r="P13714" t="s">
        <v>12632</v>
      </c>
      <c r="Y13714" t="s">
        <v>34619</v>
      </c>
    </row>
    <row r="13715" spans="1:25" x14ac:dyDescent="0.25">
      <c r="A13715" t="str">
        <f>"221485088778"</f>
        <v>221485088778</v>
      </c>
      <c r="B13715" t="s">
        <v>574</v>
      </c>
      <c r="C13715" t="s">
        <v>25422</v>
      </c>
      <c r="D13715" t="s">
        <v>29750</v>
      </c>
      <c r="E13715">
        <v>424005</v>
      </c>
      <c r="F13715" t="s">
        <v>1</v>
      </c>
      <c r="G13715" t="s">
        <v>2</v>
      </c>
      <c r="H13715" t="s">
        <v>1148</v>
      </c>
      <c r="Y13715" t="s">
        <v>32116</v>
      </c>
    </row>
    <row r="13716" spans="1:25" x14ac:dyDescent="0.25">
      <c r="A13716" t="str">
        <f>"221491231849"</f>
        <v>221491231849</v>
      </c>
      <c r="B13716" t="s">
        <v>574</v>
      </c>
      <c r="C13716" t="s">
        <v>14652</v>
      </c>
      <c r="D13716" t="s">
        <v>24972</v>
      </c>
      <c r="E13716">
        <v>424033</v>
      </c>
      <c r="F13716" t="s">
        <v>1</v>
      </c>
      <c r="G13716" t="s">
        <v>2</v>
      </c>
      <c r="H13716" t="s">
        <v>22482</v>
      </c>
      <c r="Y13716" t="s">
        <v>48029</v>
      </c>
    </row>
    <row r="13717" spans="1:25" x14ac:dyDescent="0.25">
      <c r="A13717" t="str">
        <f>"221494255596"</f>
        <v>221494255596</v>
      </c>
      <c r="B13717" t="s">
        <v>96</v>
      </c>
      <c r="C13717" t="s">
        <v>8578</v>
      </c>
      <c r="D13717" t="s">
        <v>35641</v>
      </c>
      <c r="E13717">
        <v>424000</v>
      </c>
      <c r="F13717" t="s">
        <v>1</v>
      </c>
      <c r="G13717" t="s">
        <v>2</v>
      </c>
      <c r="H13717" t="s">
        <v>1473</v>
      </c>
      <c r="P13717" t="s">
        <v>941</v>
      </c>
      <c r="Y13717" t="s">
        <v>4067</v>
      </c>
    </row>
    <row r="13718" spans="1:25" x14ac:dyDescent="0.25">
      <c r="A13718" t="str">
        <f>"221511993235"</f>
        <v>221511993235</v>
      </c>
      <c r="B13718" t="s">
        <v>32</v>
      </c>
      <c r="C13718" t="s">
        <v>182</v>
      </c>
      <c r="D13718" t="s">
        <v>48030</v>
      </c>
      <c r="E13718">
        <v>424030</v>
      </c>
      <c r="F13718" t="s">
        <v>1</v>
      </c>
      <c r="G13718" t="s">
        <v>2</v>
      </c>
      <c r="H13718" t="s">
        <v>42601</v>
      </c>
      <c r="J13718" t="s">
        <v>42602</v>
      </c>
      <c r="P13718" t="s">
        <v>2438</v>
      </c>
      <c r="Y13718" t="s">
        <v>42603</v>
      </c>
    </row>
    <row r="13719" spans="1:25" x14ac:dyDescent="0.25">
      <c r="A13719" t="str">
        <f>"221539248849"</f>
        <v>221539248849</v>
      </c>
      <c r="B13719" t="s">
        <v>703</v>
      </c>
      <c r="C13719" t="s">
        <v>48032</v>
      </c>
      <c r="D13719" t="s">
        <v>48031</v>
      </c>
      <c r="E13719">
        <v>424004</v>
      </c>
      <c r="F13719" t="s">
        <v>1</v>
      </c>
      <c r="G13719" t="s">
        <v>2</v>
      </c>
      <c r="H13719" t="s">
        <v>2133</v>
      </c>
      <c r="Y13719" t="s">
        <v>2137</v>
      </c>
    </row>
    <row r="13720" spans="1:25" x14ac:dyDescent="0.25">
      <c r="A13720" t="str">
        <f>"221554606541"</f>
        <v>221554606541</v>
      </c>
      <c r="B13720" t="s">
        <v>25</v>
      </c>
      <c r="C13720" t="s">
        <v>20320</v>
      </c>
      <c r="D13720" t="s">
        <v>48033</v>
      </c>
      <c r="F13720" t="s">
        <v>1</v>
      </c>
      <c r="G13720" t="s">
        <v>2</v>
      </c>
      <c r="H13720" t="s">
        <v>30342</v>
      </c>
      <c r="Y13720" t="s">
        <v>48034</v>
      </c>
    </row>
    <row r="13721" spans="1:25" x14ac:dyDescent="0.25">
      <c r="A13721" t="str">
        <f>"221562649436"</f>
        <v>221562649436</v>
      </c>
      <c r="B13721" t="s">
        <v>348</v>
      </c>
      <c r="C13721" t="s">
        <v>4366</v>
      </c>
      <c r="D13721" t="s">
        <v>48035</v>
      </c>
      <c r="E13721">
        <v>424002</v>
      </c>
      <c r="F13721" t="s">
        <v>1</v>
      </c>
      <c r="G13721" t="s">
        <v>2</v>
      </c>
      <c r="H13721" t="s">
        <v>13843</v>
      </c>
      <c r="I13721" t="s">
        <v>48036</v>
      </c>
      <c r="J13721" t="s">
        <v>48037</v>
      </c>
      <c r="P13721" t="s">
        <v>330</v>
      </c>
      <c r="Y13721" t="s">
        <v>37011</v>
      </c>
    </row>
    <row r="13722" spans="1:25" x14ac:dyDescent="0.25">
      <c r="A13722" t="str">
        <f>"221563398456"</f>
        <v>221563398456</v>
      </c>
      <c r="B13722" t="s">
        <v>151</v>
      </c>
      <c r="C13722" t="s">
        <v>1034</v>
      </c>
      <c r="D13722" t="s">
        <v>48038</v>
      </c>
      <c r="E13722">
        <v>424006</v>
      </c>
      <c r="F13722" t="s">
        <v>1</v>
      </c>
      <c r="G13722" t="s">
        <v>2</v>
      </c>
      <c r="H13722" t="s">
        <v>1890</v>
      </c>
      <c r="Y13722" t="s">
        <v>48039</v>
      </c>
    </row>
    <row r="13723" spans="1:25" x14ac:dyDescent="0.25">
      <c r="A13723" t="str">
        <f>"221663563260"</f>
        <v>221663563260</v>
      </c>
      <c r="B13723" t="s">
        <v>3652</v>
      </c>
      <c r="C13723" t="s">
        <v>14101</v>
      </c>
      <c r="D13723" t="s">
        <v>276</v>
      </c>
      <c r="E13723">
        <v>424006</v>
      </c>
      <c r="F13723" t="s">
        <v>1</v>
      </c>
      <c r="G13723" t="s">
        <v>2</v>
      </c>
      <c r="H13723" t="s">
        <v>2012</v>
      </c>
      <c r="J13723" t="s">
        <v>48040</v>
      </c>
      <c r="L13723" t="s">
        <v>48041</v>
      </c>
      <c r="M13723" t="s">
        <v>48042</v>
      </c>
      <c r="Y13723" t="s">
        <v>2016</v>
      </c>
    </row>
    <row r="13724" spans="1:25" x14ac:dyDescent="0.25">
      <c r="A13724" t="str">
        <f>"221697731513"</f>
        <v>221697731513</v>
      </c>
      <c r="B13724" t="s">
        <v>96</v>
      </c>
      <c r="C13724" t="s">
        <v>695</v>
      </c>
      <c r="D13724" t="s">
        <v>22550</v>
      </c>
      <c r="E13724">
        <v>424006</v>
      </c>
      <c r="F13724" t="s">
        <v>1</v>
      </c>
      <c r="G13724" t="s">
        <v>2</v>
      </c>
      <c r="H13724" t="s">
        <v>5846</v>
      </c>
      <c r="I13724" t="s">
        <v>48043</v>
      </c>
      <c r="P13724" t="s">
        <v>48044</v>
      </c>
      <c r="Y13724" t="s">
        <v>17495</v>
      </c>
    </row>
    <row r="13725" spans="1:25" x14ac:dyDescent="0.25">
      <c r="A13725" t="str">
        <f>"221744262872"</f>
        <v>221744262872</v>
      </c>
      <c r="B13725" t="s">
        <v>1152</v>
      </c>
      <c r="C13725" t="s">
        <v>1153</v>
      </c>
      <c r="D13725" t="s">
        <v>24071</v>
      </c>
      <c r="E13725">
        <v>424000</v>
      </c>
      <c r="F13725" t="s">
        <v>1</v>
      </c>
      <c r="G13725" t="s">
        <v>2</v>
      </c>
      <c r="H13725" t="s">
        <v>2671</v>
      </c>
      <c r="Y13725" t="s">
        <v>48045</v>
      </c>
    </row>
    <row r="13726" spans="1:25" x14ac:dyDescent="0.25">
      <c r="A13726" t="str">
        <f>"221762236043"</f>
        <v>221762236043</v>
      </c>
      <c r="B13726" t="s">
        <v>716</v>
      </c>
      <c r="C13726" t="s">
        <v>717</v>
      </c>
      <c r="D13726" t="s">
        <v>15232</v>
      </c>
      <c r="E13726">
        <v>424000</v>
      </c>
      <c r="F13726" t="s">
        <v>1</v>
      </c>
      <c r="G13726" t="s">
        <v>2</v>
      </c>
      <c r="H13726" t="s">
        <v>12303</v>
      </c>
      <c r="J13726" t="s">
        <v>48046</v>
      </c>
      <c r="P13726" t="s">
        <v>133</v>
      </c>
      <c r="Y13726" t="s">
        <v>13335</v>
      </c>
    </row>
    <row r="13727" spans="1:25" x14ac:dyDescent="0.25">
      <c r="A13727" t="str">
        <f>"221802164037"</f>
        <v>221802164037</v>
      </c>
      <c r="B13727" t="s">
        <v>530</v>
      </c>
      <c r="C13727" t="s">
        <v>23950</v>
      </c>
      <c r="D13727" t="s">
        <v>23950</v>
      </c>
      <c r="F13727" t="s">
        <v>1</v>
      </c>
      <c r="G13727" t="s">
        <v>2</v>
      </c>
      <c r="H13727" t="s">
        <v>48047</v>
      </c>
      <c r="Y13727" t="s">
        <v>48048</v>
      </c>
    </row>
    <row r="13728" spans="1:25" x14ac:dyDescent="0.25">
      <c r="A13728" t="str">
        <f>"221815550856"</f>
        <v>221815550856</v>
      </c>
      <c r="B13728" t="s">
        <v>123</v>
      </c>
      <c r="C13728" t="s">
        <v>196</v>
      </c>
      <c r="D13728" t="s">
        <v>30895</v>
      </c>
      <c r="E13728">
        <v>424000</v>
      </c>
      <c r="F13728" t="s">
        <v>1</v>
      </c>
      <c r="G13728" t="s">
        <v>2</v>
      </c>
      <c r="H13728" t="s">
        <v>837</v>
      </c>
      <c r="I13728" t="s">
        <v>48049</v>
      </c>
      <c r="M13728" t="s">
        <v>48050</v>
      </c>
      <c r="P13728" t="s">
        <v>2457</v>
      </c>
      <c r="Y13728" t="s">
        <v>2964</v>
      </c>
    </row>
    <row r="13729" spans="1:25" x14ac:dyDescent="0.25">
      <c r="A13729" t="str">
        <f>"221818564018"</f>
        <v>221818564018</v>
      </c>
      <c r="B13729" t="s">
        <v>1152</v>
      </c>
      <c r="C13729" t="s">
        <v>1385</v>
      </c>
      <c r="D13729" t="s">
        <v>1385</v>
      </c>
      <c r="E13729">
        <v>424026</v>
      </c>
      <c r="F13729" t="s">
        <v>1</v>
      </c>
      <c r="G13729" t="s">
        <v>2</v>
      </c>
      <c r="H13729" t="s">
        <v>6415</v>
      </c>
      <c r="J13729" t="s">
        <v>48051</v>
      </c>
      <c r="P13729" t="s">
        <v>48052</v>
      </c>
      <c r="Y13729" t="s">
        <v>6422</v>
      </c>
    </row>
    <row r="13730" spans="1:25" x14ac:dyDescent="0.25">
      <c r="A13730" t="str">
        <f>"221858013777"</f>
        <v>221858013777</v>
      </c>
      <c r="B13730" t="s">
        <v>117</v>
      </c>
      <c r="C13730" t="s">
        <v>873</v>
      </c>
      <c r="D13730" t="s">
        <v>873</v>
      </c>
      <c r="F13730" t="s">
        <v>1</v>
      </c>
      <c r="G13730" t="s">
        <v>2</v>
      </c>
      <c r="H13730" t="s">
        <v>7547</v>
      </c>
      <c r="Y13730" t="s">
        <v>48053</v>
      </c>
    </row>
    <row r="13731" spans="1:25" x14ac:dyDescent="0.25">
      <c r="A13731" t="str">
        <f>"221866984367"</f>
        <v>221866984367</v>
      </c>
      <c r="B13731" t="s">
        <v>888</v>
      </c>
      <c r="C13731" t="s">
        <v>7389</v>
      </c>
      <c r="D13731" t="s">
        <v>30011</v>
      </c>
      <c r="E13731">
        <v>424000</v>
      </c>
      <c r="F13731" t="s">
        <v>1</v>
      </c>
      <c r="G13731" t="s">
        <v>2</v>
      </c>
      <c r="H13731" t="s">
        <v>5615</v>
      </c>
      <c r="M13731" t="s">
        <v>24434</v>
      </c>
      <c r="Y13731" t="s">
        <v>5619</v>
      </c>
    </row>
    <row r="13732" spans="1:25" x14ac:dyDescent="0.25">
      <c r="A13732" t="str">
        <f>"221905319869"</f>
        <v>221905319869</v>
      </c>
      <c r="B13732" t="s">
        <v>1152</v>
      </c>
      <c r="C13732" t="s">
        <v>48058</v>
      </c>
      <c r="D13732" t="s">
        <v>48054</v>
      </c>
      <c r="E13732">
        <v>424002</v>
      </c>
      <c r="F13732" t="s">
        <v>1</v>
      </c>
      <c r="G13732" t="s">
        <v>2</v>
      </c>
      <c r="H13732" t="s">
        <v>570</v>
      </c>
      <c r="J13732" t="s">
        <v>48055</v>
      </c>
      <c r="L13732" t="s">
        <v>48056</v>
      </c>
      <c r="M13732" t="s">
        <v>48057</v>
      </c>
      <c r="P13732" t="s">
        <v>27</v>
      </c>
      <c r="Q13732" t="s">
        <v>48059</v>
      </c>
      <c r="U13732" t="s">
        <v>48060</v>
      </c>
      <c r="Y13732" t="s">
        <v>18782</v>
      </c>
    </row>
    <row r="13733" spans="1:25" x14ac:dyDescent="0.25">
      <c r="A13733" t="str">
        <f>"221905498787"</f>
        <v>221905498787</v>
      </c>
      <c r="B13733" t="s">
        <v>738</v>
      </c>
      <c r="C13733" t="s">
        <v>739</v>
      </c>
      <c r="D13733" t="s">
        <v>48061</v>
      </c>
      <c r="E13733">
        <v>424007</v>
      </c>
      <c r="F13733" t="s">
        <v>1</v>
      </c>
      <c r="G13733" t="s">
        <v>2</v>
      </c>
      <c r="H13733" t="s">
        <v>11695</v>
      </c>
      <c r="Y13733" t="s">
        <v>48062</v>
      </c>
    </row>
    <row r="13734" spans="1:25" x14ac:dyDescent="0.25">
      <c r="A13734" t="str">
        <f>"221927738396"</f>
        <v>221927738396</v>
      </c>
      <c r="B13734" t="s">
        <v>574</v>
      </c>
      <c r="C13734" t="s">
        <v>646</v>
      </c>
      <c r="D13734" t="s">
        <v>3057</v>
      </c>
      <c r="E13734">
        <v>424031</v>
      </c>
      <c r="F13734" t="s">
        <v>1</v>
      </c>
      <c r="G13734" t="s">
        <v>2</v>
      </c>
      <c r="H13734" t="s">
        <v>4622</v>
      </c>
      <c r="P13734" t="s">
        <v>216</v>
      </c>
      <c r="Y13734" t="s">
        <v>48063</v>
      </c>
    </row>
    <row r="13735" spans="1:25" x14ac:dyDescent="0.25">
      <c r="A13735" t="str">
        <f>"221928387552"</f>
        <v>221928387552</v>
      </c>
      <c r="B13735" t="s">
        <v>1053</v>
      </c>
      <c r="C13735" t="s">
        <v>48065</v>
      </c>
      <c r="D13735" t="s">
        <v>48064</v>
      </c>
      <c r="F13735" t="s">
        <v>1</v>
      </c>
      <c r="G13735" t="s">
        <v>2</v>
      </c>
      <c r="H13735" t="s">
        <v>1195</v>
      </c>
      <c r="Y13735" t="s">
        <v>1201</v>
      </c>
    </row>
    <row r="13736" spans="1:25" x14ac:dyDescent="0.25">
      <c r="A13736" t="str">
        <f>"222001620720"</f>
        <v>222001620720</v>
      </c>
      <c r="B13736" t="s">
        <v>110</v>
      </c>
      <c r="C13736" t="s">
        <v>36297</v>
      </c>
      <c r="D13736" t="s">
        <v>40081</v>
      </c>
      <c r="E13736">
        <v>424032</v>
      </c>
      <c r="F13736" t="s">
        <v>1</v>
      </c>
      <c r="G13736" t="s">
        <v>2</v>
      </c>
      <c r="H13736" t="s">
        <v>48066</v>
      </c>
      <c r="J13736" t="s">
        <v>48067</v>
      </c>
      <c r="Q13736" t="s">
        <v>26202</v>
      </c>
      <c r="Y13736" t="s">
        <v>48068</v>
      </c>
    </row>
    <row r="13737" spans="1:25" x14ac:dyDescent="0.25">
      <c r="A13737" t="str">
        <f>"222003584808"</f>
        <v>222003584808</v>
      </c>
      <c r="B13737" t="s">
        <v>574</v>
      </c>
      <c r="C13737" t="s">
        <v>26901</v>
      </c>
      <c r="D13737" t="s">
        <v>28272</v>
      </c>
      <c r="E13737">
        <v>424028</v>
      </c>
      <c r="F13737" t="s">
        <v>1</v>
      </c>
      <c r="G13737" t="s">
        <v>2</v>
      </c>
      <c r="H13737" t="s">
        <v>24503</v>
      </c>
      <c r="Y13737" t="s">
        <v>48069</v>
      </c>
    </row>
    <row r="13738" spans="1:25" x14ac:dyDescent="0.25">
      <c r="A13738" t="str">
        <f>"222021256158"</f>
        <v>222021256158</v>
      </c>
      <c r="B13738" t="s">
        <v>25</v>
      </c>
      <c r="C13738" t="s">
        <v>59</v>
      </c>
      <c r="D13738" t="s">
        <v>48070</v>
      </c>
      <c r="E13738">
        <v>424031</v>
      </c>
      <c r="F13738" t="s">
        <v>1</v>
      </c>
      <c r="G13738" t="s">
        <v>2</v>
      </c>
      <c r="H13738" t="s">
        <v>48071</v>
      </c>
      <c r="J13738" t="s">
        <v>48072</v>
      </c>
      <c r="L13738" t="s">
        <v>48073</v>
      </c>
      <c r="M13738" t="s">
        <v>48074</v>
      </c>
      <c r="P13738" t="s">
        <v>40493</v>
      </c>
      <c r="Y13738" t="s">
        <v>48075</v>
      </c>
    </row>
    <row r="13739" spans="1:25" x14ac:dyDescent="0.25">
      <c r="A13739" t="str">
        <f>"222026558930"</f>
        <v>222026558930</v>
      </c>
      <c r="B13739" t="s">
        <v>96</v>
      </c>
      <c r="C13739" t="s">
        <v>10313</v>
      </c>
      <c r="D13739" t="s">
        <v>16982</v>
      </c>
      <c r="E13739">
        <v>424038</v>
      </c>
      <c r="F13739" t="s">
        <v>1</v>
      </c>
      <c r="G13739" t="s">
        <v>2</v>
      </c>
      <c r="H13739" t="s">
        <v>2614</v>
      </c>
      <c r="J13739" t="s">
        <v>16983</v>
      </c>
      <c r="P13739" t="s">
        <v>1213</v>
      </c>
      <c r="Y13739" t="s">
        <v>27899</v>
      </c>
    </row>
    <row r="13740" spans="1:25" x14ac:dyDescent="0.25">
      <c r="A13740" t="str">
        <f>"222038390650"</f>
        <v>222038390650</v>
      </c>
      <c r="B13740" t="s">
        <v>1053</v>
      </c>
      <c r="C13740" t="s">
        <v>1927</v>
      </c>
      <c r="D13740" t="s">
        <v>48076</v>
      </c>
      <c r="E13740">
        <v>424038</v>
      </c>
      <c r="F13740" t="s">
        <v>1</v>
      </c>
      <c r="G13740" t="s">
        <v>2</v>
      </c>
      <c r="H13740" t="s">
        <v>13118</v>
      </c>
      <c r="Y13740" t="s">
        <v>48077</v>
      </c>
    </row>
    <row r="13741" spans="1:25" x14ac:dyDescent="0.25">
      <c r="A13741" t="str">
        <f>"222075626791"</f>
        <v>222075626791</v>
      </c>
      <c r="B13741" t="s">
        <v>2601</v>
      </c>
      <c r="C13741" t="s">
        <v>26383</v>
      </c>
      <c r="D13741" t="s">
        <v>32909</v>
      </c>
      <c r="E13741">
        <v>424002</v>
      </c>
      <c r="F13741" t="s">
        <v>1</v>
      </c>
      <c r="G13741" t="s">
        <v>2</v>
      </c>
      <c r="H13741" t="s">
        <v>3864</v>
      </c>
      <c r="J13741" t="s">
        <v>48078</v>
      </c>
      <c r="P13741" t="s">
        <v>2738</v>
      </c>
      <c r="Y13741" t="s">
        <v>3867</v>
      </c>
    </row>
    <row r="13742" spans="1:25" x14ac:dyDescent="0.25">
      <c r="A13742" t="str">
        <f>"222114784063"</f>
        <v>222114784063</v>
      </c>
      <c r="B13742" t="s">
        <v>3544</v>
      </c>
      <c r="C13742" t="s">
        <v>11303</v>
      </c>
      <c r="D13742" t="s">
        <v>48079</v>
      </c>
      <c r="E13742">
        <v>424004</v>
      </c>
      <c r="F13742" t="s">
        <v>1</v>
      </c>
      <c r="G13742" t="s">
        <v>2</v>
      </c>
      <c r="H13742" t="s">
        <v>8326</v>
      </c>
      <c r="Y13742" t="s">
        <v>48080</v>
      </c>
    </row>
    <row r="13743" spans="1:25" x14ac:dyDescent="0.25">
      <c r="A13743" t="str">
        <f>"222159128459"</f>
        <v>222159128459</v>
      </c>
      <c r="B13743" t="s">
        <v>1053</v>
      </c>
      <c r="C13743" t="s">
        <v>12971</v>
      </c>
      <c r="D13743" t="s">
        <v>48081</v>
      </c>
      <c r="E13743">
        <v>424007</v>
      </c>
      <c r="F13743" t="s">
        <v>1</v>
      </c>
      <c r="G13743" t="s">
        <v>2</v>
      </c>
      <c r="H13743" t="s">
        <v>1992</v>
      </c>
      <c r="J13743" t="s">
        <v>48082</v>
      </c>
      <c r="P13743" t="s">
        <v>2020</v>
      </c>
      <c r="Y13743" t="s">
        <v>18751</v>
      </c>
    </row>
    <row r="13744" spans="1:25" x14ac:dyDescent="0.25">
      <c r="A13744" t="str">
        <f>"222159182460"</f>
        <v>222159182460</v>
      </c>
      <c r="B13744" t="s">
        <v>151</v>
      </c>
      <c r="C13744" t="s">
        <v>151</v>
      </c>
      <c r="D13744" t="s">
        <v>48083</v>
      </c>
      <c r="E13744">
        <v>424033</v>
      </c>
      <c r="F13744" t="s">
        <v>1</v>
      </c>
      <c r="G13744" t="s">
        <v>2</v>
      </c>
      <c r="H13744" t="s">
        <v>3984</v>
      </c>
      <c r="J13744" t="s">
        <v>48084</v>
      </c>
      <c r="M13744" t="s">
        <v>48085</v>
      </c>
      <c r="P13744" t="s">
        <v>27</v>
      </c>
      <c r="Y13744" t="s">
        <v>4409</v>
      </c>
    </row>
    <row r="13745" spans="1:25" x14ac:dyDescent="0.25">
      <c r="A13745" t="str">
        <f>"222204946827"</f>
        <v>222204946827</v>
      </c>
      <c r="B13745" t="s">
        <v>7</v>
      </c>
      <c r="C13745" t="s">
        <v>48090</v>
      </c>
      <c r="D13745" t="s">
        <v>48086</v>
      </c>
      <c r="E13745">
        <v>424000</v>
      </c>
      <c r="F13745" t="s">
        <v>1</v>
      </c>
      <c r="G13745" t="s">
        <v>2</v>
      </c>
      <c r="H13745" t="s">
        <v>34581</v>
      </c>
      <c r="I13745" t="s">
        <v>48087</v>
      </c>
      <c r="L13745" t="s">
        <v>48088</v>
      </c>
      <c r="M13745" t="s">
        <v>48089</v>
      </c>
      <c r="P13745" t="s">
        <v>2280</v>
      </c>
      <c r="T13745" t="s">
        <v>48091</v>
      </c>
      <c r="V13745" t="s">
        <v>48092</v>
      </c>
      <c r="Y13745" t="s">
        <v>7091</v>
      </c>
    </row>
    <row r="13746" spans="1:25" x14ac:dyDescent="0.25">
      <c r="A13746" t="str">
        <f>"222222739696"</f>
        <v>222222739696</v>
      </c>
      <c r="B13746" t="s">
        <v>18</v>
      </c>
      <c r="C13746" t="s">
        <v>143</v>
      </c>
      <c r="D13746" t="s">
        <v>48093</v>
      </c>
      <c r="E13746">
        <v>424032</v>
      </c>
      <c r="F13746" t="s">
        <v>1</v>
      </c>
      <c r="G13746" t="s">
        <v>2</v>
      </c>
      <c r="H13746" t="s">
        <v>28540</v>
      </c>
      <c r="I13746" t="s">
        <v>48094</v>
      </c>
      <c r="L13746" t="s">
        <v>11137</v>
      </c>
      <c r="P13746" t="s">
        <v>27</v>
      </c>
      <c r="Y13746" t="s">
        <v>48095</v>
      </c>
    </row>
    <row r="13747" spans="1:25" x14ac:dyDescent="0.25">
      <c r="A13747" t="str">
        <f>"222280000190"</f>
        <v>222280000190</v>
      </c>
      <c r="B13747" t="s">
        <v>96</v>
      </c>
      <c r="C13747" t="s">
        <v>695</v>
      </c>
      <c r="D13747" t="s">
        <v>12083</v>
      </c>
      <c r="E13747">
        <v>424038</v>
      </c>
      <c r="F13747" t="s">
        <v>1</v>
      </c>
      <c r="G13747" t="s">
        <v>2</v>
      </c>
      <c r="H13747" t="s">
        <v>6059</v>
      </c>
      <c r="Y13747" t="s">
        <v>48096</v>
      </c>
    </row>
    <row r="13748" spans="1:25" x14ac:dyDescent="0.25">
      <c r="A13748" t="str">
        <f>"222293535657"</f>
        <v>222293535657</v>
      </c>
      <c r="B13748" t="s">
        <v>1544</v>
      </c>
      <c r="C13748" t="s">
        <v>7974</v>
      </c>
      <c r="D13748" t="s">
        <v>48097</v>
      </c>
      <c r="E13748">
        <v>424006</v>
      </c>
      <c r="F13748" t="s">
        <v>1</v>
      </c>
      <c r="G13748" t="s">
        <v>2</v>
      </c>
      <c r="H13748" t="s">
        <v>9355</v>
      </c>
      <c r="Y13748" t="s">
        <v>48098</v>
      </c>
    </row>
    <row r="13749" spans="1:25" x14ac:dyDescent="0.25">
      <c r="A13749" t="str">
        <f>"222315633960"</f>
        <v>222315633960</v>
      </c>
      <c r="B13749" t="s">
        <v>2104</v>
      </c>
      <c r="C13749" t="s">
        <v>21175</v>
      </c>
      <c r="D13749" t="s">
        <v>33391</v>
      </c>
      <c r="E13749">
        <v>424028</v>
      </c>
      <c r="F13749" t="s">
        <v>1</v>
      </c>
      <c r="G13749" t="s">
        <v>2</v>
      </c>
      <c r="H13749" t="s">
        <v>31376</v>
      </c>
      <c r="Y13749" t="s">
        <v>48099</v>
      </c>
    </row>
    <row r="13750" spans="1:25" x14ac:dyDescent="0.25">
      <c r="A13750" t="str">
        <f>"222336123156"</f>
        <v>222336123156</v>
      </c>
      <c r="B13750" t="s">
        <v>703</v>
      </c>
      <c r="C13750" t="s">
        <v>30248</v>
      </c>
      <c r="D13750" t="s">
        <v>26126</v>
      </c>
      <c r="E13750">
        <v>424008</v>
      </c>
      <c r="F13750" t="s">
        <v>1</v>
      </c>
      <c r="G13750" t="s">
        <v>2</v>
      </c>
      <c r="H13750" t="s">
        <v>1012</v>
      </c>
      <c r="J13750" t="s">
        <v>48100</v>
      </c>
      <c r="L13750" t="s">
        <v>48101</v>
      </c>
      <c r="P13750" t="s">
        <v>330</v>
      </c>
      <c r="Y13750" t="s">
        <v>1016</v>
      </c>
    </row>
    <row r="13751" spans="1:25" x14ac:dyDescent="0.25">
      <c r="A13751" t="str">
        <f>"222356346062"</f>
        <v>222356346062</v>
      </c>
      <c r="B13751" t="s">
        <v>530</v>
      </c>
      <c r="C13751" t="s">
        <v>23950</v>
      </c>
      <c r="D13751" t="s">
        <v>23950</v>
      </c>
      <c r="F13751" t="s">
        <v>1</v>
      </c>
      <c r="G13751" t="s">
        <v>2</v>
      </c>
      <c r="H13751" t="s">
        <v>35021</v>
      </c>
      <c r="Y13751" t="s">
        <v>48102</v>
      </c>
    </row>
    <row r="13752" spans="1:25" x14ac:dyDescent="0.25">
      <c r="A13752" t="str">
        <f>"222370501109"</f>
        <v>222370501109</v>
      </c>
      <c r="B13752" t="s">
        <v>530</v>
      </c>
      <c r="C13752" t="s">
        <v>10576</v>
      </c>
      <c r="D13752" t="s">
        <v>28800</v>
      </c>
      <c r="F13752" t="s">
        <v>1</v>
      </c>
      <c r="G13752" t="s">
        <v>2</v>
      </c>
      <c r="H13752" t="s">
        <v>48103</v>
      </c>
      <c r="I13752" t="s">
        <v>48104</v>
      </c>
      <c r="L13752" t="s">
        <v>15713</v>
      </c>
      <c r="M13752" t="s">
        <v>15714</v>
      </c>
      <c r="Y13752" t="s">
        <v>48105</v>
      </c>
    </row>
    <row r="13753" spans="1:25" x14ac:dyDescent="0.25">
      <c r="A13753" t="str">
        <f>"222373303523"</f>
        <v>222373303523</v>
      </c>
      <c r="B13753" t="s">
        <v>640</v>
      </c>
      <c r="C13753" t="s">
        <v>663</v>
      </c>
      <c r="D13753" t="s">
        <v>35895</v>
      </c>
      <c r="E13753">
        <v>424020</v>
      </c>
      <c r="F13753" t="s">
        <v>1</v>
      </c>
      <c r="G13753" t="s">
        <v>2</v>
      </c>
      <c r="H13753" t="s">
        <v>21899</v>
      </c>
      <c r="Y13753" t="s">
        <v>48106</v>
      </c>
    </row>
    <row r="13754" spans="1:25" x14ac:dyDescent="0.25">
      <c r="A13754" t="str">
        <f>"222386153359"</f>
        <v>222386153359</v>
      </c>
      <c r="B13754" t="s">
        <v>18</v>
      </c>
      <c r="C13754" t="s">
        <v>48111</v>
      </c>
      <c r="D13754" t="s">
        <v>48107</v>
      </c>
      <c r="E13754">
        <v>424006</v>
      </c>
      <c r="F13754" t="s">
        <v>1</v>
      </c>
      <c r="G13754" t="s">
        <v>2</v>
      </c>
      <c r="H13754" t="s">
        <v>751</v>
      </c>
      <c r="I13754" t="s">
        <v>48108</v>
      </c>
      <c r="L13754" t="s">
        <v>48109</v>
      </c>
      <c r="M13754" t="s">
        <v>48110</v>
      </c>
      <c r="P13754" t="s">
        <v>260</v>
      </c>
      <c r="Y13754" t="s">
        <v>755</v>
      </c>
    </row>
    <row r="13755" spans="1:25" x14ac:dyDescent="0.25">
      <c r="A13755" t="str">
        <f>"222413497016"</f>
        <v>222413497016</v>
      </c>
      <c r="B13755" t="s">
        <v>352</v>
      </c>
      <c r="C13755" t="s">
        <v>48112</v>
      </c>
      <c r="D13755" t="s">
        <v>22976</v>
      </c>
      <c r="E13755">
        <v>424002</v>
      </c>
      <c r="F13755" t="s">
        <v>1</v>
      </c>
      <c r="G13755" t="s">
        <v>2</v>
      </c>
      <c r="H13755" t="s">
        <v>6679</v>
      </c>
      <c r="P13755" t="s">
        <v>27</v>
      </c>
      <c r="Y13755" t="s">
        <v>48113</v>
      </c>
    </row>
    <row r="13756" spans="1:25" x14ac:dyDescent="0.25">
      <c r="A13756" t="str">
        <f>"222444497405"</f>
        <v>222444497405</v>
      </c>
      <c r="B13756" t="s">
        <v>1268</v>
      </c>
      <c r="C13756" t="s">
        <v>1269</v>
      </c>
      <c r="D13756" t="s">
        <v>1269</v>
      </c>
      <c r="E13756">
        <v>424037</v>
      </c>
      <c r="F13756" t="s">
        <v>1</v>
      </c>
      <c r="G13756" t="s">
        <v>2</v>
      </c>
      <c r="H13756" t="s">
        <v>15663</v>
      </c>
      <c r="Y13756" t="s">
        <v>48114</v>
      </c>
    </row>
    <row r="13757" spans="1:25" x14ac:dyDescent="0.25">
      <c r="A13757" t="str">
        <f>"222472468504"</f>
        <v>222472468504</v>
      </c>
      <c r="B13757" t="s">
        <v>790</v>
      </c>
      <c r="C13757" t="s">
        <v>4693</v>
      </c>
      <c r="D13757" t="s">
        <v>48115</v>
      </c>
      <c r="E13757">
        <v>424918</v>
      </c>
      <c r="F13757" t="s">
        <v>1</v>
      </c>
      <c r="G13757" t="s">
        <v>2</v>
      </c>
      <c r="H13757" t="s">
        <v>629</v>
      </c>
      <c r="P13757" t="s">
        <v>630</v>
      </c>
      <c r="Y13757" t="s">
        <v>48116</v>
      </c>
    </row>
    <row r="13758" spans="1:25" x14ac:dyDescent="0.25">
      <c r="A13758" t="str">
        <f>"222474134598"</f>
        <v>222474134598</v>
      </c>
      <c r="B13758" t="s">
        <v>2846</v>
      </c>
      <c r="C13758" t="s">
        <v>11032</v>
      </c>
      <c r="D13758" t="s">
        <v>48117</v>
      </c>
      <c r="E13758">
        <v>424918</v>
      </c>
      <c r="F13758" t="s">
        <v>1</v>
      </c>
      <c r="G13758" t="s">
        <v>2</v>
      </c>
      <c r="H13758" t="s">
        <v>629</v>
      </c>
      <c r="P13758" t="s">
        <v>630</v>
      </c>
      <c r="Y13758" t="s">
        <v>15762</v>
      </c>
    </row>
    <row r="13759" spans="1:25" x14ac:dyDescent="0.25">
      <c r="A13759" t="str">
        <f>"222488987450"</f>
        <v>222488987450</v>
      </c>
      <c r="B13759" t="s">
        <v>96</v>
      </c>
      <c r="C13759" t="s">
        <v>893</v>
      </c>
      <c r="D13759" t="s">
        <v>48118</v>
      </c>
      <c r="E13759">
        <v>424019</v>
      </c>
      <c r="F13759" t="s">
        <v>1</v>
      </c>
      <c r="G13759" t="s">
        <v>2</v>
      </c>
      <c r="H13759" t="s">
        <v>7785</v>
      </c>
      <c r="J13759" t="s">
        <v>48119</v>
      </c>
      <c r="P13759" t="s">
        <v>330</v>
      </c>
      <c r="Y13759" t="s">
        <v>10467</v>
      </c>
    </row>
    <row r="13760" spans="1:25" x14ac:dyDescent="0.25">
      <c r="A13760" t="str">
        <f>"222509304341"</f>
        <v>222509304341</v>
      </c>
      <c r="B13760" t="s">
        <v>1046</v>
      </c>
      <c r="C13760" t="s">
        <v>27404</v>
      </c>
      <c r="D13760" t="s">
        <v>48120</v>
      </c>
      <c r="F13760" t="s">
        <v>1</v>
      </c>
      <c r="G13760" t="s">
        <v>2</v>
      </c>
      <c r="H13760" t="s">
        <v>27403</v>
      </c>
      <c r="Y13760" t="s">
        <v>48121</v>
      </c>
    </row>
    <row r="13761" spans="1:25" x14ac:dyDescent="0.25">
      <c r="A13761" t="str">
        <f>"222564002711"</f>
        <v>222564002711</v>
      </c>
      <c r="B13761" t="s">
        <v>2846</v>
      </c>
      <c r="C13761" t="s">
        <v>7331</v>
      </c>
      <c r="D13761" t="s">
        <v>48122</v>
      </c>
      <c r="E13761">
        <v>424031</v>
      </c>
      <c r="F13761" t="s">
        <v>1</v>
      </c>
      <c r="G13761" t="s">
        <v>2</v>
      </c>
      <c r="H13761" t="s">
        <v>10166</v>
      </c>
      <c r="I13761" t="s">
        <v>48123</v>
      </c>
      <c r="L13761" t="s">
        <v>48124</v>
      </c>
      <c r="M13761" t="s">
        <v>48125</v>
      </c>
      <c r="P13761" t="s">
        <v>5829</v>
      </c>
      <c r="Q13761" t="s">
        <v>48126</v>
      </c>
      <c r="R13761" t="s">
        <v>48127</v>
      </c>
      <c r="T13761" t="s">
        <v>48128</v>
      </c>
      <c r="V13761" t="s">
        <v>48129</v>
      </c>
      <c r="Y13761" t="s">
        <v>48130</v>
      </c>
    </row>
    <row r="13762" spans="1:25" x14ac:dyDescent="0.25">
      <c r="A13762" t="str">
        <f>"222572336328"</f>
        <v>222572336328</v>
      </c>
      <c r="B13762" t="s">
        <v>1078</v>
      </c>
      <c r="C13762" t="s">
        <v>48132</v>
      </c>
      <c r="D13762" t="s">
        <v>48131</v>
      </c>
      <c r="E13762">
        <v>424000</v>
      </c>
      <c r="F13762" t="s">
        <v>1</v>
      </c>
      <c r="G13762" t="s">
        <v>2</v>
      </c>
      <c r="H13762" t="s">
        <v>7297</v>
      </c>
      <c r="Y13762" t="s">
        <v>48133</v>
      </c>
    </row>
    <row r="13763" spans="1:25" x14ac:dyDescent="0.25">
      <c r="A13763" t="str">
        <f>"222622881284"</f>
        <v>222622881284</v>
      </c>
      <c r="B13763" t="s">
        <v>117</v>
      </c>
      <c r="C13763" t="s">
        <v>6850</v>
      </c>
      <c r="D13763" t="s">
        <v>48134</v>
      </c>
      <c r="F13763" t="s">
        <v>1</v>
      </c>
      <c r="G13763" t="s">
        <v>2</v>
      </c>
      <c r="H13763" t="s">
        <v>48135</v>
      </c>
      <c r="I13763" t="s">
        <v>48136</v>
      </c>
      <c r="P13763" t="s">
        <v>330</v>
      </c>
      <c r="Y13763" t="s">
        <v>14674</v>
      </c>
    </row>
    <row r="13764" spans="1:25" x14ac:dyDescent="0.25">
      <c r="A13764" t="str">
        <f>"222623760442"</f>
        <v>222623760442</v>
      </c>
      <c r="B13764" t="s">
        <v>1475</v>
      </c>
      <c r="C13764" t="s">
        <v>48137</v>
      </c>
      <c r="D13764" t="s">
        <v>30879</v>
      </c>
      <c r="E13764">
        <v>424028</v>
      </c>
      <c r="F13764" t="s">
        <v>1</v>
      </c>
      <c r="G13764" t="s">
        <v>2</v>
      </c>
      <c r="H13764" t="s">
        <v>3628</v>
      </c>
      <c r="P13764" t="s">
        <v>60</v>
      </c>
      <c r="Y13764" t="s">
        <v>48138</v>
      </c>
    </row>
    <row r="13765" spans="1:25" x14ac:dyDescent="0.25">
      <c r="A13765" t="str">
        <f>"222657561810"</f>
        <v>222657561810</v>
      </c>
      <c r="B13765" t="s">
        <v>88</v>
      </c>
      <c r="C13765" t="s">
        <v>6066</v>
      </c>
      <c r="D13765" t="s">
        <v>48139</v>
      </c>
      <c r="E13765">
        <v>424918</v>
      </c>
      <c r="F13765" t="s">
        <v>1</v>
      </c>
      <c r="G13765" t="s">
        <v>2</v>
      </c>
      <c r="H13765" t="s">
        <v>629</v>
      </c>
      <c r="P13765" t="s">
        <v>630</v>
      </c>
      <c r="Y13765" t="s">
        <v>48140</v>
      </c>
    </row>
    <row r="13766" spans="1:25" x14ac:dyDescent="0.25">
      <c r="A13766" t="str">
        <f>"222670042970"</f>
        <v>222670042970</v>
      </c>
      <c r="B13766" t="s">
        <v>591</v>
      </c>
      <c r="C13766" t="s">
        <v>7217</v>
      </c>
      <c r="D13766" t="s">
        <v>48141</v>
      </c>
      <c r="E13766">
        <v>424007</v>
      </c>
      <c r="F13766" t="s">
        <v>1</v>
      </c>
      <c r="G13766" t="s">
        <v>2</v>
      </c>
      <c r="H13766" t="s">
        <v>3119</v>
      </c>
      <c r="J13766" t="s">
        <v>48142</v>
      </c>
      <c r="P13766" t="s">
        <v>280</v>
      </c>
      <c r="Y13766" t="s">
        <v>48143</v>
      </c>
    </row>
    <row r="13767" spans="1:25" x14ac:dyDescent="0.25">
      <c r="A13767" t="str">
        <f>"222678578672"</f>
        <v>222678578672</v>
      </c>
      <c r="B13767" t="s">
        <v>1046</v>
      </c>
      <c r="C13767" t="s">
        <v>2695</v>
      </c>
      <c r="D13767" t="s">
        <v>13308</v>
      </c>
      <c r="E13767">
        <v>424003</v>
      </c>
      <c r="F13767" t="s">
        <v>1</v>
      </c>
      <c r="G13767" t="s">
        <v>2</v>
      </c>
      <c r="H13767" t="s">
        <v>48144</v>
      </c>
      <c r="I13767" t="s">
        <v>48145</v>
      </c>
      <c r="P13767" t="s">
        <v>330</v>
      </c>
      <c r="Q13767" t="s">
        <v>48146</v>
      </c>
      <c r="Y13767" t="s">
        <v>48147</v>
      </c>
    </row>
    <row r="13768" spans="1:25" x14ac:dyDescent="0.25">
      <c r="A13768" t="str">
        <f>"222709569302"</f>
        <v>222709569302</v>
      </c>
      <c r="B13768" t="s">
        <v>790</v>
      </c>
      <c r="C13768" t="s">
        <v>2049</v>
      </c>
      <c r="D13768" t="s">
        <v>48148</v>
      </c>
      <c r="E13768">
        <v>424000</v>
      </c>
      <c r="F13768" t="s">
        <v>1</v>
      </c>
      <c r="G13768" t="s">
        <v>2</v>
      </c>
      <c r="H13768" t="s">
        <v>10803</v>
      </c>
      <c r="P13768" t="s">
        <v>13021</v>
      </c>
      <c r="Y13768" t="s">
        <v>10805</v>
      </c>
    </row>
    <row r="13769" spans="1:25" x14ac:dyDescent="0.25">
      <c r="A13769" t="str">
        <f>"222709601807"</f>
        <v>222709601807</v>
      </c>
      <c r="B13769" t="s">
        <v>319</v>
      </c>
      <c r="C13769" t="s">
        <v>320</v>
      </c>
      <c r="D13769" t="s">
        <v>48149</v>
      </c>
      <c r="E13769">
        <v>424033</v>
      </c>
      <c r="F13769" t="s">
        <v>1</v>
      </c>
      <c r="G13769" t="s">
        <v>2</v>
      </c>
      <c r="H13769" t="s">
        <v>48150</v>
      </c>
      <c r="I13769" t="s">
        <v>48151</v>
      </c>
      <c r="L13769" t="s">
        <v>7276</v>
      </c>
      <c r="M13769" t="s">
        <v>7277</v>
      </c>
      <c r="P13769" t="s">
        <v>21995</v>
      </c>
      <c r="Y13769" t="s">
        <v>48152</v>
      </c>
    </row>
    <row r="13770" spans="1:25" x14ac:dyDescent="0.25">
      <c r="A13770" t="str">
        <f>"222755243243"</f>
        <v>222755243243</v>
      </c>
      <c r="B13770" t="s">
        <v>803</v>
      </c>
      <c r="C13770" t="s">
        <v>4941</v>
      </c>
      <c r="D13770" t="s">
        <v>4941</v>
      </c>
      <c r="F13770" t="s">
        <v>1</v>
      </c>
      <c r="G13770" t="s">
        <v>2</v>
      </c>
      <c r="H13770" t="s">
        <v>34711</v>
      </c>
      <c r="I13770" t="s">
        <v>34712</v>
      </c>
      <c r="P13770" t="s">
        <v>216</v>
      </c>
      <c r="Y13770" t="s">
        <v>48153</v>
      </c>
    </row>
    <row r="13771" spans="1:25" x14ac:dyDescent="0.25">
      <c r="A13771" t="str">
        <f>"222755331162"</f>
        <v>222755331162</v>
      </c>
      <c r="B13771" t="s">
        <v>88</v>
      </c>
      <c r="C13771" t="s">
        <v>29119</v>
      </c>
      <c r="D13771" t="s">
        <v>48154</v>
      </c>
      <c r="E13771">
        <v>424004</v>
      </c>
      <c r="F13771" t="s">
        <v>1</v>
      </c>
      <c r="G13771" t="s">
        <v>2</v>
      </c>
      <c r="H13771" t="s">
        <v>2589</v>
      </c>
      <c r="I13771" t="s">
        <v>48155</v>
      </c>
      <c r="J13771" t="s">
        <v>48156</v>
      </c>
      <c r="L13771" t="s">
        <v>48157</v>
      </c>
      <c r="M13771" t="s">
        <v>48158</v>
      </c>
      <c r="P13771" t="s">
        <v>1404</v>
      </c>
      <c r="Q13771" t="s">
        <v>48159</v>
      </c>
      <c r="V13771" t="s">
        <v>48160</v>
      </c>
      <c r="Y13771" t="s">
        <v>48161</v>
      </c>
    </row>
    <row r="13772" spans="1:25" x14ac:dyDescent="0.25">
      <c r="A13772" t="str">
        <f>"222809133374"</f>
        <v>222809133374</v>
      </c>
      <c r="B13772" t="s">
        <v>2601</v>
      </c>
      <c r="C13772" t="s">
        <v>41989</v>
      </c>
      <c r="D13772" t="s">
        <v>48162</v>
      </c>
      <c r="E13772">
        <v>424019</v>
      </c>
      <c r="F13772" t="s">
        <v>1</v>
      </c>
      <c r="G13772" t="s">
        <v>2</v>
      </c>
      <c r="H13772" t="s">
        <v>19290</v>
      </c>
      <c r="I13772" t="s">
        <v>25919</v>
      </c>
      <c r="L13772" t="s">
        <v>48163</v>
      </c>
      <c r="M13772" t="s">
        <v>25921</v>
      </c>
      <c r="P13772" t="s">
        <v>27</v>
      </c>
      <c r="Y13772" t="s">
        <v>19298</v>
      </c>
    </row>
    <row r="13773" spans="1:25" x14ac:dyDescent="0.25">
      <c r="A13773" t="str">
        <f>"222927222243"</f>
        <v>222927222243</v>
      </c>
      <c r="B13773" t="s">
        <v>123</v>
      </c>
      <c r="C13773" t="s">
        <v>124</v>
      </c>
      <c r="D13773" t="s">
        <v>4527</v>
      </c>
      <c r="E13773">
        <v>424005</v>
      </c>
      <c r="F13773" t="s">
        <v>1</v>
      </c>
      <c r="G13773" t="s">
        <v>2</v>
      </c>
      <c r="H13773" t="s">
        <v>2988</v>
      </c>
      <c r="I13773" t="s">
        <v>4529</v>
      </c>
      <c r="L13773" t="s">
        <v>43976</v>
      </c>
      <c r="P13773" t="s">
        <v>34</v>
      </c>
      <c r="Q13773" t="s">
        <v>4532</v>
      </c>
      <c r="V13773" t="s">
        <v>43978</v>
      </c>
      <c r="Y13773" t="s">
        <v>48164</v>
      </c>
    </row>
    <row r="13774" spans="1:25" x14ac:dyDescent="0.25">
      <c r="A13774" t="str">
        <f>"222942472748"</f>
        <v>222942472748</v>
      </c>
      <c r="B13774" t="s">
        <v>2055</v>
      </c>
      <c r="C13774" t="s">
        <v>6421</v>
      </c>
      <c r="D13774" t="s">
        <v>33771</v>
      </c>
      <c r="E13774">
        <v>424019</v>
      </c>
      <c r="F13774" t="s">
        <v>1</v>
      </c>
      <c r="G13774" t="s">
        <v>2</v>
      </c>
      <c r="H13774" t="s">
        <v>26816</v>
      </c>
      <c r="J13774" t="s">
        <v>33772</v>
      </c>
      <c r="P13774" t="s">
        <v>390</v>
      </c>
      <c r="Y13774" t="s">
        <v>26819</v>
      </c>
    </row>
    <row r="13775" spans="1:25" x14ac:dyDescent="0.25">
      <c r="A13775" t="str">
        <f>"222978687779"</f>
        <v>222978687779</v>
      </c>
      <c r="B13775" t="s">
        <v>624</v>
      </c>
      <c r="C13775" t="s">
        <v>1637</v>
      </c>
      <c r="D13775" t="s">
        <v>48165</v>
      </c>
      <c r="E13775">
        <v>424036</v>
      </c>
      <c r="F13775" t="s">
        <v>1</v>
      </c>
      <c r="G13775" t="s">
        <v>2</v>
      </c>
      <c r="H13775" t="s">
        <v>12444</v>
      </c>
      <c r="J13775" t="s">
        <v>48166</v>
      </c>
      <c r="L13775" t="s">
        <v>597</v>
      </c>
      <c r="M13775" t="s">
        <v>48167</v>
      </c>
      <c r="P13775" t="s">
        <v>390</v>
      </c>
      <c r="Y13775" t="s">
        <v>12447</v>
      </c>
    </row>
    <row r="13776" spans="1:25" x14ac:dyDescent="0.25">
      <c r="A13776" t="str">
        <f>"222985196749"</f>
        <v>222985196749</v>
      </c>
      <c r="B13776" t="s">
        <v>888</v>
      </c>
      <c r="C13776" t="s">
        <v>18803</v>
      </c>
      <c r="D13776" t="s">
        <v>48168</v>
      </c>
      <c r="E13776">
        <v>424000</v>
      </c>
      <c r="F13776" t="s">
        <v>1</v>
      </c>
      <c r="G13776" t="s">
        <v>2</v>
      </c>
      <c r="H13776" t="s">
        <v>333</v>
      </c>
      <c r="L13776" t="s">
        <v>48169</v>
      </c>
      <c r="M13776" t="s">
        <v>48170</v>
      </c>
      <c r="Y13776" t="s">
        <v>335</v>
      </c>
    </row>
    <row r="13777" spans="1:25" x14ac:dyDescent="0.25">
      <c r="A13777" t="str">
        <f>"223001886094"</f>
        <v>223001886094</v>
      </c>
      <c r="B13777" t="s">
        <v>117</v>
      </c>
      <c r="C13777" t="s">
        <v>28605</v>
      </c>
      <c r="D13777" t="s">
        <v>48171</v>
      </c>
      <c r="E13777">
        <v>424032</v>
      </c>
      <c r="F13777" t="s">
        <v>1</v>
      </c>
      <c r="G13777" t="s">
        <v>2</v>
      </c>
      <c r="H13777" t="s">
        <v>48172</v>
      </c>
      <c r="I13777" t="s">
        <v>48173</v>
      </c>
      <c r="P13777" t="s">
        <v>330</v>
      </c>
      <c r="Y13777" t="s">
        <v>48174</v>
      </c>
    </row>
    <row r="13778" spans="1:25" x14ac:dyDescent="0.25">
      <c r="A13778" t="str">
        <f>"223078543606"</f>
        <v>223078543606</v>
      </c>
      <c r="B13778" t="s">
        <v>16429</v>
      </c>
      <c r="C13778" t="s">
        <v>48177</v>
      </c>
      <c r="D13778" t="s">
        <v>48175</v>
      </c>
      <c r="E13778">
        <v>424006</v>
      </c>
      <c r="F13778" t="s">
        <v>1</v>
      </c>
      <c r="G13778" t="s">
        <v>2</v>
      </c>
      <c r="H13778" t="s">
        <v>2012</v>
      </c>
      <c r="J13778" t="s">
        <v>48176</v>
      </c>
      <c r="P13778" t="s">
        <v>330</v>
      </c>
      <c r="Y13778" t="s">
        <v>48178</v>
      </c>
    </row>
    <row r="13779" spans="1:25" x14ac:dyDescent="0.25">
      <c r="A13779" t="str">
        <f>"223119623271"</f>
        <v>223119623271</v>
      </c>
      <c r="B13779" t="s">
        <v>1053</v>
      </c>
      <c r="C13779" t="s">
        <v>35213</v>
      </c>
      <c r="D13779" t="s">
        <v>48179</v>
      </c>
      <c r="F13779" t="s">
        <v>1</v>
      </c>
      <c r="G13779" t="s">
        <v>2</v>
      </c>
      <c r="H13779" t="s">
        <v>3711</v>
      </c>
      <c r="J13779" t="s">
        <v>48180</v>
      </c>
      <c r="L13779" t="s">
        <v>48181</v>
      </c>
      <c r="M13779" t="s">
        <v>48182</v>
      </c>
      <c r="P13779" t="s">
        <v>10632</v>
      </c>
      <c r="S13779" t="s">
        <v>48183</v>
      </c>
      <c r="Y13779" t="s">
        <v>3715</v>
      </c>
    </row>
    <row r="13780" spans="1:25" x14ac:dyDescent="0.25">
      <c r="A13780" t="str">
        <f>"223149854017"</f>
        <v>223149854017</v>
      </c>
      <c r="B13780" t="s">
        <v>1611</v>
      </c>
      <c r="C13780" t="s">
        <v>2214</v>
      </c>
      <c r="D13780" t="s">
        <v>30153</v>
      </c>
      <c r="E13780">
        <v>424000</v>
      </c>
      <c r="F13780" t="s">
        <v>1</v>
      </c>
      <c r="G13780" t="s">
        <v>2</v>
      </c>
      <c r="H13780" t="s">
        <v>6782</v>
      </c>
      <c r="Y13780" t="s">
        <v>48184</v>
      </c>
    </row>
    <row r="13781" spans="1:25" x14ac:dyDescent="0.25">
      <c r="A13781" t="str">
        <f>"223154796311"</f>
        <v>223154796311</v>
      </c>
      <c r="B13781" t="s">
        <v>18</v>
      </c>
      <c r="C13781" t="s">
        <v>48189</v>
      </c>
      <c r="D13781" t="s">
        <v>48185</v>
      </c>
      <c r="E13781">
        <v>424038</v>
      </c>
      <c r="F13781" t="s">
        <v>1</v>
      </c>
      <c r="G13781" t="s">
        <v>2</v>
      </c>
      <c r="H13781" t="s">
        <v>21388</v>
      </c>
      <c r="I13781" t="s">
        <v>48186</v>
      </c>
      <c r="L13781" t="s">
        <v>48187</v>
      </c>
      <c r="M13781" t="s">
        <v>48188</v>
      </c>
      <c r="P13781" t="s">
        <v>2572</v>
      </c>
      <c r="Q13781" t="s">
        <v>48190</v>
      </c>
      <c r="V13781" t="s">
        <v>48191</v>
      </c>
      <c r="Y13781" t="s">
        <v>24293</v>
      </c>
    </row>
    <row r="13782" spans="1:25" x14ac:dyDescent="0.25">
      <c r="A13782" t="str">
        <f>"223210001746"</f>
        <v>223210001746</v>
      </c>
      <c r="B13782" t="s">
        <v>1758</v>
      </c>
      <c r="C13782" t="s">
        <v>8089</v>
      </c>
      <c r="D13782" t="s">
        <v>48192</v>
      </c>
      <c r="E13782">
        <v>424020</v>
      </c>
      <c r="F13782" t="s">
        <v>1</v>
      </c>
      <c r="G13782" t="s">
        <v>2</v>
      </c>
      <c r="H13782" t="s">
        <v>23</v>
      </c>
      <c r="Y13782" t="s">
        <v>6162</v>
      </c>
    </row>
    <row r="13783" spans="1:25" x14ac:dyDescent="0.25">
      <c r="A13783" t="str">
        <f>"223260092258"</f>
        <v>223260092258</v>
      </c>
      <c r="B13783" t="s">
        <v>530</v>
      </c>
      <c r="C13783" t="s">
        <v>23950</v>
      </c>
      <c r="D13783" t="s">
        <v>23950</v>
      </c>
      <c r="E13783">
        <v>424007</v>
      </c>
      <c r="F13783" t="s">
        <v>1</v>
      </c>
      <c r="G13783" t="s">
        <v>2</v>
      </c>
      <c r="H13783" t="s">
        <v>45315</v>
      </c>
      <c r="Y13783" t="s">
        <v>48193</v>
      </c>
    </row>
    <row r="13784" spans="1:25" x14ac:dyDescent="0.25">
      <c r="A13784" t="str">
        <f>"223388363623"</f>
        <v>223388363623</v>
      </c>
      <c r="B13784" t="s">
        <v>574</v>
      </c>
      <c r="C13784" t="s">
        <v>14652</v>
      </c>
      <c r="D13784" t="s">
        <v>24972</v>
      </c>
      <c r="E13784">
        <v>424006</v>
      </c>
      <c r="F13784" t="s">
        <v>1</v>
      </c>
      <c r="G13784" t="s">
        <v>2</v>
      </c>
      <c r="H13784" t="s">
        <v>30817</v>
      </c>
      <c r="Y13784" t="s">
        <v>31144</v>
      </c>
    </row>
    <row r="13785" spans="1:25" x14ac:dyDescent="0.25">
      <c r="A13785" t="str">
        <f>"223397484959"</f>
        <v>223397484959</v>
      </c>
      <c r="B13785" t="s">
        <v>25</v>
      </c>
      <c r="C13785" t="s">
        <v>13425</v>
      </c>
      <c r="D13785" t="s">
        <v>30116</v>
      </c>
      <c r="E13785">
        <v>424032</v>
      </c>
      <c r="F13785" t="s">
        <v>1</v>
      </c>
      <c r="G13785" t="s">
        <v>2</v>
      </c>
      <c r="H13785" t="s">
        <v>2972</v>
      </c>
      <c r="Y13785" t="s">
        <v>48194</v>
      </c>
    </row>
    <row r="13786" spans="1:25" x14ac:dyDescent="0.25">
      <c r="A13786" t="str">
        <f>"223403752533"</f>
        <v>223403752533</v>
      </c>
      <c r="B13786" t="s">
        <v>32</v>
      </c>
      <c r="C13786" t="s">
        <v>777</v>
      </c>
      <c r="D13786" t="s">
        <v>48195</v>
      </c>
      <c r="E13786">
        <v>424006</v>
      </c>
      <c r="F13786" t="s">
        <v>1</v>
      </c>
      <c r="G13786" t="s">
        <v>2</v>
      </c>
      <c r="H13786" t="s">
        <v>42160</v>
      </c>
      <c r="P13786" t="s">
        <v>48196</v>
      </c>
      <c r="Y13786" t="s">
        <v>42161</v>
      </c>
    </row>
    <row r="13787" spans="1:25" x14ac:dyDescent="0.25">
      <c r="A13787" t="str">
        <f>"223431374676"</f>
        <v>223431374676</v>
      </c>
      <c r="B13787" t="s">
        <v>574</v>
      </c>
      <c r="C13787" t="s">
        <v>646</v>
      </c>
      <c r="D13787" t="s">
        <v>4221</v>
      </c>
      <c r="E13787">
        <v>424039</v>
      </c>
      <c r="F13787" t="s">
        <v>1</v>
      </c>
      <c r="G13787" t="s">
        <v>2</v>
      </c>
      <c r="H13787" t="s">
        <v>34313</v>
      </c>
      <c r="P13787" t="s">
        <v>330</v>
      </c>
      <c r="Y13787" t="s">
        <v>48197</v>
      </c>
    </row>
    <row r="13788" spans="1:25" x14ac:dyDescent="0.25">
      <c r="A13788" t="str">
        <f>"223443060157"</f>
        <v>223443060157</v>
      </c>
      <c r="B13788" t="s">
        <v>930</v>
      </c>
      <c r="C13788" t="s">
        <v>1096</v>
      </c>
      <c r="D13788" t="s">
        <v>48198</v>
      </c>
      <c r="F13788" t="s">
        <v>1</v>
      </c>
      <c r="G13788" t="s">
        <v>2</v>
      </c>
      <c r="H13788" t="s">
        <v>4446</v>
      </c>
      <c r="J13788" t="s">
        <v>48199</v>
      </c>
      <c r="P13788" t="s">
        <v>152</v>
      </c>
      <c r="Y13788" t="s">
        <v>48200</v>
      </c>
    </row>
    <row r="13789" spans="1:25" x14ac:dyDescent="0.25">
      <c r="A13789" t="str">
        <f>"223464077550"</f>
        <v>223464077550</v>
      </c>
      <c r="B13789" t="s">
        <v>319</v>
      </c>
      <c r="C13789" t="s">
        <v>320</v>
      </c>
      <c r="D13789" t="s">
        <v>6392</v>
      </c>
      <c r="E13789">
        <v>424037</v>
      </c>
      <c r="F13789" t="s">
        <v>1</v>
      </c>
      <c r="G13789" t="s">
        <v>2</v>
      </c>
      <c r="H13789" t="s">
        <v>1116</v>
      </c>
      <c r="Y13789" t="s">
        <v>48201</v>
      </c>
    </row>
    <row r="13790" spans="1:25" x14ac:dyDescent="0.25">
      <c r="A13790" t="str">
        <f>"223505757470"</f>
        <v>223505757470</v>
      </c>
      <c r="B13790" t="s">
        <v>233</v>
      </c>
      <c r="C13790" t="s">
        <v>14003</v>
      </c>
      <c r="D13790" t="s">
        <v>25561</v>
      </c>
      <c r="E13790">
        <v>424000</v>
      </c>
      <c r="F13790" t="s">
        <v>1</v>
      </c>
      <c r="G13790" t="s">
        <v>2</v>
      </c>
      <c r="H13790" t="s">
        <v>265</v>
      </c>
      <c r="Y13790" t="s">
        <v>48202</v>
      </c>
    </row>
    <row r="13791" spans="1:25" x14ac:dyDescent="0.25">
      <c r="A13791" t="str">
        <f>"223514336248"</f>
        <v>223514336248</v>
      </c>
      <c r="B13791" t="s">
        <v>67</v>
      </c>
      <c r="C13791" t="s">
        <v>27252</v>
      </c>
      <c r="D13791" t="s">
        <v>24071</v>
      </c>
      <c r="E13791">
        <v>424038</v>
      </c>
      <c r="F13791" t="s">
        <v>1</v>
      </c>
      <c r="G13791" t="s">
        <v>2</v>
      </c>
      <c r="H13791" t="s">
        <v>2614</v>
      </c>
      <c r="Y13791" t="s">
        <v>48203</v>
      </c>
    </row>
    <row r="13792" spans="1:25" x14ac:dyDescent="0.25">
      <c r="A13792" t="str">
        <f>"223569778302"</f>
        <v>223569778302</v>
      </c>
      <c r="B13792" t="s">
        <v>5443</v>
      </c>
      <c r="C13792" t="s">
        <v>23902</v>
      </c>
      <c r="D13792" t="s">
        <v>48204</v>
      </c>
      <c r="F13792" t="s">
        <v>1</v>
      </c>
      <c r="G13792" t="s">
        <v>2</v>
      </c>
      <c r="H13792" t="s">
        <v>21000</v>
      </c>
      <c r="I13792" t="s">
        <v>48205</v>
      </c>
      <c r="J13792" t="s">
        <v>48206</v>
      </c>
      <c r="L13792" t="s">
        <v>48207</v>
      </c>
      <c r="M13792" t="s">
        <v>48208</v>
      </c>
      <c r="P13792" t="s">
        <v>2738</v>
      </c>
      <c r="Y13792" t="s">
        <v>48209</v>
      </c>
    </row>
    <row r="13793" spans="1:25" x14ac:dyDescent="0.25">
      <c r="A13793" t="str">
        <f>"223621427977"</f>
        <v>223621427977</v>
      </c>
      <c r="B13793" t="s">
        <v>96</v>
      </c>
      <c r="C13793" t="s">
        <v>7071</v>
      </c>
      <c r="D13793" t="s">
        <v>48210</v>
      </c>
      <c r="E13793">
        <v>424918</v>
      </c>
      <c r="F13793" t="s">
        <v>1</v>
      </c>
      <c r="G13793" t="s">
        <v>2</v>
      </c>
      <c r="H13793" t="s">
        <v>629</v>
      </c>
      <c r="I13793" t="s">
        <v>20946</v>
      </c>
      <c r="P13793" t="s">
        <v>630</v>
      </c>
      <c r="Y13793" t="s">
        <v>48211</v>
      </c>
    </row>
    <row r="13794" spans="1:25" x14ac:dyDescent="0.25">
      <c r="A13794" t="str">
        <f>"223633679720"</f>
        <v>223633679720</v>
      </c>
      <c r="B13794" t="s">
        <v>1362</v>
      </c>
      <c r="C13794" t="s">
        <v>8728</v>
      </c>
      <c r="D13794" t="s">
        <v>9142</v>
      </c>
      <c r="F13794" t="s">
        <v>1</v>
      </c>
      <c r="G13794" t="s">
        <v>2</v>
      </c>
      <c r="H13794" t="s">
        <v>20904</v>
      </c>
      <c r="J13794" t="s">
        <v>48212</v>
      </c>
      <c r="L13794" t="s">
        <v>9144</v>
      </c>
      <c r="P13794" t="s">
        <v>312</v>
      </c>
      <c r="Y13794" t="s">
        <v>20907</v>
      </c>
    </row>
    <row r="13795" spans="1:25" x14ac:dyDescent="0.25">
      <c r="A13795" t="str">
        <f>"223634207927"</f>
        <v>223634207927</v>
      </c>
      <c r="B13795" t="s">
        <v>8011</v>
      </c>
      <c r="C13795" t="s">
        <v>38871</v>
      </c>
      <c r="D13795" t="s">
        <v>48213</v>
      </c>
      <c r="E13795">
        <v>424019</v>
      </c>
      <c r="F13795" t="s">
        <v>1</v>
      </c>
      <c r="G13795" t="s">
        <v>2</v>
      </c>
      <c r="H13795" t="s">
        <v>1801</v>
      </c>
      <c r="Y13795" t="s">
        <v>48214</v>
      </c>
    </row>
    <row r="13796" spans="1:25" x14ac:dyDescent="0.25">
      <c r="A13796" t="str">
        <f>"223666679897"</f>
        <v>223666679897</v>
      </c>
      <c r="B13796" t="s">
        <v>530</v>
      </c>
      <c r="C13796" t="s">
        <v>23950</v>
      </c>
      <c r="D13796" t="s">
        <v>23950</v>
      </c>
      <c r="F13796" t="s">
        <v>1</v>
      </c>
      <c r="G13796" t="s">
        <v>2</v>
      </c>
      <c r="H13796" t="s">
        <v>7547</v>
      </c>
      <c r="Y13796" t="s">
        <v>48215</v>
      </c>
    </row>
    <row r="13797" spans="1:25" x14ac:dyDescent="0.25">
      <c r="A13797" t="str">
        <f>"223712473470"</f>
        <v>223712473470</v>
      </c>
      <c r="B13797" t="s">
        <v>290</v>
      </c>
      <c r="C13797" t="s">
        <v>48219</v>
      </c>
      <c r="D13797" t="s">
        <v>48216</v>
      </c>
      <c r="F13797" t="s">
        <v>1</v>
      </c>
      <c r="G13797" t="s">
        <v>2</v>
      </c>
      <c r="H13797" t="s">
        <v>48217</v>
      </c>
      <c r="J13797" t="s">
        <v>48218</v>
      </c>
      <c r="P13797" t="s">
        <v>48220</v>
      </c>
      <c r="Q13797" t="s">
        <v>48221</v>
      </c>
      <c r="V13797" t="s">
        <v>48222</v>
      </c>
      <c r="Y13797" t="s">
        <v>48223</v>
      </c>
    </row>
    <row r="13798" spans="1:25" x14ac:dyDescent="0.25">
      <c r="A13798" t="str">
        <f>"223747531841"</f>
        <v>223747531841</v>
      </c>
      <c r="B13798" t="s">
        <v>123</v>
      </c>
      <c r="C13798" t="s">
        <v>424</v>
      </c>
      <c r="D13798" t="s">
        <v>37499</v>
      </c>
      <c r="E13798">
        <v>424038</v>
      </c>
      <c r="F13798" t="s">
        <v>1</v>
      </c>
      <c r="G13798" t="s">
        <v>2</v>
      </c>
      <c r="H13798" t="s">
        <v>10681</v>
      </c>
      <c r="J13798" t="s">
        <v>48224</v>
      </c>
      <c r="P13798" t="s">
        <v>425</v>
      </c>
      <c r="Y13798" t="s">
        <v>10684</v>
      </c>
    </row>
    <row r="13799" spans="1:25" x14ac:dyDescent="0.25">
      <c r="A13799" t="str">
        <f>"223770294278"</f>
        <v>223770294278</v>
      </c>
      <c r="B13799" t="s">
        <v>1078</v>
      </c>
      <c r="C13799" t="s">
        <v>48229</v>
      </c>
      <c r="D13799" t="s">
        <v>48225</v>
      </c>
      <c r="E13799">
        <v>424006</v>
      </c>
      <c r="F13799" t="s">
        <v>1</v>
      </c>
      <c r="G13799" t="s">
        <v>2</v>
      </c>
      <c r="H13799" t="s">
        <v>8482</v>
      </c>
      <c r="I13799" t="s">
        <v>48226</v>
      </c>
      <c r="L13799" t="s">
        <v>48227</v>
      </c>
      <c r="M13799" t="s">
        <v>48228</v>
      </c>
      <c r="P13799" t="s">
        <v>27</v>
      </c>
      <c r="Y13799" t="s">
        <v>8488</v>
      </c>
    </row>
    <row r="13800" spans="1:25" x14ac:dyDescent="0.25">
      <c r="A13800" t="str">
        <f>"223781066727"</f>
        <v>223781066727</v>
      </c>
      <c r="B13800" t="s">
        <v>930</v>
      </c>
      <c r="C13800" t="s">
        <v>1096</v>
      </c>
      <c r="D13800" t="s">
        <v>24491</v>
      </c>
      <c r="F13800" t="s">
        <v>1</v>
      </c>
      <c r="G13800" t="s">
        <v>2</v>
      </c>
      <c r="H13800" t="s">
        <v>7547</v>
      </c>
      <c r="I13800" t="s">
        <v>24492</v>
      </c>
      <c r="J13800" t="s">
        <v>24493</v>
      </c>
      <c r="P13800" t="s">
        <v>1027</v>
      </c>
      <c r="Q13800" t="s">
        <v>48230</v>
      </c>
      <c r="Y13800" t="s">
        <v>24833</v>
      </c>
    </row>
    <row r="13801" spans="1:25" x14ac:dyDescent="0.25">
      <c r="A13801" t="str">
        <f>"223793686467"</f>
        <v>223793686467</v>
      </c>
      <c r="B13801" t="s">
        <v>1222</v>
      </c>
      <c r="C13801" t="s">
        <v>2114</v>
      </c>
      <c r="D13801" t="s">
        <v>19980</v>
      </c>
      <c r="E13801">
        <v>424006</v>
      </c>
      <c r="F13801" t="s">
        <v>1</v>
      </c>
      <c r="G13801" t="s">
        <v>2</v>
      </c>
      <c r="H13801" t="s">
        <v>39857</v>
      </c>
      <c r="J13801" t="s">
        <v>48231</v>
      </c>
      <c r="P13801" t="s">
        <v>27</v>
      </c>
      <c r="Y13801" t="s">
        <v>48232</v>
      </c>
    </row>
    <row r="13802" spans="1:25" x14ac:dyDescent="0.25">
      <c r="A13802" t="str">
        <f>"223800250571"</f>
        <v>223800250571</v>
      </c>
      <c r="B13802" t="s">
        <v>25</v>
      </c>
      <c r="C13802" t="s">
        <v>20320</v>
      </c>
      <c r="D13802" t="s">
        <v>48233</v>
      </c>
      <c r="E13802">
        <v>424039</v>
      </c>
      <c r="F13802" t="s">
        <v>1</v>
      </c>
      <c r="G13802" t="s">
        <v>2</v>
      </c>
      <c r="H13802" t="s">
        <v>37648</v>
      </c>
      <c r="Y13802" t="s">
        <v>48234</v>
      </c>
    </row>
    <row r="13803" spans="1:25" x14ac:dyDescent="0.25">
      <c r="A13803" t="str">
        <f>"223835369209"</f>
        <v>223835369209</v>
      </c>
      <c r="B13803" t="s">
        <v>18</v>
      </c>
      <c r="C13803" t="s">
        <v>48240</v>
      </c>
      <c r="D13803" t="s">
        <v>48235</v>
      </c>
      <c r="E13803">
        <v>424016</v>
      </c>
      <c r="F13803" t="s">
        <v>1</v>
      </c>
      <c r="G13803" t="s">
        <v>2</v>
      </c>
      <c r="H13803" t="s">
        <v>48236</v>
      </c>
      <c r="I13803" t="s">
        <v>48237</v>
      </c>
      <c r="J13803" t="s">
        <v>48238</v>
      </c>
      <c r="L13803" t="s">
        <v>6148</v>
      </c>
      <c r="M13803" t="s">
        <v>48239</v>
      </c>
      <c r="P13803" t="s">
        <v>280</v>
      </c>
      <c r="Y13803" t="s">
        <v>48241</v>
      </c>
    </row>
    <row r="13804" spans="1:25" x14ac:dyDescent="0.25">
      <c r="A13804" t="str">
        <f>"223841282424"</f>
        <v>223841282424</v>
      </c>
      <c r="B13804" t="s">
        <v>96</v>
      </c>
      <c r="C13804" t="s">
        <v>695</v>
      </c>
      <c r="D13804" t="s">
        <v>48242</v>
      </c>
      <c r="E13804">
        <v>424003</v>
      </c>
      <c r="F13804" t="s">
        <v>1</v>
      </c>
      <c r="G13804" t="s">
        <v>2</v>
      </c>
      <c r="H13804" t="s">
        <v>34931</v>
      </c>
      <c r="J13804" t="s">
        <v>48243</v>
      </c>
      <c r="P13804" t="s">
        <v>20700</v>
      </c>
      <c r="Y13804" t="s">
        <v>34935</v>
      </c>
    </row>
    <row r="13805" spans="1:25" x14ac:dyDescent="0.25">
      <c r="A13805" t="str">
        <f>"223901886372"</f>
        <v>223901886372</v>
      </c>
      <c r="B13805" t="s">
        <v>176</v>
      </c>
      <c r="C13805" t="s">
        <v>566</v>
      </c>
      <c r="D13805" t="s">
        <v>48244</v>
      </c>
      <c r="E13805">
        <v>424038</v>
      </c>
      <c r="F13805" t="s">
        <v>1</v>
      </c>
      <c r="G13805" t="s">
        <v>2</v>
      </c>
      <c r="H13805" t="s">
        <v>30196</v>
      </c>
      <c r="Y13805" t="s">
        <v>48245</v>
      </c>
    </row>
    <row r="13806" spans="1:25" x14ac:dyDescent="0.25">
      <c r="A13806" t="str">
        <f>"223939512742"</f>
        <v>223939512742</v>
      </c>
      <c r="B13806" t="s">
        <v>574</v>
      </c>
      <c r="C13806" t="s">
        <v>952</v>
      </c>
      <c r="D13806" t="s">
        <v>25172</v>
      </c>
      <c r="E13806">
        <v>424003</v>
      </c>
      <c r="F13806" t="s">
        <v>1</v>
      </c>
      <c r="G13806" t="s">
        <v>2</v>
      </c>
      <c r="H13806" t="s">
        <v>21660</v>
      </c>
      <c r="Y13806" t="s">
        <v>24917</v>
      </c>
    </row>
    <row r="13807" spans="1:25" x14ac:dyDescent="0.25">
      <c r="A13807" t="str">
        <f>"223947387729"</f>
        <v>223947387729</v>
      </c>
      <c r="B13807" t="s">
        <v>1152</v>
      </c>
      <c r="C13807" t="s">
        <v>1706</v>
      </c>
      <c r="D13807" t="s">
        <v>48246</v>
      </c>
      <c r="E13807">
        <v>424031</v>
      </c>
      <c r="F13807" t="s">
        <v>1</v>
      </c>
      <c r="G13807" t="s">
        <v>2</v>
      </c>
      <c r="H13807" t="s">
        <v>413</v>
      </c>
      <c r="Y13807" t="s">
        <v>48247</v>
      </c>
    </row>
    <row r="13808" spans="1:25" x14ac:dyDescent="0.25">
      <c r="A13808" t="str">
        <f>"223955734581"</f>
        <v>223955734581</v>
      </c>
      <c r="B13808" t="s">
        <v>1182</v>
      </c>
      <c r="C13808" t="s">
        <v>33074</v>
      </c>
      <c r="D13808" t="s">
        <v>48248</v>
      </c>
      <c r="E13808">
        <v>424016</v>
      </c>
      <c r="F13808" t="s">
        <v>1</v>
      </c>
      <c r="G13808" t="s">
        <v>2</v>
      </c>
      <c r="H13808" t="s">
        <v>848</v>
      </c>
      <c r="J13808" t="s">
        <v>48249</v>
      </c>
      <c r="P13808" t="s">
        <v>340</v>
      </c>
      <c r="Y13808" t="s">
        <v>855</v>
      </c>
    </row>
    <row r="13809" spans="1:25" x14ac:dyDescent="0.25">
      <c r="A13809" t="str">
        <f>"223966910591"</f>
        <v>223966910591</v>
      </c>
      <c r="B13809" t="s">
        <v>530</v>
      </c>
      <c r="C13809" t="s">
        <v>23950</v>
      </c>
      <c r="D13809" t="s">
        <v>23950</v>
      </c>
      <c r="E13809">
        <v>424037</v>
      </c>
      <c r="F13809" t="s">
        <v>1</v>
      </c>
      <c r="G13809" t="s">
        <v>2</v>
      </c>
      <c r="H13809" t="s">
        <v>21270</v>
      </c>
      <c r="Y13809" t="s">
        <v>48250</v>
      </c>
    </row>
    <row r="13810" spans="1:25" x14ac:dyDescent="0.25">
      <c r="A13810" t="str">
        <f>"223973101661"</f>
        <v>223973101661</v>
      </c>
      <c r="B13810" t="s">
        <v>1617</v>
      </c>
      <c r="C13810" t="s">
        <v>21001</v>
      </c>
      <c r="D13810" t="s">
        <v>20999</v>
      </c>
      <c r="E13810">
        <v>424033</v>
      </c>
      <c r="F13810" t="s">
        <v>1</v>
      </c>
      <c r="G13810" t="s">
        <v>2</v>
      </c>
      <c r="H13810" t="s">
        <v>48251</v>
      </c>
      <c r="Y13810" t="s">
        <v>2718</v>
      </c>
    </row>
    <row r="13811" spans="1:25" x14ac:dyDescent="0.25">
      <c r="A13811" t="str">
        <f>"223997831353"</f>
        <v>223997831353</v>
      </c>
      <c r="B13811" t="s">
        <v>1573</v>
      </c>
      <c r="C13811" t="s">
        <v>1817</v>
      </c>
      <c r="D13811" t="s">
        <v>24505</v>
      </c>
      <c r="E13811">
        <v>424038</v>
      </c>
      <c r="F13811" t="s">
        <v>1</v>
      </c>
      <c r="G13811" t="s">
        <v>2</v>
      </c>
      <c r="H13811" t="s">
        <v>2103</v>
      </c>
      <c r="Y13811" t="s">
        <v>48252</v>
      </c>
    </row>
    <row r="13812" spans="1:25" x14ac:dyDescent="0.25">
      <c r="A13812" t="str">
        <f>"223998253532"</f>
        <v>223998253532</v>
      </c>
      <c r="B13812" t="s">
        <v>7</v>
      </c>
      <c r="C13812" t="s">
        <v>48257</v>
      </c>
      <c r="D13812" t="s">
        <v>48253</v>
      </c>
      <c r="E13812">
        <v>424007</v>
      </c>
      <c r="F13812" t="s">
        <v>1</v>
      </c>
      <c r="G13812" t="s">
        <v>2</v>
      </c>
      <c r="H13812" t="s">
        <v>10252</v>
      </c>
      <c r="I13812" t="s">
        <v>48254</v>
      </c>
      <c r="L13812" t="s">
        <v>48255</v>
      </c>
      <c r="M13812" t="s">
        <v>48256</v>
      </c>
      <c r="P13812" t="s">
        <v>39097</v>
      </c>
      <c r="Q13812" t="s">
        <v>48258</v>
      </c>
      <c r="S13812" t="s">
        <v>48259</v>
      </c>
      <c r="T13812" t="s">
        <v>48260</v>
      </c>
      <c r="U13812" t="s">
        <v>48261</v>
      </c>
      <c r="V13812" t="s">
        <v>48262</v>
      </c>
      <c r="Y13812" t="s">
        <v>48263</v>
      </c>
    </row>
    <row r="13813" spans="1:25" x14ac:dyDescent="0.25">
      <c r="A13813" t="str">
        <f>"224019785228"</f>
        <v>224019785228</v>
      </c>
      <c r="B13813" t="s">
        <v>2601</v>
      </c>
      <c r="C13813" t="s">
        <v>31140</v>
      </c>
      <c r="D13813" t="s">
        <v>48264</v>
      </c>
      <c r="E13813">
        <v>424030</v>
      </c>
      <c r="F13813" t="s">
        <v>1</v>
      </c>
      <c r="G13813" t="s">
        <v>2</v>
      </c>
      <c r="H13813" t="s">
        <v>12562</v>
      </c>
      <c r="Y13813" t="s">
        <v>48265</v>
      </c>
    </row>
    <row r="13814" spans="1:25" x14ac:dyDescent="0.25">
      <c r="A13814" t="str">
        <f>"224077438910"</f>
        <v>224077438910</v>
      </c>
      <c r="B13814" t="s">
        <v>591</v>
      </c>
      <c r="C13814" t="s">
        <v>1904</v>
      </c>
      <c r="D13814" t="s">
        <v>29811</v>
      </c>
      <c r="E13814">
        <v>424032</v>
      </c>
      <c r="F13814" t="s">
        <v>1</v>
      </c>
      <c r="G13814" t="s">
        <v>2</v>
      </c>
      <c r="H13814" t="s">
        <v>48266</v>
      </c>
      <c r="P13814" t="s">
        <v>799</v>
      </c>
      <c r="Y13814" t="s">
        <v>48267</v>
      </c>
    </row>
    <row r="13815" spans="1:25" x14ac:dyDescent="0.25">
      <c r="A13815" t="str">
        <f>"224084564554"</f>
        <v>224084564554</v>
      </c>
      <c r="B13815" t="s">
        <v>574</v>
      </c>
      <c r="C13815" t="s">
        <v>22533</v>
      </c>
      <c r="D13815" t="s">
        <v>21923</v>
      </c>
      <c r="E13815">
        <v>424032</v>
      </c>
      <c r="F13815" t="s">
        <v>1</v>
      </c>
      <c r="G13815" t="s">
        <v>2</v>
      </c>
      <c r="H13815" t="s">
        <v>30668</v>
      </c>
      <c r="I13815" t="s">
        <v>21924</v>
      </c>
      <c r="L13815" t="s">
        <v>48268</v>
      </c>
      <c r="M13815" t="s">
        <v>21925</v>
      </c>
      <c r="P13815" t="s">
        <v>133</v>
      </c>
      <c r="Q13815" t="s">
        <v>48269</v>
      </c>
      <c r="Y13815" t="s">
        <v>36425</v>
      </c>
    </row>
    <row r="13816" spans="1:25" x14ac:dyDescent="0.25">
      <c r="A13816" t="str">
        <f>"224093976379"</f>
        <v>224093976379</v>
      </c>
      <c r="B13816" t="s">
        <v>2062</v>
      </c>
      <c r="C13816" t="s">
        <v>2063</v>
      </c>
      <c r="D13816" t="s">
        <v>48270</v>
      </c>
      <c r="E13816">
        <v>424038</v>
      </c>
      <c r="F13816" t="s">
        <v>1</v>
      </c>
      <c r="G13816" t="s">
        <v>2</v>
      </c>
      <c r="H13816" t="s">
        <v>6550</v>
      </c>
      <c r="I13816" t="s">
        <v>48271</v>
      </c>
      <c r="L13816" t="s">
        <v>48272</v>
      </c>
      <c r="M13816" t="s">
        <v>48273</v>
      </c>
      <c r="P13816" t="s">
        <v>31992</v>
      </c>
      <c r="Q13816" t="s">
        <v>48274</v>
      </c>
      <c r="S13816" t="s">
        <v>48275</v>
      </c>
      <c r="T13816" t="s">
        <v>48276</v>
      </c>
      <c r="Y13816" t="s">
        <v>48277</v>
      </c>
    </row>
    <row r="13817" spans="1:25" x14ac:dyDescent="0.25">
      <c r="A13817" t="str">
        <f>"224101292900"</f>
        <v>224101292900</v>
      </c>
      <c r="B13817" t="s">
        <v>640</v>
      </c>
      <c r="C13817" t="s">
        <v>24659</v>
      </c>
      <c r="D13817" t="s">
        <v>48278</v>
      </c>
      <c r="E13817">
        <v>424019</v>
      </c>
      <c r="F13817" t="s">
        <v>1</v>
      </c>
      <c r="G13817" t="s">
        <v>2</v>
      </c>
      <c r="H13817" t="s">
        <v>1467</v>
      </c>
      <c r="Q13817" t="s">
        <v>48279</v>
      </c>
      <c r="Y13817" t="s">
        <v>1630</v>
      </c>
    </row>
    <row r="13818" spans="1:25" x14ac:dyDescent="0.25">
      <c r="A13818" t="str">
        <f>"224138332065"</f>
        <v>224138332065</v>
      </c>
      <c r="B13818" t="s">
        <v>25</v>
      </c>
      <c r="C13818" t="s">
        <v>20320</v>
      </c>
      <c r="D13818" t="s">
        <v>48280</v>
      </c>
      <c r="E13818">
        <v>424019</v>
      </c>
      <c r="F13818" t="s">
        <v>1</v>
      </c>
      <c r="G13818" t="s">
        <v>2</v>
      </c>
      <c r="H13818" t="s">
        <v>48281</v>
      </c>
      <c r="Y13818" t="s">
        <v>48282</v>
      </c>
    </row>
    <row r="13819" spans="1:25" x14ac:dyDescent="0.25">
      <c r="A13819" t="str">
        <f>"224175977572"</f>
        <v>224175977572</v>
      </c>
      <c r="B13819" t="s">
        <v>930</v>
      </c>
      <c r="C13819" t="s">
        <v>1096</v>
      </c>
      <c r="D13819" t="s">
        <v>48283</v>
      </c>
      <c r="E13819">
        <v>424007</v>
      </c>
      <c r="F13819" t="s">
        <v>1</v>
      </c>
      <c r="G13819" t="s">
        <v>2</v>
      </c>
      <c r="H13819" t="s">
        <v>22873</v>
      </c>
      <c r="L13819" t="s">
        <v>48284</v>
      </c>
      <c r="P13819" t="s">
        <v>4831</v>
      </c>
      <c r="Q13819" t="s">
        <v>48285</v>
      </c>
      <c r="Y13819" t="s">
        <v>48286</v>
      </c>
    </row>
    <row r="13820" spans="1:25" x14ac:dyDescent="0.25">
      <c r="A13820" t="str">
        <f>"224177339897"</f>
        <v>224177339897</v>
      </c>
      <c r="B13820" t="s">
        <v>930</v>
      </c>
      <c r="C13820" t="s">
        <v>1096</v>
      </c>
      <c r="D13820" t="s">
        <v>1094</v>
      </c>
      <c r="E13820">
        <v>424032</v>
      </c>
      <c r="F13820" t="s">
        <v>1</v>
      </c>
      <c r="G13820" t="s">
        <v>2</v>
      </c>
      <c r="H13820" t="s">
        <v>48287</v>
      </c>
      <c r="J13820" t="s">
        <v>48288</v>
      </c>
      <c r="P13820" t="s">
        <v>2438</v>
      </c>
      <c r="Y13820" t="s">
        <v>48289</v>
      </c>
    </row>
    <row r="13821" spans="1:25" x14ac:dyDescent="0.25">
      <c r="A13821" t="str">
        <f>"224190851006"</f>
        <v>224190851006</v>
      </c>
      <c r="B13821" t="s">
        <v>348</v>
      </c>
      <c r="C13821" t="s">
        <v>24364</v>
      </c>
      <c r="D13821" t="s">
        <v>48290</v>
      </c>
      <c r="E13821">
        <v>424007</v>
      </c>
      <c r="F13821" t="s">
        <v>1</v>
      </c>
      <c r="G13821" t="s">
        <v>2</v>
      </c>
      <c r="H13821" t="s">
        <v>42530</v>
      </c>
      <c r="J13821" t="s">
        <v>48291</v>
      </c>
      <c r="M13821" t="s">
        <v>48292</v>
      </c>
      <c r="P13821" t="s">
        <v>2050</v>
      </c>
      <c r="Y13821" t="s">
        <v>42533</v>
      </c>
    </row>
    <row r="13822" spans="1:25" x14ac:dyDescent="0.25">
      <c r="A13822" t="str">
        <f>"224192028570"</f>
        <v>224192028570</v>
      </c>
      <c r="B13822" t="s">
        <v>188</v>
      </c>
      <c r="C13822" t="s">
        <v>24568</v>
      </c>
      <c r="D13822" t="s">
        <v>24568</v>
      </c>
      <c r="E13822">
        <v>424000</v>
      </c>
      <c r="F13822" t="s">
        <v>1</v>
      </c>
      <c r="G13822" t="s">
        <v>2</v>
      </c>
      <c r="H13822" t="s">
        <v>10803</v>
      </c>
      <c r="Y13822" t="s">
        <v>48293</v>
      </c>
    </row>
    <row r="13823" spans="1:25" x14ac:dyDescent="0.25">
      <c r="A13823" t="str">
        <f>"224200633156"</f>
        <v>224200633156</v>
      </c>
      <c r="B13823" t="s">
        <v>654</v>
      </c>
      <c r="C13823" t="s">
        <v>14448</v>
      </c>
      <c r="D13823" t="s">
        <v>26093</v>
      </c>
      <c r="E13823">
        <v>424038</v>
      </c>
      <c r="F13823" t="s">
        <v>1</v>
      </c>
      <c r="G13823" t="s">
        <v>2</v>
      </c>
      <c r="H13823" t="s">
        <v>2614</v>
      </c>
      <c r="Y13823" t="s">
        <v>7651</v>
      </c>
    </row>
    <row r="13824" spans="1:25" x14ac:dyDescent="0.25">
      <c r="A13824" t="str">
        <f>"224212867530"</f>
        <v>224212867530</v>
      </c>
      <c r="B13824" t="s">
        <v>4084</v>
      </c>
      <c r="C13824" t="s">
        <v>48294</v>
      </c>
      <c r="D13824" t="s">
        <v>48294</v>
      </c>
      <c r="E13824">
        <v>424001</v>
      </c>
      <c r="F13824" t="s">
        <v>1</v>
      </c>
      <c r="G13824" t="s">
        <v>2</v>
      </c>
      <c r="H13824" t="s">
        <v>31491</v>
      </c>
      <c r="Y13824" t="s">
        <v>48295</v>
      </c>
    </row>
    <row r="13825" spans="1:25" x14ac:dyDescent="0.25">
      <c r="A13825" t="str">
        <f>"224242091238"</f>
        <v>224242091238</v>
      </c>
      <c r="B13825" t="s">
        <v>3700</v>
      </c>
      <c r="C13825" t="s">
        <v>4023</v>
      </c>
      <c r="D13825" t="s">
        <v>48296</v>
      </c>
      <c r="E13825">
        <v>424006</v>
      </c>
      <c r="F13825" t="s">
        <v>1</v>
      </c>
      <c r="G13825" t="s">
        <v>2</v>
      </c>
      <c r="H13825" t="s">
        <v>5846</v>
      </c>
      <c r="Y13825" t="s">
        <v>17495</v>
      </c>
    </row>
    <row r="13826" spans="1:25" x14ac:dyDescent="0.25">
      <c r="A13826" t="str">
        <f>"224254805264"</f>
        <v>224254805264</v>
      </c>
      <c r="B13826" t="s">
        <v>176</v>
      </c>
      <c r="C13826" t="s">
        <v>250</v>
      </c>
      <c r="D13826" t="s">
        <v>19271</v>
      </c>
      <c r="E13826">
        <v>424031</v>
      </c>
      <c r="F13826" t="s">
        <v>1</v>
      </c>
      <c r="G13826" t="s">
        <v>2</v>
      </c>
      <c r="H13826" t="s">
        <v>239</v>
      </c>
      <c r="J13826" t="s">
        <v>48297</v>
      </c>
      <c r="P13826" t="s">
        <v>48298</v>
      </c>
      <c r="Y13826" t="s">
        <v>246</v>
      </c>
    </row>
    <row r="13827" spans="1:25" x14ac:dyDescent="0.25">
      <c r="A13827" t="str">
        <f>"224270512508"</f>
        <v>224270512508</v>
      </c>
      <c r="B13827" t="s">
        <v>117</v>
      </c>
      <c r="C13827" t="s">
        <v>118</v>
      </c>
      <c r="D13827" t="s">
        <v>48299</v>
      </c>
      <c r="F13827" t="s">
        <v>1</v>
      </c>
      <c r="G13827" t="s">
        <v>2</v>
      </c>
      <c r="H13827" t="s">
        <v>7326</v>
      </c>
      <c r="I13827" t="s">
        <v>48300</v>
      </c>
      <c r="P13827" t="s">
        <v>330</v>
      </c>
      <c r="Y13827" t="s">
        <v>48301</v>
      </c>
    </row>
    <row r="13828" spans="1:25" x14ac:dyDescent="0.25">
      <c r="A13828" t="str">
        <f>"224275743910"</f>
        <v>224275743910</v>
      </c>
      <c r="B13828" t="s">
        <v>574</v>
      </c>
      <c r="C13828" t="s">
        <v>9802</v>
      </c>
      <c r="D13828" t="s">
        <v>3057</v>
      </c>
      <c r="E13828">
        <v>424003</v>
      </c>
      <c r="F13828" t="s">
        <v>1</v>
      </c>
      <c r="G13828" t="s">
        <v>2</v>
      </c>
      <c r="H13828" t="s">
        <v>645</v>
      </c>
      <c r="Y13828" t="s">
        <v>31015</v>
      </c>
    </row>
    <row r="13829" spans="1:25" x14ac:dyDescent="0.25">
      <c r="A13829" t="str">
        <f>"224289173383"</f>
        <v>224289173383</v>
      </c>
      <c r="B13829" t="s">
        <v>574</v>
      </c>
      <c r="C13829" t="s">
        <v>9802</v>
      </c>
      <c r="D13829" t="s">
        <v>3057</v>
      </c>
      <c r="E13829">
        <v>424039</v>
      </c>
      <c r="F13829" t="s">
        <v>1</v>
      </c>
      <c r="G13829" t="s">
        <v>2</v>
      </c>
      <c r="H13829" t="s">
        <v>26900</v>
      </c>
      <c r="Y13829" t="s">
        <v>48302</v>
      </c>
    </row>
    <row r="13830" spans="1:25" x14ac:dyDescent="0.25">
      <c r="A13830" t="str">
        <f>"224303153876"</f>
        <v>224303153876</v>
      </c>
      <c r="B13830" t="s">
        <v>574</v>
      </c>
      <c r="C13830" t="s">
        <v>24405</v>
      </c>
      <c r="D13830" t="s">
        <v>48303</v>
      </c>
      <c r="E13830">
        <v>424039</v>
      </c>
      <c r="F13830" t="s">
        <v>1</v>
      </c>
      <c r="G13830" t="s">
        <v>2</v>
      </c>
      <c r="H13830" t="s">
        <v>5827</v>
      </c>
      <c r="Y13830" t="s">
        <v>23921</v>
      </c>
    </row>
    <row r="13831" spans="1:25" x14ac:dyDescent="0.25">
      <c r="A13831" t="str">
        <f>"224314009059"</f>
        <v>224314009059</v>
      </c>
      <c r="B13831" t="s">
        <v>1729</v>
      </c>
      <c r="C13831" t="s">
        <v>37562</v>
      </c>
      <c r="D13831" t="s">
        <v>48304</v>
      </c>
      <c r="E13831">
        <v>424002</v>
      </c>
      <c r="F13831" t="s">
        <v>1</v>
      </c>
      <c r="G13831" t="s">
        <v>2</v>
      </c>
      <c r="H13831" t="s">
        <v>2664</v>
      </c>
      <c r="I13831" t="s">
        <v>48305</v>
      </c>
      <c r="P13831" t="s">
        <v>48306</v>
      </c>
      <c r="Y13831" t="s">
        <v>48307</v>
      </c>
    </row>
    <row r="13832" spans="1:25" x14ac:dyDescent="0.25">
      <c r="A13832" t="str">
        <f>"224382394308"</f>
        <v>224382394308</v>
      </c>
      <c r="B13832" t="s">
        <v>224</v>
      </c>
      <c r="C13832" t="s">
        <v>4397</v>
      </c>
      <c r="D13832" t="s">
        <v>48308</v>
      </c>
      <c r="E13832">
        <v>424007</v>
      </c>
      <c r="F13832" t="s">
        <v>1</v>
      </c>
      <c r="G13832" t="s">
        <v>2</v>
      </c>
      <c r="H13832" t="s">
        <v>1085</v>
      </c>
      <c r="Y13832" t="s">
        <v>48309</v>
      </c>
    </row>
    <row r="13833" spans="1:25" x14ac:dyDescent="0.25">
      <c r="A13833" t="str">
        <f>"224394088727"</f>
        <v>224394088727</v>
      </c>
      <c r="B13833" t="s">
        <v>48311</v>
      </c>
      <c r="C13833" t="s">
        <v>48312</v>
      </c>
      <c r="D13833" t="s">
        <v>48310</v>
      </c>
      <c r="E13833">
        <v>424004</v>
      </c>
      <c r="F13833" t="s">
        <v>1</v>
      </c>
      <c r="G13833" t="s">
        <v>2</v>
      </c>
      <c r="H13833" t="s">
        <v>351</v>
      </c>
      <c r="Y13833" t="s">
        <v>48313</v>
      </c>
    </row>
    <row r="13834" spans="1:25" x14ac:dyDescent="0.25">
      <c r="A13834" t="str">
        <f>"224398235501"</f>
        <v>224398235501</v>
      </c>
      <c r="B13834" t="s">
        <v>1262</v>
      </c>
      <c r="C13834" t="s">
        <v>2335</v>
      </c>
      <c r="D13834" t="s">
        <v>48314</v>
      </c>
      <c r="E13834">
        <v>424005</v>
      </c>
      <c r="F13834" t="s">
        <v>1</v>
      </c>
      <c r="G13834" t="s">
        <v>2</v>
      </c>
      <c r="H13834" t="s">
        <v>48315</v>
      </c>
      <c r="J13834" t="s">
        <v>38524</v>
      </c>
      <c r="Y13834" t="s">
        <v>48316</v>
      </c>
    </row>
    <row r="13835" spans="1:25" x14ac:dyDescent="0.25">
      <c r="A13835" t="str">
        <f>"224424486973"</f>
        <v>224424486973</v>
      </c>
      <c r="B13835" t="s">
        <v>176</v>
      </c>
      <c r="C13835" t="s">
        <v>250</v>
      </c>
      <c r="D13835" t="s">
        <v>48317</v>
      </c>
      <c r="E13835">
        <v>424019</v>
      </c>
      <c r="F13835" t="s">
        <v>1</v>
      </c>
      <c r="G13835" t="s">
        <v>2</v>
      </c>
      <c r="H13835" t="s">
        <v>48318</v>
      </c>
      <c r="J13835" t="s">
        <v>48319</v>
      </c>
      <c r="P13835" t="s">
        <v>340</v>
      </c>
      <c r="Y13835" t="s">
        <v>48320</v>
      </c>
    </row>
    <row r="13836" spans="1:25" x14ac:dyDescent="0.25">
      <c r="A13836" t="str">
        <f>"224433589587"</f>
        <v>224433589587</v>
      </c>
      <c r="B13836" t="s">
        <v>25</v>
      </c>
      <c r="C13836" t="s">
        <v>24938</v>
      </c>
      <c r="D13836" t="s">
        <v>48321</v>
      </c>
      <c r="E13836">
        <v>424031</v>
      </c>
      <c r="F13836" t="s">
        <v>1</v>
      </c>
      <c r="G13836" t="s">
        <v>2</v>
      </c>
      <c r="H13836" t="s">
        <v>48322</v>
      </c>
      <c r="J13836" t="s">
        <v>48323</v>
      </c>
      <c r="M13836" t="s">
        <v>48324</v>
      </c>
      <c r="Y13836" t="s">
        <v>48325</v>
      </c>
    </row>
    <row r="13837" spans="1:25" x14ac:dyDescent="0.25">
      <c r="A13837" t="str">
        <f>"224465127400"</f>
        <v>224465127400</v>
      </c>
      <c r="B13837" t="s">
        <v>530</v>
      </c>
      <c r="C13837" t="s">
        <v>23950</v>
      </c>
      <c r="D13837" t="s">
        <v>23950</v>
      </c>
      <c r="E13837">
        <v>424031</v>
      </c>
      <c r="F13837" t="s">
        <v>1</v>
      </c>
      <c r="G13837" t="s">
        <v>2</v>
      </c>
      <c r="H13837" t="s">
        <v>48326</v>
      </c>
      <c r="Y13837" t="s">
        <v>48327</v>
      </c>
    </row>
    <row r="13838" spans="1:25" x14ac:dyDescent="0.25">
      <c r="A13838" t="str">
        <f>"224465482171"</f>
        <v>224465482171</v>
      </c>
      <c r="B13838" t="s">
        <v>348</v>
      </c>
      <c r="C13838" t="s">
        <v>48333</v>
      </c>
      <c r="D13838" t="s">
        <v>48328</v>
      </c>
      <c r="F13838" t="s">
        <v>1</v>
      </c>
      <c r="G13838" t="s">
        <v>2</v>
      </c>
      <c r="H13838" t="s">
        <v>12469</v>
      </c>
      <c r="I13838" t="s">
        <v>48329</v>
      </c>
      <c r="J13838" t="s">
        <v>48330</v>
      </c>
      <c r="L13838" t="s">
        <v>48331</v>
      </c>
      <c r="M13838" t="s">
        <v>48332</v>
      </c>
      <c r="P13838" t="s">
        <v>48334</v>
      </c>
      <c r="Y13838" t="s">
        <v>48335</v>
      </c>
    </row>
    <row r="13839" spans="1:25" x14ac:dyDescent="0.25">
      <c r="A13839" t="str">
        <f>"224493795686"</f>
        <v>224493795686</v>
      </c>
      <c r="B13839" t="s">
        <v>1544</v>
      </c>
      <c r="C13839" t="s">
        <v>15598</v>
      </c>
      <c r="D13839" t="s">
        <v>48336</v>
      </c>
      <c r="E13839">
        <v>424030</v>
      </c>
      <c r="F13839" t="s">
        <v>1</v>
      </c>
      <c r="G13839" t="s">
        <v>2</v>
      </c>
      <c r="H13839" t="s">
        <v>18541</v>
      </c>
      <c r="Y13839" t="s">
        <v>48337</v>
      </c>
    </row>
    <row r="13840" spans="1:25" x14ac:dyDescent="0.25">
      <c r="A13840" t="str">
        <f>"224539872195"</f>
        <v>224539872195</v>
      </c>
      <c r="B13840" t="s">
        <v>188</v>
      </c>
      <c r="C13840" t="s">
        <v>8311</v>
      </c>
      <c r="D13840" t="s">
        <v>48338</v>
      </c>
      <c r="E13840">
        <v>424000</v>
      </c>
      <c r="F13840" t="s">
        <v>1</v>
      </c>
      <c r="G13840" t="s">
        <v>2</v>
      </c>
      <c r="H13840" t="s">
        <v>34581</v>
      </c>
      <c r="I13840" t="s">
        <v>48339</v>
      </c>
      <c r="L13840" t="s">
        <v>48340</v>
      </c>
      <c r="M13840" t="s">
        <v>48341</v>
      </c>
      <c r="P13840" t="s">
        <v>330</v>
      </c>
      <c r="Y13840" t="s">
        <v>7091</v>
      </c>
    </row>
    <row r="13841" spans="1:25" x14ac:dyDescent="0.25">
      <c r="A13841" t="str">
        <f>"224548995824"</f>
        <v>224548995824</v>
      </c>
      <c r="B13841" t="s">
        <v>3008</v>
      </c>
      <c r="C13841" t="s">
        <v>48346</v>
      </c>
      <c r="D13841" t="s">
        <v>48342</v>
      </c>
      <c r="E13841">
        <v>424007</v>
      </c>
      <c r="F13841" t="s">
        <v>1</v>
      </c>
      <c r="G13841" t="s">
        <v>2</v>
      </c>
      <c r="H13841" t="s">
        <v>10252</v>
      </c>
      <c r="I13841" t="s">
        <v>48343</v>
      </c>
      <c r="L13841" t="s">
        <v>48344</v>
      </c>
      <c r="M13841" t="s">
        <v>48345</v>
      </c>
      <c r="P13841" t="s">
        <v>27</v>
      </c>
      <c r="Y13841" t="s">
        <v>10258</v>
      </c>
    </row>
    <row r="13842" spans="1:25" x14ac:dyDescent="0.25">
      <c r="A13842" t="str">
        <f>"224567977644"</f>
        <v>224567977644</v>
      </c>
      <c r="B13842" t="s">
        <v>32</v>
      </c>
      <c r="C13842" t="s">
        <v>777</v>
      </c>
      <c r="D13842" t="s">
        <v>18235</v>
      </c>
      <c r="E13842">
        <v>424020</v>
      </c>
      <c r="F13842" t="s">
        <v>1</v>
      </c>
      <c r="G13842" t="s">
        <v>2</v>
      </c>
      <c r="H13842" t="s">
        <v>121</v>
      </c>
      <c r="P13842" t="s">
        <v>2079</v>
      </c>
      <c r="Y13842" t="s">
        <v>48347</v>
      </c>
    </row>
    <row r="13843" spans="1:25" x14ac:dyDescent="0.25">
      <c r="A13843" t="str">
        <f>"224569064770"</f>
        <v>224569064770</v>
      </c>
      <c r="B13843" t="s">
        <v>1078</v>
      </c>
      <c r="C13843" t="s">
        <v>28494</v>
      </c>
      <c r="D13843" t="s">
        <v>20999</v>
      </c>
      <c r="E13843">
        <v>424020</v>
      </c>
      <c r="F13843" t="s">
        <v>1</v>
      </c>
      <c r="G13843" t="s">
        <v>2</v>
      </c>
      <c r="H13843" t="s">
        <v>802</v>
      </c>
      <c r="Y13843" t="s">
        <v>48348</v>
      </c>
    </row>
    <row r="13844" spans="1:25" x14ac:dyDescent="0.25">
      <c r="A13844" t="str">
        <f>"224581756132"</f>
        <v>224581756132</v>
      </c>
      <c r="B13844" t="s">
        <v>1611</v>
      </c>
      <c r="C13844" t="s">
        <v>26250</v>
      </c>
      <c r="D13844" t="s">
        <v>48349</v>
      </c>
      <c r="E13844">
        <v>424005</v>
      </c>
      <c r="F13844" t="s">
        <v>1</v>
      </c>
      <c r="G13844" t="s">
        <v>2</v>
      </c>
      <c r="H13844" t="s">
        <v>11683</v>
      </c>
      <c r="Y13844" t="s">
        <v>48350</v>
      </c>
    </row>
    <row r="13845" spans="1:25" x14ac:dyDescent="0.25">
      <c r="A13845" t="str">
        <f>"224638155835"</f>
        <v>224638155835</v>
      </c>
      <c r="B13845" t="s">
        <v>2601</v>
      </c>
      <c r="C13845" t="s">
        <v>48353</v>
      </c>
      <c r="D13845" t="s">
        <v>48351</v>
      </c>
      <c r="E13845">
        <v>424000</v>
      </c>
      <c r="F13845" t="s">
        <v>1</v>
      </c>
      <c r="G13845" t="s">
        <v>2</v>
      </c>
      <c r="H13845" t="s">
        <v>1531</v>
      </c>
      <c r="J13845" t="s">
        <v>48352</v>
      </c>
      <c r="P13845" t="s">
        <v>20874</v>
      </c>
      <c r="Y13845" t="s">
        <v>48354</v>
      </c>
    </row>
    <row r="13846" spans="1:25" x14ac:dyDescent="0.25">
      <c r="A13846" t="str">
        <f>"224658171337"</f>
        <v>224658171337</v>
      </c>
      <c r="B13846" t="s">
        <v>1152</v>
      </c>
      <c r="C13846" t="s">
        <v>1153</v>
      </c>
      <c r="D13846" t="s">
        <v>10280</v>
      </c>
      <c r="E13846">
        <v>424030</v>
      </c>
      <c r="F13846" t="s">
        <v>1</v>
      </c>
      <c r="G13846" t="s">
        <v>2</v>
      </c>
      <c r="H13846" t="s">
        <v>24317</v>
      </c>
      <c r="I13846" t="s">
        <v>21921</v>
      </c>
      <c r="M13846" t="s">
        <v>48355</v>
      </c>
      <c r="P13846" t="s">
        <v>60</v>
      </c>
      <c r="Q13846" t="s">
        <v>10286</v>
      </c>
      <c r="R13846" t="s">
        <v>10287</v>
      </c>
      <c r="S13846" t="s">
        <v>10288</v>
      </c>
      <c r="T13846" t="s">
        <v>10289</v>
      </c>
      <c r="U13846" t="s">
        <v>10290</v>
      </c>
      <c r="V13846" t="s">
        <v>10291</v>
      </c>
      <c r="Y13846" t="s">
        <v>48356</v>
      </c>
    </row>
    <row r="13847" spans="1:25" x14ac:dyDescent="0.25">
      <c r="A13847" t="str">
        <f>"224695744387"</f>
        <v>224695744387</v>
      </c>
      <c r="B13847" t="s">
        <v>4495</v>
      </c>
      <c r="C13847" t="s">
        <v>36293</v>
      </c>
      <c r="D13847" t="s">
        <v>48357</v>
      </c>
      <c r="E13847">
        <v>424006</v>
      </c>
      <c r="F13847" t="s">
        <v>1</v>
      </c>
      <c r="G13847" t="s">
        <v>2</v>
      </c>
      <c r="H13847" t="s">
        <v>24225</v>
      </c>
      <c r="Y13847" t="s">
        <v>48358</v>
      </c>
    </row>
    <row r="13848" spans="1:25" x14ac:dyDescent="0.25">
      <c r="A13848" t="str">
        <f>"224758653052"</f>
        <v>224758653052</v>
      </c>
      <c r="B13848" t="s">
        <v>430</v>
      </c>
      <c r="C13848" t="s">
        <v>48361</v>
      </c>
      <c r="D13848" t="s">
        <v>48359</v>
      </c>
      <c r="E13848">
        <v>424000</v>
      </c>
      <c r="F13848" t="s">
        <v>1</v>
      </c>
      <c r="G13848" t="s">
        <v>2</v>
      </c>
      <c r="H13848" t="s">
        <v>128</v>
      </c>
      <c r="J13848" t="s">
        <v>44021</v>
      </c>
      <c r="L13848" t="s">
        <v>48360</v>
      </c>
      <c r="P13848" t="s">
        <v>2738</v>
      </c>
      <c r="Q13848" t="s">
        <v>48362</v>
      </c>
      <c r="Y13848" t="s">
        <v>5640</v>
      </c>
    </row>
    <row r="13849" spans="1:25" x14ac:dyDescent="0.25">
      <c r="A13849" t="str">
        <f>"224777500546"</f>
        <v>224777500546</v>
      </c>
      <c r="B13849" t="s">
        <v>96</v>
      </c>
      <c r="C13849" t="s">
        <v>12339</v>
      </c>
      <c r="D13849" t="s">
        <v>42377</v>
      </c>
      <c r="E13849">
        <v>424000</v>
      </c>
      <c r="F13849" t="s">
        <v>1</v>
      </c>
      <c r="G13849" t="s">
        <v>2</v>
      </c>
      <c r="H13849" t="s">
        <v>1473</v>
      </c>
      <c r="P13849" t="s">
        <v>941</v>
      </c>
      <c r="Y13849" t="s">
        <v>48363</v>
      </c>
    </row>
    <row r="13850" spans="1:25" x14ac:dyDescent="0.25">
      <c r="A13850" t="str">
        <f>"224820722971"</f>
        <v>224820722971</v>
      </c>
      <c r="B13850" t="s">
        <v>2104</v>
      </c>
      <c r="C13850" t="s">
        <v>21175</v>
      </c>
      <c r="D13850" t="s">
        <v>48364</v>
      </c>
      <c r="F13850" t="s">
        <v>1</v>
      </c>
      <c r="G13850" t="s">
        <v>2</v>
      </c>
      <c r="H13850" t="s">
        <v>48365</v>
      </c>
      <c r="Y13850" t="s">
        <v>34173</v>
      </c>
    </row>
    <row r="13851" spans="1:25" x14ac:dyDescent="0.25">
      <c r="A13851" t="str">
        <f>"224831077744"</f>
        <v>224831077744</v>
      </c>
      <c r="B13851" t="s">
        <v>96</v>
      </c>
      <c r="C13851" t="s">
        <v>893</v>
      </c>
      <c r="D13851" t="s">
        <v>48366</v>
      </c>
      <c r="E13851">
        <v>424019</v>
      </c>
      <c r="F13851" t="s">
        <v>1</v>
      </c>
      <c r="G13851" t="s">
        <v>2</v>
      </c>
      <c r="H13851" t="s">
        <v>1467</v>
      </c>
      <c r="Y13851" t="s">
        <v>48367</v>
      </c>
    </row>
    <row r="13852" spans="1:25" x14ac:dyDescent="0.25">
      <c r="A13852" t="str">
        <f>"224863442940"</f>
        <v>224863442940</v>
      </c>
      <c r="B13852" t="s">
        <v>530</v>
      </c>
      <c r="C13852" t="s">
        <v>23950</v>
      </c>
      <c r="D13852" t="s">
        <v>23950</v>
      </c>
      <c r="E13852">
        <v>424007</v>
      </c>
      <c r="F13852" t="s">
        <v>1</v>
      </c>
      <c r="G13852" t="s">
        <v>2</v>
      </c>
      <c r="H13852" t="s">
        <v>48368</v>
      </c>
      <c r="Y13852" t="s">
        <v>48369</v>
      </c>
    </row>
    <row r="13853" spans="1:25" x14ac:dyDescent="0.25">
      <c r="A13853" t="str">
        <f>"224884036595"</f>
        <v>224884036595</v>
      </c>
      <c r="B13853" t="s">
        <v>1152</v>
      </c>
      <c r="C13853" t="s">
        <v>48371</v>
      </c>
      <c r="D13853" t="s">
        <v>48370</v>
      </c>
      <c r="E13853">
        <v>424003</v>
      </c>
      <c r="F13853" t="s">
        <v>1</v>
      </c>
      <c r="G13853" t="s">
        <v>2</v>
      </c>
      <c r="H13853" t="s">
        <v>15371</v>
      </c>
      <c r="Y13853" t="s">
        <v>48372</v>
      </c>
    </row>
    <row r="13854" spans="1:25" x14ac:dyDescent="0.25">
      <c r="A13854" t="str">
        <f>"224884628256"</f>
        <v>224884628256</v>
      </c>
      <c r="B13854" t="s">
        <v>930</v>
      </c>
      <c r="C13854" t="s">
        <v>927</v>
      </c>
      <c r="D13854" t="s">
        <v>48373</v>
      </c>
      <c r="E13854">
        <v>424007</v>
      </c>
      <c r="F13854" t="s">
        <v>1</v>
      </c>
      <c r="G13854" t="s">
        <v>2</v>
      </c>
      <c r="H13854" t="s">
        <v>22873</v>
      </c>
      <c r="Y13854" t="s">
        <v>48374</v>
      </c>
    </row>
    <row r="13855" spans="1:25" x14ac:dyDescent="0.25">
      <c r="A13855" t="str">
        <f>"224948312301"</f>
        <v>224948312301</v>
      </c>
      <c r="B13855" t="s">
        <v>32</v>
      </c>
      <c r="C13855" t="s">
        <v>48377</v>
      </c>
      <c r="D13855" t="s">
        <v>48375</v>
      </c>
      <c r="E13855">
        <v>424006</v>
      </c>
      <c r="F13855" t="s">
        <v>1</v>
      </c>
      <c r="G13855" t="s">
        <v>2</v>
      </c>
      <c r="H13855" t="s">
        <v>38627</v>
      </c>
      <c r="J13855" t="s">
        <v>48376</v>
      </c>
      <c r="Q13855" t="s">
        <v>48378</v>
      </c>
      <c r="Y13855" t="s">
        <v>38628</v>
      </c>
    </row>
    <row r="13856" spans="1:25" x14ac:dyDescent="0.25">
      <c r="A13856" t="str">
        <f>"224948795696"</f>
        <v>224948795696</v>
      </c>
      <c r="B13856" t="s">
        <v>7</v>
      </c>
      <c r="C13856" t="s">
        <v>48381</v>
      </c>
      <c r="D13856" t="s">
        <v>48379</v>
      </c>
      <c r="E13856">
        <v>424004</v>
      </c>
      <c r="F13856" t="s">
        <v>1</v>
      </c>
      <c r="G13856" t="s">
        <v>2</v>
      </c>
      <c r="H13856" t="s">
        <v>351</v>
      </c>
      <c r="I13856" t="s">
        <v>48380</v>
      </c>
      <c r="P13856" t="s">
        <v>280</v>
      </c>
      <c r="Y13856" t="s">
        <v>354</v>
      </c>
    </row>
    <row r="13857" spans="1:25" x14ac:dyDescent="0.25">
      <c r="A13857" t="str">
        <f>"224987351287"</f>
        <v>224987351287</v>
      </c>
      <c r="B13857" t="s">
        <v>32</v>
      </c>
      <c r="C13857" t="s">
        <v>40</v>
      </c>
      <c r="D13857" t="s">
        <v>48382</v>
      </c>
      <c r="E13857">
        <v>424019</v>
      </c>
      <c r="F13857" t="s">
        <v>1</v>
      </c>
      <c r="G13857" t="s">
        <v>2</v>
      </c>
      <c r="H13857" t="s">
        <v>9271</v>
      </c>
      <c r="P13857" t="s">
        <v>399</v>
      </c>
      <c r="Y13857" t="s">
        <v>14680</v>
      </c>
    </row>
    <row r="13858" spans="1:25" x14ac:dyDescent="0.25">
      <c r="A13858" t="str">
        <f>"224989414208"</f>
        <v>224989414208</v>
      </c>
      <c r="B13858" t="s">
        <v>3908</v>
      </c>
      <c r="C13858" t="s">
        <v>3918</v>
      </c>
      <c r="D13858" t="s">
        <v>48383</v>
      </c>
      <c r="E13858">
        <v>424038</v>
      </c>
      <c r="F13858" t="s">
        <v>1</v>
      </c>
      <c r="G13858" t="s">
        <v>2</v>
      </c>
      <c r="H13858" t="s">
        <v>1038</v>
      </c>
      <c r="J13858" t="s">
        <v>48384</v>
      </c>
      <c r="Q13858" t="s">
        <v>48385</v>
      </c>
      <c r="Y13858" t="s">
        <v>1040</v>
      </c>
    </row>
    <row r="13859" spans="1:25" x14ac:dyDescent="0.25">
      <c r="A13859" t="str">
        <f>"224994936938"</f>
        <v>224994936938</v>
      </c>
      <c r="B13859" t="s">
        <v>530</v>
      </c>
      <c r="C13859" t="s">
        <v>23950</v>
      </c>
      <c r="D13859" t="s">
        <v>23950</v>
      </c>
      <c r="F13859" t="s">
        <v>1</v>
      </c>
      <c r="G13859" t="s">
        <v>2</v>
      </c>
      <c r="H13859" t="s">
        <v>21080</v>
      </c>
      <c r="Y13859" t="s">
        <v>48386</v>
      </c>
    </row>
    <row r="13860" spans="1:25" x14ac:dyDescent="0.25">
      <c r="A13860" t="str">
        <f>"225048669895"</f>
        <v>225048669895</v>
      </c>
      <c r="B13860" t="s">
        <v>417</v>
      </c>
      <c r="C13860" t="s">
        <v>418</v>
      </c>
      <c r="D13860" t="s">
        <v>48387</v>
      </c>
      <c r="E13860">
        <v>424019</v>
      </c>
      <c r="F13860" t="s">
        <v>1</v>
      </c>
      <c r="G13860" t="s">
        <v>2</v>
      </c>
      <c r="H13860" t="s">
        <v>1460</v>
      </c>
      <c r="I13860" t="s">
        <v>48388</v>
      </c>
      <c r="M13860" t="s">
        <v>48389</v>
      </c>
      <c r="P13860" t="s">
        <v>2438</v>
      </c>
      <c r="Y13860" t="s">
        <v>48390</v>
      </c>
    </row>
    <row r="13861" spans="1:25" x14ac:dyDescent="0.25">
      <c r="A13861" t="str">
        <f>"225091833359"</f>
        <v>225091833359</v>
      </c>
      <c r="B13861" t="s">
        <v>397</v>
      </c>
      <c r="C13861" t="s">
        <v>26803</v>
      </c>
      <c r="D13861" t="s">
        <v>32332</v>
      </c>
      <c r="E13861">
        <v>424038</v>
      </c>
      <c r="F13861" t="s">
        <v>1</v>
      </c>
      <c r="G13861" t="s">
        <v>2</v>
      </c>
      <c r="H13861" t="s">
        <v>2614</v>
      </c>
      <c r="I13861" t="s">
        <v>32333</v>
      </c>
      <c r="L13861" t="s">
        <v>32334</v>
      </c>
      <c r="M13861" t="s">
        <v>32335</v>
      </c>
      <c r="P13861" t="s">
        <v>13820</v>
      </c>
      <c r="Q13861" t="s">
        <v>48391</v>
      </c>
      <c r="V13861" t="s">
        <v>48392</v>
      </c>
      <c r="Y13861" t="s">
        <v>2617</v>
      </c>
    </row>
    <row r="13862" spans="1:25" x14ac:dyDescent="0.25">
      <c r="A13862" t="str">
        <f>"225124103228"</f>
        <v>225124103228</v>
      </c>
      <c r="B13862" t="s">
        <v>7</v>
      </c>
      <c r="C13862" t="s">
        <v>26967</v>
      </c>
      <c r="D13862" t="s">
        <v>48393</v>
      </c>
      <c r="F13862" t="s">
        <v>1</v>
      </c>
      <c r="G13862" t="s">
        <v>2</v>
      </c>
      <c r="H13862" t="s">
        <v>48394</v>
      </c>
      <c r="P13862" t="s">
        <v>2738</v>
      </c>
      <c r="Y13862" t="s">
        <v>48395</v>
      </c>
    </row>
    <row r="13863" spans="1:25" x14ac:dyDescent="0.25">
      <c r="A13863" t="str">
        <f>"225141468802"</f>
        <v>225141468802</v>
      </c>
      <c r="B13863" t="s">
        <v>574</v>
      </c>
      <c r="C13863" t="s">
        <v>646</v>
      </c>
      <c r="D13863" t="s">
        <v>24036</v>
      </c>
      <c r="E13863">
        <v>424037</v>
      </c>
      <c r="F13863" t="s">
        <v>1</v>
      </c>
      <c r="G13863" t="s">
        <v>2</v>
      </c>
      <c r="H13863" t="s">
        <v>29602</v>
      </c>
      <c r="Y13863" t="s">
        <v>48396</v>
      </c>
    </row>
    <row r="13864" spans="1:25" x14ac:dyDescent="0.25">
      <c r="A13864" t="str">
        <f>"225144132190"</f>
        <v>225144132190</v>
      </c>
      <c r="B13864" t="s">
        <v>1053</v>
      </c>
      <c r="C13864" t="s">
        <v>1927</v>
      </c>
      <c r="D13864" t="s">
        <v>26293</v>
      </c>
      <c r="E13864">
        <v>424007</v>
      </c>
      <c r="F13864" t="s">
        <v>1</v>
      </c>
      <c r="G13864" t="s">
        <v>2</v>
      </c>
      <c r="H13864" t="s">
        <v>1992</v>
      </c>
      <c r="I13864" t="s">
        <v>26295</v>
      </c>
      <c r="L13864" t="s">
        <v>26296</v>
      </c>
      <c r="M13864" t="s">
        <v>26297</v>
      </c>
      <c r="Y13864" t="s">
        <v>48397</v>
      </c>
    </row>
    <row r="13865" spans="1:25" x14ac:dyDescent="0.25">
      <c r="A13865" t="str">
        <f>"225207724108"</f>
        <v>225207724108</v>
      </c>
      <c r="B13865" t="s">
        <v>1230</v>
      </c>
      <c r="C13865" t="s">
        <v>2526</v>
      </c>
      <c r="D13865" t="s">
        <v>48398</v>
      </c>
      <c r="E13865">
        <v>424000</v>
      </c>
      <c r="F13865" t="s">
        <v>1</v>
      </c>
      <c r="G13865" t="s">
        <v>2</v>
      </c>
      <c r="H13865" t="s">
        <v>3570</v>
      </c>
      <c r="I13865" t="s">
        <v>48399</v>
      </c>
      <c r="L13865" t="s">
        <v>48400</v>
      </c>
      <c r="M13865" t="s">
        <v>48401</v>
      </c>
      <c r="Y13865" t="s">
        <v>6301</v>
      </c>
    </row>
    <row r="13866" spans="1:25" x14ac:dyDescent="0.25">
      <c r="A13866" t="str">
        <f>"225219927852"</f>
        <v>225219927852</v>
      </c>
      <c r="B13866" t="s">
        <v>18</v>
      </c>
      <c r="C13866" t="s">
        <v>4522</v>
      </c>
      <c r="D13866" t="s">
        <v>4522</v>
      </c>
      <c r="E13866">
        <v>424031</v>
      </c>
      <c r="F13866" t="s">
        <v>1</v>
      </c>
      <c r="G13866" t="s">
        <v>2</v>
      </c>
      <c r="H13866" t="s">
        <v>3962</v>
      </c>
      <c r="Y13866" t="s">
        <v>48402</v>
      </c>
    </row>
    <row r="13867" spans="1:25" x14ac:dyDescent="0.25">
      <c r="A13867" t="str">
        <f>"225264313028"</f>
        <v>225264313028</v>
      </c>
      <c r="B13867" t="s">
        <v>18</v>
      </c>
      <c r="C13867" t="s">
        <v>48407</v>
      </c>
      <c r="D13867" t="s">
        <v>48403</v>
      </c>
      <c r="E13867">
        <v>424031</v>
      </c>
      <c r="F13867" t="s">
        <v>1</v>
      </c>
      <c r="G13867" t="s">
        <v>2</v>
      </c>
      <c r="H13867" t="s">
        <v>4622</v>
      </c>
      <c r="I13867" t="s">
        <v>48404</v>
      </c>
      <c r="J13867" t="s">
        <v>48405</v>
      </c>
      <c r="L13867" t="s">
        <v>48406</v>
      </c>
      <c r="P13867" t="s">
        <v>2580</v>
      </c>
      <c r="Q13867" t="s">
        <v>48408</v>
      </c>
      <c r="Y13867" t="s">
        <v>48409</v>
      </c>
    </row>
    <row r="13868" spans="1:25" x14ac:dyDescent="0.25">
      <c r="A13868" t="str">
        <f>"225312198816"</f>
        <v>225312198816</v>
      </c>
      <c r="B13868" t="s">
        <v>790</v>
      </c>
      <c r="C13868" t="s">
        <v>2049</v>
      </c>
      <c r="D13868" t="s">
        <v>48410</v>
      </c>
      <c r="E13868">
        <v>424019</v>
      </c>
      <c r="F13868" t="s">
        <v>1</v>
      </c>
      <c r="G13868" t="s">
        <v>2</v>
      </c>
      <c r="H13868" t="s">
        <v>9271</v>
      </c>
      <c r="Y13868" t="s">
        <v>48411</v>
      </c>
    </row>
    <row r="13869" spans="1:25" x14ac:dyDescent="0.25">
      <c r="A13869" t="str">
        <f>"225349794659"</f>
        <v>225349794659</v>
      </c>
      <c r="B13869" t="s">
        <v>3573</v>
      </c>
      <c r="C13869" t="s">
        <v>3644</v>
      </c>
      <c r="D13869" t="s">
        <v>43955</v>
      </c>
      <c r="E13869">
        <v>424007</v>
      </c>
      <c r="F13869" t="s">
        <v>1</v>
      </c>
      <c r="G13869" t="s">
        <v>2</v>
      </c>
      <c r="H13869" t="s">
        <v>16500</v>
      </c>
      <c r="I13869" t="s">
        <v>43956</v>
      </c>
      <c r="P13869" t="s">
        <v>280</v>
      </c>
      <c r="Y13869" t="s">
        <v>39667</v>
      </c>
    </row>
    <row r="13870" spans="1:25" x14ac:dyDescent="0.25">
      <c r="A13870" t="str">
        <f>"225360352342"</f>
        <v>225360352342</v>
      </c>
      <c r="B13870" t="s">
        <v>574</v>
      </c>
      <c r="C13870" t="s">
        <v>24405</v>
      </c>
      <c r="D13870" t="s">
        <v>24404</v>
      </c>
      <c r="F13870" t="s">
        <v>1</v>
      </c>
      <c r="G13870" t="s">
        <v>2</v>
      </c>
      <c r="H13870" t="s">
        <v>26684</v>
      </c>
      <c r="Y13870" t="s">
        <v>48412</v>
      </c>
    </row>
    <row r="13871" spans="1:25" x14ac:dyDescent="0.25">
      <c r="A13871" t="str">
        <f>"225408175092"</f>
        <v>225408175092</v>
      </c>
      <c r="B13871" t="s">
        <v>2104</v>
      </c>
      <c r="C13871" t="s">
        <v>21175</v>
      </c>
      <c r="D13871" t="s">
        <v>48413</v>
      </c>
      <c r="E13871">
        <v>424019</v>
      </c>
      <c r="F13871" t="s">
        <v>1</v>
      </c>
      <c r="G13871" t="s">
        <v>2</v>
      </c>
      <c r="H13871" t="s">
        <v>12105</v>
      </c>
      <c r="J13871" t="s">
        <v>48414</v>
      </c>
      <c r="P13871" t="s">
        <v>144</v>
      </c>
      <c r="V13871" t="s">
        <v>48415</v>
      </c>
      <c r="Y13871" t="s">
        <v>48416</v>
      </c>
    </row>
    <row r="13872" spans="1:25" x14ac:dyDescent="0.25">
      <c r="A13872" t="str">
        <f>"225444093425"</f>
        <v>225444093425</v>
      </c>
      <c r="B13872" t="s">
        <v>1046</v>
      </c>
      <c r="C13872" t="s">
        <v>4959</v>
      </c>
      <c r="D13872" t="s">
        <v>43755</v>
      </c>
      <c r="F13872" t="s">
        <v>1</v>
      </c>
      <c r="G13872" t="s">
        <v>2</v>
      </c>
      <c r="H13872" t="s">
        <v>48417</v>
      </c>
      <c r="I13872" t="s">
        <v>48418</v>
      </c>
      <c r="L13872" t="s">
        <v>48419</v>
      </c>
      <c r="M13872" t="s">
        <v>48420</v>
      </c>
      <c r="P13872" t="s">
        <v>330</v>
      </c>
      <c r="Y13872" t="s">
        <v>48421</v>
      </c>
    </row>
    <row r="13873" spans="1:25" x14ac:dyDescent="0.25">
      <c r="A13873" t="str">
        <f>"225445168656"</f>
        <v>225445168656</v>
      </c>
      <c r="B13873" t="s">
        <v>3544</v>
      </c>
      <c r="C13873" t="s">
        <v>11303</v>
      </c>
      <c r="D13873" t="s">
        <v>5014</v>
      </c>
      <c r="E13873">
        <v>424006</v>
      </c>
      <c r="F13873" t="s">
        <v>1</v>
      </c>
      <c r="G13873" t="s">
        <v>2</v>
      </c>
      <c r="H13873" t="s">
        <v>5015</v>
      </c>
      <c r="P13873" t="s">
        <v>20</v>
      </c>
      <c r="Y13873" t="s">
        <v>48422</v>
      </c>
    </row>
    <row r="13874" spans="1:25" x14ac:dyDescent="0.25">
      <c r="A13874" t="str">
        <f>"225463708861"</f>
        <v>225463708861</v>
      </c>
      <c r="B13874" t="s">
        <v>930</v>
      </c>
      <c r="C13874" t="s">
        <v>1096</v>
      </c>
      <c r="D13874" t="s">
        <v>48423</v>
      </c>
      <c r="F13874" t="s">
        <v>1</v>
      </c>
      <c r="G13874" t="s">
        <v>2</v>
      </c>
      <c r="H13874" t="s">
        <v>6026</v>
      </c>
      <c r="J13874" t="s">
        <v>48424</v>
      </c>
      <c r="P13874" t="s">
        <v>47028</v>
      </c>
      <c r="Y13874" t="s">
        <v>21228</v>
      </c>
    </row>
    <row r="13875" spans="1:25" x14ac:dyDescent="0.25">
      <c r="A13875" t="str">
        <f>"225476928322"</f>
        <v>225476928322</v>
      </c>
      <c r="B13875" t="s">
        <v>96</v>
      </c>
      <c r="C13875" t="s">
        <v>695</v>
      </c>
      <c r="D13875" t="s">
        <v>48425</v>
      </c>
      <c r="E13875">
        <v>424002</v>
      </c>
      <c r="F13875" t="s">
        <v>1</v>
      </c>
      <c r="G13875" t="s">
        <v>2</v>
      </c>
      <c r="H13875" t="s">
        <v>1190</v>
      </c>
      <c r="J13875" t="s">
        <v>48426</v>
      </c>
      <c r="P13875" t="s">
        <v>27</v>
      </c>
      <c r="Y13875" t="s">
        <v>1284</v>
      </c>
    </row>
    <row r="13876" spans="1:25" x14ac:dyDescent="0.25">
      <c r="A13876" t="str">
        <f>"225685479419"</f>
        <v>225685479419</v>
      </c>
      <c r="B13876" t="s">
        <v>640</v>
      </c>
      <c r="C13876" t="s">
        <v>26599</v>
      </c>
      <c r="D13876" t="s">
        <v>48427</v>
      </c>
      <c r="E13876">
        <v>424003</v>
      </c>
      <c r="F13876" t="s">
        <v>1</v>
      </c>
      <c r="G13876" t="s">
        <v>2</v>
      </c>
      <c r="H13876" t="s">
        <v>1725</v>
      </c>
      <c r="Y13876" t="s">
        <v>48428</v>
      </c>
    </row>
    <row r="13877" spans="1:25" x14ac:dyDescent="0.25">
      <c r="A13877" t="str">
        <f>"225742159608"</f>
        <v>225742159608</v>
      </c>
      <c r="B13877" t="s">
        <v>224</v>
      </c>
      <c r="C13877" t="s">
        <v>815</v>
      </c>
      <c r="D13877" t="s">
        <v>18317</v>
      </c>
      <c r="E13877">
        <v>424028</v>
      </c>
      <c r="F13877" t="s">
        <v>1</v>
      </c>
      <c r="G13877" t="s">
        <v>2</v>
      </c>
      <c r="H13877" t="s">
        <v>41165</v>
      </c>
      <c r="Y13877" t="s">
        <v>48429</v>
      </c>
    </row>
    <row r="13878" spans="1:25" x14ac:dyDescent="0.25">
      <c r="A13878" t="str">
        <f>"225832609972"</f>
        <v>225832609972</v>
      </c>
      <c r="B13878" t="s">
        <v>32</v>
      </c>
      <c r="C13878" t="s">
        <v>182</v>
      </c>
      <c r="D13878" t="s">
        <v>48430</v>
      </c>
      <c r="E13878">
        <v>424002</v>
      </c>
      <c r="F13878" t="s">
        <v>1</v>
      </c>
      <c r="G13878" t="s">
        <v>2</v>
      </c>
      <c r="H13878" t="s">
        <v>7502</v>
      </c>
      <c r="P13878" t="s">
        <v>48431</v>
      </c>
      <c r="Y13878" t="s">
        <v>48432</v>
      </c>
    </row>
    <row r="13879" spans="1:25" x14ac:dyDescent="0.25">
      <c r="A13879" t="str">
        <f>"225840720957"</f>
        <v>225840720957</v>
      </c>
      <c r="B13879" t="s">
        <v>25</v>
      </c>
      <c r="C13879" t="s">
        <v>4458</v>
      </c>
      <c r="D13879" t="s">
        <v>48433</v>
      </c>
      <c r="E13879">
        <v>424002</v>
      </c>
      <c r="F13879" t="s">
        <v>1</v>
      </c>
      <c r="G13879" t="s">
        <v>2</v>
      </c>
      <c r="H13879" t="s">
        <v>57</v>
      </c>
      <c r="I13879" t="s">
        <v>48434</v>
      </c>
      <c r="P13879" t="s">
        <v>48435</v>
      </c>
      <c r="Y13879" t="s">
        <v>61</v>
      </c>
    </row>
    <row r="13880" spans="1:25" x14ac:dyDescent="0.25">
      <c r="A13880" t="str">
        <f>"225861875457"</f>
        <v>225861875457</v>
      </c>
      <c r="B13880" t="s">
        <v>8011</v>
      </c>
      <c r="C13880" t="s">
        <v>48440</v>
      </c>
      <c r="D13880" t="s">
        <v>48436</v>
      </c>
      <c r="E13880">
        <v>424037</v>
      </c>
      <c r="F13880" t="s">
        <v>1</v>
      </c>
      <c r="G13880" t="s">
        <v>2</v>
      </c>
      <c r="H13880" t="s">
        <v>1849</v>
      </c>
      <c r="J13880" t="s">
        <v>48437</v>
      </c>
      <c r="L13880" t="s">
        <v>48438</v>
      </c>
      <c r="M13880" t="s">
        <v>48439</v>
      </c>
      <c r="P13880" t="s">
        <v>696</v>
      </c>
      <c r="Y13880" t="s">
        <v>12620</v>
      </c>
    </row>
    <row r="13881" spans="1:25" x14ac:dyDescent="0.25">
      <c r="A13881" t="str">
        <f>"225873316848"</f>
        <v>225873316848</v>
      </c>
      <c r="B13881" t="s">
        <v>930</v>
      </c>
      <c r="C13881" t="s">
        <v>15966</v>
      </c>
      <c r="D13881" t="s">
        <v>15966</v>
      </c>
      <c r="E13881">
        <v>424004</v>
      </c>
      <c r="F13881" t="s">
        <v>1</v>
      </c>
      <c r="G13881" t="s">
        <v>2</v>
      </c>
      <c r="H13881" t="s">
        <v>46695</v>
      </c>
      <c r="I13881" t="s">
        <v>48441</v>
      </c>
      <c r="P13881" t="s">
        <v>10632</v>
      </c>
      <c r="Y13881" t="s">
        <v>46696</v>
      </c>
    </row>
    <row r="13882" spans="1:25" x14ac:dyDescent="0.25">
      <c r="A13882" t="str">
        <f>"225882038433"</f>
        <v>225882038433</v>
      </c>
      <c r="B13882" t="s">
        <v>123</v>
      </c>
      <c r="C13882" t="s">
        <v>196</v>
      </c>
      <c r="D13882" t="s">
        <v>48442</v>
      </c>
      <c r="E13882">
        <v>424028</v>
      </c>
      <c r="F13882" t="s">
        <v>1</v>
      </c>
      <c r="G13882" t="s">
        <v>2</v>
      </c>
      <c r="H13882" t="s">
        <v>4763</v>
      </c>
      <c r="I13882" t="s">
        <v>48443</v>
      </c>
      <c r="P13882" t="s">
        <v>48444</v>
      </c>
      <c r="Y13882" t="s">
        <v>48445</v>
      </c>
    </row>
    <row r="13883" spans="1:25" x14ac:dyDescent="0.25">
      <c r="A13883" t="str">
        <f>"225961719175"</f>
        <v>225961719175</v>
      </c>
      <c r="B13883" t="s">
        <v>352</v>
      </c>
      <c r="C13883" t="s">
        <v>48448</v>
      </c>
      <c r="D13883" t="s">
        <v>24828</v>
      </c>
      <c r="E13883">
        <v>424003</v>
      </c>
      <c r="F13883" t="s">
        <v>1</v>
      </c>
      <c r="G13883" t="s">
        <v>2</v>
      </c>
      <c r="H13883" t="s">
        <v>7152</v>
      </c>
      <c r="I13883" t="s">
        <v>48446</v>
      </c>
      <c r="J13883" t="s">
        <v>48447</v>
      </c>
      <c r="P13883" t="s">
        <v>2580</v>
      </c>
      <c r="Y13883" t="s">
        <v>48449</v>
      </c>
    </row>
    <row r="13884" spans="1:25" x14ac:dyDescent="0.25">
      <c r="A13884" t="str">
        <f>"225966062908"</f>
        <v>225966062908</v>
      </c>
      <c r="B13884" t="s">
        <v>80</v>
      </c>
      <c r="C13884" t="s">
        <v>3108</v>
      </c>
      <c r="D13884" t="s">
        <v>48450</v>
      </c>
      <c r="E13884">
        <v>424008</v>
      </c>
      <c r="F13884" t="s">
        <v>1</v>
      </c>
      <c r="G13884" t="s">
        <v>2</v>
      </c>
      <c r="H13884" t="s">
        <v>4857</v>
      </c>
      <c r="I13884" t="s">
        <v>48451</v>
      </c>
      <c r="M13884" t="s">
        <v>48452</v>
      </c>
      <c r="P13884" t="s">
        <v>1270</v>
      </c>
      <c r="Q13884" t="s">
        <v>48453</v>
      </c>
      <c r="T13884" t="s">
        <v>48454</v>
      </c>
      <c r="V13884" t="s">
        <v>48455</v>
      </c>
      <c r="Y13884" t="s">
        <v>48456</v>
      </c>
    </row>
    <row r="13885" spans="1:25" x14ac:dyDescent="0.25">
      <c r="A13885" t="str">
        <f>"225993654387"</f>
        <v>225993654387</v>
      </c>
      <c r="B13885" t="s">
        <v>3544</v>
      </c>
      <c r="C13885" t="s">
        <v>11303</v>
      </c>
      <c r="D13885" t="s">
        <v>619</v>
      </c>
      <c r="F13885" t="s">
        <v>1</v>
      </c>
      <c r="G13885" t="s">
        <v>2</v>
      </c>
      <c r="H13885" t="s">
        <v>33523</v>
      </c>
      <c r="Y13885" t="s">
        <v>48457</v>
      </c>
    </row>
    <row r="13886" spans="1:25" x14ac:dyDescent="0.25">
      <c r="A13886" t="str">
        <f>"226002577898"</f>
        <v>226002577898</v>
      </c>
      <c r="B13886" t="s">
        <v>96</v>
      </c>
      <c r="C13886" t="s">
        <v>8808</v>
      </c>
      <c r="D13886" t="s">
        <v>48458</v>
      </c>
      <c r="E13886">
        <v>424918</v>
      </c>
      <c r="F13886" t="s">
        <v>1</v>
      </c>
      <c r="G13886" t="s">
        <v>2</v>
      </c>
      <c r="H13886" t="s">
        <v>629</v>
      </c>
      <c r="P13886" t="s">
        <v>630</v>
      </c>
      <c r="Y13886" t="s">
        <v>631</v>
      </c>
    </row>
    <row r="13887" spans="1:25" x14ac:dyDescent="0.25">
      <c r="A13887" t="str">
        <f>"226012822400"</f>
        <v>226012822400</v>
      </c>
      <c r="B13887" t="s">
        <v>7312</v>
      </c>
      <c r="C13887" t="s">
        <v>21136</v>
      </c>
      <c r="D13887" t="s">
        <v>48459</v>
      </c>
      <c r="E13887">
        <v>424918</v>
      </c>
      <c r="F13887" t="s">
        <v>1</v>
      </c>
      <c r="G13887" t="s">
        <v>2</v>
      </c>
      <c r="H13887" t="s">
        <v>629</v>
      </c>
      <c r="P13887" t="s">
        <v>630</v>
      </c>
      <c r="Y13887" t="s">
        <v>1744</v>
      </c>
    </row>
    <row r="13888" spans="1:25" x14ac:dyDescent="0.25">
      <c r="A13888" t="str">
        <f>"226033152235"</f>
        <v>226033152235</v>
      </c>
      <c r="B13888" t="s">
        <v>96</v>
      </c>
      <c r="C13888" t="s">
        <v>311</v>
      </c>
      <c r="D13888" t="s">
        <v>27010</v>
      </c>
      <c r="E13888">
        <v>424000</v>
      </c>
      <c r="F13888" t="s">
        <v>1</v>
      </c>
      <c r="G13888" t="s">
        <v>2</v>
      </c>
      <c r="H13888" t="s">
        <v>1531</v>
      </c>
      <c r="P13888" t="s">
        <v>13001</v>
      </c>
      <c r="Y13888" t="s">
        <v>48460</v>
      </c>
    </row>
    <row r="13889" spans="1:25" x14ac:dyDescent="0.25">
      <c r="A13889" t="str">
        <f>"226057617248"</f>
        <v>226057617248</v>
      </c>
      <c r="B13889" t="s">
        <v>591</v>
      </c>
      <c r="C13889" t="s">
        <v>7358</v>
      </c>
      <c r="D13889" t="s">
        <v>48461</v>
      </c>
      <c r="E13889">
        <v>424008</v>
      </c>
      <c r="F13889" t="s">
        <v>1</v>
      </c>
      <c r="G13889" t="s">
        <v>2</v>
      </c>
      <c r="H13889" t="s">
        <v>48462</v>
      </c>
      <c r="Y13889" t="s">
        <v>48463</v>
      </c>
    </row>
    <row r="13890" spans="1:25" x14ac:dyDescent="0.25">
      <c r="A13890" t="str">
        <f>"226131809274"</f>
        <v>226131809274</v>
      </c>
      <c r="B13890" t="s">
        <v>930</v>
      </c>
      <c r="C13890" t="s">
        <v>10263</v>
      </c>
      <c r="D13890" t="s">
        <v>10263</v>
      </c>
      <c r="E13890">
        <v>424006</v>
      </c>
      <c r="F13890" t="s">
        <v>1</v>
      </c>
      <c r="G13890" t="s">
        <v>2</v>
      </c>
      <c r="H13890" t="s">
        <v>11168</v>
      </c>
      <c r="Y13890" t="s">
        <v>48464</v>
      </c>
    </row>
    <row r="13891" spans="1:25" x14ac:dyDescent="0.25">
      <c r="A13891" t="str">
        <f>"226217233655"</f>
        <v>226217233655</v>
      </c>
      <c r="B13891" t="s">
        <v>574</v>
      </c>
      <c r="C13891" t="s">
        <v>14652</v>
      </c>
      <c r="D13891" t="s">
        <v>24972</v>
      </c>
      <c r="E13891">
        <v>424006</v>
      </c>
      <c r="F13891" t="s">
        <v>1</v>
      </c>
      <c r="G13891" t="s">
        <v>2</v>
      </c>
      <c r="H13891" t="s">
        <v>48465</v>
      </c>
      <c r="Y13891" t="s">
        <v>48466</v>
      </c>
    </row>
    <row r="13892" spans="1:25" x14ac:dyDescent="0.25">
      <c r="A13892" t="str">
        <f>"226292440419"</f>
        <v>226292440419</v>
      </c>
      <c r="B13892" t="s">
        <v>117</v>
      </c>
      <c r="C13892" t="s">
        <v>873</v>
      </c>
      <c r="D13892" t="s">
        <v>873</v>
      </c>
      <c r="E13892">
        <v>424031</v>
      </c>
      <c r="F13892" t="s">
        <v>1</v>
      </c>
      <c r="G13892" t="s">
        <v>2</v>
      </c>
      <c r="H13892" t="s">
        <v>48467</v>
      </c>
      <c r="Y13892" t="s">
        <v>48468</v>
      </c>
    </row>
    <row r="13893" spans="1:25" x14ac:dyDescent="0.25">
      <c r="A13893" t="str">
        <f>"226304648034"</f>
        <v>226304648034</v>
      </c>
      <c r="B13893" t="s">
        <v>2846</v>
      </c>
      <c r="C13893" t="s">
        <v>36751</v>
      </c>
      <c r="D13893" t="s">
        <v>48469</v>
      </c>
      <c r="F13893" t="s">
        <v>1</v>
      </c>
      <c r="G13893" t="s">
        <v>2</v>
      </c>
      <c r="H13893" t="s">
        <v>4152</v>
      </c>
      <c r="Y13893" t="s">
        <v>48470</v>
      </c>
    </row>
    <row r="13894" spans="1:25" x14ac:dyDescent="0.25">
      <c r="A13894" t="str">
        <f>"226326298799"</f>
        <v>226326298799</v>
      </c>
      <c r="B13894" t="s">
        <v>379</v>
      </c>
      <c r="C13894" t="s">
        <v>766</v>
      </c>
      <c r="D13894" t="s">
        <v>48471</v>
      </c>
      <c r="E13894">
        <v>424000</v>
      </c>
      <c r="F13894" t="s">
        <v>1</v>
      </c>
      <c r="G13894" t="s">
        <v>2</v>
      </c>
      <c r="H13894" t="s">
        <v>1531</v>
      </c>
      <c r="M13894" t="s">
        <v>48472</v>
      </c>
      <c r="Y13894" t="s">
        <v>48473</v>
      </c>
    </row>
    <row r="13895" spans="1:25" x14ac:dyDescent="0.25">
      <c r="A13895" t="str">
        <f>"226397393877"</f>
        <v>226397393877</v>
      </c>
      <c r="B13895" t="s">
        <v>574</v>
      </c>
      <c r="C13895" t="s">
        <v>21020</v>
      </c>
      <c r="D13895" t="s">
        <v>3388</v>
      </c>
      <c r="E13895">
        <v>424006</v>
      </c>
      <c r="F13895" t="s">
        <v>1</v>
      </c>
      <c r="G13895" t="s">
        <v>2</v>
      </c>
      <c r="H13895" t="s">
        <v>20740</v>
      </c>
      <c r="I13895" t="s">
        <v>48474</v>
      </c>
      <c r="P13895" t="s">
        <v>9840</v>
      </c>
      <c r="Y13895" t="s">
        <v>48475</v>
      </c>
    </row>
    <row r="13896" spans="1:25" x14ac:dyDescent="0.25">
      <c r="A13896" t="str">
        <f>"226463389881"</f>
        <v>226463389881</v>
      </c>
      <c r="B13896" t="s">
        <v>1758</v>
      </c>
      <c r="C13896" t="s">
        <v>8089</v>
      </c>
      <c r="D13896" t="s">
        <v>48192</v>
      </c>
      <c r="E13896">
        <v>424000</v>
      </c>
      <c r="F13896" t="s">
        <v>1</v>
      </c>
      <c r="G13896" t="s">
        <v>2</v>
      </c>
      <c r="H13896" t="s">
        <v>265</v>
      </c>
      <c r="Y13896" t="s">
        <v>11205</v>
      </c>
    </row>
    <row r="13897" spans="1:25" x14ac:dyDescent="0.25">
      <c r="A13897" t="str">
        <f>"226472579761"</f>
        <v>226472579761</v>
      </c>
      <c r="B13897" t="s">
        <v>574</v>
      </c>
      <c r="C13897" t="s">
        <v>14269</v>
      </c>
      <c r="D13897" t="s">
        <v>14267</v>
      </c>
      <c r="F13897" t="s">
        <v>1</v>
      </c>
      <c r="G13897" t="s">
        <v>2</v>
      </c>
      <c r="H13897" t="s">
        <v>35350</v>
      </c>
      <c r="P13897" t="s">
        <v>48476</v>
      </c>
      <c r="Y13897" t="s">
        <v>48477</v>
      </c>
    </row>
    <row r="13898" spans="1:25" x14ac:dyDescent="0.25">
      <c r="A13898" t="str">
        <f>"226478890135"</f>
        <v>226478890135</v>
      </c>
      <c r="B13898" t="s">
        <v>978</v>
      </c>
      <c r="C13898" t="s">
        <v>1659</v>
      </c>
      <c r="D13898" t="s">
        <v>48478</v>
      </c>
      <c r="E13898">
        <v>424028</v>
      </c>
      <c r="F13898" t="s">
        <v>1</v>
      </c>
      <c r="G13898" t="s">
        <v>2</v>
      </c>
      <c r="H13898" t="s">
        <v>48479</v>
      </c>
      <c r="I13898" t="s">
        <v>48480</v>
      </c>
      <c r="L13898" t="s">
        <v>581</v>
      </c>
      <c r="M13898" t="s">
        <v>582</v>
      </c>
      <c r="Y13898" t="s">
        <v>48481</v>
      </c>
    </row>
    <row r="13899" spans="1:25" x14ac:dyDescent="0.25">
      <c r="A13899" t="str">
        <f>"226524876028"</f>
        <v>226524876028</v>
      </c>
      <c r="B13899" t="s">
        <v>96</v>
      </c>
      <c r="C13899" t="s">
        <v>14551</v>
      </c>
      <c r="D13899" t="s">
        <v>37022</v>
      </c>
      <c r="E13899">
        <v>424918</v>
      </c>
      <c r="F13899" t="s">
        <v>1</v>
      </c>
      <c r="G13899" t="s">
        <v>2</v>
      </c>
      <c r="H13899" t="s">
        <v>629</v>
      </c>
      <c r="P13899" t="s">
        <v>630</v>
      </c>
      <c r="Y13899" t="s">
        <v>38230</v>
      </c>
    </row>
    <row r="13900" spans="1:25" x14ac:dyDescent="0.25">
      <c r="A13900" t="str">
        <f>"226532250183"</f>
        <v>226532250183</v>
      </c>
      <c r="B13900" t="s">
        <v>574</v>
      </c>
      <c r="C13900" t="s">
        <v>22533</v>
      </c>
      <c r="D13900" t="s">
        <v>3057</v>
      </c>
      <c r="E13900">
        <v>424037</v>
      </c>
      <c r="F13900" t="s">
        <v>1</v>
      </c>
      <c r="G13900" t="s">
        <v>2</v>
      </c>
      <c r="H13900" t="s">
        <v>37762</v>
      </c>
      <c r="Y13900" t="s">
        <v>48482</v>
      </c>
    </row>
    <row r="13901" spans="1:25" x14ac:dyDescent="0.25">
      <c r="A13901" t="str">
        <f>"226549544391"</f>
        <v>226549544391</v>
      </c>
      <c r="B13901" t="s">
        <v>430</v>
      </c>
      <c r="C13901" t="s">
        <v>940</v>
      </c>
      <c r="D13901" t="s">
        <v>48483</v>
      </c>
      <c r="E13901">
        <v>424002</v>
      </c>
      <c r="F13901" t="s">
        <v>1</v>
      </c>
      <c r="G13901" t="s">
        <v>2</v>
      </c>
      <c r="H13901" t="s">
        <v>18134</v>
      </c>
      <c r="I13901" t="s">
        <v>48484</v>
      </c>
      <c r="P13901" t="s">
        <v>330</v>
      </c>
      <c r="Y13901" t="s">
        <v>48485</v>
      </c>
    </row>
    <row r="13902" spans="1:25" x14ac:dyDescent="0.25">
      <c r="A13902" t="str">
        <f>"226576202255"</f>
        <v>226576202255</v>
      </c>
      <c r="B13902" t="s">
        <v>96</v>
      </c>
      <c r="C13902" t="s">
        <v>893</v>
      </c>
      <c r="D13902" t="s">
        <v>48486</v>
      </c>
      <c r="E13902">
        <v>424020</v>
      </c>
      <c r="F13902" t="s">
        <v>1</v>
      </c>
      <c r="G13902" t="s">
        <v>2</v>
      </c>
      <c r="H13902" t="s">
        <v>24402</v>
      </c>
      <c r="Y13902" t="s">
        <v>48487</v>
      </c>
    </row>
    <row r="13903" spans="1:25" x14ac:dyDescent="0.25">
      <c r="A13903" t="str">
        <f>"226614897285"</f>
        <v>226614897285</v>
      </c>
      <c r="B13903" t="s">
        <v>530</v>
      </c>
      <c r="C13903" t="s">
        <v>23950</v>
      </c>
      <c r="D13903" t="s">
        <v>23950</v>
      </c>
      <c r="E13903">
        <v>424007</v>
      </c>
      <c r="F13903" t="s">
        <v>1</v>
      </c>
      <c r="G13903" t="s">
        <v>2</v>
      </c>
      <c r="H13903" t="s">
        <v>20595</v>
      </c>
      <c r="Y13903" t="s">
        <v>48488</v>
      </c>
    </row>
    <row r="13904" spans="1:25" x14ac:dyDescent="0.25">
      <c r="A13904" t="str">
        <f>"226640902492"</f>
        <v>226640902492</v>
      </c>
      <c r="B13904" t="s">
        <v>67</v>
      </c>
      <c r="C13904" t="s">
        <v>269</v>
      </c>
      <c r="D13904" t="s">
        <v>62</v>
      </c>
      <c r="E13904">
        <v>424000</v>
      </c>
      <c r="F13904" t="s">
        <v>1</v>
      </c>
      <c r="G13904" t="s">
        <v>2</v>
      </c>
      <c r="H13904" t="s">
        <v>48489</v>
      </c>
      <c r="Y13904" t="s">
        <v>48490</v>
      </c>
    </row>
    <row r="13905" spans="1:25" x14ac:dyDescent="0.25">
      <c r="A13905" t="str">
        <f>"226688600971"</f>
        <v>226688600971</v>
      </c>
      <c r="B13905" t="s">
        <v>456</v>
      </c>
      <c r="C13905" t="s">
        <v>48495</v>
      </c>
      <c r="D13905" t="s">
        <v>48491</v>
      </c>
      <c r="E13905">
        <v>424002</v>
      </c>
      <c r="F13905" t="s">
        <v>1</v>
      </c>
      <c r="G13905" t="s">
        <v>2</v>
      </c>
      <c r="H13905" t="s">
        <v>570</v>
      </c>
      <c r="I13905" t="s">
        <v>48492</v>
      </c>
      <c r="L13905" t="s">
        <v>48493</v>
      </c>
      <c r="M13905" t="s">
        <v>48494</v>
      </c>
      <c r="P13905" t="s">
        <v>2406</v>
      </c>
      <c r="Y13905" t="s">
        <v>18782</v>
      </c>
    </row>
    <row r="13906" spans="1:25" x14ac:dyDescent="0.25">
      <c r="A13906" t="str">
        <f>"226691946761"</f>
        <v>226691946761</v>
      </c>
      <c r="B13906" t="s">
        <v>888</v>
      </c>
      <c r="C13906" t="s">
        <v>7389</v>
      </c>
      <c r="D13906" t="s">
        <v>26223</v>
      </c>
      <c r="E13906">
        <v>424000</v>
      </c>
      <c r="F13906" t="s">
        <v>1</v>
      </c>
      <c r="G13906" t="s">
        <v>2</v>
      </c>
      <c r="H13906" t="s">
        <v>1975</v>
      </c>
      <c r="Y13906" t="s">
        <v>48496</v>
      </c>
    </row>
    <row r="13907" spans="1:25" x14ac:dyDescent="0.25">
      <c r="A13907" t="str">
        <f>"226706825572"</f>
        <v>226706825572</v>
      </c>
      <c r="B13907" t="s">
        <v>188</v>
      </c>
      <c r="C13907" t="s">
        <v>48501</v>
      </c>
      <c r="D13907" t="s">
        <v>48497</v>
      </c>
      <c r="E13907">
        <v>424007</v>
      </c>
      <c r="F13907" t="s">
        <v>1</v>
      </c>
      <c r="G13907" t="s">
        <v>2</v>
      </c>
      <c r="H13907" t="s">
        <v>10252</v>
      </c>
      <c r="I13907" t="s">
        <v>48498</v>
      </c>
      <c r="L13907" t="s">
        <v>48499</v>
      </c>
      <c r="M13907" t="s">
        <v>48500</v>
      </c>
      <c r="Q13907" t="s">
        <v>48502</v>
      </c>
      <c r="Y13907" t="s">
        <v>10258</v>
      </c>
    </row>
    <row r="13908" spans="1:25" x14ac:dyDescent="0.25">
      <c r="A13908" t="str">
        <f>"226708197871"</f>
        <v>226708197871</v>
      </c>
      <c r="B13908" t="s">
        <v>1573</v>
      </c>
      <c r="C13908" t="s">
        <v>48507</v>
      </c>
      <c r="D13908" t="s">
        <v>48503</v>
      </c>
      <c r="E13908">
        <v>424028</v>
      </c>
      <c r="F13908" t="s">
        <v>1</v>
      </c>
      <c r="G13908" t="s">
        <v>2</v>
      </c>
      <c r="H13908" t="s">
        <v>48504</v>
      </c>
      <c r="I13908" t="s">
        <v>48505</v>
      </c>
      <c r="M13908" t="s">
        <v>48506</v>
      </c>
      <c r="P13908" t="s">
        <v>584</v>
      </c>
      <c r="Y13908" t="s">
        <v>48508</v>
      </c>
    </row>
    <row r="13909" spans="1:25" x14ac:dyDescent="0.25">
      <c r="A13909" t="str">
        <f>"226720385415"</f>
        <v>226720385415</v>
      </c>
      <c r="B13909" t="s">
        <v>290</v>
      </c>
      <c r="C13909" t="s">
        <v>48219</v>
      </c>
      <c r="D13909" t="s">
        <v>48509</v>
      </c>
      <c r="E13909">
        <v>424038</v>
      </c>
      <c r="F13909" t="s">
        <v>1</v>
      </c>
      <c r="G13909" t="s">
        <v>2</v>
      </c>
      <c r="H13909" t="s">
        <v>2741</v>
      </c>
      <c r="J13909" t="s">
        <v>48510</v>
      </c>
      <c r="P13909" t="s">
        <v>10225</v>
      </c>
      <c r="Q13909" t="s">
        <v>48511</v>
      </c>
      <c r="V13909" t="s">
        <v>48512</v>
      </c>
      <c r="Y13909" t="s">
        <v>48513</v>
      </c>
    </row>
    <row r="13910" spans="1:25" x14ac:dyDescent="0.25">
      <c r="A13910" t="str">
        <f>"226746744972"</f>
        <v>226746744972</v>
      </c>
      <c r="B13910" t="s">
        <v>96</v>
      </c>
      <c r="C13910" t="s">
        <v>659</v>
      </c>
      <c r="D13910" t="s">
        <v>27984</v>
      </c>
      <c r="E13910">
        <v>424000</v>
      </c>
      <c r="F13910" t="s">
        <v>1</v>
      </c>
      <c r="G13910" t="s">
        <v>2</v>
      </c>
      <c r="H13910" t="s">
        <v>1473</v>
      </c>
      <c r="P13910" t="s">
        <v>941</v>
      </c>
      <c r="Y13910" t="s">
        <v>4067</v>
      </c>
    </row>
    <row r="13911" spans="1:25" x14ac:dyDescent="0.25">
      <c r="A13911" t="str">
        <f>"226760018171"</f>
        <v>226760018171</v>
      </c>
      <c r="B13911" t="s">
        <v>703</v>
      </c>
      <c r="C13911" t="s">
        <v>2129</v>
      </c>
      <c r="D13911" t="s">
        <v>48514</v>
      </c>
      <c r="E13911">
        <v>424026</v>
      </c>
      <c r="F13911" t="s">
        <v>1</v>
      </c>
      <c r="G13911" t="s">
        <v>2</v>
      </c>
      <c r="H13911" t="s">
        <v>4779</v>
      </c>
      <c r="J13911" t="s">
        <v>48515</v>
      </c>
      <c r="P13911" t="s">
        <v>27</v>
      </c>
      <c r="Y13911" t="s">
        <v>4783</v>
      </c>
    </row>
    <row r="13912" spans="1:25" x14ac:dyDescent="0.25">
      <c r="A13912" t="str">
        <f>"226786073798"</f>
        <v>226786073798</v>
      </c>
      <c r="B13912" t="s">
        <v>1573</v>
      </c>
      <c r="C13912" t="s">
        <v>24508</v>
      </c>
      <c r="D13912" t="s">
        <v>48516</v>
      </c>
      <c r="E13912">
        <v>424006</v>
      </c>
      <c r="F13912" t="s">
        <v>1</v>
      </c>
      <c r="G13912" t="s">
        <v>2</v>
      </c>
      <c r="H13912" t="s">
        <v>5015</v>
      </c>
      <c r="I13912" t="s">
        <v>48517</v>
      </c>
      <c r="L13912" t="s">
        <v>48518</v>
      </c>
      <c r="M13912" t="s">
        <v>48519</v>
      </c>
      <c r="P13912" t="s">
        <v>152</v>
      </c>
      <c r="Y13912" t="s">
        <v>48520</v>
      </c>
    </row>
    <row r="13913" spans="1:25" x14ac:dyDescent="0.25">
      <c r="A13913" t="str">
        <f>"226791330679"</f>
        <v>226791330679</v>
      </c>
      <c r="B13913" t="s">
        <v>352</v>
      </c>
      <c r="C13913" t="s">
        <v>3028</v>
      </c>
      <c r="D13913" t="s">
        <v>48521</v>
      </c>
      <c r="E13913">
        <v>424007</v>
      </c>
      <c r="F13913" t="s">
        <v>1</v>
      </c>
      <c r="G13913" t="s">
        <v>2</v>
      </c>
      <c r="H13913" t="s">
        <v>3476</v>
      </c>
      <c r="I13913" t="s">
        <v>48522</v>
      </c>
      <c r="M13913" t="s">
        <v>48523</v>
      </c>
      <c r="P13913" t="s">
        <v>20</v>
      </c>
      <c r="U13913" t="s">
        <v>48524</v>
      </c>
      <c r="V13913" t="s">
        <v>48525</v>
      </c>
      <c r="Y13913" t="s">
        <v>48526</v>
      </c>
    </row>
    <row r="13914" spans="1:25" x14ac:dyDescent="0.25">
      <c r="A13914" t="str">
        <f>"226819205961"</f>
        <v>226819205961</v>
      </c>
      <c r="B13914" t="s">
        <v>408</v>
      </c>
      <c r="C13914" t="s">
        <v>41516</v>
      </c>
      <c r="D13914" t="s">
        <v>48527</v>
      </c>
      <c r="E13914">
        <v>424002</v>
      </c>
      <c r="F13914" t="s">
        <v>1</v>
      </c>
      <c r="G13914" t="s">
        <v>2</v>
      </c>
      <c r="H13914" t="s">
        <v>3877</v>
      </c>
      <c r="I13914" t="s">
        <v>48528</v>
      </c>
      <c r="L13914" t="s">
        <v>48529</v>
      </c>
      <c r="M13914" t="s">
        <v>48530</v>
      </c>
      <c r="P13914" t="s">
        <v>48531</v>
      </c>
      <c r="Y13914" t="s">
        <v>3881</v>
      </c>
    </row>
    <row r="13915" spans="1:25" x14ac:dyDescent="0.25">
      <c r="A13915" t="str">
        <f>"226840509847"</f>
        <v>226840509847</v>
      </c>
      <c r="B13915" t="s">
        <v>1152</v>
      </c>
      <c r="C13915" t="s">
        <v>2124</v>
      </c>
      <c r="D13915" t="s">
        <v>48532</v>
      </c>
      <c r="E13915">
        <v>424002</v>
      </c>
      <c r="F13915" t="s">
        <v>1</v>
      </c>
      <c r="G13915" t="s">
        <v>2</v>
      </c>
      <c r="H13915" t="s">
        <v>24050</v>
      </c>
      <c r="I13915" t="s">
        <v>48533</v>
      </c>
      <c r="J13915" t="s">
        <v>48534</v>
      </c>
      <c r="P13915" t="s">
        <v>911</v>
      </c>
      <c r="Y13915" t="s">
        <v>24052</v>
      </c>
    </row>
    <row r="13916" spans="1:25" x14ac:dyDescent="0.25">
      <c r="A13916" t="str">
        <f>"226842109621"</f>
        <v>226842109621</v>
      </c>
      <c r="B13916" t="s">
        <v>117</v>
      </c>
      <c r="C13916" t="s">
        <v>873</v>
      </c>
      <c r="D13916" t="s">
        <v>873</v>
      </c>
      <c r="E13916">
        <v>424006</v>
      </c>
      <c r="F13916" t="s">
        <v>1</v>
      </c>
      <c r="G13916" t="s">
        <v>2</v>
      </c>
      <c r="H13916" t="s">
        <v>33147</v>
      </c>
      <c r="Y13916" t="s">
        <v>48535</v>
      </c>
    </row>
    <row r="13917" spans="1:25" x14ac:dyDescent="0.25">
      <c r="A13917" t="str">
        <f>"226846207411"</f>
        <v>226846207411</v>
      </c>
      <c r="B13917" t="s">
        <v>430</v>
      </c>
      <c r="C13917" t="s">
        <v>940</v>
      </c>
      <c r="D13917" t="s">
        <v>48536</v>
      </c>
      <c r="E13917">
        <v>424002</v>
      </c>
      <c r="F13917" t="s">
        <v>1</v>
      </c>
      <c r="G13917" t="s">
        <v>2</v>
      </c>
      <c r="H13917" t="s">
        <v>5692</v>
      </c>
      <c r="J13917" t="s">
        <v>48537</v>
      </c>
      <c r="P13917" t="s">
        <v>2738</v>
      </c>
      <c r="Y13917" t="s">
        <v>11243</v>
      </c>
    </row>
    <row r="13918" spans="1:25" x14ac:dyDescent="0.25">
      <c r="A13918" t="str">
        <f>"226856858375"</f>
        <v>226856858375</v>
      </c>
      <c r="B13918" t="s">
        <v>48</v>
      </c>
      <c r="C13918" t="s">
        <v>16070</v>
      </c>
      <c r="D13918" t="s">
        <v>48538</v>
      </c>
      <c r="E13918">
        <v>424031</v>
      </c>
      <c r="F13918" t="s">
        <v>1</v>
      </c>
      <c r="G13918" t="s">
        <v>2</v>
      </c>
      <c r="H13918" t="s">
        <v>239</v>
      </c>
      <c r="Y13918" t="s">
        <v>48539</v>
      </c>
    </row>
    <row r="13919" spans="1:25" x14ac:dyDescent="0.25">
      <c r="A13919" t="str">
        <f>"226886241361"</f>
        <v>226886241361</v>
      </c>
      <c r="B13919" t="s">
        <v>1611</v>
      </c>
      <c r="C13919" t="s">
        <v>2214</v>
      </c>
      <c r="D13919" t="s">
        <v>48540</v>
      </c>
      <c r="E13919">
        <v>424030</v>
      </c>
      <c r="F13919" t="s">
        <v>1</v>
      </c>
      <c r="G13919" t="s">
        <v>2</v>
      </c>
      <c r="H13919" t="s">
        <v>6529</v>
      </c>
      <c r="I13919" t="s">
        <v>48541</v>
      </c>
      <c r="P13919" t="s">
        <v>48542</v>
      </c>
      <c r="Y13919" t="s">
        <v>48543</v>
      </c>
    </row>
    <row r="13920" spans="1:25" x14ac:dyDescent="0.25">
      <c r="A13920" t="str">
        <f>"226889831871"</f>
        <v>226889831871</v>
      </c>
      <c r="B13920" t="s">
        <v>738</v>
      </c>
      <c r="C13920" t="s">
        <v>739</v>
      </c>
      <c r="D13920" t="s">
        <v>48544</v>
      </c>
      <c r="E13920">
        <v>424028</v>
      </c>
      <c r="F13920" t="s">
        <v>1</v>
      </c>
      <c r="G13920" t="s">
        <v>2</v>
      </c>
      <c r="H13920" t="s">
        <v>2012</v>
      </c>
      <c r="I13920" t="s">
        <v>48545</v>
      </c>
      <c r="Y13920" t="s">
        <v>15441</v>
      </c>
    </row>
    <row r="13921" spans="1:25" x14ac:dyDescent="0.25">
      <c r="A13921" t="str">
        <f>"226898343665"</f>
        <v>226898343665</v>
      </c>
      <c r="B13921" t="s">
        <v>2361</v>
      </c>
      <c r="C13921" t="s">
        <v>48547</v>
      </c>
      <c r="D13921" t="s">
        <v>17782</v>
      </c>
      <c r="E13921">
        <v>424006</v>
      </c>
      <c r="F13921" t="s">
        <v>1</v>
      </c>
      <c r="G13921" t="s">
        <v>2</v>
      </c>
      <c r="H13921" t="s">
        <v>7984</v>
      </c>
      <c r="J13921" t="s">
        <v>48546</v>
      </c>
      <c r="P13921" t="s">
        <v>152</v>
      </c>
      <c r="Y13921" t="s">
        <v>28318</v>
      </c>
    </row>
    <row r="13922" spans="1:25" x14ac:dyDescent="0.25">
      <c r="A13922" t="str">
        <f>"226986757607"</f>
        <v>226986757607</v>
      </c>
      <c r="B13922" t="s">
        <v>32</v>
      </c>
      <c r="C13922" t="s">
        <v>33</v>
      </c>
      <c r="D13922" t="s">
        <v>48548</v>
      </c>
      <c r="E13922">
        <v>424038</v>
      </c>
      <c r="F13922" t="s">
        <v>1</v>
      </c>
      <c r="G13922" t="s">
        <v>2</v>
      </c>
      <c r="H13922" t="s">
        <v>25036</v>
      </c>
      <c r="J13922" t="s">
        <v>48549</v>
      </c>
      <c r="P13922" t="s">
        <v>13898</v>
      </c>
      <c r="V13922" t="s">
        <v>48550</v>
      </c>
      <c r="Y13922" t="s">
        <v>25041</v>
      </c>
    </row>
    <row r="13923" spans="1:25" x14ac:dyDescent="0.25">
      <c r="A13923" t="str">
        <f>"227018271137"</f>
        <v>227018271137</v>
      </c>
      <c r="B13923" t="s">
        <v>1061</v>
      </c>
      <c r="C13923" t="s">
        <v>25591</v>
      </c>
      <c r="D13923" t="s">
        <v>25591</v>
      </c>
      <c r="F13923" t="s">
        <v>1</v>
      </c>
      <c r="G13923" t="s">
        <v>2</v>
      </c>
      <c r="H13923" t="s">
        <v>28444</v>
      </c>
      <c r="Y13923" t="s">
        <v>48551</v>
      </c>
    </row>
    <row r="13924" spans="1:25" x14ac:dyDescent="0.25">
      <c r="A13924" t="str">
        <f>"227024210393"</f>
        <v>227024210393</v>
      </c>
      <c r="B13924" t="s">
        <v>1544</v>
      </c>
      <c r="C13924" t="s">
        <v>7974</v>
      </c>
      <c r="D13924" t="s">
        <v>34172</v>
      </c>
      <c r="E13924">
        <v>424033</v>
      </c>
      <c r="F13924" t="s">
        <v>1</v>
      </c>
      <c r="G13924" t="s">
        <v>2</v>
      </c>
      <c r="H13924" t="s">
        <v>76</v>
      </c>
      <c r="Y13924" t="s">
        <v>17629</v>
      </c>
    </row>
    <row r="13925" spans="1:25" x14ac:dyDescent="0.25">
      <c r="A13925" t="str">
        <f>"227055930447"</f>
        <v>227055930447</v>
      </c>
      <c r="B13925" t="s">
        <v>1053</v>
      </c>
      <c r="C13925" t="s">
        <v>5528</v>
      </c>
      <c r="D13925" t="s">
        <v>6108</v>
      </c>
      <c r="F13925" t="s">
        <v>1</v>
      </c>
      <c r="G13925" t="s">
        <v>2</v>
      </c>
      <c r="H13925" t="s">
        <v>1600</v>
      </c>
      <c r="Y13925" t="s">
        <v>48552</v>
      </c>
    </row>
    <row r="13926" spans="1:25" x14ac:dyDescent="0.25">
      <c r="A13926" t="str">
        <f>"227136387788"</f>
        <v>227136387788</v>
      </c>
      <c r="B13926" t="s">
        <v>3544</v>
      </c>
      <c r="C13926" t="s">
        <v>11303</v>
      </c>
      <c r="D13926" t="s">
        <v>6678</v>
      </c>
      <c r="E13926">
        <v>424032</v>
      </c>
      <c r="F13926" t="s">
        <v>1</v>
      </c>
      <c r="G13926" t="s">
        <v>2</v>
      </c>
      <c r="H13926" t="s">
        <v>4808</v>
      </c>
      <c r="Y13926" t="s">
        <v>48553</v>
      </c>
    </row>
    <row r="13927" spans="1:25" x14ac:dyDescent="0.25">
      <c r="A13927" t="str">
        <f>"227146665041"</f>
        <v>227146665041</v>
      </c>
      <c r="B13927" t="s">
        <v>930</v>
      </c>
      <c r="C13927" t="s">
        <v>28791</v>
      </c>
      <c r="D13927" t="s">
        <v>38757</v>
      </c>
      <c r="E13927">
        <v>424007</v>
      </c>
      <c r="F13927" t="s">
        <v>1</v>
      </c>
      <c r="G13927" t="s">
        <v>2</v>
      </c>
      <c r="H13927" t="s">
        <v>48554</v>
      </c>
      <c r="Y13927" t="s">
        <v>9503</v>
      </c>
    </row>
    <row r="13928" spans="1:25" x14ac:dyDescent="0.25">
      <c r="A13928" t="str">
        <f>"227176689453"</f>
        <v>227176689453</v>
      </c>
      <c r="B13928" t="s">
        <v>117</v>
      </c>
      <c r="C13928" t="s">
        <v>118</v>
      </c>
      <c r="D13928" t="s">
        <v>48555</v>
      </c>
      <c r="F13928" t="s">
        <v>1</v>
      </c>
      <c r="G13928" t="s">
        <v>2</v>
      </c>
      <c r="H13928" t="s">
        <v>48556</v>
      </c>
      <c r="Y13928" t="s">
        <v>48557</v>
      </c>
    </row>
    <row r="13929" spans="1:25" x14ac:dyDescent="0.25">
      <c r="A13929" t="str">
        <f>"227185475710"</f>
        <v>227185475710</v>
      </c>
      <c r="B13929" t="s">
        <v>352</v>
      </c>
      <c r="C13929" t="s">
        <v>48560</v>
      </c>
      <c r="D13929" t="s">
        <v>48558</v>
      </c>
      <c r="F13929" t="s">
        <v>1</v>
      </c>
      <c r="G13929" t="s">
        <v>2</v>
      </c>
      <c r="H13929" t="s">
        <v>2745</v>
      </c>
      <c r="J13929" t="s">
        <v>48559</v>
      </c>
      <c r="P13929" t="s">
        <v>133</v>
      </c>
      <c r="Q13929" t="s">
        <v>48561</v>
      </c>
      <c r="Y13929" t="s">
        <v>2751</v>
      </c>
    </row>
    <row r="13930" spans="1:25" x14ac:dyDescent="0.25">
      <c r="A13930" t="str">
        <f>"227243822700"</f>
        <v>227243822700</v>
      </c>
      <c r="B13930" t="s">
        <v>18</v>
      </c>
      <c r="C13930" t="s">
        <v>4522</v>
      </c>
      <c r="D13930" t="s">
        <v>4522</v>
      </c>
      <c r="E13930">
        <v>424002</v>
      </c>
      <c r="F13930" t="s">
        <v>1</v>
      </c>
      <c r="G13930" t="s">
        <v>2</v>
      </c>
      <c r="H13930" t="s">
        <v>1950</v>
      </c>
      <c r="Y13930" t="s">
        <v>48562</v>
      </c>
    </row>
    <row r="13931" spans="1:25" x14ac:dyDescent="0.25">
      <c r="A13931" t="str">
        <f>"227244502651"</f>
        <v>227244502651</v>
      </c>
      <c r="B13931" t="s">
        <v>2104</v>
      </c>
      <c r="C13931" t="s">
        <v>39522</v>
      </c>
      <c r="D13931" t="s">
        <v>46657</v>
      </c>
      <c r="E13931">
        <v>424031</v>
      </c>
      <c r="F13931" t="s">
        <v>1</v>
      </c>
      <c r="G13931" t="s">
        <v>2</v>
      </c>
      <c r="H13931" t="s">
        <v>7470</v>
      </c>
      <c r="Q13931" t="s">
        <v>46658</v>
      </c>
      <c r="Y13931" t="s">
        <v>48563</v>
      </c>
    </row>
    <row r="13932" spans="1:25" x14ac:dyDescent="0.25">
      <c r="A13932" t="str">
        <f>"227252589458"</f>
        <v>227252589458</v>
      </c>
      <c r="B13932" t="s">
        <v>1617</v>
      </c>
      <c r="C13932" t="s">
        <v>21001</v>
      </c>
      <c r="D13932" t="s">
        <v>20999</v>
      </c>
      <c r="E13932">
        <v>424033</v>
      </c>
      <c r="F13932" t="s">
        <v>1</v>
      </c>
      <c r="G13932" t="s">
        <v>2</v>
      </c>
      <c r="H13932" t="s">
        <v>28816</v>
      </c>
      <c r="Y13932" t="s">
        <v>9977</v>
      </c>
    </row>
    <row r="13933" spans="1:25" x14ac:dyDescent="0.25">
      <c r="A13933" t="str">
        <f>"227259404562"</f>
        <v>227259404562</v>
      </c>
      <c r="B13933" t="s">
        <v>703</v>
      </c>
      <c r="C13933" t="s">
        <v>2129</v>
      </c>
      <c r="D13933" t="s">
        <v>8015</v>
      </c>
      <c r="E13933">
        <v>424038</v>
      </c>
      <c r="F13933" t="s">
        <v>1</v>
      </c>
      <c r="G13933" t="s">
        <v>2</v>
      </c>
      <c r="H13933" t="s">
        <v>1366</v>
      </c>
      <c r="J13933" t="s">
        <v>48564</v>
      </c>
      <c r="P13933" t="s">
        <v>9</v>
      </c>
      <c r="Y13933" t="s">
        <v>7381</v>
      </c>
    </row>
    <row r="13934" spans="1:25" x14ac:dyDescent="0.25">
      <c r="A13934" t="str">
        <f>"227294131446"</f>
        <v>227294131446</v>
      </c>
      <c r="B13934" t="s">
        <v>790</v>
      </c>
      <c r="C13934" t="s">
        <v>2049</v>
      </c>
      <c r="D13934" t="s">
        <v>48565</v>
      </c>
      <c r="E13934">
        <v>424028</v>
      </c>
      <c r="F13934" t="s">
        <v>1</v>
      </c>
      <c r="G13934" t="s">
        <v>2</v>
      </c>
      <c r="H13934" t="s">
        <v>1969</v>
      </c>
      <c r="Y13934" t="s">
        <v>36952</v>
      </c>
    </row>
    <row r="13935" spans="1:25" x14ac:dyDescent="0.25">
      <c r="A13935" t="str">
        <f>"227335530930"</f>
        <v>227335530930</v>
      </c>
      <c r="B13935" t="s">
        <v>96</v>
      </c>
      <c r="C13935" t="s">
        <v>893</v>
      </c>
      <c r="D13935" t="s">
        <v>48566</v>
      </c>
      <c r="E13935">
        <v>424000</v>
      </c>
      <c r="F13935" t="s">
        <v>1</v>
      </c>
      <c r="G13935" t="s">
        <v>2</v>
      </c>
      <c r="H13935" t="s">
        <v>1531</v>
      </c>
      <c r="Y13935" t="s">
        <v>1707</v>
      </c>
    </row>
    <row r="13936" spans="1:25" x14ac:dyDescent="0.25">
      <c r="A13936" t="str">
        <f>"227406064911"</f>
        <v>227406064911</v>
      </c>
      <c r="B13936" t="s">
        <v>32</v>
      </c>
      <c r="C13936" t="s">
        <v>20811</v>
      </c>
      <c r="D13936" t="s">
        <v>48567</v>
      </c>
      <c r="E13936">
        <v>424004</v>
      </c>
      <c r="F13936" t="s">
        <v>1</v>
      </c>
      <c r="G13936" t="s">
        <v>2</v>
      </c>
      <c r="H13936" t="s">
        <v>351</v>
      </c>
      <c r="J13936" t="s">
        <v>48568</v>
      </c>
      <c r="P13936" t="s">
        <v>133</v>
      </c>
      <c r="Q13936" t="s">
        <v>48569</v>
      </c>
      <c r="Y13936" t="s">
        <v>354</v>
      </c>
    </row>
    <row r="13937" spans="1:25" x14ac:dyDescent="0.25">
      <c r="A13937" t="str">
        <f>"227415091670"</f>
        <v>227415091670</v>
      </c>
      <c r="B13937" t="s">
        <v>930</v>
      </c>
      <c r="C13937" t="s">
        <v>28791</v>
      </c>
      <c r="D13937" t="s">
        <v>48570</v>
      </c>
      <c r="F13937" t="s">
        <v>1</v>
      </c>
      <c r="G13937" t="s">
        <v>2</v>
      </c>
      <c r="H13937" t="s">
        <v>12610</v>
      </c>
      <c r="I13937" t="s">
        <v>48571</v>
      </c>
      <c r="L13937" t="s">
        <v>46335</v>
      </c>
      <c r="M13937" t="s">
        <v>48572</v>
      </c>
      <c r="P13937" t="s">
        <v>14807</v>
      </c>
      <c r="Q13937" t="s">
        <v>25255</v>
      </c>
      <c r="T13937" t="s">
        <v>48573</v>
      </c>
      <c r="V13937" t="s">
        <v>48574</v>
      </c>
      <c r="Y13937" t="s">
        <v>48575</v>
      </c>
    </row>
    <row r="13938" spans="1:25" x14ac:dyDescent="0.25">
      <c r="A13938" t="str">
        <f>"227424153820"</f>
        <v>227424153820</v>
      </c>
      <c r="B13938" t="s">
        <v>456</v>
      </c>
      <c r="C13938" t="s">
        <v>32203</v>
      </c>
      <c r="D13938" t="s">
        <v>48576</v>
      </c>
      <c r="E13938">
        <v>424038</v>
      </c>
      <c r="F13938" t="s">
        <v>1</v>
      </c>
      <c r="G13938" t="s">
        <v>2</v>
      </c>
      <c r="H13938" t="s">
        <v>13095</v>
      </c>
      <c r="J13938" t="s">
        <v>48577</v>
      </c>
      <c r="L13938" t="s">
        <v>16920</v>
      </c>
      <c r="M13938" t="s">
        <v>48578</v>
      </c>
      <c r="P13938" t="s">
        <v>330</v>
      </c>
      <c r="V13938" t="s">
        <v>48579</v>
      </c>
      <c r="Y13938" t="s">
        <v>48580</v>
      </c>
    </row>
    <row r="13939" spans="1:25" x14ac:dyDescent="0.25">
      <c r="A13939" t="str">
        <f>"227447172580"</f>
        <v>227447172580</v>
      </c>
      <c r="B13939" t="s">
        <v>96</v>
      </c>
      <c r="C13939" t="s">
        <v>893</v>
      </c>
      <c r="D13939" t="s">
        <v>45924</v>
      </c>
      <c r="E13939">
        <v>424020</v>
      </c>
      <c r="F13939" t="s">
        <v>1</v>
      </c>
      <c r="G13939" t="s">
        <v>2</v>
      </c>
      <c r="H13939" t="s">
        <v>802</v>
      </c>
      <c r="Y13939" t="s">
        <v>48581</v>
      </c>
    </row>
    <row r="13940" spans="1:25" x14ac:dyDescent="0.25">
      <c r="A13940" t="str">
        <f>"227475689790"</f>
        <v>227475689790</v>
      </c>
      <c r="B13940" t="s">
        <v>290</v>
      </c>
      <c r="C13940" t="s">
        <v>290</v>
      </c>
      <c r="D13940" t="s">
        <v>48582</v>
      </c>
      <c r="E13940">
        <v>424006</v>
      </c>
      <c r="F13940" t="s">
        <v>1</v>
      </c>
      <c r="G13940" t="s">
        <v>2</v>
      </c>
      <c r="H13940" t="s">
        <v>2775</v>
      </c>
      <c r="J13940" t="s">
        <v>48583</v>
      </c>
      <c r="P13940" t="s">
        <v>42017</v>
      </c>
      <c r="Y13940" t="s">
        <v>2779</v>
      </c>
    </row>
    <row r="13941" spans="1:25" x14ac:dyDescent="0.25">
      <c r="A13941" t="str">
        <f>"227519175784"</f>
        <v>227519175784</v>
      </c>
      <c r="B13941" t="s">
        <v>348</v>
      </c>
      <c r="C13941" t="s">
        <v>24364</v>
      </c>
      <c r="D13941" t="s">
        <v>48584</v>
      </c>
      <c r="F13941" t="s">
        <v>1</v>
      </c>
      <c r="G13941" t="s">
        <v>2</v>
      </c>
      <c r="H13941" t="s">
        <v>3711</v>
      </c>
      <c r="Y13941" t="s">
        <v>3715</v>
      </c>
    </row>
    <row r="13942" spans="1:25" x14ac:dyDescent="0.25">
      <c r="A13942" t="str">
        <f>"227589491824"</f>
        <v>227589491824</v>
      </c>
      <c r="B13942" t="s">
        <v>574</v>
      </c>
      <c r="C13942" t="s">
        <v>48587</v>
      </c>
      <c r="D13942" t="s">
        <v>48585</v>
      </c>
      <c r="E13942">
        <v>424038</v>
      </c>
      <c r="F13942" t="s">
        <v>1</v>
      </c>
      <c r="G13942" t="s">
        <v>2</v>
      </c>
      <c r="H13942" t="s">
        <v>2614</v>
      </c>
      <c r="J13942" t="s">
        <v>48586</v>
      </c>
      <c r="Q13942" t="s">
        <v>48588</v>
      </c>
      <c r="Y13942" t="s">
        <v>2617</v>
      </c>
    </row>
    <row r="13943" spans="1:25" x14ac:dyDescent="0.25">
      <c r="A13943" t="str">
        <f>"227652930673"</f>
        <v>227652930673</v>
      </c>
      <c r="B13943" t="s">
        <v>160</v>
      </c>
      <c r="C13943" t="s">
        <v>2479</v>
      </c>
      <c r="D13943" t="s">
        <v>48589</v>
      </c>
      <c r="F13943" t="s">
        <v>1</v>
      </c>
      <c r="G13943" t="s">
        <v>2</v>
      </c>
      <c r="H13943" t="s">
        <v>27873</v>
      </c>
      <c r="Y13943" t="s">
        <v>48590</v>
      </c>
    </row>
    <row r="13944" spans="1:25" x14ac:dyDescent="0.25">
      <c r="A13944" t="str">
        <f>"227671097298"</f>
        <v>227671097298</v>
      </c>
      <c r="B13944" t="s">
        <v>25</v>
      </c>
      <c r="C13944" t="s">
        <v>20320</v>
      </c>
      <c r="D13944" t="s">
        <v>48591</v>
      </c>
      <c r="E13944">
        <v>424000</v>
      </c>
      <c r="F13944" t="s">
        <v>1</v>
      </c>
      <c r="G13944" t="s">
        <v>2</v>
      </c>
      <c r="H13944" t="s">
        <v>17190</v>
      </c>
      <c r="Y13944" t="s">
        <v>48592</v>
      </c>
    </row>
    <row r="13945" spans="1:25" x14ac:dyDescent="0.25">
      <c r="A13945" t="str">
        <f>"227781014031"</f>
        <v>227781014031</v>
      </c>
      <c r="B13945" t="s">
        <v>117</v>
      </c>
      <c r="C13945" t="s">
        <v>118</v>
      </c>
      <c r="D13945" t="s">
        <v>48593</v>
      </c>
      <c r="F13945" t="s">
        <v>1</v>
      </c>
      <c r="G13945" t="s">
        <v>2</v>
      </c>
      <c r="H13945" t="s">
        <v>14305</v>
      </c>
      <c r="Y13945" t="s">
        <v>48594</v>
      </c>
    </row>
    <row r="13946" spans="1:25" x14ac:dyDescent="0.25">
      <c r="A13946" t="str">
        <f>"227789814401"</f>
        <v>227789814401</v>
      </c>
      <c r="B13946" t="s">
        <v>888</v>
      </c>
      <c r="C13946" t="s">
        <v>24819</v>
      </c>
      <c r="D13946" t="s">
        <v>24815</v>
      </c>
      <c r="F13946" t="s">
        <v>1</v>
      </c>
      <c r="G13946" t="s">
        <v>2</v>
      </c>
      <c r="H13946" t="s">
        <v>1600</v>
      </c>
      <c r="I13946" t="s">
        <v>24816</v>
      </c>
      <c r="J13946" t="s">
        <v>48595</v>
      </c>
      <c r="M13946" t="s">
        <v>24818</v>
      </c>
      <c r="P13946" t="s">
        <v>1760</v>
      </c>
      <c r="Q13946" t="s">
        <v>24820</v>
      </c>
      <c r="V13946" t="s">
        <v>24821</v>
      </c>
      <c r="Y13946" t="s">
        <v>48596</v>
      </c>
    </row>
    <row r="13947" spans="1:25" x14ac:dyDescent="0.25">
      <c r="A13947" t="str">
        <f>"227838040264"</f>
        <v>227838040264</v>
      </c>
      <c r="B13947" t="s">
        <v>574</v>
      </c>
      <c r="C13947" t="s">
        <v>646</v>
      </c>
      <c r="D13947" t="s">
        <v>5390</v>
      </c>
      <c r="E13947">
        <v>424039</v>
      </c>
      <c r="F13947" t="s">
        <v>1</v>
      </c>
      <c r="G13947" t="s">
        <v>2</v>
      </c>
      <c r="H13947" t="s">
        <v>17888</v>
      </c>
      <c r="I13947" t="s">
        <v>48597</v>
      </c>
      <c r="P13947" t="s">
        <v>330</v>
      </c>
      <c r="Y13947" t="s">
        <v>48598</v>
      </c>
    </row>
    <row r="13948" spans="1:25" x14ac:dyDescent="0.25">
      <c r="A13948" t="str">
        <f>"227854473102"</f>
        <v>227854473102</v>
      </c>
      <c r="B13948" t="s">
        <v>624</v>
      </c>
      <c r="C13948" t="s">
        <v>24861</v>
      </c>
      <c r="D13948" t="s">
        <v>1815</v>
      </c>
      <c r="E13948">
        <v>424003</v>
      </c>
      <c r="F13948" t="s">
        <v>1</v>
      </c>
      <c r="G13948" t="s">
        <v>2</v>
      </c>
      <c r="H13948" t="s">
        <v>775</v>
      </c>
      <c r="I13948" t="s">
        <v>25807</v>
      </c>
      <c r="J13948" t="s">
        <v>37481</v>
      </c>
      <c r="P13948" t="s">
        <v>2050</v>
      </c>
      <c r="Y13948" t="s">
        <v>6686</v>
      </c>
    </row>
    <row r="13949" spans="1:25" x14ac:dyDescent="0.25">
      <c r="A13949" t="str">
        <f>"227856318604"</f>
        <v>227856318604</v>
      </c>
      <c r="B13949" t="s">
        <v>738</v>
      </c>
      <c r="C13949" t="s">
        <v>7441</v>
      </c>
      <c r="D13949" t="s">
        <v>2453</v>
      </c>
      <c r="E13949">
        <v>424006</v>
      </c>
      <c r="F13949" t="s">
        <v>1</v>
      </c>
      <c r="G13949" t="s">
        <v>2</v>
      </c>
      <c r="H13949" t="s">
        <v>5146</v>
      </c>
      <c r="J13949" t="s">
        <v>48599</v>
      </c>
      <c r="P13949" t="s">
        <v>4689</v>
      </c>
      <c r="Y13949" t="s">
        <v>48600</v>
      </c>
    </row>
    <row r="13950" spans="1:25" x14ac:dyDescent="0.25">
      <c r="A13950" t="str">
        <f>"227865813532"</f>
        <v>227865813532</v>
      </c>
      <c r="B13950" t="s">
        <v>25</v>
      </c>
      <c r="C13950" t="s">
        <v>20320</v>
      </c>
      <c r="D13950" t="s">
        <v>48601</v>
      </c>
      <c r="E13950">
        <v>424002</v>
      </c>
      <c r="F13950" t="s">
        <v>1</v>
      </c>
      <c r="G13950" t="s">
        <v>2</v>
      </c>
      <c r="H13950" t="s">
        <v>6679</v>
      </c>
      <c r="Y13950" t="s">
        <v>48602</v>
      </c>
    </row>
    <row r="13951" spans="1:25" x14ac:dyDescent="0.25">
      <c r="A13951" t="str">
        <f>"227876537209"</f>
        <v>227876537209</v>
      </c>
      <c r="B13951" t="s">
        <v>574</v>
      </c>
      <c r="C13951" t="s">
        <v>646</v>
      </c>
      <c r="D13951" t="s">
        <v>48603</v>
      </c>
      <c r="E13951">
        <v>424002</v>
      </c>
      <c r="F13951" t="s">
        <v>1</v>
      </c>
      <c r="G13951" t="s">
        <v>2</v>
      </c>
      <c r="H13951" t="s">
        <v>28330</v>
      </c>
      <c r="Y13951" t="s">
        <v>48604</v>
      </c>
    </row>
    <row r="13952" spans="1:25" x14ac:dyDescent="0.25">
      <c r="A13952" t="str">
        <f>"227885585071"</f>
        <v>227885585071</v>
      </c>
      <c r="B13952" t="s">
        <v>18</v>
      </c>
      <c r="C13952" t="s">
        <v>959</v>
      </c>
      <c r="D13952" t="s">
        <v>48605</v>
      </c>
      <c r="E13952">
        <v>424039</v>
      </c>
      <c r="F13952" t="s">
        <v>1</v>
      </c>
      <c r="G13952" t="s">
        <v>2</v>
      </c>
      <c r="H13952" t="s">
        <v>48606</v>
      </c>
      <c r="I13952" t="s">
        <v>48607</v>
      </c>
      <c r="P13952" t="s">
        <v>280</v>
      </c>
      <c r="Y13952" t="s">
        <v>48608</v>
      </c>
    </row>
    <row r="13953" spans="1:25" x14ac:dyDescent="0.25">
      <c r="A13953" t="str">
        <f>"227929167091"</f>
        <v>227929167091</v>
      </c>
      <c r="B13953" t="s">
        <v>18</v>
      </c>
      <c r="C13953" t="s">
        <v>4522</v>
      </c>
      <c r="D13953" t="s">
        <v>48609</v>
      </c>
      <c r="E13953">
        <v>424007</v>
      </c>
      <c r="F13953" t="s">
        <v>1</v>
      </c>
      <c r="G13953" t="s">
        <v>2</v>
      </c>
      <c r="H13953" t="s">
        <v>7922</v>
      </c>
      <c r="J13953" t="s">
        <v>48610</v>
      </c>
      <c r="P13953" t="s">
        <v>390</v>
      </c>
      <c r="Y13953" t="s">
        <v>48611</v>
      </c>
    </row>
    <row r="13954" spans="1:25" x14ac:dyDescent="0.25">
      <c r="A13954" t="str">
        <f>"227994187924"</f>
        <v>227994187924</v>
      </c>
      <c r="B13954" t="s">
        <v>2104</v>
      </c>
      <c r="C13954" t="s">
        <v>13387</v>
      </c>
      <c r="D13954" t="s">
        <v>24033</v>
      </c>
      <c r="F13954" t="s">
        <v>1</v>
      </c>
      <c r="G13954" t="s">
        <v>2</v>
      </c>
      <c r="H13954" t="s">
        <v>34114</v>
      </c>
      <c r="L13954" t="s">
        <v>28709</v>
      </c>
      <c r="Q13954" t="s">
        <v>28711</v>
      </c>
      <c r="Y13954" t="s">
        <v>48612</v>
      </c>
    </row>
    <row r="13955" spans="1:25" x14ac:dyDescent="0.25">
      <c r="A13955" t="str">
        <f>"227999740025"</f>
        <v>227999740025</v>
      </c>
      <c r="B13955" t="s">
        <v>3573</v>
      </c>
      <c r="C13955" t="s">
        <v>5816</v>
      </c>
      <c r="D13955" t="s">
        <v>48613</v>
      </c>
      <c r="E13955">
        <v>424006</v>
      </c>
      <c r="F13955" t="s">
        <v>1</v>
      </c>
      <c r="G13955" t="s">
        <v>2</v>
      </c>
      <c r="H13955" t="s">
        <v>751</v>
      </c>
      <c r="J13955" t="s">
        <v>48614</v>
      </c>
      <c r="P13955" t="s">
        <v>2738</v>
      </c>
      <c r="Y13955" t="s">
        <v>755</v>
      </c>
    </row>
    <row r="13956" spans="1:25" x14ac:dyDescent="0.25">
      <c r="A13956" t="str">
        <f>"228002216264"</f>
        <v>228002216264</v>
      </c>
      <c r="B13956" t="s">
        <v>379</v>
      </c>
      <c r="C13956" t="s">
        <v>766</v>
      </c>
      <c r="D13956" t="s">
        <v>48615</v>
      </c>
      <c r="F13956" t="s">
        <v>1</v>
      </c>
      <c r="G13956" t="s">
        <v>2</v>
      </c>
      <c r="H13956" t="s">
        <v>33197</v>
      </c>
      <c r="Y13956" t="s">
        <v>48616</v>
      </c>
    </row>
    <row r="13957" spans="1:25" x14ac:dyDescent="0.25">
      <c r="A13957" t="str">
        <f>"228052422621"</f>
        <v>228052422621</v>
      </c>
      <c r="B13957" t="s">
        <v>18</v>
      </c>
      <c r="C13957" t="s">
        <v>959</v>
      </c>
      <c r="D13957" t="s">
        <v>3420</v>
      </c>
      <c r="F13957" t="s">
        <v>1</v>
      </c>
      <c r="G13957" t="s">
        <v>2</v>
      </c>
      <c r="H13957" t="s">
        <v>18806</v>
      </c>
      <c r="Y13957" t="s">
        <v>48617</v>
      </c>
    </row>
    <row r="13958" spans="1:25" x14ac:dyDescent="0.25">
      <c r="A13958" t="str">
        <f>"228082245671"</f>
        <v>228082245671</v>
      </c>
      <c r="B13958" t="s">
        <v>574</v>
      </c>
      <c r="C13958" t="s">
        <v>8884</v>
      </c>
      <c r="D13958" t="s">
        <v>8880</v>
      </c>
      <c r="F13958" t="s">
        <v>1</v>
      </c>
      <c r="G13958" t="s">
        <v>2</v>
      </c>
      <c r="H13958" t="s">
        <v>34114</v>
      </c>
      <c r="J13958" t="s">
        <v>48618</v>
      </c>
      <c r="L13958" t="s">
        <v>26240</v>
      </c>
      <c r="M13958" t="s">
        <v>8883</v>
      </c>
      <c r="P13958" t="s">
        <v>26241</v>
      </c>
      <c r="Q13958" t="s">
        <v>8886</v>
      </c>
      <c r="T13958" t="s">
        <v>8887</v>
      </c>
      <c r="V13958" t="s">
        <v>8888</v>
      </c>
      <c r="Y13958" t="s">
        <v>48619</v>
      </c>
    </row>
    <row r="13959" spans="1:25" x14ac:dyDescent="0.25">
      <c r="A13959" t="str">
        <f>"228110662211"</f>
        <v>228110662211</v>
      </c>
      <c r="B13959" t="s">
        <v>888</v>
      </c>
      <c r="C13959" t="s">
        <v>1947</v>
      </c>
      <c r="D13959" t="s">
        <v>48620</v>
      </c>
      <c r="E13959">
        <v>424004</v>
      </c>
      <c r="F13959" t="s">
        <v>1</v>
      </c>
      <c r="G13959" t="s">
        <v>2</v>
      </c>
      <c r="H13959" t="s">
        <v>3489</v>
      </c>
      <c r="Y13959" t="s">
        <v>8402</v>
      </c>
    </row>
    <row r="13960" spans="1:25" x14ac:dyDescent="0.25">
      <c r="A13960" t="str">
        <f>"228147373558"</f>
        <v>228147373558</v>
      </c>
      <c r="B13960" t="s">
        <v>4084</v>
      </c>
      <c r="C13960" t="s">
        <v>28282</v>
      </c>
      <c r="D13960" t="s">
        <v>28461</v>
      </c>
      <c r="E13960">
        <v>424038</v>
      </c>
      <c r="F13960" t="s">
        <v>1</v>
      </c>
      <c r="G13960" t="s">
        <v>2</v>
      </c>
      <c r="H13960" t="s">
        <v>30428</v>
      </c>
      <c r="Y13960" t="s">
        <v>30429</v>
      </c>
    </row>
    <row r="13961" spans="1:25" x14ac:dyDescent="0.25">
      <c r="A13961" t="str">
        <f>"228167276848"</f>
        <v>228167276848</v>
      </c>
      <c r="B13961" t="s">
        <v>32</v>
      </c>
      <c r="C13961" t="s">
        <v>777</v>
      </c>
      <c r="D13961" t="s">
        <v>48621</v>
      </c>
      <c r="E13961">
        <v>424000</v>
      </c>
      <c r="F13961" t="s">
        <v>1</v>
      </c>
      <c r="G13961" t="s">
        <v>2</v>
      </c>
      <c r="H13961" t="s">
        <v>2299</v>
      </c>
      <c r="I13961" t="s">
        <v>48622</v>
      </c>
      <c r="J13961" t="s">
        <v>48623</v>
      </c>
      <c r="P13961" t="s">
        <v>1855</v>
      </c>
      <c r="Q13961" t="s">
        <v>48624</v>
      </c>
      <c r="V13961" t="s">
        <v>48625</v>
      </c>
      <c r="Y13961" t="s">
        <v>2302</v>
      </c>
    </row>
    <row r="13962" spans="1:25" x14ac:dyDescent="0.25">
      <c r="A13962" t="str">
        <f>"228183201741"</f>
        <v>228183201741</v>
      </c>
      <c r="B13962" t="s">
        <v>32</v>
      </c>
      <c r="C13962" t="s">
        <v>182</v>
      </c>
      <c r="D13962" t="s">
        <v>48626</v>
      </c>
      <c r="E13962">
        <v>424031</v>
      </c>
      <c r="F13962" t="s">
        <v>1</v>
      </c>
      <c r="G13962" t="s">
        <v>2</v>
      </c>
      <c r="H13962" t="s">
        <v>2353</v>
      </c>
      <c r="J13962" t="s">
        <v>48627</v>
      </c>
      <c r="Q13962" t="s">
        <v>48628</v>
      </c>
      <c r="Y13962" t="s">
        <v>2356</v>
      </c>
    </row>
    <row r="13963" spans="1:25" x14ac:dyDescent="0.25">
      <c r="A13963" t="str">
        <f>"228218317443"</f>
        <v>228218317443</v>
      </c>
      <c r="B13963" t="s">
        <v>2601</v>
      </c>
      <c r="C13963" t="s">
        <v>26087</v>
      </c>
      <c r="D13963" t="s">
        <v>23942</v>
      </c>
      <c r="E13963">
        <v>424002</v>
      </c>
      <c r="F13963" t="s">
        <v>1</v>
      </c>
      <c r="G13963" t="s">
        <v>2</v>
      </c>
      <c r="H13963" t="s">
        <v>6012</v>
      </c>
      <c r="I13963" t="s">
        <v>8262</v>
      </c>
      <c r="P13963" t="s">
        <v>14394</v>
      </c>
      <c r="Y13963" t="s">
        <v>35445</v>
      </c>
    </row>
    <row r="13964" spans="1:25" x14ac:dyDescent="0.25">
      <c r="A13964" t="str">
        <f>"228233978023"</f>
        <v>228233978023</v>
      </c>
      <c r="B13964" t="s">
        <v>1552</v>
      </c>
      <c r="C13964" t="s">
        <v>12654</v>
      </c>
      <c r="D13964" t="s">
        <v>48629</v>
      </c>
      <c r="E13964">
        <v>424037</v>
      </c>
      <c r="F13964" t="s">
        <v>1</v>
      </c>
      <c r="G13964" t="s">
        <v>2</v>
      </c>
      <c r="H13964" t="s">
        <v>16732</v>
      </c>
      <c r="I13964" t="s">
        <v>48630</v>
      </c>
      <c r="P13964" t="s">
        <v>330</v>
      </c>
      <c r="Y13964" t="s">
        <v>48631</v>
      </c>
    </row>
    <row r="13965" spans="1:25" x14ac:dyDescent="0.25">
      <c r="A13965" t="str">
        <f>"228236362877"</f>
        <v>228236362877</v>
      </c>
      <c r="B13965" t="s">
        <v>930</v>
      </c>
      <c r="C13965" t="s">
        <v>32242</v>
      </c>
      <c r="D13965" t="s">
        <v>48632</v>
      </c>
      <c r="E13965">
        <v>424006</v>
      </c>
      <c r="F13965" t="s">
        <v>1</v>
      </c>
      <c r="G13965" t="s">
        <v>2</v>
      </c>
      <c r="H13965" t="s">
        <v>11376</v>
      </c>
      <c r="P13965" t="s">
        <v>381</v>
      </c>
      <c r="Y13965" t="s">
        <v>48633</v>
      </c>
    </row>
    <row r="13966" spans="1:25" x14ac:dyDescent="0.25">
      <c r="A13966" t="str">
        <f>"228296936454"</f>
        <v>228296936454</v>
      </c>
      <c r="B13966" t="s">
        <v>1046</v>
      </c>
      <c r="C13966" t="s">
        <v>22946</v>
      </c>
      <c r="D13966" t="s">
        <v>22946</v>
      </c>
      <c r="E13966">
        <v>424028</v>
      </c>
      <c r="F13966" t="s">
        <v>1</v>
      </c>
      <c r="G13966" t="s">
        <v>2</v>
      </c>
      <c r="H13966" t="s">
        <v>11193</v>
      </c>
      <c r="Y13966" t="s">
        <v>48634</v>
      </c>
    </row>
    <row r="13967" spans="1:25" x14ac:dyDescent="0.25">
      <c r="A13967" t="str">
        <f>"228305298902"</f>
        <v>228305298902</v>
      </c>
      <c r="B13967" t="s">
        <v>96</v>
      </c>
      <c r="C13967" t="s">
        <v>659</v>
      </c>
      <c r="D13967" t="s">
        <v>48635</v>
      </c>
      <c r="E13967">
        <v>424918</v>
      </c>
      <c r="F13967" t="s">
        <v>1</v>
      </c>
      <c r="G13967" t="s">
        <v>2</v>
      </c>
      <c r="H13967" t="s">
        <v>629</v>
      </c>
      <c r="P13967" t="s">
        <v>630</v>
      </c>
      <c r="Y13967" t="s">
        <v>1744</v>
      </c>
    </row>
    <row r="13968" spans="1:25" x14ac:dyDescent="0.25">
      <c r="A13968" t="str">
        <f>"228315400905"</f>
        <v>228315400905</v>
      </c>
      <c r="B13968" t="s">
        <v>96</v>
      </c>
      <c r="C13968" t="s">
        <v>695</v>
      </c>
      <c r="D13968" t="s">
        <v>12115</v>
      </c>
      <c r="E13968">
        <v>424028</v>
      </c>
      <c r="F13968" t="s">
        <v>1</v>
      </c>
      <c r="G13968" t="s">
        <v>2</v>
      </c>
      <c r="H13968" t="s">
        <v>5034</v>
      </c>
      <c r="J13968" t="s">
        <v>48636</v>
      </c>
      <c r="P13968" t="s">
        <v>41914</v>
      </c>
      <c r="Y13968" t="s">
        <v>5036</v>
      </c>
    </row>
    <row r="13969" spans="1:25" x14ac:dyDescent="0.25">
      <c r="A13969" t="str">
        <f>"228353726181"</f>
        <v>228353726181</v>
      </c>
      <c r="B13969" t="s">
        <v>462</v>
      </c>
      <c r="C13969" t="s">
        <v>48641</v>
      </c>
      <c r="D13969" t="s">
        <v>48637</v>
      </c>
      <c r="E13969">
        <v>424008</v>
      </c>
      <c r="F13969" t="s">
        <v>1</v>
      </c>
      <c r="G13969" t="s">
        <v>2</v>
      </c>
      <c r="H13969" t="s">
        <v>1012</v>
      </c>
      <c r="I13969" t="s">
        <v>48638</v>
      </c>
      <c r="L13969" t="s">
        <v>48639</v>
      </c>
      <c r="M13969" t="s">
        <v>48640</v>
      </c>
      <c r="P13969" t="s">
        <v>27</v>
      </c>
      <c r="Y13969" t="s">
        <v>1016</v>
      </c>
    </row>
    <row r="13970" spans="1:25" x14ac:dyDescent="0.25">
      <c r="A13970" t="str">
        <f>"228357303583"</f>
        <v>228357303583</v>
      </c>
      <c r="B13970" t="s">
        <v>22502</v>
      </c>
      <c r="C13970" t="s">
        <v>48644</v>
      </c>
      <c r="D13970" t="s">
        <v>48642</v>
      </c>
      <c r="F13970" t="s">
        <v>1</v>
      </c>
      <c r="G13970" t="s">
        <v>2</v>
      </c>
      <c r="H13970" t="s">
        <v>9610</v>
      </c>
      <c r="J13970" t="s">
        <v>48643</v>
      </c>
      <c r="P13970" t="s">
        <v>20</v>
      </c>
      <c r="Y13970" t="s">
        <v>48645</v>
      </c>
    </row>
    <row r="13971" spans="1:25" x14ac:dyDescent="0.25">
      <c r="A13971" t="str">
        <f>"228440602873"</f>
        <v>228440602873</v>
      </c>
      <c r="B13971" t="s">
        <v>930</v>
      </c>
      <c r="C13971" t="s">
        <v>48647</v>
      </c>
      <c r="D13971" t="s">
        <v>48646</v>
      </c>
      <c r="E13971">
        <v>424037</v>
      </c>
      <c r="F13971" t="s">
        <v>1</v>
      </c>
      <c r="G13971" t="s">
        <v>2</v>
      </c>
      <c r="H13971" t="s">
        <v>12860</v>
      </c>
      <c r="Y13971" t="s">
        <v>25751</v>
      </c>
    </row>
    <row r="13972" spans="1:25" x14ac:dyDescent="0.25">
      <c r="A13972" t="str">
        <f>"228450234346"</f>
        <v>228450234346</v>
      </c>
      <c r="B13972" t="s">
        <v>456</v>
      </c>
      <c r="C13972" t="s">
        <v>6076</v>
      </c>
      <c r="D13972" t="s">
        <v>48648</v>
      </c>
      <c r="F13972" t="s">
        <v>1</v>
      </c>
      <c r="G13972" t="s">
        <v>2</v>
      </c>
      <c r="H13972" t="s">
        <v>1600</v>
      </c>
      <c r="I13972" t="s">
        <v>33235</v>
      </c>
      <c r="J13972" t="s">
        <v>48649</v>
      </c>
      <c r="L13972" t="s">
        <v>48650</v>
      </c>
      <c r="M13972" t="s">
        <v>48651</v>
      </c>
      <c r="P13972" t="s">
        <v>1232</v>
      </c>
      <c r="Y13972" t="s">
        <v>2417</v>
      </c>
    </row>
    <row r="13973" spans="1:25" x14ac:dyDescent="0.25">
      <c r="A13973" t="str">
        <f>"228451746212"</f>
        <v>228451746212</v>
      </c>
      <c r="B13973" t="s">
        <v>703</v>
      </c>
      <c r="C13973" t="s">
        <v>7344</v>
      </c>
      <c r="D13973" t="s">
        <v>48652</v>
      </c>
      <c r="E13973">
        <v>424007</v>
      </c>
      <c r="F13973" t="s">
        <v>1</v>
      </c>
      <c r="G13973" t="s">
        <v>2</v>
      </c>
      <c r="H13973" t="s">
        <v>4321</v>
      </c>
      <c r="J13973" t="s">
        <v>48653</v>
      </c>
      <c r="Y13973" t="s">
        <v>28915</v>
      </c>
    </row>
    <row r="13974" spans="1:25" x14ac:dyDescent="0.25">
      <c r="A13974" t="str">
        <f>"228459204231"</f>
        <v>228459204231</v>
      </c>
      <c r="B13974" t="s">
        <v>48</v>
      </c>
      <c r="C13974" t="s">
        <v>44498</v>
      </c>
      <c r="D13974" t="s">
        <v>48654</v>
      </c>
      <c r="E13974">
        <v>424019</v>
      </c>
      <c r="F13974" t="s">
        <v>1</v>
      </c>
      <c r="G13974" t="s">
        <v>2</v>
      </c>
      <c r="H13974" t="s">
        <v>39548</v>
      </c>
      <c r="J13974" t="s">
        <v>48655</v>
      </c>
      <c r="P13974" t="s">
        <v>5649</v>
      </c>
      <c r="Q13974" t="s">
        <v>48656</v>
      </c>
      <c r="V13974" t="s">
        <v>48657</v>
      </c>
      <c r="Y13974" t="s">
        <v>48658</v>
      </c>
    </row>
    <row r="13975" spans="1:25" x14ac:dyDescent="0.25">
      <c r="A13975" t="str">
        <f>"228488668778"</f>
        <v>228488668778</v>
      </c>
      <c r="B13975" t="s">
        <v>1152</v>
      </c>
      <c r="C13975" t="s">
        <v>48660</v>
      </c>
      <c r="D13975" t="s">
        <v>48659</v>
      </c>
      <c r="E13975">
        <v>424038</v>
      </c>
      <c r="F13975" t="s">
        <v>1</v>
      </c>
      <c r="G13975" t="s">
        <v>2</v>
      </c>
      <c r="H13975" t="s">
        <v>10766</v>
      </c>
      <c r="Y13975" t="s">
        <v>48661</v>
      </c>
    </row>
    <row r="13976" spans="1:25" x14ac:dyDescent="0.25">
      <c r="A13976" t="str">
        <f>"228499619165"</f>
        <v>228499619165</v>
      </c>
      <c r="B13976" t="s">
        <v>530</v>
      </c>
      <c r="C13976" t="s">
        <v>23950</v>
      </c>
      <c r="D13976" t="s">
        <v>23950</v>
      </c>
      <c r="F13976" t="s">
        <v>1</v>
      </c>
      <c r="G13976" t="s">
        <v>2</v>
      </c>
      <c r="H13976" t="s">
        <v>31202</v>
      </c>
      <c r="Y13976" t="s">
        <v>48662</v>
      </c>
    </row>
    <row r="13977" spans="1:25" x14ac:dyDescent="0.25">
      <c r="A13977" t="str">
        <f>"228573910553"</f>
        <v>228573910553</v>
      </c>
      <c r="B13977" t="s">
        <v>96</v>
      </c>
      <c r="C13977" t="s">
        <v>10313</v>
      </c>
      <c r="D13977" t="s">
        <v>16982</v>
      </c>
      <c r="F13977" t="s">
        <v>1</v>
      </c>
      <c r="G13977" t="s">
        <v>2</v>
      </c>
      <c r="H13977" t="s">
        <v>19499</v>
      </c>
      <c r="J13977" t="s">
        <v>16983</v>
      </c>
      <c r="P13977" t="s">
        <v>144</v>
      </c>
      <c r="Y13977" t="s">
        <v>24185</v>
      </c>
    </row>
    <row r="13978" spans="1:25" x14ac:dyDescent="0.25">
      <c r="A13978" t="str">
        <f>"228595843992"</f>
        <v>228595843992</v>
      </c>
      <c r="B13978" t="s">
        <v>32</v>
      </c>
      <c r="C13978" t="s">
        <v>777</v>
      </c>
      <c r="D13978" t="s">
        <v>48663</v>
      </c>
      <c r="E13978">
        <v>424005</v>
      </c>
      <c r="F13978" t="s">
        <v>1</v>
      </c>
      <c r="G13978" t="s">
        <v>2</v>
      </c>
      <c r="H13978" t="s">
        <v>3042</v>
      </c>
      <c r="I13978" t="s">
        <v>48664</v>
      </c>
      <c r="J13978" t="s">
        <v>48665</v>
      </c>
      <c r="P13978" t="s">
        <v>48666</v>
      </c>
      <c r="Y13978" t="s">
        <v>48667</v>
      </c>
    </row>
    <row r="13979" spans="1:25" x14ac:dyDescent="0.25">
      <c r="A13979" t="str">
        <f>"228617984828"</f>
        <v>228617984828</v>
      </c>
      <c r="B13979" t="s">
        <v>123</v>
      </c>
      <c r="C13979" t="s">
        <v>424</v>
      </c>
      <c r="D13979" t="s">
        <v>48668</v>
      </c>
      <c r="E13979">
        <v>424019</v>
      </c>
      <c r="F13979" t="s">
        <v>1</v>
      </c>
      <c r="G13979" t="s">
        <v>2</v>
      </c>
      <c r="H13979" t="s">
        <v>48669</v>
      </c>
      <c r="I13979" t="s">
        <v>48670</v>
      </c>
      <c r="P13979" t="s">
        <v>425</v>
      </c>
      <c r="Y13979" t="s">
        <v>48671</v>
      </c>
    </row>
    <row r="13980" spans="1:25" x14ac:dyDescent="0.25">
      <c r="A13980" t="str">
        <f>"228618770316"</f>
        <v>228618770316</v>
      </c>
      <c r="B13980" t="s">
        <v>574</v>
      </c>
      <c r="C13980" t="s">
        <v>14269</v>
      </c>
      <c r="D13980" t="s">
        <v>48672</v>
      </c>
      <c r="E13980">
        <v>424033</v>
      </c>
      <c r="F13980" t="s">
        <v>1</v>
      </c>
      <c r="G13980" t="s">
        <v>2</v>
      </c>
      <c r="H13980" t="s">
        <v>4300</v>
      </c>
      <c r="Y13980" t="s">
        <v>48673</v>
      </c>
    </row>
    <row r="13981" spans="1:25" x14ac:dyDescent="0.25">
      <c r="A13981" t="str">
        <f>"228632001353"</f>
        <v>228632001353</v>
      </c>
      <c r="B13981" t="s">
        <v>151</v>
      </c>
      <c r="C13981" t="s">
        <v>151</v>
      </c>
      <c r="D13981" t="s">
        <v>48674</v>
      </c>
      <c r="E13981">
        <v>424037</v>
      </c>
      <c r="F13981" t="s">
        <v>1</v>
      </c>
      <c r="G13981" t="s">
        <v>2</v>
      </c>
      <c r="H13981" t="s">
        <v>2680</v>
      </c>
      <c r="J13981" t="s">
        <v>48675</v>
      </c>
      <c r="L13981" t="s">
        <v>48676</v>
      </c>
      <c r="M13981" t="s">
        <v>48677</v>
      </c>
      <c r="P13981" t="s">
        <v>48678</v>
      </c>
      <c r="Q13981" t="s">
        <v>48679</v>
      </c>
      <c r="Y13981" t="s">
        <v>22281</v>
      </c>
    </row>
    <row r="13982" spans="1:25" x14ac:dyDescent="0.25">
      <c r="A13982" t="str">
        <f>"228637957569"</f>
        <v>228637957569</v>
      </c>
      <c r="B13982" t="s">
        <v>930</v>
      </c>
      <c r="C13982" t="s">
        <v>1096</v>
      </c>
      <c r="D13982" t="s">
        <v>48680</v>
      </c>
      <c r="F13982" t="s">
        <v>1</v>
      </c>
      <c r="G13982" t="s">
        <v>2</v>
      </c>
      <c r="H13982" t="s">
        <v>12610</v>
      </c>
      <c r="I13982" t="s">
        <v>48681</v>
      </c>
      <c r="M13982" t="s">
        <v>48682</v>
      </c>
      <c r="P13982" t="s">
        <v>3938</v>
      </c>
      <c r="Y13982" t="s">
        <v>26184</v>
      </c>
    </row>
    <row r="13983" spans="1:25" x14ac:dyDescent="0.25">
      <c r="A13983" t="str">
        <f>"228651254101"</f>
        <v>228651254101</v>
      </c>
      <c r="B13983" t="s">
        <v>456</v>
      </c>
      <c r="C13983" t="s">
        <v>4178</v>
      </c>
      <c r="D13983" t="s">
        <v>32884</v>
      </c>
      <c r="E13983">
        <v>424038</v>
      </c>
      <c r="F13983" t="s">
        <v>1</v>
      </c>
      <c r="G13983" t="s">
        <v>2</v>
      </c>
      <c r="H13983" t="s">
        <v>26079</v>
      </c>
      <c r="M13983" t="s">
        <v>48683</v>
      </c>
      <c r="Q13983" t="s">
        <v>48684</v>
      </c>
      <c r="Y13983" t="s">
        <v>48685</v>
      </c>
    </row>
    <row r="13984" spans="1:25" x14ac:dyDescent="0.25">
      <c r="A13984" t="str">
        <f>"228674930886"</f>
        <v>228674930886</v>
      </c>
      <c r="B13984" t="s">
        <v>1262</v>
      </c>
      <c r="C13984" t="s">
        <v>1263</v>
      </c>
      <c r="D13984" t="s">
        <v>48686</v>
      </c>
      <c r="F13984" t="s">
        <v>1</v>
      </c>
      <c r="G13984" t="s">
        <v>2</v>
      </c>
      <c r="H13984" t="s">
        <v>48687</v>
      </c>
      <c r="I13984" t="s">
        <v>48688</v>
      </c>
      <c r="J13984" t="s">
        <v>48689</v>
      </c>
      <c r="P13984" t="s">
        <v>330</v>
      </c>
      <c r="Y13984" t="s">
        <v>48690</v>
      </c>
    </row>
    <row r="13985" spans="1:25" x14ac:dyDescent="0.25">
      <c r="A13985" t="str">
        <f>"228679740604"</f>
        <v>228679740604</v>
      </c>
      <c r="B13985" t="s">
        <v>716</v>
      </c>
      <c r="C13985" t="s">
        <v>717</v>
      </c>
      <c r="D13985" t="s">
        <v>27741</v>
      </c>
      <c r="E13985">
        <v>424003</v>
      </c>
      <c r="F13985" t="s">
        <v>1</v>
      </c>
      <c r="G13985" t="s">
        <v>2</v>
      </c>
      <c r="H13985" t="s">
        <v>47210</v>
      </c>
      <c r="I13985" t="s">
        <v>48691</v>
      </c>
      <c r="J13985" t="s">
        <v>48692</v>
      </c>
      <c r="L13985" t="s">
        <v>48693</v>
      </c>
      <c r="M13985" t="s">
        <v>48694</v>
      </c>
      <c r="P13985" t="s">
        <v>27</v>
      </c>
      <c r="Q13985" t="s">
        <v>48695</v>
      </c>
      <c r="T13985" t="s">
        <v>48696</v>
      </c>
      <c r="Y13985" t="s">
        <v>48697</v>
      </c>
    </row>
    <row r="13986" spans="1:25" x14ac:dyDescent="0.25">
      <c r="A13986" t="str">
        <f>"228704290022"</f>
        <v>228704290022</v>
      </c>
      <c r="B13986" t="s">
        <v>430</v>
      </c>
      <c r="C13986" t="s">
        <v>11849</v>
      </c>
      <c r="D13986" t="s">
        <v>16178</v>
      </c>
      <c r="E13986">
        <v>424002</v>
      </c>
      <c r="F13986" t="s">
        <v>1</v>
      </c>
      <c r="G13986" t="s">
        <v>2</v>
      </c>
      <c r="H13986" t="s">
        <v>11341</v>
      </c>
      <c r="I13986" t="s">
        <v>48698</v>
      </c>
      <c r="J13986" t="s">
        <v>48699</v>
      </c>
      <c r="L13986" t="s">
        <v>19845</v>
      </c>
      <c r="M13986" t="s">
        <v>19846</v>
      </c>
      <c r="P13986" t="s">
        <v>330</v>
      </c>
      <c r="Y13986" t="s">
        <v>48700</v>
      </c>
    </row>
    <row r="13987" spans="1:25" x14ac:dyDescent="0.25">
      <c r="A13987" t="str">
        <f>"228779776027"</f>
        <v>228779776027</v>
      </c>
      <c r="B13987" t="s">
        <v>151</v>
      </c>
      <c r="C13987" t="s">
        <v>151</v>
      </c>
      <c r="D13987" t="s">
        <v>19289</v>
      </c>
      <c r="E13987">
        <v>424001</v>
      </c>
      <c r="F13987" t="s">
        <v>1</v>
      </c>
      <c r="G13987" t="s">
        <v>2</v>
      </c>
      <c r="H13987" t="s">
        <v>919</v>
      </c>
      <c r="J13987" t="s">
        <v>48701</v>
      </c>
      <c r="P13987" t="s">
        <v>27</v>
      </c>
      <c r="Y13987" t="s">
        <v>1750</v>
      </c>
    </row>
    <row r="13988" spans="1:25" x14ac:dyDescent="0.25">
      <c r="A13988" t="str">
        <f>"228798142259"</f>
        <v>228798142259</v>
      </c>
      <c r="B13988" t="s">
        <v>1315</v>
      </c>
      <c r="C13988" t="s">
        <v>48706</v>
      </c>
      <c r="D13988" t="s">
        <v>48702</v>
      </c>
      <c r="E13988">
        <v>424016</v>
      </c>
      <c r="F13988" t="s">
        <v>1</v>
      </c>
      <c r="G13988" t="s">
        <v>2</v>
      </c>
      <c r="H13988" t="s">
        <v>5561</v>
      </c>
      <c r="J13988" t="s">
        <v>48703</v>
      </c>
      <c r="L13988" t="s">
        <v>48704</v>
      </c>
      <c r="M13988" t="s">
        <v>48705</v>
      </c>
      <c r="P13988" t="s">
        <v>260</v>
      </c>
      <c r="Q13988" t="s">
        <v>48707</v>
      </c>
      <c r="V13988" t="s">
        <v>48708</v>
      </c>
      <c r="Y13988" t="s">
        <v>48709</v>
      </c>
    </row>
    <row r="13989" spans="1:25" x14ac:dyDescent="0.25">
      <c r="A13989" t="str">
        <f>"228804642551"</f>
        <v>228804642551</v>
      </c>
      <c r="B13989" t="s">
        <v>32</v>
      </c>
      <c r="C13989" t="s">
        <v>182</v>
      </c>
      <c r="D13989" t="s">
        <v>48710</v>
      </c>
      <c r="E13989">
        <v>424039</v>
      </c>
      <c r="F13989" t="s">
        <v>1</v>
      </c>
      <c r="G13989" t="s">
        <v>2</v>
      </c>
      <c r="H13989" t="s">
        <v>26900</v>
      </c>
      <c r="Y13989" t="s">
        <v>48711</v>
      </c>
    </row>
    <row r="13990" spans="1:25" x14ac:dyDescent="0.25">
      <c r="A13990" t="str">
        <f>"228811870252"</f>
        <v>228811870252</v>
      </c>
      <c r="B13990" t="s">
        <v>1611</v>
      </c>
      <c r="C13990" t="s">
        <v>3218</v>
      </c>
      <c r="D13990" t="s">
        <v>32379</v>
      </c>
      <c r="E13990">
        <v>424037</v>
      </c>
      <c r="F13990" t="s">
        <v>1</v>
      </c>
      <c r="G13990" t="s">
        <v>2</v>
      </c>
      <c r="H13990" t="s">
        <v>16664</v>
      </c>
      <c r="Y13990" t="s">
        <v>48712</v>
      </c>
    </row>
    <row r="13991" spans="1:25" x14ac:dyDescent="0.25">
      <c r="A13991" t="str">
        <f>"228813394396"</f>
        <v>228813394396</v>
      </c>
      <c r="B13991" t="s">
        <v>18</v>
      </c>
      <c r="C13991" t="s">
        <v>2171</v>
      </c>
      <c r="D13991" t="s">
        <v>48713</v>
      </c>
      <c r="E13991">
        <v>424007</v>
      </c>
      <c r="F13991" t="s">
        <v>1</v>
      </c>
      <c r="G13991" t="s">
        <v>2</v>
      </c>
      <c r="H13991" t="s">
        <v>1566</v>
      </c>
      <c r="I13991" t="s">
        <v>48714</v>
      </c>
      <c r="P13991" t="s">
        <v>8663</v>
      </c>
      <c r="Y13991" t="s">
        <v>2882</v>
      </c>
    </row>
    <row r="13992" spans="1:25" x14ac:dyDescent="0.25">
      <c r="A13992" t="str">
        <f>"228978482499"</f>
        <v>228978482499</v>
      </c>
      <c r="B13992" t="s">
        <v>930</v>
      </c>
      <c r="C13992" t="s">
        <v>11979</v>
      </c>
      <c r="D13992" t="s">
        <v>48715</v>
      </c>
      <c r="E13992">
        <v>424020</v>
      </c>
      <c r="F13992" t="s">
        <v>1</v>
      </c>
      <c r="G13992" t="s">
        <v>2</v>
      </c>
      <c r="H13992" t="s">
        <v>1837</v>
      </c>
      <c r="I13992" t="s">
        <v>48716</v>
      </c>
      <c r="L13992" t="s">
        <v>48717</v>
      </c>
      <c r="M13992" t="s">
        <v>48718</v>
      </c>
      <c r="P13992" t="s">
        <v>48719</v>
      </c>
      <c r="Q13992" t="s">
        <v>48720</v>
      </c>
      <c r="Y13992" t="s">
        <v>1842</v>
      </c>
    </row>
    <row r="13993" spans="1:25" x14ac:dyDescent="0.25">
      <c r="A13993" t="str">
        <f>"228996347819"</f>
        <v>228996347819</v>
      </c>
      <c r="B13993" t="s">
        <v>574</v>
      </c>
      <c r="C13993" t="s">
        <v>646</v>
      </c>
      <c r="D13993" t="s">
        <v>48721</v>
      </c>
      <c r="E13993">
        <v>424038</v>
      </c>
      <c r="F13993" t="s">
        <v>1</v>
      </c>
      <c r="G13993" t="s">
        <v>2</v>
      </c>
      <c r="H13993" t="s">
        <v>21388</v>
      </c>
      <c r="I13993" t="s">
        <v>48722</v>
      </c>
      <c r="J13993" t="s">
        <v>48723</v>
      </c>
      <c r="L13993" t="s">
        <v>48724</v>
      </c>
      <c r="P13993" t="s">
        <v>1027</v>
      </c>
      <c r="Q13993" t="s">
        <v>48725</v>
      </c>
      <c r="V13993" t="s">
        <v>48726</v>
      </c>
      <c r="Y13993" t="s">
        <v>48727</v>
      </c>
    </row>
    <row r="13994" spans="1:25" x14ac:dyDescent="0.25">
      <c r="A13994" t="str">
        <f>"229009282902"</f>
        <v>229009282902</v>
      </c>
      <c r="B13994" t="s">
        <v>348</v>
      </c>
      <c r="C13994" t="s">
        <v>18793</v>
      </c>
      <c r="D13994" t="s">
        <v>48728</v>
      </c>
      <c r="F13994" t="s">
        <v>1</v>
      </c>
      <c r="G13994" t="s">
        <v>2</v>
      </c>
      <c r="H13994" t="s">
        <v>35021</v>
      </c>
      <c r="J13994" t="s">
        <v>48729</v>
      </c>
      <c r="M13994" t="s">
        <v>48730</v>
      </c>
      <c r="P13994" t="s">
        <v>152</v>
      </c>
      <c r="Q13994" t="s">
        <v>48731</v>
      </c>
      <c r="V13994" t="s">
        <v>48732</v>
      </c>
      <c r="Y13994" t="s">
        <v>48733</v>
      </c>
    </row>
    <row r="13995" spans="1:25" x14ac:dyDescent="0.25">
      <c r="A13995" t="str">
        <f>"229033854549"</f>
        <v>229033854549</v>
      </c>
      <c r="B13995" t="s">
        <v>1604</v>
      </c>
      <c r="C13995" t="s">
        <v>2271</v>
      </c>
      <c r="D13995" t="s">
        <v>48734</v>
      </c>
      <c r="E13995">
        <v>424036</v>
      </c>
      <c r="F13995" t="s">
        <v>1</v>
      </c>
      <c r="G13995" t="s">
        <v>2</v>
      </c>
      <c r="H13995" t="s">
        <v>8222</v>
      </c>
      <c r="P13995" t="s">
        <v>48735</v>
      </c>
      <c r="Y13995" t="s">
        <v>12963</v>
      </c>
    </row>
    <row r="13996" spans="1:25" x14ac:dyDescent="0.25">
      <c r="A13996" t="str">
        <f>"229043451913"</f>
        <v>229043451913</v>
      </c>
      <c r="B13996" t="s">
        <v>1046</v>
      </c>
      <c r="C13996" t="s">
        <v>34157</v>
      </c>
      <c r="D13996" t="s">
        <v>48736</v>
      </c>
      <c r="F13996" t="s">
        <v>1</v>
      </c>
      <c r="G13996" t="s">
        <v>2</v>
      </c>
      <c r="H13996" t="s">
        <v>35075</v>
      </c>
      <c r="I13996" t="s">
        <v>48737</v>
      </c>
      <c r="P13996" t="s">
        <v>98</v>
      </c>
      <c r="Q13996" t="s">
        <v>43672</v>
      </c>
      <c r="Y13996" t="s">
        <v>48738</v>
      </c>
    </row>
    <row r="13997" spans="1:25" x14ac:dyDescent="0.25">
      <c r="A13997" t="str">
        <f>"229046351651"</f>
        <v>229046351651</v>
      </c>
      <c r="B13997" t="s">
        <v>32</v>
      </c>
      <c r="C13997" t="s">
        <v>20771</v>
      </c>
      <c r="D13997" t="s">
        <v>48739</v>
      </c>
      <c r="E13997">
        <v>424002</v>
      </c>
      <c r="F13997" t="s">
        <v>1</v>
      </c>
      <c r="G13997" t="s">
        <v>2</v>
      </c>
      <c r="H13997" t="s">
        <v>5162</v>
      </c>
      <c r="J13997" t="s">
        <v>48740</v>
      </c>
      <c r="M13997" t="s">
        <v>48741</v>
      </c>
      <c r="P13997" t="s">
        <v>144</v>
      </c>
      <c r="Q13997" t="s">
        <v>48742</v>
      </c>
      <c r="V13997" t="s">
        <v>48743</v>
      </c>
      <c r="Y13997" t="s">
        <v>48744</v>
      </c>
    </row>
    <row r="13998" spans="1:25" x14ac:dyDescent="0.25">
      <c r="A13998" t="str">
        <f>"229047498327"</f>
        <v>229047498327</v>
      </c>
      <c r="B13998" t="s">
        <v>188</v>
      </c>
      <c r="C13998" t="s">
        <v>8311</v>
      </c>
      <c r="D13998" t="s">
        <v>48745</v>
      </c>
      <c r="E13998">
        <v>424031</v>
      </c>
      <c r="F13998" t="s">
        <v>1</v>
      </c>
      <c r="G13998" t="s">
        <v>2</v>
      </c>
      <c r="H13998" t="s">
        <v>10559</v>
      </c>
      <c r="I13998" t="s">
        <v>48746</v>
      </c>
      <c r="L13998" t="s">
        <v>48747</v>
      </c>
      <c r="M13998" t="s">
        <v>48748</v>
      </c>
      <c r="P13998" t="s">
        <v>1760</v>
      </c>
      <c r="Y13998" t="s">
        <v>11702</v>
      </c>
    </row>
    <row r="13999" spans="1:25" x14ac:dyDescent="0.25">
      <c r="A13999" t="str">
        <f>"229055793475"</f>
        <v>229055793475</v>
      </c>
      <c r="B13999" t="s">
        <v>1475</v>
      </c>
      <c r="C13999" t="s">
        <v>4005</v>
      </c>
      <c r="D13999" t="s">
        <v>7821</v>
      </c>
      <c r="E13999">
        <v>424033</v>
      </c>
      <c r="F13999" t="s">
        <v>1</v>
      </c>
      <c r="G13999" t="s">
        <v>2</v>
      </c>
      <c r="H13999" t="s">
        <v>6875</v>
      </c>
      <c r="Y13999" t="s">
        <v>48749</v>
      </c>
    </row>
    <row r="14000" spans="1:25" x14ac:dyDescent="0.25">
      <c r="A14000" t="str">
        <f>"229119097972"</f>
        <v>229119097972</v>
      </c>
      <c r="B14000" t="s">
        <v>574</v>
      </c>
      <c r="C14000" t="s">
        <v>952</v>
      </c>
      <c r="D14000" t="s">
        <v>7620</v>
      </c>
      <c r="E14000">
        <v>424000</v>
      </c>
      <c r="F14000" t="s">
        <v>1</v>
      </c>
      <c r="G14000" t="s">
        <v>2</v>
      </c>
      <c r="H14000" t="s">
        <v>9927</v>
      </c>
      <c r="Y14000" t="s">
        <v>46676</v>
      </c>
    </row>
    <row r="14001" spans="1:25" x14ac:dyDescent="0.25">
      <c r="A14001" t="str">
        <f>"229121436955"</f>
        <v>229121436955</v>
      </c>
      <c r="B14001" t="s">
        <v>176</v>
      </c>
      <c r="C14001" t="s">
        <v>48754</v>
      </c>
      <c r="D14001" t="s">
        <v>48750</v>
      </c>
      <c r="E14001">
        <v>424000</v>
      </c>
      <c r="F14001" t="s">
        <v>1</v>
      </c>
      <c r="G14001" t="s">
        <v>2</v>
      </c>
      <c r="H14001" t="s">
        <v>28208</v>
      </c>
      <c r="J14001" t="s">
        <v>48751</v>
      </c>
      <c r="L14001" t="s">
        <v>48752</v>
      </c>
      <c r="M14001" t="s">
        <v>48753</v>
      </c>
      <c r="P14001" t="s">
        <v>144</v>
      </c>
      <c r="Q14001" t="s">
        <v>48755</v>
      </c>
      <c r="Y14001" t="s">
        <v>48756</v>
      </c>
    </row>
    <row r="14002" spans="1:25" x14ac:dyDescent="0.25">
      <c r="A14002" t="str">
        <f>"229436120846"</f>
        <v>229436120846</v>
      </c>
      <c r="B14002" t="s">
        <v>1475</v>
      </c>
      <c r="C14002" t="s">
        <v>1476</v>
      </c>
      <c r="D14002" t="s">
        <v>48757</v>
      </c>
      <c r="F14002" t="s">
        <v>1</v>
      </c>
      <c r="G14002" t="s">
        <v>2</v>
      </c>
      <c r="H14002" t="s">
        <v>48758</v>
      </c>
      <c r="Y14002" t="s">
        <v>48759</v>
      </c>
    </row>
    <row r="14003" spans="1:25" x14ac:dyDescent="0.25">
      <c r="A14003" t="str">
        <f>"229489550930"</f>
        <v>229489550930</v>
      </c>
      <c r="B14003" t="s">
        <v>123</v>
      </c>
      <c r="C14003" t="s">
        <v>48761</v>
      </c>
      <c r="D14003" t="s">
        <v>26223</v>
      </c>
      <c r="E14003">
        <v>424038</v>
      </c>
      <c r="F14003" t="s">
        <v>1</v>
      </c>
      <c r="G14003" t="s">
        <v>2</v>
      </c>
      <c r="H14003" t="s">
        <v>386</v>
      </c>
      <c r="I14003" t="s">
        <v>12741</v>
      </c>
      <c r="L14003" t="s">
        <v>48760</v>
      </c>
      <c r="P14003" t="s">
        <v>46788</v>
      </c>
      <c r="Q14003" t="s">
        <v>48762</v>
      </c>
      <c r="Y14003" t="s">
        <v>48763</v>
      </c>
    </row>
    <row r="14004" spans="1:25" x14ac:dyDescent="0.25">
      <c r="A14004" t="str">
        <f>"229505912939"</f>
        <v>229505912939</v>
      </c>
      <c r="B14004" t="s">
        <v>624</v>
      </c>
      <c r="C14004" t="s">
        <v>2640</v>
      </c>
      <c r="D14004" t="s">
        <v>48764</v>
      </c>
      <c r="E14004">
        <v>424000</v>
      </c>
      <c r="F14004" t="s">
        <v>1</v>
      </c>
      <c r="G14004" t="s">
        <v>2</v>
      </c>
      <c r="H14004" t="s">
        <v>5754</v>
      </c>
      <c r="P14004" t="s">
        <v>280</v>
      </c>
      <c r="Y14004" t="s">
        <v>1141</v>
      </c>
    </row>
    <row r="14005" spans="1:25" x14ac:dyDescent="0.25">
      <c r="A14005" t="str">
        <f>"229516411320"</f>
        <v>229516411320</v>
      </c>
      <c r="B14005" t="s">
        <v>123</v>
      </c>
      <c r="C14005" t="s">
        <v>424</v>
      </c>
      <c r="D14005" t="s">
        <v>48765</v>
      </c>
      <c r="F14005" t="s">
        <v>1</v>
      </c>
      <c r="G14005" t="s">
        <v>2</v>
      </c>
      <c r="H14005" t="s">
        <v>27308</v>
      </c>
      <c r="Y14005" t="s">
        <v>48766</v>
      </c>
    </row>
    <row r="14006" spans="1:25" x14ac:dyDescent="0.25">
      <c r="A14006" t="str">
        <f>"229519634402"</f>
        <v>229519634402</v>
      </c>
      <c r="B14006" t="s">
        <v>530</v>
      </c>
      <c r="C14006" t="s">
        <v>23950</v>
      </c>
      <c r="D14006" t="s">
        <v>23950</v>
      </c>
      <c r="F14006" t="s">
        <v>1</v>
      </c>
      <c r="G14006" t="s">
        <v>2</v>
      </c>
      <c r="H14006" t="s">
        <v>37096</v>
      </c>
      <c r="Y14006" t="s">
        <v>48767</v>
      </c>
    </row>
    <row r="14007" spans="1:25" x14ac:dyDescent="0.25">
      <c r="A14007" t="str">
        <f>"229528954922"</f>
        <v>229528954922</v>
      </c>
      <c r="B14007" t="s">
        <v>25</v>
      </c>
      <c r="C14007" t="s">
        <v>59</v>
      </c>
      <c r="D14007" t="s">
        <v>48768</v>
      </c>
      <c r="E14007">
        <v>424003</v>
      </c>
      <c r="F14007" t="s">
        <v>1</v>
      </c>
      <c r="G14007" t="s">
        <v>2</v>
      </c>
      <c r="H14007" t="s">
        <v>21853</v>
      </c>
      <c r="J14007" t="s">
        <v>48769</v>
      </c>
      <c r="P14007" t="s">
        <v>330</v>
      </c>
      <c r="Y14007" t="s">
        <v>48770</v>
      </c>
    </row>
    <row r="14008" spans="1:25" x14ac:dyDescent="0.25">
      <c r="A14008" t="str">
        <f>"229538904189"</f>
        <v>229538904189</v>
      </c>
      <c r="B14008" t="s">
        <v>519</v>
      </c>
      <c r="C14008" t="s">
        <v>48775</v>
      </c>
      <c r="D14008" t="s">
        <v>48771</v>
      </c>
      <c r="E14008">
        <v>424000</v>
      </c>
      <c r="F14008" t="s">
        <v>1</v>
      </c>
      <c r="G14008" t="s">
        <v>2</v>
      </c>
      <c r="H14008" t="s">
        <v>7049</v>
      </c>
      <c r="I14008" t="s">
        <v>48772</v>
      </c>
      <c r="L14008" t="s">
        <v>48773</v>
      </c>
      <c r="M14008" t="s">
        <v>48774</v>
      </c>
      <c r="P14008" t="s">
        <v>48776</v>
      </c>
      <c r="Q14008" t="s">
        <v>48777</v>
      </c>
      <c r="Y14008" t="s">
        <v>48778</v>
      </c>
    </row>
    <row r="14009" spans="1:25" x14ac:dyDescent="0.25">
      <c r="A14009" t="str">
        <f>"229640236379"</f>
        <v>229640236379</v>
      </c>
      <c r="B14009" t="s">
        <v>18</v>
      </c>
      <c r="C14009" t="s">
        <v>25589</v>
      </c>
      <c r="D14009" t="s">
        <v>48779</v>
      </c>
      <c r="F14009" t="s">
        <v>1</v>
      </c>
      <c r="G14009" t="s">
        <v>2</v>
      </c>
      <c r="H14009" t="s">
        <v>48780</v>
      </c>
      <c r="I14009" t="s">
        <v>48781</v>
      </c>
      <c r="L14009" t="s">
        <v>48782</v>
      </c>
      <c r="M14009" t="s">
        <v>48783</v>
      </c>
      <c r="Q14009" t="s">
        <v>48784</v>
      </c>
      <c r="T14009" t="s">
        <v>48785</v>
      </c>
      <c r="V14009" t="s">
        <v>48786</v>
      </c>
      <c r="Y14009" t="s">
        <v>3434</v>
      </c>
    </row>
    <row r="14010" spans="1:25" x14ac:dyDescent="0.25">
      <c r="A14010" t="str">
        <f>"229687978781"</f>
        <v>229687978781</v>
      </c>
      <c r="B14010" t="s">
        <v>1352</v>
      </c>
      <c r="C14010" t="s">
        <v>1353</v>
      </c>
      <c r="D14010" t="s">
        <v>48787</v>
      </c>
      <c r="F14010" t="s">
        <v>1</v>
      </c>
      <c r="G14010" t="s">
        <v>2</v>
      </c>
      <c r="H14010" t="s">
        <v>19499</v>
      </c>
      <c r="J14010" t="s">
        <v>48788</v>
      </c>
      <c r="P14010" t="s">
        <v>144</v>
      </c>
      <c r="Y14010" t="s">
        <v>24185</v>
      </c>
    </row>
    <row r="14011" spans="1:25" x14ac:dyDescent="0.25">
      <c r="A14011" t="str">
        <f>"229698204101"</f>
        <v>229698204101</v>
      </c>
      <c r="B14011" t="s">
        <v>430</v>
      </c>
      <c r="C14011" t="s">
        <v>16178</v>
      </c>
      <c r="D14011" t="s">
        <v>48789</v>
      </c>
      <c r="E14011">
        <v>424002</v>
      </c>
      <c r="F14011" t="s">
        <v>1</v>
      </c>
      <c r="G14011" t="s">
        <v>2</v>
      </c>
      <c r="H14011" t="s">
        <v>7367</v>
      </c>
      <c r="J14011" t="s">
        <v>48790</v>
      </c>
      <c r="P14011" t="s">
        <v>2457</v>
      </c>
      <c r="Y14011" t="s">
        <v>16306</v>
      </c>
    </row>
    <row r="14012" spans="1:25" x14ac:dyDescent="0.25">
      <c r="A14012" t="str">
        <f>"229775380402"</f>
        <v>229775380402</v>
      </c>
      <c r="B14012" t="s">
        <v>716</v>
      </c>
      <c r="C14012" t="s">
        <v>26823</v>
      </c>
      <c r="D14012" t="s">
        <v>17991</v>
      </c>
      <c r="F14012" t="s">
        <v>1</v>
      </c>
      <c r="G14012" t="s">
        <v>2</v>
      </c>
      <c r="H14012" t="s">
        <v>3165</v>
      </c>
      <c r="I14012" t="s">
        <v>17992</v>
      </c>
      <c r="P14012" t="s">
        <v>330</v>
      </c>
      <c r="Y14012" t="s">
        <v>17993</v>
      </c>
    </row>
    <row r="14013" spans="1:25" x14ac:dyDescent="0.25">
      <c r="A14013" t="str">
        <f>"229820275579"</f>
        <v>229820275579</v>
      </c>
      <c r="B14013" t="s">
        <v>96</v>
      </c>
      <c r="C14013" t="s">
        <v>695</v>
      </c>
      <c r="D14013" t="s">
        <v>35477</v>
      </c>
      <c r="E14013">
        <v>424000</v>
      </c>
      <c r="F14013" t="s">
        <v>1</v>
      </c>
      <c r="G14013" t="s">
        <v>2</v>
      </c>
      <c r="H14013" t="s">
        <v>1531</v>
      </c>
      <c r="Y14013" t="s">
        <v>1707</v>
      </c>
    </row>
    <row r="14014" spans="1:25" x14ac:dyDescent="0.25">
      <c r="A14014" t="str">
        <f>"229843087218"</f>
        <v>229843087218</v>
      </c>
      <c r="B14014" t="s">
        <v>530</v>
      </c>
      <c r="C14014" t="s">
        <v>23950</v>
      </c>
      <c r="D14014" t="s">
        <v>23950</v>
      </c>
      <c r="F14014" t="s">
        <v>1</v>
      </c>
      <c r="G14014" t="s">
        <v>2</v>
      </c>
      <c r="H14014" t="s">
        <v>48791</v>
      </c>
      <c r="Y14014" t="s">
        <v>48792</v>
      </c>
    </row>
    <row r="14015" spans="1:25" x14ac:dyDescent="0.25">
      <c r="A14015" t="str">
        <f>"229877955333"</f>
        <v>229877955333</v>
      </c>
      <c r="B14015" t="s">
        <v>8117</v>
      </c>
      <c r="C14015" t="s">
        <v>8118</v>
      </c>
      <c r="D14015" t="s">
        <v>6798</v>
      </c>
      <c r="E14015">
        <v>424006</v>
      </c>
      <c r="F14015" t="s">
        <v>1</v>
      </c>
      <c r="G14015" t="s">
        <v>2</v>
      </c>
      <c r="H14015" t="s">
        <v>2525</v>
      </c>
      <c r="Y14015" t="s">
        <v>48793</v>
      </c>
    </row>
    <row r="14016" spans="1:25" x14ac:dyDescent="0.25">
      <c r="A14016" t="str">
        <f>"229882681457"</f>
        <v>229882681457</v>
      </c>
      <c r="B14016" t="s">
        <v>25</v>
      </c>
      <c r="C14016" t="s">
        <v>20320</v>
      </c>
      <c r="D14016" t="s">
        <v>48794</v>
      </c>
      <c r="E14016">
        <v>424000</v>
      </c>
      <c r="F14016" t="s">
        <v>1</v>
      </c>
      <c r="G14016" t="s">
        <v>2</v>
      </c>
      <c r="H14016" t="s">
        <v>9044</v>
      </c>
      <c r="Y14016" t="s">
        <v>48795</v>
      </c>
    </row>
    <row r="14017" spans="1:25" x14ac:dyDescent="0.25">
      <c r="A14017" t="str">
        <f>"229910433088"</f>
        <v>229910433088</v>
      </c>
      <c r="B14017" t="s">
        <v>188</v>
      </c>
      <c r="C14017" t="s">
        <v>23982</v>
      </c>
      <c r="D14017" t="s">
        <v>23982</v>
      </c>
      <c r="E14017">
        <v>424020</v>
      </c>
      <c r="F14017" t="s">
        <v>1</v>
      </c>
      <c r="G14017" t="s">
        <v>2</v>
      </c>
      <c r="H14017" t="s">
        <v>2069</v>
      </c>
      <c r="Y14017" t="s">
        <v>48796</v>
      </c>
    </row>
    <row r="14018" spans="1:25" x14ac:dyDescent="0.25">
      <c r="A14018" t="str">
        <f>"229912899858"</f>
        <v>229912899858</v>
      </c>
      <c r="B14018" t="s">
        <v>117</v>
      </c>
      <c r="C14018" t="s">
        <v>118</v>
      </c>
      <c r="D14018" t="s">
        <v>48797</v>
      </c>
      <c r="F14018" t="s">
        <v>1</v>
      </c>
      <c r="G14018" t="s">
        <v>2</v>
      </c>
      <c r="H14018" t="s">
        <v>7547</v>
      </c>
      <c r="Y14018" t="s">
        <v>48798</v>
      </c>
    </row>
    <row r="14019" spans="1:25" x14ac:dyDescent="0.25">
      <c r="A14019" t="str">
        <f>"229962500164"</f>
        <v>229962500164</v>
      </c>
      <c r="B14019" t="s">
        <v>3700</v>
      </c>
      <c r="C14019" t="s">
        <v>4023</v>
      </c>
      <c r="D14019" t="s">
        <v>36468</v>
      </c>
      <c r="E14019">
        <v>424002</v>
      </c>
      <c r="F14019" t="s">
        <v>1</v>
      </c>
      <c r="G14019" t="s">
        <v>2</v>
      </c>
      <c r="H14019" t="s">
        <v>6012</v>
      </c>
      <c r="P14019" t="s">
        <v>35444</v>
      </c>
      <c r="Y14019" t="s">
        <v>48799</v>
      </c>
    </row>
    <row r="14020" spans="1:25" x14ac:dyDescent="0.25">
      <c r="A14020" t="str">
        <f>"229979657093"</f>
        <v>229979657093</v>
      </c>
      <c r="B14020" t="s">
        <v>7312</v>
      </c>
      <c r="C14020" t="s">
        <v>19097</v>
      </c>
      <c r="D14020" t="s">
        <v>48800</v>
      </c>
      <c r="E14020">
        <v>424028</v>
      </c>
      <c r="F14020" t="s">
        <v>1</v>
      </c>
      <c r="G14020" t="s">
        <v>2</v>
      </c>
      <c r="H14020" t="s">
        <v>1969</v>
      </c>
      <c r="Y14020" t="s">
        <v>48801</v>
      </c>
    </row>
    <row r="14021" spans="1:25" x14ac:dyDescent="0.25">
      <c r="A14021" t="str">
        <f>"230008518981"</f>
        <v>230008518981</v>
      </c>
      <c r="B14021" t="s">
        <v>88</v>
      </c>
      <c r="C14021" t="s">
        <v>89</v>
      </c>
      <c r="D14021" t="s">
        <v>48802</v>
      </c>
      <c r="E14021">
        <v>424000</v>
      </c>
      <c r="F14021" t="s">
        <v>1</v>
      </c>
      <c r="G14021" t="s">
        <v>2</v>
      </c>
      <c r="H14021" t="s">
        <v>937</v>
      </c>
      <c r="J14021" t="s">
        <v>48803</v>
      </c>
      <c r="L14021" t="s">
        <v>48804</v>
      </c>
      <c r="P14021" t="s">
        <v>941</v>
      </c>
      <c r="Q14021" t="s">
        <v>48805</v>
      </c>
      <c r="Y14021" t="s">
        <v>942</v>
      </c>
    </row>
    <row r="14022" spans="1:25" x14ac:dyDescent="0.25">
      <c r="A14022" t="str">
        <f>"230017927810"</f>
        <v>230017927810</v>
      </c>
      <c r="B14022" t="s">
        <v>930</v>
      </c>
      <c r="C14022" t="s">
        <v>10263</v>
      </c>
      <c r="D14022" t="s">
        <v>48806</v>
      </c>
      <c r="E14022">
        <v>424038</v>
      </c>
      <c r="F14022" t="s">
        <v>1</v>
      </c>
      <c r="G14022" t="s">
        <v>2</v>
      </c>
      <c r="H14022" t="s">
        <v>2145</v>
      </c>
      <c r="I14022" t="s">
        <v>25253</v>
      </c>
      <c r="P14022" t="s">
        <v>330</v>
      </c>
      <c r="Y14022" t="s">
        <v>10626</v>
      </c>
    </row>
    <row r="14023" spans="1:25" x14ac:dyDescent="0.25">
      <c r="A14023" t="str">
        <f>"230025567882"</f>
        <v>230025567882</v>
      </c>
      <c r="B14023" t="s">
        <v>930</v>
      </c>
      <c r="C14023" t="s">
        <v>1096</v>
      </c>
      <c r="D14023" t="s">
        <v>48807</v>
      </c>
      <c r="E14023">
        <v>424032</v>
      </c>
      <c r="F14023" t="s">
        <v>1</v>
      </c>
      <c r="G14023" t="s">
        <v>2</v>
      </c>
      <c r="H14023" t="s">
        <v>14657</v>
      </c>
      <c r="J14023" t="s">
        <v>48808</v>
      </c>
      <c r="L14023" t="s">
        <v>16920</v>
      </c>
      <c r="M14023" t="s">
        <v>48809</v>
      </c>
      <c r="P14023" t="s">
        <v>216</v>
      </c>
      <c r="Y14023" t="s">
        <v>48810</v>
      </c>
    </row>
    <row r="14024" spans="1:25" x14ac:dyDescent="0.25">
      <c r="A14024" t="str">
        <f>"230028317548"</f>
        <v>230028317548</v>
      </c>
      <c r="B14024" t="s">
        <v>1323</v>
      </c>
      <c r="C14024" t="s">
        <v>1324</v>
      </c>
      <c r="D14024" t="s">
        <v>48811</v>
      </c>
      <c r="E14024">
        <v>424002</v>
      </c>
      <c r="F14024" t="s">
        <v>1</v>
      </c>
      <c r="G14024" t="s">
        <v>2</v>
      </c>
      <c r="H14024" t="s">
        <v>6397</v>
      </c>
      <c r="Y14024" t="s">
        <v>6401</v>
      </c>
    </row>
    <row r="14025" spans="1:25" x14ac:dyDescent="0.25">
      <c r="A14025" t="str">
        <f>"230029330048"</f>
        <v>230029330048</v>
      </c>
      <c r="B14025" t="s">
        <v>574</v>
      </c>
      <c r="C14025" t="s">
        <v>28035</v>
      </c>
      <c r="D14025" t="s">
        <v>48812</v>
      </c>
      <c r="E14025">
        <v>424019</v>
      </c>
      <c r="F14025" t="s">
        <v>1</v>
      </c>
      <c r="G14025" t="s">
        <v>2</v>
      </c>
      <c r="H14025" t="s">
        <v>12105</v>
      </c>
      <c r="Y14025" t="s">
        <v>48813</v>
      </c>
    </row>
    <row r="14026" spans="1:25" x14ac:dyDescent="0.25">
      <c r="A14026" t="str">
        <f>"230140258426"</f>
        <v>230140258426</v>
      </c>
      <c r="B14026" t="s">
        <v>574</v>
      </c>
      <c r="C14026" t="s">
        <v>952</v>
      </c>
      <c r="D14026" t="s">
        <v>26311</v>
      </c>
      <c r="E14026">
        <v>424006</v>
      </c>
      <c r="F14026" t="s">
        <v>1</v>
      </c>
      <c r="G14026" t="s">
        <v>2</v>
      </c>
      <c r="H14026" t="s">
        <v>2557</v>
      </c>
      <c r="P14026" t="s">
        <v>216</v>
      </c>
      <c r="Y14026" t="s">
        <v>15027</v>
      </c>
    </row>
    <row r="14027" spans="1:25" x14ac:dyDescent="0.25">
      <c r="A14027" t="str">
        <f>"230183534215"</f>
        <v>230183534215</v>
      </c>
      <c r="B14027" t="s">
        <v>188</v>
      </c>
      <c r="C14027" t="s">
        <v>24568</v>
      </c>
      <c r="D14027" t="s">
        <v>24568</v>
      </c>
      <c r="E14027">
        <v>424006</v>
      </c>
      <c r="F14027" t="s">
        <v>1</v>
      </c>
      <c r="G14027" t="s">
        <v>2</v>
      </c>
      <c r="H14027" t="s">
        <v>4346</v>
      </c>
      <c r="Y14027" t="s">
        <v>48814</v>
      </c>
    </row>
    <row r="14028" spans="1:25" x14ac:dyDescent="0.25">
      <c r="A14028" t="str">
        <f>"230201130828"</f>
        <v>230201130828</v>
      </c>
      <c r="B14028" t="s">
        <v>379</v>
      </c>
      <c r="C14028" t="s">
        <v>380</v>
      </c>
      <c r="D14028" t="s">
        <v>8393</v>
      </c>
      <c r="E14028">
        <v>424000</v>
      </c>
      <c r="F14028" t="s">
        <v>1</v>
      </c>
      <c r="G14028" t="s">
        <v>2</v>
      </c>
      <c r="H14028" t="s">
        <v>2925</v>
      </c>
      <c r="I14028" t="s">
        <v>48815</v>
      </c>
      <c r="L14028" t="s">
        <v>8395</v>
      </c>
      <c r="M14028" t="s">
        <v>8396</v>
      </c>
      <c r="P14028" t="s">
        <v>302</v>
      </c>
      <c r="Q14028" t="s">
        <v>8412</v>
      </c>
      <c r="R14028" t="s">
        <v>8399</v>
      </c>
      <c r="S14028" t="s">
        <v>8400</v>
      </c>
      <c r="T14028" t="s">
        <v>8401</v>
      </c>
      <c r="Y14028" t="s">
        <v>2929</v>
      </c>
    </row>
    <row r="14029" spans="1:25" x14ac:dyDescent="0.25">
      <c r="A14029" t="str">
        <f>"230202911264"</f>
        <v>230202911264</v>
      </c>
      <c r="B14029" t="s">
        <v>1046</v>
      </c>
      <c r="C14029" t="s">
        <v>3497</v>
      </c>
      <c r="D14029" t="s">
        <v>15292</v>
      </c>
      <c r="E14029">
        <v>424037</v>
      </c>
      <c r="F14029" t="s">
        <v>1</v>
      </c>
      <c r="G14029" t="s">
        <v>2</v>
      </c>
      <c r="H14029" t="s">
        <v>48816</v>
      </c>
      <c r="I14029" t="s">
        <v>48817</v>
      </c>
      <c r="L14029" t="s">
        <v>4449</v>
      </c>
      <c r="M14029" t="s">
        <v>48818</v>
      </c>
      <c r="P14029" t="s">
        <v>330</v>
      </c>
      <c r="Y14029" t="s">
        <v>48819</v>
      </c>
    </row>
    <row r="14030" spans="1:25" x14ac:dyDescent="0.25">
      <c r="A14030" t="str">
        <f>"230204236054"</f>
        <v>230204236054</v>
      </c>
      <c r="B14030" t="s">
        <v>1611</v>
      </c>
      <c r="C14030" t="s">
        <v>25647</v>
      </c>
      <c r="D14030" t="s">
        <v>48820</v>
      </c>
      <c r="E14030">
        <v>424000</v>
      </c>
      <c r="F14030" t="s">
        <v>1</v>
      </c>
      <c r="G14030" t="s">
        <v>2</v>
      </c>
      <c r="H14030" t="s">
        <v>25646</v>
      </c>
      <c r="Y14030" t="s">
        <v>39699</v>
      </c>
    </row>
    <row r="14031" spans="1:25" x14ac:dyDescent="0.25">
      <c r="A14031" t="str">
        <f>"230214092863"</f>
        <v>230214092863</v>
      </c>
      <c r="B14031" t="s">
        <v>96</v>
      </c>
      <c r="C14031" t="s">
        <v>893</v>
      </c>
      <c r="D14031" t="s">
        <v>48821</v>
      </c>
      <c r="E14031">
        <v>424003</v>
      </c>
      <c r="F14031" t="s">
        <v>1</v>
      </c>
      <c r="G14031" t="s">
        <v>2</v>
      </c>
      <c r="H14031" t="s">
        <v>24961</v>
      </c>
      <c r="P14031" t="s">
        <v>1760</v>
      </c>
      <c r="Y14031" t="s">
        <v>48822</v>
      </c>
    </row>
    <row r="14032" spans="1:25" x14ac:dyDescent="0.25">
      <c r="A14032" t="str">
        <f>"230214985001"</f>
        <v>230214985001</v>
      </c>
      <c r="B14032" t="s">
        <v>67</v>
      </c>
      <c r="C14032" t="s">
        <v>269</v>
      </c>
      <c r="D14032" t="s">
        <v>1147</v>
      </c>
      <c r="E14032">
        <v>424020</v>
      </c>
      <c r="F14032" t="s">
        <v>1</v>
      </c>
      <c r="G14032" t="s">
        <v>2</v>
      </c>
      <c r="H14032" t="s">
        <v>24402</v>
      </c>
      <c r="I14032" t="s">
        <v>1149</v>
      </c>
      <c r="Y14032" t="s">
        <v>48823</v>
      </c>
    </row>
    <row r="14033" spans="1:25" x14ac:dyDescent="0.25">
      <c r="A14033" t="str">
        <f>"230216959378"</f>
        <v>230216959378</v>
      </c>
      <c r="B14033" t="s">
        <v>1152</v>
      </c>
      <c r="C14033" t="s">
        <v>1153</v>
      </c>
      <c r="D14033" t="s">
        <v>24071</v>
      </c>
      <c r="E14033">
        <v>424004</v>
      </c>
      <c r="F14033" t="s">
        <v>1</v>
      </c>
      <c r="G14033" t="s">
        <v>2</v>
      </c>
      <c r="H14033" t="s">
        <v>1169</v>
      </c>
      <c r="P14033" t="s">
        <v>9820</v>
      </c>
      <c r="Y14033" t="s">
        <v>48824</v>
      </c>
    </row>
    <row r="14034" spans="1:25" x14ac:dyDescent="0.25">
      <c r="A14034" t="str">
        <f>"230255136780"</f>
        <v>230255136780</v>
      </c>
      <c r="B14034" t="s">
        <v>5745</v>
      </c>
      <c r="C14034" t="s">
        <v>5746</v>
      </c>
      <c r="D14034" t="s">
        <v>48825</v>
      </c>
      <c r="E14034">
        <v>424003</v>
      </c>
      <c r="F14034" t="s">
        <v>1</v>
      </c>
      <c r="G14034" t="s">
        <v>2</v>
      </c>
      <c r="H14034" t="s">
        <v>21853</v>
      </c>
      <c r="Y14034" t="s">
        <v>48826</v>
      </c>
    </row>
    <row r="14035" spans="1:25" x14ac:dyDescent="0.25">
      <c r="A14035" t="str">
        <f>"230320816333"</f>
        <v>230320816333</v>
      </c>
      <c r="B14035" t="s">
        <v>96</v>
      </c>
      <c r="C14035" t="s">
        <v>695</v>
      </c>
      <c r="D14035" t="s">
        <v>38451</v>
      </c>
      <c r="E14035">
        <v>424037</v>
      </c>
      <c r="F14035" t="s">
        <v>1</v>
      </c>
      <c r="G14035" t="s">
        <v>2</v>
      </c>
      <c r="H14035" t="s">
        <v>14956</v>
      </c>
      <c r="J14035" t="s">
        <v>48827</v>
      </c>
      <c r="P14035" t="s">
        <v>2296</v>
      </c>
      <c r="Y14035" t="s">
        <v>48828</v>
      </c>
    </row>
    <row r="14036" spans="1:25" x14ac:dyDescent="0.25">
      <c r="A14036" t="str">
        <f>"230385142269"</f>
        <v>230385142269</v>
      </c>
      <c r="B14036" t="s">
        <v>32</v>
      </c>
      <c r="C14036" t="s">
        <v>777</v>
      </c>
      <c r="D14036" t="s">
        <v>48829</v>
      </c>
      <c r="E14036">
        <v>424007</v>
      </c>
      <c r="F14036" t="s">
        <v>1</v>
      </c>
      <c r="G14036" t="s">
        <v>2</v>
      </c>
      <c r="H14036" t="s">
        <v>23667</v>
      </c>
      <c r="I14036" t="s">
        <v>48830</v>
      </c>
      <c r="P14036" t="s">
        <v>8397</v>
      </c>
      <c r="Y14036" t="s">
        <v>48831</v>
      </c>
    </row>
    <row r="14037" spans="1:25" x14ac:dyDescent="0.25">
      <c r="A14037" t="str">
        <f>"230436463401"</f>
        <v>230436463401</v>
      </c>
      <c r="B14037" t="s">
        <v>5745</v>
      </c>
      <c r="C14037" t="s">
        <v>11619</v>
      </c>
      <c r="D14037" t="s">
        <v>20503</v>
      </c>
      <c r="E14037">
        <v>424004</v>
      </c>
      <c r="F14037" t="s">
        <v>1</v>
      </c>
      <c r="G14037" t="s">
        <v>2</v>
      </c>
      <c r="H14037" t="s">
        <v>21769</v>
      </c>
      <c r="Y14037" t="s">
        <v>48832</v>
      </c>
    </row>
    <row r="14038" spans="1:25" x14ac:dyDescent="0.25">
      <c r="A14038" t="str">
        <f>"230441996074"</f>
        <v>230441996074</v>
      </c>
      <c r="B14038" t="s">
        <v>123</v>
      </c>
      <c r="C14038" t="s">
        <v>424</v>
      </c>
      <c r="D14038" t="s">
        <v>48833</v>
      </c>
      <c r="E14038">
        <v>424002</v>
      </c>
      <c r="F14038" t="s">
        <v>1</v>
      </c>
      <c r="G14038" t="s">
        <v>2</v>
      </c>
      <c r="H14038" t="s">
        <v>21554</v>
      </c>
      <c r="J14038" t="s">
        <v>48834</v>
      </c>
      <c r="Q14038" t="s">
        <v>48835</v>
      </c>
      <c r="Y14038" t="s">
        <v>48836</v>
      </c>
    </row>
    <row r="14039" spans="1:25" x14ac:dyDescent="0.25">
      <c r="A14039" t="str">
        <f>"230481801167"</f>
        <v>230481801167</v>
      </c>
      <c r="B14039" t="s">
        <v>224</v>
      </c>
      <c r="C14039" t="s">
        <v>48841</v>
      </c>
      <c r="D14039" t="s">
        <v>48837</v>
      </c>
      <c r="E14039">
        <v>424019</v>
      </c>
      <c r="F14039" t="s">
        <v>1</v>
      </c>
      <c r="G14039" t="s">
        <v>2</v>
      </c>
      <c r="H14039" t="s">
        <v>20692</v>
      </c>
      <c r="I14039" t="s">
        <v>48838</v>
      </c>
      <c r="L14039" t="s">
        <v>48839</v>
      </c>
      <c r="M14039" t="s">
        <v>48840</v>
      </c>
      <c r="P14039" t="s">
        <v>280</v>
      </c>
      <c r="Y14039" t="s">
        <v>20697</v>
      </c>
    </row>
    <row r="14040" spans="1:25" x14ac:dyDescent="0.25">
      <c r="A14040" t="str">
        <f>"230500565614"</f>
        <v>230500565614</v>
      </c>
      <c r="B14040" t="s">
        <v>930</v>
      </c>
      <c r="C14040" t="s">
        <v>15966</v>
      </c>
      <c r="D14040" t="s">
        <v>15966</v>
      </c>
      <c r="E14040">
        <v>424006</v>
      </c>
      <c r="F14040" t="s">
        <v>1</v>
      </c>
      <c r="G14040" t="s">
        <v>2</v>
      </c>
      <c r="H14040" t="s">
        <v>48842</v>
      </c>
      <c r="J14040" t="s">
        <v>48843</v>
      </c>
      <c r="P14040" t="s">
        <v>12788</v>
      </c>
      <c r="Y14040" t="s">
        <v>3523</v>
      </c>
    </row>
    <row r="14041" spans="1:25" x14ac:dyDescent="0.25">
      <c r="A14041" t="str">
        <f>"230528915978"</f>
        <v>230528915978</v>
      </c>
      <c r="B14041" t="s">
        <v>117</v>
      </c>
      <c r="C14041" t="s">
        <v>873</v>
      </c>
      <c r="D14041" t="s">
        <v>873</v>
      </c>
      <c r="F14041" t="s">
        <v>1</v>
      </c>
      <c r="G14041" t="s">
        <v>2</v>
      </c>
      <c r="H14041" t="s">
        <v>7547</v>
      </c>
      <c r="Y14041" t="s">
        <v>48844</v>
      </c>
    </row>
    <row r="14042" spans="1:25" x14ac:dyDescent="0.25">
      <c r="A14042" t="str">
        <f>"230536496560"</f>
        <v>230536496560</v>
      </c>
      <c r="B14042" t="s">
        <v>5573</v>
      </c>
      <c r="C14042" t="s">
        <v>21453</v>
      </c>
      <c r="D14042" t="s">
        <v>38869</v>
      </c>
      <c r="E14042">
        <v>424033</v>
      </c>
      <c r="F14042" t="s">
        <v>1</v>
      </c>
      <c r="G14042" t="s">
        <v>2</v>
      </c>
      <c r="H14042" t="s">
        <v>2597</v>
      </c>
      <c r="Y14042" t="s">
        <v>33196</v>
      </c>
    </row>
    <row r="14043" spans="1:25" x14ac:dyDescent="0.25">
      <c r="A14043" t="str">
        <f>"230603660625"</f>
        <v>230603660625</v>
      </c>
      <c r="B14043" t="s">
        <v>574</v>
      </c>
      <c r="C14043" t="s">
        <v>952</v>
      </c>
      <c r="D14043" t="s">
        <v>7620</v>
      </c>
      <c r="E14043">
        <v>424038</v>
      </c>
      <c r="F14043" t="s">
        <v>1</v>
      </c>
      <c r="G14043" t="s">
        <v>2</v>
      </c>
      <c r="H14043" t="s">
        <v>2103</v>
      </c>
      <c r="Y14043" t="s">
        <v>48845</v>
      </c>
    </row>
    <row r="14044" spans="1:25" x14ac:dyDescent="0.25">
      <c r="A14044" t="str">
        <f>"230659272925"</f>
        <v>230659272925</v>
      </c>
      <c r="B14044" t="s">
        <v>930</v>
      </c>
      <c r="C14044" t="s">
        <v>927</v>
      </c>
      <c r="D14044" t="s">
        <v>927</v>
      </c>
      <c r="E14044">
        <v>424040</v>
      </c>
      <c r="F14044" t="s">
        <v>1</v>
      </c>
      <c r="G14044" t="s">
        <v>2</v>
      </c>
      <c r="H14044" t="s">
        <v>48846</v>
      </c>
      <c r="Y14044" t="s">
        <v>48847</v>
      </c>
    </row>
    <row r="14045" spans="1:25" x14ac:dyDescent="0.25">
      <c r="A14045" t="str">
        <f>"230685382559"</f>
        <v>230685382559</v>
      </c>
      <c r="B14045" t="s">
        <v>18</v>
      </c>
      <c r="C14045" t="s">
        <v>48851</v>
      </c>
      <c r="D14045" t="s">
        <v>48848</v>
      </c>
      <c r="E14045">
        <v>424004</v>
      </c>
      <c r="F14045" t="s">
        <v>1</v>
      </c>
      <c r="G14045" t="s">
        <v>2</v>
      </c>
      <c r="H14045" t="s">
        <v>48849</v>
      </c>
      <c r="I14045" t="s">
        <v>48850</v>
      </c>
      <c r="P14045" t="s">
        <v>23307</v>
      </c>
      <c r="Y14045" t="s">
        <v>48852</v>
      </c>
    </row>
    <row r="14046" spans="1:25" x14ac:dyDescent="0.25">
      <c r="A14046" t="str">
        <f>"230718837027"</f>
        <v>230718837027</v>
      </c>
      <c r="B14046" t="s">
        <v>7</v>
      </c>
      <c r="C14046" t="s">
        <v>48854</v>
      </c>
      <c r="D14046" t="s">
        <v>151</v>
      </c>
      <c r="E14046">
        <v>424002</v>
      </c>
      <c r="F14046" t="s">
        <v>1</v>
      </c>
      <c r="G14046" t="s">
        <v>2</v>
      </c>
      <c r="H14046" t="s">
        <v>33372</v>
      </c>
      <c r="I14046" t="s">
        <v>48853</v>
      </c>
      <c r="M14046" t="s">
        <v>29273</v>
      </c>
      <c r="P14046" t="s">
        <v>2951</v>
      </c>
      <c r="Y14046" t="s">
        <v>11344</v>
      </c>
    </row>
    <row r="14047" spans="1:25" x14ac:dyDescent="0.25">
      <c r="A14047" t="str">
        <f>"230759875896"</f>
        <v>230759875896</v>
      </c>
      <c r="B14047" t="s">
        <v>1343</v>
      </c>
      <c r="C14047" t="s">
        <v>25123</v>
      </c>
      <c r="D14047" t="s">
        <v>48855</v>
      </c>
      <c r="E14047">
        <v>424037</v>
      </c>
      <c r="F14047" t="s">
        <v>1</v>
      </c>
      <c r="G14047" t="s">
        <v>2</v>
      </c>
      <c r="H14047" t="s">
        <v>18247</v>
      </c>
      <c r="I14047" t="s">
        <v>48856</v>
      </c>
      <c r="J14047" t="s">
        <v>25122</v>
      </c>
      <c r="P14047" t="s">
        <v>1760</v>
      </c>
      <c r="Q14047" t="s">
        <v>25124</v>
      </c>
      <c r="Y14047" t="s">
        <v>48857</v>
      </c>
    </row>
    <row r="14048" spans="1:25" x14ac:dyDescent="0.25">
      <c r="A14048" t="str">
        <f>"230768999041"</f>
        <v>230768999041</v>
      </c>
      <c r="B14048" t="s">
        <v>574</v>
      </c>
      <c r="C14048" t="s">
        <v>24952</v>
      </c>
      <c r="D14048" t="s">
        <v>24951</v>
      </c>
      <c r="E14048">
        <v>424038</v>
      </c>
      <c r="F14048" t="s">
        <v>1</v>
      </c>
      <c r="G14048" t="s">
        <v>2</v>
      </c>
      <c r="H14048" t="s">
        <v>16024</v>
      </c>
      <c r="Y14048" t="s">
        <v>48858</v>
      </c>
    </row>
    <row r="14049" spans="1:25" x14ac:dyDescent="0.25">
      <c r="A14049" t="str">
        <f>"230797761405"</f>
        <v>230797761405</v>
      </c>
      <c r="B14049" t="s">
        <v>243</v>
      </c>
      <c r="C14049" t="s">
        <v>2538</v>
      </c>
      <c r="D14049" t="s">
        <v>47683</v>
      </c>
      <c r="F14049" t="s">
        <v>1</v>
      </c>
      <c r="G14049" t="s">
        <v>2</v>
      </c>
      <c r="H14049" t="s">
        <v>3984</v>
      </c>
      <c r="Y14049" t="s">
        <v>48859</v>
      </c>
    </row>
    <row r="14050" spans="1:25" x14ac:dyDescent="0.25">
      <c r="A14050" t="str">
        <f>"230818987213"</f>
        <v>230818987213</v>
      </c>
      <c r="B14050" t="s">
        <v>624</v>
      </c>
      <c r="C14050" t="s">
        <v>1637</v>
      </c>
      <c r="D14050" t="s">
        <v>48860</v>
      </c>
      <c r="E14050">
        <v>424033</v>
      </c>
      <c r="F14050" t="s">
        <v>1</v>
      </c>
      <c r="G14050" t="s">
        <v>2</v>
      </c>
      <c r="H14050" t="s">
        <v>48861</v>
      </c>
      <c r="J14050" t="s">
        <v>48862</v>
      </c>
      <c r="P14050" t="s">
        <v>280</v>
      </c>
      <c r="Y14050" t="s">
        <v>48863</v>
      </c>
    </row>
    <row r="14051" spans="1:25" x14ac:dyDescent="0.25">
      <c r="A14051" t="str">
        <f>"230865321950"</f>
        <v>230865321950</v>
      </c>
      <c r="B14051" t="s">
        <v>553</v>
      </c>
      <c r="C14051" t="s">
        <v>10404</v>
      </c>
      <c r="D14051" t="s">
        <v>11728</v>
      </c>
      <c r="E14051">
        <v>424000</v>
      </c>
      <c r="F14051" t="s">
        <v>1</v>
      </c>
      <c r="G14051" t="s">
        <v>2</v>
      </c>
      <c r="H14051" t="s">
        <v>92</v>
      </c>
      <c r="I14051" t="s">
        <v>48864</v>
      </c>
      <c r="P14051" t="s">
        <v>14834</v>
      </c>
      <c r="Y14051" t="s">
        <v>28397</v>
      </c>
    </row>
    <row r="14052" spans="1:25" x14ac:dyDescent="0.25">
      <c r="A14052" t="str">
        <f>"230867035772"</f>
        <v>230867035772</v>
      </c>
      <c r="B14052" t="s">
        <v>430</v>
      </c>
      <c r="C14052" t="s">
        <v>2571</v>
      </c>
      <c r="D14052" t="s">
        <v>48865</v>
      </c>
      <c r="E14052">
        <v>424033</v>
      </c>
      <c r="F14052" t="s">
        <v>1</v>
      </c>
      <c r="G14052" t="s">
        <v>2</v>
      </c>
      <c r="H14052" t="s">
        <v>10720</v>
      </c>
      <c r="J14052" t="s">
        <v>48866</v>
      </c>
      <c r="P14052" t="s">
        <v>216</v>
      </c>
      <c r="Y14052" t="s">
        <v>48867</v>
      </c>
    </row>
    <row r="14053" spans="1:25" x14ac:dyDescent="0.25">
      <c r="A14053" t="str">
        <f>"230913317145"</f>
        <v>230913317145</v>
      </c>
      <c r="B14053" t="s">
        <v>574</v>
      </c>
      <c r="C14053" t="s">
        <v>646</v>
      </c>
      <c r="D14053" t="s">
        <v>48868</v>
      </c>
      <c r="E14053">
        <v>424005</v>
      </c>
      <c r="F14053" t="s">
        <v>1</v>
      </c>
      <c r="G14053" t="s">
        <v>2</v>
      </c>
      <c r="H14053" t="s">
        <v>23938</v>
      </c>
      <c r="P14053" t="s">
        <v>48869</v>
      </c>
      <c r="Y14053" t="s">
        <v>48870</v>
      </c>
    </row>
    <row r="14054" spans="1:25" x14ac:dyDescent="0.25">
      <c r="A14054" t="str">
        <f>"230926151320"</f>
        <v>230926151320</v>
      </c>
      <c r="B14054" t="s">
        <v>530</v>
      </c>
      <c r="C14054" t="s">
        <v>531</v>
      </c>
      <c r="D14054" t="s">
        <v>43473</v>
      </c>
      <c r="E14054">
        <v>424007</v>
      </c>
      <c r="F14054" t="s">
        <v>1</v>
      </c>
      <c r="G14054" t="s">
        <v>2</v>
      </c>
      <c r="H14054" t="s">
        <v>3119</v>
      </c>
      <c r="J14054" t="s">
        <v>48871</v>
      </c>
      <c r="P14054" t="s">
        <v>330</v>
      </c>
      <c r="Y14054" t="s">
        <v>6812</v>
      </c>
    </row>
    <row r="14055" spans="1:25" x14ac:dyDescent="0.25">
      <c r="A14055" t="str">
        <f>"230945612223"</f>
        <v>230945612223</v>
      </c>
      <c r="B14055" t="s">
        <v>88</v>
      </c>
      <c r="C14055" t="s">
        <v>6066</v>
      </c>
      <c r="D14055" t="s">
        <v>48872</v>
      </c>
      <c r="E14055">
        <v>424002</v>
      </c>
      <c r="F14055" t="s">
        <v>1</v>
      </c>
      <c r="G14055" t="s">
        <v>2</v>
      </c>
      <c r="H14055" t="s">
        <v>744</v>
      </c>
      <c r="I14055" t="s">
        <v>48873</v>
      </c>
      <c r="P14055" t="s">
        <v>748</v>
      </c>
      <c r="Y14055" t="s">
        <v>749</v>
      </c>
    </row>
    <row r="14056" spans="1:25" x14ac:dyDescent="0.25">
      <c r="A14056" t="str">
        <f>"230972266963"</f>
        <v>230972266963</v>
      </c>
      <c r="B14056" t="s">
        <v>2104</v>
      </c>
      <c r="C14056" t="s">
        <v>2105</v>
      </c>
      <c r="D14056" t="s">
        <v>48874</v>
      </c>
      <c r="E14056">
        <v>424003</v>
      </c>
      <c r="F14056" t="s">
        <v>1</v>
      </c>
      <c r="G14056" t="s">
        <v>2</v>
      </c>
      <c r="H14056" t="s">
        <v>28200</v>
      </c>
      <c r="P14056" t="s">
        <v>1642</v>
      </c>
      <c r="Y14056" t="s">
        <v>48875</v>
      </c>
    </row>
    <row r="14057" spans="1:25" x14ac:dyDescent="0.25">
      <c r="A14057" t="str">
        <f>"230973440822"</f>
        <v>230973440822</v>
      </c>
      <c r="B14057" t="s">
        <v>96</v>
      </c>
      <c r="C14057" t="s">
        <v>893</v>
      </c>
      <c r="D14057" t="s">
        <v>16444</v>
      </c>
      <c r="E14057">
        <v>424038</v>
      </c>
      <c r="F14057" t="s">
        <v>1</v>
      </c>
      <c r="G14057" t="s">
        <v>2</v>
      </c>
      <c r="H14057" t="s">
        <v>2614</v>
      </c>
      <c r="Y14057" t="s">
        <v>48876</v>
      </c>
    </row>
    <row r="14058" spans="1:25" x14ac:dyDescent="0.25">
      <c r="A14058" t="str">
        <f>"230991905069"</f>
        <v>230991905069</v>
      </c>
      <c r="B14058" t="s">
        <v>1573</v>
      </c>
      <c r="C14058" t="s">
        <v>1817</v>
      </c>
      <c r="D14058" t="s">
        <v>1815</v>
      </c>
      <c r="E14058">
        <v>424033</v>
      </c>
      <c r="F14058" t="s">
        <v>1</v>
      </c>
      <c r="G14058" t="s">
        <v>2</v>
      </c>
      <c r="H14058" t="s">
        <v>2597</v>
      </c>
      <c r="Y14058" t="s">
        <v>48877</v>
      </c>
    </row>
    <row r="14059" spans="1:25" x14ac:dyDescent="0.25">
      <c r="A14059" t="str">
        <f>"231028950839"</f>
        <v>231028950839</v>
      </c>
      <c r="B14059" t="s">
        <v>530</v>
      </c>
      <c r="C14059" t="s">
        <v>23950</v>
      </c>
      <c r="D14059" t="s">
        <v>23950</v>
      </c>
      <c r="F14059" t="s">
        <v>1</v>
      </c>
      <c r="G14059" t="s">
        <v>2</v>
      </c>
      <c r="H14059" t="s">
        <v>40918</v>
      </c>
      <c r="Y14059" t="s">
        <v>48878</v>
      </c>
    </row>
    <row r="14060" spans="1:25" x14ac:dyDescent="0.25">
      <c r="A14060" t="str">
        <f>"231045904600"</f>
        <v>231045904600</v>
      </c>
      <c r="B14060" t="s">
        <v>284</v>
      </c>
      <c r="C14060" t="s">
        <v>711</v>
      </c>
      <c r="D14060" t="s">
        <v>48879</v>
      </c>
      <c r="F14060" t="s">
        <v>1</v>
      </c>
      <c r="G14060" t="s">
        <v>2</v>
      </c>
      <c r="H14060" t="s">
        <v>1003</v>
      </c>
      <c r="J14060" t="s">
        <v>48880</v>
      </c>
      <c r="P14060" t="s">
        <v>27</v>
      </c>
      <c r="Y14060" t="s">
        <v>1006</v>
      </c>
    </row>
    <row r="14061" spans="1:25" x14ac:dyDescent="0.25">
      <c r="A14061" t="str">
        <f>"231051710649"</f>
        <v>231051710649</v>
      </c>
      <c r="B14061" t="s">
        <v>131</v>
      </c>
      <c r="C14061" t="s">
        <v>8826</v>
      </c>
      <c r="D14061" t="s">
        <v>48881</v>
      </c>
      <c r="E14061">
        <v>424033</v>
      </c>
      <c r="F14061" t="s">
        <v>1</v>
      </c>
      <c r="G14061" t="s">
        <v>2</v>
      </c>
      <c r="H14061" t="s">
        <v>19839</v>
      </c>
      <c r="J14061" t="s">
        <v>48882</v>
      </c>
      <c r="P14061" t="s">
        <v>27965</v>
      </c>
      <c r="Y14061" t="s">
        <v>19841</v>
      </c>
    </row>
    <row r="14062" spans="1:25" x14ac:dyDescent="0.25">
      <c r="A14062" t="str">
        <f>"231057048344"</f>
        <v>231057048344</v>
      </c>
      <c r="B14062" t="s">
        <v>160</v>
      </c>
      <c r="C14062" t="s">
        <v>1666</v>
      </c>
      <c r="D14062" t="s">
        <v>38983</v>
      </c>
      <c r="E14062">
        <v>424038</v>
      </c>
      <c r="F14062" t="s">
        <v>1</v>
      </c>
      <c r="G14062" t="s">
        <v>2</v>
      </c>
      <c r="H14062" t="s">
        <v>546</v>
      </c>
      <c r="I14062" t="s">
        <v>38721</v>
      </c>
      <c r="L14062" t="s">
        <v>38722</v>
      </c>
      <c r="M14062" t="s">
        <v>38723</v>
      </c>
      <c r="P14062" t="s">
        <v>260</v>
      </c>
      <c r="Q14062" t="s">
        <v>38724</v>
      </c>
      <c r="Y14062" t="s">
        <v>549</v>
      </c>
    </row>
    <row r="14063" spans="1:25" x14ac:dyDescent="0.25">
      <c r="A14063" t="str">
        <f>"231148502095"</f>
        <v>231148502095</v>
      </c>
      <c r="B14063" t="s">
        <v>290</v>
      </c>
      <c r="C14063" t="s">
        <v>21096</v>
      </c>
      <c r="D14063" t="s">
        <v>48883</v>
      </c>
      <c r="E14063">
        <v>424918</v>
      </c>
      <c r="F14063" t="s">
        <v>1</v>
      </c>
      <c r="G14063" t="s">
        <v>2</v>
      </c>
      <c r="H14063" t="s">
        <v>629</v>
      </c>
      <c r="P14063" t="s">
        <v>630</v>
      </c>
      <c r="Y14063" t="s">
        <v>1744</v>
      </c>
    </row>
    <row r="14064" spans="1:25" x14ac:dyDescent="0.25">
      <c r="A14064" t="str">
        <f>"231170514560"</f>
        <v>231170514560</v>
      </c>
      <c r="B14064" t="s">
        <v>1544</v>
      </c>
      <c r="C14064" t="s">
        <v>15598</v>
      </c>
      <c r="D14064" t="s">
        <v>48884</v>
      </c>
      <c r="E14064">
        <v>424033</v>
      </c>
      <c r="F14064" t="s">
        <v>1</v>
      </c>
      <c r="G14064" t="s">
        <v>2</v>
      </c>
      <c r="H14064" t="s">
        <v>1782</v>
      </c>
      <c r="P14064" t="s">
        <v>330</v>
      </c>
      <c r="Y14064" t="s">
        <v>48885</v>
      </c>
    </row>
    <row r="14065" spans="1:25" x14ac:dyDescent="0.25">
      <c r="A14065" t="str">
        <f>"231173943575"</f>
        <v>231173943575</v>
      </c>
      <c r="B14065" t="s">
        <v>123</v>
      </c>
      <c r="C14065" t="s">
        <v>10232</v>
      </c>
      <c r="D14065" t="s">
        <v>48886</v>
      </c>
      <c r="E14065">
        <v>424005</v>
      </c>
      <c r="F14065" t="s">
        <v>1</v>
      </c>
      <c r="G14065" t="s">
        <v>2</v>
      </c>
      <c r="H14065" t="s">
        <v>2988</v>
      </c>
      <c r="Y14065" t="s">
        <v>48887</v>
      </c>
    </row>
    <row r="14066" spans="1:25" x14ac:dyDescent="0.25">
      <c r="A14066" t="str">
        <f>"231203680581"</f>
        <v>231203680581</v>
      </c>
      <c r="B14066" t="s">
        <v>48</v>
      </c>
      <c r="C14066" t="s">
        <v>16070</v>
      </c>
      <c r="D14066" t="s">
        <v>16070</v>
      </c>
      <c r="E14066">
        <v>424019</v>
      </c>
      <c r="F14066" t="s">
        <v>1</v>
      </c>
      <c r="G14066" t="s">
        <v>2</v>
      </c>
      <c r="H14066" t="s">
        <v>17030</v>
      </c>
      <c r="Y14066" t="s">
        <v>48888</v>
      </c>
    </row>
    <row r="14067" spans="1:25" x14ac:dyDescent="0.25">
      <c r="A14067" t="str">
        <f>"231212530103"</f>
        <v>231212530103</v>
      </c>
      <c r="B14067" t="s">
        <v>2846</v>
      </c>
      <c r="C14067" t="s">
        <v>17312</v>
      </c>
      <c r="D14067" t="s">
        <v>48889</v>
      </c>
      <c r="E14067">
        <v>424038</v>
      </c>
      <c r="F14067" t="s">
        <v>1</v>
      </c>
      <c r="G14067" t="s">
        <v>2</v>
      </c>
      <c r="H14067" t="s">
        <v>8196</v>
      </c>
      <c r="Y14067" t="s">
        <v>48890</v>
      </c>
    </row>
    <row r="14068" spans="1:25" x14ac:dyDescent="0.25">
      <c r="A14068" t="str">
        <f>"231273706489"</f>
        <v>231273706489</v>
      </c>
      <c r="B14068" t="s">
        <v>1053</v>
      </c>
      <c r="C14068" t="s">
        <v>48893</v>
      </c>
      <c r="D14068" t="s">
        <v>48891</v>
      </c>
      <c r="E14068">
        <v>424007</v>
      </c>
      <c r="F14068" t="s">
        <v>1</v>
      </c>
      <c r="G14068" t="s">
        <v>2</v>
      </c>
      <c r="H14068" t="s">
        <v>220</v>
      </c>
      <c r="J14068" t="s">
        <v>48892</v>
      </c>
      <c r="P14068" t="s">
        <v>1035</v>
      </c>
      <c r="Y14068" t="s">
        <v>227</v>
      </c>
    </row>
    <row r="14069" spans="1:25" x14ac:dyDescent="0.25">
      <c r="A14069" t="str">
        <f>"231291912830"</f>
        <v>231291912830</v>
      </c>
      <c r="B14069" t="s">
        <v>123</v>
      </c>
      <c r="C14069" t="s">
        <v>124</v>
      </c>
      <c r="D14069" t="s">
        <v>4527</v>
      </c>
      <c r="E14069">
        <v>424038</v>
      </c>
      <c r="F14069" t="s">
        <v>1</v>
      </c>
      <c r="G14069" t="s">
        <v>2</v>
      </c>
      <c r="H14069" t="s">
        <v>1366</v>
      </c>
      <c r="I14069" t="s">
        <v>4529</v>
      </c>
      <c r="L14069" t="s">
        <v>43976</v>
      </c>
      <c r="P14069" t="s">
        <v>34</v>
      </c>
      <c r="Q14069" t="s">
        <v>4532</v>
      </c>
      <c r="V14069" t="s">
        <v>43978</v>
      </c>
      <c r="Y14069" t="s">
        <v>48894</v>
      </c>
    </row>
    <row r="14070" spans="1:25" x14ac:dyDescent="0.25">
      <c r="A14070" t="str">
        <f>"231299072872"</f>
        <v>231299072872</v>
      </c>
      <c r="B14070" t="s">
        <v>7312</v>
      </c>
      <c r="C14070" t="s">
        <v>9849</v>
      </c>
      <c r="D14070" t="s">
        <v>11810</v>
      </c>
      <c r="E14070">
        <v>424000</v>
      </c>
      <c r="F14070" t="s">
        <v>1</v>
      </c>
      <c r="G14070" t="s">
        <v>2</v>
      </c>
      <c r="H14070" t="s">
        <v>1473</v>
      </c>
      <c r="P14070" t="s">
        <v>941</v>
      </c>
      <c r="Y14070" t="s">
        <v>48895</v>
      </c>
    </row>
    <row r="14071" spans="1:25" x14ac:dyDescent="0.25">
      <c r="A14071" t="str">
        <f>"231326513411"</f>
        <v>231326513411</v>
      </c>
      <c r="B14071" t="s">
        <v>176</v>
      </c>
      <c r="C14071" t="s">
        <v>250</v>
      </c>
      <c r="D14071" t="s">
        <v>48896</v>
      </c>
      <c r="F14071" t="s">
        <v>1</v>
      </c>
      <c r="G14071" t="s">
        <v>2</v>
      </c>
      <c r="H14071" t="s">
        <v>48897</v>
      </c>
      <c r="I14071" t="s">
        <v>41911</v>
      </c>
      <c r="J14071" t="s">
        <v>41912</v>
      </c>
      <c r="P14071" t="s">
        <v>5829</v>
      </c>
      <c r="Y14071" t="s">
        <v>48898</v>
      </c>
    </row>
    <row r="14072" spans="1:25" x14ac:dyDescent="0.25">
      <c r="A14072" t="str">
        <f>"231343917599"</f>
        <v>231343917599</v>
      </c>
      <c r="B14072" t="s">
        <v>797</v>
      </c>
      <c r="C14072" t="s">
        <v>5123</v>
      </c>
      <c r="D14072" t="s">
        <v>48899</v>
      </c>
      <c r="E14072">
        <v>424002</v>
      </c>
      <c r="F14072" t="s">
        <v>1</v>
      </c>
      <c r="G14072" t="s">
        <v>2</v>
      </c>
      <c r="H14072" t="s">
        <v>570</v>
      </c>
      <c r="I14072" t="s">
        <v>47620</v>
      </c>
      <c r="P14072" t="s">
        <v>2406</v>
      </c>
      <c r="Y14072" t="s">
        <v>18782</v>
      </c>
    </row>
    <row r="14073" spans="1:25" x14ac:dyDescent="0.25">
      <c r="A14073" t="str">
        <f>"231351132563"</f>
        <v>231351132563</v>
      </c>
      <c r="B14073" t="s">
        <v>117</v>
      </c>
      <c r="C14073" t="s">
        <v>118</v>
      </c>
      <c r="D14073" t="s">
        <v>48900</v>
      </c>
      <c r="E14073">
        <v>424038</v>
      </c>
      <c r="F14073" t="s">
        <v>1</v>
      </c>
      <c r="G14073" t="s">
        <v>2</v>
      </c>
      <c r="H14073" t="s">
        <v>6550</v>
      </c>
      <c r="Y14073" t="s">
        <v>48901</v>
      </c>
    </row>
    <row r="14074" spans="1:25" x14ac:dyDescent="0.25">
      <c r="A14074" t="str">
        <f>"231386939512"</f>
        <v>231386939512</v>
      </c>
      <c r="B14074" t="s">
        <v>2055</v>
      </c>
      <c r="C14074" t="s">
        <v>48903</v>
      </c>
      <c r="D14074" t="s">
        <v>48902</v>
      </c>
      <c r="E14074">
        <v>424007</v>
      </c>
      <c r="F14074" t="s">
        <v>1</v>
      </c>
      <c r="G14074" t="s">
        <v>2</v>
      </c>
      <c r="H14074" t="s">
        <v>5647</v>
      </c>
      <c r="Y14074" t="s">
        <v>48904</v>
      </c>
    </row>
    <row r="14075" spans="1:25" x14ac:dyDescent="0.25">
      <c r="A14075" t="str">
        <f>"231425719754"</f>
        <v>231425719754</v>
      </c>
      <c r="B14075" t="s">
        <v>1053</v>
      </c>
      <c r="C14075" t="s">
        <v>1927</v>
      </c>
      <c r="D14075" t="s">
        <v>48905</v>
      </c>
      <c r="F14075" t="s">
        <v>1</v>
      </c>
      <c r="G14075" t="s">
        <v>2</v>
      </c>
      <c r="H14075" t="s">
        <v>48906</v>
      </c>
      <c r="Y14075" t="s">
        <v>48907</v>
      </c>
    </row>
    <row r="14076" spans="1:25" x14ac:dyDescent="0.25">
      <c r="A14076" t="str">
        <f>"231454968668"</f>
        <v>231454968668</v>
      </c>
      <c r="B14076" t="s">
        <v>462</v>
      </c>
      <c r="C14076" t="s">
        <v>3988</v>
      </c>
      <c r="D14076" t="s">
        <v>48908</v>
      </c>
      <c r="E14076">
        <v>424007</v>
      </c>
      <c r="F14076" t="s">
        <v>1</v>
      </c>
      <c r="G14076" t="s">
        <v>2</v>
      </c>
      <c r="H14076" t="s">
        <v>5178</v>
      </c>
      <c r="I14076" t="s">
        <v>48909</v>
      </c>
      <c r="P14076" t="s">
        <v>7125</v>
      </c>
      <c r="Y14076" t="s">
        <v>48910</v>
      </c>
    </row>
    <row r="14077" spans="1:25" x14ac:dyDescent="0.25">
      <c r="A14077" t="str">
        <f>"231505194991"</f>
        <v>231505194991</v>
      </c>
      <c r="B14077" t="s">
        <v>430</v>
      </c>
      <c r="C14077" t="s">
        <v>940</v>
      </c>
      <c r="D14077" t="s">
        <v>48911</v>
      </c>
      <c r="F14077" t="s">
        <v>1</v>
      </c>
      <c r="G14077" t="s">
        <v>2</v>
      </c>
      <c r="H14077" t="s">
        <v>3984</v>
      </c>
      <c r="Y14077" t="s">
        <v>4409</v>
      </c>
    </row>
    <row r="14078" spans="1:25" x14ac:dyDescent="0.25">
      <c r="A14078" t="str">
        <f>"231566243131"</f>
        <v>231566243131</v>
      </c>
      <c r="B14078" t="s">
        <v>1573</v>
      </c>
      <c r="C14078" t="s">
        <v>11913</v>
      </c>
      <c r="D14078" t="s">
        <v>48912</v>
      </c>
      <c r="E14078">
        <v>424007</v>
      </c>
      <c r="F14078" t="s">
        <v>1</v>
      </c>
      <c r="G14078" t="s">
        <v>2</v>
      </c>
      <c r="H14078" t="s">
        <v>2983</v>
      </c>
      <c r="Y14078" t="s">
        <v>48913</v>
      </c>
    </row>
    <row r="14079" spans="1:25" x14ac:dyDescent="0.25">
      <c r="A14079" t="str">
        <f>"231615368825"</f>
        <v>231615368825</v>
      </c>
      <c r="B14079" t="s">
        <v>930</v>
      </c>
      <c r="C14079" t="s">
        <v>23108</v>
      </c>
      <c r="D14079" t="s">
        <v>48914</v>
      </c>
      <c r="F14079" t="s">
        <v>1</v>
      </c>
      <c r="G14079" t="s">
        <v>2</v>
      </c>
      <c r="H14079" t="s">
        <v>21832</v>
      </c>
      <c r="J14079" t="s">
        <v>48915</v>
      </c>
      <c r="P14079" t="s">
        <v>133</v>
      </c>
      <c r="Y14079" t="s">
        <v>48916</v>
      </c>
    </row>
    <row r="14080" spans="1:25" x14ac:dyDescent="0.25">
      <c r="A14080" t="str">
        <f>"231675118905"</f>
        <v>231675118905</v>
      </c>
      <c r="B14080" t="s">
        <v>110</v>
      </c>
      <c r="C14080" t="s">
        <v>48919</v>
      </c>
      <c r="D14080" t="s">
        <v>48917</v>
      </c>
      <c r="E14080">
        <v>424002</v>
      </c>
      <c r="F14080" t="s">
        <v>1</v>
      </c>
      <c r="G14080" t="s">
        <v>2</v>
      </c>
      <c r="H14080" t="s">
        <v>974</v>
      </c>
      <c r="I14080" t="s">
        <v>48918</v>
      </c>
      <c r="P14080" t="s">
        <v>27</v>
      </c>
      <c r="Y14080" t="s">
        <v>48920</v>
      </c>
    </row>
    <row r="14081" spans="1:25" x14ac:dyDescent="0.25">
      <c r="A14081" t="str">
        <f>"231700517891"</f>
        <v>231700517891</v>
      </c>
      <c r="B14081" t="s">
        <v>96</v>
      </c>
      <c r="C14081" t="s">
        <v>20281</v>
      </c>
      <c r="D14081" t="s">
        <v>21572</v>
      </c>
      <c r="E14081">
        <v>424020</v>
      </c>
      <c r="F14081" t="s">
        <v>1</v>
      </c>
      <c r="G14081" t="s">
        <v>2</v>
      </c>
      <c r="H14081" t="s">
        <v>7738</v>
      </c>
      <c r="Y14081" t="s">
        <v>48921</v>
      </c>
    </row>
    <row r="14082" spans="1:25" x14ac:dyDescent="0.25">
      <c r="A14082" t="str">
        <f>"231702499732"</f>
        <v>231702499732</v>
      </c>
      <c r="B14082" t="s">
        <v>1352</v>
      </c>
      <c r="C14082" t="s">
        <v>1353</v>
      </c>
      <c r="D14082" t="s">
        <v>48922</v>
      </c>
      <c r="E14082">
        <v>424019</v>
      </c>
      <c r="F14082" t="s">
        <v>1</v>
      </c>
      <c r="G14082" t="s">
        <v>2</v>
      </c>
      <c r="H14082" t="s">
        <v>7785</v>
      </c>
      <c r="J14082" t="s">
        <v>48923</v>
      </c>
      <c r="P14082" t="s">
        <v>98</v>
      </c>
      <c r="Y14082" t="s">
        <v>48924</v>
      </c>
    </row>
    <row r="14083" spans="1:25" x14ac:dyDescent="0.25">
      <c r="A14083" t="str">
        <f>"231723499716"</f>
        <v>231723499716</v>
      </c>
      <c r="B14083" t="s">
        <v>25</v>
      </c>
      <c r="C14083" t="s">
        <v>59</v>
      </c>
      <c r="D14083" t="s">
        <v>48925</v>
      </c>
      <c r="E14083">
        <v>424002</v>
      </c>
      <c r="F14083" t="s">
        <v>1</v>
      </c>
      <c r="G14083" t="s">
        <v>2</v>
      </c>
      <c r="H14083" t="s">
        <v>1190</v>
      </c>
      <c r="I14083" t="s">
        <v>48926</v>
      </c>
      <c r="P14083" t="s">
        <v>27</v>
      </c>
      <c r="Y14083" t="s">
        <v>1284</v>
      </c>
    </row>
    <row r="14084" spans="1:25" x14ac:dyDescent="0.25">
      <c r="A14084" t="str">
        <f>"231726306952"</f>
        <v>231726306952</v>
      </c>
      <c r="B14084" t="s">
        <v>123</v>
      </c>
      <c r="C14084" t="s">
        <v>424</v>
      </c>
      <c r="D14084" t="s">
        <v>48927</v>
      </c>
      <c r="F14084" t="s">
        <v>1</v>
      </c>
      <c r="G14084" t="s">
        <v>2</v>
      </c>
      <c r="H14084" t="s">
        <v>48928</v>
      </c>
      <c r="I14084" t="s">
        <v>48929</v>
      </c>
      <c r="P14084" t="s">
        <v>425</v>
      </c>
      <c r="Y14084" t="s">
        <v>48930</v>
      </c>
    </row>
    <row r="14085" spans="1:25" x14ac:dyDescent="0.25">
      <c r="A14085" t="str">
        <f>"231773829648"</f>
        <v>231773829648</v>
      </c>
      <c r="B14085" t="s">
        <v>1046</v>
      </c>
      <c r="C14085" t="s">
        <v>3808</v>
      </c>
      <c r="D14085" t="s">
        <v>48931</v>
      </c>
      <c r="E14085">
        <v>424007</v>
      </c>
      <c r="F14085" t="s">
        <v>1</v>
      </c>
      <c r="G14085" t="s">
        <v>2</v>
      </c>
      <c r="H14085" t="s">
        <v>5281</v>
      </c>
      <c r="I14085" t="s">
        <v>48932</v>
      </c>
      <c r="P14085" t="s">
        <v>48933</v>
      </c>
      <c r="Y14085" t="s">
        <v>16121</v>
      </c>
    </row>
    <row r="14086" spans="1:25" x14ac:dyDescent="0.25">
      <c r="A14086" t="str">
        <f>"231825245885"</f>
        <v>231825245885</v>
      </c>
      <c r="B14086" t="s">
        <v>574</v>
      </c>
      <c r="C14086" t="s">
        <v>646</v>
      </c>
      <c r="D14086" t="s">
        <v>48934</v>
      </c>
      <c r="E14086">
        <v>424030</v>
      </c>
      <c r="F14086" t="s">
        <v>1</v>
      </c>
      <c r="G14086" t="s">
        <v>2</v>
      </c>
      <c r="H14086" t="s">
        <v>18541</v>
      </c>
      <c r="Y14086" t="s">
        <v>48935</v>
      </c>
    </row>
    <row r="14087" spans="1:25" x14ac:dyDescent="0.25">
      <c r="A14087" t="str">
        <f>"231836080743"</f>
        <v>231836080743</v>
      </c>
      <c r="B14087" t="s">
        <v>290</v>
      </c>
      <c r="C14087" t="s">
        <v>291</v>
      </c>
      <c r="D14087" t="s">
        <v>31994</v>
      </c>
      <c r="F14087" t="s">
        <v>1</v>
      </c>
      <c r="G14087" t="s">
        <v>2</v>
      </c>
      <c r="H14087" t="s">
        <v>21391</v>
      </c>
      <c r="P14087" t="s">
        <v>330</v>
      </c>
      <c r="Y14087" t="s">
        <v>48936</v>
      </c>
    </row>
    <row r="14088" spans="1:25" x14ac:dyDescent="0.25">
      <c r="A14088" t="str">
        <f>"231864555730"</f>
        <v>231864555730</v>
      </c>
      <c r="B14088" t="s">
        <v>790</v>
      </c>
      <c r="C14088" t="s">
        <v>4583</v>
      </c>
      <c r="D14088" t="s">
        <v>48937</v>
      </c>
      <c r="E14088">
        <v>424039</v>
      </c>
      <c r="F14088" t="s">
        <v>1</v>
      </c>
      <c r="G14088" t="s">
        <v>2</v>
      </c>
      <c r="H14088" t="s">
        <v>5827</v>
      </c>
      <c r="J14088" t="s">
        <v>48938</v>
      </c>
      <c r="L14088" t="s">
        <v>48939</v>
      </c>
      <c r="P14088" t="s">
        <v>48940</v>
      </c>
      <c r="Q14088" t="s">
        <v>48941</v>
      </c>
      <c r="V14088" t="s">
        <v>48942</v>
      </c>
      <c r="Y14088" t="s">
        <v>27950</v>
      </c>
    </row>
    <row r="14089" spans="1:25" x14ac:dyDescent="0.25">
      <c r="A14089" t="str">
        <f>"231885696439"</f>
        <v>231885696439</v>
      </c>
      <c r="B14089" t="s">
        <v>930</v>
      </c>
      <c r="C14089" t="s">
        <v>10263</v>
      </c>
      <c r="D14089" t="s">
        <v>10263</v>
      </c>
      <c r="F14089" t="s">
        <v>1</v>
      </c>
      <c r="G14089" t="s">
        <v>2</v>
      </c>
      <c r="H14089" t="s">
        <v>4446</v>
      </c>
      <c r="Y14089" t="s">
        <v>48943</v>
      </c>
    </row>
    <row r="14090" spans="1:25" x14ac:dyDescent="0.25">
      <c r="A14090" t="str">
        <f>"231909814011"</f>
        <v>231909814011</v>
      </c>
      <c r="B14090" t="s">
        <v>7</v>
      </c>
      <c r="C14090" t="s">
        <v>9397</v>
      </c>
      <c r="D14090" t="s">
        <v>42345</v>
      </c>
      <c r="E14090">
        <v>424006</v>
      </c>
      <c r="F14090" t="s">
        <v>1</v>
      </c>
      <c r="G14090" t="s">
        <v>2</v>
      </c>
      <c r="H14090" t="s">
        <v>2185</v>
      </c>
      <c r="L14090" t="s">
        <v>48944</v>
      </c>
      <c r="M14090" t="s">
        <v>48945</v>
      </c>
      <c r="P14090" t="s">
        <v>27</v>
      </c>
      <c r="Y14090" t="s">
        <v>2191</v>
      </c>
    </row>
    <row r="14091" spans="1:25" x14ac:dyDescent="0.25">
      <c r="A14091" t="str">
        <f>"231989466561"</f>
        <v>231989466561</v>
      </c>
      <c r="B14091" t="s">
        <v>430</v>
      </c>
      <c r="C14091" t="s">
        <v>16178</v>
      </c>
      <c r="D14091" t="s">
        <v>10135</v>
      </c>
      <c r="F14091" t="s">
        <v>1</v>
      </c>
      <c r="G14091" t="s">
        <v>2</v>
      </c>
      <c r="H14091" t="s">
        <v>48946</v>
      </c>
      <c r="P14091" t="s">
        <v>216</v>
      </c>
      <c r="Y14091" t="s">
        <v>48947</v>
      </c>
    </row>
    <row r="14092" spans="1:25" x14ac:dyDescent="0.25">
      <c r="A14092" t="str">
        <f>"232014284136"</f>
        <v>232014284136</v>
      </c>
      <c r="B14092" t="s">
        <v>176</v>
      </c>
      <c r="C14092" t="s">
        <v>566</v>
      </c>
      <c r="D14092" t="s">
        <v>48948</v>
      </c>
      <c r="E14092">
        <v>424000</v>
      </c>
      <c r="F14092" t="s">
        <v>1</v>
      </c>
      <c r="G14092" t="s">
        <v>2</v>
      </c>
      <c r="H14092" t="s">
        <v>5523</v>
      </c>
      <c r="Y14092" t="s">
        <v>5529</v>
      </c>
    </row>
    <row r="14093" spans="1:25" x14ac:dyDescent="0.25">
      <c r="A14093" t="str">
        <f>"232041364452"</f>
        <v>232041364452</v>
      </c>
      <c r="B14093" t="s">
        <v>160</v>
      </c>
      <c r="C14093" t="s">
        <v>1666</v>
      </c>
      <c r="D14093" t="s">
        <v>48949</v>
      </c>
      <c r="E14093">
        <v>424000</v>
      </c>
      <c r="F14093" t="s">
        <v>1</v>
      </c>
      <c r="G14093" t="s">
        <v>2</v>
      </c>
      <c r="H14093" t="s">
        <v>1746</v>
      </c>
      <c r="P14093" t="s">
        <v>112</v>
      </c>
      <c r="Y14093" t="s">
        <v>48950</v>
      </c>
    </row>
    <row r="14094" spans="1:25" x14ac:dyDescent="0.25">
      <c r="A14094" t="str">
        <f>"232078176430"</f>
        <v>232078176430</v>
      </c>
      <c r="B14094" t="s">
        <v>574</v>
      </c>
      <c r="C14094" t="s">
        <v>646</v>
      </c>
      <c r="D14094" t="s">
        <v>33962</v>
      </c>
      <c r="E14094">
        <v>424019</v>
      </c>
      <c r="F14094" t="s">
        <v>1</v>
      </c>
      <c r="G14094" t="s">
        <v>2</v>
      </c>
      <c r="H14094" t="s">
        <v>39916</v>
      </c>
      <c r="J14094" t="s">
        <v>48951</v>
      </c>
      <c r="P14094" t="s">
        <v>2457</v>
      </c>
      <c r="Y14094" t="s">
        <v>48952</v>
      </c>
    </row>
    <row r="14095" spans="1:25" x14ac:dyDescent="0.25">
      <c r="A14095" t="str">
        <f>"232126775260"</f>
        <v>232126775260</v>
      </c>
      <c r="B14095" t="s">
        <v>96</v>
      </c>
      <c r="C14095" t="s">
        <v>893</v>
      </c>
      <c r="D14095" t="s">
        <v>25910</v>
      </c>
      <c r="E14095">
        <v>424033</v>
      </c>
      <c r="F14095" t="s">
        <v>1</v>
      </c>
      <c r="G14095" t="s">
        <v>2</v>
      </c>
      <c r="H14095" t="s">
        <v>2597</v>
      </c>
      <c r="J14095" t="s">
        <v>25911</v>
      </c>
      <c r="P14095" t="s">
        <v>2050</v>
      </c>
      <c r="Y14095" t="s">
        <v>2718</v>
      </c>
    </row>
    <row r="14096" spans="1:25" x14ac:dyDescent="0.25">
      <c r="A14096" t="str">
        <f>"232192634971"</f>
        <v>232192634971</v>
      </c>
      <c r="B14096" t="s">
        <v>88</v>
      </c>
      <c r="C14096" t="s">
        <v>11240</v>
      </c>
      <c r="D14096" t="s">
        <v>23167</v>
      </c>
      <c r="E14096">
        <v>424031</v>
      </c>
      <c r="F14096" t="s">
        <v>1</v>
      </c>
      <c r="G14096" t="s">
        <v>2</v>
      </c>
      <c r="H14096" t="s">
        <v>4622</v>
      </c>
      <c r="Y14096" t="s">
        <v>48953</v>
      </c>
    </row>
    <row r="14097" spans="1:25" x14ac:dyDescent="0.25">
      <c r="A14097" t="str">
        <f>"232216122714"</f>
        <v>232216122714</v>
      </c>
      <c r="B14097" t="s">
        <v>1573</v>
      </c>
      <c r="C14097" t="s">
        <v>1817</v>
      </c>
      <c r="D14097" t="s">
        <v>24505</v>
      </c>
      <c r="E14097">
        <v>424032</v>
      </c>
      <c r="F14097" t="s">
        <v>1</v>
      </c>
      <c r="G14097" t="s">
        <v>2</v>
      </c>
      <c r="H14097" t="s">
        <v>24307</v>
      </c>
      <c r="Y14097" t="s">
        <v>48954</v>
      </c>
    </row>
    <row r="14098" spans="1:25" x14ac:dyDescent="0.25">
      <c r="A14098" t="str">
        <f>"232336020688"</f>
        <v>232336020688</v>
      </c>
      <c r="B14098" t="s">
        <v>703</v>
      </c>
      <c r="C14098" t="s">
        <v>43168</v>
      </c>
      <c r="D14098" t="s">
        <v>48955</v>
      </c>
      <c r="F14098" t="s">
        <v>1</v>
      </c>
      <c r="G14098" t="s">
        <v>2</v>
      </c>
      <c r="H14098" t="s">
        <v>3984</v>
      </c>
      <c r="Y14098" t="s">
        <v>48956</v>
      </c>
    </row>
    <row r="14099" spans="1:25" x14ac:dyDescent="0.25">
      <c r="A14099" t="str">
        <f>"232412247687"</f>
        <v>232412247687</v>
      </c>
      <c r="B14099" t="s">
        <v>32</v>
      </c>
      <c r="C14099" t="s">
        <v>40</v>
      </c>
      <c r="D14099" t="s">
        <v>48957</v>
      </c>
      <c r="E14099">
        <v>424037</v>
      </c>
      <c r="F14099" t="s">
        <v>1</v>
      </c>
      <c r="G14099" t="s">
        <v>2</v>
      </c>
      <c r="H14099" t="s">
        <v>28900</v>
      </c>
      <c r="P14099" t="s">
        <v>48958</v>
      </c>
      <c r="Y14099" t="s">
        <v>48959</v>
      </c>
    </row>
    <row r="14100" spans="1:25" x14ac:dyDescent="0.25">
      <c r="A14100" t="str">
        <f>"232415219095"</f>
        <v>232415219095</v>
      </c>
      <c r="B14100" t="s">
        <v>790</v>
      </c>
      <c r="C14100" t="s">
        <v>48963</v>
      </c>
      <c r="D14100" t="s">
        <v>48960</v>
      </c>
      <c r="E14100">
        <v>424020</v>
      </c>
      <c r="F14100" t="s">
        <v>1</v>
      </c>
      <c r="G14100" t="s">
        <v>2</v>
      </c>
      <c r="H14100" t="s">
        <v>7063</v>
      </c>
      <c r="J14100" t="s">
        <v>48961</v>
      </c>
      <c r="M14100" t="s">
        <v>48962</v>
      </c>
      <c r="P14100" t="s">
        <v>144</v>
      </c>
      <c r="Q14100" t="s">
        <v>48964</v>
      </c>
      <c r="Y14100" t="s">
        <v>48965</v>
      </c>
    </row>
    <row r="14101" spans="1:25" x14ac:dyDescent="0.25">
      <c r="A14101" t="str">
        <f>"232440099341"</f>
        <v>232440099341</v>
      </c>
      <c r="B14101" t="s">
        <v>80</v>
      </c>
      <c r="C14101" t="s">
        <v>10516</v>
      </c>
      <c r="D14101" t="s">
        <v>21908</v>
      </c>
      <c r="E14101">
        <v>424007</v>
      </c>
      <c r="F14101" t="s">
        <v>1</v>
      </c>
      <c r="G14101" t="s">
        <v>2</v>
      </c>
      <c r="H14101" t="s">
        <v>1319</v>
      </c>
      <c r="M14101" t="s">
        <v>33665</v>
      </c>
      <c r="Y14101" t="s">
        <v>18331</v>
      </c>
    </row>
    <row r="14102" spans="1:25" x14ac:dyDescent="0.25">
      <c r="A14102" t="str">
        <f>"232451067978"</f>
        <v>232451067978</v>
      </c>
      <c r="B14102" t="s">
        <v>3008</v>
      </c>
      <c r="C14102" t="s">
        <v>28798</v>
      </c>
      <c r="D14102" t="s">
        <v>15481</v>
      </c>
      <c r="E14102">
        <v>424007</v>
      </c>
      <c r="F14102" t="s">
        <v>1</v>
      </c>
      <c r="G14102" t="s">
        <v>2</v>
      </c>
      <c r="H14102" t="s">
        <v>14570</v>
      </c>
      <c r="J14102" t="s">
        <v>48966</v>
      </c>
      <c r="P14102" t="s">
        <v>133</v>
      </c>
      <c r="Y14102" t="s">
        <v>14573</v>
      </c>
    </row>
    <row r="14103" spans="1:25" x14ac:dyDescent="0.25">
      <c r="A14103" t="str">
        <f>"232472500655"</f>
        <v>232472500655</v>
      </c>
      <c r="B14103" t="s">
        <v>233</v>
      </c>
      <c r="C14103" t="s">
        <v>34636</v>
      </c>
      <c r="D14103" t="s">
        <v>2081</v>
      </c>
      <c r="E14103">
        <v>424007</v>
      </c>
      <c r="F14103" t="s">
        <v>1</v>
      </c>
      <c r="G14103" t="s">
        <v>2</v>
      </c>
      <c r="H14103" t="s">
        <v>3119</v>
      </c>
      <c r="J14103" t="s">
        <v>48967</v>
      </c>
      <c r="P14103" t="s">
        <v>410</v>
      </c>
      <c r="Y14103" t="s">
        <v>6812</v>
      </c>
    </row>
    <row r="14104" spans="1:25" x14ac:dyDescent="0.25">
      <c r="A14104" t="str">
        <f>"232531308767"</f>
        <v>232531308767</v>
      </c>
      <c r="B14104" t="s">
        <v>574</v>
      </c>
      <c r="C14104" t="s">
        <v>646</v>
      </c>
      <c r="D14104" t="s">
        <v>574</v>
      </c>
      <c r="E14104">
        <v>424000</v>
      </c>
      <c r="F14104" t="s">
        <v>1</v>
      </c>
      <c r="G14104" t="s">
        <v>2</v>
      </c>
      <c r="H14104" t="s">
        <v>28565</v>
      </c>
      <c r="Y14104" t="s">
        <v>48968</v>
      </c>
    </row>
    <row r="14105" spans="1:25" x14ac:dyDescent="0.25">
      <c r="A14105" t="str">
        <f>"232563961667"</f>
        <v>232563961667</v>
      </c>
      <c r="B14105" t="s">
        <v>160</v>
      </c>
      <c r="C14105" t="s">
        <v>15654</v>
      </c>
      <c r="D14105" t="s">
        <v>48969</v>
      </c>
      <c r="E14105">
        <v>424007</v>
      </c>
      <c r="F14105" t="s">
        <v>1</v>
      </c>
      <c r="G14105" t="s">
        <v>2</v>
      </c>
      <c r="H14105" t="s">
        <v>32041</v>
      </c>
      <c r="I14105" t="s">
        <v>48970</v>
      </c>
      <c r="L14105" t="s">
        <v>6190</v>
      </c>
      <c r="M14105" t="s">
        <v>48971</v>
      </c>
      <c r="P14105" t="s">
        <v>48972</v>
      </c>
      <c r="Y14105" t="s">
        <v>48973</v>
      </c>
    </row>
    <row r="14106" spans="1:25" x14ac:dyDescent="0.25">
      <c r="A14106" t="str">
        <f>"232583778997"</f>
        <v>232583778997</v>
      </c>
      <c r="B14106" t="s">
        <v>1573</v>
      </c>
      <c r="C14106" t="s">
        <v>1574</v>
      </c>
      <c r="D14106" t="s">
        <v>48974</v>
      </c>
      <c r="E14106">
        <v>424000</v>
      </c>
      <c r="F14106" t="s">
        <v>1</v>
      </c>
      <c r="G14106" t="s">
        <v>2</v>
      </c>
      <c r="H14106" t="s">
        <v>10803</v>
      </c>
      <c r="Y14106" t="s">
        <v>10805</v>
      </c>
    </row>
    <row r="14107" spans="1:25" x14ac:dyDescent="0.25">
      <c r="A14107" t="str">
        <f>"232628438903"</f>
        <v>232628438903</v>
      </c>
      <c r="B14107" t="s">
        <v>574</v>
      </c>
      <c r="C14107" t="s">
        <v>646</v>
      </c>
      <c r="D14107" t="s">
        <v>32395</v>
      </c>
      <c r="E14107">
        <v>424003</v>
      </c>
      <c r="F14107" t="s">
        <v>1</v>
      </c>
      <c r="G14107" t="s">
        <v>2</v>
      </c>
      <c r="H14107" t="s">
        <v>4546</v>
      </c>
      <c r="J14107" t="s">
        <v>32396</v>
      </c>
      <c r="P14107" t="s">
        <v>8994</v>
      </c>
      <c r="Y14107" t="s">
        <v>5427</v>
      </c>
    </row>
    <row r="14108" spans="1:25" x14ac:dyDescent="0.25">
      <c r="A14108" t="str">
        <f>"232631756556"</f>
        <v>232631756556</v>
      </c>
      <c r="B14108" t="s">
        <v>25</v>
      </c>
      <c r="C14108" t="s">
        <v>24938</v>
      </c>
      <c r="D14108" t="s">
        <v>48975</v>
      </c>
      <c r="F14108" t="s">
        <v>1</v>
      </c>
      <c r="G14108" t="s">
        <v>2</v>
      </c>
      <c r="H14108" t="s">
        <v>38542</v>
      </c>
      <c r="I14108" t="s">
        <v>28307</v>
      </c>
      <c r="L14108" t="s">
        <v>26146</v>
      </c>
      <c r="M14108" t="s">
        <v>48976</v>
      </c>
      <c r="Y14108" t="s">
        <v>48977</v>
      </c>
    </row>
    <row r="14109" spans="1:25" x14ac:dyDescent="0.25">
      <c r="A14109" t="str">
        <f>"232644796444"</f>
        <v>232644796444</v>
      </c>
      <c r="B14109" t="s">
        <v>2846</v>
      </c>
      <c r="C14109" t="s">
        <v>11032</v>
      </c>
      <c r="D14109" t="s">
        <v>48978</v>
      </c>
      <c r="E14109">
        <v>424007</v>
      </c>
      <c r="F14109" t="s">
        <v>1</v>
      </c>
      <c r="G14109" t="s">
        <v>2</v>
      </c>
      <c r="H14109" t="s">
        <v>5178</v>
      </c>
      <c r="P14109" t="s">
        <v>2731</v>
      </c>
      <c r="Y14109" t="s">
        <v>48979</v>
      </c>
    </row>
    <row r="14110" spans="1:25" x14ac:dyDescent="0.25">
      <c r="A14110" t="str">
        <f>"232666426142"</f>
        <v>232666426142</v>
      </c>
      <c r="B14110" t="s">
        <v>574</v>
      </c>
      <c r="C14110" t="s">
        <v>23462</v>
      </c>
      <c r="D14110" t="s">
        <v>24693</v>
      </c>
      <c r="E14110">
        <v>424038</v>
      </c>
      <c r="F14110" t="s">
        <v>1</v>
      </c>
      <c r="G14110" t="s">
        <v>2</v>
      </c>
      <c r="H14110" t="s">
        <v>2103</v>
      </c>
      <c r="Y14110" t="s">
        <v>2323</v>
      </c>
    </row>
    <row r="14111" spans="1:25" x14ac:dyDescent="0.25">
      <c r="A14111" t="str">
        <f>"232671987767"</f>
        <v>232671987767</v>
      </c>
      <c r="B14111" t="s">
        <v>96</v>
      </c>
      <c r="C14111" t="s">
        <v>8479</v>
      </c>
      <c r="D14111" t="s">
        <v>41408</v>
      </c>
      <c r="E14111">
        <v>424039</v>
      </c>
      <c r="F14111" t="s">
        <v>1</v>
      </c>
      <c r="G14111" t="s">
        <v>2</v>
      </c>
      <c r="H14111" t="s">
        <v>5827</v>
      </c>
      <c r="Y14111" t="s">
        <v>23921</v>
      </c>
    </row>
    <row r="14112" spans="1:25" x14ac:dyDescent="0.25">
      <c r="A14112" t="str">
        <f>"232679057797"</f>
        <v>232679057797</v>
      </c>
      <c r="B14112" t="s">
        <v>290</v>
      </c>
      <c r="C14112" t="s">
        <v>23328</v>
      </c>
      <c r="D14112" t="s">
        <v>48980</v>
      </c>
      <c r="E14112">
        <v>424019</v>
      </c>
      <c r="F14112" t="s">
        <v>1</v>
      </c>
      <c r="G14112" t="s">
        <v>2</v>
      </c>
      <c r="H14112" t="s">
        <v>42900</v>
      </c>
      <c r="J14112" t="s">
        <v>48981</v>
      </c>
      <c r="L14112" t="s">
        <v>48982</v>
      </c>
      <c r="M14112" t="s">
        <v>48983</v>
      </c>
      <c r="Y14112" t="s">
        <v>48984</v>
      </c>
    </row>
    <row r="14113" spans="1:25" x14ac:dyDescent="0.25">
      <c r="A14113" t="str">
        <f>"232713806464"</f>
        <v>232713806464</v>
      </c>
      <c r="B14113" t="s">
        <v>2846</v>
      </c>
      <c r="C14113" t="s">
        <v>17743</v>
      </c>
      <c r="D14113" t="s">
        <v>48985</v>
      </c>
      <c r="E14113">
        <v>424038</v>
      </c>
      <c r="F14113" t="s">
        <v>1</v>
      </c>
      <c r="G14113" t="s">
        <v>2</v>
      </c>
      <c r="H14113" t="s">
        <v>7597</v>
      </c>
      <c r="J14113" t="s">
        <v>48986</v>
      </c>
      <c r="P14113" t="s">
        <v>1642</v>
      </c>
      <c r="Q14113" t="s">
        <v>48987</v>
      </c>
      <c r="Y14113" t="s">
        <v>16150</v>
      </c>
    </row>
    <row r="14114" spans="1:25" x14ac:dyDescent="0.25">
      <c r="A14114" t="str">
        <f>"232761576332"</f>
        <v>232761576332</v>
      </c>
      <c r="B14114" t="s">
        <v>1573</v>
      </c>
      <c r="C14114" t="s">
        <v>47798</v>
      </c>
      <c r="D14114" t="s">
        <v>48988</v>
      </c>
      <c r="E14114">
        <v>424007</v>
      </c>
      <c r="F14114" t="s">
        <v>1</v>
      </c>
      <c r="G14114" t="s">
        <v>2</v>
      </c>
      <c r="H14114" t="s">
        <v>9406</v>
      </c>
      <c r="I14114" t="s">
        <v>48989</v>
      </c>
      <c r="J14114" t="s">
        <v>43698</v>
      </c>
      <c r="L14114" t="s">
        <v>48990</v>
      </c>
      <c r="M14114" t="s">
        <v>48991</v>
      </c>
      <c r="P14114" t="s">
        <v>20</v>
      </c>
      <c r="Y14114" t="s">
        <v>17587</v>
      </c>
    </row>
    <row r="14115" spans="1:25" x14ac:dyDescent="0.25">
      <c r="A14115" t="str">
        <f>"232770151967"</f>
        <v>232770151967</v>
      </c>
      <c r="B14115" t="s">
        <v>3700</v>
      </c>
      <c r="C14115" t="s">
        <v>3700</v>
      </c>
      <c r="D14115" t="s">
        <v>48992</v>
      </c>
      <c r="E14115">
        <v>424002</v>
      </c>
      <c r="F14115" t="s">
        <v>1</v>
      </c>
      <c r="G14115" t="s">
        <v>2</v>
      </c>
      <c r="H14115" t="s">
        <v>570</v>
      </c>
      <c r="L14115" t="s">
        <v>48993</v>
      </c>
      <c r="M14115" t="s">
        <v>48994</v>
      </c>
      <c r="Y14115" t="s">
        <v>18782</v>
      </c>
    </row>
    <row r="14116" spans="1:25" x14ac:dyDescent="0.25">
      <c r="A14116" t="str">
        <f>"232773721776"</f>
        <v>232773721776</v>
      </c>
      <c r="B14116" t="s">
        <v>96</v>
      </c>
      <c r="C14116" t="s">
        <v>48995</v>
      </c>
      <c r="D14116" t="s">
        <v>38329</v>
      </c>
      <c r="E14116">
        <v>424028</v>
      </c>
      <c r="F14116" t="s">
        <v>1</v>
      </c>
      <c r="G14116" t="s">
        <v>2</v>
      </c>
      <c r="H14116" t="s">
        <v>5034</v>
      </c>
      <c r="Y14116" t="s">
        <v>5036</v>
      </c>
    </row>
    <row r="14117" spans="1:25" x14ac:dyDescent="0.25">
      <c r="A14117" t="str">
        <f>"232776970684"</f>
        <v>232776970684</v>
      </c>
      <c r="B14117" t="s">
        <v>574</v>
      </c>
      <c r="C14117" t="s">
        <v>952</v>
      </c>
      <c r="D14117" t="s">
        <v>48996</v>
      </c>
      <c r="E14117">
        <v>424036</v>
      </c>
      <c r="F14117" t="s">
        <v>1</v>
      </c>
      <c r="G14117" t="s">
        <v>2</v>
      </c>
      <c r="H14117" t="s">
        <v>8222</v>
      </c>
      <c r="P14117" t="s">
        <v>48997</v>
      </c>
      <c r="Y14117" t="s">
        <v>48998</v>
      </c>
    </row>
    <row r="14118" spans="1:25" x14ac:dyDescent="0.25">
      <c r="A14118" t="str">
        <f>"232800217008"</f>
        <v>232800217008</v>
      </c>
      <c r="B14118" t="s">
        <v>574</v>
      </c>
      <c r="C14118" t="s">
        <v>23520</v>
      </c>
      <c r="D14118" t="s">
        <v>41714</v>
      </c>
      <c r="E14118">
        <v>424005</v>
      </c>
      <c r="F14118" t="s">
        <v>1</v>
      </c>
      <c r="G14118" t="s">
        <v>2</v>
      </c>
      <c r="H14118" t="s">
        <v>4965</v>
      </c>
      <c r="Y14118" t="s">
        <v>27373</v>
      </c>
    </row>
    <row r="14119" spans="1:25" x14ac:dyDescent="0.25">
      <c r="A14119" t="str">
        <f>"232806657828"</f>
        <v>232806657828</v>
      </c>
      <c r="B14119" t="s">
        <v>1475</v>
      </c>
      <c r="C14119" t="s">
        <v>4005</v>
      </c>
      <c r="D14119" t="s">
        <v>7821</v>
      </c>
      <c r="E14119">
        <v>424039</v>
      </c>
      <c r="F14119" t="s">
        <v>1</v>
      </c>
      <c r="G14119" t="s">
        <v>2</v>
      </c>
      <c r="H14119" t="s">
        <v>46109</v>
      </c>
      <c r="I14119" t="s">
        <v>7823</v>
      </c>
      <c r="L14119" t="s">
        <v>11301</v>
      </c>
      <c r="M14119" t="s">
        <v>11302</v>
      </c>
      <c r="P14119" t="s">
        <v>7826</v>
      </c>
      <c r="Y14119" t="s">
        <v>48999</v>
      </c>
    </row>
    <row r="14120" spans="1:25" x14ac:dyDescent="0.25">
      <c r="A14120" t="str">
        <f>"232811649342"</f>
        <v>232811649342</v>
      </c>
      <c r="B14120" t="s">
        <v>447</v>
      </c>
      <c r="C14120" t="s">
        <v>448</v>
      </c>
      <c r="D14120" t="s">
        <v>12094</v>
      </c>
      <c r="E14120">
        <v>424031</v>
      </c>
      <c r="F14120" t="s">
        <v>1</v>
      </c>
      <c r="G14120" t="s">
        <v>2</v>
      </c>
      <c r="H14120" t="s">
        <v>8799</v>
      </c>
      <c r="I14120" t="s">
        <v>49000</v>
      </c>
      <c r="P14120" t="s">
        <v>3123</v>
      </c>
      <c r="Y14120" t="s">
        <v>8803</v>
      </c>
    </row>
    <row r="14121" spans="1:25" x14ac:dyDescent="0.25">
      <c r="A14121" t="str">
        <f>"232815067416"</f>
        <v>232815067416</v>
      </c>
      <c r="B14121" t="s">
        <v>930</v>
      </c>
      <c r="C14121" t="s">
        <v>4325</v>
      </c>
      <c r="D14121" t="s">
        <v>49001</v>
      </c>
      <c r="E14121">
        <v>424008</v>
      </c>
      <c r="F14121" t="s">
        <v>1</v>
      </c>
      <c r="G14121" t="s">
        <v>2</v>
      </c>
      <c r="H14121" t="s">
        <v>37024</v>
      </c>
      <c r="P14121" t="s">
        <v>10285</v>
      </c>
      <c r="Y14121" t="s">
        <v>37027</v>
      </c>
    </row>
    <row r="14122" spans="1:25" x14ac:dyDescent="0.25">
      <c r="A14122" t="str">
        <f>"232825188927"</f>
        <v>232825188927</v>
      </c>
      <c r="B14122" t="s">
        <v>1152</v>
      </c>
      <c r="C14122" t="s">
        <v>1153</v>
      </c>
      <c r="D14122" t="s">
        <v>10280</v>
      </c>
      <c r="E14122">
        <v>424003</v>
      </c>
      <c r="F14122" t="s">
        <v>1</v>
      </c>
      <c r="G14122" t="s">
        <v>2</v>
      </c>
      <c r="H14122" t="s">
        <v>562</v>
      </c>
      <c r="I14122" t="s">
        <v>22092</v>
      </c>
      <c r="M14122" t="s">
        <v>10284</v>
      </c>
      <c r="Q14122" t="s">
        <v>10286</v>
      </c>
      <c r="R14122" t="s">
        <v>10287</v>
      </c>
      <c r="S14122" t="s">
        <v>10288</v>
      </c>
      <c r="T14122" t="s">
        <v>10289</v>
      </c>
      <c r="U14122" t="s">
        <v>10290</v>
      </c>
      <c r="V14122" t="s">
        <v>10291</v>
      </c>
      <c r="Y14122" t="s">
        <v>39877</v>
      </c>
    </row>
    <row r="14123" spans="1:25" x14ac:dyDescent="0.25">
      <c r="A14123" t="str">
        <f>"232845077057"</f>
        <v>232845077057</v>
      </c>
      <c r="B14123" t="s">
        <v>25</v>
      </c>
      <c r="C14123" t="s">
        <v>24938</v>
      </c>
      <c r="D14123" t="s">
        <v>49002</v>
      </c>
      <c r="F14123" t="s">
        <v>1</v>
      </c>
      <c r="G14123" t="s">
        <v>2</v>
      </c>
      <c r="H14123" t="s">
        <v>49003</v>
      </c>
      <c r="I14123" t="s">
        <v>35908</v>
      </c>
      <c r="L14123" t="s">
        <v>25465</v>
      </c>
      <c r="M14123" t="s">
        <v>35909</v>
      </c>
      <c r="Y14123" t="s">
        <v>49004</v>
      </c>
    </row>
    <row r="14124" spans="1:25" x14ac:dyDescent="0.25">
      <c r="A14124" t="str">
        <f>"232862518973"</f>
        <v>232862518973</v>
      </c>
      <c r="B14124" t="s">
        <v>530</v>
      </c>
      <c r="C14124" t="s">
        <v>23950</v>
      </c>
      <c r="D14124" t="s">
        <v>23950</v>
      </c>
      <c r="E14124">
        <v>424020</v>
      </c>
      <c r="F14124" t="s">
        <v>1</v>
      </c>
      <c r="G14124" t="s">
        <v>2</v>
      </c>
      <c r="H14124" t="s">
        <v>43608</v>
      </c>
      <c r="Y14124" t="s">
        <v>49005</v>
      </c>
    </row>
    <row r="14125" spans="1:25" x14ac:dyDescent="0.25">
      <c r="A14125" t="str">
        <f>"232872663813"</f>
        <v>232872663813</v>
      </c>
      <c r="B14125" t="s">
        <v>397</v>
      </c>
      <c r="C14125" t="s">
        <v>49010</v>
      </c>
      <c r="D14125" t="s">
        <v>49006</v>
      </c>
      <c r="E14125">
        <v>424033</v>
      </c>
      <c r="F14125" t="s">
        <v>1</v>
      </c>
      <c r="G14125" t="s">
        <v>2</v>
      </c>
      <c r="H14125" t="s">
        <v>2597</v>
      </c>
      <c r="I14125" t="s">
        <v>49007</v>
      </c>
      <c r="J14125" t="s">
        <v>49008</v>
      </c>
      <c r="M14125" t="s">
        <v>49009</v>
      </c>
      <c r="P14125" t="s">
        <v>21500</v>
      </c>
      <c r="Q14125" t="s">
        <v>49011</v>
      </c>
      <c r="U14125" t="s">
        <v>49012</v>
      </c>
      <c r="V14125" t="s">
        <v>49013</v>
      </c>
      <c r="Y14125" t="s">
        <v>2718</v>
      </c>
    </row>
    <row r="14126" spans="1:25" x14ac:dyDescent="0.25">
      <c r="A14126" t="str">
        <f>"232886499764"</f>
        <v>232886499764</v>
      </c>
      <c r="B14126" t="s">
        <v>3544</v>
      </c>
      <c r="C14126" t="s">
        <v>11303</v>
      </c>
      <c r="D14126" t="s">
        <v>49014</v>
      </c>
      <c r="F14126" t="s">
        <v>1</v>
      </c>
      <c r="G14126" t="s">
        <v>2</v>
      </c>
      <c r="H14126" t="s">
        <v>31172</v>
      </c>
      <c r="Y14126" t="s">
        <v>49015</v>
      </c>
    </row>
    <row r="14127" spans="1:25" x14ac:dyDescent="0.25">
      <c r="A14127" t="str">
        <f>"232923644697"</f>
        <v>232923644697</v>
      </c>
      <c r="B14127" t="s">
        <v>1152</v>
      </c>
      <c r="C14127" t="s">
        <v>1153</v>
      </c>
      <c r="D14127" t="s">
        <v>10280</v>
      </c>
      <c r="F14127" t="s">
        <v>1</v>
      </c>
      <c r="G14127" t="s">
        <v>2</v>
      </c>
      <c r="H14127" t="s">
        <v>49016</v>
      </c>
      <c r="I14127" t="s">
        <v>22092</v>
      </c>
      <c r="M14127" t="s">
        <v>10284</v>
      </c>
      <c r="Q14127" t="s">
        <v>10286</v>
      </c>
      <c r="R14127" t="s">
        <v>10287</v>
      </c>
      <c r="S14127" t="s">
        <v>10288</v>
      </c>
      <c r="T14127" t="s">
        <v>10289</v>
      </c>
      <c r="U14127" t="s">
        <v>10290</v>
      </c>
      <c r="V14127" t="s">
        <v>10291</v>
      </c>
      <c r="Y14127" t="s">
        <v>49017</v>
      </c>
    </row>
    <row r="14128" spans="1:25" x14ac:dyDescent="0.25">
      <c r="A14128" t="str">
        <f>"232925620711"</f>
        <v>232925620711</v>
      </c>
      <c r="B14128" t="s">
        <v>624</v>
      </c>
      <c r="C14128" t="s">
        <v>1637</v>
      </c>
      <c r="D14128" t="s">
        <v>16574</v>
      </c>
      <c r="F14128" t="s">
        <v>1</v>
      </c>
      <c r="G14128" t="s">
        <v>2</v>
      </c>
      <c r="H14128" t="s">
        <v>21719</v>
      </c>
      <c r="I14128" t="s">
        <v>24592</v>
      </c>
      <c r="P14128" t="s">
        <v>27</v>
      </c>
      <c r="Y14128" t="s">
        <v>49018</v>
      </c>
    </row>
    <row r="14129" spans="1:25" x14ac:dyDescent="0.25">
      <c r="A14129" t="str">
        <f>"232939819847"</f>
        <v>232939819847</v>
      </c>
      <c r="B14129" t="s">
        <v>319</v>
      </c>
      <c r="C14129" t="s">
        <v>320</v>
      </c>
      <c r="D14129" t="s">
        <v>37757</v>
      </c>
      <c r="E14129">
        <v>424000</v>
      </c>
      <c r="F14129" t="s">
        <v>1</v>
      </c>
      <c r="G14129" t="s">
        <v>2</v>
      </c>
      <c r="H14129" t="s">
        <v>37758</v>
      </c>
      <c r="Y14129" t="s">
        <v>49019</v>
      </c>
    </row>
    <row r="14130" spans="1:25" x14ac:dyDescent="0.25">
      <c r="A14130" t="str">
        <f>"232969153462"</f>
        <v>232969153462</v>
      </c>
      <c r="B14130" t="s">
        <v>1152</v>
      </c>
      <c r="C14130" t="s">
        <v>2222</v>
      </c>
      <c r="D14130" t="s">
        <v>49020</v>
      </c>
      <c r="E14130">
        <v>424033</v>
      </c>
      <c r="F14130" t="s">
        <v>1</v>
      </c>
      <c r="G14130" t="s">
        <v>2</v>
      </c>
      <c r="H14130" t="s">
        <v>9700</v>
      </c>
      <c r="I14130" t="s">
        <v>49021</v>
      </c>
      <c r="P14130" t="s">
        <v>27</v>
      </c>
      <c r="Y14130" t="s">
        <v>49022</v>
      </c>
    </row>
    <row r="14131" spans="1:25" x14ac:dyDescent="0.25">
      <c r="A14131" t="str">
        <f>"232973441892"</f>
        <v>232973441892</v>
      </c>
      <c r="B14131" t="s">
        <v>574</v>
      </c>
      <c r="C14131" t="s">
        <v>23462</v>
      </c>
      <c r="D14131" t="s">
        <v>38231</v>
      </c>
      <c r="E14131">
        <v>424028</v>
      </c>
      <c r="F14131" t="s">
        <v>1</v>
      </c>
      <c r="G14131" t="s">
        <v>2</v>
      </c>
      <c r="H14131" t="s">
        <v>7204</v>
      </c>
      <c r="Y14131" t="s">
        <v>49023</v>
      </c>
    </row>
    <row r="14132" spans="1:25" x14ac:dyDescent="0.25">
      <c r="A14132" t="str">
        <f>"233082070807"</f>
        <v>233082070807</v>
      </c>
      <c r="B14132" t="s">
        <v>25</v>
      </c>
      <c r="C14132" t="s">
        <v>24938</v>
      </c>
      <c r="D14132" t="s">
        <v>49024</v>
      </c>
      <c r="E14132">
        <v>424019</v>
      </c>
      <c r="F14132" t="s">
        <v>1</v>
      </c>
      <c r="G14132" t="s">
        <v>2</v>
      </c>
      <c r="H14132" t="s">
        <v>19290</v>
      </c>
      <c r="I14132" t="s">
        <v>32376</v>
      </c>
      <c r="L14132" t="s">
        <v>8198</v>
      </c>
      <c r="M14132" t="s">
        <v>49025</v>
      </c>
      <c r="Y14132" t="s">
        <v>49026</v>
      </c>
    </row>
    <row r="14133" spans="1:25" x14ac:dyDescent="0.25">
      <c r="A14133" t="str">
        <f>"233103610408"</f>
        <v>233103610408</v>
      </c>
      <c r="B14133" t="s">
        <v>80</v>
      </c>
      <c r="C14133" t="s">
        <v>23319</v>
      </c>
      <c r="D14133" t="s">
        <v>23746</v>
      </c>
      <c r="E14133">
        <v>424033</v>
      </c>
      <c r="F14133" t="s">
        <v>1</v>
      </c>
      <c r="G14133" t="s">
        <v>2</v>
      </c>
      <c r="H14133" t="s">
        <v>4300</v>
      </c>
      <c r="I14133" t="s">
        <v>23747</v>
      </c>
      <c r="J14133" t="s">
        <v>49027</v>
      </c>
      <c r="L14133" t="s">
        <v>49028</v>
      </c>
      <c r="M14133" t="s">
        <v>49029</v>
      </c>
      <c r="P14133" t="s">
        <v>49030</v>
      </c>
      <c r="Y14133" t="s">
        <v>5872</v>
      </c>
    </row>
    <row r="14134" spans="1:25" x14ac:dyDescent="0.25">
      <c r="A14134" t="str">
        <f>"233121008063"</f>
        <v>233121008063</v>
      </c>
      <c r="B14134" t="s">
        <v>2601</v>
      </c>
      <c r="C14134" t="s">
        <v>26383</v>
      </c>
      <c r="D14134" t="s">
        <v>29626</v>
      </c>
      <c r="E14134">
        <v>424003</v>
      </c>
      <c r="F14134" t="s">
        <v>1</v>
      </c>
      <c r="G14134" t="s">
        <v>2</v>
      </c>
      <c r="H14134" t="s">
        <v>15183</v>
      </c>
      <c r="Y14134" t="s">
        <v>49031</v>
      </c>
    </row>
    <row r="14135" spans="1:25" x14ac:dyDescent="0.25">
      <c r="A14135" t="str">
        <f>"233123830444"</f>
        <v>233123830444</v>
      </c>
      <c r="B14135" t="s">
        <v>25</v>
      </c>
      <c r="C14135" t="s">
        <v>20320</v>
      </c>
      <c r="D14135" t="s">
        <v>49032</v>
      </c>
      <c r="E14135">
        <v>424019</v>
      </c>
      <c r="F14135" t="s">
        <v>1</v>
      </c>
      <c r="G14135" t="s">
        <v>2</v>
      </c>
      <c r="H14135" t="s">
        <v>42900</v>
      </c>
      <c r="Y14135" t="s">
        <v>49033</v>
      </c>
    </row>
    <row r="14136" spans="1:25" x14ac:dyDescent="0.25">
      <c r="A14136" t="str">
        <f>"233222816043"</f>
        <v>233222816043</v>
      </c>
      <c r="B14136" t="s">
        <v>574</v>
      </c>
      <c r="C14136" t="s">
        <v>646</v>
      </c>
      <c r="D14136" t="s">
        <v>49034</v>
      </c>
      <c r="E14136">
        <v>424037</v>
      </c>
      <c r="F14136" t="s">
        <v>1</v>
      </c>
      <c r="G14136" t="s">
        <v>2</v>
      </c>
      <c r="H14136" t="s">
        <v>31633</v>
      </c>
      <c r="P14136" t="s">
        <v>216</v>
      </c>
      <c r="Y14136" t="s">
        <v>49035</v>
      </c>
    </row>
    <row r="14137" spans="1:25" x14ac:dyDescent="0.25">
      <c r="A14137" t="str">
        <f>"233226808299"</f>
        <v>233226808299</v>
      </c>
      <c r="B14137" t="s">
        <v>319</v>
      </c>
      <c r="C14137" t="s">
        <v>320</v>
      </c>
      <c r="D14137" t="s">
        <v>49036</v>
      </c>
      <c r="E14137">
        <v>424038</v>
      </c>
      <c r="F14137" t="s">
        <v>1</v>
      </c>
      <c r="G14137" t="s">
        <v>2</v>
      </c>
      <c r="H14137" t="s">
        <v>6247</v>
      </c>
      <c r="Y14137" t="s">
        <v>49037</v>
      </c>
    </row>
    <row r="14138" spans="1:25" x14ac:dyDescent="0.25">
      <c r="A14138" t="str">
        <f>"233229366039"</f>
        <v>233229366039</v>
      </c>
      <c r="B14138" t="s">
        <v>3200</v>
      </c>
      <c r="C14138" t="s">
        <v>18948</v>
      </c>
      <c r="D14138" t="s">
        <v>32424</v>
      </c>
      <c r="E14138">
        <v>424005</v>
      </c>
      <c r="F14138" t="s">
        <v>1</v>
      </c>
      <c r="G14138" t="s">
        <v>2</v>
      </c>
      <c r="H14138" t="s">
        <v>7480</v>
      </c>
      <c r="Y14138" t="s">
        <v>7482</v>
      </c>
    </row>
    <row r="14139" spans="1:25" x14ac:dyDescent="0.25">
      <c r="A14139" t="str">
        <f>"233287553756"</f>
        <v>233287553756</v>
      </c>
      <c r="B14139" t="s">
        <v>176</v>
      </c>
      <c r="C14139" t="s">
        <v>6380</v>
      </c>
      <c r="D14139" t="s">
        <v>49038</v>
      </c>
      <c r="E14139">
        <v>424000</v>
      </c>
      <c r="F14139" t="s">
        <v>1</v>
      </c>
      <c r="G14139" t="s">
        <v>2</v>
      </c>
      <c r="H14139" t="s">
        <v>404</v>
      </c>
      <c r="I14139" t="s">
        <v>49039</v>
      </c>
      <c r="L14139" t="s">
        <v>49040</v>
      </c>
      <c r="M14139" t="s">
        <v>49041</v>
      </c>
      <c r="P14139" t="s">
        <v>17774</v>
      </c>
      <c r="V14139" t="s">
        <v>49042</v>
      </c>
      <c r="Y14139" t="s">
        <v>5477</v>
      </c>
    </row>
    <row r="14140" spans="1:25" x14ac:dyDescent="0.25">
      <c r="A14140" t="str">
        <f>"233289367254"</f>
        <v>233289367254</v>
      </c>
      <c r="B14140" t="s">
        <v>1152</v>
      </c>
      <c r="C14140" t="s">
        <v>2124</v>
      </c>
      <c r="D14140" t="s">
        <v>1385</v>
      </c>
      <c r="E14140">
        <v>424007</v>
      </c>
      <c r="F14140" t="s">
        <v>1</v>
      </c>
      <c r="G14140" t="s">
        <v>2</v>
      </c>
      <c r="H14140" t="s">
        <v>22705</v>
      </c>
      <c r="I14140" t="s">
        <v>49043</v>
      </c>
      <c r="P14140" t="s">
        <v>37026</v>
      </c>
      <c r="Y14140" t="s">
        <v>49044</v>
      </c>
    </row>
    <row r="14141" spans="1:25" x14ac:dyDescent="0.25">
      <c r="A14141" t="str">
        <f>"233314799111"</f>
        <v>233314799111</v>
      </c>
      <c r="B14141" t="s">
        <v>1758</v>
      </c>
      <c r="C14141" t="s">
        <v>7867</v>
      </c>
      <c r="D14141" t="s">
        <v>1805</v>
      </c>
      <c r="E14141">
        <v>424039</v>
      </c>
      <c r="F14141" t="s">
        <v>1</v>
      </c>
      <c r="G14141" t="s">
        <v>2</v>
      </c>
      <c r="H14141" t="s">
        <v>2729</v>
      </c>
      <c r="I14141" t="s">
        <v>25649</v>
      </c>
      <c r="M14141" t="s">
        <v>49045</v>
      </c>
      <c r="P14141" t="s">
        <v>2731</v>
      </c>
      <c r="Y14141" t="s">
        <v>49046</v>
      </c>
    </row>
    <row r="14142" spans="1:25" x14ac:dyDescent="0.25">
      <c r="A14142" t="str">
        <f>"233418212131"</f>
        <v>233418212131</v>
      </c>
      <c r="B14142" t="s">
        <v>624</v>
      </c>
      <c r="C14142" t="s">
        <v>1637</v>
      </c>
      <c r="D14142" t="s">
        <v>49047</v>
      </c>
      <c r="E14142">
        <v>424006</v>
      </c>
      <c r="F14142" t="s">
        <v>1</v>
      </c>
      <c r="G14142" t="s">
        <v>2</v>
      </c>
      <c r="H14142" t="s">
        <v>2775</v>
      </c>
      <c r="J14142" t="s">
        <v>49048</v>
      </c>
      <c r="P14142" t="s">
        <v>280</v>
      </c>
      <c r="Y14142" t="s">
        <v>2779</v>
      </c>
    </row>
    <row r="14143" spans="1:25" x14ac:dyDescent="0.25">
      <c r="A14143" t="str">
        <f>"233428164988"</f>
        <v>233428164988</v>
      </c>
      <c r="B14143" t="s">
        <v>348</v>
      </c>
      <c r="C14143" t="s">
        <v>21775</v>
      </c>
      <c r="D14143" t="s">
        <v>49049</v>
      </c>
      <c r="E14143">
        <v>424002</v>
      </c>
      <c r="F14143" t="s">
        <v>1</v>
      </c>
      <c r="G14143" t="s">
        <v>2</v>
      </c>
      <c r="H14143" t="s">
        <v>662</v>
      </c>
      <c r="Y14143" t="s">
        <v>49050</v>
      </c>
    </row>
    <row r="14144" spans="1:25" x14ac:dyDescent="0.25">
      <c r="A14144" t="str">
        <f>"233484950165"</f>
        <v>233484950165</v>
      </c>
      <c r="B14144" t="s">
        <v>334</v>
      </c>
      <c r="C14144" t="s">
        <v>49056</v>
      </c>
      <c r="D14144" t="s">
        <v>49051</v>
      </c>
      <c r="E14144">
        <v>424006</v>
      </c>
      <c r="F14144" t="s">
        <v>1</v>
      </c>
      <c r="G14144" t="s">
        <v>2</v>
      </c>
      <c r="H14144" t="s">
        <v>24225</v>
      </c>
      <c r="I14144" t="s">
        <v>49052</v>
      </c>
      <c r="J14144" t="s">
        <v>49053</v>
      </c>
      <c r="L14144" t="s">
        <v>49054</v>
      </c>
      <c r="M14144" t="s">
        <v>49055</v>
      </c>
      <c r="P14144" t="s">
        <v>27</v>
      </c>
      <c r="U14144" t="s">
        <v>49057</v>
      </c>
      <c r="Y14144" t="s">
        <v>49058</v>
      </c>
    </row>
    <row r="14145" spans="1:25" x14ac:dyDescent="0.25">
      <c r="A14145" t="str">
        <f>"233505880772"</f>
        <v>233505880772</v>
      </c>
      <c r="B14145" t="s">
        <v>80</v>
      </c>
      <c r="C14145" t="s">
        <v>2071</v>
      </c>
      <c r="D14145" t="s">
        <v>49059</v>
      </c>
      <c r="E14145">
        <v>424030</v>
      </c>
      <c r="F14145" t="s">
        <v>1</v>
      </c>
      <c r="G14145" t="s">
        <v>2</v>
      </c>
      <c r="H14145" t="s">
        <v>12562</v>
      </c>
      <c r="Y14145" t="s">
        <v>49060</v>
      </c>
    </row>
    <row r="14146" spans="1:25" x14ac:dyDescent="0.25">
      <c r="A14146" t="str">
        <f>"233515272838"</f>
        <v>233515272838</v>
      </c>
      <c r="B14146" t="s">
        <v>1152</v>
      </c>
      <c r="C14146" t="s">
        <v>1385</v>
      </c>
      <c r="D14146" t="s">
        <v>27705</v>
      </c>
      <c r="E14146">
        <v>424039</v>
      </c>
      <c r="F14146" t="s">
        <v>1</v>
      </c>
      <c r="G14146" t="s">
        <v>2</v>
      </c>
      <c r="H14146" t="s">
        <v>23651</v>
      </c>
      <c r="Y14146" t="s">
        <v>49061</v>
      </c>
    </row>
    <row r="14147" spans="1:25" x14ac:dyDescent="0.25">
      <c r="A14147" t="str">
        <f>"233537448261"</f>
        <v>233537448261</v>
      </c>
      <c r="B14147" t="s">
        <v>888</v>
      </c>
      <c r="C14147" t="s">
        <v>39493</v>
      </c>
      <c r="D14147" t="s">
        <v>49062</v>
      </c>
      <c r="E14147">
        <v>424006</v>
      </c>
      <c r="F14147" t="s">
        <v>1</v>
      </c>
      <c r="G14147" t="s">
        <v>2</v>
      </c>
      <c r="H14147" t="s">
        <v>6177</v>
      </c>
      <c r="I14147" t="s">
        <v>49063</v>
      </c>
      <c r="L14147" t="s">
        <v>49064</v>
      </c>
      <c r="M14147" t="s">
        <v>49065</v>
      </c>
      <c r="P14147" t="s">
        <v>27</v>
      </c>
      <c r="Y14147" t="s">
        <v>6183</v>
      </c>
    </row>
    <row r="14148" spans="1:25" x14ac:dyDescent="0.25">
      <c r="A14148" t="str">
        <f>"233538138796"</f>
        <v>233538138796</v>
      </c>
      <c r="B14148" t="s">
        <v>738</v>
      </c>
      <c r="C14148" t="s">
        <v>739</v>
      </c>
      <c r="D14148" t="s">
        <v>2578</v>
      </c>
      <c r="F14148" t="s">
        <v>1</v>
      </c>
      <c r="G14148" t="s">
        <v>2</v>
      </c>
      <c r="H14148" t="s">
        <v>12652</v>
      </c>
      <c r="Y14148" t="s">
        <v>49066</v>
      </c>
    </row>
    <row r="14149" spans="1:25" x14ac:dyDescent="0.25">
      <c r="A14149" t="str">
        <f>"233591974477"</f>
        <v>233591974477</v>
      </c>
      <c r="B14149" t="s">
        <v>1573</v>
      </c>
      <c r="C14149" t="s">
        <v>11019</v>
      </c>
      <c r="D14149" t="s">
        <v>49067</v>
      </c>
      <c r="E14149">
        <v>424006</v>
      </c>
      <c r="F14149" t="s">
        <v>1</v>
      </c>
      <c r="G14149" t="s">
        <v>2</v>
      </c>
      <c r="H14149" t="s">
        <v>1645</v>
      </c>
      <c r="L14149" t="s">
        <v>49068</v>
      </c>
      <c r="M14149" t="s">
        <v>49069</v>
      </c>
      <c r="Y14149" t="s">
        <v>4478</v>
      </c>
    </row>
    <row r="14150" spans="1:25" x14ac:dyDescent="0.25">
      <c r="A14150" t="str">
        <f>"233602185710"</f>
        <v>233602185710</v>
      </c>
      <c r="B14150" t="s">
        <v>803</v>
      </c>
      <c r="C14150" t="s">
        <v>3088</v>
      </c>
      <c r="D14150" t="s">
        <v>49070</v>
      </c>
      <c r="E14150">
        <v>424031</v>
      </c>
      <c r="F14150" t="s">
        <v>1</v>
      </c>
      <c r="G14150" t="s">
        <v>2</v>
      </c>
      <c r="H14150" t="s">
        <v>1524</v>
      </c>
      <c r="Y14150" t="s">
        <v>49071</v>
      </c>
    </row>
    <row r="14151" spans="1:25" x14ac:dyDescent="0.25">
      <c r="A14151" t="str">
        <f>"233659487299"</f>
        <v>233659487299</v>
      </c>
      <c r="B14151" t="s">
        <v>348</v>
      </c>
      <c r="C14151" t="s">
        <v>8457</v>
      </c>
      <c r="D14151" t="s">
        <v>1949</v>
      </c>
      <c r="F14151" t="s">
        <v>1</v>
      </c>
      <c r="G14151" t="s">
        <v>2</v>
      </c>
      <c r="H14151" t="s">
        <v>138</v>
      </c>
      <c r="J14151" t="s">
        <v>49072</v>
      </c>
      <c r="L14151" t="s">
        <v>1952</v>
      </c>
      <c r="M14151" t="s">
        <v>1953</v>
      </c>
      <c r="P14151" t="s">
        <v>144</v>
      </c>
      <c r="Y14151" t="s">
        <v>49073</v>
      </c>
    </row>
    <row r="14152" spans="1:25" x14ac:dyDescent="0.25">
      <c r="A14152" t="str">
        <f>"233666986656"</f>
        <v>233666986656</v>
      </c>
      <c r="B14152" t="s">
        <v>1152</v>
      </c>
      <c r="C14152" t="s">
        <v>49077</v>
      </c>
      <c r="D14152" t="s">
        <v>49074</v>
      </c>
      <c r="E14152">
        <v>424033</v>
      </c>
      <c r="F14152" t="s">
        <v>1</v>
      </c>
      <c r="G14152" t="s">
        <v>2</v>
      </c>
      <c r="H14152" t="s">
        <v>22290</v>
      </c>
      <c r="J14152" t="s">
        <v>49075</v>
      </c>
      <c r="L14152" t="s">
        <v>49076</v>
      </c>
      <c r="P14152" t="s">
        <v>29643</v>
      </c>
      <c r="Q14152" t="s">
        <v>49078</v>
      </c>
      <c r="Y14152" t="s">
        <v>43744</v>
      </c>
    </row>
    <row r="14153" spans="1:25" x14ac:dyDescent="0.25">
      <c r="A14153" t="str">
        <f>"233695290379"</f>
        <v>233695290379</v>
      </c>
      <c r="B14153" t="s">
        <v>2062</v>
      </c>
      <c r="C14153" t="s">
        <v>3293</v>
      </c>
      <c r="D14153" t="s">
        <v>49079</v>
      </c>
      <c r="E14153">
        <v>424020</v>
      </c>
      <c r="F14153" t="s">
        <v>1</v>
      </c>
      <c r="G14153" t="s">
        <v>2</v>
      </c>
      <c r="H14153" t="s">
        <v>2917</v>
      </c>
      <c r="Y14153" t="s">
        <v>31184</v>
      </c>
    </row>
    <row r="14154" spans="1:25" x14ac:dyDescent="0.25">
      <c r="A14154" t="str">
        <f>"233704229512"</f>
        <v>233704229512</v>
      </c>
      <c r="B14154" t="s">
        <v>978</v>
      </c>
      <c r="C14154" t="s">
        <v>8067</v>
      </c>
      <c r="D14154" t="s">
        <v>49080</v>
      </c>
      <c r="E14154">
        <v>424036</v>
      </c>
      <c r="F14154" t="s">
        <v>1</v>
      </c>
      <c r="G14154" t="s">
        <v>2</v>
      </c>
      <c r="H14154" t="s">
        <v>6403</v>
      </c>
      <c r="I14154" t="s">
        <v>49081</v>
      </c>
      <c r="L14154" t="s">
        <v>49082</v>
      </c>
      <c r="M14154" t="s">
        <v>49083</v>
      </c>
      <c r="P14154" t="s">
        <v>13505</v>
      </c>
      <c r="Q14154" t="s">
        <v>49084</v>
      </c>
      <c r="R14154" t="s">
        <v>49085</v>
      </c>
      <c r="T14154" t="s">
        <v>49086</v>
      </c>
      <c r="V14154" t="s">
        <v>49087</v>
      </c>
      <c r="Y14154" t="s">
        <v>49088</v>
      </c>
    </row>
    <row r="14155" spans="1:25" x14ac:dyDescent="0.25">
      <c r="A14155" t="str">
        <f>"233753100453"</f>
        <v>233753100453</v>
      </c>
      <c r="B14155" t="s">
        <v>7312</v>
      </c>
      <c r="C14155" t="s">
        <v>19097</v>
      </c>
      <c r="D14155" t="s">
        <v>24252</v>
      </c>
      <c r="E14155">
        <v>424005</v>
      </c>
      <c r="F14155" t="s">
        <v>1</v>
      </c>
      <c r="G14155" t="s">
        <v>2</v>
      </c>
      <c r="H14155" t="s">
        <v>4965</v>
      </c>
      <c r="Y14155" t="s">
        <v>27373</v>
      </c>
    </row>
    <row r="14156" spans="1:25" x14ac:dyDescent="0.25">
      <c r="A14156" t="str">
        <f>"233770103466"</f>
        <v>233770103466</v>
      </c>
      <c r="B14156" t="s">
        <v>18</v>
      </c>
      <c r="C14156" t="s">
        <v>2593</v>
      </c>
      <c r="D14156" t="s">
        <v>2167</v>
      </c>
      <c r="E14156">
        <v>424000</v>
      </c>
      <c r="F14156" t="s">
        <v>1</v>
      </c>
      <c r="G14156" t="s">
        <v>2</v>
      </c>
      <c r="H14156" t="s">
        <v>1531</v>
      </c>
      <c r="J14156" t="s">
        <v>49089</v>
      </c>
      <c r="M14156" t="s">
        <v>49090</v>
      </c>
      <c r="P14156" t="s">
        <v>1027</v>
      </c>
      <c r="S14156" t="s">
        <v>49091</v>
      </c>
      <c r="Y14156" t="s">
        <v>1707</v>
      </c>
    </row>
    <row r="14157" spans="1:25" x14ac:dyDescent="0.25">
      <c r="A14157" t="str">
        <f>"233780828114"</f>
        <v>233780828114</v>
      </c>
      <c r="B14157" t="s">
        <v>348</v>
      </c>
      <c r="C14157" t="s">
        <v>49095</v>
      </c>
      <c r="D14157" t="s">
        <v>49092</v>
      </c>
      <c r="F14157" t="s">
        <v>1</v>
      </c>
      <c r="G14157" t="s">
        <v>2</v>
      </c>
      <c r="H14157" t="s">
        <v>23135</v>
      </c>
      <c r="J14157" t="s">
        <v>49093</v>
      </c>
      <c r="L14157" t="s">
        <v>49094</v>
      </c>
      <c r="Q14157" t="s">
        <v>49096</v>
      </c>
      <c r="Y14157" t="s">
        <v>23142</v>
      </c>
    </row>
    <row r="14158" spans="1:25" x14ac:dyDescent="0.25">
      <c r="A14158" t="str">
        <f>"233811157091"</f>
        <v>233811157091</v>
      </c>
      <c r="B14158" t="s">
        <v>1475</v>
      </c>
      <c r="C14158" t="s">
        <v>1476</v>
      </c>
      <c r="D14158" t="s">
        <v>5756</v>
      </c>
      <c r="E14158">
        <v>424033</v>
      </c>
      <c r="F14158" t="s">
        <v>1</v>
      </c>
      <c r="G14158" t="s">
        <v>2</v>
      </c>
      <c r="H14158" t="s">
        <v>2597</v>
      </c>
      <c r="J14158" t="s">
        <v>49097</v>
      </c>
      <c r="P14158" t="s">
        <v>2738</v>
      </c>
      <c r="Y14158" t="s">
        <v>49098</v>
      </c>
    </row>
    <row r="14159" spans="1:25" x14ac:dyDescent="0.25">
      <c r="A14159" t="str">
        <f>"233828966635"</f>
        <v>233828966635</v>
      </c>
      <c r="B14159" t="s">
        <v>738</v>
      </c>
      <c r="C14159" t="s">
        <v>739</v>
      </c>
      <c r="D14159" t="s">
        <v>49099</v>
      </c>
      <c r="F14159" t="s">
        <v>1</v>
      </c>
      <c r="G14159" t="s">
        <v>2</v>
      </c>
      <c r="H14159" t="s">
        <v>8989</v>
      </c>
      <c r="I14159" t="s">
        <v>49100</v>
      </c>
      <c r="P14159" t="s">
        <v>10150</v>
      </c>
      <c r="Y14159" t="s">
        <v>49101</v>
      </c>
    </row>
    <row r="14160" spans="1:25" x14ac:dyDescent="0.25">
      <c r="A14160" t="str">
        <f>"233841621284"</f>
        <v>233841621284</v>
      </c>
      <c r="B14160" t="s">
        <v>2601</v>
      </c>
      <c r="C14160" t="s">
        <v>24678</v>
      </c>
      <c r="D14160" t="s">
        <v>49102</v>
      </c>
      <c r="E14160">
        <v>424000</v>
      </c>
      <c r="F14160" t="s">
        <v>1</v>
      </c>
      <c r="G14160" t="s">
        <v>2</v>
      </c>
      <c r="H14160" t="s">
        <v>164</v>
      </c>
      <c r="I14160" t="s">
        <v>49103</v>
      </c>
      <c r="J14160" t="s">
        <v>49104</v>
      </c>
      <c r="M14160" t="s">
        <v>49105</v>
      </c>
      <c r="P14160" t="s">
        <v>49106</v>
      </c>
      <c r="Y14160" t="s">
        <v>49107</v>
      </c>
    </row>
    <row r="14161" spans="1:25" x14ac:dyDescent="0.25">
      <c r="A14161" t="str">
        <f>"233845508777"</f>
        <v>233845508777</v>
      </c>
      <c r="B14161" t="s">
        <v>430</v>
      </c>
      <c r="C14161" t="s">
        <v>940</v>
      </c>
      <c r="D14161" t="s">
        <v>24779</v>
      </c>
      <c r="E14161">
        <v>424000</v>
      </c>
      <c r="F14161" t="s">
        <v>1</v>
      </c>
      <c r="G14161" t="s">
        <v>2</v>
      </c>
      <c r="H14161" t="s">
        <v>2547</v>
      </c>
      <c r="I14161" t="s">
        <v>49108</v>
      </c>
      <c r="J14161" t="s">
        <v>49109</v>
      </c>
      <c r="P14161" t="s">
        <v>24784</v>
      </c>
      <c r="Y14161" t="s">
        <v>6500</v>
      </c>
    </row>
    <row r="14162" spans="1:25" x14ac:dyDescent="0.25">
      <c r="A14162" t="str">
        <f>"233857129416"</f>
        <v>233857129416</v>
      </c>
      <c r="B14162" t="s">
        <v>5840</v>
      </c>
      <c r="C14162" t="s">
        <v>23837</v>
      </c>
      <c r="D14162" t="s">
        <v>24042</v>
      </c>
      <c r="E14162">
        <v>424000</v>
      </c>
      <c r="F14162" t="s">
        <v>1</v>
      </c>
      <c r="G14162" t="s">
        <v>2</v>
      </c>
      <c r="H14162" t="s">
        <v>4255</v>
      </c>
      <c r="Y14162" t="s">
        <v>4256</v>
      </c>
    </row>
    <row r="14163" spans="1:25" x14ac:dyDescent="0.25">
      <c r="A14163" t="str">
        <f>"233860233400"</f>
        <v>233860233400</v>
      </c>
      <c r="B14163" t="s">
        <v>188</v>
      </c>
      <c r="C14163" t="s">
        <v>24568</v>
      </c>
      <c r="D14163" t="s">
        <v>24568</v>
      </c>
      <c r="E14163">
        <v>424918</v>
      </c>
      <c r="F14163" t="s">
        <v>1</v>
      </c>
      <c r="G14163" t="s">
        <v>2</v>
      </c>
      <c r="H14163" t="s">
        <v>629</v>
      </c>
      <c r="P14163" t="s">
        <v>630</v>
      </c>
      <c r="Y14163" t="s">
        <v>49110</v>
      </c>
    </row>
    <row r="14164" spans="1:25" x14ac:dyDescent="0.25">
      <c r="A14164" t="str">
        <f>"233987327286"</f>
        <v>233987327286</v>
      </c>
      <c r="B14164" t="s">
        <v>96</v>
      </c>
      <c r="C14164" t="s">
        <v>695</v>
      </c>
      <c r="D14164" t="s">
        <v>695</v>
      </c>
      <c r="E14164">
        <v>424003</v>
      </c>
      <c r="F14164" t="s">
        <v>1</v>
      </c>
      <c r="G14164" t="s">
        <v>2</v>
      </c>
      <c r="H14164" t="s">
        <v>13438</v>
      </c>
      <c r="Y14164" t="s">
        <v>49111</v>
      </c>
    </row>
    <row r="14165" spans="1:25" x14ac:dyDescent="0.25">
      <c r="A14165" t="str">
        <f>"234005453187"</f>
        <v>234005453187</v>
      </c>
      <c r="B14165" t="s">
        <v>319</v>
      </c>
      <c r="C14165" t="s">
        <v>19472</v>
      </c>
      <c r="D14165" t="s">
        <v>49112</v>
      </c>
      <c r="E14165">
        <v>424000</v>
      </c>
      <c r="F14165" t="s">
        <v>1</v>
      </c>
      <c r="G14165" t="s">
        <v>2</v>
      </c>
      <c r="H14165" t="s">
        <v>1531</v>
      </c>
      <c r="Y14165" t="s">
        <v>1707</v>
      </c>
    </row>
    <row r="14166" spans="1:25" x14ac:dyDescent="0.25">
      <c r="A14166" t="str">
        <f>"234005611392"</f>
        <v>234005611392</v>
      </c>
      <c r="B14166" t="s">
        <v>96</v>
      </c>
      <c r="C14166" t="s">
        <v>3621</v>
      </c>
      <c r="D14166" t="s">
        <v>49113</v>
      </c>
      <c r="E14166">
        <v>424918</v>
      </c>
      <c r="F14166" t="s">
        <v>1</v>
      </c>
      <c r="G14166" t="s">
        <v>2</v>
      </c>
      <c r="H14166" t="s">
        <v>629</v>
      </c>
      <c r="J14166" t="s">
        <v>22536</v>
      </c>
      <c r="P14166" t="s">
        <v>630</v>
      </c>
      <c r="Y14166" t="s">
        <v>49114</v>
      </c>
    </row>
    <row r="14167" spans="1:25" x14ac:dyDescent="0.25">
      <c r="A14167" t="str">
        <f>"234007024756"</f>
        <v>234007024756</v>
      </c>
      <c r="B14167" t="s">
        <v>574</v>
      </c>
      <c r="C14167" t="s">
        <v>26901</v>
      </c>
      <c r="D14167" t="s">
        <v>49115</v>
      </c>
      <c r="E14167">
        <v>424006</v>
      </c>
      <c r="F14167" t="s">
        <v>1</v>
      </c>
      <c r="G14167" t="s">
        <v>2</v>
      </c>
      <c r="H14167" t="s">
        <v>1890</v>
      </c>
      <c r="Y14167" t="s">
        <v>49116</v>
      </c>
    </row>
    <row r="14168" spans="1:25" x14ac:dyDescent="0.25">
      <c r="A14168" t="str">
        <f>"234031329465"</f>
        <v>234031329465</v>
      </c>
      <c r="B14168" t="s">
        <v>1053</v>
      </c>
      <c r="C14168" t="s">
        <v>49119</v>
      </c>
      <c r="D14168" t="s">
        <v>49117</v>
      </c>
      <c r="E14168">
        <v>424006</v>
      </c>
      <c r="F14168" t="s">
        <v>1</v>
      </c>
      <c r="G14168" t="s">
        <v>2</v>
      </c>
      <c r="H14168" t="s">
        <v>5290</v>
      </c>
      <c r="I14168" t="s">
        <v>49118</v>
      </c>
      <c r="J14168" t="s">
        <v>48967</v>
      </c>
      <c r="P14168" t="s">
        <v>216</v>
      </c>
      <c r="Y14168" t="s">
        <v>1006</v>
      </c>
    </row>
    <row r="14169" spans="1:25" x14ac:dyDescent="0.25">
      <c r="A14169" t="str">
        <f>"234040878843"</f>
        <v>234040878843</v>
      </c>
      <c r="B14169" t="s">
        <v>703</v>
      </c>
      <c r="C14169" t="s">
        <v>7344</v>
      </c>
      <c r="D14169" t="s">
        <v>10749</v>
      </c>
      <c r="E14169">
        <v>424036</v>
      </c>
      <c r="F14169" t="s">
        <v>1</v>
      </c>
      <c r="G14169" t="s">
        <v>2</v>
      </c>
      <c r="H14169" t="s">
        <v>6403</v>
      </c>
      <c r="I14169" t="s">
        <v>10751</v>
      </c>
      <c r="J14169" t="s">
        <v>10752</v>
      </c>
      <c r="K14169" t="s">
        <v>49120</v>
      </c>
      <c r="Y14169" t="s">
        <v>9757</v>
      </c>
    </row>
    <row r="14170" spans="1:25" x14ac:dyDescent="0.25">
      <c r="A14170" t="str">
        <f>"234042923137"</f>
        <v>234042923137</v>
      </c>
      <c r="B14170" t="s">
        <v>290</v>
      </c>
      <c r="C14170" t="s">
        <v>11603</v>
      </c>
      <c r="D14170" t="s">
        <v>25268</v>
      </c>
      <c r="F14170" t="s">
        <v>1</v>
      </c>
      <c r="G14170" t="s">
        <v>2</v>
      </c>
      <c r="H14170" t="s">
        <v>757</v>
      </c>
      <c r="Y14170" t="s">
        <v>760</v>
      </c>
    </row>
    <row r="14171" spans="1:25" x14ac:dyDescent="0.25">
      <c r="A14171" t="str">
        <f>"234055076214"</f>
        <v>234055076214</v>
      </c>
      <c r="B14171" t="s">
        <v>978</v>
      </c>
      <c r="C14171" t="s">
        <v>14285</v>
      </c>
      <c r="D14171" t="s">
        <v>35706</v>
      </c>
      <c r="E14171">
        <v>424002</v>
      </c>
      <c r="F14171" t="s">
        <v>1</v>
      </c>
      <c r="G14171" t="s">
        <v>2</v>
      </c>
      <c r="H14171" t="s">
        <v>6597</v>
      </c>
      <c r="I14171" t="s">
        <v>35707</v>
      </c>
      <c r="J14171" t="s">
        <v>35708</v>
      </c>
      <c r="M14171" t="s">
        <v>49121</v>
      </c>
      <c r="P14171" t="s">
        <v>330</v>
      </c>
      <c r="Y14171" t="s">
        <v>49122</v>
      </c>
    </row>
    <row r="14172" spans="1:25" x14ac:dyDescent="0.25">
      <c r="A14172" t="str">
        <f>"234091990298"</f>
        <v>234091990298</v>
      </c>
      <c r="B14172" t="s">
        <v>462</v>
      </c>
      <c r="C14172" t="s">
        <v>5618</v>
      </c>
      <c r="D14172" t="s">
        <v>49123</v>
      </c>
      <c r="E14172">
        <v>424007</v>
      </c>
      <c r="F14172" t="s">
        <v>1</v>
      </c>
      <c r="G14172" t="s">
        <v>2</v>
      </c>
      <c r="H14172" t="s">
        <v>819</v>
      </c>
      <c r="I14172" t="s">
        <v>49124</v>
      </c>
      <c r="P14172" t="s">
        <v>1731</v>
      </c>
      <c r="Y14172" t="s">
        <v>821</v>
      </c>
    </row>
    <row r="14173" spans="1:25" x14ac:dyDescent="0.25">
      <c r="A14173" t="str">
        <f>"234102290702"</f>
        <v>234102290702</v>
      </c>
      <c r="B14173" t="s">
        <v>1152</v>
      </c>
      <c r="C14173" t="s">
        <v>8523</v>
      </c>
      <c r="D14173" t="s">
        <v>49125</v>
      </c>
      <c r="E14173">
        <v>424031</v>
      </c>
      <c r="F14173" t="s">
        <v>1</v>
      </c>
      <c r="G14173" t="s">
        <v>2</v>
      </c>
      <c r="H14173" t="s">
        <v>7470</v>
      </c>
      <c r="J14173" t="s">
        <v>49126</v>
      </c>
      <c r="P14173" t="s">
        <v>10225</v>
      </c>
      <c r="V14173" t="s">
        <v>49127</v>
      </c>
      <c r="Y14173" t="s">
        <v>20571</v>
      </c>
    </row>
    <row r="14174" spans="1:25" x14ac:dyDescent="0.25">
      <c r="A14174" t="str">
        <f>"234185009650"</f>
        <v>234185009650</v>
      </c>
      <c r="B14174" t="s">
        <v>32</v>
      </c>
      <c r="C14174" t="s">
        <v>40</v>
      </c>
      <c r="D14174" t="s">
        <v>48382</v>
      </c>
      <c r="E14174">
        <v>424004</v>
      </c>
      <c r="F14174" t="s">
        <v>1</v>
      </c>
      <c r="G14174" t="s">
        <v>2</v>
      </c>
      <c r="H14174" t="s">
        <v>1169</v>
      </c>
      <c r="I14174" t="s">
        <v>49128</v>
      </c>
      <c r="P14174" t="s">
        <v>13898</v>
      </c>
      <c r="Q14174" t="s">
        <v>49129</v>
      </c>
      <c r="Y14174" t="s">
        <v>1178</v>
      </c>
    </row>
    <row r="14175" spans="1:25" x14ac:dyDescent="0.25">
      <c r="A14175" t="str">
        <f>"234192494393"</f>
        <v>234192494393</v>
      </c>
      <c r="B14175" t="s">
        <v>1053</v>
      </c>
      <c r="C14175" t="s">
        <v>1927</v>
      </c>
      <c r="D14175" t="s">
        <v>49130</v>
      </c>
      <c r="E14175">
        <v>424031</v>
      </c>
      <c r="F14175" t="s">
        <v>1</v>
      </c>
      <c r="G14175" t="s">
        <v>2</v>
      </c>
      <c r="H14175" t="s">
        <v>10559</v>
      </c>
      <c r="I14175" t="s">
        <v>49131</v>
      </c>
      <c r="K14175" t="s">
        <v>49131</v>
      </c>
      <c r="P14175" t="s">
        <v>49132</v>
      </c>
      <c r="Y14175" t="s">
        <v>11702</v>
      </c>
    </row>
    <row r="14176" spans="1:25" x14ac:dyDescent="0.25">
      <c r="A14176" t="str">
        <f>"234216575354"</f>
        <v>234216575354</v>
      </c>
      <c r="B14176" t="s">
        <v>96</v>
      </c>
      <c r="C14176" t="s">
        <v>695</v>
      </c>
      <c r="D14176" t="s">
        <v>44092</v>
      </c>
      <c r="E14176">
        <v>424039</v>
      </c>
      <c r="F14176" t="s">
        <v>1</v>
      </c>
      <c r="G14176" t="s">
        <v>2</v>
      </c>
      <c r="H14176" t="s">
        <v>23651</v>
      </c>
      <c r="J14176" t="s">
        <v>49133</v>
      </c>
      <c r="P14176" t="s">
        <v>49134</v>
      </c>
      <c r="Y14176" t="s">
        <v>49135</v>
      </c>
    </row>
    <row r="14177" spans="1:25" x14ac:dyDescent="0.25">
      <c r="A14177" t="str">
        <f>"234228998267"</f>
        <v>234228998267</v>
      </c>
      <c r="B14177" t="s">
        <v>352</v>
      </c>
      <c r="C14177" t="s">
        <v>49137</v>
      </c>
      <c r="D14177" t="s">
        <v>49136</v>
      </c>
      <c r="E14177">
        <v>424031</v>
      </c>
      <c r="F14177" t="s">
        <v>1</v>
      </c>
      <c r="G14177" t="s">
        <v>2</v>
      </c>
      <c r="H14177" t="s">
        <v>8799</v>
      </c>
      <c r="Y14177" t="s">
        <v>8803</v>
      </c>
    </row>
    <row r="14178" spans="1:25" x14ac:dyDescent="0.25">
      <c r="A14178" t="str">
        <f>"234274407141"</f>
        <v>234274407141</v>
      </c>
      <c r="B14178" t="s">
        <v>1222</v>
      </c>
      <c r="C14178" t="s">
        <v>2114</v>
      </c>
      <c r="D14178" t="s">
        <v>49138</v>
      </c>
      <c r="F14178" t="s">
        <v>1</v>
      </c>
      <c r="G14178" t="s">
        <v>2</v>
      </c>
      <c r="H14178" t="s">
        <v>3984</v>
      </c>
      <c r="Y14178" t="s">
        <v>29405</v>
      </c>
    </row>
    <row r="14179" spans="1:25" x14ac:dyDescent="0.25">
      <c r="A14179" t="str">
        <f>"234297453084"</f>
        <v>234297453084</v>
      </c>
      <c r="B14179" t="s">
        <v>1617</v>
      </c>
      <c r="C14179" t="s">
        <v>21001</v>
      </c>
      <c r="D14179" t="s">
        <v>20999</v>
      </c>
      <c r="F14179" t="s">
        <v>1</v>
      </c>
      <c r="G14179" t="s">
        <v>2</v>
      </c>
      <c r="H14179" t="s">
        <v>24017</v>
      </c>
      <c r="Y14179" t="s">
        <v>49139</v>
      </c>
    </row>
    <row r="14180" spans="1:25" x14ac:dyDescent="0.25">
      <c r="A14180" t="str">
        <f>"234357509422"</f>
        <v>234357509422</v>
      </c>
      <c r="B14180" t="s">
        <v>447</v>
      </c>
      <c r="C14180" t="s">
        <v>49145</v>
      </c>
      <c r="D14180" t="s">
        <v>49140</v>
      </c>
      <c r="E14180">
        <v>424026</v>
      </c>
      <c r="F14180" t="s">
        <v>1</v>
      </c>
      <c r="G14180" t="s">
        <v>2</v>
      </c>
      <c r="H14180" t="s">
        <v>7964</v>
      </c>
      <c r="I14180" t="s">
        <v>49141</v>
      </c>
      <c r="J14180" t="s">
        <v>49142</v>
      </c>
      <c r="L14180" t="s">
        <v>49143</v>
      </c>
      <c r="M14180" t="s">
        <v>49144</v>
      </c>
      <c r="P14180" t="s">
        <v>27</v>
      </c>
      <c r="Q14180" t="s">
        <v>49146</v>
      </c>
      <c r="T14180" t="s">
        <v>49147</v>
      </c>
      <c r="V14180" t="s">
        <v>49148</v>
      </c>
      <c r="Y14180" t="s">
        <v>6422</v>
      </c>
    </row>
    <row r="14181" spans="1:25" x14ac:dyDescent="0.25">
      <c r="A14181" t="str">
        <f>"234368337658"</f>
        <v>234368337658</v>
      </c>
      <c r="B14181" t="s">
        <v>388</v>
      </c>
      <c r="C14181" t="s">
        <v>49153</v>
      </c>
      <c r="D14181" t="s">
        <v>49149</v>
      </c>
      <c r="E14181">
        <v>424007</v>
      </c>
      <c r="F14181" t="s">
        <v>1</v>
      </c>
      <c r="G14181" t="s">
        <v>2</v>
      </c>
      <c r="H14181" t="s">
        <v>1242</v>
      </c>
      <c r="I14181" t="s">
        <v>49150</v>
      </c>
      <c r="L14181" t="s">
        <v>49151</v>
      </c>
      <c r="M14181" t="s">
        <v>49152</v>
      </c>
      <c r="P14181" t="s">
        <v>18664</v>
      </c>
      <c r="Y14181" t="s">
        <v>1754</v>
      </c>
    </row>
    <row r="14182" spans="1:25" x14ac:dyDescent="0.25">
      <c r="A14182" t="str">
        <f>"234401775967"</f>
        <v>234401775967</v>
      </c>
      <c r="B14182" t="s">
        <v>530</v>
      </c>
      <c r="C14182" t="s">
        <v>23950</v>
      </c>
      <c r="D14182" t="s">
        <v>23950</v>
      </c>
      <c r="E14182">
        <v>424039</v>
      </c>
      <c r="F14182" t="s">
        <v>1</v>
      </c>
      <c r="G14182" t="s">
        <v>2</v>
      </c>
      <c r="H14182" t="s">
        <v>49154</v>
      </c>
      <c r="Y14182" t="s">
        <v>49155</v>
      </c>
    </row>
    <row r="14183" spans="1:25" x14ac:dyDescent="0.25">
      <c r="A14183" t="str">
        <f>"234404282560"</f>
        <v>234404282560</v>
      </c>
      <c r="B14183" t="s">
        <v>530</v>
      </c>
      <c r="C14183" t="s">
        <v>23950</v>
      </c>
      <c r="D14183" t="s">
        <v>23950</v>
      </c>
      <c r="F14183" t="s">
        <v>1</v>
      </c>
      <c r="G14183" t="s">
        <v>2</v>
      </c>
      <c r="H14183" t="s">
        <v>7547</v>
      </c>
      <c r="Y14183" t="s">
        <v>49156</v>
      </c>
    </row>
    <row r="14184" spans="1:25" x14ac:dyDescent="0.25">
      <c r="A14184" t="str">
        <f>"234410974672"</f>
        <v>234410974672</v>
      </c>
      <c r="B14184" t="s">
        <v>1573</v>
      </c>
      <c r="C14184" t="s">
        <v>31523</v>
      </c>
      <c r="D14184" t="s">
        <v>49157</v>
      </c>
      <c r="E14184">
        <v>424033</v>
      </c>
      <c r="F14184" t="s">
        <v>1</v>
      </c>
      <c r="G14184" t="s">
        <v>2</v>
      </c>
      <c r="H14184" t="s">
        <v>31933</v>
      </c>
      <c r="Y14184" t="s">
        <v>49158</v>
      </c>
    </row>
    <row r="14185" spans="1:25" x14ac:dyDescent="0.25">
      <c r="A14185" t="str">
        <f>"234420991085"</f>
        <v>234420991085</v>
      </c>
      <c r="B14185" t="s">
        <v>25</v>
      </c>
      <c r="C14185" t="s">
        <v>59</v>
      </c>
      <c r="D14185" t="s">
        <v>49159</v>
      </c>
      <c r="E14185">
        <v>424039</v>
      </c>
      <c r="F14185" t="s">
        <v>1</v>
      </c>
      <c r="G14185" t="s">
        <v>2</v>
      </c>
      <c r="H14185" t="s">
        <v>557</v>
      </c>
      <c r="Y14185" t="s">
        <v>560</v>
      </c>
    </row>
    <row r="14186" spans="1:25" x14ac:dyDescent="0.25">
      <c r="A14186" t="str">
        <f>"234441114647"</f>
        <v>234441114647</v>
      </c>
      <c r="B14186" t="s">
        <v>1046</v>
      </c>
      <c r="C14186" t="s">
        <v>22946</v>
      </c>
      <c r="D14186" t="s">
        <v>18118</v>
      </c>
      <c r="F14186" t="s">
        <v>1</v>
      </c>
      <c r="G14186" t="s">
        <v>2</v>
      </c>
      <c r="H14186" t="s">
        <v>27403</v>
      </c>
      <c r="Y14186" t="s">
        <v>49160</v>
      </c>
    </row>
    <row r="14187" spans="1:25" x14ac:dyDescent="0.25">
      <c r="A14187" t="str">
        <f>"234450820160"</f>
        <v>234450820160</v>
      </c>
      <c r="B14187" t="s">
        <v>930</v>
      </c>
      <c r="C14187" t="s">
        <v>49165</v>
      </c>
      <c r="D14187" t="s">
        <v>49161</v>
      </c>
      <c r="E14187">
        <v>424006</v>
      </c>
      <c r="F14187" t="s">
        <v>1</v>
      </c>
      <c r="G14187" t="s">
        <v>2</v>
      </c>
      <c r="H14187" t="s">
        <v>27946</v>
      </c>
      <c r="I14187" t="s">
        <v>49162</v>
      </c>
      <c r="L14187" t="s">
        <v>49163</v>
      </c>
      <c r="M14187" t="s">
        <v>49164</v>
      </c>
      <c r="P14187" t="s">
        <v>216</v>
      </c>
      <c r="Q14187" t="s">
        <v>49166</v>
      </c>
      <c r="U14187" t="s">
        <v>49167</v>
      </c>
      <c r="V14187" t="s">
        <v>49168</v>
      </c>
      <c r="Y14187" t="s">
        <v>49169</v>
      </c>
    </row>
    <row r="14188" spans="1:25" x14ac:dyDescent="0.25">
      <c r="A14188" t="str">
        <f>"234467387088"</f>
        <v>234467387088</v>
      </c>
      <c r="B14188" t="s">
        <v>32</v>
      </c>
      <c r="C14188" t="s">
        <v>22259</v>
      </c>
      <c r="D14188" t="s">
        <v>22255</v>
      </c>
      <c r="E14188">
        <v>424006</v>
      </c>
      <c r="F14188" t="s">
        <v>1</v>
      </c>
      <c r="G14188" t="s">
        <v>2</v>
      </c>
      <c r="H14188" t="s">
        <v>18109</v>
      </c>
      <c r="J14188" t="s">
        <v>22256</v>
      </c>
      <c r="M14188" t="s">
        <v>22258</v>
      </c>
      <c r="P14188" t="s">
        <v>7436</v>
      </c>
      <c r="Q14188" t="s">
        <v>22260</v>
      </c>
      <c r="Y14188" t="s">
        <v>20362</v>
      </c>
    </row>
    <row r="14189" spans="1:25" x14ac:dyDescent="0.25">
      <c r="A14189" t="str">
        <f>"234515706781"</f>
        <v>234515706781</v>
      </c>
      <c r="B14189" t="s">
        <v>123</v>
      </c>
      <c r="C14189" t="s">
        <v>18438</v>
      </c>
      <c r="D14189" t="s">
        <v>28850</v>
      </c>
      <c r="E14189">
        <v>424028</v>
      </c>
      <c r="F14189" t="s">
        <v>1</v>
      </c>
      <c r="G14189" t="s">
        <v>2</v>
      </c>
      <c r="H14189" t="s">
        <v>20877</v>
      </c>
      <c r="Y14189" t="s">
        <v>49170</v>
      </c>
    </row>
    <row r="14190" spans="1:25" x14ac:dyDescent="0.25">
      <c r="A14190" t="str">
        <f>"234520066971"</f>
        <v>234520066971</v>
      </c>
      <c r="B14190" t="s">
        <v>469</v>
      </c>
      <c r="C14190" t="s">
        <v>13151</v>
      </c>
      <c r="D14190" t="s">
        <v>49171</v>
      </c>
      <c r="E14190">
        <v>424038</v>
      </c>
      <c r="F14190" t="s">
        <v>1</v>
      </c>
      <c r="G14190" t="s">
        <v>2</v>
      </c>
      <c r="H14190" t="s">
        <v>25036</v>
      </c>
      <c r="J14190" t="s">
        <v>49172</v>
      </c>
      <c r="P14190" t="s">
        <v>1306</v>
      </c>
      <c r="V14190" t="s">
        <v>49173</v>
      </c>
      <c r="Y14190" t="s">
        <v>49174</v>
      </c>
    </row>
    <row r="14191" spans="1:25" x14ac:dyDescent="0.25">
      <c r="A14191" t="str">
        <f>"234543711669"</f>
        <v>234543711669</v>
      </c>
      <c r="B14191" t="s">
        <v>530</v>
      </c>
      <c r="C14191" t="s">
        <v>23950</v>
      </c>
      <c r="D14191" t="s">
        <v>23950</v>
      </c>
      <c r="E14191">
        <v>424006</v>
      </c>
      <c r="F14191" t="s">
        <v>1</v>
      </c>
      <c r="G14191" t="s">
        <v>2</v>
      </c>
      <c r="H14191" t="s">
        <v>1124</v>
      </c>
      <c r="Y14191" t="s">
        <v>49175</v>
      </c>
    </row>
    <row r="14192" spans="1:25" x14ac:dyDescent="0.25">
      <c r="A14192" t="str">
        <f>"234545598967"</f>
        <v>234545598967</v>
      </c>
      <c r="B14192" t="s">
        <v>25</v>
      </c>
      <c r="C14192" t="s">
        <v>20320</v>
      </c>
      <c r="D14192" t="s">
        <v>49176</v>
      </c>
      <c r="E14192">
        <v>424037</v>
      </c>
      <c r="F14192" t="s">
        <v>1</v>
      </c>
      <c r="G14192" t="s">
        <v>2</v>
      </c>
      <c r="H14192" t="s">
        <v>18442</v>
      </c>
      <c r="Y14192" t="s">
        <v>49177</v>
      </c>
    </row>
    <row r="14193" spans="1:25" x14ac:dyDescent="0.25">
      <c r="A14193" t="str">
        <f>"234559646136"</f>
        <v>234559646136</v>
      </c>
      <c r="B14193" t="s">
        <v>284</v>
      </c>
      <c r="C14193" t="s">
        <v>285</v>
      </c>
      <c r="D14193" t="s">
        <v>285</v>
      </c>
      <c r="F14193" t="s">
        <v>1</v>
      </c>
      <c r="G14193" t="s">
        <v>2</v>
      </c>
      <c r="H14193" t="s">
        <v>4315</v>
      </c>
      <c r="I14193" t="s">
        <v>32305</v>
      </c>
      <c r="P14193" t="s">
        <v>11503</v>
      </c>
      <c r="Y14193" t="s">
        <v>4319</v>
      </c>
    </row>
    <row r="14194" spans="1:25" x14ac:dyDescent="0.25">
      <c r="A14194" t="str">
        <f>"234600772578"</f>
        <v>234600772578</v>
      </c>
      <c r="B14194" t="s">
        <v>1046</v>
      </c>
      <c r="C14194" t="s">
        <v>32452</v>
      </c>
      <c r="D14194" t="s">
        <v>49178</v>
      </c>
      <c r="F14194" t="s">
        <v>1</v>
      </c>
      <c r="G14194" t="s">
        <v>2</v>
      </c>
      <c r="H14194" t="s">
        <v>27403</v>
      </c>
      <c r="Y14194" t="s">
        <v>49179</v>
      </c>
    </row>
    <row r="14195" spans="1:25" x14ac:dyDescent="0.25">
      <c r="A14195" t="str">
        <f>"234615722621"</f>
        <v>234615722621</v>
      </c>
      <c r="B14195" t="s">
        <v>96</v>
      </c>
      <c r="C14195" t="s">
        <v>26744</v>
      </c>
      <c r="D14195" t="s">
        <v>26742</v>
      </c>
      <c r="E14195">
        <v>424006</v>
      </c>
      <c r="F14195" t="s">
        <v>1</v>
      </c>
      <c r="G14195" t="s">
        <v>2</v>
      </c>
      <c r="H14195" t="s">
        <v>45116</v>
      </c>
      <c r="J14195" t="s">
        <v>26743</v>
      </c>
      <c r="P14195" t="s">
        <v>45117</v>
      </c>
      <c r="Y14195" t="s">
        <v>49180</v>
      </c>
    </row>
    <row r="14196" spans="1:25" x14ac:dyDescent="0.25">
      <c r="A14196" t="str">
        <f>"234626606582"</f>
        <v>234626606582</v>
      </c>
      <c r="B14196" t="s">
        <v>3573</v>
      </c>
      <c r="C14196" t="s">
        <v>7808</v>
      </c>
      <c r="D14196" t="s">
        <v>49181</v>
      </c>
      <c r="E14196">
        <v>424031</v>
      </c>
      <c r="F14196" t="s">
        <v>1</v>
      </c>
      <c r="G14196" t="s">
        <v>2</v>
      </c>
      <c r="H14196" t="s">
        <v>239</v>
      </c>
      <c r="Y14196" t="s">
        <v>246</v>
      </c>
    </row>
    <row r="14197" spans="1:25" x14ac:dyDescent="0.25">
      <c r="A14197" t="str">
        <f>"234664426115"</f>
        <v>234664426115</v>
      </c>
      <c r="B14197" t="s">
        <v>25</v>
      </c>
      <c r="C14197" t="s">
        <v>20320</v>
      </c>
      <c r="D14197" t="s">
        <v>49182</v>
      </c>
      <c r="E14197">
        <v>424003</v>
      </c>
      <c r="F14197" t="s">
        <v>1</v>
      </c>
      <c r="G14197" t="s">
        <v>2</v>
      </c>
      <c r="H14197" t="s">
        <v>15497</v>
      </c>
      <c r="Y14197" t="s">
        <v>49183</v>
      </c>
    </row>
    <row r="14198" spans="1:25" x14ac:dyDescent="0.25">
      <c r="A14198" t="str">
        <f>"234679171094"</f>
        <v>234679171094</v>
      </c>
      <c r="B14198" t="s">
        <v>574</v>
      </c>
      <c r="C14198" t="s">
        <v>24608</v>
      </c>
      <c r="D14198" t="s">
        <v>24604</v>
      </c>
      <c r="E14198">
        <v>424036</v>
      </c>
      <c r="F14198" t="s">
        <v>1</v>
      </c>
      <c r="G14198" t="s">
        <v>2</v>
      </c>
      <c r="H14198" t="s">
        <v>375</v>
      </c>
      <c r="Q14198" t="s">
        <v>33317</v>
      </c>
      <c r="Y14198" t="s">
        <v>384</v>
      </c>
    </row>
    <row r="14199" spans="1:25" x14ac:dyDescent="0.25">
      <c r="A14199" t="str">
        <f>"234697777119"</f>
        <v>234697777119</v>
      </c>
      <c r="B14199" t="s">
        <v>417</v>
      </c>
      <c r="C14199" t="s">
        <v>14074</v>
      </c>
      <c r="D14199" t="s">
        <v>417</v>
      </c>
      <c r="E14199">
        <v>424002</v>
      </c>
      <c r="F14199" t="s">
        <v>1</v>
      </c>
      <c r="G14199" t="s">
        <v>2</v>
      </c>
      <c r="H14199" t="s">
        <v>16370</v>
      </c>
      <c r="I14199" t="s">
        <v>49184</v>
      </c>
      <c r="M14199" t="s">
        <v>49185</v>
      </c>
      <c r="P14199" t="s">
        <v>1035</v>
      </c>
      <c r="Y14199" t="s">
        <v>49186</v>
      </c>
    </row>
    <row r="14200" spans="1:25" x14ac:dyDescent="0.25">
      <c r="A14200" t="str">
        <f>"234711806100"</f>
        <v>234711806100</v>
      </c>
      <c r="B14200" t="s">
        <v>1573</v>
      </c>
      <c r="C14200" t="s">
        <v>1817</v>
      </c>
      <c r="D14200" t="s">
        <v>1817</v>
      </c>
      <c r="E14200">
        <v>424007</v>
      </c>
      <c r="F14200" t="s">
        <v>1</v>
      </c>
      <c r="G14200" t="s">
        <v>2</v>
      </c>
      <c r="H14200" t="s">
        <v>23983</v>
      </c>
      <c r="Y14200" t="s">
        <v>49187</v>
      </c>
    </row>
    <row r="14201" spans="1:25" x14ac:dyDescent="0.25">
      <c r="A14201" t="str">
        <f>"234732676113"</f>
        <v>234732676113</v>
      </c>
      <c r="B14201" t="s">
        <v>96</v>
      </c>
      <c r="C14201" t="s">
        <v>893</v>
      </c>
      <c r="D14201" t="s">
        <v>29216</v>
      </c>
      <c r="E14201">
        <v>424000</v>
      </c>
      <c r="F14201" t="s">
        <v>1</v>
      </c>
      <c r="G14201" t="s">
        <v>2</v>
      </c>
      <c r="H14201" t="s">
        <v>92</v>
      </c>
      <c r="Y14201" t="s">
        <v>28397</v>
      </c>
    </row>
    <row r="14202" spans="1:25" x14ac:dyDescent="0.25">
      <c r="A14202" t="str">
        <f>"234754583350"</f>
        <v>234754583350</v>
      </c>
      <c r="B14202" t="s">
        <v>1544</v>
      </c>
      <c r="C14202" t="s">
        <v>7974</v>
      </c>
      <c r="D14202" t="s">
        <v>49188</v>
      </c>
      <c r="E14202">
        <v>424006</v>
      </c>
      <c r="F14202" t="s">
        <v>1</v>
      </c>
      <c r="G14202" t="s">
        <v>2</v>
      </c>
      <c r="H14202" t="s">
        <v>5846</v>
      </c>
      <c r="J14202" t="s">
        <v>49189</v>
      </c>
      <c r="P14202" t="s">
        <v>7436</v>
      </c>
      <c r="Y14202" t="s">
        <v>49190</v>
      </c>
    </row>
    <row r="14203" spans="1:25" x14ac:dyDescent="0.25">
      <c r="A14203" t="str">
        <f>"234781013423"</f>
        <v>234781013423</v>
      </c>
      <c r="B14203" t="s">
        <v>117</v>
      </c>
      <c r="C14203" t="s">
        <v>873</v>
      </c>
      <c r="D14203" t="s">
        <v>873</v>
      </c>
      <c r="F14203" t="s">
        <v>1</v>
      </c>
      <c r="G14203" t="s">
        <v>2</v>
      </c>
      <c r="H14203" t="s">
        <v>24399</v>
      </c>
      <c r="Y14203" t="s">
        <v>49191</v>
      </c>
    </row>
    <row r="14204" spans="1:25" x14ac:dyDescent="0.25">
      <c r="A14204" t="str">
        <f>"234793494063"</f>
        <v>234793494063</v>
      </c>
      <c r="B14204" t="s">
        <v>574</v>
      </c>
      <c r="C14204" t="s">
        <v>646</v>
      </c>
      <c r="D14204" t="s">
        <v>30750</v>
      </c>
      <c r="E14204">
        <v>424028</v>
      </c>
      <c r="F14204" t="s">
        <v>1</v>
      </c>
      <c r="G14204" t="s">
        <v>2</v>
      </c>
      <c r="H14204" t="s">
        <v>5034</v>
      </c>
      <c r="P14204" t="s">
        <v>216</v>
      </c>
      <c r="Y14204" t="s">
        <v>5036</v>
      </c>
    </row>
    <row r="14205" spans="1:25" x14ac:dyDescent="0.25">
      <c r="A14205" t="str">
        <f>"234811536818"</f>
        <v>234811536818</v>
      </c>
      <c r="B14205" t="s">
        <v>110</v>
      </c>
      <c r="C14205" t="s">
        <v>49196</v>
      </c>
      <c r="D14205" t="s">
        <v>49192</v>
      </c>
      <c r="E14205">
        <v>424000</v>
      </c>
      <c r="F14205" t="s">
        <v>1</v>
      </c>
      <c r="G14205" t="s">
        <v>2</v>
      </c>
      <c r="H14205" t="s">
        <v>265</v>
      </c>
      <c r="J14205" t="s">
        <v>49193</v>
      </c>
      <c r="L14205" t="s">
        <v>49194</v>
      </c>
      <c r="M14205" t="s">
        <v>49195</v>
      </c>
      <c r="P14205" t="s">
        <v>49197</v>
      </c>
      <c r="Q14205" t="s">
        <v>49198</v>
      </c>
      <c r="V14205" t="s">
        <v>49199</v>
      </c>
      <c r="Y14205" t="s">
        <v>49200</v>
      </c>
    </row>
    <row r="14206" spans="1:25" x14ac:dyDescent="0.25">
      <c r="A14206" t="str">
        <f>"234831034854"</f>
        <v>234831034854</v>
      </c>
      <c r="B14206" t="s">
        <v>4084</v>
      </c>
      <c r="C14206" t="s">
        <v>28282</v>
      </c>
      <c r="D14206" t="s">
        <v>28461</v>
      </c>
      <c r="E14206">
        <v>424020</v>
      </c>
      <c r="F14206" t="s">
        <v>1</v>
      </c>
      <c r="G14206" t="s">
        <v>2</v>
      </c>
      <c r="H14206" t="s">
        <v>24402</v>
      </c>
      <c r="Y14206" t="s">
        <v>49201</v>
      </c>
    </row>
    <row r="14207" spans="1:25" x14ac:dyDescent="0.25">
      <c r="A14207" t="str">
        <f>"234831240066"</f>
        <v>234831240066</v>
      </c>
      <c r="B14207" t="s">
        <v>117</v>
      </c>
      <c r="C14207" t="s">
        <v>118</v>
      </c>
      <c r="D14207" t="s">
        <v>49202</v>
      </c>
      <c r="F14207" t="s">
        <v>1</v>
      </c>
      <c r="G14207" t="s">
        <v>2</v>
      </c>
      <c r="H14207" t="s">
        <v>7547</v>
      </c>
      <c r="Y14207" t="s">
        <v>49203</v>
      </c>
    </row>
    <row r="14208" spans="1:25" x14ac:dyDescent="0.25">
      <c r="A14208" t="str">
        <f>"234840626517"</f>
        <v>234840626517</v>
      </c>
      <c r="B14208" t="s">
        <v>574</v>
      </c>
      <c r="C14208" t="s">
        <v>14652</v>
      </c>
      <c r="D14208" t="s">
        <v>49204</v>
      </c>
      <c r="E14208">
        <v>424000</v>
      </c>
      <c r="F14208" t="s">
        <v>1</v>
      </c>
      <c r="G14208" t="s">
        <v>2</v>
      </c>
      <c r="H14208" t="s">
        <v>265</v>
      </c>
      <c r="Y14208" t="s">
        <v>11205</v>
      </c>
    </row>
    <row r="14209" spans="1:25" x14ac:dyDescent="0.25">
      <c r="A14209" t="str">
        <f>"234851641488"</f>
        <v>234851641488</v>
      </c>
      <c r="B14209" t="s">
        <v>2062</v>
      </c>
      <c r="C14209" t="s">
        <v>3081</v>
      </c>
      <c r="D14209" t="s">
        <v>49205</v>
      </c>
      <c r="E14209">
        <v>424004</v>
      </c>
      <c r="F14209" t="s">
        <v>1</v>
      </c>
      <c r="G14209" t="s">
        <v>2</v>
      </c>
      <c r="H14209" t="s">
        <v>186</v>
      </c>
      <c r="I14209" t="s">
        <v>49206</v>
      </c>
      <c r="L14209" t="s">
        <v>49207</v>
      </c>
      <c r="M14209" t="s">
        <v>49208</v>
      </c>
      <c r="P14209" t="s">
        <v>8397</v>
      </c>
      <c r="Q14209" t="s">
        <v>49209</v>
      </c>
      <c r="Y14209" t="s">
        <v>190</v>
      </c>
    </row>
    <row r="14210" spans="1:25" x14ac:dyDescent="0.25">
      <c r="A14210" t="str">
        <f>"234861789364"</f>
        <v>234861789364</v>
      </c>
      <c r="B14210" t="s">
        <v>462</v>
      </c>
      <c r="C14210" t="s">
        <v>5618</v>
      </c>
      <c r="D14210" t="s">
        <v>49210</v>
      </c>
      <c r="E14210">
        <v>424003</v>
      </c>
      <c r="F14210" t="s">
        <v>1</v>
      </c>
      <c r="G14210" t="s">
        <v>2</v>
      </c>
      <c r="H14210" t="s">
        <v>2465</v>
      </c>
      <c r="I14210" t="s">
        <v>31534</v>
      </c>
      <c r="M14210" t="s">
        <v>49211</v>
      </c>
      <c r="P14210" t="s">
        <v>1420</v>
      </c>
      <c r="Q14210" t="s">
        <v>49212</v>
      </c>
      <c r="Y14210" t="s">
        <v>49213</v>
      </c>
    </row>
    <row r="14211" spans="1:25" x14ac:dyDescent="0.25">
      <c r="A14211" t="str">
        <f>"234866189310"</f>
        <v>234866189310</v>
      </c>
      <c r="B14211" t="s">
        <v>18</v>
      </c>
      <c r="C14211" t="s">
        <v>143</v>
      </c>
      <c r="D14211" t="s">
        <v>49214</v>
      </c>
      <c r="E14211">
        <v>424038</v>
      </c>
      <c r="F14211" t="s">
        <v>1</v>
      </c>
      <c r="G14211" t="s">
        <v>2</v>
      </c>
      <c r="H14211" t="s">
        <v>192</v>
      </c>
      <c r="I14211" t="s">
        <v>49215</v>
      </c>
      <c r="J14211" t="s">
        <v>49216</v>
      </c>
      <c r="M14211" t="s">
        <v>49217</v>
      </c>
      <c r="P14211" t="s">
        <v>216</v>
      </c>
      <c r="Y14211" t="s">
        <v>198</v>
      </c>
    </row>
    <row r="14212" spans="1:25" x14ac:dyDescent="0.25">
      <c r="A14212" t="str">
        <f>"234887532849"</f>
        <v>234887532849</v>
      </c>
      <c r="B14212" t="s">
        <v>930</v>
      </c>
      <c r="C14212" t="s">
        <v>1940</v>
      </c>
      <c r="D14212" t="s">
        <v>49218</v>
      </c>
      <c r="E14212">
        <v>424006</v>
      </c>
      <c r="F14212" t="s">
        <v>1</v>
      </c>
      <c r="G14212" t="s">
        <v>2</v>
      </c>
      <c r="H14212" t="s">
        <v>3521</v>
      </c>
      <c r="I14212" t="s">
        <v>49219</v>
      </c>
      <c r="J14212" t="s">
        <v>49220</v>
      </c>
      <c r="M14212" t="s">
        <v>49221</v>
      </c>
      <c r="P14212" t="s">
        <v>4831</v>
      </c>
      <c r="Y14212" t="s">
        <v>49222</v>
      </c>
    </row>
    <row r="14213" spans="1:25" x14ac:dyDescent="0.25">
      <c r="A14213" t="str">
        <f>"234887562660"</f>
        <v>234887562660</v>
      </c>
      <c r="B14213" t="s">
        <v>352</v>
      </c>
      <c r="C14213" t="s">
        <v>9212</v>
      </c>
      <c r="D14213" t="s">
        <v>49223</v>
      </c>
      <c r="E14213">
        <v>424006</v>
      </c>
      <c r="F14213" t="s">
        <v>1</v>
      </c>
      <c r="G14213" t="s">
        <v>2</v>
      </c>
      <c r="H14213" t="s">
        <v>48465</v>
      </c>
      <c r="I14213" t="s">
        <v>49224</v>
      </c>
      <c r="L14213" t="s">
        <v>49225</v>
      </c>
      <c r="M14213" t="s">
        <v>49226</v>
      </c>
      <c r="P14213" t="s">
        <v>7436</v>
      </c>
      <c r="Y14213" t="s">
        <v>48466</v>
      </c>
    </row>
    <row r="14214" spans="1:25" x14ac:dyDescent="0.25">
      <c r="A14214" t="str">
        <f>"235017774055"</f>
        <v>235017774055</v>
      </c>
      <c r="B14214" t="s">
        <v>319</v>
      </c>
      <c r="C14214" t="s">
        <v>39966</v>
      </c>
      <c r="D14214" t="s">
        <v>25622</v>
      </c>
      <c r="E14214">
        <v>424000</v>
      </c>
      <c r="F14214" t="s">
        <v>1</v>
      </c>
      <c r="G14214" t="s">
        <v>2</v>
      </c>
      <c r="H14214" t="s">
        <v>1473</v>
      </c>
      <c r="P14214" t="s">
        <v>941</v>
      </c>
      <c r="Y14214" t="s">
        <v>4067</v>
      </c>
    </row>
    <row r="14215" spans="1:25" x14ac:dyDescent="0.25">
      <c r="A14215" t="str">
        <f>"235037239960"</f>
        <v>235037239960</v>
      </c>
      <c r="B14215" t="s">
        <v>1152</v>
      </c>
      <c r="C14215" t="s">
        <v>49230</v>
      </c>
      <c r="D14215" t="s">
        <v>49227</v>
      </c>
      <c r="E14215">
        <v>424020</v>
      </c>
      <c r="F14215" t="s">
        <v>1</v>
      </c>
      <c r="G14215" t="s">
        <v>2</v>
      </c>
      <c r="H14215" t="s">
        <v>7063</v>
      </c>
      <c r="J14215" t="s">
        <v>48961</v>
      </c>
      <c r="L14215" t="s">
        <v>49228</v>
      </c>
      <c r="M14215" t="s">
        <v>49229</v>
      </c>
      <c r="P14215" t="s">
        <v>144</v>
      </c>
      <c r="Q14215" t="s">
        <v>49231</v>
      </c>
      <c r="Y14215" t="s">
        <v>49232</v>
      </c>
    </row>
    <row r="14216" spans="1:25" x14ac:dyDescent="0.25">
      <c r="A14216" t="str">
        <f>"235045337193"</f>
        <v>235045337193</v>
      </c>
      <c r="B14216" t="s">
        <v>530</v>
      </c>
      <c r="C14216" t="s">
        <v>23950</v>
      </c>
      <c r="D14216" t="s">
        <v>23950</v>
      </c>
      <c r="E14216">
        <v>424019</v>
      </c>
      <c r="F14216" t="s">
        <v>1</v>
      </c>
      <c r="G14216" t="s">
        <v>2</v>
      </c>
      <c r="H14216" t="s">
        <v>12420</v>
      </c>
      <c r="Y14216" t="s">
        <v>49233</v>
      </c>
    </row>
    <row r="14217" spans="1:25" x14ac:dyDescent="0.25">
      <c r="A14217" t="str">
        <f>"235048647660"</f>
        <v>235048647660</v>
      </c>
      <c r="B14217" t="s">
        <v>790</v>
      </c>
      <c r="C14217" t="s">
        <v>49236</v>
      </c>
      <c r="D14217" t="s">
        <v>49234</v>
      </c>
      <c r="E14217">
        <v>424000</v>
      </c>
      <c r="F14217" t="s">
        <v>1</v>
      </c>
      <c r="G14217" t="s">
        <v>2</v>
      </c>
      <c r="H14217" t="s">
        <v>2671</v>
      </c>
      <c r="J14217" t="s">
        <v>49235</v>
      </c>
      <c r="P14217" t="s">
        <v>49237</v>
      </c>
      <c r="Q14217" t="s">
        <v>49238</v>
      </c>
      <c r="V14217" t="s">
        <v>49239</v>
      </c>
      <c r="Y14217" t="s">
        <v>2674</v>
      </c>
    </row>
    <row r="14218" spans="1:25" x14ac:dyDescent="0.25">
      <c r="A14218" t="str">
        <f>"235059436173"</f>
        <v>235059436173</v>
      </c>
      <c r="B14218" t="s">
        <v>1078</v>
      </c>
      <c r="C14218" t="s">
        <v>49240</v>
      </c>
      <c r="D14218" t="s">
        <v>11810</v>
      </c>
      <c r="E14218">
        <v>424000</v>
      </c>
      <c r="F14218" t="s">
        <v>1</v>
      </c>
      <c r="G14218" t="s">
        <v>2</v>
      </c>
      <c r="H14218" t="s">
        <v>1473</v>
      </c>
      <c r="P14218" t="s">
        <v>941</v>
      </c>
      <c r="Y14218" t="s">
        <v>4067</v>
      </c>
    </row>
    <row r="14219" spans="1:25" x14ac:dyDescent="0.25">
      <c r="A14219" t="str">
        <f>"235150017418"</f>
        <v>235150017418</v>
      </c>
      <c r="B14219" t="s">
        <v>430</v>
      </c>
      <c r="C14219" t="s">
        <v>16178</v>
      </c>
      <c r="D14219" t="s">
        <v>49241</v>
      </c>
      <c r="E14219">
        <v>424008</v>
      </c>
      <c r="F14219" t="s">
        <v>1</v>
      </c>
      <c r="G14219" t="s">
        <v>2</v>
      </c>
      <c r="H14219" t="s">
        <v>26558</v>
      </c>
      <c r="Y14219" t="s">
        <v>49242</v>
      </c>
    </row>
    <row r="14220" spans="1:25" x14ac:dyDescent="0.25">
      <c r="A14220" t="str">
        <f>"235163692249"</f>
        <v>235163692249</v>
      </c>
      <c r="B14220" t="s">
        <v>25</v>
      </c>
      <c r="C14220" t="s">
        <v>20320</v>
      </c>
      <c r="D14220" t="s">
        <v>49243</v>
      </c>
      <c r="F14220" t="s">
        <v>1</v>
      </c>
      <c r="G14220" t="s">
        <v>2</v>
      </c>
      <c r="H14220" t="s">
        <v>9571</v>
      </c>
      <c r="Y14220" t="s">
        <v>49244</v>
      </c>
    </row>
    <row r="14221" spans="1:25" x14ac:dyDescent="0.25">
      <c r="A14221" t="str">
        <f>"235179849141"</f>
        <v>235179849141</v>
      </c>
      <c r="B14221" t="s">
        <v>574</v>
      </c>
      <c r="C14221" t="s">
        <v>952</v>
      </c>
      <c r="D14221" t="s">
        <v>26311</v>
      </c>
      <c r="E14221">
        <v>424033</v>
      </c>
      <c r="F14221" t="s">
        <v>1</v>
      </c>
      <c r="G14221" t="s">
        <v>2</v>
      </c>
      <c r="H14221" t="s">
        <v>10720</v>
      </c>
      <c r="P14221" t="s">
        <v>216</v>
      </c>
      <c r="Y14221" t="s">
        <v>49245</v>
      </c>
    </row>
    <row r="14222" spans="1:25" x14ac:dyDescent="0.25">
      <c r="A14222" t="str">
        <f>"235237849783"</f>
        <v>235237849783</v>
      </c>
      <c r="B14222" t="s">
        <v>574</v>
      </c>
      <c r="C14222" t="s">
        <v>22533</v>
      </c>
      <c r="D14222" t="s">
        <v>3057</v>
      </c>
      <c r="E14222">
        <v>424005</v>
      </c>
      <c r="F14222" t="s">
        <v>1</v>
      </c>
      <c r="G14222" t="s">
        <v>2</v>
      </c>
      <c r="H14222" t="s">
        <v>4965</v>
      </c>
      <c r="P14222" t="s">
        <v>216</v>
      </c>
      <c r="Y14222" t="s">
        <v>49246</v>
      </c>
    </row>
    <row r="14223" spans="1:25" x14ac:dyDescent="0.25">
      <c r="A14223" t="str">
        <f>"235240810206"</f>
        <v>235240810206</v>
      </c>
      <c r="B14223" t="s">
        <v>284</v>
      </c>
      <c r="C14223" t="s">
        <v>27632</v>
      </c>
      <c r="D14223" t="s">
        <v>49247</v>
      </c>
      <c r="F14223" t="s">
        <v>1</v>
      </c>
      <c r="G14223" t="s">
        <v>2</v>
      </c>
      <c r="H14223" t="s">
        <v>7547</v>
      </c>
      <c r="Y14223" t="s">
        <v>49248</v>
      </c>
    </row>
    <row r="14224" spans="1:25" x14ac:dyDescent="0.25">
      <c r="A14224" t="str">
        <f>"235291756714"</f>
        <v>235291756714</v>
      </c>
      <c r="B14224" t="s">
        <v>574</v>
      </c>
      <c r="C14224" t="s">
        <v>26901</v>
      </c>
      <c r="D14224" t="s">
        <v>21345</v>
      </c>
      <c r="E14224">
        <v>424020</v>
      </c>
      <c r="F14224" t="s">
        <v>1</v>
      </c>
      <c r="G14224" t="s">
        <v>2</v>
      </c>
      <c r="H14224" t="s">
        <v>802</v>
      </c>
      <c r="I14224" t="s">
        <v>49249</v>
      </c>
      <c r="P14224" t="s">
        <v>13505</v>
      </c>
      <c r="Y14224" t="s">
        <v>49250</v>
      </c>
    </row>
    <row r="14225" spans="1:25" x14ac:dyDescent="0.25">
      <c r="A14225" t="str">
        <f>"235306996215"</f>
        <v>235306996215</v>
      </c>
      <c r="B14225" t="s">
        <v>687</v>
      </c>
      <c r="C14225" t="s">
        <v>34392</v>
      </c>
      <c r="D14225" t="s">
        <v>49251</v>
      </c>
      <c r="E14225">
        <v>424019</v>
      </c>
      <c r="F14225" t="s">
        <v>1</v>
      </c>
      <c r="G14225" t="s">
        <v>2</v>
      </c>
      <c r="H14225" t="s">
        <v>7785</v>
      </c>
      <c r="J14225" t="s">
        <v>49252</v>
      </c>
      <c r="P14225" t="s">
        <v>98</v>
      </c>
      <c r="Y14225" t="s">
        <v>49253</v>
      </c>
    </row>
    <row r="14226" spans="1:25" x14ac:dyDescent="0.25">
      <c r="A14226" t="str">
        <f>"235366921459"</f>
        <v>235366921459</v>
      </c>
      <c r="B14226" t="s">
        <v>160</v>
      </c>
      <c r="C14226" t="s">
        <v>49258</v>
      </c>
      <c r="D14226" t="s">
        <v>49254</v>
      </c>
      <c r="E14226">
        <v>424020</v>
      </c>
      <c r="F14226" t="s">
        <v>1</v>
      </c>
      <c r="G14226" t="s">
        <v>2</v>
      </c>
      <c r="H14226" t="s">
        <v>6886</v>
      </c>
      <c r="I14226" t="s">
        <v>49255</v>
      </c>
      <c r="L14226" t="s">
        <v>49256</v>
      </c>
      <c r="M14226" t="s">
        <v>49257</v>
      </c>
      <c r="P14226" t="s">
        <v>49259</v>
      </c>
      <c r="Y14226" t="s">
        <v>49260</v>
      </c>
    </row>
    <row r="14227" spans="1:25" x14ac:dyDescent="0.25">
      <c r="A14227" t="str">
        <f>"235382236408"</f>
        <v>235382236408</v>
      </c>
      <c r="B14227" t="s">
        <v>290</v>
      </c>
      <c r="C14227" t="s">
        <v>290</v>
      </c>
      <c r="D14227" t="s">
        <v>49261</v>
      </c>
      <c r="E14227">
        <v>424019</v>
      </c>
      <c r="F14227" t="s">
        <v>1</v>
      </c>
      <c r="G14227" t="s">
        <v>2</v>
      </c>
      <c r="H14227" t="s">
        <v>19290</v>
      </c>
      <c r="Y14227" t="s">
        <v>49262</v>
      </c>
    </row>
    <row r="14228" spans="1:25" x14ac:dyDescent="0.25">
      <c r="A14228" t="str">
        <f>"235392406331"</f>
        <v>235392406331</v>
      </c>
      <c r="B14228" t="s">
        <v>841</v>
      </c>
      <c r="C14228" t="s">
        <v>11986</v>
      </c>
      <c r="D14228" t="s">
        <v>24312</v>
      </c>
      <c r="E14228">
        <v>424019</v>
      </c>
      <c r="F14228" t="s">
        <v>1</v>
      </c>
      <c r="G14228" t="s">
        <v>2</v>
      </c>
      <c r="H14228" t="s">
        <v>12105</v>
      </c>
      <c r="J14228" t="s">
        <v>24465</v>
      </c>
      <c r="Q14228" t="s">
        <v>49263</v>
      </c>
      <c r="Y14228" t="s">
        <v>14260</v>
      </c>
    </row>
    <row r="14229" spans="1:25" x14ac:dyDescent="0.25">
      <c r="A14229" t="str">
        <f>"235423611697"</f>
        <v>235423611697</v>
      </c>
      <c r="B14229" t="s">
        <v>2104</v>
      </c>
      <c r="C14229" t="s">
        <v>2105</v>
      </c>
      <c r="D14229" t="s">
        <v>24033</v>
      </c>
      <c r="E14229">
        <v>424004</v>
      </c>
      <c r="F14229" t="s">
        <v>1</v>
      </c>
      <c r="G14229" t="s">
        <v>2</v>
      </c>
      <c r="H14229" t="s">
        <v>3489</v>
      </c>
      <c r="P14229" t="s">
        <v>1642</v>
      </c>
      <c r="Y14229" t="s">
        <v>49264</v>
      </c>
    </row>
    <row r="14230" spans="1:25" x14ac:dyDescent="0.25">
      <c r="A14230" t="str">
        <f>"235429085401"</f>
        <v>235429085401</v>
      </c>
      <c r="B14230" t="s">
        <v>703</v>
      </c>
      <c r="C14230" t="s">
        <v>2129</v>
      </c>
      <c r="D14230" t="s">
        <v>15742</v>
      </c>
      <c r="E14230">
        <v>424033</v>
      </c>
      <c r="F14230" t="s">
        <v>1</v>
      </c>
      <c r="G14230" t="s">
        <v>2</v>
      </c>
      <c r="H14230" t="s">
        <v>16703</v>
      </c>
      <c r="Y14230" t="s">
        <v>16705</v>
      </c>
    </row>
    <row r="14231" spans="1:25" x14ac:dyDescent="0.25">
      <c r="A14231" t="str">
        <f>"235447342148"</f>
        <v>235447342148</v>
      </c>
      <c r="B14231" t="s">
        <v>1343</v>
      </c>
      <c r="C14231" t="s">
        <v>1344</v>
      </c>
      <c r="D14231" t="s">
        <v>38341</v>
      </c>
      <c r="E14231">
        <v>424000</v>
      </c>
      <c r="F14231" t="s">
        <v>1</v>
      </c>
      <c r="G14231" t="s">
        <v>2</v>
      </c>
      <c r="H14231" t="s">
        <v>24175</v>
      </c>
      <c r="J14231" t="s">
        <v>49265</v>
      </c>
      <c r="P14231" t="s">
        <v>1760</v>
      </c>
      <c r="V14231" t="s">
        <v>49266</v>
      </c>
      <c r="Y14231" t="s">
        <v>49267</v>
      </c>
    </row>
    <row r="14232" spans="1:25" x14ac:dyDescent="0.25">
      <c r="A14232" t="str">
        <f>"235461595120"</f>
        <v>235461595120</v>
      </c>
      <c r="B14232" t="s">
        <v>640</v>
      </c>
      <c r="C14232" t="s">
        <v>29164</v>
      </c>
      <c r="D14232" t="s">
        <v>49268</v>
      </c>
      <c r="E14232">
        <v>424000</v>
      </c>
      <c r="F14232" t="s">
        <v>1</v>
      </c>
      <c r="G14232" t="s">
        <v>2</v>
      </c>
      <c r="H14232" t="s">
        <v>28137</v>
      </c>
      <c r="I14232" t="s">
        <v>49269</v>
      </c>
      <c r="P14232" t="s">
        <v>21813</v>
      </c>
      <c r="Y14232" t="s">
        <v>49270</v>
      </c>
    </row>
    <row r="14233" spans="1:25" x14ac:dyDescent="0.25">
      <c r="A14233" t="str">
        <f>"235541918627"</f>
        <v>235541918627</v>
      </c>
      <c r="B14233" t="s">
        <v>930</v>
      </c>
      <c r="C14233" t="s">
        <v>49275</v>
      </c>
      <c r="D14233" t="s">
        <v>23336</v>
      </c>
      <c r="F14233" t="s">
        <v>1</v>
      </c>
      <c r="G14233" t="s">
        <v>2</v>
      </c>
      <c r="H14233" t="s">
        <v>49271</v>
      </c>
      <c r="I14233" t="s">
        <v>49272</v>
      </c>
      <c r="L14233" t="s">
        <v>49273</v>
      </c>
      <c r="M14233" t="s">
        <v>49274</v>
      </c>
      <c r="P14233" t="s">
        <v>10614</v>
      </c>
      <c r="Q14233" t="s">
        <v>49276</v>
      </c>
      <c r="V14233" t="s">
        <v>49277</v>
      </c>
      <c r="Y14233" t="s">
        <v>49278</v>
      </c>
    </row>
    <row r="14234" spans="1:25" x14ac:dyDescent="0.25">
      <c r="A14234" t="str">
        <f>"235661445258"</f>
        <v>235661445258</v>
      </c>
      <c r="B14234" t="s">
        <v>18</v>
      </c>
      <c r="C14234" t="s">
        <v>2171</v>
      </c>
      <c r="D14234" t="s">
        <v>49279</v>
      </c>
      <c r="E14234">
        <v>424033</v>
      </c>
      <c r="F14234" t="s">
        <v>1</v>
      </c>
      <c r="G14234" t="s">
        <v>2</v>
      </c>
      <c r="H14234" t="s">
        <v>10720</v>
      </c>
      <c r="Y14234" t="s">
        <v>10723</v>
      </c>
    </row>
    <row r="14235" spans="1:25" x14ac:dyDescent="0.25">
      <c r="A14235" t="str">
        <f>"235673982999"</f>
        <v>235673982999</v>
      </c>
      <c r="B14235" t="s">
        <v>1343</v>
      </c>
      <c r="C14235" t="s">
        <v>5308</v>
      </c>
      <c r="D14235" t="s">
        <v>49280</v>
      </c>
      <c r="E14235">
        <v>424038</v>
      </c>
      <c r="F14235" t="s">
        <v>1</v>
      </c>
      <c r="G14235" t="s">
        <v>2</v>
      </c>
      <c r="H14235" t="s">
        <v>12580</v>
      </c>
      <c r="Y14235" t="s">
        <v>49281</v>
      </c>
    </row>
    <row r="14236" spans="1:25" x14ac:dyDescent="0.25">
      <c r="A14236" t="str">
        <f>"235760272712"</f>
        <v>235760272712</v>
      </c>
      <c r="B14236" t="s">
        <v>25</v>
      </c>
      <c r="C14236" t="s">
        <v>4458</v>
      </c>
      <c r="D14236" t="s">
        <v>13560</v>
      </c>
      <c r="E14236">
        <v>424002</v>
      </c>
      <c r="F14236" t="s">
        <v>1</v>
      </c>
      <c r="G14236" t="s">
        <v>2</v>
      </c>
      <c r="H14236" t="s">
        <v>2338</v>
      </c>
      <c r="J14236" t="s">
        <v>42562</v>
      </c>
      <c r="P14236" t="s">
        <v>49282</v>
      </c>
      <c r="Y14236" t="s">
        <v>2954</v>
      </c>
    </row>
    <row r="14237" spans="1:25" x14ac:dyDescent="0.25">
      <c r="A14237" t="str">
        <f>"235778858783"</f>
        <v>235778858783</v>
      </c>
      <c r="B14237" t="s">
        <v>408</v>
      </c>
      <c r="C14237" t="s">
        <v>25792</v>
      </c>
      <c r="D14237" t="s">
        <v>25790</v>
      </c>
      <c r="E14237">
        <v>424005</v>
      </c>
      <c r="F14237" t="s">
        <v>1</v>
      </c>
      <c r="G14237" t="s">
        <v>2</v>
      </c>
      <c r="H14237" t="s">
        <v>7480</v>
      </c>
      <c r="Y14237" t="s">
        <v>49283</v>
      </c>
    </row>
    <row r="14238" spans="1:25" x14ac:dyDescent="0.25">
      <c r="A14238" t="str">
        <f>"235779746542"</f>
        <v>235779746542</v>
      </c>
      <c r="B14238" t="s">
        <v>1152</v>
      </c>
      <c r="C14238" t="s">
        <v>1153</v>
      </c>
      <c r="D14238" t="s">
        <v>10280</v>
      </c>
      <c r="E14238">
        <v>424039</v>
      </c>
      <c r="F14238" t="s">
        <v>1</v>
      </c>
      <c r="G14238" t="s">
        <v>2</v>
      </c>
      <c r="H14238" t="s">
        <v>46109</v>
      </c>
      <c r="I14238" t="s">
        <v>22092</v>
      </c>
      <c r="M14238" t="s">
        <v>10284</v>
      </c>
      <c r="P14238" t="s">
        <v>60</v>
      </c>
      <c r="Q14238" t="s">
        <v>10286</v>
      </c>
      <c r="R14238" t="s">
        <v>10287</v>
      </c>
      <c r="S14238" t="s">
        <v>10288</v>
      </c>
      <c r="T14238" t="s">
        <v>10289</v>
      </c>
      <c r="U14238" t="s">
        <v>10290</v>
      </c>
      <c r="V14238" t="s">
        <v>10291</v>
      </c>
      <c r="Y14238" t="s">
        <v>49284</v>
      </c>
    </row>
    <row r="14239" spans="1:25" x14ac:dyDescent="0.25">
      <c r="A14239" t="str">
        <f>"235782300604"</f>
        <v>235782300604</v>
      </c>
      <c r="B14239" t="s">
        <v>703</v>
      </c>
      <c r="C14239" t="s">
        <v>36056</v>
      </c>
      <c r="D14239" t="s">
        <v>16715</v>
      </c>
      <c r="E14239">
        <v>424037</v>
      </c>
      <c r="F14239" t="s">
        <v>1</v>
      </c>
      <c r="G14239" t="s">
        <v>2</v>
      </c>
      <c r="H14239" t="s">
        <v>615</v>
      </c>
      <c r="Y14239" t="s">
        <v>20961</v>
      </c>
    </row>
    <row r="14240" spans="1:25" x14ac:dyDescent="0.25">
      <c r="A14240" t="str">
        <f>"235796755498"</f>
        <v>235796755498</v>
      </c>
      <c r="B14240" t="s">
        <v>5573</v>
      </c>
      <c r="C14240" t="s">
        <v>21453</v>
      </c>
      <c r="D14240" t="s">
        <v>49285</v>
      </c>
      <c r="E14240">
        <v>424033</v>
      </c>
      <c r="F14240" t="s">
        <v>1</v>
      </c>
      <c r="G14240" t="s">
        <v>2</v>
      </c>
      <c r="H14240" t="s">
        <v>22290</v>
      </c>
      <c r="Y14240" t="s">
        <v>43744</v>
      </c>
    </row>
    <row r="14241" spans="1:25" x14ac:dyDescent="0.25">
      <c r="A14241" t="str">
        <f>"235843482099"</f>
        <v>235843482099</v>
      </c>
      <c r="B14241" t="s">
        <v>703</v>
      </c>
      <c r="C14241" t="s">
        <v>49291</v>
      </c>
      <c r="D14241" t="s">
        <v>49286</v>
      </c>
      <c r="F14241" t="s">
        <v>1</v>
      </c>
      <c r="G14241" t="s">
        <v>2</v>
      </c>
      <c r="H14241" t="s">
        <v>4857</v>
      </c>
      <c r="I14241" t="s">
        <v>49287</v>
      </c>
      <c r="J14241" t="s">
        <v>49288</v>
      </c>
      <c r="L14241" t="s">
        <v>49289</v>
      </c>
      <c r="M14241" t="s">
        <v>49290</v>
      </c>
      <c r="P14241" t="s">
        <v>280</v>
      </c>
      <c r="Y14241" t="s">
        <v>49292</v>
      </c>
    </row>
    <row r="14242" spans="1:25" x14ac:dyDescent="0.25">
      <c r="A14242" t="str">
        <f>"235862111941"</f>
        <v>235862111941</v>
      </c>
      <c r="B14242" t="s">
        <v>574</v>
      </c>
      <c r="C14242" t="s">
        <v>646</v>
      </c>
      <c r="D14242" t="s">
        <v>30750</v>
      </c>
      <c r="E14242">
        <v>424036</v>
      </c>
      <c r="F14242" t="s">
        <v>1</v>
      </c>
      <c r="G14242" t="s">
        <v>2</v>
      </c>
      <c r="H14242" t="s">
        <v>31630</v>
      </c>
      <c r="P14242" t="s">
        <v>216</v>
      </c>
      <c r="Y14242" t="s">
        <v>43542</v>
      </c>
    </row>
    <row r="14243" spans="1:25" x14ac:dyDescent="0.25">
      <c r="A14243" t="str">
        <f>"235869522867"</f>
        <v>235869522867</v>
      </c>
      <c r="B14243" t="s">
        <v>1611</v>
      </c>
      <c r="C14243" t="s">
        <v>3218</v>
      </c>
      <c r="D14243" t="s">
        <v>49293</v>
      </c>
      <c r="E14243">
        <v>424037</v>
      </c>
      <c r="F14243" t="s">
        <v>1</v>
      </c>
      <c r="G14243" t="s">
        <v>2</v>
      </c>
      <c r="H14243" t="s">
        <v>49294</v>
      </c>
      <c r="I14243" t="s">
        <v>49295</v>
      </c>
      <c r="L14243" t="s">
        <v>3217</v>
      </c>
      <c r="P14243" t="s">
        <v>5396</v>
      </c>
      <c r="Y14243" t="s">
        <v>4724</v>
      </c>
    </row>
    <row r="14244" spans="1:25" x14ac:dyDescent="0.25">
      <c r="A14244" t="str">
        <f>"235873457641"</f>
        <v>235873457641</v>
      </c>
      <c r="B14244" t="s">
        <v>654</v>
      </c>
      <c r="C14244" t="s">
        <v>14448</v>
      </c>
      <c r="D14244" t="s">
        <v>7437</v>
      </c>
      <c r="E14244">
        <v>424004</v>
      </c>
      <c r="F14244" t="s">
        <v>1</v>
      </c>
      <c r="G14244" t="s">
        <v>2</v>
      </c>
      <c r="H14244" t="s">
        <v>3266</v>
      </c>
      <c r="Y14244" t="s">
        <v>16843</v>
      </c>
    </row>
    <row r="14245" spans="1:25" x14ac:dyDescent="0.25">
      <c r="A14245" t="str">
        <f>"235893249367"</f>
        <v>235893249367</v>
      </c>
      <c r="B14245" t="s">
        <v>1053</v>
      </c>
      <c r="C14245" t="s">
        <v>49298</v>
      </c>
      <c r="D14245" t="s">
        <v>49296</v>
      </c>
      <c r="E14245">
        <v>424006</v>
      </c>
      <c r="F14245" t="s">
        <v>1</v>
      </c>
      <c r="G14245" t="s">
        <v>2</v>
      </c>
      <c r="H14245" t="s">
        <v>28448</v>
      </c>
      <c r="I14245" t="s">
        <v>49297</v>
      </c>
      <c r="P14245" t="s">
        <v>20</v>
      </c>
      <c r="Y14245" t="s">
        <v>49299</v>
      </c>
    </row>
    <row r="14246" spans="1:25" x14ac:dyDescent="0.25">
      <c r="A14246" t="str">
        <f>"235912589811"</f>
        <v>235912589811</v>
      </c>
      <c r="B14246" t="s">
        <v>790</v>
      </c>
      <c r="C14246" t="s">
        <v>2446</v>
      </c>
      <c r="D14246" t="s">
        <v>49300</v>
      </c>
      <c r="E14246">
        <v>424031</v>
      </c>
      <c r="F14246" t="s">
        <v>1</v>
      </c>
      <c r="G14246" t="s">
        <v>2</v>
      </c>
      <c r="H14246" t="s">
        <v>413</v>
      </c>
      <c r="I14246" t="s">
        <v>49301</v>
      </c>
      <c r="J14246" t="s">
        <v>49302</v>
      </c>
      <c r="L14246" t="s">
        <v>16920</v>
      </c>
      <c r="M14246" t="s">
        <v>49303</v>
      </c>
      <c r="P14246" t="s">
        <v>49304</v>
      </c>
      <c r="Q14246" t="s">
        <v>49305</v>
      </c>
      <c r="Y14246" t="s">
        <v>49306</v>
      </c>
    </row>
    <row r="14247" spans="1:25" x14ac:dyDescent="0.25">
      <c r="A14247" t="str">
        <f>"235918994888"</f>
        <v>235918994888</v>
      </c>
      <c r="B14247" t="s">
        <v>123</v>
      </c>
      <c r="C14247" t="s">
        <v>49307</v>
      </c>
      <c r="D14247" t="s">
        <v>27358</v>
      </c>
      <c r="E14247">
        <v>424040</v>
      </c>
      <c r="F14247" t="s">
        <v>1</v>
      </c>
      <c r="G14247" t="s">
        <v>2</v>
      </c>
      <c r="H14247" t="s">
        <v>44662</v>
      </c>
      <c r="P14247" t="s">
        <v>425</v>
      </c>
      <c r="Y14247" t="s">
        <v>49308</v>
      </c>
    </row>
    <row r="14248" spans="1:25" x14ac:dyDescent="0.25">
      <c r="A14248" t="str">
        <f>"235921493250"</f>
        <v>235921493250</v>
      </c>
      <c r="B14248" t="s">
        <v>574</v>
      </c>
      <c r="C14248" t="s">
        <v>952</v>
      </c>
      <c r="D14248" t="s">
        <v>35107</v>
      </c>
      <c r="E14248">
        <v>424006</v>
      </c>
      <c r="F14248" t="s">
        <v>1</v>
      </c>
      <c r="G14248" t="s">
        <v>2</v>
      </c>
      <c r="H14248" t="s">
        <v>15013</v>
      </c>
      <c r="P14248" t="s">
        <v>1027</v>
      </c>
      <c r="Y14248" t="s">
        <v>29282</v>
      </c>
    </row>
    <row r="14249" spans="1:25" x14ac:dyDescent="0.25">
      <c r="A14249" t="str">
        <f>"235927803185"</f>
        <v>235927803185</v>
      </c>
      <c r="B14249" t="s">
        <v>1152</v>
      </c>
      <c r="C14249" t="s">
        <v>1385</v>
      </c>
      <c r="D14249" t="s">
        <v>27705</v>
      </c>
      <c r="E14249">
        <v>424038</v>
      </c>
      <c r="F14249" t="s">
        <v>1</v>
      </c>
      <c r="G14249" t="s">
        <v>2</v>
      </c>
      <c r="H14249" t="s">
        <v>2614</v>
      </c>
      <c r="P14249" t="s">
        <v>696</v>
      </c>
      <c r="Y14249" t="s">
        <v>2617</v>
      </c>
    </row>
    <row r="14250" spans="1:25" x14ac:dyDescent="0.25">
      <c r="A14250" t="str">
        <f>"235954990028"</f>
        <v>235954990028</v>
      </c>
      <c r="B14250" t="s">
        <v>1061</v>
      </c>
      <c r="C14250" t="s">
        <v>26953</v>
      </c>
      <c r="D14250" t="s">
        <v>29604</v>
      </c>
      <c r="E14250">
        <v>424005</v>
      </c>
      <c r="F14250" t="s">
        <v>1</v>
      </c>
      <c r="G14250" t="s">
        <v>2</v>
      </c>
      <c r="H14250" t="s">
        <v>29605</v>
      </c>
      <c r="Y14250" t="s">
        <v>49309</v>
      </c>
    </row>
    <row r="14251" spans="1:25" x14ac:dyDescent="0.25">
      <c r="A14251" t="str">
        <f>"236069079113"</f>
        <v>236069079113</v>
      </c>
      <c r="B14251" t="s">
        <v>96</v>
      </c>
      <c r="C14251" t="s">
        <v>29320</v>
      </c>
      <c r="D14251" t="s">
        <v>49310</v>
      </c>
      <c r="F14251" t="s">
        <v>1</v>
      </c>
      <c r="G14251" t="s">
        <v>2</v>
      </c>
      <c r="H14251" t="s">
        <v>16696</v>
      </c>
      <c r="J14251" t="s">
        <v>49311</v>
      </c>
      <c r="P14251" t="s">
        <v>49312</v>
      </c>
      <c r="Y14251" t="s">
        <v>49313</v>
      </c>
    </row>
    <row r="14252" spans="1:25" x14ac:dyDescent="0.25">
      <c r="A14252" t="str">
        <f>"236073020646"</f>
        <v>236073020646</v>
      </c>
      <c r="B14252" t="s">
        <v>1617</v>
      </c>
      <c r="C14252" t="s">
        <v>21001</v>
      </c>
      <c r="D14252" t="s">
        <v>17501</v>
      </c>
      <c r="E14252">
        <v>424032</v>
      </c>
      <c r="F14252" t="s">
        <v>1</v>
      </c>
      <c r="G14252" t="s">
        <v>2</v>
      </c>
      <c r="H14252" t="s">
        <v>14601</v>
      </c>
      <c r="Y14252" t="s">
        <v>49314</v>
      </c>
    </row>
    <row r="14253" spans="1:25" x14ac:dyDescent="0.25">
      <c r="A14253" t="str">
        <f>"236087665445"</f>
        <v>236087665445</v>
      </c>
      <c r="B14253" t="s">
        <v>430</v>
      </c>
      <c r="C14253" t="s">
        <v>49317</v>
      </c>
      <c r="D14253" t="s">
        <v>49315</v>
      </c>
      <c r="E14253">
        <v>424031</v>
      </c>
      <c r="F14253" t="s">
        <v>1</v>
      </c>
      <c r="G14253" t="s">
        <v>2</v>
      </c>
      <c r="H14253" t="s">
        <v>4622</v>
      </c>
      <c r="J14253" t="s">
        <v>49316</v>
      </c>
      <c r="P14253" t="s">
        <v>2839</v>
      </c>
      <c r="Y14253" t="s">
        <v>49318</v>
      </c>
    </row>
    <row r="14254" spans="1:25" x14ac:dyDescent="0.25">
      <c r="A14254" t="str">
        <f>"236104160573"</f>
        <v>236104160573</v>
      </c>
      <c r="B14254" t="s">
        <v>469</v>
      </c>
      <c r="C14254" t="s">
        <v>24886</v>
      </c>
      <c r="D14254" t="s">
        <v>49319</v>
      </c>
      <c r="E14254">
        <v>424033</v>
      </c>
      <c r="F14254" t="s">
        <v>1</v>
      </c>
      <c r="G14254" t="s">
        <v>2</v>
      </c>
      <c r="H14254" t="s">
        <v>4300</v>
      </c>
      <c r="J14254" t="s">
        <v>49320</v>
      </c>
      <c r="P14254" t="s">
        <v>42840</v>
      </c>
      <c r="Q14254" t="s">
        <v>49321</v>
      </c>
      <c r="Y14254" t="s">
        <v>49322</v>
      </c>
    </row>
    <row r="14255" spans="1:25" x14ac:dyDescent="0.25">
      <c r="A14255" t="str">
        <f>"236144802741"</f>
        <v>236144802741</v>
      </c>
      <c r="B14255" t="s">
        <v>1053</v>
      </c>
      <c r="C14255" t="s">
        <v>1927</v>
      </c>
      <c r="D14255" t="s">
        <v>49323</v>
      </c>
      <c r="F14255" t="s">
        <v>1</v>
      </c>
      <c r="G14255" t="s">
        <v>2</v>
      </c>
      <c r="H14255" t="s">
        <v>3696</v>
      </c>
      <c r="I14255" t="s">
        <v>49324</v>
      </c>
      <c r="P14255" t="s">
        <v>1035</v>
      </c>
      <c r="Y14255" t="s">
        <v>3701</v>
      </c>
    </row>
    <row r="14256" spans="1:25" x14ac:dyDescent="0.25">
      <c r="A14256" t="str">
        <f>"236155251481"</f>
        <v>236155251481</v>
      </c>
      <c r="B14256" t="s">
        <v>7849</v>
      </c>
      <c r="C14256" t="s">
        <v>10351</v>
      </c>
      <c r="D14256" t="s">
        <v>21762</v>
      </c>
      <c r="F14256" t="s">
        <v>1</v>
      </c>
      <c r="G14256" t="s">
        <v>2</v>
      </c>
      <c r="H14256" t="s">
        <v>24384</v>
      </c>
      <c r="Y14256" t="s">
        <v>49325</v>
      </c>
    </row>
    <row r="14257" spans="1:25" x14ac:dyDescent="0.25">
      <c r="A14257" t="str">
        <f>"236224104477"</f>
        <v>236224104477</v>
      </c>
      <c r="B14257" t="s">
        <v>1053</v>
      </c>
      <c r="C14257" t="s">
        <v>1927</v>
      </c>
      <c r="D14257" t="s">
        <v>12964</v>
      </c>
      <c r="E14257">
        <v>424031</v>
      </c>
      <c r="F14257" t="s">
        <v>1</v>
      </c>
      <c r="G14257" t="s">
        <v>2</v>
      </c>
      <c r="H14257" t="s">
        <v>239</v>
      </c>
      <c r="I14257" t="s">
        <v>49326</v>
      </c>
      <c r="P14257" t="s">
        <v>280</v>
      </c>
      <c r="Y14257" t="s">
        <v>246</v>
      </c>
    </row>
    <row r="14258" spans="1:25" x14ac:dyDescent="0.25">
      <c r="A14258" t="str">
        <f>"236229491567"</f>
        <v>236229491567</v>
      </c>
      <c r="B14258" t="s">
        <v>18</v>
      </c>
      <c r="C14258" t="s">
        <v>2171</v>
      </c>
      <c r="D14258" t="s">
        <v>7652</v>
      </c>
      <c r="E14258">
        <v>424004</v>
      </c>
      <c r="F14258" t="s">
        <v>1</v>
      </c>
      <c r="G14258" t="s">
        <v>2</v>
      </c>
      <c r="H14258" t="s">
        <v>2133</v>
      </c>
      <c r="Y14258" t="s">
        <v>49327</v>
      </c>
    </row>
    <row r="14259" spans="1:25" x14ac:dyDescent="0.25">
      <c r="A14259" t="str">
        <f>"236245194386"</f>
        <v>236245194386</v>
      </c>
      <c r="B14259" t="s">
        <v>96</v>
      </c>
      <c r="C14259" t="s">
        <v>15131</v>
      </c>
      <c r="D14259" t="s">
        <v>12083</v>
      </c>
      <c r="E14259">
        <v>424000</v>
      </c>
      <c r="F14259" t="s">
        <v>1</v>
      </c>
      <c r="G14259" t="s">
        <v>2</v>
      </c>
      <c r="H14259" t="s">
        <v>265</v>
      </c>
      <c r="Y14259" t="s">
        <v>49328</v>
      </c>
    </row>
    <row r="14260" spans="1:25" x14ac:dyDescent="0.25">
      <c r="A14260" t="str">
        <f>"236254730323"</f>
        <v>236254730323</v>
      </c>
      <c r="B14260" t="s">
        <v>96</v>
      </c>
      <c r="C14260" t="s">
        <v>11891</v>
      </c>
      <c r="D14260" t="s">
        <v>49329</v>
      </c>
      <c r="E14260">
        <v>424918</v>
      </c>
      <c r="F14260" t="s">
        <v>1</v>
      </c>
      <c r="G14260" t="s">
        <v>2</v>
      </c>
      <c r="H14260" t="s">
        <v>629</v>
      </c>
      <c r="P14260" t="s">
        <v>630</v>
      </c>
      <c r="Y14260" t="s">
        <v>24636</v>
      </c>
    </row>
    <row r="14261" spans="1:25" x14ac:dyDescent="0.25">
      <c r="A14261" t="str">
        <f>"236260573955"</f>
        <v>236260573955</v>
      </c>
      <c r="B14261" t="s">
        <v>25</v>
      </c>
      <c r="C14261" t="s">
        <v>20320</v>
      </c>
      <c r="D14261" t="s">
        <v>19041</v>
      </c>
      <c r="E14261">
        <v>424037</v>
      </c>
      <c r="F14261" t="s">
        <v>1</v>
      </c>
      <c r="G14261" t="s">
        <v>2</v>
      </c>
      <c r="H14261" t="s">
        <v>10936</v>
      </c>
      <c r="J14261" t="s">
        <v>49330</v>
      </c>
      <c r="L14261" t="s">
        <v>19044</v>
      </c>
      <c r="M14261" t="s">
        <v>42051</v>
      </c>
      <c r="P14261" t="s">
        <v>330</v>
      </c>
      <c r="Y14261" t="s">
        <v>49331</v>
      </c>
    </row>
    <row r="14262" spans="1:25" x14ac:dyDescent="0.25">
      <c r="A14262" t="str">
        <f>"236267788919"</f>
        <v>236267788919</v>
      </c>
      <c r="B14262" t="s">
        <v>430</v>
      </c>
      <c r="C14262" t="s">
        <v>14689</v>
      </c>
      <c r="D14262" t="s">
        <v>14686</v>
      </c>
      <c r="E14262">
        <v>424004</v>
      </c>
      <c r="F14262" t="s">
        <v>1</v>
      </c>
      <c r="G14262" t="s">
        <v>2</v>
      </c>
      <c r="H14262" t="s">
        <v>186</v>
      </c>
      <c r="I14262" t="s">
        <v>14687</v>
      </c>
      <c r="P14262" t="s">
        <v>34</v>
      </c>
      <c r="Y14262" t="s">
        <v>190</v>
      </c>
    </row>
    <row r="14263" spans="1:25" x14ac:dyDescent="0.25">
      <c r="A14263" t="str">
        <f>"236279445222"</f>
        <v>236279445222</v>
      </c>
      <c r="B14263" t="s">
        <v>930</v>
      </c>
      <c r="C14263" t="s">
        <v>49334</v>
      </c>
      <c r="D14263" t="s">
        <v>49332</v>
      </c>
      <c r="E14263">
        <v>424030</v>
      </c>
      <c r="F14263" t="s">
        <v>1</v>
      </c>
      <c r="G14263" t="s">
        <v>2</v>
      </c>
      <c r="H14263" t="s">
        <v>10261</v>
      </c>
      <c r="I14263" t="s">
        <v>49333</v>
      </c>
      <c r="P14263" t="s">
        <v>340</v>
      </c>
      <c r="Y14263" t="s">
        <v>49335</v>
      </c>
    </row>
    <row r="14264" spans="1:25" x14ac:dyDescent="0.25">
      <c r="A14264" t="str">
        <f>"236310743189"</f>
        <v>236310743189</v>
      </c>
      <c r="B14264" t="s">
        <v>96</v>
      </c>
      <c r="C14264" t="s">
        <v>24042</v>
      </c>
      <c r="D14264" t="s">
        <v>24294</v>
      </c>
      <c r="E14264">
        <v>424038</v>
      </c>
      <c r="F14264" t="s">
        <v>1</v>
      </c>
      <c r="G14264" t="s">
        <v>2</v>
      </c>
      <c r="H14264" t="s">
        <v>5286</v>
      </c>
      <c r="Y14264" t="s">
        <v>49336</v>
      </c>
    </row>
    <row r="14265" spans="1:25" x14ac:dyDescent="0.25">
      <c r="A14265" t="str">
        <f>"236341833340"</f>
        <v>236341833340</v>
      </c>
      <c r="B14265" t="s">
        <v>591</v>
      </c>
      <c r="C14265" t="s">
        <v>1904</v>
      </c>
      <c r="D14265" t="s">
        <v>49337</v>
      </c>
      <c r="F14265" t="s">
        <v>1</v>
      </c>
      <c r="G14265" t="s">
        <v>2</v>
      </c>
      <c r="H14265" t="s">
        <v>14782</v>
      </c>
      <c r="I14265" t="s">
        <v>49338</v>
      </c>
      <c r="P14265" t="s">
        <v>2280</v>
      </c>
      <c r="Y14265" t="s">
        <v>49339</v>
      </c>
    </row>
    <row r="14266" spans="1:25" x14ac:dyDescent="0.25">
      <c r="A14266" t="str">
        <f>"236370970776"</f>
        <v>236370970776</v>
      </c>
      <c r="B14266" t="s">
        <v>716</v>
      </c>
      <c r="C14266" t="s">
        <v>717</v>
      </c>
      <c r="D14266" t="s">
        <v>28552</v>
      </c>
      <c r="E14266">
        <v>424006</v>
      </c>
      <c r="F14266" t="s">
        <v>1</v>
      </c>
      <c r="G14266" t="s">
        <v>2</v>
      </c>
      <c r="H14266" t="s">
        <v>751</v>
      </c>
      <c r="P14266" t="s">
        <v>260</v>
      </c>
      <c r="Y14266" t="s">
        <v>755</v>
      </c>
    </row>
    <row r="14267" spans="1:25" x14ac:dyDescent="0.25">
      <c r="A14267" t="str">
        <f>"236373454402"</f>
        <v>236373454402</v>
      </c>
      <c r="B14267" t="s">
        <v>96</v>
      </c>
      <c r="C14267" t="s">
        <v>659</v>
      </c>
      <c r="D14267" t="s">
        <v>26988</v>
      </c>
      <c r="E14267">
        <v>424918</v>
      </c>
      <c r="F14267" t="s">
        <v>1</v>
      </c>
      <c r="G14267" t="s">
        <v>2</v>
      </c>
      <c r="H14267" t="s">
        <v>629</v>
      </c>
      <c r="P14267" t="s">
        <v>630</v>
      </c>
      <c r="Y14267" t="s">
        <v>1744</v>
      </c>
    </row>
    <row r="14268" spans="1:25" x14ac:dyDescent="0.25">
      <c r="A14268" t="str">
        <f>"236380203706"</f>
        <v>236380203706</v>
      </c>
      <c r="B14268" t="s">
        <v>574</v>
      </c>
      <c r="C14268" t="s">
        <v>646</v>
      </c>
      <c r="D14268" t="s">
        <v>8759</v>
      </c>
      <c r="F14268" t="s">
        <v>1</v>
      </c>
      <c r="G14268" t="s">
        <v>2</v>
      </c>
      <c r="H14268" t="s">
        <v>30367</v>
      </c>
      <c r="P14268" t="s">
        <v>330</v>
      </c>
      <c r="Y14268" t="s">
        <v>49340</v>
      </c>
    </row>
    <row r="14269" spans="1:25" x14ac:dyDescent="0.25">
      <c r="A14269" t="str">
        <f>"236387769159"</f>
        <v>236387769159</v>
      </c>
      <c r="B14269" t="s">
        <v>738</v>
      </c>
      <c r="C14269" t="s">
        <v>739</v>
      </c>
      <c r="D14269" t="s">
        <v>49341</v>
      </c>
      <c r="E14269">
        <v>424032</v>
      </c>
      <c r="F14269" t="s">
        <v>1</v>
      </c>
      <c r="G14269" t="s">
        <v>2</v>
      </c>
      <c r="H14269" t="s">
        <v>11296</v>
      </c>
      <c r="I14269" t="s">
        <v>37128</v>
      </c>
      <c r="K14269" t="s">
        <v>22784</v>
      </c>
      <c r="L14269" t="s">
        <v>22786</v>
      </c>
      <c r="M14269" t="s">
        <v>22787</v>
      </c>
      <c r="P14269" t="s">
        <v>152</v>
      </c>
      <c r="Y14269" t="s">
        <v>11299</v>
      </c>
    </row>
    <row r="14270" spans="1:25" x14ac:dyDescent="0.25">
      <c r="A14270" t="str">
        <f>"236408202862"</f>
        <v>236408202862</v>
      </c>
      <c r="B14270" t="s">
        <v>1544</v>
      </c>
      <c r="C14270" t="s">
        <v>24552</v>
      </c>
      <c r="D14270" t="s">
        <v>49342</v>
      </c>
      <c r="E14270">
        <v>424002</v>
      </c>
      <c r="F14270" t="s">
        <v>1</v>
      </c>
      <c r="G14270" t="s">
        <v>2</v>
      </c>
      <c r="H14270" t="s">
        <v>6502</v>
      </c>
      <c r="J14270" t="s">
        <v>49343</v>
      </c>
      <c r="P14270" t="s">
        <v>49344</v>
      </c>
      <c r="V14270" t="s">
        <v>49345</v>
      </c>
      <c r="Y14270" t="s">
        <v>49346</v>
      </c>
    </row>
    <row r="14271" spans="1:25" x14ac:dyDescent="0.25">
      <c r="A14271" t="str">
        <f>"236441112254"</f>
        <v>236441112254</v>
      </c>
      <c r="B14271" t="s">
        <v>290</v>
      </c>
      <c r="C14271" t="s">
        <v>37266</v>
      </c>
      <c r="D14271" t="s">
        <v>49347</v>
      </c>
      <c r="E14271">
        <v>424000</v>
      </c>
      <c r="F14271" t="s">
        <v>1</v>
      </c>
      <c r="G14271" t="s">
        <v>2</v>
      </c>
      <c r="H14271" t="s">
        <v>2925</v>
      </c>
      <c r="P14271" t="s">
        <v>1642</v>
      </c>
      <c r="Y14271" t="s">
        <v>49348</v>
      </c>
    </row>
    <row r="14272" spans="1:25" x14ac:dyDescent="0.25">
      <c r="A14272" t="str">
        <f>"236474307899"</f>
        <v>236474307899</v>
      </c>
      <c r="B14272" t="s">
        <v>397</v>
      </c>
      <c r="C14272" t="s">
        <v>49352</v>
      </c>
      <c r="D14272" t="s">
        <v>49349</v>
      </c>
      <c r="F14272" t="s">
        <v>1</v>
      </c>
      <c r="G14272" t="s">
        <v>2</v>
      </c>
      <c r="H14272" t="s">
        <v>24670</v>
      </c>
      <c r="J14272" t="s">
        <v>49350</v>
      </c>
      <c r="M14272" t="s">
        <v>49351</v>
      </c>
      <c r="P14272" t="s">
        <v>2738</v>
      </c>
      <c r="Y14272" t="s">
        <v>49353</v>
      </c>
    </row>
    <row r="14273" spans="1:25" x14ac:dyDescent="0.25">
      <c r="A14273" t="str">
        <f>"236504256646"</f>
        <v>236504256646</v>
      </c>
      <c r="B14273" t="s">
        <v>96</v>
      </c>
      <c r="C14273" t="s">
        <v>3621</v>
      </c>
      <c r="D14273" t="s">
        <v>49354</v>
      </c>
      <c r="E14273">
        <v>424039</v>
      </c>
      <c r="F14273" t="s">
        <v>1</v>
      </c>
      <c r="G14273" t="s">
        <v>2</v>
      </c>
      <c r="H14273" t="s">
        <v>5827</v>
      </c>
      <c r="Y14273" t="s">
        <v>23921</v>
      </c>
    </row>
    <row r="14274" spans="1:25" x14ac:dyDescent="0.25">
      <c r="A14274" t="str">
        <f>"236544838961"</f>
        <v>236544838961</v>
      </c>
      <c r="B14274" t="s">
        <v>348</v>
      </c>
      <c r="C14274" t="s">
        <v>21764</v>
      </c>
      <c r="D14274" t="s">
        <v>49355</v>
      </c>
      <c r="E14274">
        <v>424037</v>
      </c>
      <c r="F14274" t="s">
        <v>1</v>
      </c>
      <c r="G14274" t="s">
        <v>2</v>
      </c>
      <c r="H14274" t="s">
        <v>37762</v>
      </c>
      <c r="L14274" t="s">
        <v>49356</v>
      </c>
      <c r="M14274" t="s">
        <v>49357</v>
      </c>
      <c r="P14274" t="s">
        <v>312</v>
      </c>
      <c r="Y14274" t="s">
        <v>49358</v>
      </c>
    </row>
    <row r="14275" spans="1:25" x14ac:dyDescent="0.25">
      <c r="A14275" t="str">
        <f>"236566906884"</f>
        <v>236566906884</v>
      </c>
      <c r="B14275" t="s">
        <v>687</v>
      </c>
      <c r="C14275" t="s">
        <v>49363</v>
      </c>
      <c r="D14275" t="s">
        <v>49359</v>
      </c>
      <c r="E14275">
        <v>424032</v>
      </c>
      <c r="F14275" t="s">
        <v>1</v>
      </c>
      <c r="G14275" t="s">
        <v>2</v>
      </c>
      <c r="H14275" t="s">
        <v>3508</v>
      </c>
      <c r="I14275" t="s">
        <v>44391</v>
      </c>
      <c r="J14275" t="s">
        <v>49360</v>
      </c>
      <c r="L14275" t="s">
        <v>49361</v>
      </c>
      <c r="M14275" t="s">
        <v>49362</v>
      </c>
      <c r="P14275" t="s">
        <v>20</v>
      </c>
      <c r="Y14275" t="s">
        <v>3514</v>
      </c>
    </row>
    <row r="14276" spans="1:25" x14ac:dyDescent="0.25">
      <c r="A14276" t="str">
        <f>"236584752773"</f>
        <v>236584752773</v>
      </c>
      <c r="B14276" t="s">
        <v>1617</v>
      </c>
      <c r="C14276" t="s">
        <v>21001</v>
      </c>
      <c r="D14276" t="s">
        <v>20999</v>
      </c>
      <c r="E14276">
        <v>424000</v>
      </c>
      <c r="F14276" t="s">
        <v>1</v>
      </c>
      <c r="G14276" t="s">
        <v>2</v>
      </c>
      <c r="H14276" t="s">
        <v>2671</v>
      </c>
      <c r="P14276" t="s">
        <v>21118</v>
      </c>
      <c r="Y14276" t="s">
        <v>49364</v>
      </c>
    </row>
    <row r="14277" spans="1:25" x14ac:dyDescent="0.25">
      <c r="A14277" t="str">
        <f>"236619900831"</f>
        <v>236619900831</v>
      </c>
      <c r="B14277" t="s">
        <v>574</v>
      </c>
      <c r="C14277" t="s">
        <v>24952</v>
      </c>
      <c r="D14277" t="s">
        <v>24951</v>
      </c>
      <c r="E14277">
        <v>424000</v>
      </c>
      <c r="F14277" t="s">
        <v>1</v>
      </c>
      <c r="G14277" t="s">
        <v>2</v>
      </c>
      <c r="H14277" t="s">
        <v>265</v>
      </c>
      <c r="M14277" t="s">
        <v>37319</v>
      </c>
      <c r="Q14277" t="s">
        <v>49365</v>
      </c>
      <c r="Y14277" t="s">
        <v>49366</v>
      </c>
    </row>
    <row r="14278" spans="1:25" x14ac:dyDescent="0.25">
      <c r="A14278" t="str">
        <f>"236639415895"</f>
        <v>236639415895</v>
      </c>
      <c r="B14278" t="s">
        <v>32</v>
      </c>
      <c r="C14278" t="s">
        <v>9784</v>
      </c>
      <c r="D14278" t="s">
        <v>49367</v>
      </c>
      <c r="E14278">
        <v>424000</v>
      </c>
      <c r="F14278" t="s">
        <v>1</v>
      </c>
      <c r="G14278" t="s">
        <v>2</v>
      </c>
      <c r="H14278" t="s">
        <v>18608</v>
      </c>
      <c r="I14278" t="s">
        <v>49368</v>
      </c>
      <c r="J14278" t="s">
        <v>49369</v>
      </c>
      <c r="P14278" t="s">
        <v>39631</v>
      </c>
      <c r="Y14278" t="s">
        <v>49370</v>
      </c>
    </row>
    <row r="14279" spans="1:25" x14ac:dyDescent="0.25">
      <c r="A14279" t="str">
        <f>"236664887226"</f>
        <v>236664887226</v>
      </c>
      <c r="B14279" t="s">
        <v>574</v>
      </c>
      <c r="C14279" t="s">
        <v>24952</v>
      </c>
      <c r="D14279" t="s">
        <v>24951</v>
      </c>
      <c r="E14279">
        <v>424038</v>
      </c>
      <c r="F14279" t="s">
        <v>1</v>
      </c>
      <c r="G14279" t="s">
        <v>2</v>
      </c>
      <c r="H14279" t="s">
        <v>7881</v>
      </c>
      <c r="Y14279" t="s">
        <v>49371</v>
      </c>
    </row>
    <row r="14280" spans="1:25" x14ac:dyDescent="0.25">
      <c r="A14280" t="str">
        <f>"236690612381"</f>
        <v>236690612381</v>
      </c>
      <c r="B14280" t="s">
        <v>1061</v>
      </c>
      <c r="C14280" t="s">
        <v>26953</v>
      </c>
      <c r="D14280" t="s">
        <v>49372</v>
      </c>
      <c r="F14280" t="s">
        <v>1</v>
      </c>
      <c r="G14280" t="s">
        <v>2</v>
      </c>
      <c r="H14280" t="s">
        <v>49373</v>
      </c>
      <c r="Y14280" t="s">
        <v>49374</v>
      </c>
    </row>
    <row r="14281" spans="1:25" x14ac:dyDescent="0.25">
      <c r="A14281" t="str">
        <f>"236712084916"</f>
        <v>236712084916</v>
      </c>
      <c r="B14281" t="s">
        <v>574</v>
      </c>
      <c r="C14281" t="s">
        <v>14652</v>
      </c>
      <c r="D14281" t="s">
        <v>24972</v>
      </c>
      <c r="E14281">
        <v>424033</v>
      </c>
      <c r="F14281" t="s">
        <v>1</v>
      </c>
      <c r="G14281" t="s">
        <v>2</v>
      </c>
      <c r="H14281" t="s">
        <v>22045</v>
      </c>
      <c r="Y14281" t="s">
        <v>49375</v>
      </c>
    </row>
    <row r="14282" spans="1:25" x14ac:dyDescent="0.25">
      <c r="A14282" t="str">
        <f>"236737823855"</f>
        <v>236737823855</v>
      </c>
      <c r="B14282" t="s">
        <v>96</v>
      </c>
      <c r="C14282" t="s">
        <v>20353</v>
      </c>
      <c r="D14282" t="s">
        <v>21572</v>
      </c>
      <c r="E14282">
        <v>424000</v>
      </c>
      <c r="F14282" t="s">
        <v>1</v>
      </c>
      <c r="G14282" t="s">
        <v>2</v>
      </c>
      <c r="H14282" t="s">
        <v>4255</v>
      </c>
      <c r="J14282" t="s">
        <v>49376</v>
      </c>
      <c r="M14282" t="s">
        <v>49377</v>
      </c>
      <c r="P14282" t="s">
        <v>49378</v>
      </c>
      <c r="Y14282" t="s">
        <v>4256</v>
      </c>
    </row>
    <row r="14283" spans="1:25" x14ac:dyDescent="0.25">
      <c r="A14283" t="str">
        <f>"236754219694"</f>
        <v>236754219694</v>
      </c>
      <c r="B14283" t="s">
        <v>624</v>
      </c>
      <c r="C14283" t="s">
        <v>1637</v>
      </c>
      <c r="D14283" t="s">
        <v>49379</v>
      </c>
      <c r="E14283">
        <v>424004</v>
      </c>
      <c r="F14283" t="s">
        <v>1</v>
      </c>
      <c r="G14283" t="s">
        <v>2</v>
      </c>
      <c r="H14283" t="s">
        <v>351</v>
      </c>
      <c r="J14283" t="s">
        <v>24150</v>
      </c>
      <c r="P14283" t="s">
        <v>5084</v>
      </c>
      <c r="Y14283" t="s">
        <v>354</v>
      </c>
    </row>
    <row r="14284" spans="1:25" x14ac:dyDescent="0.25">
      <c r="A14284" t="str">
        <f>"236762771360"</f>
        <v>236762771360</v>
      </c>
      <c r="B14284" t="s">
        <v>1053</v>
      </c>
      <c r="C14284" t="s">
        <v>1927</v>
      </c>
      <c r="D14284" t="s">
        <v>49380</v>
      </c>
      <c r="E14284">
        <v>424036</v>
      </c>
      <c r="F14284" t="s">
        <v>1</v>
      </c>
      <c r="G14284" t="s">
        <v>2</v>
      </c>
      <c r="H14284" t="s">
        <v>8222</v>
      </c>
      <c r="I14284" t="s">
        <v>49381</v>
      </c>
      <c r="P14284" t="s">
        <v>1270</v>
      </c>
      <c r="Y14284" t="s">
        <v>12963</v>
      </c>
    </row>
    <row r="14285" spans="1:25" x14ac:dyDescent="0.25">
      <c r="A14285" t="str">
        <f>"236763233821"</f>
        <v>236763233821</v>
      </c>
      <c r="B14285" t="s">
        <v>1573</v>
      </c>
      <c r="C14285" t="s">
        <v>11019</v>
      </c>
      <c r="D14285" t="s">
        <v>49382</v>
      </c>
      <c r="F14285" t="s">
        <v>1</v>
      </c>
      <c r="G14285" t="s">
        <v>2</v>
      </c>
      <c r="H14285" t="s">
        <v>25588</v>
      </c>
      <c r="Y14285" t="s">
        <v>49383</v>
      </c>
    </row>
    <row r="14286" spans="1:25" x14ac:dyDescent="0.25">
      <c r="A14286" t="str">
        <f>"236768504773"</f>
        <v>236768504773</v>
      </c>
      <c r="B14286" t="s">
        <v>224</v>
      </c>
      <c r="C14286" t="s">
        <v>225</v>
      </c>
      <c r="D14286" t="s">
        <v>49384</v>
      </c>
      <c r="F14286" t="s">
        <v>1</v>
      </c>
      <c r="G14286" t="s">
        <v>2</v>
      </c>
      <c r="H14286" t="s">
        <v>24976</v>
      </c>
      <c r="I14286" t="s">
        <v>49385</v>
      </c>
      <c r="L14286" t="s">
        <v>49386</v>
      </c>
      <c r="M14286" t="s">
        <v>49387</v>
      </c>
      <c r="P14286" t="s">
        <v>27</v>
      </c>
      <c r="Y14286" t="s">
        <v>33609</v>
      </c>
    </row>
    <row r="14287" spans="1:25" x14ac:dyDescent="0.25">
      <c r="A14287" t="str">
        <f>"236837046899"</f>
        <v>236837046899</v>
      </c>
      <c r="B14287" t="s">
        <v>888</v>
      </c>
      <c r="C14287" t="s">
        <v>888</v>
      </c>
      <c r="D14287" t="s">
        <v>49388</v>
      </c>
      <c r="E14287">
        <v>424031</v>
      </c>
      <c r="F14287" t="s">
        <v>1</v>
      </c>
      <c r="G14287" t="s">
        <v>2</v>
      </c>
      <c r="H14287" t="s">
        <v>12294</v>
      </c>
      <c r="I14287" t="s">
        <v>49389</v>
      </c>
      <c r="L14287" t="s">
        <v>32362</v>
      </c>
      <c r="M14287" t="s">
        <v>49390</v>
      </c>
      <c r="P14287" t="s">
        <v>9</v>
      </c>
      <c r="Y14287" t="s">
        <v>49391</v>
      </c>
    </row>
    <row r="14288" spans="1:25" x14ac:dyDescent="0.25">
      <c r="A14288" t="str">
        <f>"236888366249"</f>
        <v>236888366249</v>
      </c>
      <c r="B14288" t="s">
        <v>1573</v>
      </c>
      <c r="C14288" t="s">
        <v>49394</v>
      </c>
      <c r="D14288" t="s">
        <v>49392</v>
      </c>
      <c r="E14288">
        <v>424020</v>
      </c>
      <c r="F14288" t="s">
        <v>1</v>
      </c>
      <c r="G14288" t="s">
        <v>2</v>
      </c>
      <c r="H14288" t="s">
        <v>2333</v>
      </c>
      <c r="I14288" t="s">
        <v>49393</v>
      </c>
      <c r="P14288" t="s">
        <v>1433</v>
      </c>
      <c r="Y14288" t="s">
        <v>49395</v>
      </c>
    </row>
    <row r="14289" spans="1:25" x14ac:dyDescent="0.25">
      <c r="A14289" t="str">
        <f>"236915195317"</f>
        <v>236915195317</v>
      </c>
      <c r="B14289" t="s">
        <v>117</v>
      </c>
      <c r="C14289" t="s">
        <v>873</v>
      </c>
      <c r="D14289" t="s">
        <v>873</v>
      </c>
      <c r="F14289" t="s">
        <v>1</v>
      </c>
      <c r="G14289" t="s">
        <v>2</v>
      </c>
      <c r="H14289" t="s">
        <v>20650</v>
      </c>
      <c r="Y14289" t="s">
        <v>49396</v>
      </c>
    </row>
    <row r="14290" spans="1:25" x14ac:dyDescent="0.25">
      <c r="A14290" t="str">
        <f>"236917199342"</f>
        <v>236917199342</v>
      </c>
      <c r="B14290" t="s">
        <v>319</v>
      </c>
      <c r="C14290" t="s">
        <v>13029</v>
      </c>
      <c r="D14290" t="s">
        <v>10276</v>
      </c>
      <c r="E14290">
        <v>424007</v>
      </c>
      <c r="F14290" t="s">
        <v>1</v>
      </c>
      <c r="G14290" t="s">
        <v>2</v>
      </c>
      <c r="H14290" t="s">
        <v>4411</v>
      </c>
      <c r="I14290" t="s">
        <v>49397</v>
      </c>
      <c r="P14290" t="s">
        <v>5278</v>
      </c>
      <c r="Y14290" t="s">
        <v>49398</v>
      </c>
    </row>
    <row r="14291" spans="1:25" x14ac:dyDescent="0.25">
      <c r="A14291" t="str">
        <f>"236946519628"</f>
        <v>236946519628</v>
      </c>
      <c r="B14291" t="s">
        <v>96</v>
      </c>
      <c r="C14291" t="s">
        <v>893</v>
      </c>
      <c r="D14291" t="s">
        <v>49399</v>
      </c>
      <c r="E14291">
        <v>424020</v>
      </c>
      <c r="F14291" t="s">
        <v>1</v>
      </c>
      <c r="G14291" t="s">
        <v>2</v>
      </c>
      <c r="H14291" t="s">
        <v>6262</v>
      </c>
      <c r="Y14291" t="s">
        <v>6264</v>
      </c>
    </row>
    <row r="14292" spans="1:25" x14ac:dyDescent="0.25">
      <c r="A14292" t="str">
        <f>"236986111706"</f>
        <v>236986111706</v>
      </c>
      <c r="B14292" t="s">
        <v>290</v>
      </c>
      <c r="C14292" t="s">
        <v>11603</v>
      </c>
      <c r="D14292" t="s">
        <v>49400</v>
      </c>
      <c r="F14292" t="s">
        <v>1</v>
      </c>
      <c r="G14292" t="s">
        <v>2</v>
      </c>
      <c r="H14292" t="s">
        <v>138</v>
      </c>
      <c r="I14292" t="s">
        <v>49401</v>
      </c>
      <c r="J14292" t="s">
        <v>49402</v>
      </c>
      <c r="L14292" t="s">
        <v>30931</v>
      </c>
      <c r="M14292" t="s">
        <v>30932</v>
      </c>
      <c r="P14292" t="s">
        <v>144</v>
      </c>
      <c r="Y14292" t="s">
        <v>49403</v>
      </c>
    </row>
    <row r="14293" spans="1:25" x14ac:dyDescent="0.25">
      <c r="A14293" t="str">
        <f>"237009228792"</f>
        <v>237009228792</v>
      </c>
      <c r="B14293" t="s">
        <v>348</v>
      </c>
      <c r="C14293" t="s">
        <v>5971</v>
      </c>
      <c r="D14293" t="s">
        <v>49404</v>
      </c>
      <c r="E14293">
        <v>424019</v>
      </c>
      <c r="F14293" t="s">
        <v>1</v>
      </c>
      <c r="G14293" t="s">
        <v>2</v>
      </c>
      <c r="H14293" t="s">
        <v>15506</v>
      </c>
      <c r="I14293" t="s">
        <v>49405</v>
      </c>
      <c r="M14293" t="s">
        <v>49406</v>
      </c>
      <c r="P14293" t="s">
        <v>144</v>
      </c>
      <c r="Y14293" t="s">
        <v>17180</v>
      </c>
    </row>
    <row r="14294" spans="1:25" x14ac:dyDescent="0.25">
      <c r="A14294" t="str">
        <f>"237059071435"</f>
        <v>237059071435</v>
      </c>
      <c r="B14294" t="s">
        <v>1573</v>
      </c>
      <c r="C14294" t="s">
        <v>24325</v>
      </c>
      <c r="D14294" t="s">
        <v>49407</v>
      </c>
      <c r="E14294">
        <v>424032</v>
      </c>
      <c r="F14294" t="s">
        <v>1</v>
      </c>
      <c r="G14294" t="s">
        <v>2</v>
      </c>
      <c r="H14294" t="s">
        <v>4808</v>
      </c>
      <c r="J14294" t="s">
        <v>49408</v>
      </c>
      <c r="L14294" t="s">
        <v>49409</v>
      </c>
      <c r="M14294" t="s">
        <v>49410</v>
      </c>
      <c r="Y14294" t="s">
        <v>4812</v>
      </c>
    </row>
    <row r="14295" spans="1:25" x14ac:dyDescent="0.25">
      <c r="A14295" t="str">
        <f>"237089420656"</f>
        <v>237089420656</v>
      </c>
      <c r="B14295" t="s">
        <v>574</v>
      </c>
      <c r="C14295" t="s">
        <v>22533</v>
      </c>
      <c r="D14295" t="s">
        <v>38850</v>
      </c>
      <c r="E14295">
        <v>424038</v>
      </c>
      <c r="F14295" t="s">
        <v>1</v>
      </c>
      <c r="G14295" t="s">
        <v>2</v>
      </c>
      <c r="H14295" t="s">
        <v>2614</v>
      </c>
      <c r="P14295" t="s">
        <v>216</v>
      </c>
      <c r="Y14295" t="s">
        <v>49411</v>
      </c>
    </row>
    <row r="14296" spans="1:25" x14ac:dyDescent="0.25">
      <c r="A14296" t="str">
        <f>"237104240646"</f>
        <v>237104240646</v>
      </c>
      <c r="B14296" t="s">
        <v>1343</v>
      </c>
      <c r="C14296" t="s">
        <v>13544</v>
      </c>
      <c r="D14296" t="s">
        <v>26865</v>
      </c>
      <c r="E14296">
        <v>424007</v>
      </c>
      <c r="F14296" t="s">
        <v>1</v>
      </c>
      <c r="G14296" t="s">
        <v>2</v>
      </c>
      <c r="H14296" t="s">
        <v>25707</v>
      </c>
      <c r="Y14296" t="s">
        <v>49412</v>
      </c>
    </row>
    <row r="14297" spans="1:25" x14ac:dyDescent="0.25">
      <c r="A14297" t="str">
        <f>"237115831019"</f>
        <v>237115831019</v>
      </c>
      <c r="B14297" t="s">
        <v>290</v>
      </c>
      <c r="C14297" t="s">
        <v>2737</v>
      </c>
      <c r="D14297" t="s">
        <v>49413</v>
      </c>
      <c r="E14297">
        <v>424001</v>
      </c>
      <c r="F14297" t="s">
        <v>1</v>
      </c>
      <c r="G14297" t="s">
        <v>2</v>
      </c>
      <c r="H14297" t="s">
        <v>919</v>
      </c>
      <c r="I14297" t="s">
        <v>49414</v>
      </c>
      <c r="L14297" t="s">
        <v>581</v>
      </c>
      <c r="M14297" t="s">
        <v>49415</v>
      </c>
      <c r="P14297" t="s">
        <v>49416</v>
      </c>
      <c r="Y14297" t="s">
        <v>49417</v>
      </c>
    </row>
    <row r="14298" spans="1:25" x14ac:dyDescent="0.25">
      <c r="A14298" t="str">
        <f>"237129356145"</f>
        <v>237129356145</v>
      </c>
      <c r="B14298" t="s">
        <v>456</v>
      </c>
      <c r="C14298" t="s">
        <v>2040</v>
      </c>
      <c r="D14298" t="s">
        <v>39195</v>
      </c>
      <c r="E14298">
        <v>424033</v>
      </c>
      <c r="F14298" t="s">
        <v>1</v>
      </c>
      <c r="G14298" t="s">
        <v>2</v>
      </c>
      <c r="H14298" t="s">
        <v>76</v>
      </c>
      <c r="Y14298" t="s">
        <v>17629</v>
      </c>
    </row>
    <row r="14299" spans="1:25" x14ac:dyDescent="0.25">
      <c r="A14299" t="str">
        <f>"237135037405"</f>
        <v>237135037405</v>
      </c>
      <c r="B14299" t="s">
        <v>6478</v>
      </c>
      <c r="C14299" t="s">
        <v>9854</v>
      </c>
      <c r="D14299" t="s">
        <v>49418</v>
      </c>
      <c r="E14299">
        <v>424033</v>
      </c>
      <c r="F14299" t="s">
        <v>1</v>
      </c>
      <c r="G14299" t="s">
        <v>2</v>
      </c>
      <c r="H14299" t="s">
        <v>12529</v>
      </c>
      <c r="J14299" t="s">
        <v>17762</v>
      </c>
      <c r="L14299" t="s">
        <v>49419</v>
      </c>
      <c r="M14299" t="s">
        <v>49420</v>
      </c>
      <c r="P14299" t="s">
        <v>2738</v>
      </c>
      <c r="Y14299" t="s">
        <v>49421</v>
      </c>
    </row>
    <row r="14300" spans="1:25" x14ac:dyDescent="0.25">
      <c r="A14300" t="str">
        <f>"237146280824"</f>
        <v>237146280824</v>
      </c>
      <c r="B14300" t="s">
        <v>290</v>
      </c>
      <c r="C14300" t="s">
        <v>290</v>
      </c>
      <c r="D14300" t="s">
        <v>49422</v>
      </c>
      <c r="E14300">
        <v>424004</v>
      </c>
      <c r="F14300" t="s">
        <v>1</v>
      </c>
      <c r="G14300" t="s">
        <v>2</v>
      </c>
      <c r="H14300" t="s">
        <v>1880</v>
      </c>
      <c r="Y14300" t="s">
        <v>49423</v>
      </c>
    </row>
    <row r="14301" spans="1:25" x14ac:dyDescent="0.25">
      <c r="A14301" t="str">
        <f>"237153640242"</f>
        <v>237153640242</v>
      </c>
      <c r="B14301" t="s">
        <v>96</v>
      </c>
      <c r="C14301" t="s">
        <v>659</v>
      </c>
      <c r="D14301" t="s">
        <v>49424</v>
      </c>
      <c r="E14301">
        <v>424028</v>
      </c>
      <c r="F14301" t="s">
        <v>1</v>
      </c>
      <c r="G14301" t="s">
        <v>2</v>
      </c>
      <c r="H14301" t="s">
        <v>27719</v>
      </c>
      <c r="J14301" t="s">
        <v>49425</v>
      </c>
      <c r="P14301" t="s">
        <v>399</v>
      </c>
      <c r="Y14301" t="s">
        <v>39414</v>
      </c>
    </row>
    <row r="14302" spans="1:25" x14ac:dyDescent="0.25">
      <c r="A14302" t="str">
        <f>"237181517279"</f>
        <v>237181517279</v>
      </c>
      <c r="B14302" t="s">
        <v>1046</v>
      </c>
      <c r="C14302" t="s">
        <v>22946</v>
      </c>
      <c r="D14302" t="s">
        <v>22946</v>
      </c>
      <c r="F14302" t="s">
        <v>1</v>
      </c>
      <c r="G14302" t="s">
        <v>2</v>
      </c>
      <c r="H14302" t="s">
        <v>29648</v>
      </c>
      <c r="Y14302" t="s">
        <v>49426</v>
      </c>
    </row>
    <row r="14303" spans="1:25" x14ac:dyDescent="0.25">
      <c r="A14303" t="str">
        <f>"237206813161"</f>
        <v>237206813161</v>
      </c>
      <c r="B14303" t="s">
        <v>348</v>
      </c>
      <c r="C14303" t="s">
        <v>4366</v>
      </c>
      <c r="D14303" t="s">
        <v>49427</v>
      </c>
      <c r="E14303">
        <v>424004</v>
      </c>
      <c r="F14303" t="s">
        <v>1</v>
      </c>
      <c r="G14303" t="s">
        <v>2</v>
      </c>
      <c r="H14303" t="s">
        <v>23761</v>
      </c>
      <c r="I14303" t="s">
        <v>40521</v>
      </c>
      <c r="L14303" t="s">
        <v>49428</v>
      </c>
      <c r="M14303" t="s">
        <v>49429</v>
      </c>
      <c r="P14303" t="s">
        <v>8266</v>
      </c>
      <c r="Y14303" t="s">
        <v>49430</v>
      </c>
    </row>
    <row r="14304" spans="1:25" x14ac:dyDescent="0.25">
      <c r="A14304" t="str">
        <f>"237229908362"</f>
        <v>237229908362</v>
      </c>
      <c r="B14304" t="s">
        <v>25</v>
      </c>
      <c r="C14304" t="s">
        <v>24938</v>
      </c>
      <c r="D14304" t="s">
        <v>49431</v>
      </c>
      <c r="E14304">
        <v>424019</v>
      </c>
      <c r="F14304" t="s">
        <v>1</v>
      </c>
      <c r="G14304" t="s">
        <v>2</v>
      </c>
      <c r="H14304" t="s">
        <v>49432</v>
      </c>
      <c r="I14304" t="s">
        <v>27184</v>
      </c>
      <c r="L14304" t="s">
        <v>27185</v>
      </c>
      <c r="M14304" t="s">
        <v>49433</v>
      </c>
      <c r="Y14304" t="s">
        <v>49434</v>
      </c>
    </row>
    <row r="14305" spans="1:25" x14ac:dyDescent="0.25">
      <c r="A14305" t="str">
        <f>"237234490879"</f>
        <v>237234490879</v>
      </c>
      <c r="B14305" t="s">
        <v>1352</v>
      </c>
      <c r="C14305" t="s">
        <v>46178</v>
      </c>
      <c r="D14305" t="s">
        <v>49435</v>
      </c>
      <c r="E14305">
        <v>424000</v>
      </c>
      <c r="F14305" t="s">
        <v>1</v>
      </c>
      <c r="G14305" t="s">
        <v>2</v>
      </c>
      <c r="H14305" t="s">
        <v>28208</v>
      </c>
      <c r="J14305" t="s">
        <v>3286</v>
      </c>
      <c r="L14305" t="s">
        <v>35157</v>
      </c>
      <c r="M14305" t="s">
        <v>46973</v>
      </c>
      <c r="P14305" t="s">
        <v>1679</v>
      </c>
      <c r="Y14305" t="s">
        <v>46791</v>
      </c>
    </row>
    <row r="14306" spans="1:25" x14ac:dyDescent="0.25">
      <c r="A14306" t="str">
        <f>"237241519598"</f>
        <v>237241519598</v>
      </c>
      <c r="B14306" t="s">
        <v>96</v>
      </c>
      <c r="C14306" t="s">
        <v>695</v>
      </c>
      <c r="D14306" t="s">
        <v>44092</v>
      </c>
      <c r="E14306">
        <v>424038</v>
      </c>
      <c r="F14306" t="s">
        <v>1</v>
      </c>
      <c r="G14306" t="s">
        <v>2</v>
      </c>
      <c r="H14306" t="s">
        <v>16988</v>
      </c>
      <c r="I14306" t="s">
        <v>49436</v>
      </c>
      <c r="J14306" t="s">
        <v>49437</v>
      </c>
      <c r="P14306" t="s">
        <v>30553</v>
      </c>
      <c r="Y14306" t="s">
        <v>21440</v>
      </c>
    </row>
    <row r="14307" spans="1:25" x14ac:dyDescent="0.25">
      <c r="A14307" t="str">
        <f>"237242076774"</f>
        <v>237242076774</v>
      </c>
      <c r="B14307" t="s">
        <v>348</v>
      </c>
      <c r="C14307" t="s">
        <v>49438</v>
      </c>
      <c r="D14307" t="s">
        <v>6973</v>
      </c>
      <c r="E14307">
        <v>424000</v>
      </c>
      <c r="F14307" t="s">
        <v>1</v>
      </c>
      <c r="G14307" t="s">
        <v>2</v>
      </c>
      <c r="H14307" t="s">
        <v>1473</v>
      </c>
      <c r="I14307" t="s">
        <v>33610</v>
      </c>
      <c r="M14307" t="s">
        <v>33611</v>
      </c>
      <c r="P14307" t="s">
        <v>144</v>
      </c>
      <c r="Q14307" t="s">
        <v>6980</v>
      </c>
      <c r="Y14307" t="s">
        <v>49439</v>
      </c>
    </row>
    <row r="14308" spans="1:25" x14ac:dyDescent="0.25">
      <c r="A14308" t="str">
        <f>"237257102046"</f>
        <v>237257102046</v>
      </c>
      <c r="B14308" t="s">
        <v>25</v>
      </c>
      <c r="C14308" t="s">
        <v>9873</v>
      </c>
      <c r="D14308" t="s">
        <v>9011</v>
      </c>
      <c r="E14308">
        <v>424002</v>
      </c>
      <c r="F14308" t="s">
        <v>1</v>
      </c>
      <c r="G14308" t="s">
        <v>2</v>
      </c>
      <c r="H14308" t="s">
        <v>1190</v>
      </c>
      <c r="Y14308" t="s">
        <v>1284</v>
      </c>
    </row>
    <row r="14309" spans="1:25" x14ac:dyDescent="0.25">
      <c r="A14309" t="str">
        <f>"237274257608"</f>
        <v>237274257608</v>
      </c>
      <c r="B14309" t="s">
        <v>746</v>
      </c>
      <c r="C14309" t="s">
        <v>49442</v>
      </c>
      <c r="D14309" t="s">
        <v>49440</v>
      </c>
      <c r="E14309">
        <v>424031</v>
      </c>
      <c r="F14309" t="s">
        <v>1</v>
      </c>
      <c r="G14309" t="s">
        <v>2</v>
      </c>
      <c r="H14309" t="s">
        <v>20058</v>
      </c>
      <c r="I14309" t="s">
        <v>49441</v>
      </c>
      <c r="P14309" t="s">
        <v>330</v>
      </c>
      <c r="Y14309" t="s">
        <v>49443</v>
      </c>
    </row>
    <row r="14310" spans="1:25" x14ac:dyDescent="0.25">
      <c r="A14310" t="str">
        <f>"237391331700"</f>
        <v>237391331700</v>
      </c>
      <c r="B14310" t="s">
        <v>25</v>
      </c>
      <c r="C14310" t="s">
        <v>20320</v>
      </c>
      <c r="D14310" t="s">
        <v>49444</v>
      </c>
      <c r="E14310">
        <v>424002</v>
      </c>
      <c r="F14310" t="s">
        <v>1</v>
      </c>
      <c r="G14310" t="s">
        <v>2</v>
      </c>
      <c r="H14310" t="s">
        <v>7234</v>
      </c>
      <c r="Y14310" t="s">
        <v>49445</v>
      </c>
    </row>
    <row r="14311" spans="1:25" x14ac:dyDescent="0.25">
      <c r="A14311" t="str">
        <f>"237408499106"</f>
        <v>237408499106</v>
      </c>
      <c r="B14311" t="s">
        <v>25</v>
      </c>
      <c r="C14311" t="s">
        <v>1005</v>
      </c>
      <c r="D14311" t="s">
        <v>49446</v>
      </c>
      <c r="F14311" t="s">
        <v>1</v>
      </c>
      <c r="G14311" t="s">
        <v>2</v>
      </c>
      <c r="H14311" t="s">
        <v>24976</v>
      </c>
      <c r="Y14311" t="s">
        <v>49447</v>
      </c>
    </row>
    <row r="14312" spans="1:25" x14ac:dyDescent="0.25">
      <c r="A14312" t="str">
        <f>"237425294783"</f>
        <v>237425294783</v>
      </c>
      <c r="B14312" t="s">
        <v>624</v>
      </c>
      <c r="C14312" t="s">
        <v>1637</v>
      </c>
      <c r="D14312" t="s">
        <v>49448</v>
      </c>
      <c r="E14312">
        <v>424016</v>
      </c>
      <c r="F14312" t="s">
        <v>1</v>
      </c>
      <c r="G14312" t="s">
        <v>2</v>
      </c>
      <c r="H14312" t="s">
        <v>11267</v>
      </c>
      <c r="J14312" t="s">
        <v>49449</v>
      </c>
      <c r="P14312" t="s">
        <v>27</v>
      </c>
      <c r="Y14312" t="s">
        <v>45476</v>
      </c>
    </row>
    <row r="14313" spans="1:25" x14ac:dyDescent="0.25">
      <c r="A14313" t="str">
        <f>"237430186735"</f>
        <v>237430186735</v>
      </c>
      <c r="B14313" t="s">
        <v>32</v>
      </c>
      <c r="C14313" t="s">
        <v>13642</v>
      </c>
      <c r="D14313" t="s">
        <v>49450</v>
      </c>
      <c r="E14313">
        <v>424004</v>
      </c>
      <c r="F14313" t="s">
        <v>1</v>
      </c>
      <c r="G14313" t="s">
        <v>2</v>
      </c>
      <c r="H14313" t="s">
        <v>23522</v>
      </c>
      <c r="P14313" t="s">
        <v>12363</v>
      </c>
      <c r="Y14313" t="s">
        <v>49451</v>
      </c>
    </row>
    <row r="14314" spans="1:25" x14ac:dyDescent="0.25">
      <c r="A14314" t="str">
        <f>"237502710507"</f>
        <v>237502710507</v>
      </c>
      <c r="B14314" t="s">
        <v>18</v>
      </c>
      <c r="C14314" t="s">
        <v>49455</v>
      </c>
      <c r="D14314" t="s">
        <v>49452</v>
      </c>
      <c r="E14314">
        <v>424003</v>
      </c>
      <c r="F14314" t="s">
        <v>1</v>
      </c>
      <c r="G14314" t="s">
        <v>2</v>
      </c>
      <c r="H14314" t="s">
        <v>248</v>
      </c>
      <c r="J14314" t="s">
        <v>49453</v>
      </c>
      <c r="L14314" t="s">
        <v>5897</v>
      </c>
      <c r="M14314" t="s">
        <v>49454</v>
      </c>
      <c r="P14314" t="s">
        <v>7221</v>
      </c>
      <c r="Y14314" t="s">
        <v>41312</v>
      </c>
    </row>
    <row r="14315" spans="1:25" x14ac:dyDescent="0.25">
      <c r="A14315" t="str">
        <f>"237512987460"</f>
        <v>237512987460</v>
      </c>
      <c r="B14315" t="s">
        <v>530</v>
      </c>
      <c r="C14315" t="s">
        <v>531</v>
      </c>
      <c r="D14315" t="s">
        <v>49456</v>
      </c>
      <c r="E14315">
        <v>424007</v>
      </c>
      <c r="F14315" t="s">
        <v>1</v>
      </c>
      <c r="G14315" t="s">
        <v>2</v>
      </c>
      <c r="H14315" t="s">
        <v>220</v>
      </c>
      <c r="P14315" t="s">
        <v>49457</v>
      </c>
      <c r="Y14315" t="s">
        <v>227</v>
      </c>
    </row>
    <row r="14316" spans="1:25" x14ac:dyDescent="0.25">
      <c r="A14316" t="str">
        <f>"237547435598"</f>
        <v>237547435598</v>
      </c>
      <c r="B14316" t="s">
        <v>2790</v>
      </c>
      <c r="C14316" t="s">
        <v>3528</v>
      </c>
      <c r="D14316" t="s">
        <v>3524</v>
      </c>
      <c r="E14316">
        <v>424002</v>
      </c>
      <c r="F14316" t="s">
        <v>1</v>
      </c>
      <c r="G14316" t="s">
        <v>2</v>
      </c>
      <c r="H14316" t="s">
        <v>6032</v>
      </c>
      <c r="J14316" t="s">
        <v>3526</v>
      </c>
      <c r="L14316" t="s">
        <v>49458</v>
      </c>
      <c r="P14316" t="s">
        <v>2513</v>
      </c>
      <c r="Q14316" t="s">
        <v>3529</v>
      </c>
      <c r="Y14316" t="s">
        <v>49459</v>
      </c>
    </row>
    <row r="14317" spans="1:25" x14ac:dyDescent="0.25">
      <c r="A14317" t="str">
        <f>"237625497960"</f>
        <v>237625497960</v>
      </c>
      <c r="B14317" t="s">
        <v>151</v>
      </c>
      <c r="C14317" t="s">
        <v>151</v>
      </c>
      <c r="D14317" t="s">
        <v>49460</v>
      </c>
      <c r="F14317" t="s">
        <v>1</v>
      </c>
      <c r="G14317" t="s">
        <v>2</v>
      </c>
      <c r="H14317" t="s">
        <v>2745</v>
      </c>
      <c r="J14317" t="s">
        <v>49461</v>
      </c>
      <c r="P14317" t="s">
        <v>152</v>
      </c>
      <c r="Y14317" t="s">
        <v>20246</v>
      </c>
    </row>
    <row r="14318" spans="1:25" x14ac:dyDescent="0.25">
      <c r="A14318" t="str">
        <f>"237659055321"</f>
        <v>237659055321</v>
      </c>
      <c r="B14318" t="s">
        <v>117</v>
      </c>
      <c r="C14318" t="s">
        <v>118</v>
      </c>
      <c r="D14318" t="s">
        <v>49462</v>
      </c>
      <c r="F14318" t="s">
        <v>1</v>
      </c>
      <c r="G14318" t="s">
        <v>2</v>
      </c>
      <c r="H14318" t="s">
        <v>28695</v>
      </c>
      <c r="Y14318" t="s">
        <v>49463</v>
      </c>
    </row>
    <row r="14319" spans="1:25" x14ac:dyDescent="0.25">
      <c r="A14319" t="str">
        <f>"237669051581"</f>
        <v>237669051581</v>
      </c>
      <c r="B14319" t="s">
        <v>530</v>
      </c>
      <c r="C14319" t="s">
        <v>23950</v>
      </c>
      <c r="D14319" t="s">
        <v>23950</v>
      </c>
      <c r="E14319">
        <v>424038</v>
      </c>
      <c r="F14319" t="s">
        <v>1</v>
      </c>
      <c r="G14319" t="s">
        <v>2</v>
      </c>
      <c r="H14319" t="s">
        <v>10772</v>
      </c>
      <c r="Y14319" t="s">
        <v>49464</v>
      </c>
    </row>
    <row r="14320" spans="1:25" x14ac:dyDescent="0.25">
      <c r="A14320" t="str">
        <f>"237674347525"</f>
        <v>237674347525</v>
      </c>
      <c r="B14320" t="s">
        <v>716</v>
      </c>
      <c r="C14320" t="s">
        <v>26823</v>
      </c>
      <c r="D14320" t="s">
        <v>49465</v>
      </c>
      <c r="E14320">
        <v>424005</v>
      </c>
      <c r="F14320" t="s">
        <v>1</v>
      </c>
      <c r="G14320" t="s">
        <v>2</v>
      </c>
      <c r="H14320" t="s">
        <v>1763</v>
      </c>
      <c r="I14320" t="s">
        <v>49466</v>
      </c>
      <c r="J14320" t="s">
        <v>49467</v>
      </c>
      <c r="P14320" t="s">
        <v>1270</v>
      </c>
      <c r="Y14320" t="s">
        <v>1766</v>
      </c>
    </row>
    <row r="14321" spans="1:25" x14ac:dyDescent="0.25">
      <c r="A14321" t="str">
        <f>"237682345920"</f>
        <v>237682345920</v>
      </c>
      <c r="B14321" t="s">
        <v>334</v>
      </c>
      <c r="C14321" t="s">
        <v>2551</v>
      </c>
      <c r="D14321" t="s">
        <v>49468</v>
      </c>
      <c r="E14321">
        <v>424000</v>
      </c>
      <c r="F14321" t="s">
        <v>1</v>
      </c>
      <c r="G14321" t="s">
        <v>2</v>
      </c>
      <c r="H14321" t="s">
        <v>2193</v>
      </c>
      <c r="I14321" t="s">
        <v>49469</v>
      </c>
      <c r="M14321" t="s">
        <v>49470</v>
      </c>
      <c r="P14321" t="s">
        <v>152</v>
      </c>
      <c r="Q14321" t="s">
        <v>49471</v>
      </c>
      <c r="T14321" t="s">
        <v>49472</v>
      </c>
      <c r="Y14321" t="s">
        <v>49473</v>
      </c>
    </row>
    <row r="14322" spans="1:25" x14ac:dyDescent="0.25">
      <c r="A14322" t="str">
        <f>"237745487019"</f>
        <v>237745487019</v>
      </c>
      <c r="B14322" t="s">
        <v>96</v>
      </c>
      <c r="C14322" t="s">
        <v>695</v>
      </c>
      <c r="D14322" t="s">
        <v>22550</v>
      </c>
      <c r="E14322">
        <v>424007</v>
      </c>
      <c r="F14322" t="s">
        <v>1</v>
      </c>
      <c r="G14322" t="s">
        <v>2</v>
      </c>
      <c r="H14322" t="s">
        <v>11314</v>
      </c>
      <c r="I14322" t="s">
        <v>49474</v>
      </c>
      <c r="P14322" t="s">
        <v>340</v>
      </c>
      <c r="Y14322" t="s">
        <v>49475</v>
      </c>
    </row>
    <row r="14323" spans="1:25" x14ac:dyDescent="0.25">
      <c r="A14323" t="str">
        <f>"237755520964"</f>
        <v>237755520964</v>
      </c>
      <c r="B14323" t="s">
        <v>3094</v>
      </c>
      <c r="C14323" t="s">
        <v>3095</v>
      </c>
      <c r="D14323" t="s">
        <v>49476</v>
      </c>
      <c r="E14323">
        <v>424039</v>
      </c>
      <c r="F14323" t="s">
        <v>1</v>
      </c>
      <c r="G14323" t="s">
        <v>2</v>
      </c>
      <c r="H14323" t="s">
        <v>49477</v>
      </c>
      <c r="I14323" t="s">
        <v>49478</v>
      </c>
      <c r="L14323" t="s">
        <v>3001</v>
      </c>
      <c r="M14323" t="s">
        <v>3002</v>
      </c>
      <c r="Y14323" t="s">
        <v>49479</v>
      </c>
    </row>
    <row r="14324" spans="1:25" x14ac:dyDescent="0.25">
      <c r="A14324" t="str">
        <f>"237795810617"</f>
        <v>237795810617</v>
      </c>
      <c r="B14324" t="s">
        <v>224</v>
      </c>
      <c r="C14324" t="s">
        <v>4139</v>
      </c>
      <c r="D14324" t="s">
        <v>49480</v>
      </c>
      <c r="E14324">
        <v>424032</v>
      </c>
      <c r="F14324" t="s">
        <v>1</v>
      </c>
      <c r="G14324" t="s">
        <v>2</v>
      </c>
      <c r="H14324" t="s">
        <v>49481</v>
      </c>
      <c r="J14324" t="s">
        <v>49482</v>
      </c>
      <c r="P14324" t="s">
        <v>20</v>
      </c>
      <c r="V14324" t="s">
        <v>49483</v>
      </c>
      <c r="Y14324" t="s">
        <v>49484</v>
      </c>
    </row>
    <row r="14325" spans="1:25" x14ac:dyDescent="0.25">
      <c r="A14325" t="str">
        <f>"237831253804"</f>
        <v>237831253804</v>
      </c>
      <c r="B14325" t="s">
        <v>1544</v>
      </c>
      <c r="C14325" t="s">
        <v>24552</v>
      </c>
      <c r="D14325" t="s">
        <v>49485</v>
      </c>
      <c r="E14325">
        <v>424000</v>
      </c>
      <c r="F14325" t="s">
        <v>1</v>
      </c>
      <c r="G14325" t="s">
        <v>2</v>
      </c>
      <c r="H14325" t="s">
        <v>128</v>
      </c>
      <c r="I14325" t="s">
        <v>49486</v>
      </c>
      <c r="P14325" t="s">
        <v>24553</v>
      </c>
      <c r="Q14325" t="s">
        <v>49487</v>
      </c>
      <c r="V14325" t="s">
        <v>49488</v>
      </c>
      <c r="Y14325" t="s">
        <v>5640</v>
      </c>
    </row>
    <row r="14326" spans="1:25" x14ac:dyDescent="0.25">
      <c r="A14326" t="str">
        <f>"237833611544"</f>
        <v>237833611544</v>
      </c>
      <c r="B14326" t="s">
        <v>1053</v>
      </c>
      <c r="C14326" t="s">
        <v>27043</v>
      </c>
      <c r="D14326" t="s">
        <v>49489</v>
      </c>
      <c r="E14326">
        <v>424006</v>
      </c>
      <c r="F14326" t="s">
        <v>1</v>
      </c>
      <c r="G14326" t="s">
        <v>2</v>
      </c>
      <c r="H14326" t="s">
        <v>4587</v>
      </c>
      <c r="I14326" t="s">
        <v>49490</v>
      </c>
      <c r="P14326" t="s">
        <v>280</v>
      </c>
      <c r="Y14326" t="s">
        <v>19422</v>
      </c>
    </row>
    <row r="14327" spans="1:25" x14ac:dyDescent="0.25">
      <c r="A14327" t="str">
        <f>"237860352745"</f>
        <v>237860352745</v>
      </c>
      <c r="B14327" t="s">
        <v>530</v>
      </c>
      <c r="C14327" t="s">
        <v>23950</v>
      </c>
      <c r="D14327" t="s">
        <v>23950</v>
      </c>
      <c r="F14327" t="s">
        <v>1</v>
      </c>
      <c r="G14327" t="s">
        <v>2</v>
      </c>
      <c r="H14327" t="s">
        <v>49491</v>
      </c>
      <c r="Y14327" t="s">
        <v>49492</v>
      </c>
    </row>
    <row r="14328" spans="1:25" x14ac:dyDescent="0.25">
      <c r="A14328" t="str">
        <f>"237868994845"</f>
        <v>237868994845</v>
      </c>
      <c r="B14328" t="s">
        <v>348</v>
      </c>
      <c r="C14328" t="s">
        <v>49496</v>
      </c>
      <c r="D14328" t="s">
        <v>49493</v>
      </c>
      <c r="F14328" t="s">
        <v>1</v>
      </c>
      <c r="G14328" t="s">
        <v>2</v>
      </c>
      <c r="H14328" t="s">
        <v>1508</v>
      </c>
      <c r="J14328" t="s">
        <v>49494</v>
      </c>
      <c r="L14328" t="s">
        <v>49495</v>
      </c>
      <c r="P14328" t="s">
        <v>4487</v>
      </c>
      <c r="Q14328" t="s">
        <v>49497</v>
      </c>
      <c r="V14328" t="s">
        <v>49498</v>
      </c>
      <c r="Y14328" t="s">
        <v>10196</v>
      </c>
    </row>
    <row r="14329" spans="1:25" x14ac:dyDescent="0.25">
      <c r="A14329" t="str">
        <f>"237879911253"</f>
        <v>237879911253</v>
      </c>
      <c r="B14329" t="s">
        <v>2104</v>
      </c>
      <c r="C14329" t="s">
        <v>13387</v>
      </c>
      <c r="D14329" t="s">
        <v>34531</v>
      </c>
      <c r="F14329" t="s">
        <v>1</v>
      </c>
      <c r="G14329" t="s">
        <v>2</v>
      </c>
      <c r="H14329" t="s">
        <v>37783</v>
      </c>
      <c r="Y14329" t="s">
        <v>49499</v>
      </c>
    </row>
    <row r="14330" spans="1:25" x14ac:dyDescent="0.25">
      <c r="A14330" t="str">
        <f>"237888261709"</f>
        <v>237888261709</v>
      </c>
      <c r="B14330" t="s">
        <v>1611</v>
      </c>
      <c r="C14330" t="s">
        <v>26250</v>
      </c>
      <c r="D14330" t="s">
        <v>49500</v>
      </c>
      <c r="E14330">
        <v>424005</v>
      </c>
      <c r="F14330" t="s">
        <v>1</v>
      </c>
      <c r="G14330" t="s">
        <v>2</v>
      </c>
      <c r="H14330" t="s">
        <v>11683</v>
      </c>
      <c r="M14330" t="s">
        <v>49501</v>
      </c>
      <c r="Y14330" t="s">
        <v>26251</v>
      </c>
    </row>
    <row r="14331" spans="1:25" x14ac:dyDescent="0.25">
      <c r="A14331" t="str">
        <f>"237934390000"</f>
        <v>237934390000</v>
      </c>
      <c r="B14331" t="s">
        <v>1362</v>
      </c>
      <c r="C14331" t="s">
        <v>15548</v>
      </c>
      <c r="D14331" t="s">
        <v>49502</v>
      </c>
      <c r="E14331">
        <v>424006</v>
      </c>
      <c r="F14331" t="s">
        <v>1</v>
      </c>
      <c r="G14331" t="s">
        <v>2</v>
      </c>
      <c r="H14331" t="s">
        <v>13284</v>
      </c>
      <c r="Y14331" t="s">
        <v>33865</v>
      </c>
    </row>
    <row r="14332" spans="1:25" x14ac:dyDescent="0.25">
      <c r="A14332" t="str">
        <f>"237956096037"</f>
        <v>237956096037</v>
      </c>
      <c r="B14332" t="s">
        <v>888</v>
      </c>
      <c r="C14332" t="s">
        <v>7389</v>
      </c>
      <c r="D14332" t="s">
        <v>49503</v>
      </c>
      <c r="E14332">
        <v>424007</v>
      </c>
      <c r="F14332" t="s">
        <v>1</v>
      </c>
      <c r="G14332" t="s">
        <v>2</v>
      </c>
      <c r="H14332" t="s">
        <v>499</v>
      </c>
      <c r="Y14332" t="s">
        <v>1598</v>
      </c>
    </row>
    <row r="14333" spans="1:25" x14ac:dyDescent="0.25">
      <c r="A14333" t="str">
        <f>"237986494351"</f>
        <v>237986494351</v>
      </c>
      <c r="B14333" t="s">
        <v>530</v>
      </c>
      <c r="C14333" t="s">
        <v>23950</v>
      </c>
      <c r="D14333" t="s">
        <v>23950</v>
      </c>
      <c r="E14333">
        <v>424032</v>
      </c>
      <c r="F14333" t="s">
        <v>1</v>
      </c>
      <c r="G14333" t="s">
        <v>2</v>
      </c>
      <c r="H14333" t="s">
        <v>4563</v>
      </c>
      <c r="Y14333" t="s">
        <v>49504</v>
      </c>
    </row>
    <row r="14334" spans="1:25" x14ac:dyDescent="0.25">
      <c r="A14334" t="str">
        <f>"238007015327"</f>
        <v>238007015327</v>
      </c>
      <c r="B14334" t="s">
        <v>574</v>
      </c>
      <c r="C14334" t="s">
        <v>952</v>
      </c>
      <c r="D14334" t="s">
        <v>49505</v>
      </c>
      <c r="E14334">
        <v>424006</v>
      </c>
      <c r="F14334" t="s">
        <v>1</v>
      </c>
      <c r="G14334" t="s">
        <v>2</v>
      </c>
      <c r="H14334" t="s">
        <v>15013</v>
      </c>
      <c r="Y14334" t="s">
        <v>49506</v>
      </c>
    </row>
    <row r="14335" spans="1:25" x14ac:dyDescent="0.25">
      <c r="A14335" t="str">
        <f>"238074625037"</f>
        <v>238074625037</v>
      </c>
      <c r="B14335" t="s">
        <v>6083</v>
      </c>
      <c r="C14335" t="s">
        <v>49510</v>
      </c>
      <c r="D14335" t="s">
        <v>49507</v>
      </c>
      <c r="E14335">
        <v>424007</v>
      </c>
      <c r="F14335" t="s">
        <v>1</v>
      </c>
      <c r="G14335" t="s">
        <v>2</v>
      </c>
      <c r="H14335" t="s">
        <v>1085</v>
      </c>
      <c r="J14335" t="s">
        <v>49508</v>
      </c>
      <c r="L14335" t="s">
        <v>23800</v>
      </c>
      <c r="M14335" t="s">
        <v>49509</v>
      </c>
      <c r="P14335" t="s">
        <v>20</v>
      </c>
      <c r="Q14335" t="s">
        <v>49511</v>
      </c>
      <c r="U14335" t="s">
        <v>49512</v>
      </c>
      <c r="Y14335" t="s">
        <v>49513</v>
      </c>
    </row>
    <row r="14336" spans="1:25" x14ac:dyDescent="0.25">
      <c r="A14336" t="str">
        <f>"238075357870"</f>
        <v>238075357870</v>
      </c>
      <c r="B14336" t="s">
        <v>176</v>
      </c>
      <c r="C14336" t="s">
        <v>49517</v>
      </c>
      <c r="D14336" t="s">
        <v>49514</v>
      </c>
      <c r="E14336">
        <v>424038</v>
      </c>
      <c r="F14336" t="s">
        <v>1</v>
      </c>
      <c r="G14336" t="s">
        <v>2</v>
      </c>
      <c r="H14336" t="s">
        <v>19499</v>
      </c>
      <c r="I14336" t="s">
        <v>49515</v>
      </c>
      <c r="J14336" t="s">
        <v>49516</v>
      </c>
      <c r="P14336" t="s">
        <v>144</v>
      </c>
      <c r="Q14336" t="s">
        <v>49518</v>
      </c>
      <c r="Y14336" t="s">
        <v>49519</v>
      </c>
    </row>
    <row r="14337" spans="1:25" x14ac:dyDescent="0.25">
      <c r="A14337" t="str">
        <f>"238141453457"</f>
        <v>238141453457</v>
      </c>
      <c r="B14337" t="s">
        <v>1352</v>
      </c>
      <c r="C14337" t="s">
        <v>1353</v>
      </c>
      <c r="D14337" t="s">
        <v>23591</v>
      </c>
      <c r="E14337">
        <v>424020</v>
      </c>
      <c r="F14337" t="s">
        <v>1</v>
      </c>
      <c r="G14337" t="s">
        <v>2</v>
      </c>
      <c r="H14337" t="s">
        <v>2069</v>
      </c>
      <c r="I14337" t="s">
        <v>7823</v>
      </c>
      <c r="L14337" t="s">
        <v>11301</v>
      </c>
      <c r="M14337" t="s">
        <v>49520</v>
      </c>
      <c r="P14337" t="s">
        <v>23594</v>
      </c>
      <c r="Y14337" t="s">
        <v>49521</v>
      </c>
    </row>
    <row r="14338" spans="1:25" x14ac:dyDescent="0.25">
      <c r="A14338" t="str">
        <f>"238148295584"</f>
        <v>238148295584</v>
      </c>
      <c r="B14338" t="s">
        <v>930</v>
      </c>
      <c r="C14338" t="s">
        <v>13865</v>
      </c>
      <c r="D14338" t="s">
        <v>49522</v>
      </c>
      <c r="E14338">
        <v>424007</v>
      </c>
      <c r="F14338" t="s">
        <v>1</v>
      </c>
      <c r="G14338" t="s">
        <v>2</v>
      </c>
      <c r="H14338" t="s">
        <v>49523</v>
      </c>
      <c r="J14338" t="s">
        <v>49524</v>
      </c>
      <c r="P14338" t="s">
        <v>2050</v>
      </c>
      <c r="Q14338" t="s">
        <v>49525</v>
      </c>
      <c r="V14338" t="s">
        <v>49526</v>
      </c>
      <c r="Y14338" t="s">
        <v>49527</v>
      </c>
    </row>
    <row r="14339" spans="1:25" x14ac:dyDescent="0.25">
      <c r="A14339" t="str">
        <f>"238160472940"</f>
        <v>238160472940</v>
      </c>
      <c r="B14339" t="s">
        <v>530</v>
      </c>
      <c r="C14339" t="s">
        <v>23950</v>
      </c>
      <c r="D14339" t="s">
        <v>23950</v>
      </c>
      <c r="F14339" t="s">
        <v>1</v>
      </c>
      <c r="G14339" t="s">
        <v>2</v>
      </c>
      <c r="H14339" t="s">
        <v>37096</v>
      </c>
      <c r="Y14339" t="s">
        <v>49528</v>
      </c>
    </row>
    <row r="14340" spans="1:25" x14ac:dyDescent="0.25">
      <c r="A14340" t="str">
        <f>"238201471692"</f>
        <v>238201471692</v>
      </c>
      <c r="B14340" t="s">
        <v>738</v>
      </c>
      <c r="C14340" t="s">
        <v>739</v>
      </c>
      <c r="D14340" t="s">
        <v>49529</v>
      </c>
      <c r="E14340">
        <v>424016</v>
      </c>
      <c r="F14340" t="s">
        <v>1</v>
      </c>
      <c r="G14340" t="s">
        <v>2</v>
      </c>
      <c r="H14340" t="s">
        <v>31546</v>
      </c>
      <c r="I14340" t="s">
        <v>49530</v>
      </c>
      <c r="Y14340" t="s">
        <v>49531</v>
      </c>
    </row>
    <row r="14341" spans="1:25" x14ac:dyDescent="0.25">
      <c r="A14341" t="str">
        <f>"238213805450"</f>
        <v>238213805450</v>
      </c>
      <c r="B14341" t="s">
        <v>96</v>
      </c>
      <c r="C14341" t="s">
        <v>49533</v>
      </c>
      <c r="D14341" t="s">
        <v>49532</v>
      </c>
      <c r="E14341">
        <v>424004</v>
      </c>
      <c r="F14341" t="s">
        <v>1</v>
      </c>
      <c r="G14341" t="s">
        <v>2</v>
      </c>
      <c r="H14341" t="s">
        <v>3266</v>
      </c>
      <c r="Y14341" t="s">
        <v>49534</v>
      </c>
    </row>
    <row r="14342" spans="1:25" x14ac:dyDescent="0.25">
      <c r="A14342" t="str">
        <f>"238237393934"</f>
        <v>238237393934</v>
      </c>
      <c r="B14342" t="s">
        <v>1343</v>
      </c>
      <c r="C14342" t="s">
        <v>10464</v>
      </c>
      <c r="D14342" t="s">
        <v>41701</v>
      </c>
      <c r="E14342">
        <v>424028</v>
      </c>
      <c r="F14342" t="s">
        <v>1</v>
      </c>
      <c r="G14342" t="s">
        <v>2</v>
      </c>
      <c r="H14342" t="s">
        <v>3359</v>
      </c>
      <c r="Y14342" t="s">
        <v>15441</v>
      </c>
    </row>
    <row r="14343" spans="1:25" x14ac:dyDescent="0.25">
      <c r="A14343" t="str">
        <f>"238238176734"</f>
        <v>238238176734</v>
      </c>
      <c r="B14343" t="s">
        <v>3700</v>
      </c>
      <c r="C14343" t="s">
        <v>4023</v>
      </c>
      <c r="D14343" t="s">
        <v>49535</v>
      </c>
      <c r="E14343">
        <v>424031</v>
      </c>
      <c r="F14343" t="s">
        <v>1</v>
      </c>
      <c r="G14343" t="s">
        <v>2</v>
      </c>
      <c r="H14343" t="s">
        <v>7118</v>
      </c>
      <c r="Y14343" t="s">
        <v>49536</v>
      </c>
    </row>
    <row r="14344" spans="1:25" x14ac:dyDescent="0.25">
      <c r="A14344" t="str">
        <f>"238251694158"</f>
        <v>238251694158</v>
      </c>
      <c r="B14344" t="s">
        <v>188</v>
      </c>
      <c r="C14344" t="s">
        <v>24568</v>
      </c>
      <c r="D14344" t="s">
        <v>24568</v>
      </c>
      <c r="F14344" t="s">
        <v>1</v>
      </c>
      <c r="G14344" t="s">
        <v>2</v>
      </c>
      <c r="H14344" t="s">
        <v>40851</v>
      </c>
      <c r="Y14344" t="s">
        <v>49537</v>
      </c>
    </row>
    <row r="14345" spans="1:25" x14ac:dyDescent="0.25">
      <c r="A14345" t="str">
        <f>"238260844906"</f>
        <v>238260844906</v>
      </c>
      <c r="B14345" t="s">
        <v>1611</v>
      </c>
      <c r="C14345" t="s">
        <v>3218</v>
      </c>
      <c r="D14345" t="s">
        <v>49538</v>
      </c>
      <c r="E14345">
        <v>424037</v>
      </c>
      <c r="F14345" t="s">
        <v>1</v>
      </c>
      <c r="G14345" t="s">
        <v>2</v>
      </c>
      <c r="H14345" t="s">
        <v>15407</v>
      </c>
      <c r="I14345" t="s">
        <v>49539</v>
      </c>
      <c r="L14345" t="s">
        <v>3217</v>
      </c>
      <c r="P14345" t="s">
        <v>280</v>
      </c>
      <c r="Y14345" t="s">
        <v>4724</v>
      </c>
    </row>
    <row r="14346" spans="1:25" x14ac:dyDescent="0.25">
      <c r="A14346" t="str">
        <f>"238262425302"</f>
        <v>238262425302</v>
      </c>
      <c r="B14346" t="s">
        <v>1758</v>
      </c>
      <c r="C14346" t="s">
        <v>8089</v>
      </c>
      <c r="D14346" t="s">
        <v>8087</v>
      </c>
      <c r="E14346">
        <v>424038</v>
      </c>
      <c r="F14346" t="s">
        <v>1</v>
      </c>
      <c r="G14346" t="s">
        <v>2</v>
      </c>
      <c r="H14346" t="s">
        <v>16183</v>
      </c>
      <c r="P14346" t="s">
        <v>941</v>
      </c>
      <c r="Y14346" t="s">
        <v>49540</v>
      </c>
    </row>
    <row r="14347" spans="1:25" x14ac:dyDescent="0.25">
      <c r="A14347" t="str">
        <f>"238322448187"</f>
        <v>238322448187</v>
      </c>
      <c r="B14347" t="s">
        <v>243</v>
      </c>
      <c r="C14347" t="s">
        <v>244</v>
      </c>
      <c r="D14347" t="s">
        <v>49541</v>
      </c>
      <c r="F14347" t="s">
        <v>1</v>
      </c>
      <c r="G14347" t="s">
        <v>2</v>
      </c>
      <c r="H14347" t="s">
        <v>684</v>
      </c>
      <c r="Y14347" t="s">
        <v>690</v>
      </c>
    </row>
    <row r="14348" spans="1:25" x14ac:dyDescent="0.25">
      <c r="A14348" t="str">
        <f>"238341477643"</f>
        <v>238341477643</v>
      </c>
      <c r="B14348" t="s">
        <v>930</v>
      </c>
      <c r="C14348" t="s">
        <v>49546</v>
      </c>
      <c r="D14348" t="s">
        <v>49542</v>
      </c>
      <c r="E14348">
        <v>424006</v>
      </c>
      <c r="F14348" t="s">
        <v>1</v>
      </c>
      <c r="G14348" t="s">
        <v>2</v>
      </c>
      <c r="H14348" t="s">
        <v>1003</v>
      </c>
      <c r="J14348" t="s">
        <v>49543</v>
      </c>
      <c r="L14348" t="s">
        <v>49544</v>
      </c>
      <c r="M14348" t="s">
        <v>49545</v>
      </c>
      <c r="P14348" t="s">
        <v>280</v>
      </c>
      <c r="V14348" t="s">
        <v>49547</v>
      </c>
      <c r="Y14348" t="s">
        <v>49548</v>
      </c>
    </row>
    <row r="14349" spans="1:25" x14ac:dyDescent="0.25">
      <c r="A14349" t="str">
        <f>"238373646576"</f>
        <v>238373646576</v>
      </c>
      <c r="B14349" t="s">
        <v>530</v>
      </c>
      <c r="C14349" t="s">
        <v>23950</v>
      </c>
      <c r="D14349" t="s">
        <v>23950</v>
      </c>
      <c r="E14349">
        <v>424038</v>
      </c>
      <c r="F14349" t="s">
        <v>1</v>
      </c>
      <c r="G14349" t="s">
        <v>2</v>
      </c>
      <c r="H14349" t="s">
        <v>10681</v>
      </c>
      <c r="Y14349" t="s">
        <v>49549</v>
      </c>
    </row>
    <row r="14350" spans="1:25" x14ac:dyDescent="0.25">
      <c r="A14350" t="str">
        <f>"238392734671"</f>
        <v>238392734671</v>
      </c>
      <c r="B14350" t="s">
        <v>2104</v>
      </c>
      <c r="C14350" t="s">
        <v>11739</v>
      </c>
      <c r="D14350" t="s">
        <v>49550</v>
      </c>
      <c r="E14350">
        <v>424038</v>
      </c>
      <c r="F14350" t="s">
        <v>1</v>
      </c>
      <c r="G14350" t="s">
        <v>2</v>
      </c>
      <c r="H14350" t="s">
        <v>7597</v>
      </c>
      <c r="J14350" t="s">
        <v>47979</v>
      </c>
      <c r="P14350" t="s">
        <v>1642</v>
      </c>
      <c r="Q14350" t="s">
        <v>49551</v>
      </c>
      <c r="Y14350" t="s">
        <v>16150</v>
      </c>
    </row>
    <row r="14351" spans="1:25" x14ac:dyDescent="0.25">
      <c r="A14351" t="str">
        <f>"238418673621"</f>
        <v>238418673621</v>
      </c>
      <c r="B14351" t="s">
        <v>290</v>
      </c>
      <c r="C14351" t="s">
        <v>23296</v>
      </c>
      <c r="D14351" t="s">
        <v>21345</v>
      </c>
      <c r="E14351">
        <v>424006</v>
      </c>
      <c r="F14351" t="s">
        <v>1</v>
      </c>
      <c r="G14351" t="s">
        <v>2</v>
      </c>
      <c r="H14351" t="s">
        <v>31054</v>
      </c>
      <c r="J14351" t="s">
        <v>49552</v>
      </c>
      <c r="P14351" t="s">
        <v>13505</v>
      </c>
      <c r="Y14351" t="s">
        <v>49553</v>
      </c>
    </row>
    <row r="14352" spans="1:25" x14ac:dyDescent="0.25">
      <c r="A14352" t="str">
        <f>"238420664238"</f>
        <v>238420664238</v>
      </c>
      <c r="B14352" t="s">
        <v>8011</v>
      </c>
      <c r="C14352" t="s">
        <v>25177</v>
      </c>
      <c r="D14352" t="s">
        <v>12536</v>
      </c>
      <c r="E14352">
        <v>424007</v>
      </c>
      <c r="F14352" t="s">
        <v>1</v>
      </c>
      <c r="G14352" t="s">
        <v>2</v>
      </c>
      <c r="H14352" t="s">
        <v>5178</v>
      </c>
      <c r="J14352" t="s">
        <v>25176</v>
      </c>
      <c r="P14352" t="s">
        <v>2731</v>
      </c>
      <c r="Y14352" t="s">
        <v>49554</v>
      </c>
    </row>
    <row r="14353" spans="1:25" x14ac:dyDescent="0.25">
      <c r="A14353" t="str">
        <f>"238424245855"</f>
        <v>238424245855</v>
      </c>
      <c r="B14353" t="s">
        <v>123</v>
      </c>
      <c r="C14353" t="s">
        <v>10769</v>
      </c>
      <c r="D14353" t="s">
        <v>49555</v>
      </c>
      <c r="E14353">
        <v>424031</v>
      </c>
      <c r="F14353" t="s">
        <v>1</v>
      </c>
      <c r="G14353" t="s">
        <v>2</v>
      </c>
      <c r="H14353" t="s">
        <v>17906</v>
      </c>
      <c r="I14353" t="s">
        <v>49556</v>
      </c>
      <c r="P14353" t="s">
        <v>410</v>
      </c>
      <c r="Y14353" t="s">
        <v>49557</v>
      </c>
    </row>
    <row r="14354" spans="1:25" x14ac:dyDescent="0.25">
      <c r="A14354" t="str">
        <f>"238447842911"</f>
        <v>238447842911</v>
      </c>
      <c r="B14354" t="s">
        <v>96</v>
      </c>
      <c r="C14354" t="s">
        <v>893</v>
      </c>
      <c r="D14354" t="s">
        <v>34431</v>
      </c>
      <c r="E14354">
        <v>424019</v>
      </c>
      <c r="F14354" t="s">
        <v>1</v>
      </c>
      <c r="G14354" t="s">
        <v>2</v>
      </c>
      <c r="H14354" t="s">
        <v>1801</v>
      </c>
      <c r="Y14354" t="s">
        <v>49558</v>
      </c>
    </row>
    <row r="14355" spans="1:25" x14ac:dyDescent="0.25">
      <c r="A14355" t="str">
        <f>"238454018938"</f>
        <v>238454018938</v>
      </c>
      <c r="B14355" t="s">
        <v>1617</v>
      </c>
      <c r="C14355" t="s">
        <v>25261</v>
      </c>
      <c r="D14355" t="s">
        <v>4149</v>
      </c>
      <c r="E14355">
        <v>424004</v>
      </c>
      <c r="F14355" t="s">
        <v>1</v>
      </c>
      <c r="G14355" t="s">
        <v>2</v>
      </c>
      <c r="H14355" t="s">
        <v>14351</v>
      </c>
      <c r="Y14355" t="s">
        <v>14356</v>
      </c>
    </row>
    <row r="14356" spans="1:25" x14ac:dyDescent="0.25">
      <c r="A14356" t="str">
        <f>"238511589475"</f>
        <v>238511589475</v>
      </c>
      <c r="B14356" t="s">
        <v>96</v>
      </c>
      <c r="C14356" t="s">
        <v>893</v>
      </c>
      <c r="D14356" t="s">
        <v>32743</v>
      </c>
      <c r="E14356">
        <v>424918</v>
      </c>
      <c r="F14356" t="s">
        <v>1</v>
      </c>
      <c r="G14356" t="s">
        <v>2</v>
      </c>
      <c r="H14356" t="s">
        <v>629</v>
      </c>
      <c r="P14356" t="s">
        <v>630</v>
      </c>
      <c r="Y14356" t="s">
        <v>1744</v>
      </c>
    </row>
    <row r="14357" spans="1:25" x14ac:dyDescent="0.25">
      <c r="A14357" t="str">
        <f>"238529269381"</f>
        <v>238529269381</v>
      </c>
      <c r="B14357" t="s">
        <v>2864</v>
      </c>
      <c r="C14357" t="s">
        <v>37591</v>
      </c>
      <c r="D14357" t="s">
        <v>37973</v>
      </c>
      <c r="E14357">
        <v>424030</v>
      </c>
      <c r="F14357" t="s">
        <v>1</v>
      </c>
      <c r="G14357" t="s">
        <v>2</v>
      </c>
      <c r="H14357" t="s">
        <v>28820</v>
      </c>
      <c r="Y14357" t="s">
        <v>49559</v>
      </c>
    </row>
    <row r="14358" spans="1:25" x14ac:dyDescent="0.25">
      <c r="A14358" t="str">
        <f>"238539698683"</f>
        <v>238539698683</v>
      </c>
      <c r="B14358" t="s">
        <v>1544</v>
      </c>
      <c r="C14358" t="s">
        <v>3596</v>
      </c>
      <c r="D14358" t="s">
        <v>49560</v>
      </c>
      <c r="E14358">
        <v>424005</v>
      </c>
      <c r="F14358" t="s">
        <v>1</v>
      </c>
      <c r="G14358" t="s">
        <v>2</v>
      </c>
      <c r="H14358" t="s">
        <v>49561</v>
      </c>
      <c r="J14358" t="s">
        <v>49562</v>
      </c>
      <c r="P14358" t="s">
        <v>4459</v>
      </c>
      <c r="Y14358" t="s">
        <v>49563</v>
      </c>
    </row>
    <row r="14359" spans="1:25" x14ac:dyDescent="0.25">
      <c r="A14359" t="str">
        <f>"238553554989"</f>
        <v>238553554989</v>
      </c>
      <c r="B14359" t="s">
        <v>176</v>
      </c>
      <c r="C14359" t="s">
        <v>29570</v>
      </c>
      <c r="D14359" t="s">
        <v>49564</v>
      </c>
      <c r="F14359" t="s">
        <v>1</v>
      </c>
      <c r="G14359" t="s">
        <v>2</v>
      </c>
      <c r="H14359" t="s">
        <v>37451</v>
      </c>
      <c r="Y14359" t="s">
        <v>49565</v>
      </c>
    </row>
    <row r="14360" spans="1:25" x14ac:dyDescent="0.25">
      <c r="A14360" t="str">
        <f>"238612921162"</f>
        <v>238612921162</v>
      </c>
      <c r="B14360" t="s">
        <v>96</v>
      </c>
      <c r="C14360" t="s">
        <v>16462</v>
      </c>
      <c r="D14360" t="s">
        <v>49566</v>
      </c>
      <c r="F14360" t="s">
        <v>1</v>
      </c>
      <c r="G14360" t="s">
        <v>2</v>
      </c>
      <c r="H14360" t="s">
        <v>49567</v>
      </c>
      <c r="Y14360" t="s">
        <v>49568</v>
      </c>
    </row>
    <row r="14361" spans="1:25" x14ac:dyDescent="0.25">
      <c r="A14361" t="str">
        <f>"238629821236"</f>
        <v>238629821236</v>
      </c>
      <c r="B14361" t="s">
        <v>151</v>
      </c>
      <c r="C14361" t="s">
        <v>151</v>
      </c>
      <c r="D14361" t="s">
        <v>44448</v>
      </c>
      <c r="E14361">
        <v>424028</v>
      </c>
      <c r="F14361" t="s">
        <v>1</v>
      </c>
      <c r="G14361" t="s">
        <v>2</v>
      </c>
      <c r="H14361" t="s">
        <v>49569</v>
      </c>
      <c r="I14361" t="s">
        <v>49570</v>
      </c>
      <c r="L14361" t="s">
        <v>49571</v>
      </c>
      <c r="M14361" t="s">
        <v>49572</v>
      </c>
      <c r="P14361" t="s">
        <v>1306</v>
      </c>
      <c r="Q14361" t="s">
        <v>49573</v>
      </c>
      <c r="Y14361" t="s">
        <v>49574</v>
      </c>
    </row>
    <row r="14362" spans="1:25" x14ac:dyDescent="0.25">
      <c r="A14362" t="str">
        <f>"238636148670"</f>
        <v>238636148670</v>
      </c>
      <c r="B14362" t="s">
        <v>1391</v>
      </c>
      <c r="C14362" t="s">
        <v>1392</v>
      </c>
      <c r="D14362" t="s">
        <v>49575</v>
      </c>
      <c r="E14362">
        <v>424037</v>
      </c>
      <c r="F14362" t="s">
        <v>1</v>
      </c>
      <c r="G14362" t="s">
        <v>2</v>
      </c>
      <c r="H14362" t="s">
        <v>49576</v>
      </c>
      <c r="J14362" t="s">
        <v>10898</v>
      </c>
      <c r="P14362" t="s">
        <v>410</v>
      </c>
      <c r="Y14362" t="s">
        <v>49577</v>
      </c>
    </row>
    <row r="14363" spans="1:25" x14ac:dyDescent="0.25">
      <c r="A14363" t="str">
        <f>"238638146990"</f>
        <v>238638146990</v>
      </c>
      <c r="B14363" t="s">
        <v>1046</v>
      </c>
      <c r="C14363" t="s">
        <v>49579</v>
      </c>
      <c r="D14363" t="s">
        <v>49578</v>
      </c>
      <c r="F14363" t="s">
        <v>1</v>
      </c>
      <c r="G14363" t="s">
        <v>2</v>
      </c>
      <c r="H14363" t="s">
        <v>138</v>
      </c>
      <c r="P14363" t="s">
        <v>98</v>
      </c>
      <c r="Y14363" t="s">
        <v>146</v>
      </c>
    </row>
    <row r="14364" spans="1:25" x14ac:dyDescent="0.25">
      <c r="A14364" t="str">
        <f>"238657883551"</f>
        <v>238657883551</v>
      </c>
      <c r="B14364" t="s">
        <v>67</v>
      </c>
      <c r="C14364" t="s">
        <v>832</v>
      </c>
      <c r="D14364" t="s">
        <v>8747</v>
      </c>
      <c r="E14364">
        <v>424033</v>
      </c>
      <c r="F14364" t="s">
        <v>1</v>
      </c>
      <c r="G14364" t="s">
        <v>2</v>
      </c>
      <c r="H14364" t="s">
        <v>4357</v>
      </c>
      <c r="L14364" t="s">
        <v>35834</v>
      </c>
      <c r="Q14364" t="s">
        <v>23211</v>
      </c>
      <c r="T14364" t="s">
        <v>23212</v>
      </c>
      <c r="Y14364" t="s">
        <v>49580</v>
      </c>
    </row>
    <row r="14365" spans="1:25" x14ac:dyDescent="0.25">
      <c r="A14365" t="str">
        <f>"238665196224"</f>
        <v>238665196224</v>
      </c>
      <c r="B14365" t="s">
        <v>2055</v>
      </c>
      <c r="C14365" t="s">
        <v>6421</v>
      </c>
      <c r="D14365" t="s">
        <v>49581</v>
      </c>
      <c r="E14365">
        <v>424006</v>
      </c>
      <c r="F14365" t="s">
        <v>1</v>
      </c>
      <c r="G14365" t="s">
        <v>2</v>
      </c>
      <c r="H14365" t="s">
        <v>445</v>
      </c>
      <c r="J14365" t="s">
        <v>49582</v>
      </c>
      <c r="P14365" t="s">
        <v>2280</v>
      </c>
      <c r="Y14365" t="s">
        <v>449</v>
      </c>
    </row>
    <row r="14366" spans="1:25" x14ac:dyDescent="0.25">
      <c r="A14366" t="str">
        <f>"238705358620"</f>
        <v>238705358620</v>
      </c>
      <c r="B14366" t="s">
        <v>25</v>
      </c>
      <c r="C14366" t="s">
        <v>13425</v>
      </c>
      <c r="D14366" t="s">
        <v>1289</v>
      </c>
      <c r="E14366">
        <v>424037</v>
      </c>
      <c r="F14366" t="s">
        <v>1</v>
      </c>
      <c r="G14366" t="s">
        <v>2</v>
      </c>
      <c r="H14366" t="s">
        <v>1290</v>
      </c>
      <c r="Y14366" t="s">
        <v>49583</v>
      </c>
    </row>
    <row r="14367" spans="1:25" x14ac:dyDescent="0.25">
      <c r="A14367" t="str">
        <f>"238716502219"</f>
        <v>238716502219</v>
      </c>
      <c r="B14367" t="s">
        <v>1544</v>
      </c>
      <c r="C14367" t="s">
        <v>7974</v>
      </c>
      <c r="D14367" t="s">
        <v>24500</v>
      </c>
      <c r="E14367">
        <v>424007</v>
      </c>
      <c r="F14367" t="s">
        <v>1</v>
      </c>
      <c r="G14367" t="s">
        <v>2</v>
      </c>
      <c r="H14367" t="s">
        <v>23286</v>
      </c>
      <c r="Y14367" t="s">
        <v>49584</v>
      </c>
    </row>
    <row r="14368" spans="1:25" x14ac:dyDescent="0.25">
      <c r="A14368" t="str">
        <f>"238718848096"</f>
        <v>238718848096</v>
      </c>
      <c r="B14368" t="s">
        <v>530</v>
      </c>
      <c r="C14368" t="s">
        <v>23950</v>
      </c>
      <c r="D14368" t="s">
        <v>23950</v>
      </c>
      <c r="F14368" t="s">
        <v>1</v>
      </c>
      <c r="G14368" t="s">
        <v>2</v>
      </c>
      <c r="H14368" t="s">
        <v>25338</v>
      </c>
      <c r="Y14368" t="s">
        <v>49585</v>
      </c>
    </row>
    <row r="14369" spans="1:25" x14ac:dyDescent="0.25">
      <c r="A14369" t="str">
        <f>"238719241047"</f>
        <v>238719241047</v>
      </c>
      <c r="B14369" t="s">
        <v>1046</v>
      </c>
      <c r="C14369" t="s">
        <v>13439</v>
      </c>
      <c r="D14369" t="s">
        <v>49586</v>
      </c>
      <c r="E14369">
        <v>424000</v>
      </c>
      <c r="F14369" t="s">
        <v>1</v>
      </c>
      <c r="G14369" t="s">
        <v>2</v>
      </c>
      <c r="H14369" t="s">
        <v>128</v>
      </c>
      <c r="Y14369" t="s">
        <v>49587</v>
      </c>
    </row>
    <row r="14370" spans="1:25" x14ac:dyDescent="0.25">
      <c r="A14370" t="str">
        <f>"238752463952"</f>
        <v>238752463952</v>
      </c>
      <c r="B14370" t="s">
        <v>32</v>
      </c>
      <c r="C14370" t="s">
        <v>42935</v>
      </c>
      <c r="D14370" t="s">
        <v>49588</v>
      </c>
      <c r="F14370" t="s">
        <v>1</v>
      </c>
      <c r="G14370" t="s">
        <v>2</v>
      </c>
      <c r="H14370" t="s">
        <v>26431</v>
      </c>
      <c r="I14370" t="s">
        <v>49589</v>
      </c>
      <c r="P14370" t="s">
        <v>49590</v>
      </c>
      <c r="Y14370" t="s">
        <v>49591</v>
      </c>
    </row>
    <row r="14371" spans="1:25" x14ac:dyDescent="0.25">
      <c r="A14371" t="str">
        <f>"238755118188"</f>
        <v>238755118188</v>
      </c>
      <c r="B14371" t="s">
        <v>117</v>
      </c>
      <c r="C14371" t="s">
        <v>873</v>
      </c>
      <c r="D14371" t="s">
        <v>873</v>
      </c>
      <c r="F14371" t="s">
        <v>1</v>
      </c>
      <c r="G14371" t="s">
        <v>2</v>
      </c>
      <c r="H14371" t="s">
        <v>49592</v>
      </c>
      <c r="Y14371" t="s">
        <v>49593</v>
      </c>
    </row>
    <row r="14372" spans="1:25" x14ac:dyDescent="0.25">
      <c r="A14372" t="str">
        <f>"238761178056"</f>
        <v>238761178056</v>
      </c>
      <c r="B14372" t="s">
        <v>1391</v>
      </c>
      <c r="C14372" t="s">
        <v>1392</v>
      </c>
      <c r="D14372" t="s">
        <v>49594</v>
      </c>
      <c r="E14372">
        <v>424004</v>
      </c>
      <c r="F14372" t="s">
        <v>1</v>
      </c>
      <c r="G14372" t="s">
        <v>2</v>
      </c>
      <c r="H14372" t="s">
        <v>186</v>
      </c>
      <c r="J14372" t="s">
        <v>49595</v>
      </c>
      <c r="P14372" t="s">
        <v>280</v>
      </c>
      <c r="Y14372" t="s">
        <v>190</v>
      </c>
    </row>
    <row r="14373" spans="1:25" x14ac:dyDescent="0.25">
      <c r="A14373" t="str">
        <f>"238842950933"</f>
        <v>238842950933</v>
      </c>
      <c r="B14373" t="s">
        <v>1268</v>
      </c>
      <c r="C14373" t="s">
        <v>4018</v>
      </c>
      <c r="D14373" t="s">
        <v>38132</v>
      </c>
      <c r="E14373">
        <v>424006</v>
      </c>
      <c r="F14373" t="s">
        <v>1</v>
      </c>
      <c r="G14373" t="s">
        <v>2</v>
      </c>
      <c r="H14373" t="s">
        <v>4541</v>
      </c>
      <c r="Y14373" t="s">
        <v>4544</v>
      </c>
    </row>
    <row r="14374" spans="1:25" x14ac:dyDescent="0.25">
      <c r="A14374" t="str">
        <f>"238845053177"</f>
        <v>238845053177</v>
      </c>
      <c r="B14374" t="s">
        <v>151</v>
      </c>
      <c r="C14374" t="s">
        <v>151</v>
      </c>
      <c r="D14374" t="s">
        <v>49596</v>
      </c>
      <c r="E14374">
        <v>424004</v>
      </c>
      <c r="F14374" t="s">
        <v>1</v>
      </c>
      <c r="G14374" t="s">
        <v>2</v>
      </c>
      <c r="H14374" t="s">
        <v>186</v>
      </c>
      <c r="J14374" t="s">
        <v>45527</v>
      </c>
      <c r="P14374" t="s">
        <v>152</v>
      </c>
      <c r="Y14374" t="s">
        <v>190</v>
      </c>
    </row>
    <row r="14375" spans="1:25" x14ac:dyDescent="0.25">
      <c r="A14375" t="str">
        <f>"238855316092"</f>
        <v>238855316092</v>
      </c>
      <c r="B14375" t="s">
        <v>348</v>
      </c>
      <c r="C14375" t="s">
        <v>4366</v>
      </c>
      <c r="D14375" t="s">
        <v>45699</v>
      </c>
      <c r="E14375">
        <v>424019</v>
      </c>
      <c r="F14375" t="s">
        <v>1</v>
      </c>
      <c r="G14375" t="s">
        <v>2</v>
      </c>
      <c r="H14375" t="s">
        <v>10665</v>
      </c>
      <c r="J14375" t="s">
        <v>49597</v>
      </c>
      <c r="P14375" t="s">
        <v>98</v>
      </c>
      <c r="Y14375" t="s">
        <v>10669</v>
      </c>
    </row>
    <row r="14376" spans="1:25" x14ac:dyDescent="0.25">
      <c r="A14376" t="str">
        <f>"238902072108"</f>
        <v>238902072108</v>
      </c>
      <c r="B14376" t="s">
        <v>96</v>
      </c>
      <c r="C14376" t="s">
        <v>12115</v>
      </c>
      <c r="D14376" t="s">
        <v>49598</v>
      </c>
      <c r="E14376">
        <v>424031</v>
      </c>
      <c r="F14376" t="s">
        <v>1</v>
      </c>
      <c r="G14376" t="s">
        <v>2</v>
      </c>
      <c r="H14376" t="s">
        <v>16588</v>
      </c>
      <c r="Y14376" t="s">
        <v>49599</v>
      </c>
    </row>
    <row r="14377" spans="1:25" x14ac:dyDescent="0.25">
      <c r="A14377" t="str">
        <f>"238958110391"</f>
        <v>238958110391</v>
      </c>
      <c r="B14377" t="s">
        <v>1391</v>
      </c>
      <c r="C14377" t="s">
        <v>34209</v>
      </c>
      <c r="D14377" t="s">
        <v>8545</v>
      </c>
      <c r="E14377">
        <v>424006</v>
      </c>
      <c r="F14377" t="s">
        <v>1</v>
      </c>
      <c r="G14377" t="s">
        <v>2</v>
      </c>
      <c r="H14377" t="s">
        <v>38039</v>
      </c>
      <c r="I14377" t="s">
        <v>18961</v>
      </c>
      <c r="Y14377" t="s">
        <v>49600</v>
      </c>
    </row>
    <row r="14378" spans="1:25" x14ac:dyDescent="0.25">
      <c r="A14378" t="str">
        <f>"239026855338"</f>
        <v>239026855338</v>
      </c>
      <c r="B14378" t="s">
        <v>25</v>
      </c>
      <c r="C14378" t="s">
        <v>32030</v>
      </c>
      <c r="D14378" t="s">
        <v>49601</v>
      </c>
      <c r="E14378">
        <v>424039</v>
      </c>
      <c r="F14378" t="s">
        <v>1</v>
      </c>
      <c r="G14378" t="s">
        <v>2</v>
      </c>
      <c r="H14378" t="s">
        <v>15233</v>
      </c>
      <c r="J14378" t="s">
        <v>49602</v>
      </c>
      <c r="Y14378" t="s">
        <v>49603</v>
      </c>
    </row>
    <row r="14379" spans="1:25" x14ac:dyDescent="0.25">
      <c r="A14379" t="str">
        <f>"239100986694"</f>
        <v>239100986694</v>
      </c>
      <c r="B14379" t="s">
        <v>530</v>
      </c>
      <c r="C14379" t="s">
        <v>23950</v>
      </c>
      <c r="D14379" t="s">
        <v>23950</v>
      </c>
      <c r="F14379" t="s">
        <v>1</v>
      </c>
      <c r="G14379" t="s">
        <v>2</v>
      </c>
      <c r="H14379" t="s">
        <v>33523</v>
      </c>
      <c r="Y14379" t="s">
        <v>49604</v>
      </c>
    </row>
    <row r="14380" spans="1:25" x14ac:dyDescent="0.25">
      <c r="A14380" t="str">
        <f>"239110500902"</f>
        <v>239110500902</v>
      </c>
      <c r="B14380" t="s">
        <v>797</v>
      </c>
      <c r="C14380" t="s">
        <v>43779</v>
      </c>
      <c r="D14380" t="s">
        <v>49605</v>
      </c>
      <c r="E14380">
        <v>424000</v>
      </c>
      <c r="F14380" t="s">
        <v>1</v>
      </c>
      <c r="G14380" t="s">
        <v>2</v>
      </c>
      <c r="H14380" t="s">
        <v>265</v>
      </c>
      <c r="L14380" t="s">
        <v>49606</v>
      </c>
      <c r="M14380" t="s">
        <v>49607</v>
      </c>
      <c r="Y14380" t="s">
        <v>11205</v>
      </c>
    </row>
    <row r="14381" spans="1:25" x14ac:dyDescent="0.25">
      <c r="A14381" t="str">
        <f>"239111531971"</f>
        <v>239111531971</v>
      </c>
      <c r="B14381" t="s">
        <v>319</v>
      </c>
      <c r="C14381" t="s">
        <v>320</v>
      </c>
      <c r="D14381" t="s">
        <v>2556</v>
      </c>
      <c r="E14381">
        <v>424038</v>
      </c>
      <c r="F14381" t="s">
        <v>1</v>
      </c>
      <c r="G14381" t="s">
        <v>2</v>
      </c>
      <c r="H14381" t="s">
        <v>8063</v>
      </c>
      <c r="L14381" t="s">
        <v>2559</v>
      </c>
      <c r="M14381" t="s">
        <v>49608</v>
      </c>
      <c r="P14381" t="s">
        <v>49609</v>
      </c>
      <c r="Y14381" t="s">
        <v>44985</v>
      </c>
    </row>
    <row r="14382" spans="1:25" x14ac:dyDescent="0.25">
      <c r="A14382" t="str">
        <f>"239120725471"</f>
        <v>239120725471</v>
      </c>
      <c r="B14382" t="s">
        <v>530</v>
      </c>
      <c r="C14382" t="s">
        <v>23950</v>
      </c>
      <c r="D14382" t="s">
        <v>23950</v>
      </c>
      <c r="F14382" t="s">
        <v>1</v>
      </c>
      <c r="G14382" t="s">
        <v>2</v>
      </c>
      <c r="H14382" t="s">
        <v>49610</v>
      </c>
      <c r="Y14382" t="s">
        <v>49611</v>
      </c>
    </row>
    <row r="14383" spans="1:25" x14ac:dyDescent="0.25">
      <c r="A14383" t="str">
        <f>"239145374763"</f>
        <v>239145374763</v>
      </c>
      <c r="B14383" t="s">
        <v>574</v>
      </c>
      <c r="C14383" t="s">
        <v>14269</v>
      </c>
      <c r="D14383" t="s">
        <v>21152</v>
      </c>
      <c r="E14383">
        <v>424039</v>
      </c>
      <c r="F14383" t="s">
        <v>1</v>
      </c>
      <c r="G14383" t="s">
        <v>2</v>
      </c>
      <c r="H14383" t="s">
        <v>5827</v>
      </c>
      <c r="Y14383" t="s">
        <v>23921</v>
      </c>
    </row>
    <row r="14384" spans="1:25" x14ac:dyDescent="0.25">
      <c r="A14384" t="str">
        <f>"239171424308"</f>
        <v>239171424308</v>
      </c>
      <c r="B14384" t="s">
        <v>25</v>
      </c>
      <c r="C14384" t="s">
        <v>59</v>
      </c>
      <c r="D14384" t="s">
        <v>49612</v>
      </c>
      <c r="E14384">
        <v>424020</v>
      </c>
      <c r="F14384" t="s">
        <v>1</v>
      </c>
      <c r="G14384" t="s">
        <v>2</v>
      </c>
      <c r="H14384" t="s">
        <v>8616</v>
      </c>
      <c r="I14384" t="s">
        <v>49613</v>
      </c>
      <c r="P14384" t="s">
        <v>28768</v>
      </c>
      <c r="Y14384" t="s">
        <v>49614</v>
      </c>
    </row>
    <row r="14385" spans="1:25" x14ac:dyDescent="0.25">
      <c r="A14385" t="str">
        <f>"239173890760"</f>
        <v>239173890760</v>
      </c>
      <c r="B14385" t="s">
        <v>96</v>
      </c>
      <c r="C14385" t="s">
        <v>7071</v>
      </c>
      <c r="D14385" t="s">
        <v>49615</v>
      </c>
      <c r="E14385">
        <v>424918</v>
      </c>
      <c r="F14385" t="s">
        <v>1</v>
      </c>
      <c r="G14385" t="s">
        <v>2</v>
      </c>
      <c r="H14385" t="s">
        <v>629</v>
      </c>
      <c r="P14385" t="s">
        <v>630</v>
      </c>
      <c r="Y14385" t="s">
        <v>49616</v>
      </c>
    </row>
    <row r="14386" spans="1:25" x14ac:dyDescent="0.25">
      <c r="A14386" t="str">
        <f>"239182782830"</f>
        <v>239182782830</v>
      </c>
      <c r="B14386" t="s">
        <v>1544</v>
      </c>
      <c r="C14386" t="s">
        <v>15598</v>
      </c>
      <c r="D14386" t="s">
        <v>30028</v>
      </c>
      <c r="E14386">
        <v>424007</v>
      </c>
      <c r="F14386" t="s">
        <v>1</v>
      </c>
      <c r="G14386" t="s">
        <v>2</v>
      </c>
      <c r="H14386" t="s">
        <v>5281</v>
      </c>
      <c r="P14386" t="s">
        <v>3799</v>
      </c>
      <c r="Y14386" t="s">
        <v>49617</v>
      </c>
    </row>
    <row r="14387" spans="1:25" x14ac:dyDescent="0.25">
      <c r="A14387" t="str">
        <f>"239243925590"</f>
        <v>239243925590</v>
      </c>
      <c r="B14387" t="s">
        <v>790</v>
      </c>
      <c r="C14387" t="s">
        <v>49620</v>
      </c>
      <c r="D14387" t="s">
        <v>49618</v>
      </c>
      <c r="F14387" t="s">
        <v>1</v>
      </c>
      <c r="G14387" t="s">
        <v>2</v>
      </c>
      <c r="H14387" t="s">
        <v>1003</v>
      </c>
      <c r="I14387" t="s">
        <v>49619</v>
      </c>
      <c r="P14387" t="s">
        <v>2923</v>
      </c>
      <c r="Y14387" t="s">
        <v>49621</v>
      </c>
    </row>
    <row r="14388" spans="1:25" x14ac:dyDescent="0.25">
      <c r="A14388" t="str">
        <f>"239282885805"</f>
        <v>239282885805</v>
      </c>
      <c r="B14388" t="s">
        <v>430</v>
      </c>
      <c r="C14388" t="s">
        <v>48361</v>
      </c>
      <c r="D14388" t="s">
        <v>49622</v>
      </c>
      <c r="F14388" t="s">
        <v>1</v>
      </c>
      <c r="G14388" t="s">
        <v>2</v>
      </c>
      <c r="H14388" t="s">
        <v>9077</v>
      </c>
      <c r="J14388" t="s">
        <v>49623</v>
      </c>
      <c r="P14388" t="s">
        <v>330</v>
      </c>
      <c r="Y14388" t="s">
        <v>15398</v>
      </c>
    </row>
    <row r="14389" spans="1:25" x14ac:dyDescent="0.25">
      <c r="A14389" t="str">
        <f>"239283877239"</f>
        <v>239283877239</v>
      </c>
      <c r="B14389" t="s">
        <v>1493</v>
      </c>
      <c r="C14389" t="s">
        <v>2355</v>
      </c>
      <c r="D14389" t="s">
        <v>49624</v>
      </c>
      <c r="E14389">
        <v>424031</v>
      </c>
      <c r="F14389" t="s">
        <v>1</v>
      </c>
      <c r="G14389" t="s">
        <v>2</v>
      </c>
      <c r="H14389" t="s">
        <v>49625</v>
      </c>
      <c r="I14389" t="s">
        <v>49626</v>
      </c>
      <c r="P14389" t="s">
        <v>152</v>
      </c>
      <c r="Y14389" t="s">
        <v>49627</v>
      </c>
    </row>
    <row r="14390" spans="1:25" x14ac:dyDescent="0.25">
      <c r="A14390" t="str">
        <f>"239300595963"</f>
        <v>239300595963</v>
      </c>
      <c r="B14390" t="s">
        <v>456</v>
      </c>
      <c r="C14390" t="s">
        <v>49630</v>
      </c>
      <c r="D14390" t="s">
        <v>49628</v>
      </c>
      <c r="E14390">
        <v>424004</v>
      </c>
      <c r="F14390" t="s">
        <v>1</v>
      </c>
      <c r="G14390" t="s">
        <v>2</v>
      </c>
      <c r="H14390" t="s">
        <v>13630</v>
      </c>
      <c r="I14390" t="s">
        <v>49629</v>
      </c>
      <c r="P14390" t="s">
        <v>260</v>
      </c>
      <c r="Y14390" t="s">
        <v>49631</v>
      </c>
    </row>
    <row r="14391" spans="1:25" x14ac:dyDescent="0.25">
      <c r="A14391" t="str">
        <f>"239310034325"</f>
        <v>239310034325</v>
      </c>
      <c r="B14391" t="s">
        <v>1152</v>
      </c>
      <c r="C14391" t="s">
        <v>49633</v>
      </c>
      <c r="D14391" t="s">
        <v>49632</v>
      </c>
      <c r="E14391">
        <v>424028</v>
      </c>
      <c r="F14391" t="s">
        <v>1</v>
      </c>
      <c r="G14391" t="s">
        <v>2</v>
      </c>
      <c r="H14391" t="s">
        <v>24503</v>
      </c>
      <c r="J14391" t="s">
        <v>47998</v>
      </c>
      <c r="Q14391" t="s">
        <v>49634</v>
      </c>
      <c r="Y14391" t="s">
        <v>22102</v>
      </c>
    </row>
    <row r="14392" spans="1:25" x14ac:dyDescent="0.25">
      <c r="A14392" t="str">
        <f>"239335427489"</f>
        <v>239335427489</v>
      </c>
      <c r="B14392" t="s">
        <v>1391</v>
      </c>
      <c r="C14392" t="s">
        <v>49639</v>
      </c>
      <c r="D14392" t="s">
        <v>49635</v>
      </c>
      <c r="E14392">
        <v>424006</v>
      </c>
      <c r="F14392" t="s">
        <v>1</v>
      </c>
      <c r="G14392" t="s">
        <v>2</v>
      </c>
      <c r="H14392" t="s">
        <v>2012</v>
      </c>
      <c r="I14392" t="s">
        <v>49636</v>
      </c>
      <c r="L14392" t="s">
        <v>49637</v>
      </c>
      <c r="M14392" t="s">
        <v>49638</v>
      </c>
      <c r="P14392" t="s">
        <v>27</v>
      </c>
      <c r="Y14392" t="s">
        <v>2016</v>
      </c>
    </row>
    <row r="14393" spans="1:25" x14ac:dyDescent="0.25">
      <c r="A14393" t="str">
        <f>"239362362650"</f>
        <v>239362362650</v>
      </c>
      <c r="B14393" t="s">
        <v>160</v>
      </c>
      <c r="C14393" t="s">
        <v>2479</v>
      </c>
      <c r="D14393" t="s">
        <v>49640</v>
      </c>
      <c r="E14393">
        <v>424032</v>
      </c>
      <c r="F14393" t="s">
        <v>1</v>
      </c>
      <c r="G14393" t="s">
        <v>2</v>
      </c>
      <c r="H14393" t="s">
        <v>49641</v>
      </c>
      <c r="Y14393" t="s">
        <v>49642</v>
      </c>
    </row>
    <row r="14394" spans="1:25" x14ac:dyDescent="0.25">
      <c r="A14394" t="str">
        <f>"239375910406"</f>
        <v>239375910406</v>
      </c>
      <c r="B14394" t="s">
        <v>456</v>
      </c>
      <c r="C14394" t="s">
        <v>49646</v>
      </c>
      <c r="D14394" t="s">
        <v>49643</v>
      </c>
      <c r="F14394" t="s">
        <v>1</v>
      </c>
      <c r="G14394" t="s">
        <v>2</v>
      </c>
      <c r="H14394" t="s">
        <v>3984</v>
      </c>
      <c r="J14394" t="s">
        <v>49644</v>
      </c>
      <c r="M14394" t="s">
        <v>49645</v>
      </c>
      <c r="P14394" t="s">
        <v>6400</v>
      </c>
      <c r="V14394" t="s">
        <v>49647</v>
      </c>
      <c r="Y14394" t="s">
        <v>4409</v>
      </c>
    </row>
    <row r="14395" spans="1:25" x14ac:dyDescent="0.25">
      <c r="A14395" t="str">
        <f>"239532892529"</f>
        <v>239532892529</v>
      </c>
      <c r="B14395" t="s">
        <v>348</v>
      </c>
      <c r="C14395" t="s">
        <v>4366</v>
      </c>
      <c r="D14395" t="s">
        <v>49648</v>
      </c>
      <c r="E14395">
        <v>424019</v>
      </c>
      <c r="F14395" t="s">
        <v>1</v>
      </c>
      <c r="G14395" t="s">
        <v>2</v>
      </c>
      <c r="H14395" t="s">
        <v>7785</v>
      </c>
      <c r="J14395" t="s">
        <v>49649</v>
      </c>
      <c r="M14395" t="s">
        <v>49650</v>
      </c>
      <c r="P14395" t="s">
        <v>98</v>
      </c>
      <c r="Q14395" t="s">
        <v>49651</v>
      </c>
      <c r="U14395" t="s">
        <v>49652</v>
      </c>
      <c r="V14395" t="s">
        <v>49653</v>
      </c>
      <c r="Y14395" t="s">
        <v>49654</v>
      </c>
    </row>
    <row r="14396" spans="1:25" x14ac:dyDescent="0.25">
      <c r="A14396" t="str">
        <f>"239558021884"</f>
        <v>239558021884</v>
      </c>
      <c r="B14396" t="s">
        <v>348</v>
      </c>
      <c r="C14396" t="s">
        <v>49657</v>
      </c>
      <c r="D14396" t="s">
        <v>49655</v>
      </c>
      <c r="E14396">
        <v>424008</v>
      </c>
      <c r="F14396" t="s">
        <v>1</v>
      </c>
      <c r="G14396" t="s">
        <v>2</v>
      </c>
      <c r="H14396" t="s">
        <v>1383</v>
      </c>
      <c r="J14396" t="s">
        <v>49656</v>
      </c>
      <c r="P14396" t="s">
        <v>2572</v>
      </c>
      <c r="Q14396" t="s">
        <v>49658</v>
      </c>
      <c r="Y14396" t="s">
        <v>1387</v>
      </c>
    </row>
    <row r="14397" spans="1:25" x14ac:dyDescent="0.25">
      <c r="A14397" t="str">
        <f>"239585292412"</f>
        <v>239585292412</v>
      </c>
      <c r="B14397" t="s">
        <v>1053</v>
      </c>
      <c r="C14397" t="s">
        <v>49661</v>
      </c>
      <c r="D14397" t="s">
        <v>1263</v>
      </c>
      <c r="E14397">
        <v>424006</v>
      </c>
      <c r="F14397" t="s">
        <v>1</v>
      </c>
      <c r="G14397" t="s">
        <v>2</v>
      </c>
      <c r="H14397" t="s">
        <v>2012</v>
      </c>
      <c r="I14397" t="s">
        <v>49659</v>
      </c>
      <c r="J14397" t="s">
        <v>49660</v>
      </c>
      <c r="P14397" t="s">
        <v>20</v>
      </c>
      <c r="Y14397" t="s">
        <v>2016</v>
      </c>
    </row>
    <row r="14398" spans="1:25" x14ac:dyDescent="0.25">
      <c r="A14398" t="str">
        <f>"239585370823"</f>
        <v>239585370823</v>
      </c>
      <c r="B14398" t="s">
        <v>530</v>
      </c>
      <c r="C14398" t="s">
        <v>23950</v>
      </c>
      <c r="D14398" t="s">
        <v>23950</v>
      </c>
      <c r="F14398" t="s">
        <v>1</v>
      </c>
      <c r="G14398" t="s">
        <v>2</v>
      </c>
      <c r="H14398" t="s">
        <v>24651</v>
      </c>
      <c r="Y14398" t="s">
        <v>49662</v>
      </c>
    </row>
    <row r="14399" spans="1:25" x14ac:dyDescent="0.25">
      <c r="A14399" t="str">
        <f>"239620404266"</f>
        <v>239620404266</v>
      </c>
      <c r="B14399" t="s">
        <v>408</v>
      </c>
      <c r="C14399" t="s">
        <v>25792</v>
      </c>
      <c r="D14399" t="s">
        <v>25790</v>
      </c>
      <c r="E14399">
        <v>424006</v>
      </c>
      <c r="F14399" t="s">
        <v>1</v>
      </c>
      <c r="G14399" t="s">
        <v>2</v>
      </c>
      <c r="H14399" t="s">
        <v>3736</v>
      </c>
      <c r="P14399" t="s">
        <v>11204</v>
      </c>
      <c r="Y14399" t="s">
        <v>49663</v>
      </c>
    </row>
    <row r="14400" spans="1:25" x14ac:dyDescent="0.25">
      <c r="A14400" t="str">
        <f>"239648414012"</f>
        <v>239648414012</v>
      </c>
      <c r="B14400" t="s">
        <v>96</v>
      </c>
      <c r="C14400" t="s">
        <v>893</v>
      </c>
      <c r="D14400" t="s">
        <v>24004</v>
      </c>
      <c r="E14400">
        <v>424918</v>
      </c>
      <c r="F14400" t="s">
        <v>1</v>
      </c>
      <c r="G14400" t="s">
        <v>2</v>
      </c>
      <c r="H14400" t="s">
        <v>629</v>
      </c>
      <c r="J14400" t="s">
        <v>24005</v>
      </c>
      <c r="P14400" t="s">
        <v>630</v>
      </c>
      <c r="Y14400" t="s">
        <v>49664</v>
      </c>
    </row>
    <row r="14401" spans="1:25" x14ac:dyDescent="0.25">
      <c r="A14401" t="str">
        <f>"239669010342"</f>
        <v>239669010342</v>
      </c>
      <c r="B14401" t="s">
        <v>417</v>
      </c>
      <c r="C14401" t="s">
        <v>418</v>
      </c>
      <c r="D14401" t="s">
        <v>32964</v>
      </c>
      <c r="E14401">
        <v>424007</v>
      </c>
      <c r="F14401" t="s">
        <v>1</v>
      </c>
      <c r="G14401" t="s">
        <v>2</v>
      </c>
      <c r="H14401" t="s">
        <v>23667</v>
      </c>
      <c r="Y14401" t="s">
        <v>49665</v>
      </c>
    </row>
    <row r="14402" spans="1:25" x14ac:dyDescent="0.25">
      <c r="A14402" t="str">
        <f>"239673418084"</f>
        <v>239673418084</v>
      </c>
      <c r="B14402" t="s">
        <v>319</v>
      </c>
      <c r="C14402" t="s">
        <v>320</v>
      </c>
      <c r="D14402" t="s">
        <v>28945</v>
      </c>
      <c r="E14402">
        <v>424020</v>
      </c>
      <c r="F14402" t="s">
        <v>1</v>
      </c>
      <c r="G14402" t="s">
        <v>2</v>
      </c>
      <c r="H14402" t="s">
        <v>18899</v>
      </c>
      <c r="I14402" t="s">
        <v>24130</v>
      </c>
      <c r="M14402" t="s">
        <v>49666</v>
      </c>
      <c r="P14402" t="s">
        <v>2457</v>
      </c>
      <c r="Y14402" t="s">
        <v>49667</v>
      </c>
    </row>
    <row r="14403" spans="1:25" x14ac:dyDescent="0.25">
      <c r="A14403" t="str">
        <f>"239692218774"</f>
        <v>239692218774</v>
      </c>
      <c r="B14403" t="s">
        <v>1078</v>
      </c>
      <c r="C14403" t="s">
        <v>49669</v>
      </c>
      <c r="D14403" t="s">
        <v>5728</v>
      </c>
      <c r="E14403">
        <v>424031</v>
      </c>
      <c r="F14403" t="s">
        <v>1</v>
      </c>
      <c r="G14403" t="s">
        <v>2</v>
      </c>
      <c r="H14403" t="s">
        <v>8799</v>
      </c>
      <c r="J14403" t="s">
        <v>49668</v>
      </c>
      <c r="P14403" t="s">
        <v>49670</v>
      </c>
      <c r="Q14403" t="s">
        <v>49671</v>
      </c>
      <c r="Y14403" t="s">
        <v>8803</v>
      </c>
    </row>
    <row r="14404" spans="1:25" x14ac:dyDescent="0.25">
      <c r="A14404" t="str">
        <f>"239724442187"</f>
        <v>239724442187</v>
      </c>
      <c r="B14404" t="s">
        <v>1343</v>
      </c>
      <c r="C14404" t="s">
        <v>49676</v>
      </c>
      <c r="D14404" t="s">
        <v>34307</v>
      </c>
      <c r="E14404">
        <v>424026</v>
      </c>
      <c r="F14404" t="s">
        <v>1</v>
      </c>
      <c r="G14404" t="s">
        <v>2</v>
      </c>
      <c r="H14404" t="s">
        <v>31236</v>
      </c>
      <c r="I14404" t="s">
        <v>49672</v>
      </c>
      <c r="J14404" t="s">
        <v>49673</v>
      </c>
      <c r="L14404" t="s">
        <v>49674</v>
      </c>
      <c r="M14404" t="s">
        <v>49675</v>
      </c>
      <c r="Y14404" t="s">
        <v>31241</v>
      </c>
    </row>
    <row r="14405" spans="1:25" x14ac:dyDescent="0.25">
      <c r="A14405" t="str">
        <f>"239773592130"</f>
        <v>239773592130</v>
      </c>
      <c r="B14405" t="s">
        <v>430</v>
      </c>
      <c r="C14405" t="s">
        <v>8739</v>
      </c>
      <c r="D14405" t="s">
        <v>49677</v>
      </c>
      <c r="E14405">
        <v>424000</v>
      </c>
      <c r="F14405" t="s">
        <v>1</v>
      </c>
      <c r="G14405" t="s">
        <v>2</v>
      </c>
      <c r="H14405" t="s">
        <v>8243</v>
      </c>
      <c r="P14405" t="s">
        <v>98</v>
      </c>
      <c r="Y14405" t="s">
        <v>49678</v>
      </c>
    </row>
    <row r="14406" spans="1:25" x14ac:dyDescent="0.25">
      <c r="A14406" t="str">
        <f>"239859059975"</f>
        <v>239859059975</v>
      </c>
      <c r="B14406" t="s">
        <v>687</v>
      </c>
      <c r="C14406" t="s">
        <v>31355</v>
      </c>
      <c r="D14406" t="s">
        <v>10897</v>
      </c>
      <c r="E14406">
        <v>424007</v>
      </c>
      <c r="F14406" t="s">
        <v>1</v>
      </c>
      <c r="G14406" t="s">
        <v>2</v>
      </c>
      <c r="H14406" t="s">
        <v>10411</v>
      </c>
      <c r="J14406" t="s">
        <v>10898</v>
      </c>
      <c r="L14406" t="s">
        <v>49679</v>
      </c>
      <c r="P14406" t="s">
        <v>216</v>
      </c>
      <c r="Y14406" t="s">
        <v>10413</v>
      </c>
    </row>
    <row r="14407" spans="1:25" x14ac:dyDescent="0.25">
      <c r="A14407" t="str">
        <f>"239871208823"</f>
        <v>239871208823</v>
      </c>
      <c r="B14407" t="s">
        <v>18</v>
      </c>
      <c r="C14407" t="s">
        <v>49683</v>
      </c>
      <c r="D14407" t="s">
        <v>49680</v>
      </c>
      <c r="E14407">
        <v>424007</v>
      </c>
      <c r="F14407" t="s">
        <v>1</v>
      </c>
      <c r="G14407" t="s">
        <v>2</v>
      </c>
      <c r="H14407" t="s">
        <v>5628</v>
      </c>
      <c r="I14407" t="s">
        <v>49681</v>
      </c>
      <c r="J14407" t="s">
        <v>49682</v>
      </c>
      <c r="P14407" t="s">
        <v>1071</v>
      </c>
      <c r="Q14407" t="s">
        <v>49684</v>
      </c>
      <c r="R14407" t="s">
        <v>49685</v>
      </c>
      <c r="V14407" t="s">
        <v>49686</v>
      </c>
      <c r="Y14407" t="s">
        <v>49687</v>
      </c>
    </row>
    <row r="14408" spans="1:25" x14ac:dyDescent="0.25">
      <c r="A14408" t="str">
        <f>"239871969300"</f>
        <v>239871969300</v>
      </c>
      <c r="B14408" t="s">
        <v>930</v>
      </c>
      <c r="C14408" t="s">
        <v>1096</v>
      </c>
      <c r="D14408" t="s">
        <v>49688</v>
      </c>
      <c r="E14408">
        <v>424006</v>
      </c>
      <c r="F14408" t="s">
        <v>1</v>
      </c>
      <c r="G14408" t="s">
        <v>2</v>
      </c>
      <c r="H14408" t="s">
        <v>2012</v>
      </c>
      <c r="J14408" t="s">
        <v>49689</v>
      </c>
      <c r="Q14408" t="s">
        <v>49690</v>
      </c>
      <c r="Y14408" t="s">
        <v>2016</v>
      </c>
    </row>
    <row r="14409" spans="1:25" x14ac:dyDescent="0.25">
      <c r="A14409" t="str">
        <f>"239901967444"</f>
        <v>239901967444</v>
      </c>
      <c r="B14409" t="s">
        <v>8011</v>
      </c>
      <c r="C14409" t="s">
        <v>38913</v>
      </c>
      <c r="D14409" t="s">
        <v>49691</v>
      </c>
      <c r="E14409">
        <v>424000</v>
      </c>
      <c r="F14409" t="s">
        <v>1</v>
      </c>
      <c r="G14409" t="s">
        <v>2</v>
      </c>
      <c r="H14409" t="s">
        <v>1221</v>
      </c>
      <c r="I14409" t="s">
        <v>49692</v>
      </c>
      <c r="L14409" t="s">
        <v>49693</v>
      </c>
      <c r="P14409" t="s">
        <v>7802</v>
      </c>
      <c r="Q14409" t="s">
        <v>49694</v>
      </c>
      <c r="V14409" t="s">
        <v>49695</v>
      </c>
      <c r="Y14409" t="s">
        <v>49696</v>
      </c>
    </row>
    <row r="14410" spans="1:25" x14ac:dyDescent="0.25">
      <c r="A14410" t="str">
        <f>"239936082601"</f>
        <v>239936082601</v>
      </c>
      <c r="B14410" t="s">
        <v>352</v>
      </c>
      <c r="C14410" t="s">
        <v>3028</v>
      </c>
      <c r="D14410" t="s">
        <v>49697</v>
      </c>
      <c r="E14410">
        <v>424002</v>
      </c>
      <c r="F14410" t="s">
        <v>1</v>
      </c>
      <c r="G14410" t="s">
        <v>2</v>
      </c>
      <c r="H14410" t="s">
        <v>27652</v>
      </c>
      <c r="I14410" t="s">
        <v>49698</v>
      </c>
      <c r="L14410" t="s">
        <v>49699</v>
      </c>
      <c r="M14410" t="s">
        <v>49700</v>
      </c>
      <c r="P14410" t="s">
        <v>280</v>
      </c>
      <c r="Y14410" t="s">
        <v>49701</v>
      </c>
    </row>
    <row r="14411" spans="1:25" x14ac:dyDescent="0.25">
      <c r="A14411" t="str">
        <f>"239939601114"</f>
        <v>239939601114</v>
      </c>
      <c r="B14411" t="s">
        <v>553</v>
      </c>
      <c r="C14411" t="s">
        <v>554</v>
      </c>
      <c r="D14411" t="s">
        <v>49702</v>
      </c>
      <c r="E14411">
        <v>424007</v>
      </c>
      <c r="F14411" t="s">
        <v>1</v>
      </c>
      <c r="G14411" t="s">
        <v>2</v>
      </c>
      <c r="H14411" t="s">
        <v>950</v>
      </c>
      <c r="J14411" t="s">
        <v>49703</v>
      </c>
      <c r="P14411" t="s">
        <v>330</v>
      </c>
      <c r="Y14411" t="s">
        <v>953</v>
      </c>
    </row>
    <row r="14412" spans="1:25" x14ac:dyDescent="0.25">
      <c r="A14412" t="str">
        <f>"239945550582"</f>
        <v>239945550582</v>
      </c>
      <c r="B14412" t="s">
        <v>530</v>
      </c>
      <c r="C14412" t="s">
        <v>23950</v>
      </c>
      <c r="D14412" t="s">
        <v>23950</v>
      </c>
      <c r="E14412">
        <v>424038</v>
      </c>
      <c r="F14412" t="s">
        <v>1</v>
      </c>
      <c r="G14412" t="s">
        <v>2</v>
      </c>
      <c r="H14412" t="s">
        <v>49704</v>
      </c>
      <c r="Y14412" t="s">
        <v>49705</v>
      </c>
    </row>
    <row r="14413" spans="1:25" x14ac:dyDescent="0.25">
      <c r="A14413" t="str">
        <f>"239963162375"</f>
        <v>239963162375</v>
      </c>
      <c r="B14413" t="s">
        <v>25</v>
      </c>
      <c r="C14413" t="s">
        <v>20320</v>
      </c>
      <c r="D14413" t="s">
        <v>49706</v>
      </c>
      <c r="E14413">
        <v>424002</v>
      </c>
      <c r="F14413" t="s">
        <v>1</v>
      </c>
      <c r="G14413" t="s">
        <v>2</v>
      </c>
      <c r="H14413" t="s">
        <v>23778</v>
      </c>
      <c r="Y14413" t="s">
        <v>49707</v>
      </c>
    </row>
    <row r="14414" spans="1:25" x14ac:dyDescent="0.25">
      <c r="A14414" t="str">
        <f>"239994436209"</f>
        <v>239994436209</v>
      </c>
      <c r="B14414" t="s">
        <v>2846</v>
      </c>
      <c r="C14414" t="s">
        <v>49712</v>
      </c>
      <c r="D14414" t="s">
        <v>49708</v>
      </c>
      <c r="E14414">
        <v>424038</v>
      </c>
      <c r="F14414" t="s">
        <v>1</v>
      </c>
      <c r="G14414" t="s">
        <v>2</v>
      </c>
      <c r="H14414" t="s">
        <v>21388</v>
      </c>
      <c r="I14414" t="s">
        <v>49709</v>
      </c>
      <c r="L14414" t="s">
        <v>49710</v>
      </c>
      <c r="M14414" t="s">
        <v>49711</v>
      </c>
      <c r="P14414" t="s">
        <v>144</v>
      </c>
      <c r="Y14414" t="s">
        <v>24293</v>
      </c>
    </row>
    <row r="14415" spans="1:25" x14ac:dyDescent="0.25">
      <c r="A14415" t="str">
        <f>"239997489408"</f>
        <v>239997489408</v>
      </c>
      <c r="B14415" t="s">
        <v>160</v>
      </c>
      <c r="C14415" t="s">
        <v>2479</v>
      </c>
      <c r="D14415" t="s">
        <v>49713</v>
      </c>
      <c r="F14415" t="s">
        <v>1</v>
      </c>
      <c r="G14415" t="s">
        <v>2</v>
      </c>
      <c r="H14415" t="s">
        <v>31690</v>
      </c>
      <c r="Y14415" t="s">
        <v>49714</v>
      </c>
    </row>
    <row r="14416" spans="1:25" x14ac:dyDescent="0.25">
      <c r="A14416" t="str">
        <f>"240022317391"</f>
        <v>240022317391</v>
      </c>
      <c r="B14416" t="s">
        <v>18</v>
      </c>
      <c r="C14416" t="s">
        <v>37409</v>
      </c>
      <c r="D14416" t="s">
        <v>30002</v>
      </c>
      <c r="E14416">
        <v>424007</v>
      </c>
      <c r="F14416" t="s">
        <v>1</v>
      </c>
      <c r="G14416" t="s">
        <v>2</v>
      </c>
      <c r="H14416" t="s">
        <v>1566</v>
      </c>
      <c r="J14416" t="s">
        <v>49715</v>
      </c>
      <c r="Y14416" t="s">
        <v>2882</v>
      </c>
    </row>
    <row r="14417" spans="1:25" x14ac:dyDescent="0.25">
      <c r="A14417" t="str">
        <f>"240082461858"</f>
        <v>240082461858</v>
      </c>
      <c r="B14417" t="s">
        <v>574</v>
      </c>
      <c r="C14417" t="s">
        <v>646</v>
      </c>
      <c r="D14417" t="s">
        <v>4221</v>
      </c>
      <c r="E14417">
        <v>424036</v>
      </c>
      <c r="F14417" t="s">
        <v>1</v>
      </c>
      <c r="G14417" t="s">
        <v>2</v>
      </c>
      <c r="H14417" t="s">
        <v>7305</v>
      </c>
      <c r="Y14417" t="s">
        <v>49716</v>
      </c>
    </row>
    <row r="14418" spans="1:25" x14ac:dyDescent="0.25">
      <c r="A14418" t="str">
        <f>"240095824418"</f>
        <v>240095824418</v>
      </c>
      <c r="B14418" t="s">
        <v>978</v>
      </c>
      <c r="C14418" t="s">
        <v>7568</v>
      </c>
      <c r="D14418" t="s">
        <v>49717</v>
      </c>
      <c r="E14418">
        <v>424006</v>
      </c>
      <c r="F14418" t="s">
        <v>1</v>
      </c>
      <c r="G14418" t="s">
        <v>2</v>
      </c>
      <c r="H14418" t="s">
        <v>1923</v>
      </c>
      <c r="J14418" t="s">
        <v>49718</v>
      </c>
      <c r="L14418" t="s">
        <v>49719</v>
      </c>
      <c r="M14418" t="s">
        <v>49720</v>
      </c>
      <c r="P14418" t="s">
        <v>260</v>
      </c>
      <c r="Y14418" t="s">
        <v>1928</v>
      </c>
    </row>
    <row r="14419" spans="1:25" x14ac:dyDescent="0.25">
      <c r="A14419" t="str">
        <f>"240104730596"</f>
        <v>240104730596</v>
      </c>
      <c r="B14419" t="s">
        <v>290</v>
      </c>
      <c r="C14419" t="s">
        <v>290</v>
      </c>
      <c r="D14419" t="s">
        <v>20134</v>
      </c>
      <c r="E14419">
        <v>424019</v>
      </c>
      <c r="F14419" t="s">
        <v>1</v>
      </c>
      <c r="G14419" t="s">
        <v>2</v>
      </c>
      <c r="H14419" t="s">
        <v>24597</v>
      </c>
      <c r="Y14419" t="s">
        <v>49721</v>
      </c>
    </row>
    <row r="14420" spans="1:25" x14ac:dyDescent="0.25">
      <c r="A14420" t="str">
        <f>"240112628148"</f>
        <v>240112628148</v>
      </c>
      <c r="B14420" t="s">
        <v>96</v>
      </c>
      <c r="C14420" t="s">
        <v>27219</v>
      </c>
      <c r="D14420" t="s">
        <v>46506</v>
      </c>
      <c r="E14420">
        <v>424038</v>
      </c>
      <c r="F14420" t="s">
        <v>1</v>
      </c>
      <c r="G14420" t="s">
        <v>2</v>
      </c>
      <c r="H14420" t="s">
        <v>16808</v>
      </c>
      <c r="J14420" t="s">
        <v>49722</v>
      </c>
      <c r="P14420" t="s">
        <v>144</v>
      </c>
      <c r="Q14420" t="s">
        <v>49723</v>
      </c>
      <c r="V14420" t="s">
        <v>46510</v>
      </c>
      <c r="Y14420" t="s">
        <v>49724</v>
      </c>
    </row>
    <row r="14421" spans="1:25" x14ac:dyDescent="0.25">
      <c r="A14421" t="str">
        <f>"240215951456"</f>
        <v>240215951456</v>
      </c>
      <c r="B14421" t="s">
        <v>160</v>
      </c>
      <c r="C14421" t="s">
        <v>15654</v>
      </c>
      <c r="D14421" t="s">
        <v>49725</v>
      </c>
      <c r="F14421" t="s">
        <v>1</v>
      </c>
      <c r="G14421" t="s">
        <v>2</v>
      </c>
      <c r="H14421" t="s">
        <v>26431</v>
      </c>
      <c r="I14421" t="s">
        <v>49726</v>
      </c>
      <c r="P14421" t="s">
        <v>1731</v>
      </c>
      <c r="Y14421" t="s">
        <v>49727</v>
      </c>
    </row>
    <row r="14422" spans="1:25" x14ac:dyDescent="0.25">
      <c r="A14422" t="str">
        <f>"240261543247"</f>
        <v>240261543247</v>
      </c>
      <c r="B14422" t="s">
        <v>930</v>
      </c>
      <c r="C14422" t="s">
        <v>1096</v>
      </c>
      <c r="D14422" t="s">
        <v>49728</v>
      </c>
      <c r="E14422">
        <v>424006</v>
      </c>
      <c r="F14422" t="s">
        <v>1</v>
      </c>
      <c r="G14422" t="s">
        <v>2</v>
      </c>
      <c r="H14422" t="s">
        <v>18005</v>
      </c>
      <c r="I14422" t="s">
        <v>49729</v>
      </c>
      <c r="P14422" t="s">
        <v>2580</v>
      </c>
      <c r="Y14422" t="s">
        <v>28638</v>
      </c>
    </row>
    <row r="14423" spans="1:25" x14ac:dyDescent="0.25">
      <c r="A14423" t="str">
        <f>"240264128153"</f>
        <v>240264128153</v>
      </c>
      <c r="B14423" t="s">
        <v>3652</v>
      </c>
      <c r="C14423" t="s">
        <v>3685</v>
      </c>
      <c r="D14423" t="s">
        <v>49730</v>
      </c>
      <c r="E14423">
        <v>424033</v>
      </c>
      <c r="F14423" t="s">
        <v>1</v>
      </c>
      <c r="G14423" t="s">
        <v>2</v>
      </c>
      <c r="H14423" t="s">
        <v>4357</v>
      </c>
      <c r="J14423" t="s">
        <v>49731</v>
      </c>
      <c r="P14423" t="s">
        <v>799</v>
      </c>
      <c r="Y14423" t="s">
        <v>9977</v>
      </c>
    </row>
    <row r="14424" spans="1:25" x14ac:dyDescent="0.25">
      <c r="A14424" t="str">
        <f>"240285900821"</f>
        <v>240285900821</v>
      </c>
      <c r="B14424" t="s">
        <v>574</v>
      </c>
      <c r="C14424" t="s">
        <v>24405</v>
      </c>
      <c r="D14424" t="s">
        <v>32710</v>
      </c>
      <c r="E14424">
        <v>424036</v>
      </c>
      <c r="F14424" t="s">
        <v>1</v>
      </c>
      <c r="G14424" t="s">
        <v>2</v>
      </c>
      <c r="H14424" t="s">
        <v>375</v>
      </c>
      <c r="Y14424" t="s">
        <v>49732</v>
      </c>
    </row>
    <row r="14425" spans="1:25" x14ac:dyDescent="0.25">
      <c r="A14425" t="str">
        <f>"240335719725"</f>
        <v>240335719725</v>
      </c>
      <c r="B14425" t="s">
        <v>530</v>
      </c>
      <c r="C14425" t="s">
        <v>23950</v>
      </c>
      <c r="D14425" t="s">
        <v>23950</v>
      </c>
      <c r="E14425">
        <v>424019</v>
      </c>
      <c r="F14425" t="s">
        <v>1</v>
      </c>
      <c r="G14425" t="s">
        <v>2</v>
      </c>
      <c r="H14425" t="s">
        <v>8998</v>
      </c>
      <c r="Y14425" t="s">
        <v>49733</v>
      </c>
    </row>
    <row r="14426" spans="1:25" x14ac:dyDescent="0.25">
      <c r="A14426" t="str">
        <f>"240357357174"</f>
        <v>240357357174</v>
      </c>
      <c r="B14426" t="s">
        <v>3008</v>
      </c>
      <c r="C14426" t="s">
        <v>49736</v>
      </c>
      <c r="D14426" t="s">
        <v>37098</v>
      </c>
      <c r="E14426">
        <v>424032</v>
      </c>
      <c r="F14426" t="s">
        <v>1</v>
      </c>
      <c r="G14426" t="s">
        <v>2</v>
      </c>
      <c r="H14426" t="s">
        <v>49734</v>
      </c>
      <c r="I14426" t="s">
        <v>49735</v>
      </c>
      <c r="P14426" t="s">
        <v>330</v>
      </c>
      <c r="Y14426" t="s">
        <v>49737</v>
      </c>
    </row>
    <row r="14427" spans="1:25" x14ac:dyDescent="0.25">
      <c r="A14427" t="str">
        <f>"240365666234"</f>
        <v>240365666234</v>
      </c>
      <c r="B14427" t="s">
        <v>96</v>
      </c>
      <c r="C14427" t="s">
        <v>49740</v>
      </c>
      <c r="D14427" t="s">
        <v>14962</v>
      </c>
      <c r="E14427">
        <v>424918</v>
      </c>
      <c r="F14427" t="s">
        <v>1</v>
      </c>
      <c r="G14427" t="s">
        <v>2</v>
      </c>
      <c r="H14427" t="s">
        <v>629</v>
      </c>
      <c r="J14427" t="s">
        <v>49738</v>
      </c>
      <c r="L14427" t="s">
        <v>49739</v>
      </c>
      <c r="P14427" t="s">
        <v>21607</v>
      </c>
      <c r="V14427" t="s">
        <v>49741</v>
      </c>
      <c r="Y14427" t="s">
        <v>49742</v>
      </c>
    </row>
    <row r="14428" spans="1:25" x14ac:dyDescent="0.25">
      <c r="A14428" t="str">
        <f>"240414922032"</f>
        <v>240414922032</v>
      </c>
      <c r="B14428" t="s">
        <v>25</v>
      </c>
      <c r="C14428" t="s">
        <v>20320</v>
      </c>
      <c r="D14428" t="s">
        <v>49743</v>
      </c>
      <c r="F14428" t="s">
        <v>1</v>
      </c>
      <c r="G14428" t="s">
        <v>2</v>
      </c>
      <c r="H14428" t="s">
        <v>37340</v>
      </c>
      <c r="Y14428" t="s">
        <v>49744</v>
      </c>
    </row>
    <row r="14429" spans="1:25" x14ac:dyDescent="0.25">
      <c r="A14429" t="str">
        <f>"240425699871"</f>
        <v>240425699871</v>
      </c>
      <c r="B14429" t="s">
        <v>530</v>
      </c>
      <c r="C14429" t="s">
        <v>23950</v>
      </c>
      <c r="D14429" t="s">
        <v>23950</v>
      </c>
      <c r="F14429" t="s">
        <v>1</v>
      </c>
      <c r="G14429" t="s">
        <v>2</v>
      </c>
      <c r="H14429" t="s">
        <v>7547</v>
      </c>
      <c r="Y14429" t="s">
        <v>49745</v>
      </c>
    </row>
    <row r="14430" spans="1:25" x14ac:dyDescent="0.25">
      <c r="A14430" t="str">
        <f>"240427064374"</f>
        <v>240427064374</v>
      </c>
      <c r="B14430" t="s">
        <v>110</v>
      </c>
      <c r="C14430" t="s">
        <v>7148</v>
      </c>
      <c r="D14430" t="s">
        <v>49746</v>
      </c>
      <c r="E14430">
        <v>424007</v>
      </c>
      <c r="F14430" t="s">
        <v>1</v>
      </c>
      <c r="G14430" t="s">
        <v>2</v>
      </c>
      <c r="H14430" t="s">
        <v>25707</v>
      </c>
      <c r="I14430" t="s">
        <v>49747</v>
      </c>
      <c r="L14430" t="s">
        <v>49748</v>
      </c>
      <c r="M14430" t="s">
        <v>49749</v>
      </c>
      <c r="P14430" t="s">
        <v>8215</v>
      </c>
      <c r="V14430" t="s">
        <v>49750</v>
      </c>
      <c r="Y14430" t="s">
        <v>49751</v>
      </c>
    </row>
    <row r="14431" spans="1:25" x14ac:dyDescent="0.25">
      <c r="A14431" t="str">
        <f>"240428488648"</f>
        <v>240428488648</v>
      </c>
      <c r="B14431" t="s">
        <v>25</v>
      </c>
      <c r="C14431" t="s">
        <v>4458</v>
      </c>
      <c r="D14431" t="s">
        <v>49752</v>
      </c>
      <c r="E14431">
        <v>424002</v>
      </c>
      <c r="F14431" t="s">
        <v>1</v>
      </c>
      <c r="G14431" t="s">
        <v>2</v>
      </c>
      <c r="H14431" t="s">
        <v>57</v>
      </c>
      <c r="P14431" t="s">
        <v>49753</v>
      </c>
      <c r="Y14431" t="s">
        <v>3783</v>
      </c>
    </row>
    <row r="14432" spans="1:25" x14ac:dyDescent="0.25">
      <c r="A14432" t="str">
        <f>"240441932710"</f>
        <v>240441932710</v>
      </c>
      <c r="B14432" t="s">
        <v>110</v>
      </c>
      <c r="C14432" t="s">
        <v>111</v>
      </c>
      <c r="D14432" t="s">
        <v>1115</v>
      </c>
      <c r="F14432" t="s">
        <v>1</v>
      </c>
      <c r="G14432" t="s">
        <v>2</v>
      </c>
      <c r="H14432" t="s">
        <v>49754</v>
      </c>
      <c r="Y14432" t="s">
        <v>49755</v>
      </c>
    </row>
    <row r="14433" spans="1:25" x14ac:dyDescent="0.25">
      <c r="A14433" t="str">
        <f>"240444886894"</f>
        <v>240444886894</v>
      </c>
      <c r="B14433" t="s">
        <v>930</v>
      </c>
      <c r="C14433" t="s">
        <v>1096</v>
      </c>
      <c r="D14433" t="s">
        <v>49756</v>
      </c>
      <c r="E14433">
        <v>424016</v>
      </c>
      <c r="F14433" t="s">
        <v>1</v>
      </c>
      <c r="G14433" t="s">
        <v>2</v>
      </c>
      <c r="H14433" t="s">
        <v>8165</v>
      </c>
      <c r="Y14433" t="s">
        <v>49757</v>
      </c>
    </row>
    <row r="14434" spans="1:25" x14ac:dyDescent="0.25">
      <c r="A14434" t="str">
        <f>"240453070785"</f>
        <v>240453070785</v>
      </c>
      <c r="B14434" t="s">
        <v>1053</v>
      </c>
      <c r="C14434" t="s">
        <v>1927</v>
      </c>
      <c r="D14434" t="s">
        <v>49758</v>
      </c>
      <c r="E14434">
        <v>424020</v>
      </c>
      <c r="F14434" t="s">
        <v>1</v>
      </c>
      <c r="G14434" t="s">
        <v>2</v>
      </c>
      <c r="H14434" t="s">
        <v>10825</v>
      </c>
      <c r="Y14434" t="s">
        <v>26856</v>
      </c>
    </row>
    <row r="14435" spans="1:25" x14ac:dyDescent="0.25">
      <c r="A14435" t="str">
        <f>"240468764911"</f>
        <v>240468764911</v>
      </c>
      <c r="B14435" t="s">
        <v>2104</v>
      </c>
      <c r="C14435" t="s">
        <v>2105</v>
      </c>
      <c r="D14435" t="s">
        <v>49759</v>
      </c>
      <c r="E14435">
        <v>424020</v>
      </c>
      <c r="F14435" t="s">
        <v>1</v>
      </c>
      <c r="G14435" t="s">
        <v>2</v>
      </c>
      <c r="H14435" t="s">
        <v>19901</v>
      </c>
      <c r="I14435" t="s">
        <v>49760</v>
      </c>
      <c r="P14435" t="s">
        <v>1642</v>
      </c>
      <c r="Q14435" t="s">
        <v>49761</v>
      </c>
      <c r="Y14435" t="s">
        <v>49762</v>
      </c>
    </row>
    <row r="14436" spans="1:25" x14ac:dyDescent="0.25">
      <c r="A14436" t="str">
        <f>"240472171604"</f>
        <v>240472171604</v>
      </c>
      <c r="B14436" t="s">
        <v>797</v>
      </c>
      <c r="C14436" t="s">
        <v>5123</v>
      </c>
      <c r="D14436" t="s">
        <v>31971</v>
      </c>
      <c r="E14436">
        <v>424000</v>
      </c>
      <c r="F14436" t="s">
        <v>1</v>
      </c>
      <c r="G14436" t="s">
        <v>2</v>
      </c>
      <c r="H14436" t="s">
        <v>1531</v>
      </c>
      <c r="J14436" t="s">
        <v>26382</v>
      </c>
      <c r="P14436" t="s">
        <v>4487</v>
      </c>
      <c r="Y14436" t="s">
        <v>1707</v>
      </c>
    </row>
    <row r="14437" spans="1:25" x14ac:dyDescent="0.25">
      <c r="A14437" t="str">
        <f>"240501930317"</f>
        <v>240501930317</v>
      </c>
      <c r="B14437" t="s">
        <v>18</v>
      </c>
      <c r="C14437" t="s">
        <v>49764</v>
      </c>
      <c r="D14437" t="s">
        <v>28927</v>
      </c>
      <c r="E14437">
        <v>424019</v>
      </c>
      <c r="F14437" t="s">
        <v>1</v>
      </c>
      <c r="G14437" t="s">
        <v>2</v>
      </c>
      <c r="H14437" t="s">
        <v>15506</v>
      </c>
      <c r="J14437" t="s">
        <v>49763</v>
      </c>
      <c r="P14437" t="s">
        <v>3456</v>
      </c>
      <c r="Y14437" t="s">
        <v>49765</v>
      </c>
    </row>
    <row r="14438" spans="1:25" x14ac:dyDescent="0.25">
      <c r="A14438" t="str">
        <f>"240527772461"</f>
        <v>240527772461</v>
      </c>
      <c r="B14438" t="s">
        <v>18</v>
      </c>
      <c r="C14438" t="s">
        <v>10579</v>
      </c>
      <c r="D14438" t="s">
        <v>49766</v>
      </c>
      <c r="E14438">
        <v>424004</v>
      </c>
      <c r="F14438" t="s">
        <v>1</v>
      </c>
      <c r="G14438" t="s">
        <v>2</v>
      </c>
      <c r="H14438" t="s">
        <v>4324</v>
      </c>
      <c r="Y14438" t="s">
        <v>49767</v>
      </c>
    </row>
    <row r="14439" spans="1:25" x14ac:dyDescent="0.25">
      <c r="A14439" t="str">
        <f>"240559639874"</f>
        <v>240559639874</v>
      </c>
      <c r="B14439" t="s">
        <v>224</v>
      </c>
      <c r="C14439" t="s">
        <v>3240</v>
      </c>
      <c r="D14439" t="s">
        <v>43486</v>
      </c>
      <c r="E14439">
        <v>424026</v>
      </c>
      <c r="F14439" t="s">
        <v>1</v>
      </c>
      <c r="G14439" t="s">
        <v>2</v>
      </c>
      <c r="H14439" t="s">
        <v>31190</v>
      </c>
      <c r="J14439" t="s">
        <v>49768</v>
      </c>
      <c r="P14439" t="s">
        <v>2280</v>
      </c>
      <c r="Y14439" t="s">
        <v>6422</v>
      </c>
    </row>
    <row r="14440" spans="1:25" x14ac:dyDescent="0.25">
      <c r="A14440" t="str">
        <f>"240562741298"</f>
        <v>240562741298</v>
      </c>
      <c r="B14440" t="s">
        <v>7</v>
      </c>
      <c r="C14440" t="s">
        <v>49770</v>
      </c>
      <c r="D14440" t="s">
        <v>49769</v>
      </c>
      <c r="E14440">
        <v>424038</v>
      </c>
      <c r="F14440" t="s">
        <v>1</v>
      </c>
      <c r="G14440" t="s">
        <v>2</v>
      </c>
      <c r="H14440" t="s">
        <v>1366</v>
      </c>
      <c r="P14440" t="s">
        <v>27</v>
      </c>
      <c r="Y14440" t="s">
        <v>7381</v>
      </c>
    </row>
    <row r="14441" spans="1:25" x14ac:dyDescent="0.25">
      <c r="A14441" t="str">
        <f>"240588790934"</f>
        <v>240588790934</v>
      </c>
      <c r="B14441" t="s">
        <v>530</v>
      </c>
      <c r="C14441" t="s">
        <v>23950</v>
      </c>
      <c r="D14441" t="s">
        <v>23950</v>
      </c>
      <c r="E14441">
        <v>424037</v>
      </c>
      <c r="F14441" t="s">
        <v>1</v>
      </c>
      <c r="G14441" t="s">
        <v>2</v>
      </c>
      <c r="H14441" t="s">
        <v>49771</v>
      </c>
      <c r="Y14441" t="s">
        <v>49772</v>
      </c>
    </row>
    <row r="14442" spans="1:25" x14ac:dyDescent="0.25">
      <c r="A14442" t="str">
        <f>"240594162246"</f>
        <v>240594162246</v>
      </c>
      <c r="B14442" t="s">
        <v>96</v>
      </c>
      <c r="C14442" t="s">
        <v>20353</v>
      </c>
      <c r="D14442" t="s">
        <v>39184</v>
      </c>
      <c r="E14442">
        <v>424000</v>
      </c>
      <c r="F14442" t="s">
        <v>1</v>
      </c>
      <c r="G14442" t="s">
        <v>2</v>
      </c>
      <c r="H14442" t="s">
        <v>1531</v>
      </c>
      <c r="Y14442" t="s">
        <v>1707</v>
      </c>
    </row>
    <row r="14443" spans="1:25" x14ac:dyDescent="0.25">
      <c r="A14443" t="str">
        <f>"240618974539"</f>
        <v>240618974539</v>
      </c>
      <c r="B14443" t="s">
        <v>1046</v>
      </c>
      <c r="C14443" t="s">
        <v>26517</v>
      </c>
      <c r="D14443" t="s">
        <v>26516</v>
      </c>
      <c r="F14443" t="s">
        <v>1</v>
      </c>
      <c r="G14443" t="s">
        <v>2</v>
      </c>
      <c r="H14443" t="s">
        <v>8464</v>
      </c>
      <c r="Y14443" t="s">
        <v>49773</v>
      </c>
    </row>
    <row r="14444" spans="1:25" x14ac:dyDescent="0.25">
      <c r="A14444" t="str">
        <f>"240621999298"</f>
        <v>240621999298</v>
      </c>
      <c r="B14444" t="s">
        <v>319</v>
      </c>
      <c r="C14444" t="s">
        <v>320</v>
      </c>
      <c r="D14444" t="s">
        <v>32261</v>
      </c>
      <c r="E14444">
        <v>424028</v>
      </c>
      <c r="F14444" t="s">
        <v>1</v>
      </c>
      <c r="G14444" t="s">
        <v>2</v>
      </c>
      <c r="H14444" t="s">
        <v>29140</v>
      </c>
      <c r="I14444" t="s">
        <v>49774</v>
      </c>
      <c r="L14444" t="s">
        <v>2559</v>
      </c>
      <c r="M14444" t="s">
        <v>17901</v>
      </c>
      <c r="P14444" t="s">
        <v>49775</v>
      </c>
      <c r="Y14444" t="s">
        <v>49776</v>
      </c>
    </row>
    <row r="14445" spans="1:25" x14ac:dyDescent="0.25">
      <c r="A14445" t="str">
        <f>"240631140709"</f>
        <v>240631140709</v>
      </c>
      <c r="B14445" t="s">
        <v>1152</v>
      </c>
      <c r="C14445" t="s">
        <v>1153</v>
      </c>
      <c r="D14445" t="s">
        <v>49777</v>
      </c>
      <c r="E14445">
        <v>424000</v>
      </c>
      <c r="F14445" t="s">
        <v>1</v>
      </c>
      <c r="G14445" t="s">
        <v>2</v>
      </c>
      <c r="H14445" t="s">
        <v>11086</v>
      </c>
      <c r="Y14445" t="s">
        <v>36013</v>
      </c>
    </row>
    <row r="14446" spans="1:25" x14ac:dyDescent="0.25">
      <c r="A14446" t="str">
        <f>"240634611860"</f>
        <v>240634611860</v>
      </c>
      <c r="B14446" t="s">
        <v>2790</v>
      </c>
      <c r="C14446" t="s">
        <v>3528</v>
      </c>
      <c r="D14446" t="s">
        <v>49778</v>
      </c>
      <c r="E14446">
        <v>424033</v>
      </c>
      <c r="F14446" t="s">
        <v>1</v>
      </c>
      <c r="G14446" t="s">
        <v>2</v>
      </c>
      <c r="H14446" t="s">
        <v>22290</v>
      </c>
      <c r="P14446" t="s">
        <v>312</v>
      </c>
      <c r="Y14446" t="s">
        <v>49779</v>
      </c>
    </row>
    <row r="14447" spans="1:25" x14ac:dyDescent="0.25">
      <c r="A14447" t="str">
        <f>"240640402578"</f>
        <v>240640402578</v>
      </c>
      <c r="B14447" t="s">
        <v>2104</v>
      </c>
      <c r="C14447" t="s">
        <v>11739</v>
      </c>
      <c r="D14447" t="s">
        <v>49780</v>
      </c>
      <c r="E14447">
        <v>424002</v>
      </c>
      <c r="F14447" t="s">
        <v>1</v>
      </c>
      <c r="G14447" t="s">
        <v>2</v>
      </c>
      <c r="H14447" t="s">
        <v>5162</v>
      </c>
      <c r="Y14447" t="s">
        <v>5931</v>
      </c>
    </row>
    <row r="14448" spans="1:25" x14ac:dyDescent="0.25">
      <c r="A14448" t="str">
        <f>"240645470633"</f>
        <v>240645470633</v>
      </c>
      <c r="B14448" t="s">
        <v>930</v>
      </c>
      <c r="C14448" t="s">
        <v>17187</v>
      </c>
      <c r="D14448" t="s">
        <v>49781</v>
      </c>
      <c r="F14448" t="s">
        <v>1</v>
      </c>
      <c r="G14448" t="s">
        <v>2</v>
      </c>
      <c r="H14448" t="s">
        <v>6026</v>
      </c>
      <c r="I14448" t="s">
        <v>49782</v>
      </c>
      <c r="J14448" t="s">
        <v>49783</v>
      </c>
      <c r="P14448" t="s">
        <v>34</v>
      </c>
      <c r="Y14448" t="s">
        <v>21228</v>
      </c>
    </row>
    <row r="14449" spans="1:25" x14ac:dyDescent="0.25">
      <c r="A14449" t="str">
        <f>"240657316169"</f>
        <v>240657316169</v>
      </c>
      <c r="B14449" t="s">
        <v>25</v>
      </c>
      <c r="C14449" t="s">
        <v>59</v>
      </c>
      <c r="D14449" t="s">
        <v>49784</v>
      </c>
      <c r="E14449">
        <v>424000</v>
      </c>
      <c r="F14449" t="s">
        <v>1</v>
      </c>
      <c r="G14449" t="s">
        <v>2</v>
      </c>
      <c r="H14449" t="s">
        <v>404</v>
      </c>
      <c r="J14449" t="s">
        <v>7871</v>
      </c>
      <c r="L14449" t="s">
        <v>36377</v>
      </c>
      <c r="M14449" t="s">
        <v>49785</v>
      </c>
      <c r="Y14449" t="s">
        <v>5477</v>
      </c>
    </row>
    <row r="14450" spans="1:25" x14ac:dyDescent="0.25">
      <c r="A14450" t="str">
        <f>"240662074161"</f>
        <v>240662074161</v>
      </c>
      <c r="B14450" t="s">
        <v>290</v>
      </c>
      <c r="C14450" t="s">
        <v>291</v>
      </c>
      <c r="D14450" t="s">
        <v>35831</v>
      </c>
      <c r="E14450">
        <v>424020</v>
      </c>
      <c r="F14450" t="s">
        <v>1</v>
      </c>
      <c r="G14450" t="s">
        <v>2</v>
      </c>
      <c r="H14450" t="s">
        <v>23</v>
      </c>
      <c r="P14450" t="s">
        <v>330</v>
      </c>
      <c r="Y14450" t="s">
        <v>49786</v>
      </c>
    </row>
    <row r="14451" spans="1:25" x14ac:dyDescent="0.25">
      <c r="A14451" t="str">
        <f>"240691467582"</f>
        <v>240691467582</v>
      </c>
      <c r="B14451" t="s">
        <v>456</v>
      </c>
      <c r="C14451" t="s">
        <v>49790</v>
      </c>
      <c r="D14451" t="s">
        <v>49787</v>
      </c>
      <c r="F14451" t="s">
        <v>1</v>
      </c>
      <c r="G14451" t="s">
        <v>2</v>
      </c>
      <c r="H14451" t="s">
        <v>3984</v>
      </c>
      <c r="J14451" t="s">
        <v>49788</v>
      </c>
      <c r="L14451" t="s">
        <v>49789</v>
      </c>
      <c r="P14451" t="s">
        <v>27</v>
      </c>
      <c r="Y14451" t="s">
        <v>4409</v>
      </c>
    </row>
    <row r="14452" spans="1:25" x14ac:dyDescent="0.25">
      <c r="A14452" t="str">
        <f>"240742280988"</f>
        <v>240742280988</v>
      </c>
      <c r="B14452" t="s">
        <v>1573</v>
      </c>
      <c r="C14452" t="s">
        <v>11019</v>
      </c>
      <c r="D14452" t="s">
        <v>49791</v>
      </c>
      <c r="E14452">
        <v>424002</v>
      </c>
      <c r="F14452" t="s">
        <v>1</v>
      </c>
      <c r="G14452" t="s">
        <v>2</v>
      </c>
      <c r="H14452" t="s">
        <v>24050</v>
      </c>
      <c r="I14452" t="s">
        <v>49792</v>
      </c>
      <c r="L14452" t="s">
        <v>49793</v>
      </c>
      <c r="M14452" t="s">
        <v>49794</v>
      </c>
      <c r="Y14452" t="s">
        <v>24052</v>
      </c>
    </row>
    <row r="14453" spans="1:25" x14ac:dyDescent="0.25">
      <c r="A14453" t="str">
        <f>"240793933964"</f>
        <v>240793933964</v>
      </c>
      <c r="B14453" t="s">
        <v>18</v>
      </c>
      <c r="C14453" t="s">
        <v>959</v>
      </c>
      <c r="D14453" t="s">
        <v>49795</v>
      </c>
      <c r="E14453">
        <v>424000</v>
      </c>
      <c r="F14453" t="s">
        <v>1</v>
      </c>
      <c r="G14453" t="s">
        <v>2</v>
      </c>
      <c r="H14453" t="s">
        <v>1531</v>
      </c>
      <c r="I14453" t="s">
        <v>49796</v>
      </c>
      <c r="P14453" t="s">
        <v>49797</v>
      </c>
      <c r="Y14453" t="s">
        <v>1707</v>
      </c>
    </row>
    <row r="14454" spans="1:25" x14ac:dyDescent="0.25">
      <c r="A14454" t="str">
        <f>"240821182771"</f>
        <v>240821182771</v>
      </c>
      <c r="B14454" t="s">
        <v>397</v>
      </c>
      <c r="C14454" t="s">
        <v>15205</v>
      </c>
      <c r="D14454" t="s">
        <v>49798</v>
      </c>
      <c r="E14454">
        <v>424040</v>
      </c>
      <c r="F14454" t="s">
        <v>1</v>
      </c>
      <c r="G14454" t="s">
        <v>2</v>
      </c>
      <c r="H14454" t="s">
        <v>7038</v>
      </c>
      <c r="Y14454" t="s">
        <v>48847</v>
      </c>
    </row>
    <row r="14455" spans="1:25" x14ac:dyDescent="0.25">
      <c r="A14455" t="str">
        <f>"240845515793"</f>
        <v>240845515793</v>
      </c>
      <c r="B14455" t="s">
        <v>32</v>
      </c>
      <c r="C14455" t="s">
        <v>40</v>
      </c>
      <c r="D14455" t="s">
        <v>40</v>
      </c>
      <c r="F14455" t="s">
        <v>1</v>
      </c>
      <c r="G14455" t="s">
        <v>2</v>
      </c>
      <c r="H14455" t="s">
        <v>49799</v>
      </c>
      <c r="Y14455" t="s">
        <v>49800</v>
      </c>
    </row>
    <row r="14456" spans="1:25" x14ac:dyDescent="0.25">
      <c r="A14456" t="str">
        <f>"240960140196"</f>
        <v>240960140196</v>
      </c>
      <c r="B14456" t="s">
        <v>32</v>
      </c>
      <c r="C14456" t="s">
        <v>40</v>
      </c>
      <c r="D14456" t="s">
        <v>2733</v>
      </c>
      <c r="E14456">
        <v>424000</v>
      </c>
      <c r="F14456" t="s">
        <v>1</v>
      </c>
      <c r="G14456" t="s">
        <v>2</v>
      </c>
      <c r="H14456" t="s">
        <v>3749</v>
      </c>
      <c r="I14456" t="s">
        <v>49801</v>
      </c>
      <c r="P14456" t="s">
        <v>1027</v>
      </c>
      <c r="Y14456" t="s">
        <v>49802</v>
      </c>
    </row>
    <row r="14457" spans="1:25" x14ac:dyDescent="0.25">
      <c r="A14457" t="str">
        <f>"241026350256"</f>
        <v>241026350256</v>
      </c>
      <c r="B14457" t="s">
        <v>96</v>
      </c>
      <c r="C14457" t="s">
        <v>8578</v>
      </c>
      <c r="D14457" t="s">
        <v>49803</v>
      </c>
      <c r="E14457">
        <v>424032</v>
      </c>
      <c r="F14457" t="s">
        <v>1</v>
      </c>
      <c r="G14457" t="s">
        <v>2</v>
      </c>
      <c r="H14457" t="s">
        <v>2250</v>
      </c>
      <c r="Y14457" t="s">
        <v>49804</v>
      </c>
    </row>
    <row r="14458" spans="1:25" x14ac:dyDescent="0.25">
      <c r="A14458" t="str">
        <f>"241041348011"</f>
        <v>241041348011</v>
      </c>
      <c r="B14458" t="s">
        <v>1758</v>
      </c>
      <c r="C14458" t="s">
        <v>36526</v>
      </c>
      <c r="D14458" t="s">
        <v>49805</v>
      </c>
      <c r="E14458">
        <v>424008</v>
      </c>
      <c r="F14458" t="s">
        <v>1</v>
      </c>
      <c r="G14458" t="s">
        <v>2</v>
      </c>
      <c r="H14458" t="s">
        <v>1862</v>
      </c>
      <c r="J14458" t="s">
        <v>49806</v>
      </c>
      <c r="L14458" t="s">
        <v>49807</v>
      </c>
      <c r="M14458" t="s">
        <v>49808</v>
      </c>
      <c r="P14458" t="s">
        <v>941</v>
      </c>
      <c r="Q14458" t="s">
        <v>49809</v>
      </c>
      <c r="V14458" t="s">
        <v>49810</v>
      </c>
      <c r="Y14458" t="s">
        <v>3870</v>
      </c>
    </row>
    <row r="14459" spans="1:25" x14ac:dyDescent="0.25">
      <c r="A14459" t="str">
        <f>"241049017298"</f>
        <v>241049017298</v>
      </c>
      <c r="B14459" t="s">
        <v>25</v>
      </c>
      <c r="C14459" t="s">
        <v>1005</v>
      </c>
      <c r="D14459" t="s">
        <v>49811</v>
      </c>
      <c r="E14459">
        <v>424020</v>
      </c>
      <c r="F14459" t="s">
        <v>1</v>
      </c>
      <c r="G14459" t="s">
        <v>2</v>
      </c>
      <c r="H14459" t="s">
        <v>1997</v>
      </c>
      <c r="I14459" t="s">
        <v>34423</v>
      </c>
      <c r="J14459" t="s">
        <v>48951</v>
      </c>
      <c r="L14459" t="s">
        <v>49812</v>
      </c>
      <c r="P14459" t="s">
        <v>280</v>
      </c>
      <c r="Y14459" t="s">
        <v>1999</v>
      </c>
    </row>
    <row r="14460" spans="1:25" x14ac:dyDescent="0.25">
      <c r="A14460" t="str">
        <f>"241064480256"</f>
        <v>241064480256</v>
      </c>
      <c r="B14460" t="s">
        <v>1053</v>
      </c>
      <c r="C14460" t="s">
        <v>1927</v>
      </c>
      <c r="D14460" t="s">
        <v>49813</v>
      </c>
      <c r="F14460" t="s">
        <v>1</v>
      </c>
      <c r="G14460" t="s">
        <v>2</v>
      </c>
      <c r="H14460" t="s">
        <v>1600</v>
      </c>
      <c r="L14460" t="s">
        <v>21478</v>
      </c>
      <c r="M14460" t="s">
        <v>21479</v>
      </c>
      <c r="Y14460" t="s">
        <v>49814</v>
      </c>
    </row>
    <row r="14461" spans="1:25" x14ac:dyDescent="0.25">
      <c r="A14461" t="str">
        <f>"241082195056"</f>
        <v>241082195056</v>
      </c>
      <c r="B14461" t="s">
        <v>2104</v>
      </c>
      <c r="C14461" t="s">
        <v>2105</v>
      </c>
      <c r="D14461" t="s">
        <v>45137</v>
      </c>
      <c r="E14461">
        <v>424006</v>
      </c>
      <c r="F14461" t="s">
        <v>1</v>
      </c>
      <c r="G14461" t="s">
        <v>2</v>
      </c>
      <c r="H14461" t="s">
        <v>1890</v>
      </c>
      <c r="Y14461" t="s">
        <v>1893</v>
      </c>
    </row>
    <row r="14462" spans="1:25" x14ac:dyDescent="0.25">
      <c r="A14462" t="str">
        <f>"241107809572"</f>
        <v>241107809572</v>
      </c>
      <c r="B14462" t="s">
        <v>888</v>
      </c>
      <c r="C14462" t="s">
        <v>888</v>
      </c>
      <c r="D14462" t="s">
        <v>49815</v>
      </c>
      <c r="E14462">
        <v>424002</v>
      </c>
      <c r="F14462" t="s">
        <v>1</v>
      </c>
      <c r="G14462" t="s">
        <v>2</v>
      </c>
      <c r="H14462" t="s">
        <v>11889</v>
      </c>
      <c r="Y14462" t="s">
        <v>49816</v>
      </c>
    </row>
    <row r="14463" spans="1:25" x14ac:dyDescent="0.25">
      <c r="A14463" t="str">
        <f>"241145291269"</f>
        <v>241145291269</v>
      </c>
      <c r="B14463" t="s">
        <v>117</v>
      </c>
      <c r="C14463" t="s">
        <v>118</v>
      </c>
      <c r="D14463" t="s">
        <v>49817</v>
      </c>
      <c r="E14463">
        <v>424032</v>
      </c>
      <c r="F14463" t="s">
        <v>1</v>
      </c>
      <c r="G14463" t="s">
        <v>2</v>
      </c>
      <c r="H14463" t="s">
        <v>5699</v>
      </c>
      <c r="Y14463" t="s">
        <v>49818</v>
      </c>
    </row>
    <row r="14464" spans="1:25" x14ac:dyDescent="0.25">
      <c r="A14464" t="str">
        <f>"241176499416"</f>
        <v>241176499416</v>
      </c>
      <c r="B14464" t="s">
        <v>96</v>
      </c>
      <c r="C14464" t="s">
        <v>3621</v>
      </c>
      <c r="D14464" t="s">
        <v>25761</v>
      </c>
      <c r="E14464">
        <v>424002</v>
      </c>
      <c r="F14464" t="s">
        <v>1</v>
      </c>
      <c r="G14464" t="s">
        <v>2</v>
      </c>
      <c r="H14464" t="s">
        <v>3864</v>
      </c>
      <c r="P14464" t="s">
        <v>941</v>
      </c>
      <c r="Q14464" t="s">
        <v>49819</v>
      </c>
      <c r="Y14464" t="s">
        <v>3867</v>
      </c>
    </row>
    <row r="14465" spans="1:25" x14ac:dyDescent="0.25">
      <c r="A14465" t="str">
        <f>"241194562266"</f>
        <v>241194562266</v>
      </c>
      <c r="B14465" t="s">
        <v>574</v>
      </c>
      <c r="C14465" t="s">
        <v>646</v>
      </c>
      <c r="D14465" t="s">
        <v>4221</v>
      </c>
      <c r="E14465">
        <v>424030</v>
      </c>
      <c r="F14465" t="s">
        <v>1</v>
      </c>
      <c r="G14465" t="s">
        <v>2</v>
      </c>
      <c r="H14465" t="s">
        <v>10204</v>
      </c>
      <c r="P14465" t="s">
        <v>26241</v>
      </c>
      <c r="Y14465" t="s">
        <v>49820</v>
      </c>
    </row>
    <row r="14466" spans="1:25" x14ac:dyDescent="0.25">
      <c r="A14466" t="str">
        <f>"241217403562"</f>
        <v>241217403562</v>
      </c>
      <c r="B14466" t="s">
        <v>160</v>
      </c>
      <c r="C14466" t="s">
        <v>15654</v>
      </c>
      <c r="D14466" t="s">
        <v>49821</v>
      </c>
      <c r="E14466">
        <v>424031</v>
      </c>
      <c r="F14466" t="s">
        <v>1</v>
      </c>
      <c r="G14466" t="s">
        <v>2</v>
      </c>
      <c r="H14466" t="s">
        <v>13460</v>
      </c>
      <c r="P14466" t="s">
        <v>26318</v>
      </c>
      <c r="Y14466" t="s">
        <v>49822</v>
      </c>
    </row>
    <row r="14467" spans="1:25" x14ac:dyDescent="0.25">
      <c r="A14467" t="str">
        <f>"241244796374"</f>
        <v>241244796374</v>
      </c>
      <c r="B14467" t="s">
        <v>371</v>
      </c>
      <c r="C14467" t="s">
        <v>49824</v>
      </c>
      <c r="D14467" t="s">
        <v>49823</v>
      </c>
      <c r="F14467" t="s">
        <v>1</v>
      </c>
      <c r="G14467" t="s">
        <v>2</v>
      </c>
      <c r="H14467" t="s">
        <v>39506</v>
      </c>
      <c r="T14467" t="s">
        <v>49825</v>
      </c>
      <c r="Y14467" t="s">
        <v>44062</v>
      </c>
    </row>
    <row r="14468" spans="1:25" x14ac:dyDescent="0.25">
      <c r="A14468" t="str">
        <f>"241258197130"</f>
        <v>241258197130</v>
      </c>
      <c r="B14468" t="s">
        <v>1604</v>
      </c>
      <c r="C14468" t="s">
        <v>36926</v>
      </c>
      <c r="D14468" t="s">
        <v>49826</v>
      </c>
      <c r="E14468">
        <v>424000</v>
      </c>
      <c r="F14468" t="s">
        <v>1</v>
      </c>
      <c r="G14468" t="s">
        <v>2</v>
      </c>
      <c r="H14468" t="s">
        <v>333</v>
      </c>
      <c r="L14468" t="s">
        <v>10993</v>
      </c>
      <c r="P14468" t="s">
        <v>49827</v>
      </c>
      <c r="Y14468" t="s">
        <v>49828</v>
      </c>
    </row>
    <row r="14469" spans="1:25" x14ac:dyDescent="0.25">
      <c r="A14469" t="str">
        <f>"241276496286"</f>
        <v>241276496286</v>
      </c>
      <c r="B14469" t="s">
        <v>188</v>
      </c>
      <c r="C14469" t="s">
        <v>49835</v>
      </c>
      <c r="D14469" t="s">
        <v>49829</v>
      </c>
      <c r="E14469">
        <v>125445</v>
      </c>
      <c r="F14469" t="s">
        <v>1</v>
      </c>
      <c r="G14469" t="s">
        <v>2</v>
      </c>
      <c r="H14469" t="s">
        <v>49830</v>
      </c>
      <c r="I14469" t="s">
        <v>49831</v>
      </c>
      <c r="J14469" t="s">
        <v>49832</v>
      </c>
      <c r="L14469" t="s">
        <v>49833</v>
      </c>
      <c r="M14469" t="s">
        <v>49834</v>
      </c>
      <c r="P14469" t="s">
        <v>2738</v>
      </c>
      <c r="Y14469" t="s">
        <v>49836</v>
      </c>
    </row>
    <row r="14470" spans="1:25" x14ac:dyDescent="0.25">
      <c r="A14470" t="str">
        <f>"241306931317"</f>
        <v>241306931317</v>
      </c>
      <c r="B14470" t="s">
        <v>538</v>
      </c>
      <c r="C14470" t="s">
        <v>49842</v>
      </c>
      <c r="D14470" t="s">
        <v>49837</v>
      </c>
      <c r="E14470">
        <v>424005</v>
      </c>
      <c r="F14470" t="s">
        <v>1</v>
      </c>
      <c r="G14470" t="s">
        <v>2</v>
      </c>
      <c r="H14470" t="s">
        <v>49838</v>
      </c>
      <c r="I14470" t="s">
        <v>49839</v>
      </c>
      <c r="L14470" t="s">
        <v>49840</v>
      </c>
      <c r="M14470" t="s">
        <v>49841</v>
      </c>
      <c r="P14470" t="s">
        <v>2580</v>
      </c>
      <c r="Y14470" t="s">
        <v>49843</v>
      </c>
    </row>
    <row r="14471" spans="1:25" x14ac:dyDescent="0.25">
      <c r="A14471" t="str">
        <f>"241318629449"</f>
        <v>241318629449</v>
      </c>
      <c r="B14471" t="s">
        <v>930</v>
      </c>
      <c r="C14471" t="s">
        <v>6070</v>
      </c>
      <c r="D14471" t="s">
        <v>5865</v>
      </c>
      <c r="E14471">
        <v>424007</v>
      </c>
      <c r="F14471" t="s">
        <v>1</v>
      </c>
      <c r="G14471" t="s">
        <v>2</v>
      </c>
      <c r="H14471" t="s">
        <v>2460</v>
      </c>
      <c r="I14471" t="s">
        <v>29065</v>
      </c>
      <c r="L14471" t="s">
        <v>49844</v>
      </c>
      <c r="P14471" t="s">
        <v>330</v>
      </c>
      <c r="Y14471" t="s">
        <v>2463</v>
      </c>
    </row>
    <row r="14472" spans="1:25" x14ac:dyDescent="0.25">
      <c r="A14472" t="str">
        <f>"241337155422"</f>
        <v>241337155422</v>
      </c>
      <c r="B14472" t="s">
        <v>176</v>
      </c>
      <c r="C14472" t="s">
        <v>27547</v>
      </c>
      <c r="D14472" t="s">
        <v>27545</v>
      </c>
      <c r="F14472" t="s">
        <v>1</v>
      </c>
      <c r="G14472" t="s">
        <v>2</v>
      </c>
      <c r="H14472" t="s">
        <v>49845</v>
      </c>
      <c r="Y14472" t="s">
        <v>49846</v>
      </c>
    </row>
    <row r="14473" spans="1:25" x14ac:dyDescent="0.25">
      <c r="A14473" t="str">
        <f>"241380577769"</f>
        <v>241380577769</v>
      </c>
      <c r="B14473" t="s">
        <v>530</v>
      </c>
      <c r="C14473" t="s">
        <v>23950</v>
      </c>
      <c r="D14473" t="s">
        <v>23950</v>
      </c>
      <c r="F14473" t="s">
        <v>1</v>
      </c>
      <c r="G14473" t="s">
        <v>2</v>
      </c>
      <c r="H14473" t="s">
        <v>28306</v>
      </c>
      <c r="Y14473" t="s">
        <v>49847</v>
      </c>
    </row>
    <row r="14474" spans="1:25" x14ac:dyDescent="0.25">
      <c r="A14474" t="str">
        <f>"241432549302"</f>
        <v>241432549302</v>
      </c>
      <c r="B14474" t="s">
        <v>117</v>
      </c>
      <c r="C14474" t="s">
        <v>118</v>
      </c>
      <c r="D14474" t="s">
        <v>49848</v>
      </c>
      <c r="E14474">
        <v>424003</v>
      </c>
      <c r="F14474" t="s">
        <v>1</v>
      </c>
      <c r="G14474" t="s">
        <v>2</v>
      </c>
      <c r="H14474" t="s">
        <v>23765</v>
      </c>
      <c r="Y14474" t="s">
        <v>49849</v>
      </c>
    </row>
    <row r="14475" spans="1:25" x14ac:dyDescent="0.25">
      <c r="A14475" t="str">
        <f>"241460718167"</f>
        <v>241460718167</v>
      </c>
      <c r="B14475" t="s">
        <v>96</v>
      </c>
      <c r="C14475" t="s">
        <v>695</v>
      </c>
      <c r="D14475" t="s">
        <v>12115</v>
      </c>
      <c r="E14475">
        <v>424033</v>
      </c>
      <c r="F14475" t="s">
        <v>1</v>
      </c>
      <c r="G14475" t="s">
        <v>2</v>
      </c>
      <c r="H14475" t="s">
        <v>6875</v>
      </c>
      <c r="I14475" t="s">
        <v>49850</v>
      </c>
      <c r="P14475" t="s">
        <v>2580</v>
      </c>
      <c r="Y14475" t="s">
        <v>49851</v>
      </c>
    </row>
    <row r="14476" spans="1:25" x14ac:dyDescent="0.25">
      <c r="A14476" t="str">
        <f>"241474952670"</f>
        <v>241474952670</v>
      </c>
      <c r="B14476" t="s">
        <v>574</v>
      </c>
      <c r="C14476" t="s">
        <v>646</v>
      </c>
      <c r="D14476" t="s">
        <v>27085</v>
      </c>
      <c r="E14476">
        <v>424007</v>
      </c>
      <c r="F14476" t="s">
        <v>1</v>
      </c>
      <c r="G14476" t="s">
        <v>2</v>
      </c>
      <c r="H14476" t="s">
        <v>4666</v>
      </c>
      <c r="P14476" t="s">
        <v>7826</v>
      </c>
      <c r="Y14476" t="s">
        <v>49852</v>
      </c>
    </row>
    <row r="14477" spans="1:25" x14ac:dyDescent="0.25">
      <c r="A14477" t="str">
        <f>"241478080176"</f>
        <v>241478080176</v>
      </c>
      <c r="B14477" t="s">
        <v>1611</v>
      </c>
      <c r="C14477" t="s">
        <v>3218</v>
      </c>
      <c r="D14477" t="s">
        <v>49853</v>
      </c>
      <c r="E14477">
        <v>424031</v>
      </c>
      <c r="F14477" t="s">
        <v>1</v>
      </c>
      <c r="G14477" t="s">
        <v>2</v>
      </c>
      <c r="H14477" t="s">
        <v>20058</v>
      </c>
      <c r="Y14477" t="s">
        <v>20062</v>
      </c>
    </row>
    <row r="14478" spans="1:25" x14ac:dyDescent="0.25">
      <c r="A14478" t="str">
        <f>"241516336920"</f>
        <v>241516336920</v>
      </c>
      <c r="B14478" t="s">
        <v>624</v>
      </c>
      <c r="C14478" t="s">
        <v>1637</v>
      </c>
      <c r="D14478" t="s">
        <v>11948</v>
      </c>
      <c r="E14478">
        <v>424006</v>
      </c>
      <c r="F14478" t="s">
        <v>1</v>
      </c>
      <c r="G14478" t="s">
        <v>2</v>
      </c>
      <c r="H14478" t="s">
        <v>8622</v>
      </c>
      <c r="J14478" t="s">
        <v>49854</v>
      </c>
      <c r="P14478" t="s">
        <v>330</v>
      </c>
      <c r="Y14478" t="s">
        <v>8866</v>
      </c>
    </row>
    <row r="14479" spans="1:25" x14ac:dyDescent="0.25">
      <c r="A14479" t="str">
        <f>"241527768031"</f>
        <v>241527768031</v>
      </c>
      <c r="B14479" t="s">
        <v>930</v>
      </c>
      <c r="C14479" t="s">
        <v>12649</v>
      </c>
      <c r="D14479" t="s">
        <v>49855</v>
      </c>
      <c r="F14479" t="s">
        <v>1</v>
      </c>
      <c r="G14479" t="s">
        <v>2</v>
      </c>
      <c r="H14479" t="s">
        <v>12610</v>
      </c>
      <c r="I14479" t="s">
        <v>49856</v>
      </c>
      <c r="J14479" t="s">
        <v>49857</v>
      </c>
      <c r="P14479" t="s">
        <v>7390</v>
      </c>
      <c r="Q14479" t="s">
        <v>49858</v>
      </c>
      <c r="Y14479" t="s">
        <v>26184</v>
      </c>
    </row>
    <row r="14480" spans="1:25" x14ac:dyDescent="0.25">
      <c r="A14480" t="str">
        <f>"241545237651"</f>
        <v>241545237651</v>
      </c>
      <c r="B14480" t="s">
        <v>519</v>
      </c>
      <c r="C14480" t="s">
        <v>25132</v>
      </c>
      <c r="D14480" t="s">
        <v>49859</v>
      </c>
      <c r="E14480">
        <v>424005</v>
      </c>
      <c r="F14480" t="s">
        <v>1</v>
      </c>
      <c r="G14480" t="s">
        <v>2</v>
      </c>
      <c r="H14480" t="s">
        <v>3042</v>
      </c>
      <c r="I14480" t="s">
        <v>25131</v>
      </c>
      <c r="J14480" t="s">
        <v>49860</v>
      </c>
      <c r="P14480" t="s">
        <v>330</v>
      </c>
      <c r="Y14480" t="s">
        <v>16045</v>
      </c>
    </row>
    <row r="14481" spans="1:25" x14ac:dyDescent="0.25">
      <c r="A14481" t="str">
        <f>"241620105789"</f>
        <v>241620105789</v>
      </c>
      <c r="B14481" t="s">
        <v>530</v>
      </c>
      <c r="C14481" t="s">
        <v>23950</v>
      </c>
      <c r="D14481" t="s">
        <v>23950</v>
      </c>
      <c r="F14481" t="s">
        <v>1</v>
      </c>
      <c r="G14481" t="s">
        <v>2</v>
      </c>
      <c r="H14481" t="s">
        <v>33523</v>
      </c>
      <c r="Y14481" t="s">
        <v>49861</v>
      </c>
    </row>
    <row r="14482" spans="1:25" x14ac:dyDescent="0.25">
      <c r="A14482" t="str">
        <f>"241647389709"</f>
        <v>241647389709</v>
      </c>
      <c r="B14482" t="s">
        <v>176</v>
      </c>
      <c r="C14482" t="s">
        <v>566</v>
      </c>
      <c r="D14482" t="s">
        <v>36579</v>
      </c>
      <c r="F14482" t="s">
        <v>1</v>
      </c>
      <c r="G14482" t="s">
        <v>2</v>
      </c>
      <c r="H14482" t="s">
        <v>21240</v>
      </c>
      <c r="J14482" t="s">
        <v>49862</v>
      </c>
      <c r="Y14482" t="s">
        <v>49863</v>
      </c>
    </row>
    <row r="14483" spans="1:25" x14ac:dyDescent="0.25">
      <c r="A14483" t="str">
        <f>"241669810673"</f>
        <v>241669810673</v>
      </c>
      <c r="B14483" t="s">
        <v>3544</v>
      </c>
      <c r="C14483" t="s">
        <v>11303</v>
      </c>
      <c r="D14483" t="s">
        <v>3329</v>
      </c>
      <c r="E14483">
        <v>424006</v>
      </c>
      <c r="F14483" t="s">
        <v>1</v>
      </c>
      <c r="G14483" t="s">
        <v>2</v>
      </c>
      <c r="H14483" t="s">
        <v>13383</v>
      </c>
      <c r="P14483" t="s">
        <v>2457</v>
      </c>
      <c r="Y14483" t="s">
        <v>49864</v>
      </c>
    </row>
    <row r="14484" spans="1:25" x14ac:dyDescent="0.25">
      <c r="A14484" t="str">
        <f>"241695691795"</f>
        <v>241695691795</v>
      </c>
      <c r="B14484" t="s">
        <v>1758</v>
      </c>
      <c r="C14484" t="s">
        <v>5551</v>
      </c>
      <c r="D14484" t="s">
        <v>11003</v>
      </c>
      <c r="E14484">
        <v>424000</v>
      </c>
      <c r="F14484" t="s">
        <v>1</v>
      </c>
      <c r="G14484" t="s">
        <v>2</v>
      </c>
      <c r="H14484" t="s">
        <v>1473</v>
      </c>
      <c r="J14484" t="s">
        <v>49865</v>
      </c>
      <c r="P14484" t="s">
        <v>941</v>
      </c>
      <c r="Y14484" t="s">
        <v>49866</v>
      </c>
    </row>
    <row r="14485" spans="1:25" x14ac:dyDescent="0.25">
      <c r="A14485" t="str">
        <f>"241729804185"</f>
        <v>241729804185</v>
      </c>
      <c r="B14485" t="s">
        <v>18</v>
      </c>
      <c r="C14485" t="s">
        <v>49870</v>
      </c>
      <c r="D14485" t="s">
        <v>49867</v>
      </c>
      <c r="E14485">
        <v>424007</v>
      </c>
      <c r="F14485" t="s">
        <v>1</v>
      </c>
      <c r="G14485" t="s">
        <v>2</v>
      </c>
      <c r="H14485" t="s">
        <v>220</v>
      </c>
      <c r="I14485" t="s">
        <v>49868</v>
      </c>
      <c r="K14485" t="s">
        <v>49869</v>
      </c>
      <c r="L14485" t="s">
        <v>11137</v>
      </c>
      <c r="P14485" t="s">
        <v>20</v>
      </c>
      <c r="Y14485" t="s">
        <v>227</v>
      </c>
    </row>
    <row r="14486" spans="1:25" x14ac:dyDescent="0.25">
      <c r="A14486" t="str">
        <f>"241761845120"</f>
        <v>241761845120</v>
      </c>
      <c r="B14486" t="s">
        <v>290</v>
      </c>
      <c r="C14486" t="s">
        <v>290</v>
      </c>
      <c r="D14486" t="s">
        <v>49871</v>
      </c>
      <c r="E14486">
        <v>424037</v>
      </c>
      <c r="F14486" t="s">
        <v>1</v>
      </c>
      <c r="G14486" t="s">
        <v>2</v>
      </c>
      <c r="H14486" t="s">
        <v>1849</v>
      </c>
      <c r="P14486" t="s">
        <v>2457</v>
      </c>
      <c r="Y14486" t="s">
        <v>49872</v>
      </c>
    </row>
    <row r="14487" spans="1:25" x14ac:dyDescent="0.25">
      <c r="A14487" t="str">
        <f>"241796453552"</f>
        <v>241796453552</v>
      </c>
      <c r="B14487" t="s">
        <v>624</v>
      </c>
      <c r="C14487" t="s">
        <v>1637</v>
      </c>
      <c r="D14487" t="s">
        <v>49873</v>
      </c>
      <c r="E14487">
        <v>424004</v>
      </c>
      <c r="F14487" t="s">
        <v>1</v>
      </c>
      <c r="G14487" t="s">
        <v>2</v>
      </c>
      <c r="H14487" t="s">
        <v>229</v>
      </c>
      <c r="J14487" t="s">
        <v>49874</v>
      </c>
      <c r="P14487" t="s">
        <v>21500</v>
      </c>
      <c r="Y14487" t="s">
        <v>237</v>
      </c>
    </row>
    <row r="14488" spans="1:25" x14ac:dyDescent="0.25">
      <c r="A14488" t="str">
        <f>"241799455178"</f>
        <v>241799455178</v>
      </c>
      <c r="B14488" t="s">
        <v>1222</v>
      </c>
      <c r="C14488" t="s">
        <v>2114</v>
      </c>
      <c r="D14488" t="s">
        <v>49875</v>
      </c>
      <c r="E14488">
        <v>424002</v>
      </c>
      <c r="F14488" t="s">
        <v>1</v>
      </c>
      <c r="G14488" t="s">
        <v>2</v>
      </c>
      <c r="H14488" t="s">
        <v>744</v>
      </c>
      <c r="P14488" t="s">
        <v>748</v>
      </c>
      <c r="Y14488" t="s">
        <v>49876</v>
      </c>
    </row>
    <row r="14489" spans="1:25" x14ac:dyDescent="0.25">
      <c r="A14489" t="str">
        <f>"241863229703"</f>
        <v>241863229703</v>
      </c>
      <c r="B14489" t="s">
        <v>1617</v>
      </c>
      <c r="C14489" t="s">
        <v>1618</v>
      </c>
      <c r="D14489" t="s">
        <v>20882</v>
      </c>
      <c r="E14489">
        <v>424005</v>
      </c>
      <c r="F14489" t="s">
        <v>1</v>
      </c>
      <c r="G14489" t="s">
        <v>2</v>
      </c>
      <c r="H14489" t="s">
        <v>7480</v>
      </c>
      <c r="Y14489" t="s">
        <v>7482</v>
      </c>
    </row>
    <row r="14490" spans="1:25" x14ac:dyDescent="0.25">
      <c r="A14490" t="str">
        <f>"241871769956"</f>
        <v>241871769956</v>
      </c>
      <c r="B14490" t="s">
        <v>96</v>
      </c>
      <c r="C14490" t="s">
        <v>24441</v>
      </c>
      <c r="D14490" t="s">
        <v>21819</v>
      </c>
      <c r="E14490">
        <v>424000</v>
      </c>
      <c r="F14490" t="s">
        <v>1</v>
      </c>
      <c r="G14490" t="s">
        <v>2</v>
      </c>
      <c r="H14490" t="s">
        <v>92</v>
      </c>
      <c r="I14490" t="s">
        <v>21820</v>
      </c>
      <c r="L14490" t="s">
        <v>21821</v>
      </c>
      <c r="M14490" t="s">
        <v>37296</v>
      </c>
      <c r="P14490" t="s">
        <v>98</v>
      </c>
      <c r="Q14490" t="s">
        <v>21823</v>
      </c>
      <c r="V14490" t="s">
        <v>21824</v>
      </c>
      <c r="Y14490" t="s">
        <v>28397</v>
      </c>
    </row>
    <row r="14491" spans="1:25" x14ac:dyDescent="0.25">
      <c r="A14491" t="str">
        <f>"241922994510"</f>
        <v>241922994510</v>
      </c>
      <c r="B14491" t="s">
        <v>1611</v>
      </c>
      <c r="C14491" t="s">
        <v>14699</v>
      </c>
      <c r="D14491" t="s">
        <v>49877</v>
      </c>
      <c r="E14491">
        <v>424037</v>
      </c>
      <c r="F14491" t="s">
        <v>1</v>
      </c>
      <c r="G14491" t="s">
        <v>2</v>
      </c>
      <c r="H14491" t="s">
        <v>3216</v>
      </c>
      <c r="I14491" t="s">
        <v>49878</v>
      </c>
      <c r="M14491" t="s">
        <v>49879</v>
      </c>
      <c r="P14491" t="s">
        <v>47541</v>
      </c>
      <c r="Y14491" t="s">
        <v>13404</v>
      </c>
    </row>
    <row r="14492" spans="1:25" x14ac:dyDescent="0.25">
      <c r="A14492" t="str">
        <f>"241928125482"</f>
        <v>241928125482</v>
      </c>
      <c r="B14492" t="s">
        <v>88</v>
      </c>
      <c r="C14492" t="s">
        <v>4246</v>
      </c>
      <c r="D14492" t="s">
        <v>49880</v>
      </c>
      <c r="F14492" t="s">
        <v>1</v>
      </c>
      <c r="G14492" t="s">
        <v>2</v>
      </c>
      <c r="H14492" t="s">
        <v>25588</v>
      </c>
      <c r="Y14492" t="s">
        <v>49881</v>
      </c>
    </row>
    <row r="14493" spans="1:25" x14ac:dyDescent="0.25">
      <c r="A14493" t="str">
        <f>"241998905544"</f>
        <v>241998905544</v>
      </c>
      <c r="B14493" t="s">
        <v>930</v>
      </c>
      <c r="C14493" t="s">
        <v>49882</v>
      </c>
      <c r="D14493" t="s">
        <v>43998</v>
      </c>
      <c r="E14493">
        <v>424020</v>
      </c>
      <c r="F14493" t="s">
        <v>1</v>
      </c>
      <c r="G14493" t="s">
        <v>2</v>
      </c>
      <c r="H14493" t="s">
        <v>19735</v>
      </c>
      <c r="P14493" t="s">
        <v>330</v>
      </c>
      <c r="Y14493" t="s">
        <v>49883</v>
      </c>
    </row>
    <row r="14494" spans="1:25" x14ac:dyDescent="0.25">
      <c r="A14494" t="str">
        <f>"242012011843"</f>
        <v>242012011843</v>
      </c>
      <c r="B14494" t="s">
        <v>1343</v>
      </c>
      <c r="C14494" t="s">
        <v>1344</v>
      </c>
      <c r="D14494" t="s">
        <v>1805</v>
      </c>
      <c r="E14494">
        <v>424000</v>
      </c>
      <c r="F14494" t="s">
        <v>1</v>
      </c>
      <c r="G14494" t="s">
        <v>2</v>
      </c>
      <c r="H14494" t="s">
        <v>1473</v>
      </c>
      <c r="P14494" t="s">
        <v>941</v>
      </c>
      <c r="Y14494" t="s">
        <v>31021</v>
      </c>
    </row>
    <row r="14495" spans="1:25" x14ac:dyDescent="0.25">
      <c r="A14495" t="str">
        <f>"242042175572"</f>
        <v>242042175572</v>
      </c>
      <c r="B14495" t="s">
        <v>2104</v>
      </c>
      <c r="C14495" t="s">
        <v>2105</v>
      </c>
      <c r="D14495" t="s">
        <v>49884</v>
      </c>
      <c r="E14495">
        <v>424028</v>
      </c>
      <c r="F14495" t="s">
        <v>1</v>
      </c>
      <c r="G14495" t="s">
        <v>2</v>
      </c>
      <c r="H14495" t="s">
        <v>7204</v>
      </c>
      <c r="J14495" t="s">
        <v>49885</v>
      </c>
      <c r="P14495" t="s">
        <v>1642</v>
      </c>
      <c r="Y14495" t="s">
        <v>22848</v>
      </c>
    </row>
    <row r="14496" spans="1:25" x14ac:dyDescent="0.25">
      <c r="A14496" t="str">
        <f>"242066879598"</f>
        <v>242066879598</v>
      </c>
      <c r="B14496" t="s">
        <v>519</v>
      </c>
      <c r="C14496" t="s">
        <v>49888</v>
      </c>
      <c r="D14496" t="s">
        <v>49886</v>
      </c>
      <c r="E14496">
        <v>424003</v>
      </c>
      <c r="F14496" t="s">
        <v>1</v>
      </c>
      <c r="G14496" t="s">
        <v>2</v>
      </c>
      <c r="H14496" t="s">
        <v>3077</v>
      </c>
      <c r="I14496" t="s">
        <v>25214</v>
      </c>
      <c r="L14496" t="s">
        <v>49887</v>
      </c>
      <c r="M14496" t="s">
        <v>25215</v>
      </c>
      <c r="P14496" t="s">
        <v>10285</v>
      </c>
      <c r="Q14496" t="s">
        <v>25217</v>
      </c>
      <c r="V14496" t="s">
        <v>25218</v>
      </c>
      <c r="Y14496" t="s">
        <v>18339</v>
      </c>
    </row>
    <row r="14497" spans="1:25" x14ac:dyDescent="0.25">
      <c r="A14497" t="str">
        <f>"242105413494"</f>
        <v>242105413494</v>
      </c>
      <c r="B14497" t="s">
        <v>188</v>
      </c>
      <c r="C14497" t="s">
        <v>8311</v>
      </c>
      <c r="D14497" t="s">
        <v>25898</v>
      </c>
      <c r="E14497">
        <v>424918</v>
      </c>
      <c r="F14497" t="s">
        <v>1</v>
      </c>
      <c r="G14497" t="s">
        <v>2</v>
      </c>
      <c r="H14497" t="s">
        <v>629</v>
      </c>
      <c r="J14497" t="s">
        <v>49889</v>
      </c>
      <c r="P14497" t="s">
        <v>25443</v>
      </c>
      <c r="Y14497" t="s">
        <v>1744</v>
      </c>
    </row>
    <row r="14498" spans="1:25" x14ac:dyDescent="0.25">
      <c r="A14498" t="str">
        <f>"242109782428"</f>
        <v>242109782428</v>
      </c>
      <c r="B14498" t="s">
        <v>574</v>
      </c>
      <c r="C14498" t="s">
        <v>9802</v>
      </c>
      <c r="D14498" t="s">
        <v>49890</v>
      </c>
      <c r="E14498">
        <v>424004</v>
      </c>
      <c r="F14498" t="s">
        <v>1</v>
      </c>
      <c r="G14498" t="s">
        <v>2</v>
      </c>
      <c r="H14498" t="s">
        <v>3489</v>
      </c>
      <c r="Y14498" t="s">
        <v>8402</v>
      </c>
    </row>
    <row r="14499" spans="1:25" x14ac:dyDescent="0.25">
      <c r="A14499" t="str">
        <f>"242125287778"</f>
        <v>242125287778</v>
      </c>
      <c r="B14499" t="s">
        <v>1152</v>
      </c>
      <c r="C14499" t="s">
        <v>1153</v>
      </c>
      <c r="D14499" t="s">
        <v>24071</v>
      </c>
      <c r="E14499">
        <v>424000</v>
      </c>
      <c r="F14499" t="s">
        <v>1</v>
      </c>
      <c r="G14499" t="s">
        <v>2</v>
      </c>
      <c r="H14499" t="s">
        <v>2299</v>
      </c>
      <c r="P14499" t="s">
        <v>7436</v>
      </c>
      <c r="Y14499" t="s">
        <v>49891</v>
      </c>
    </row>
    <row r="14500" spans="1:25" x14ac:dyDescent="0.25">
      <c r="A14500" t="str">
        <f>"242167389962"</f>
        <v>242167389962</v>
      </c>
      <c r="B14500" t="s">
        <v>80</v>
      </c>
      <c r="C14500" t="s">
        <v>3295</v>
      </c>
      <c r="D14500" t="s">
        <v>31430</v>
      </c>
      <c r="E14500">
        <v>424006</v>
      </c>
      <c r="F14500" t="s">
        <v>1</v>
      </c>
      <c r="G14500" t="s">
        <v>2</v>
      </c>
      <c r="H14500" t="s">
        <v>40404</v>
      </c>
      <c r="J14500" t="s">
        <v>31431</v>
      </c>
      <c r="P14500" t="s">
        <v>49892</v>
      </c>
      <c r="Y14500" t="s">
        <v>49893</v>
      </c>
    </row>
    <row r="14501" spans="1:25" x14ac:dyDescent="0.25">
      <c r="A14501" t="str">
        <f>"242170398705"</f>
        <v>242170398705</v>
      </c>
      <c r="B14501" t="s">
        <v>96</v>
      </c>
      <c r="C14501" t="s">
        <v>8578</v>
      </c>
      <c r="D14501" t="s">
        <v>47672</v>
      </c>
      <c r="E14501">
        <v>424000</v>
      </c>
      <c r="F14501" t="s">
        <v>1</v>
      </c>
      <c r="G14501" t="s">
        <v>2</v>
      </c>
      <c r="H14501" t="s">
        <v>1531</v>
      </c>
      <c r="J14501" t="s">
        <v>49894</v>
      </c>
      <c r="L14501" t="s">
        <v>49895</v>
      </c>
      <c r="P14501" t="s">
        <v>941</v>
      </c>
      <c r="Q14501" t="s">
        <v>49896</v>
      </c>
      <c r="Y14501" t="s">
        <v>4373</v>
      </c>
    </row>
    <row r="14502" spans="1:25" x14ac:dyDescent="0.25">
      <c r="A14502" t="str">
        <f>"242174447745"</f>
        <v>242174447745</v>
      </c>
      <c r="B14502" t="s">
        <v>482</v>
      </c>
      <c r="C14502" t="s">
        <v>9754</v>
      </c>
      <c r="D14502" t="s">
        <v>49897</v>
      </c>
      <c r="E14502">
        <v>424008</v>
      </c>
      <c r="F14502" t="s">
        <v>1</v>
      </c>
      <c r="G14502" t="s">
        <v>2</v>
      </c>
      <c r="H14502" t="s">
        <v>14026</v>
      </c>
      <c r="J14502" t="s">
        <v>49898</v>
      </c>
      <c r="L14502" t="s">
        <v>49899</v>
      </c>
      <c r="M14502" t="s">
        <v>49900</v>
      </c>
      <c r="Q14502" t="s">
        <v>49901</v>
      </c>
      <c r="Y14502" t="s">
        <v>49902</v>
      </c>
    </row>
    <row r="14503" spans="1:25" x14ac:dyDescent="0.25">
      <c r="A14503" t="str">
        <f>"242191812902"</f>
        <v>242191812902</v>
      </c>
      <c r="B14503" t="s">
        <v>96</v>
      </c>
      <c r="C14503" t="s">
        <v>14175</v>
      </c>
      <c r="D14503" t="s">
        <v>49903</v>
      </c>
      <c r="E14503">
        <v>424918</v>
      </c>
      <c r="F14503" t="s">
        <v>1</v>
      </c>
      <c r="G14503" t="s">
        <v>2</v>
      </c>
      <c r="H14503" t="s">
        <v>629</v>
      </c>
      <c r="P14503" t="s">
        <v>630</v>
      </c>
      <c r="Y14503" t="s">
        <v>1744</v>
      </c>
    </row>
    <row r="14504" spans="1:25" x14ac:dyDescent="0.25">
      <c r="A14504" t="str">
        <f>"242196461063"</f>
        <v>242196461063</v>
      </c>
      <c r="B14504" t="s">
        <v>18</v>
      </c>
      <c r="C14504" t="s">
        <v>8608</v>
      </c>
      <c r="D14504" t="s">
        <v>49904</v>
      </c>
      <c r="E14504">
        <v>424004</v>
      </c>
      <c r="F14504" t="s">
        <v>1</v>
      </c>
      <c r="G14504" t="s">
        <v>2</v>
      </c>
      <c r="H14504" t="s">
        <v>351</v>
      </c>
      <c r="I14504" t="s">
        <v>49905</v>
      </c>
      <c r="L14504" t="s">
        <v>49906</v>
      </c>
      <c r="M14504" t="s">
        <v>49907</v>
      </c>
      <c r="P14504" t="s">
        <v>2457</v>
      </c>
      <c r="Y14504" t="s">
        <v>354</v>
      </c>
    </row>
    <row r="14505" spans="1:25" x14ac:dyDescent="0.25">
      <c r="A14505" t="str">
        <f>"242197281228"</f>
        <v>242197281228</v>
      </c>
      <c r="B14505" t="s">
        <v>3700</v>
      </c>
      <c r="C14505" t="s">
        <v>4023</v>
      </c>
      <c r="D14505" t="s">
        <v>13082</v>
      </c>
      <c r="E14505">
        <v>424028</v>
      </c>
      <c r="F14505" t="s">
        <v>1</v>
      </c>
      <c r="G14505" t="s">
        <v>2</v>
      </c>
      <c r="H14505" t="s">
        <v>7204</v>
      </c>
      <c r="Y14505" t="s">
        <v>49908</v>
      </c>
    </row>
    <row r="14506" spans="1:25" x14ac:dyDescent="0.25">
      <c r="A14506" t="str">
        <f>"242200410005"</f>
        <v>242200410005</v>
      </c>
      <c r="B14506" t="s">
        <v>1053</v>
      </c>
      <c r="C14506" t="s">
        <v>1927</v>
      </c>
      <c r="D14506" t="s">
        <v>27571</v>
      </c>
      <c r="E14506">
        <v>424004</v>
      </c>
      <c r="F14506" t="s">
        <v>1</v>
      </c>
      <c r="G14506" t="s">
        <v>2</v>
      </c>
      <c r="H14506" t="s">
        <v>351</v>
      </c>
      <c r="I14506" t="s">
        <v>49909</v>
      </c>
      <c r="J14506" t="s">
        <v>49910</v>
      </c>
      <c r="P14506" t="s">
        <v>280</v>
      </c>
      <c r="Y14506" t="s">
        <v>354</v>
      </c>
    </row>
    <row r="14507" spans="1:25" x14ac:dyDescent="0.25">
      <c r="A14507" t="str">
        <f>"242241637793"</f>
        <v>242241637793</v>
      </c>
      <c r="B14507" t="s">
        <v>530</v>
      </c>
      <c r="C14507" t="s">
        <v>23950</v>
      </c>
      <c r="D14507" t="s">
        <v>23950</v>
      </c>
      <c r="F14507" t="s">
        <v>1</v>
      </c>
      <c r="G14507" t="s">
        <v>2</v>
      </c>
      <c r="H14507" t="s">
        <v>49911</v>
      </c>
      <c r="Y14507" t="s">
        <v>49912</v>
      </c>
    </row>
    <row r="14508" spans="1:25" x14ac:dyDescent="0.25">
      <c r="A14508" t="str">
        <f>"242241741142"</f>
        <v>242241741142</v>
      </c>
      <c r="B14508" t="s">
        <v>2055</v>
      </c>
      <c r="C14508" t="s">
        <v>2623</v>
      </c>
      <c r="D14508" t="s">
        <v>49913</v>
      </c>
      <c r="E14508">
        <v>424006</v>
      </c>
      <c r="F14508" t="s">
        <v>1</v>
      </c>
      <c r="G14508" t="s">
        <v>2</v>
      </c>
      <c r="H14508" t="s">
        <v>20829</v>
      </c>
      <c r="Y14508" t="s">
        <v>49914</v>
      </c>
    </row>
    <row r="14509" spans="1:25" x14ac:dyDescent="0.25">
      <c r="A14509" t="str">
        <f>"242242993331"</f>
        <v>242242993331</v>
      </c>
      <c r="B14509" t="s">
        <v>32</v>
      </c>
      <c r="C14509" t="s">
        <v>182</v>
      </c>
      <c r="D14509" t="s">
        <v>49915</v>
      </c>
      <c r="E14509">
        <v>424000</v>
      </c>
      <c r="F14509" t="s">
        <v>1</v>
      </c>
      <c r="G14509" t="s">
        <v>2</v>
      </c>
      <c r="H14509" t="s">
        <v>17190</v>
      </c>
      <c r="P14509" t="s">
        <v>630</v>
      </c>
      <c r="Y14509" t="s">
        <v>49916</v>
      </c>
    </row>
    <row r="14510" spans="1:25" x14ac:dyDescent="0.25">
      <c r="A14510" t="str">
        <f>"242285908650"</f>
        <v>242285908650</v>
      </c>
      <c r="B14510" t="s">
        <v>2790</v>
      </c>
      <c r="C14510" t="s">
        <v>3528</v>
      </c>
      <c r="D14510" t="s">
        <v>49917</v>
      </c>
      <c r="E14510">
        <v>424031</v>
      </c>
      <c r="F14510" t="s">
        <v>1</v>
      </c>
      <c r="G14510" t="s">
        <v>2</v>
      </c>
      <c r="H14510" t="s">
        <v>49918</v>
      </c>
      <c r="I14510" t="s">
        <v>49919</v>
      </c>
      <c r="L14510" t="s">
        <v>49920</v>
      </c>
      <c r="M14510" t="s">
        <v>19625</v>
      </c>
      <c r="P14510" t="s">
        <v>4073</v>
      </c>
      <c r="Q14510" t="s">
        <v>49921</v>
      </c>
      <c r="Y14510" t="s">
        <v>49922</v>
      </c>
    </row>
    <row r="14511" spans="1:25" x14ac:dyDescent="0.25">
      <c r="A14511" t="str">
        <f>"242301585727"</f>
        <v>242301585727</v>
      </c>
      <c r="B14511" t="s">
        <v>2846</v>
      </c>
      <c r="C14511" t="s">
        <v>29566</v>
      </c>
      <c r="D14511" t="s">
        <v>37400</v>
      </c>
      <c r="E14511">
        <v>424002</v>
      </c>
      <c r="F14511" t="s">
        <v>1</v>
      </c>
      <c r="G14511" t="s">
        <v>2</v>
      </c>
      <c r="H14511" t="s">
        <v>6012</v>
      </c>
      <c r="P14511" t="s">
        <v>112</v>
      </c>
      <c r="Y14511" t="s">
        <v>49923</v>
      </c>
    </row>
    <row r="14512" spans="1:25" x14ac:dyDescent="0.25">
      <c r="A14512" t="str">
        <f>"242314994194"</f>
        <v>242314994194</v>
      </c>
      <c r="B14512" t="s">
        <v>7312</v>
      </c>
      <c r="C14512" t="s">
        <v>26456</v>
      </c>
      <c r="D14512" t="s">
        <v>49924</v>
      </c>
      <c r="E14512">
        <v>424007</v>
      </c>
      <c r="F14512" t="s">
        <v>1</v>
      </c>
      <c r="G14512" t="s">
        <v>2</v>
      </c>
      <c r="H14512" t="s">
        <v>5178</v>
      </c>
      <c r="P14512" t="s">
        <v>2731</v>
      </c>
      <c r="Y14512" t="s">
        <v>26052</v>
      </c>
    </row>
    <row r="14513" spans="1:25" x14ac:dyDescent="0.25">
      <c r="A14513" t="str">
        <f>"242325155733"</f>
        <v>242325155733</v>
      </c>
      <c r="B14513" t="s">
        <v>96</v>
      </c>
      <c r="C14513" t="s">
        <v>49925</v>
      </c>
      <c r="D14513" t="s">
        <v>25340</v>
      </c>
      <c r="E14513">
        <v>424038</v>
      </c>
      <c r="F14513" t="s">
        <v>1</v>
      </c>
      <c r="G14513" t="s">
        <v>2</v>
      </c>
      <c r="H14513" t="s">
        <v>2614</v>
      </c>
      <c r="Y14513" t="s">
        <v>2617</v>
      </c>
    </row>
    <row r="14514" spans="1:25" x14ac:dyDescent="0.25">
      <c r="A14514" t="str">
        <f>"242329789886"</f>
        <v>242329789886</v>
      </c>
      <c r="B14514" t="s">
        <v>80</v>
      </c>
      <c r="C14514" t="s">
        <v>3295</v>
      </c>
      <c r="D14514" t="s">
        <v>49926</v>
      </c>
      <c r="E14514">
        <v>424006</v>
      </c>
      <c r="F14514" t="s">
        <v>1</v>
      </c>
      <c r="G14514" t="s">
        <v>2</v>
      </c>
      <c r="H14514" t="s">
        <v>33102</v>
      </c>
      <c r="J14514" t="s">
        <v>49927</v>
      </c>
      <c r="P14514" t="s">
        <v>280</v>
      </c>
      <c r="Y14514" t="s">
        <v>38352</v>
      </c>
    </row>
    <row r="14515" spans="1:25" x14ac:dyDescent="0.25">
      <c r="A14515" t="str">
        <f>"242340785637"</f>
        <v>242340785637</v>
      </c>
      <c r="B14515" t="s">
        <v>1343</v>
      </c>
      <c r="C14515" t="s">
        <v>5308</v>
      </c>
      <c r="D14515" t="s">
        <v>22736</v>
      </c>
      <c r="E14515">
        <v>424033</v>
      </c>
      <c r="F14515" t="s">
        <v>1</v>
      </c>
      <c r="G14515" t="s">
        <v>2</v>
      </c>
      <c r="H14515" t="s">
        <v>15428</v>
      </c>
      <c r="Y14515" t="s">
        <v>49928</v>
      </c>
    </row>
    <row r="14516" spans="1:25" x14ac:dyDescent="0.25">
      <c r="A14516" t="str">
        <f>"242342788981"</f>
        <v>242342788981</v>
      </c>
      <c r="B14516" t="s">
        <v>530</v>
      </c>
      <c r="C14516" t="s">
        <v>23950</v>
      </c>
      <c r="D14516" t="s">
        <v>23950</v>
      </c>
      <c r="F14516" t="s">
        <v>1</v>
      </c>
      <c r="G14516" t="s">
        <v>2</v>
      </c>
      <c r="H14516" t="s">
        <v>49929</v>
      </c>
      <c r="Y14516" t="s">
        <v>49930</v>
      </c>
    </row>
    <row r="14517" spans="1:25" x14ac:dyDescent="0.25">
      <c r="A14517" t="str">
        <f>"242347109854"</f>
        <v>242347109854</v>
      </c>
      <c r="B14517" t="s">
        <v>25</v>
      </c>
      <c r="C14517" t="s">
        <v>20320</v>
      </c>
      <c r="D14517" t="s">
        <v>49931</v>
      </c>
      <c r="E14517">
        <v>424000</v>
      </c>
      <c r="F14517" t="s">
        <v>1</v>
      </c>
      <c r="G14517" t="s">
        <v>2</v>
      </c>
      <c r="H14517" t="s">
        <v>42049</v>
      </c>
      <c r="Y14517" t="s">
        <v>49932</v>
      </c>
    </row>
    <row r="14518" spans="1:25" x14ac:dyDescent="0.25">
      <c r="A14518" t="str">
        <f>"242404175226"</f>
        <v>242404175226</v>
      </c>
      <c r="B14518" t="s">
        <v>888</v>
      </c>
      <c r="C14518" t="s">
        <v>4712</v>
      </c>
      <c r="D14518" t="s">
        <v>49933</v>
      </c>
      <c r="E14518">
        <v>424000</v>
      </c>
      <c r="F14518" t="s">
        <v>1</v>
      </c>
      <c r="G14518" t="s">
        <v>2</v>
      </c>
      <c r="H14518" t="s">
        <v>3471</v>
      </c>
      <c r="I14518" t="s">
        <v>18213</v>
      </c>
      <c r="P14518" t="s">
        <v>18215</v>
      </c>
      <c r="Y14518" t="s">
        <v>13889</v>
      </c>
    </row>
    <row r="14519" spans="1:25" x14ac:dyDescent="0.25">
      <c r="A14519" t="str">
        <f>"242420748000"</f>
        <v>242420748000</v>
      </c>
      <c r="B14519" t="s">
        <v>456</v>
      </c>
      <c r="C14519" t="s">
        <v>49935</v>
      </c>
      <c r="D14519" t="s">
        <v>49934</v>
      </c>
      <c r="E14519">
        <v>424038</v>
      </c>
      <c r="F14519" t="s">
        <v>1</v>
      </c>
      <c r="G14519" t="s">
        <v>2</v>
      </c>
      <c r="H14519" t="s">
        <v>19362</v>
      </c>
      <c r="I14519" t="s">
        <v>43313</v>
      </c>
      <c r="L14519" t="s">
        <v>43314</v>
      </c>
      <c r="M14519" t="s">
        <v>43315</v>
      </c>
      <c r="P14519" t="s">
        <v>1213</v>
      </c>
      <c r="Q14519" t="s">
        <v>43316</v>
      </c>
      <c r="Y14519" t="s">
        <v>49936</v>
      </c>
    </row>
    <row r="14520" spans="1:25" x14ac:dyDescent="0.25">
      <c r="A14520" t="str">
        <f>"242467136475"</f>
        <v>242467136475</v>
      </c>
      <c r="B14520" t="s">
        <v>224</v>
      </c>
      <c r="C14520" t="s">
        <v>4397</v>
      </c>
      <c r="D14520" t="s">
        <v>13302</v>
      </c>
      <c r="E14520">
        <v>424006</v>
      </c>
      <c r="F14520" t="s">
        <v>1</v>
      </c>
      <c r="G14520" t="s">
        <v>2</v>
      </c>
      <c r="H14520" t="s">
        <v>5146</v>
      </c>
      <c r="Y14520" t="s">
        <v>49937</v>
      </c>
    </row>
    <row r="14521" spans="1:25" x14ac:dyDescent="0.25">
      <c r="A14521" t="str">
        <f>"242527040543"</f>
        <v>242527040543</v>
      </c>
      <c r="B14521" t="s">
        <v>574</v>
      </c>
      <c r="C14521" t="s">
        <v>646</v>
      </c>
      <c r="D14521" t="s">
        <v>35107</v>
      </c>
      <c r="E14521">
        <v>424000</v>
      </c>
      <c r="F14521" t="s">
        <v>1</v>
      </c>
      <c r="G14521" t="s">
        <v>2</v>
      </c>
      <c r="H14521" t="s">
        <v>1531</v>
      </c>
      <c r="P14521" t="s">
        <v>10024</v>
      </c>
      <c r="Y14521" t="s">
        <v>1707</v>
      </c>
    </row>
    <row r="14522" spans="1:25" x14ac:dyDescent="0.25">
      <c r="A14522" t="str">
        <f>"242590341539"</f>
        <v>242590341539</v>
      </c>
      <c r="B14522" t="s">
        <v>348</v>
      </c>
      <c r="C14522" t="s">
        <v>49939</v>
      </c>
      <c r="D14522" t="s">
        <v>49938</v>
      </c>
      <c r="E14522">
        <v>424037</v>
      </c>
      <c r="F14522" t="s">
        <v>1</v>
      </c>
      <c r="G14522" t="s">
        <v>2</v>
      </c>
      <c r="H14522" t="s">
        <v>1116</v>
      </c>
      <c r="Y14522" t="s">
        <v>49940</v>
      </c>
    </row>
    <row r="14523" spans="1:25" x14ac:dyDescent="0.25">
      <c r="A14523" t="str">
        <f>"242608683989"</f>
        <v>242608683989</v>
      </c>
      <c r="B14523" t="s">
        <v>1352</v>
      </c>
      <c r="C14523" t="s">
        <v>1353</v>
      </c>
      <c r="D14523" t="s">
        <v>1353</v>
      </c>
      <c r="E14523">
        <v>424006</v>
      </c>
      <c r="F14523" t="s">
        <v>1</v>
      </c>
      <c r="G14523" t="s">
        <v>2</v>
      </c>
      <c r="H14523" t="s">
        <v>1890</v>
      </c>
      <c r="J14523" t="s">
        <v>49941</v>
      </c>
      <c r="P14523" t="s">
        <v>49942</v>
      </c>
      <c r="Y14523" t="s">
        <v>1893</v>
      </c>
    </row>
    <row r="14524" spans="1:25" x14ac:dyDescent="0.25">
      <c r="A14524" t="str">
        <f>"242659992027"</f>
        <v>242659992027</v>
      </c>
      <c r="B14524" t="s">
        <v>1758</v>
      </c>
      <c r="C14524" t="s">
        <v>8089</v>
      </c>
      <c r="D14524" t="s">
        <v>1805</v>
      </c>
      <c r="E14524">
        <v>424019</v>
      </c>
      <c r="F14524" t="s">
        <v>1</v>
      </c>
      <c r="G14524" t="s">
        <v>2</v>
      </c>
      <c r="H14524" t="s">
        <v>1467</v>
      </c>
      <c r="Y14524" t="s">
        <v>49943</v>
      </c>
    </row>
    <row r="14525" spans="1:25" x14ac:dyDescent="0.25">
      <c r="A14525" t="str">
        <f>"242716685361"</f>
        <v>242716685361</v>
      </c>
      <c r="B14525" t="s">
        <v>5745</v>
      </c>
      <c r="C14525" t="s">
        <v>47647</v>
      </c>
      <c r="D14525" t="s">
        <v>49944</v>
      </c>
      <c r="E14525">
        <v>424000</v>
      </c>
      <c r="F14525" t="s">
        <v>1</v>
      </c>
      <c r="G14525" t="s">
        <v>2</v>
      </c>
      <c r="H14525" t="s">
        <v>837</v>
      </c>
      <c r="J14525" t="s">
        <v>49945</v>
      </c>
      <c r="M14525" t="s">
        <v>49946</v>
      </c>
      <c r="Y14525" t="s">
        <v>2964</v>
      </c>
    </row>
    <row r="14526" spans="1:25" x14ac:dyDescent="0.25">
      <c r="A14526" t="str">
        <f>"242737728806"</f>
        <v>242737728806</v>
      </c>
      <c r="B14526" t="s">
        <v>352</v>
      </c>
      <c r="C14526" t="s">
        <v>49949</v>
      </c>
      <c r="D14526" t="s">
        <v>49947</v>
      </c>
      <c r="E14526">
        <v>424037</v>
      </c>
      <c r="F14526" t="s">
        <v>1</v>
      </c>
      <c r="G14526" t="s">
        <v>2</v>
      </c>
      <c r="H14526" t="s">
        <v>10000</v>
      </c>
      <c r="M14526" t="s">
        <v>49948</v>
      </c>
      <c r="P14526" t="s">
        <v>280</v>
      </c>
      <c r="Y14526" t="s">
        <v>49950</v>
      </c>
    </row>
    <row r="14527" spans="1:25" x14ac:dyDescent="0.25">
      <c r="A14527" t="str">
        <f>"242756023741"</f>
        <v>242756023741</v>
      </c>
      <c r="B14527" t="s">
        <v>841</v>
      </c>
      <c r="C14527" t="s">
        <v>49953</v>
      </c>
      <c r="D14527" t="s">
        <v>49951</v>
      </c>
      <c r="E14527">
        <v>424038</v>
      </c>
      <c r="F14527" t="s">
        <v>1</v>
      </c>
      <c r="G14527" t="s">
        <v>2</v>
      </c>
      <c r="H14527" t="s">
        <v>7597</v>
      </c>
      <c r="J14527" t="s">
        <v>49952</v>
      </c>
      <c r="P14527" t="s">
        <v>1642</v>
      </c>
      <c r="Y14527" t="s">
        <v>49954</v>
      </c>
    </row>
    <row r="14528" spans="1:25" x14ac:dyDescent="0.25">
      <c r="A14528" t="str">
        <f>"242808783757"</f>
        <v>242808783757</v>
      </c>
      <c r="B14528" t="s">
        <v>530</v>
      </c>
      <c r="C14528" t="s">
        <v>23950</v>
      </c>
      <c r="D14528" t="s">
        <v>23950</v>
      </c>
      <c r="F14528" t="s">
        <v>1</v>
      </c>
      <c r="G14528" t="s">
        <v>2</v>
      </c>
      <c r="H14528" t="s">
        <v>7547</v>
      </c>
      <c r="Y14528" t="s">
        <v>49955</v>
      </c>
    </row>
    <row r="14529" spans="1:25" x14ac:dyDescent="0.25">
      <c r="A14529" t="str">
        <f>"242877431762"</f>
        <v>242877431762</v>
      </c>
      <c r="B14529" t="s">
        <v>519</v>
      </c>
      <c r="C14529" t="s">
        <v>14399</v>
      </c>
      <c r="D14529" t="s">
        <v>49956</v>
      </c>
      <c r="E14529">
        <v>424003</v>
      </c>
      <c r="F14529" t="s">
        <v>1</v>
      </c>
      <c r="G14529" t="s">
        <v>2</v>
      </c>
      <c r="H14529" t="s">
        <v>3077</v>
      </c>
      <c r="I14529" t="s">
        <v>25214</v>
      </c>
      <c r="M14529" t="s">
        <v>49957</v>
      </c>
      <c r="P14529" t="s">
        <v>10285</v>
      </c>
      <c r="Q14529" t="s">
        <v>49958</v>
      </c>
      <c r="V14529" t="s">
        <v>49959</v>
      </c>
      <c r="Y14529" t="s">
        <v>18339</v>
      </c>
    </row>
    <row r="14530" spans="1:25" x14ac:dyDescent="0.25">
      <c r="A14530" t="str">
        <f>"242921248125"</f>
        <v>242921248125</v>
      </c>
      <c r="B14530" t="s">
        <v>1152</v>
      </c>
      <c r="C14530" t="s">
        <v>1385</v>
      </c>
      <c r="D14530" t="s">
        <v>38451</v>
      </c>
      <c r="E14530">
        <v>424019</v>
      </c>
      <c r="F14530" t="s">
        <v>1</v>
      </c>
      <c r="G14530" t="s">
        <v>2</v>
      </c>
      <c r="H14530" t="s">
        <v>9271</v>
      </c>
      <c r="P14530" t="s">
        <v>911</v>
      </c>
      <c r="Y14530" t="s">
        <v>49960</v>
      </c>
    </row>
    <row r="14531" spans="1:25" x14ac:dyDescent="0.25">
      <c r="A14531" t="str">
        <f>"242931541160"</f>
        <v>242931541160</v>
      </c>
      <c r="B14531" t="s">
        <v>687</v>
      </c>
      <c r="C14531" t="s">
        <v>49963</v>
      </c>
      <c r="D14531" t="s">
        <v>49961</v>
      </c>
      <c r="E14531">
        <v>424006</v>
      </c>
      <c r="F14531" t="s">
        <v>1</v>
      </c>
      <c r="G14531" t="s">
        <v>2</v>
      </c>
      <c r="H14531" t="s">
        <v>4628</v>
      </c>
      <c r="I14531" t="s">
        <v>49962</v>
      </c>
      <c r="P14531" t="s">
        <v>2580</v>
      </c>
      <c r="Y14531" t="s">
        <v>6884</v>
      </c>
    </row>
    <row r="14532" spans="1:25" x14ac:dyDescent="0.25">
      <c r="A14532" t="str">
        <f>"242975506275"</f>
        <v>242975506275</v>
      </c>
      <c r="B14532" t="s">
        <v>574</v>
      </c>
      <c r="C14532" t="s">
        <v>24405</v>
      </c>
      <c r="D14532" t="s">
        <v>32710</v>
      </c>
      <c r="F14532" t="s">
        <v>1</v>
      </c>
      <c r="G14532" t="s">
        <v>2</v>
      </c>
      <c r="H14532" t="s">
        <v>34200</v>
      </c>
      <c r="Y14532" t="s">
        <v>49964</v>
      </c>
    </row>
    <row r="14533" spans="1:25" x14ac:dyDescent="0.25">
      <c r="A14533" t="str">
        <f>"243035939154"</f>
        <v>243035939154</v>
      </c>
      <c r="B14533" t="s">
        <v>32</v>
      </c>
      <c r="C14533" t="s">
        <v>182</v>
      </c>
      <c r="D14533" t="s">
        <v>4445</v>
      </c>
      <c r="E14533">
        <v>424019</v>
      </c>
      <c r="F14533" t="s">
        <v>1</v>
      </c>
      <c r="G14533" t="s">
        <v>2</v>
      </c>
      <c r="H14533" t="s">
        <v>8998</v>
      </c>
      <c r="I14533" t="s">
        <v>49965</v>
      </c>
      <c r="P14533" t="s">
        <v>8655</v>
      </c>
      <c r="Y14533" t="s">
        <v>49966</v>
      </c>
    </row>
    <row r="14534" spans="1:25" x14ac:dyDescent="0.25">
      <c r="A14534" t="str">
        <f>"243036834936"</f>
        <v>243036834936</v>
      </c>
      <c r="B14534" t="s">
        <v>7312</v>
      </c>
      <c r="C14534" t="s">
        <v>42379</v>
      </c>
      <c r="D14534" t="s">
        <v>49967</v>
      </c>
      <c r="E14534">
        <v>424007</v>
      </c>
      <c r="F14534" t="s">
        <v>1</v>
      </c>
      <c r="G14534" t="s">
        <v>2</v>
      </c>
      <c r="H14534" t="s">
        <v>5178</v>
      </c>
      <c r="P14534" t="s">
        <v>2731</v>
      </c>
      <c r="Y14534" t="s">
        <v>26052</v>
      </c>
    </row>
    <row r="14535" spans="1:25" x14ac:dyDescent="0.25">
      <c r="A14535" t="str">
        <f>"243073902542"</f>
        <v>243073902542</v>
      </c>
      <c r="B14535" t="s">
        <v>530</v>
      </c>
      <c r="C14535" t="s">
        <v>23950</v>
      </c>
      <c r="D14535" t="s">
        <v>23950</v>
      </c>
      <c r="E14535">
        <v>424007</v>
      </c>
      <c r="F14535" t="s">
        <v>1</v>
      </c>
      <c r="G14535" t="s">
        <v>2</v>
      </c>
      <c r="H14535" t="s">
        <v>49968</v>
      </c>
      <c r="Y14535" t="s">
        <v>49969</v>
      </c>
    </row>
    <row r="14536" spans="1:25" x14ac:dyDescent="0.25">
      <c r="A14536" t="str">
        <f>"243097120999"</f>
        <v>243097120999</v>
      </c>
      <c r="B14536" t="s">
        <v>1611</v>
      </c>
      <c r="C14536" t="s">
        <v>3218</v>
      </c>
      <c r="D14536" t="s">
        <v>49970</v>
      </c>
      <c r="E14536">
        <v>424031</v>
      </c>
      <c r="F14536" t="s">
        <v>1</v>
      </c>
      <c r="G14536" t="s">
        <v>2</v>
      </c>
      <c r="H14536" t="s">
        <v>20058</v>
      </c>
      <c r="I14536" t="s">
        <v>49971</v>
      </c>
      <c r="L14536" t="s">
        <v>3217</v>
      </c>
      <c r="P14536" t="s">
        <v>330</v>
      </c>
      <c r="Y14536" t="s">
        <v>20062</v>
      </c>
    </row>
    <row r="14537" spans="1:25" x14ac:dyDescent="0.25">
      <c r="A14537" t="str">
        <f>"243134226548"</f>
        <v>243134226548</v>
      </c>
      <c r="B14537" t="s">
        <v>430</v>
      </c>
      <c r="C14537" t="s">
        <v>49974</v>
      </c>
      <c r="D14537" t="s">
        <v>49972</v>
      </c>
      <c r="E14537">
        <v>424019</v>
      </c>
      <c r="F14537" t="s">
        <v>1</v>
      </c>
      <c r="G14537" t="s">
        <v>2</v>
      </c>
      <c r="H14537" t="s">
        <v>7785</v>
      </c>
      <c r="J14537" t="s">
        <v>49973</v>
      </c>
      <c r="P14537" t="s">
        <v>330</v>
      </c>
      <c r="Q14537" t="s">
        <v>49975</v>
      </c>
      <c r="Y14537" t="s">
        <v>49976</v>
      </c>
    </row>
    <row r="14538" spans="1:25" x14ac:dyDescent="0.25">
      <c r="A14538" t="str">
        <f>"243142411253"</f>
        <v>243142411253</v>
      </c>
      <c r="B14538" t="s">
        <v>574</v>
      </c>
      <c r="C14538" t="s">
        <v>37753</v>
      </c>
      <c r="D14538" t="s">
        <v>49977</v>
      </c>
      <c r="E14538">
        <v>424003</v>
      </c>
      <c r="F14538" t="s">
        <v>1</v>
      </c>
      <c r="G14538" t="s">
        <v>2</v>
      </c>
      <c r="H14538" t="s">
        <v>645</v>
      </c>
      <c r="J14538" t="s">
        <v>49978</v>
      </c>
      <c r="P14538" t="s">
        <v>1027</v>
      </c>
      <c r="Y14538" t="s">
        <v>31015</v>
      </c>
    </row>
    <row r="14539" spans="1:25" x14ac:dyDescent="0.25">
      <c r="A14539" t="str">
        <f>"243142474108"</f>
        <v>243142474108</v>
      </c>
      <c r="B14539" t="s">
        <v>456</v>
      </c>
      <c r="C14539" t="s">
        <v>6076</v>
      </c>
      <c r="D14539" t="s">
        <v>49979</v>
      </c>
      <c r="E14539">
        <v>424019</v>
      </c>
      <c r="F14539" t="s">
        <v>1</v>
      </c>
      <c r="G14539" t="s">
        <v>2</v>
      </c>
      <c r="H14539" t="s">
        <v>42900</v>
      </c>
      <c r="J14539" t="s">
        <v>49980</v>
      </c>
      <c r="L14539" t="s">
        <v>49981</v>
      </c>
      <c r="M14539" t="s">
        <v>49982</v>
      </c>
      <c r="P14539" t="s">
        <v>27</v>
      </c>
      <c r="Y14539" t="s">
        <v>49983</v>
      </c>
    </row>
    <row r="14540" spans="1:25" x14ac:dyDescent="0.25">
      <c r="A14540" t="str">
        <f>"243154900231"</f>
        <v>243154900231</v>
      </c>
      <c r="B14540" t="s">
        <v>290</v>
      </c>
      <c r="C14540" t="s">
        <v>31408</v>
      </c>
      <c r="D14540" t="s">
        <v>49984</v>
      </c>
      <c r="E14540">
        <v>424038</v>
      </c>
      <c r="F14540" t="s">
        <v>1</v>
      </c>
      <c r="G14540" t="s">
        <v>2</v>
      </c>
      <c r="H14540" t="s">
        <v>9164</v>
      </c>
      <c r="I14540" t="s">
        <v>49985</v>
      </c>
      <c r="P14540" t="s">
        <v>47946</v>
      </c>
      <c r="Q14540" t="s">
        <v>49986</v>
      </c>
      <c r="V14540" t="s">
        <v>49987</v>
      </c>
      <c r="Y14540" t="s">
        <v>49988</v>
      </c>
    </row>
    <row r="14541" spans="1:25" x14ac:dyDescent="0.25">
      <c r="A14541" t="str">
        <f>"243160862377"</f>
        <v>243160862377</v>
      </c>
      <c r="B14541" t="s">
        <v>352</v>
      </c>
      <c r="C14541" t="s">
        <v>22479</v>
      </c>
      <c r="D14541" t="s">
        <v>49989</v>
      </c>
      <c r="E14541">
        <v>424918</v>
      </c>
      <c r="F14541" t="s">
        <v>1</v>
      </c>
      <c r="G14541" t="s">
        <v>2</v>
      </c>
      <c r="H14541" t="s">
        <v>629</v>
      </c>
      <c r="J14541" t="s">
        <v>49990</v>
      </c>
      <c r="M14541" t="s">
        <v>49991</v>
      </c>
      <c r="P14541" t="s">
        <v>2315</v>
      </c>
      <c r="Q14541" t="s">
        <v>49992</v>
      </c>
      <c r="Y14541" t="s">
        <v>1744</v>
      </c>
    </row>
    <row r="14542" spans="1:25" x14ac:dyDescent="0.25">
      <c r="A14542" t="str">
        <f>"243196269815"</f>
        <v>243196269815</v>
      </c>
      <c r="B14542" t="s">
        <v>1611</v>
      </c>
      <c r="C14542" t="s">
        <v>3218</v>
      </c>
      <c r="D14542" t="s">
        <v>49993</v>
      </c>
      <c r="E14542">
        <v>424005</v>
      </c>
      <c r="F14542" t="s">
        <v>1</v>
      </c>
      <c r="G14542" t="s">
        <v>2</v>
      </c>
      <c r="H14542" t="s">
        <v>5429</v>
      </c>
      <c r="M14542" t="s">
        <v>39566</v>
      </c>
      <c r="Y14542" t="s">
        <v>39567</v>
      </c>
    </row>
    <row r="14543" spans="1:25" x14ac:dyDescent="0.25">
      <c r="A14543" t="str">
        <f>"243218806572"</f>
        <v>243218806572</v>
      </c>
      <c r="B14543" t="s">
        <v>1262</v>
      </c>
      <c r="C14543" t="s">
        <v>3214</v>
      </c>
      <c r="D14543" t="s">
        <v>49994</v>
      </c>
      <c r="F14543" t="s">
        <v>1</v>
      </c>
      <c r="G14543" t="s">
        <v>2</v>
      </c>
      <c r="H14543" t="s">
        <v>4446</v>
      </c>
      <c r="Y14543" t="s">
        <v>49995</v>
      </c>
    </row>
    <row r="14544" spans="1:25" x14ac:dyDescent="0.25">
      <c r="A14544" t="str">
        <f>"243274175307"</f>
        <v>243274175307</v>
      </c>
      <c r="B14544" t="s">
        <v>96</v>
      </c>
      <c r="C14544" t="s">
        <v>659</v>
      </c>
      <c r="D14544" t="s">
        <v>49996</v>
      </c>
      <c r="E14544">
        <v>424918</v>
      </c>
      <c r="F14544" t="s">
        <v>1</v>
      </c>
      <c r="G14544" t="s">
        <v>2</v>
      </c>
      <c r="H14544" t="s">
        <v>629</v>
      </c>
      <c r="J14544" t="s">
        <v>49997</v>
      </c>
      <c r="P14544" t="s">
        <v>630</v>
      </c>
      <c r="V14544" t="s">
        <v>49998</v>
      </c>
      <c r="Y14544" t="s">
        <v>1744</v>
      </c>
    </row>
    <row r="14545" spans="1:25" x14ac:dyDescent="0.25">
      <c r="A14545" t="str">
        <f>"243290193941"</f>
        <v>243290193941</v>
      </c>
      <c r="B14545" t="s">
        <v>574</v>
      </c>
      <c r="C14545" t="s">
        <v>646</v>
      </c>
      <c r="D14545" t="s">
        <v>8759</v>
      </c>
      <c r="E14545">
        <v>424032</v>
      </c>
      <c r="F14545" t="s">
        <v>1</v>
      </c>
      <c r="G14545" t="s">
        <v>2</v>
      </c>
      <c r="H14545" t="s">
        <v>11716</v>
      </c>
      <c r="Y14545" t="s">
        <v>49999</v>
      </c>
    </row>
    <row r="14546" spans="1:25" x14ac:dyDescent="0.25">
      <c r="A14546" t="str">
        <f>"243326472184"</f>
        <v>243326472184</v>
      </c>
      <c r="B14546" t="s">
        <v>1702</v>
      </c>
      <c r="C14546" t="s">
        <v>2265</v>
      </c>
      <c r="D14546" t="s">
        <v>50000</v>
      </c>
      <c r="E14546">
        <v>424033</v>
      </c>
      <c r="F14546" t="s">
        <v>1</v>
      </c>
      <c r="G14546" t="s">
        <v>2</v>
      </c>
      <c r="H14546" t="s">
        <v>4300</v>
      </c>
      <c r="I14546" t="s">
        <v>50001</v>
      </c>
      <c r="L14546" t="s">
        <v>50002</v>
      </c>
      <c r="M14546" t="s">
        <v>50003</v>
      </c>
      <c r="Y14546" t="s">
        <v>50004</v>
      </c>
    </row>
    <row r="14547" spans="1:25" x14ac:dyDescent="0.25">
      <c r="A14547" t="str">
        <f>"243341602966"</f>
        <v>243341602966</v>
      </c>
      <c r="B14547" t="s">
        <v>530</v>
      </c>
      <c r="C14547" t="s">
        <v>23950</v>
      </c>
      <c r="D14547" t="s">
        <v>23950</v>
      </c>
      <c r="F14547" t="s">
        <v>1</v>
      </c>
      <c r="G14547" t="s">
        <v>2</v>
      </c>
      <c r="H14547" t="s">
        <v>50005</v>
      </c>
      <c r="Y14547" t="s">
        <v>50006</v>
      </c>
    </row>
    <row r="14548" spans="1:25" x14ac:dyDescent="0.25">
      <c r="A14548" t="str">
        <f>"243364403065"</f>
        <v>243364403065</v>
      </c>
      <c r="B14548" t="s">
        <v>160</v>
      </c>
      <c r="C14548" t="s">
        <v>2479</v>
      </c>
      <c r="D14548" t="s">
        <v>50007</v>
      </c>
      <c r="E14548">
        <v>424039</v>
      </c>
      <c r="F14548" t="s">
        <v>1</v>
      </c>
      <c r="G14548" t="s">
        <v>2</v>
      </c>
      <c r="H14548" t="s">
        <v>28737</v>
      </c>
      <c r="Y14548" t="s">
        <v>50008</v>
      </c>
    </row>
    <row r="14549" spans="1:25" x14ac:dyDescent="0.25">
      <c r="A14549" t="str">
        <f>"243365727660"</f>
        <v>243365727660</v>
      </c>
      <c r="B14549" t="s">
        <v>96</v>
      </c>
      <c r="C14549" t="s">
        <v>507</v>
      </c>
      <c r="D14549" t="s">
        <v>17437</v>
      </c>
      <c r="E14549">
        <v>424006</v>
      </c>
      <c r="F14549" t="s">
        <v>1</v>
      </c>
      <c r="G14549" t="s">
        <v>2</v>
      </c>
      <c r="H14549" t="s">
        <v>393</v>
      </c>
      <c r="I14549" t="s">
        <v>50009</v>
      </c>
      <c r="Y14549" t="s">
        <v>50010</v>
      </c>
    </row>
    <row r="14550" spans="1:25" x14ac:dyDescent="0.25">
      <c r="A14550" t="str">
        <f>"243369953907"</f>
        <v>243369953907</v>
      </c>
      <c r="B14550" t="s">
        <v>574</v>
      </c>
      <c r="C14550" t="s">
        <v>24087</v>
      </c>
      <c r="D14550" t="s">
        <v>39869</v>
      </c>
      <c r="E14550">
        <v>424005</v>
      </c>
      <c r="F14550" t="s">
        <v>1</v>
      </c>
      <c r="G14550" t="s">
        <v>2</v>
      </c>
      <c r="H14550" t="s">
        <v>50011</v>
      </c>
      <c r="Y14550" t="s">
        <v>50012</v>
      </c>
    </row>
    <row r="14551" spans="1:25" x14ac:dyDescent="0.25">
      <c r="A14551" t="str">
        <f>"243384836690"</f>
        <v>243384836690</v>
      </c>
      <c r="B14551" t="s">
        <v>379</v>
      </c>
      <c r="C14551" t="s">
        <v>766</v>
      </c>
      <c r="D14551" t="s">
        <v>19399</v>
      </c>
      <c r="E14551">
        <v>424003</v>
      </c>
      <c r="F14551" t="s">
        <v>1</v>
      </c>
      <c r="G14551" t="s">
        <v>2</v>
      </c>
      <c r="H14551" t="s">
        <v>7152</v>
      </c>
      <c r="Y14551" t="s">
        <v>7157</v>
      </c>
    </row>
    <row r="14552" spans="1:25" x14ac:dyDescent="0.25">
      <c r="A14552" t="str">
        <f>"243393499602"</f>
        <v>243393499602</v>
      </c>
      <c r="B14552" t="s">
        <v>574</v>
      </c>
      <c r="C14552" t="s">
        <v>646</v>
      </c>
      <c r="D14552" t="s">
        <v>50013</v>
      </c>
      <c r="E14552">
        <v>424028</v>
      </c>
      <c r="F14552" t="s">
        <v>1</v>
      </c>
      <c r="G14552" t="s">
        <v>2</v>
      </c>
      <c r="H14552" t="s">
        <v>35962</v>
      </c>
      <c r="I14552" t="s">
        <v>50014</v>
      </c>
      <c r="P14552" t="s">
        <v>2457</v>
      </c>
      <c r="Y14552" t="s">
        <v>50015</v>
      </c>
    </row>
    <row r="14553" spans="1:25" x14ac:dyDescent="0.25">
      <c r="A14553" t="str">
        <f>"243522591519"</f>
        <v>243522591519</v>
      </c>
      <c r="B14553" t="s">
        <v>290</v>
      </c>
      <c r="C14553" t="s">
        <v>50019</v>
      </c>
      <c r="D14553" t="s">
        <v>50016</v>
      </c>
      <c r="F14553" t="s">
        <v>1</v>
      </c>
      <c r="G14553" t="s">
        <v>2</v>
      </c>
      <c r="H14553" t="s">
        <v>138</v>
      </c>
      <c r="I14553" t="s">
        <v>50017</v>
      </c>
      <c r="L14553" t="s">
        <v>4294</v>
      </c>
      <c r="M14553" t="s">
        <v>50018</v>
      </c>
      <c r="P14553" t="s">
        <v>144</v>
      </c>
      <c r="Y14553" t="s">
        <v>50020</v>
      </c>
    </row>
    <row r="14554" spans="1:25" x14ac:dyDescent="0.25">
      <c r="A14554" t="str">
        <f>"243561894010"</f>
        <v>243561894010</v>
      </c>
      <c r="B14554" t="s">
        <v>348</v>
      </c>
      <c r="C14554" t="s">
        <v>21775</v>
      </c>
      <c r="D14554" t="s">
        <v>25445</v>
      </c>
      <c r="E14554">
        <v>424019</v>
      </c>
      <c r="F14554" t="s">
        <v>1</v>
      </c>
      <c r="G14554" t="s">
        <v>2</v>
      </c>
      <c r="H14554" t="s">
        <v>15506</v>
      </c>
      <c r="Y14554" t="s">
        <v>50021</v>
      </c>
    </row>
    <row r="14555" spans="1:25" x14ac:dyDescent="0.25">
      <c r="A14555" t="str">
        <f>"243616764021"</f>
        <v>243616764021</v>
      </c>
      <c r="B14555" t="s">
        <v>25</v>
      </c>
      <c r="C14555" t="s">
        <v>20320</v>
      </c>
      <c r="D14555" t="s">
        <v>50022</v>
      </c>
      <c r="E14555">
        <v>424007</v>
      </c>
      <c r="F14555" t="s">
        <v>1</v>
      </c>
      <c r="G14555" t="s">
        <v>2</v>
      </c>
      <c r="H14555" t="s">
        <v>34833</v>
      </c>
      <c r="Y14555" t="s">
        <v>50023</v>
      </c>
    </row>
    <row r="14556" spans="1:25" x14ac:dyDescent="0.25">
      <c r="A14556" t="str">
        <f>"243638615081"</f>
        <v>243638615081</v>
      </c>
      <c r="B14556" t="s">
        <v>1152</v>
      </c>
      <c r="C14556" t="s">
        <v>8449</v>
      </c>
      <c r="D14556" t="s">
        <v>42821</v>
      </c>
      <c r="E14556">
        <v>424006</v>
      </c>
      <c r="F14556" t="s">
        <v>1</v>
      </c>
      <c r="G14556" t="s">
        <v>2</v>
      </c>
      <c r="H14556" t="s">
        <v>478</v>
      </c>
      <c r="I14556" t="s">
        <v>42822</v>
      </c>
      <c r="J14556" t="s">
        <v>42823</v>
      </c>
      <c r="P14556" t="s">
        <v>10285</v>
      </c>
      <c r="Q14556" t="s">
        <v>42824</v>
      </c>
      <c r="Y14556" t="s">
        <v>926</v>
      </c>
    </row>
    <row r="14557" spans="1:25" x14ac:dyDescent="0.25">
      <c r="A14557" t="str">
        <f>"243648767723"</f>
        <v>243648767723</v>
      </c>
      <c r="B14557" t="s">
        <v>408</v>
      </c>
      <c r="C14557" t="s">
        <v>26131</v>
      </c>
      <c r="D14557" t="s">
        <v>50024</v>
      </c>
      <c r="E14557">
        <v>424918</v>
      </c>
      <c r="F14557" t="s">
        <v>1</v>
      </c>
      <c r="G14557" t="s">
        <v>2</v>
      </c>
      <c r="H14557" t="s">
        <v>629</v>
      </c>
      <c r="I14557" t="s">
        <v>50025</v>
      </c>
      <c r="J14557" t="s">
        <v>50026</v>
      </c>
      <c r="L14557" t="s">
        <v>50027</v>
      </c>
      <c r="M14557" t="s">
        <v>50028</v>
      </c>
      <c r="P14557" t="s">
        <v>50029</v>
      </c>
      <c r="Q14557" t="s">
        <v>50030</v>
      </c>
      <c r="V14557" t="s">
        <v>50031</v>
      </c>
      <c r="Y14557" t="s">
        <v>1744</v>
      </c>
    </row>
    <row r="14558" spans="1:25" x14ac:dyDescent="0.25">
      <c r="A14558" t="str">
        <f>"243655875723"</f>
        <v>243655875723</v>
      </c>
      <c r="B14558" t="s">
        <v>1262</v>
      </c>
      <c r="C14558" t="s">
        <v>2335</v>
      </c>
      <c r="D14558" t="s">
        <v>50032</v>
      </c>
      <c r="F14558" t="s">
        <v>1</v>
      </c>
      <c r="G14558" t="s">
        <v>2</v>
      </c>
      <c r="H14558" t="s">
        <v>8989</v>
      </c>
      <c r="J14558" t="s">
        <v>50033</v>
      </c>
      <c r="L14558" t="s">
        <v>50034</v>
      </c>
      <c r="M14558" t="s">
        <v>50035</v>
      </c>
      <c r="P14558" t="s">
        <v>390</v>
      </c>
      <c r="Y14558" t="s">
        <v>50036</v>
      </c>
    </row>
    <row r="14559" spans="1:25" x14ac:dyDescent="0.25">
      <c r="A14559" t="str">
        <f>"243678559360"</f>
        <v>243678559360</v>
      </c>
      <c r="B14559" t="s">
        <v>1315</v>
      </c>
      <c r="C14559" t="s">
        <v>4274</v>
      </c>
      <c r="D14559" t="s">
        <v>5728</v>
      </c>
      <c r="E14559">
        <v>424006</v>
      </c>
      <c r="F14559" t="s">
        <v>1</v>
      </c>
      <c r="G14559" t="s">
        <v>2</v>
      </c>
      <c r="H14559" t="s">
        <v>14949</v>
      </c>
      <c r="Y14559" t="s">
        <v>13598</v>
      </c>
    </row>
    <row r="14560" spans="1:25" x14ac:dyDescent="0.25">
      <c r="A14560" t="str">
        <f>"243795398597"</f>
        <v>243795398597</v>
      </c>
      <c r="B14560" t="s">
        <v>96</v>
      </c>
      <c r="C14560" t="s">
        <v>659</v>
      </c>
      <c r="D14560" t="s">
        <v>41408</v>
      </c>
      <c r="E14560">
        <v>424000</v>
      </c>
      <c r="F14560" t="s">
        <v>1</v>
      </c>
      <c r="G14560" t="s">
        <v>2</v>
      </c>
      <c r="H14560" t="s">
        <v>1531</v>
      </c>
      <c r="Y14560" t="s">
        <v>1707</v>
      </c>
    </row>
    <row r="14561" spans="1:25" x14ac:dyDescent="0.25">
      <c r="A14561" t="str">
        <f>"243849383816"</f>
        <v>243849383816</v>
      </c>
      <c r="B14561" t="s">
        <v>176</v>
      </c>
      <c r="C14561" t="s">
        <v>566</v>
      </c>
      <c r="D14561" t="s">
        <v>50037</v>
      </c>
      <c r="E14561">
        <v>424003</v>
      </c>
      <c r="F14561" t="s">
        <v>1</v>
      </c>
      <c r="G14561" t="s">
        <v>2</v>
      </c>
      <c r="H14561" t="s">
        <v>13256</v>
      </c>
      <c r="P14561" t="s">
        <v>60</v>
      </c>
      <c r="Y14561" t="s">
        <v>50038</v>
      </c>
    </row>
    <row r="14562" spans="1:25" x14ac:dyDescent="0.25">
      <c r="A14562" t="str">
        <f>"243896853332"</f>
        <v>243896853332</v>
      </c>
      <c r="B14562" t="s">
        <v>930</v>
      </c>
      <c r="C14562" t="s">
        <v>21222</v>
      </c>
      <c r="D14562" t="s">
        <v>50039</v>
      </c>
      <c r="E14562">
        <v>424006</v>
      </c>
      <c r="F14562" t="s">
        <v>1</v>
      </c>
      <c r="G14562" t="s">
        <v>2</v>
      </c>
      <c r="H14562" t="s">
        <v>36250</v>
      </c>
      <c r="I14562" t="s">
        <v>50040</v>
      </c>
      <c r="J14562" t="s">
        <v>50041</v>
      </c>
      <c r="L14562" t="s">
        <v>50042</v>
      </c>
      <c r="M14562" t="s">
        <v>50043</v>
      </c>
      <c r="P14562" t="s">
        <v>50044</v>
      </c>
      <c r="Y14562" t="s">
        <v>50045</v>
      </c>
    </row>
    <row r="14563" spans="1:25" x14ac:dyDescent="0.25">
      <c r="A14563" t="str">
        <f>"243968563524"</f>
        <v>243968563524</v>
      </c>
      <c r="B14563" t="s">
        <v>1299</v>
      </c>
      <c r="C14563" t="s">
        <v>1300</v>
      </c>
      <c r="D14563" t="s">
        <v>50046</v>
      </c>
      <c r="F14563" t="s">
        <v>1</v>
      </c>
      <c r="G14563" t="s">
        <v>2</v>
      </c>
      <c r="H14563" t="s">
        <v>10476</v>
      </c>
      <c r="Y14563" t="s">
        <v>50047</v>
      </c>
    </row>
    <row r="14564" spans="1:25" x14ac:dyDescent="0.25">
      <c r="A14564" t="str">
        <f>"243974881227"</f>
        <v>243974881227</v>
      </c>
      <c r="B14564" t="s">
        <v>18</v>
      </c>
      <c r="C14564" t="s">
        <v>35511</v>
      </c>
      <c r="D14564" t="s">
        <v>46233</v>
      </c>
      <c r="E14564">
        <v>424039</v>
      </c>
      <c r="F14564" t="s">
        <v>1</v>
      </c>
      <c r="G14564" t="s">
        <v>2</v>
      </c>
      <c r="H14564" t="s">
        <v>962</v>
      </c>
      <c r="I14564" t="s">
        <v>50048</v>
      </c>
      <c r="L14564" t="s">
        <v>13279</v>
      </c>
      <c r="M14564" t="s">
        <v>13280</v>
      </c>
      <c r="P14564" t="s">
        <v>911</v>
      </c>
      <c r="Q14564" t="s">
        <v>13282</v>
      </c>
      <c r="Y14564" t="s">
        <v>32131</v>
      </c>
    </row>
    <row r="14565" spans="1:25" x14ac:dyDescent="0.25">
      <c r="A14565" t="str">
        <f>"243979603130"</f>
        <v>243979603130</v>
      </c>
      <c r="B14565" t="s">
        <v>574</v>
      </c>
      <c r="C14565" t="s">
        <v>14269</v>
      </c>
      <c r="D14565" t="s">
        <v>50049</v>
      </c>
      <c r="E14565">
        <v>424007</v>
      </c>
      <c r="F14565" t="s">
        <v>1</v>
      </c>
      <c r="G14565" t="s">
        <v>2</v>
      </c>
      <c r="H14565" t="s">
        <v>41715</v>
      </c>
      <c r="Y14565" t="s">
        <v>50050</v>
      </c>
    </row>
    <row r="14566" spans="1:25" x14ac:dyDescent="0.25">
      <c r="A14566" t="str">
        <f>"244020915099"</f>
        <v>244020915099</v>
      </c>
      <c r="B14566" t="s">
        <v>417</v>
      </c>
      <c r="C14566" t="s">
        <v>418</v>
      </c>
      <c r="D14566" t="s">
        <v>417</v>
      </c>
      <c r="E14566">
        <v>424004</v>
      </c>
      <c r="F14566" t="s">
        <v>1</v>
      </c>
      <c r="G14566" t="s">
        <v>2</v>
      </c>
      <c r="H14566" t="s">
        <v>229</v>
      </c>
      <c r="Y14566" t="s">
        <v>50051</v>
      </c>
    </row>
    <row r="14567" spans="1:25" x14ac:dyDescent="0.25">
      <c r="A14567" t="str">
        <f>"244048323606"</f>
        <v>244048323606</v>
      </c>
      <c r="B14567" t="s">
        <v>7849</v>
      </c>
      <c r="C14567" t="s">
        <v>22242</v>
      </c>
      <c r="D14567" t="s">
        <v>39188</v>
      </c>
      <c r="E14567">
        <v>424000</v>
      </c>
      <c r="F14567" t="s">
        <v>1</v>
      </c>
      <c r="G14567" t="s">
        <v>2</v>
      </c>
      <c r="H14567" t="s">
        <v>10803</v>
      </c>
      <c r="P14567" t="s">
        <v>50052</v>
      </c>
      <c r="Y14567" t="s">
        <v>10805</v>
      </c>
    </row>
    <row r="14568" spans="1:25" x14ac:dyDescent="0.25">
      <c r="A14568" t="str">
        <f>"244092136104"</f>
        <v>244092136104</v>
      </c>
      <c r="B14568" t="s">
        <v>1552</v>
      </c>
      <c r="C14568" t="s">
        <v>1962</v>
      </c>
      <c r="D14568" t="s">
        <v>11283</v>
      </c>
      <c r="E14568">
        <v>424036</v>
      </c>
      <c r="F14568" t="s">
        <v>1</v>
      </c>
      <c r="G14568" t="s">
        <v>2</v>
      </c>
      <c r="H14568" t="s">
        <v>16732</v>
      </c>
      <c r="I14568" t="s">
        <v>50053</v>
      </c>
      <c r="L14568" t="s">
        <v>50054</v>
      </c>
      <c r="M14568" t="s">
        <v>50055</v>
      </c>
      <c r="P14568" t="s">
        <v>799</v>
      </c>
      <c r="Y14568" t="s">
        <v>50056</v>
      </c>
    </row>
    <row r="14569" spans="1:25" x14ac:dyDescent="0.25">
      <c r="A14569" t="str">
        <f>"244175378288"</f>
        <v>244175378288</v>
      </c>
      <c r="B14569" t="s">
        <v>930</v>
      </c>
      <c r="C14569" t="s">
        <v>50058</v>
      </c>
      <c r="D14569" t="s">
        <v>50057</v>
      </c>
      <c r="E14569">
        <v>424000</v>
      </c>
      <c r="F14569" t="s">
        <v>1</v>
      </c>
      <c r="G14569" t="s">
        <v>2</v>
      </c>
      <c r="H14569" t="s">
        <v>92</v>
      </c>
      <c r="Y14569" t="s">
        <v>28397</v>
      </c>
    </row>
    <row r="14570" spans="1:25" x14ac:dyDescent="0.25">
      <c r="A14570" t="str">
        <f>"244201090278"</f>
        <v>244201090278</v>
      </c>
      <c r="B14570" t="s">
        <v>7</v>
      </c>
      <c r="C14570" t="s">
        <v>50063</v>
      </c>
      <c r="D14570" t="s">
        <v>50059</v>
      </c>
      <c r="E14570">
        <v>424016</v>
      </c>
      <c r="F14570" t="s">
        <v>1</v>
      </c>
      <c r="G14570" t="s">
        <v>2</v>
      </c>
      <c r="H14570" t="s">
        <v>16109</v>
      </c>
      <c r="I14570" t="s">
        <v>50060</v>
      </c>
      <c r="L14570" t="s">
        <v>50061</v>
      </c>
      <c r="M14570" t="s">
        <v>50062</v>
      </c>
      <c r="Q14570" t="s">
        <v>50064</v>
      </c>
      <c r="T14570" t="s">
        <v>50065</v>
      </c>
      <c r="V14570" t="s">
        <v>50066</v>
      </c>
      <c r="Y14570" t="s">
        <v>16111</v>
      </c>
    </row>
    <row r="14571" spans="1:25" x14ac:dyDescent="0.25">
      <c r="A14571" t="str">
        <f>"244293153020"</f>
        <v>244293153020</v>
      </c>
      <c r="B14571" t="s">
        <v>456</v>
      </c>
      <c r="C14571" t="s">
        <v>50071</v>
      </c>
      <c r="D14571" t="s">
        <v>50067</v>
      </c>
      <c r="E14571">
        <v>424038</v>
      </c>
      <c r="F14571" t="s">
        <v>1</v>
      </c>
      <c r="G14571" t="s">
        <v>2</v>
      </c>
      <c r="H14571" t="s">
        <v>9164</v>
      </c>
      <c r="J14571" t="s">
        <v>50068</v>
      </c>
      <c r="L14571" t="s">
        <v>50069</v>
      </c>
      <c r="M14571" t="s">
        <v>50070</v>
      </c>
      <c r="P14571" t="s">
        <v>60</v>
      </c>
      <c r="Y14571" t="s">
        <v>9169</v>
      </c>
    </row>
    <row r="14572" spans="1:25" x14ac:dyDescent="0.25">
      <c r="A14572" t="str">
        <f>"244297062032"</f>
        <v>244297062032</v>
      </c>
      <c r="B14572" t="s">
        <v>669</v>
      </c>
      <c r="C14572" t="s">
        <v>50076</v>
      </c>
      <c r="D14572" t="s">
        <v>50072</v>
      </c>
      <c r="E14572">
        <v>424007</v>
      </c>
      <c r="F14572" t="s">
        <v>1</v>
      </c>
      <c r="G14572" t="s">
        <v>2</v>
      </c>
      <c r="H14572" t="s">
        <v>10252</v>
      </c>
      <c r="I14572" t="s">
        <v>50073</v>
      </c>
      <c r="L14572" t="s">
        <v>50074</v>
      </c>
      <c r="M14572" t="s">
        <v>50075</v>
      </c>
      <c r="P14572" t="s">
        <v>6400</v>
      </c>
      <c r="Y14572" t="s">
        <v>10258</v>
      </c>
    </row>
    <row r="14573" spans="1:25" x14ac:dyDescent="0.25">
      <c r="A14573" t="str">
        <f>"244333936563"</f>
        <v>244333936563</v>
      </c>
      <c r="B14573" t="s">
        <v>25</v>
      </c>
      <c r="C14573" t="s">
        <v>24938</v>
      </c>
      <c r="D14573" t="s">
        <v>50077</v>
      </c>
      <c r="F14573" t="s">
        <v>1</v>
      </c>
      <c r="G14573" t="s">
        <v>2</v>
      </c>
      <c r="H14573" t="s">
        <v>50078</v>
      </c>
      <c r="I14573" t="s">
        <v>24696</v>
      </c>
      <c r="L14573" t="s">
        <v>24697</v>
      </c>
      <c r="M14573" t="s">
        <v>50079</v>
      </c>
      <c r="Y14573" t="s">
        <v>50080</v>
      </c>
    </row>
    <row r="14574" spans="1:25" x14ac:dyDescent="0.25">
      <c r="A14574" t="str">
        <f>"244402955581"</f>
        <v>244402955581</v>
      </c>
      <c r="B14574" t="s">
        <v>7</v>
      </c>
      <c r="C14574" t="s">
        <v>9397</v>
      </c>
      <c r="D14574" t="s">
        <v>50081</v>
      </c>
      <c r="E14574">
        <v>424006</v>
      </c>
      <c r="F14574" t="s">
        <v>1</v>
      </c>
      <c r="G14574" t="s">
        <v>2</v>
      </c>
      <c r="H14574" t="s">
        <v>10818</v>
      </c>
      <c r="I14574" t="s">
        <v>50082</v>
      </c>
      <c r="L14574" t="s">
        <v>50083</v>
      </c>
      <c r="M14574" t="s">
        <v>50084</v>
      </c>
      <c r="P14574" t="s">
        <v>27</v>
      </c>
      <c r="Q14574" t="s">
        <v>50085</v>
      </c>
      <c r="T14574" t="s">
        <v>50086</v>
      </c>
      <c r="V14574" t="s">
        <v>50087</v>
      </c>
      <c r="Y14574" t="s">
        <v>10823</v>
      </c>
    </row>
    <row r="14575" spans="1:25" x14ac:dyDescent="0.25">
      <c r="A14575" t="str">
        <f>"244424280393"</f>
        <v>244424280393</v>
      </c>
      <c r="B14575" t="s">
        <v>18</v>
      </c>
      <c r="C14575" t="s">
        <v>10339</v>
      </c>
      <c r="D14575" t="s">
        <v>50088</v>
      </c>
      <c r="F14575" t="s">
        <v>1</v>
      </c>
      <c r="G14575" t="s">
        <v>2</v>
      </c>
      <c r="H14575" t="s">
        <v>25588</v>
      </c>
      <c r="Y14575" t="s">
        <v>50089</v>
      </c>
    </row>
    <row r="14576" spans="1:25" x14ac:dyDescent="0.25">
      <c r="A14576" t="str">
        <f>"244459025804"</f>
        <v>244459025804</v>
      </c>
      <c r="B14576" t="s">
        <v>530</v>
      </c>
      <c r="C14576" t="s">
        <v>23950</v>
      </c>
      <c r="D14576" t="s">
        <v>23950</v>
      </c>
      <c r="E14576">
        <v>424040</v>
      </c>
      <c r="F14576" t="s">
        <v>1</v>
      </c>
      <c r="G14576" t="s">
        <v>2</v>
      </c>
      <c r="H14576" t="s">
        <v>6920</v>
      </c>
      <c r="Y14576" t="s">
        <v>50090</v>
      </c>
    </row>
    <row r="14577" spans="1:25" x14ac:dyDescent="0.25">
      <c r="A14577" t="str">
        <f>"244460889367"</f>
        <v>244460889367</v>
      </c>
      <c r="B14577" t="s">
        <v>738</v>
      </c>
      <c r="C14577" t="s">
        <v>739</v>
      </c>
      <c r="D14577" t="s">
        <v>43240</v>
      </c>
      <c r="E14577">
        <v>424008</v>
      </c>
      <c r="F14577" t="s">
        <v>1</v>
      </c>
      <c r="G14577" t="s">
        <v>2</v>
      </c>
      <c r="H14577" t="s">
        <v>6327</v>
      </c>
      <c r="Y14577" t="s">
        <v>50091</v>
      </c>
    </row>
    <row r="14578" spans="1:25" x14ac:dyDescent="0.25">
      <c r="A14578" t="str">
        <f>"244506770104"</f>
        <v>244506770104</v>
      </c>
      <c r="B14578" t="s">
        <v>96</v>
      </c>
      <c r="C14578" t="s">
        <v>25084</v>
      </c>
      <c r="D14578" t="s">
        <v>50092</v>
      </c>
      <c r="E14578">
        <v>424000</v>
      </c>
      <c r="F14578" t="s">
        <v>1</v>
      </c>
      <c r="G14578" t="s">
        <v>2</v>
      </c>
      <c r="H14578" t="s">
        <v>1531</v>
      </c>
      <c r="J14578" t="s">
        <v>50093</v>
      </c>
      <c r="P14578" t="s">
        <v>941</v>
      </c>
      <c r="Y14578" t="s">
        <v>50094</v>
      </c>
    </row>
    <row r="14579" spans="1:25" x14ac:dyDescent="0.25">
      <c r="A14579" t="str">
        <f>"244520468630"</f>
        <v>244520468630</v>
      </c>
      <c r="B14579" t="s">
        <v>96</v>
      </c>
      <c r="C14579" t="s">
        <v>8479</v>
      </c>
      <c r="D14579" t="s">
        <v>50095</v>
      </c>
      <c r="E14579">
        <v>424005</v>
      </c>
      <c r="F14579" t="s">
        <v>1</v>
      </c>
      <c r="G14579" t="s">
        <v>2</v>
      </c>
      <c r="H14579" t="s">
        <v>7480</v>
      </c>
      <c r="Y14579" t="s">
        <v>7482</v>
      </c>
    </row>
    <row r="14580" spans="1:25" x14ac:dyDescent="0.25">
      <c r="A14580" t="str">
        <f>"244536430803"</f>
        <v>244536430803</v>
      </c>
      <c r="B14580" t="s">
        <v>96</v>
      </c>
      <c r="C14580" t="s">
        <v>7071</v>
      </c>
      <c r="D14580" t="s">
        <v>48486</v>
      </c>
      <c r="E14580">
        <v>424033</v>
      </c>
      <c r="F14580" t="s">
        <v>1</v>
      </c>
      <c r="G14580" t="s">
        <v>2</v>
      </c>
      <c r="H14580" t="s">
        <v>1782</v>
      </c>
      <c r="I14580" t="s">
        <v>50096</v>
      </c>
      <c r="M14580" t="s">
        <v>50097</v>
      </c>
      <c r="V14580" t="s">
        <v>50098</v>
      </c>
      <c r="Y14580" t="s">
        <v>50099</v>
      </c>
    </row>
    <row r="14581" spans="1:25" x14ac:dyDescent="0.25">
      <c r="A14581" t="str">
        <f>"244564918044"</f>
        <v>244564918044</v>
      </c>
      <c r="B14581" t="s">
        <v>32</v>
      </c>
      <c r="C14581" t="s">
        <v>40</v>
      </c>
      <c r="D14581" t="s">
        <v>50100</v>
      </c>
      <c r="E14581">
        <v>424005</v>
      </c>
      <c r="F14581" t="s">
        <v>1</v>
      </c>
      <c r="G14581" t="s">
        <v>2</v>
      </c>
      <c r="H14581" t="s">
        <v>1298</v>
      </c>
      <c r="I14581" t="s">
        <v>50101</v>
      </c>
      <c r="P14581" t="s">
        <v>7125</v>
      </c>
      <c r="Y14581" t="s">
        <v>1301</v>
      </c>
    </row>
    <row r="14582" spans="1:25" x14ac:dyDescent="0.25">
      <c r="A14582" t="str">
        <f>"244624797949"</f>
        <v>244624797949</v>
      </c>
      <c r="B14582" t="s">
        <v>388</v>
      </c>
      <c r="C14582" t="s">
        <v>5565</v>
      </c>
      <c r="D14582" t="s">
        <v>50102</v>
      </c>
      <c r="E14582">
        <v>424040</v>
      </c>
      <c r="F14582" t="s">
        <v>1</v>
      </c>
      <c r="G14582" t="s">
        <v>2</v>
      </c>
      <c r="H14582" t="s">
        <v>7927</v>
      </c>
      <c r="I14582" t="s">
        <v>50103</v>
      </c>
      <c r="M14582" t="s">
        <v>50104</v>
      </c>
      <c r="P14582" t="s">
        <v>27</v>
      </c>
      <c r="Y14582" t="s">
        <v>19950</v>
      </c>
    </row>
    <row r="14583" spans="1:25" x14ac:dyDescent="0.25">
      <c r="A14583" t="str">
        <f>"244628231352"</f>
        <v>244628231352</v>
      </c>
      <c r="B14583" t="s">
        <v>25</v>
      </c>
      <c r="C14583" t="s">
        <v>32030</v>
      </c>
      <c r="D14583" t="s">
        <v>50105</v>
      </c>
      <c r="E14583">
        <v>424002</v>
      </c>
      <c r="F14583" t="s">
        <v>1</v>
      </c>
      <c r="G14583" t="s">
        <v>2</v>
      </c>
      <c r="H14583" t="s">
        <v>6319</v>
      </c>
      <c r="I14583" t="s">
        <v>50106</v>
      </c>
      <c r="L14583" t="s">
        <v>50107</v>
      </c>
      <c r="M14583" t="s">
        <v>50108</v>
      </c>
      <c r="P14583" t="s">
        <v>50109</v>
      </c>
      <c r="Y14583" t="s">
        <v>7252</v>
      </c>
    </row>
    <row r="14584" spans="1:25" x14ac:dyDescent="0.25">
      <c r="A14584" t="str">
        <f>"244656333182"</f>
        <v>244656333182</v>
      </c>
      <c r="B14584" t="s">
        <v>1611</v>
      </c>
      <c r="C14584" t="s">
        <v>3218</v>
      </c>
      <c r="D14584" t="s">
        <v>32379</v>
      </c>
      <c r="E14584">
        <v>424005</v>
      </c>
      <c r="F14584" t="s">
        <v>1</v>
      </c>
      <c r="G14584" t="s">
        <v>2</v>
      </c>
      <c r="H14584" t="s">
        <v>32279</v>
      </c>
      <c r="Y14584" t="s">
        <v>50110</v>
      </c>
    </row>
    <row r="14585" spans="1:25" x14ac:dyDescent="0.25">
      <c r="A14585" t="str">
        <f>"244661991469"</f>
        <v>244661991469</v>
      </c>
      <c r="B14585" t="s">
        <v>123</v>
      </c>
      <c r="C14585" t="s">
        <v>50115</v>
      </c>
      <c r="D14585" t="s">
        <v>50111</v>
      </c>
      <c r="E14585">
        <v>424000</v>
      </c>
      <c r="F14585" t="s">
        <v>1</v>
      </c>
      <c r="G14585" t="s">
        <v>2</v>
      </c>
      <c r="H14585" t="s">
        <v>50112</v>
      </c>
      <c r="J14585" t="s">
        <v>50113</v>
      </c>
      <c r="L14585" t="s">
        <v>50114</v>
      </c>
      <c r="P14585" t="s">
        <v>50116</v>
      </c>
      <c r="Q14585" t="s">
        <v>50117</v>
      </c>
      <c r="Y14585" t="s">
        <v>50118</v>
      </c>
    </row>
    <row r="14586" spans="1:25" x14ac:dyDescent="0.25">
      <c r="A14586" t="str">
        <f>"244663890632"</f>
        <v>244663890632</v>
      </c>
      <c r="B14586" t="s">
        <v>67</v>
      </c>
      <c r="C14586" t="s">
        <v>27252</v>
      </c>
      <c r="D14586" t="s">
        <v>31837</v>
      </c>
      <c r="E14586">
        <v>424000</v>
      </c>
      <c r="F14586" t="s">
        <v>1</v>
      </c>
      <c r="G14586" t="s">
        <v>2</v>
      </c>
      <c r="H14586" t="s">
        <v>34581</v>
      </c>
      <c r="Y14586" t="s">
        <v>50119</v>
      </c>
    </row>
    <row r="14587" spans="1:25" x14ac:dyDescent="0.25">
      <c r="A14587" t="str">
        <f>"244687934297"</f>
        <v>244687934297</v>
      </c>
      <c r="B14587" t="s">
        <v>1053</v>
      </c>
      <c r="C14587" t="s">
        <v>10510</v>
      </c>
      <c r="D14587" t="s">
        <v>12461</v>
      </c>
      <c r="E14587">
        <v>424006</v>
      </c>
      <c r="F14587" t="s">
        <v>1</v>
      </c>
      <c r="G14587" t="s">
        <v>2</v>
      </c>
      <c r="H14587" t="s">
        <v>28448</v>
      </c>
      <c r="J14587" t="s">
        <v>50120</v>
      </c>
      <c r="P14587" t="s">
        <v>280</v>
      </c>
      <c r="Y14587" t="s">
        <v>50121</v>
      </c>
    </row>
    <row r="14588" spans="1:25" x14ac:dyDescent="0.25">
      <c r="A14588" t="str">
        <f>"244703286143"</f>
        <v>244703286143</v>
      </c>
      <c r="B14588" t="s">
        <v>32</v>
      </c>
      <c r="C14588" t="s">
        <v>182</v>
      </c>
      <c r="D14588" t="s">
        <v>50122</v>
      </c>
      <c r="E14588">
        <v>424006</v>
      </c>
      <c r="F14588" t="s">
        <v>1</v>
      </c>
      <c r="G14588" t="s">
        <v>2</v>
      </c>
      <c r="H14588" t="s">
        <v>6133</v>
      </c>
      <c r="I14588" t="s">
        <v>50123</v>
      </c>
      <c r="L14588" t="s">
        <v>50124</v>
      </c>
      <c r="M14588" t="s">
        <v>50125</v>
      </c>
      <c r="P14588" t="s">
        <v>133</v>
      </c>
      <c r="Q14588" t="s">
        <v>50126</v>
      </c>
      <c r="V14588" t="s">
        <v>50127</v>
      </c>
      <c r="Y14588" t="s">
        <v>24905</v>
      </c>
    </row>
    <row r="14589" spans="1:25" x14ac:dyDescent="0.25">
      <c r="A14589" t="str">
        <f>"244708173054"</f>
        <v>244708173054</v>
      </c>
      <c r="B14589" t="s">
        <v>530</v>
      </c>
      <c r="C14589" t="s">
        <v>23950</v>
      </c>
      <c r="D14589" t="s">
        <v>23950</v>
      </c>
      <c r="E14589">
        <v>424007</v>
      </c>
      <c r="F14589" t="s">
        <v>1</v>
      </c>
      <c r="G14589" t="s">
        <v>2</v>
      </c>
      <c r="H14589" t="s">
        <v>16500</v>
      </c>
      <c r="Y14589" t="s">
        <v>50128</v>
      </c>
    </row>
    <row r="14590" spans="1:25" x14ac:dyDescent="0.25">
      <c r="A14590" t="str">
        <f>"244709125097"</f>
        <v>244709125097</v>
      </c>
      <c r="B14590" t="s">
        <v>32</v>
      </c>
      <c r="C14590" t="s">
        <v>40</v>
      </c>
      <c r="D14590" t="s">
        <v>40878</v>
      </c>
      <c r="E14590">
        <v>424019</v>
      </c>
      <c r="F14590" t="s">
        <v>1</v>
      </c>
      <c r="G14590" t="s">
        <v>2</v>
      </c>
      <c r="H14590" t="s">
        <v>20692</v>
      </c>
      <c r="Y14590" t="s">
        <v>50129</v>
      </c>
    </row>
    <row r="14591" spans="1:25" x14ac:dyDescent="0.25">
      <c r="A14591" t="str">
        <f>"244725495247"</f>
        <v>244725495247</v>
      </c>
      <c r="B14591" t="s">
        <v>18</v>
      </c>
      <c r="C14591" t="s">
        <v>8608</v>
      </c>
      <c r="D14591" t="s">
        <v>50130</v>
      </c>
      <c r="E14591">
        <v>424000</v>
      </c>
      <c r="F14591" t="s">
        <v>1</v>
      </c>
      <c r="G14591" t="s">
        <v>2</v>
      </c>
      <c r="H14591" t="s">
        <v>2671</v>
      </c>
      <c r="J14591" t="s">
        <v>50131</v>
      </c>
      <c r="L14591" t="s">
        <v>50132</v>
      </c>
      <c r="M14591" t="s">
        <v>50133</v>
      </c>
      <c r="P14591" t="s">
        <v>330</v>
      </c>
      <c r="Y14591" t="s">
        <v>2674</v>
      </c>
    </row>
    <row r="14592" spans="1:25" x14ac:dyDescent="0.25">
      <c r="A14592" t="str">
        <f>"244726639150"</f>
        <v>244726639150</v>
      </c>
      <c r="B14592" t="s">
        <v>88</v>
      </c>
      <c r="C14592" t="s">
        <v>21039</v>
      </c>
      <c r="D14592" t="s">
        <v>50134</v>
      </c>
      <c r="E14592">
        <v>424000</v>
      </c>
      <c r="F14592" t="s">
        <v>1</v>
      </c>
      <c r="G14592" t="s">
        <v>2</v>
      </c>
      <c r="H14592" t="s">
        <v>1531</v>
      </c>
      <c r="Y14592" t="s">
        <v>1707</v>
      </c>
    </row>
    <row r="14593" spans="1:25" x14ac:dyDescent="0.25">
      <c r="A14593" t="str">
        <f>"244793662942"</f>
        <v>244793662942</v>
      </c>
      <c r="B14593" t="s">
        <v>1315</v>
      </c>
      <c r="C14593" t="s">
        <v>4274</v>
      </c>
      <c r="D14593" t="s">
        <v>4274</v>
      </c>
      <c r="F14593" t="s">
        <v>1</v>
      </c>
      <c r="G14593" t="s">
        <v>2</v>
      </c>
      <c r="H14593" t="s">
        <v>27612</v>
      </c>
      <c r="Y14593" t="s">
        <v>50135</v>
      </c>
    </row>
    <row r="14594" spans="1:25" x14ac:dyDescent="0.25">
      <c r="A14594" t="str">
        <f>"244839676626"</f>
        <v>244839676626</v>
      </c>
      <c r="B14594" t="s">
        <v>160</v>
      </c>
      <c r="C14594" t="s">
        <v>50138</v>
      </c>
      <c r="D14594" t="s">
        <v>50136</v>
      </c>
      <c r="E14594">
        <v>424003</v>
      </c>
      <c r="F14594" t="s">
        <v>1</v>
      </c>
      <c r="G14594" t="s">
        <v>2</v>
      </c>
      <c r="H14594" t="s">
        <v>10050</v>
      </c>
      <c r="I14594" t="s">
        <v>50137</v>
      </c>
      <c r="L14594" t="s">
        <v>21855</v>
      </c>
      <c r="M14594" t="s">
        <v>21856</v>
      </c>
      <c r="P14594" t="s">
        <v>8256</v>
      </c>
      <c r="Y14594" t="s">
        <v>50139</v>
      </c>
    </row>
    <row r="14595" spans="1:25" x14ac:dyDescent="0.25">
      <c r="A14595" t="str">
        <f>"244849785644"</f>
        <v>244849785644</v>
      </c>
      <c r="B14595" t="s">
        <v>462</v>
      </c>
      <c r="C14595" t="s">
        <v>14415</v>
      </c>
      <c r="D14595" t="s">
        <v>50140</v>
      </c>
      <c r="E14595">
        <v>424000</v>
      </c>
      <c r="F14595" t="s">
        <v>1</v>
      </c>
      <c r="G14595" t="s">
        <v>2</v>
      </c>
      <c r="H14595" t="s">
        <v>30666</v>
      </c>
      <c r="I14595" t="s">
        <v>50141</v>
      </c>
      <c r="L14595" t="s">
        <v>50142</v>
      </c>
      <c r="M14595" t="s">
        <v>50143</v>
      </c>
      <c r="P14595" t="s">
        <v>27</v>
      </c>
      <c r="Y14595" t="s">
        <v>50144</v>
      </c>
    </row>
    <row r="14596" spans="1:25" x14ac:dyDescent="0.25">
      <c r="A14596" t="str">
        <f>"244915200008"</f>
        <v>244915200008</v>
      </c>
      <c r="B14596" t="s">
        <v>574</v>
      </c>
      <c r="C14596" t="s">
        <v>646</v>
      </c>
      <c r="D14596" t="s">
        <v>50145</v>
      </c>
      <c r="E14596">
        <v>424016</v>
      </c>
      <c r="F14596" t="s">
        <v>1</v>
      </c>
      <c r="G14596" t="s">
        <v>2</v>
      </c>
      <c r="H14596" t="s">
        <v>18429</v>
      </c>
      <c r="I14596" t="s">
        <v>50146</v>
      </c>
      <c r="P14596" t="s">
        <v>2050</v>
      </c>
      <c r="Y14596" t="s">
        <v>29257</v>
      </c>
    </row>
    <row r="14597" spans="1:25" x14ac:dyDescent="0.25">
      <c r="A14597" t="str">
        <f>"244984240393"</f>
        <v>244984240393</v>
      </c>
      <c r="B14597" t="s">
        <v>160</v>
      </c>
      <c r="C14597" t="s">
        <v>2479</v>
      </c>
      <c r="D14597" t="s">
        <v>50147</v>
      </c>
      <c r="E14597">
        <v>424003</v>
      </c>
      <c r="F14597" t="s">
        <v>1</v>
      </c>
      <c r="G14597" t="s">
        <v>2</v>
      </c>
      <c r="H14597" t="s">
        <v>16890</v>
      </c>
      <c r="Y14597" t="s">
        <v>50148</v>
      </c>
    </row>
    <row r="14598" spans="1:25" x14ac:dyDescent="0.25">
      <c r="A14598" t="str">
        <f>"244992073215"</f>
        <v>244992073215</v>
      </c>
      <c r="B14598" t="s">
        <v>3008</v>
      </c>
      <c r="C14598" t="s">
        <v>15744</v>
      </c>
      <c r="D14598" t="s">
        <v>50149</v>
      </c>
      <c r="F14598" t="s">
        <v>1</v>
      </c>
      <c r="G14598" t="s">
        <v>2</v>
      </c>
      <c r="H14598" t="s">
        <v>50150</v>
      </c>
      <c r="I14598" t="s">
        <v>50151</v>
      </c>
      <c r="L14598" t="s">
        <v>50152</v>
      </c>
      <c r="M14598" t="s">
        <v>50153</v>
      </c>
      <c r="P14598" t="s">
        <v>50154</v>
      </c>
      <c r="Y14598" t="s">
        <v>50155</v>
      </c>
    </row>
    <row r="14599" spans="1:25" x14ac:dyDescent="0.25">
      <c r="A14599" t="str">
        <f>"245006223460"</f>
        <v>245006223460</v>
      </c>
      <c r="B14599" t="s">
        <v>7312</v>
      </c>
      <c r="C14599" t="s">
        <v>19097</v>
      </c>
      <c r="D14599" t="s">
        <v>19130</v>
      </c>
      <c r="E14599">
        <v>424038</v>
      </c>
      <c r="F14599" t="s">
        <v>1</v>
      </c>
      <c r="G14599" t="s">
        <v>2</v>
      </c>
      <c r="H14599" t="s">
        <v>6059</v>
      </c>
      <c r="P14599" t="s">
        <v>2050</v>
      </c>
      <c r="Y14599" t="s">
        <v>50156</v>
      </c>
    </row>
    <row r="14600" spans="1:25" x14ac:dyDescent="0.25">
      <c r="A14600" t="str">
        <f>"245041822752"</f>
        <v>245041822752</v>
      </c>
      <c r="B14600" t="s">
        <v>25</v>
      </c>
      <c r="C14600" t="s">
        <v>24938</v>
      </c>
      <c r="D14600" t="s">
        <v>50157</v>
      </c>
      <c r="F14600" t="s">
        <v>1</v>
      </c>
      <c r="G14600" t="s">
        <v>2</v>
      </c>
      <c r="H14600" t="s">
        <v>50158</v>
      </c>
      <c r="I14600" t="s">
        <v>50159</v>
      </c>
      <c r="M14600" t="s">
        <v>50160</v>
      </c>
      <c r="Y14600" t="s">
        <v>50161</v>
      </c>
    </row>
    <row r="14601" spans="1:25" x14ac:dyDescent="0.25">
      <c r="A14601" t="str">
        <f>"245042774652"</f>
        <v>245042774652</v>
      </c>
      <c r="B14601" t="s">
        <v>530</v>
      </c>
      <c r="C14601" t="s">
        <v>23950</v>
      </c>
      <c r="D14601" t="s">
        <v>23950</v>
      </c>
      <c r="F14601" t="s">
        <v>1</v>
      </c>
      <c r="G14601" t="s">
        <v>2</v>
      </c>
      <c r="H14601" t="s">
        <v>50162</v>
      </c>
      <c r="Y14601" t="s">
        <v>50163</v>
      </c>
    </row>
    <row r="14602" spans="1:25" x14ac:dyDescent="0.25">
      <c r="A14602" t="str">
        <f>"245049310435"</f>
        <v>245049310435</v>
      </c>
      <c r="B14602" t="s">
        <v>319</v>
      </c>
      <c r="C14602" t="s">
        <v>320</v>
      </c>
      <c r="D14602" t="s">
        <v>40752</v>
      </c>
      <c r="E14602">
        <v>424006</v>
      </c>
      <c r="F14602" t="s">
        <v>1</v>
      </c>
      <c r="G14602" t="s">
        <v>2</v>
      </c>
      <c r="H14602" t="s">
        <v>31054</v>
      </c>
      <c r="Y14602" t="s">
        <v>50164</v>
      </c>
    </row>
    <row r="14603" spans="1:25" x14ac:dyDescent="0.25">
      <c r="A14603" t="str">
        <f>"245076224604"</f>
        <v>245076224604</v>
      </c>
      <c r="B14603" t="s">
        <v>18</v>
      </c>
      <c r="C14603" t="s">
        <v>4522</v>
      </c>
      <c r="D14603" t="s">
        <v>50165</v>
      </c>
      <c r="E14603">
        <v>424008</v>
      </c>
      <c r="F14603" t="s">
        <v>1</v>
      </c>
      <c r="G14603" t="s">
        <v>2</v>
      </c>
      <c r="H14603" t="s">
        <v>10128</v>
      </c>
      <c r="J14603" t="s">
        <v>50166</v>
      </c>
      <c r="P14603" t="s">
        <v>5459</v>
      </c>
      <c r="Y14603" t="s">
        <v>10134</v>
      </c>
    </row>
    <row r="14604" spans="1:25" x14ac:dyDescent="0.25">
      <c r="A14604" t="str">
        <f>"245079670294"</f>
        <v>245079670294</v>
      </c>
      <c r="B14604" t="s">
        <v>243</v>
      </c>
      <c r="C14604" t="s">
        <v>2538</v>
      </c>
      <c r="D14604" t="s">
        <v>17680</v>
      </c>
      <c r="E14604">
        <v>424006</v>
      </c>
      <c r="F14604" t="s">
        <v>1</v>
      </c>
      <c r="G14604" t="s">
        <v>2</v>
      </c>
      <c r="H14604" t="s">
        <v>6133</v>
      </c>
      <c r="I14604" t="s">
        <v>47677</v>
      </c>
      <c r="P14604" t="s">
        <v>27</v>
      </c>
      <c r="Y14604" t="s">
        <v>24905</v>
      </c>
    </row>
    <row r="14605" spans="1:25" x14ac:dyDescent="0.25">
      <c r="A14605" t="str">
        <f>"245093835198"</f>
        <v>245093835198</v>
      </c>
      <c r="B14605" t="s">
        <v>530</v>
      </c>
      <c r="C14605" t="s">
        <v>23950</v>
      </c>
      <c r="D14605" t="s">
        <v>23950</v>
      </c>
      <c r="E14605">
        <v>424002</v>
      </c>
      <c r="F14605" t="s">
        <v>1</v>
      </c>
      <c r="G14605" t="s">
        <v>2</v>
      </c>
      <c r="H14605" t="s">
        <v>50167</v>
      </c>
      <c r="Y14605" t="s">
        <v>50168</v>
      </c>
    </row>
    <row r="14606" spans="1:25" x14ac:dyDescent="0.25">
      <c r="A14606" t="str">
        <f>"245100389630"</f>
        <v>245100389630</v>
      </c>
      <c r="B14606" t="s">
        <v>482</v>
      </c>
      <c r="C14606" t="s">
        <v>4430</v>
      </c>
      <c r="D14606" t="s">
        <v>50169</v>
      </c>
      <c r="E14606">
        <v>424002</v>
      </c>
      <c r="F14606" t="s">
        <v>1</v>
      </c>
      <c r="G14606" t="s">
        <v>2</v>
      </c>
      <c r="H14606" t="s">
        <v>6397</v>
      </c>
      <c r="J14606" t="s">
        <v>50170</v>
      </c>
      <c r="L14606" t="s">
        <v>50171</v>
      </c>
      <c r="M14606" t="s">
        <v>50172</v>
      </c>
      <c r="Y14606" t="s">
        <v>6401</v>
      </c>
    </row>
    <row r="14607" spans="1:25" x14ac:dyDescent="0.25">
      <c r="A14607" t="str">
        <f>"245112109408"</f>
        <v>245112109408</v>
      </c>
      <c r="B14607" t="s">
        <v>430</v>
      </c>
      <c r="C14607" t="s">
        <v>11849</v>
      </c>
      <c r="D14607" t="s">
        <v>50173</v>
      </c>
      <c r="E14607">
        <v>424006</v>
      </c>
      <c r="F14607" t="s">
        <v>1</v>
      </c>
      <c r="G14607" t="s">
        <v>2</v>
      </c>
      <c r="H14607" t="s">
        <v>478</v>
      </c>
      <c r="J14607" t="s">
        <v>50174</v>
      </c>
      <c r="Y14607" t="s">
        <v>926</v>
      </c>
    </row>
    <row r="14608" spans="1:25" x14ac:dyDescent="0.25">
      <c r="A14608" t="str">
        <f>"245118744865"</f>
        <v>245118744865</v>
      </c>
      <c r="B14608" t="s">
        <v>530</v>
      </c>
      <c r="C14608" t="s">
        <v>23950</v>
      </c>
      <c r="D14608" t="s">
        <v>23950</v>
      </c>
      <c r="E14608">
        <v>424016</v>
      </c>
      <c r="F14608" t="s">
        <v>1</v>
      </c>
      <c r="G14608" t="s">
        <v>2</v>
      </c>
      <c r="H14608" t="s">
        <v>50175</v>
      </c>
      <c r="Y14608" t="s">
        <v>50176</v>
      </c>
    </row>
    <row r="14609" spans="1:25" x14ac:dyDescent="0.25">
      <c r="A14609" t="str">
        <f>"245133364031"</f>
        <v>245133364031</v>
      </c>
      <c r="B14609" t="s">
        <v>640</v>
      </c>
      <c r="C14609" t="s">
        <v>663</v>
      </c>
      <c r="D14609" t="s">
        <v>34743</v>
      </c>
      <c r="E14609">
        <v>424020</v>
      </c>
      <c r="F14609" t="s">
        <v>1</v>
      </c>
      <c r="G14609" t="s">
        <v>2</v>
      </c>
      <c r="H14609" t="s">
        <v>1837</v>
      </c>
      <c r="Y14609" t="s">
        <v>50177</v>
      </c>
    </row>
    <row r="14610" spans="1:25" x14ac:dyDescent="0.25">
      <c r="A14610" t="str">
        <f>"245150469034"</f>
        <v>245150469034</v>
      </c>
      <c r="B14610" t="s">
        <v>8011</v>
      </c>
      <c r="C14610" t="s">
        <v>38871</v>
      </c>
      <c r="D14610" t="s">
        <v>50178</v>
      </c>
      <c r="E14610">
        <v>424008</v>
      </c>
      <c r="F14610" t="s">
        <v>1</v>
      </c>
      <c r="G14610" t="s">
        <v>2</v>
      </c>
      <c r="H14610" t="s">
        <v>1031</v>
      </c>
      <c r="Y14610" t="s">
        <v>50179</v>
      </c>
    </row>
    <row r="14611" spans="1:25" x14ac:dyDescent="0.25">
      <c r="A14611" t="str">
        <f>"245181791490"</f>
        <v>245181791490</v>
      </c>
      <c r="B14611" t="s">
        <v>530</v>
      </c>
      <c r="C14611" t="s">
        <v>23950</v>
      </c>
      <c r="D14611" t="s">
        <v>23950</v>
      </c>
      <c r="F14611" t="s">
        <v>1</v>
      </c>
      <c r="G14611" t="s">
        <v>2</v>
      </c>
      <c r="H14611" t="s">
        <v>29536</v>
      </c>
      <c r="Y14611" t="s">
        <v>50180</v>
      </c>
    </row>
    <row r="14612" spans="1:25" x14ac:dyDescent="0.25">
      <c r="A14612" t="str">
        <f>"245185448828"</f>
        <v>245185448828</v>
      </c>
      <c r="B14612" t="s">
        <v>96</v>
      </c>
      <c r="C14612" t="s">
        <v>893</v>
      </c>
      <c r="D14612" t="s">
        <v>50181</v>
      </c>
      <c r="E14612">
        <v>424007</v>
      </c>
      <c r="F14612" t="s">
        <v>1</v>
      </c>
      <c r="G14612" t="s">
        <v>2</v>
      </c>
      <c r="H14612" t="s">
        <v>5647</v>
      </c>
      <c r="Y14612" t="s">
        <v>50182</v>
      </c>
    </row>
    <row r="14613" spans="1:25" x14ac:dyDescent="0.25">
      <c r="A14613" t="str">
        <f>"245202559148"</f>
        <v>245202559148</v>
      </c>
      <c r="B14613" t="s">
        <v>18386</v>
      </c>
      <c r="C14613" t="s">
        <v>18387</v>
      </c>
      <c r="D14613" t="s">
        <v>50183</v>
      </c>
      <c r="F14613" t="s">
        <v>1</v>
      </c>
      <c r="G14613" t="s">
        <v>2</v>
      </c>
      <c r="H14613" t="s">
        <v>48906</v>
      </c>
      <c r="Y14613" t="s">
        <v>50184</v>
      </c>
    </row>
    <row r="14614" spans="1:25" x14ac:dyDescent="0.25">
      <c r="A14614" t="str">
        <f>"245203576894"</f>
        <v>245203576894</v>
      </c>
      <c r="B14614" t="s">
        <v>224</v>
      </c>
      <c r="C14614" t="s">
        <v>3240</v>
      </c>
      <c r="D14614" t="s">
        <v>50185</v>
      </c>
      <c r="E14614">
        <v>424030</v>
      </c>
      <c r="F14614" t="s">
        <v>1</v>
      </c>
      <c r="G14614" t="s">
        <v>2</v>
      </c>
      <c r="H14614" t="s">
        <v>50186</v>
      </c>
      <c r="I14614" t="s">
        <v>50187</v>
      </c>
      <c r="L14614" t="s">
        <v>50188</v>
      </c>
      <c r="M14614" t="s">
        <v>50189</v>
      </c>
      <c r="P14614" t="s">
        <v>390</v>
      </c>
      <c r="Y14614" t="s">
        <v>50190</v>
      </c>
    </row>
    <row r="14615" spans="1:25" x14ac:dyDescent="0.25">
      <c r="A14615" t="str">
        <f>"245206050578"</f>
        <v>245206050578</v>
      </c>
      <c r="B14615" t="s">
        <v>888</v>
      </c>
      <c r="C14615" t="s">
        <v>7389</v>
      </c>
      <c r="D14615" t="s">
        <v>50191</v>
      </c>
      <c r="E14615">
        <v>424019</v>
      </c>
      <c r="F14615" t="s">
        <v>1</v>
      </c>
      <c r="G14615" t="s">
        <v>2</v>
      </c>
      <c r="H14615" t="s">
        <v>13204</v>
      </c>
      <c r="Y14615" t="s">
        <v>13206</v>
      </c>
    </row>
    <row r="14616" spans="1:25" x14ac:dyDescent="0.25">
      <c r="A14616" t="str">
        <f>"245222840352"</f>
        <v>245222840352</v>
      </c>
      <c r="B14616" t="s">
        <v>32</v>
      </c>
      <c r="C14616" t="s">
        <v>40</v>
      </c>
      <c r="D14616" t="s">
        <v>40</v>
      </c>
      <c r="E14616">
        <v>424004</v>
      </c>
      <c r="F14616" t="s">
        <v>1</v>
      </c>
      <c r="G14616" t="s">
        <v>2</v>
      </c>
      <c r="H14616" t="s">
        <v>4844</v>
      </c>
      <c r="Y14616" t="s">
        <v>50192</v>
      </c>
    </row>
    <row r="14617" spans="1:25" x14ac:dyDescent="0.25">
      <c r="A14617" t="str">
        <f>"245228947007"</f>
        <v>245228947007</v>
      </c>
      <c r="B14617" t="s">
        <v>12698</v>
      </c>
      <c r="C14617" t="s">
        <v>29132</v>
      </c>
      <c r="D14617" t="s">
        <v>29131</v>
      </c>
      <c r="F14617" t="s">
        <v>1</v>
      </c>
      <c r="G14617" t="s">
        <v>2</v>
      </c>
      <c r="H14617" t="s">
        <v>27612</v>
      </c>
      <c r="Y14617" t="s">
        <v>50193</v>
      </c>
    </row>
    <row r="14618" spans="1:25" x14ac:dyDescent="0.25">
      <c r="A14618" t="str">
        <f>"245233608240"</f>
        <v>245233608240</v>
      </c>
      <c r="B14618" t="s">
        <v>574</v>
      </c>
      <c r="C14618" t="s">
        <v>952</v>
      </c>
      <c r="D14618" t="s">
        <v>7620</v>
      </c>
      <c r="E14618">
        <v>424003</v>
      </c>
      <c r="F14618" t="s">
        <v>1</v>
      </c>
      <c r="G14618" t="s">
        <v>2</v>
      </c>
      <c r="H14618" t="s">
        <v>4546</v>
      </c>
      <c r="Y14618" t="s">
        <v>5427</v>
      </c>
    </row>
    <row r="14619" spans="1:25" x14ac:dyDescent="0.25">
      <c r="A14619" t="str">
        <f>"245244962367"</f>
        <v>245244962367</v>
      </c>
      <c r="B14619" t="s">
        <v>1262</v>
      </c>
      <c r="C14619" t="s">
        <v>1263</v>
      </c>
      <c r="D14619" t="s">
        <v>1263</v>
      </c>
      <c r="F14619" t="s">
        <v>1</v>
      </c>
      <c r="G14619" t="s">
        <v>2</v>
      </c>
      <c r="H14619" t="s">
        <v>4897</v>
      </c>
      <c r="I14619" t="s">
        <v>50194</v>
      </c>
      <c r="J14619" t="s">
        <v>50195</v>
      </c>
      <c r="K14619" t="s">
        <v>50194</v>
      </c>
      <c r="P14619" t="s">
        <v>280</v>
      </c>
      <c r="Y14619" t="s">
        <v>4900</v>
      </c>
    </row>
    <row r="14620" spans="1:25" x14ac:dyDescent="0.25">
      <c r="A14620" t="str">
        <f>"245250025045"</f>
        <v>245250025045</v>
      </c>
      <c r="B14620" t="s">
        <v>348</v>
      </c>
      <c r="C14620" t="s">
        <v>50197</v>
      </c>
      <c r="D14620" t="s">
        <v>15659</v>
      </c>
      <c r="F14620" t="s">
        <v>1</v>
      </c>
      <c r="G14620" t="s">
        <v>2</v>
      </c>
      <c r="H14620" t="s">
        <v>6365</v>
      </c>
      <c r="I14620" t="s">
        <v>50196</v>
      </c>
      <c r="Y14620" t="s">
        <v>50198</v>
      </c>
    </row>
    <row r="14621" spans="1:25" x14ac:dyDescent="0.25">
      <c r="A14621" t="str">
        <f>"245255372346"</f>
        <v>245255372346</v>
      </c>
      <c r="B14621" t="s">
        <v>530</v>
      </c>
      <c r="C14621" t="s">
        <v>23950</v>
      </c>
      <c r="D14621" t="s">
        <v>23950</v>
      </c>
      <c r="F14621" t="s">
        <v>1</v>
      </c>
      <c r="G14621" t="s">
        <v>2</v>
      </c>
      <c r="H14621" t="s">
        <v>35144</v>
      </c>
      <c r="Y14621" t="s">
        <v>50199</v>
      </c>
    </row>
    <row r="14622" spans="1:25" x14ac:dyDescent="0.25">
      <c r="A14622" t="str">
        <f>"245293411679"</f>
        <v>245293411679</v>
      </c>
      <c r="B14622" t="s">
        <v>930</v>
      </c>
      <c r="C14622" t="s">
        <v>1096</v>
      </c>
      <c r="D14622" t="s">
        <v>50200</v>
      </c>
      <c r="E14622">
        <v>424006</v>
      </c>
      <c r="F14622" t="s">
        <v>1</v>
      </c>
      <c r="G14622" t="s">
        <v>2</v>
      </c>
      <c r="H14622" t="s">
        <v>27431</v>
      </c>
      <c r="I14622" t="s">
        <v>50201</v>
      </c>
      <c r="J14622" t="s">
        <v>50202</v>
      </c>
      <c r="L14622" t="s">
        <v>28761</v>
      </c>
      <c r="M14622" t="s">
        <v>50203</v>
      </c>
      <c r="P14622" t="s">
        <v>21813</v>
      </c>
      <c r="Y14622" t="s">
        <v>50204</v>
      </c>
    </row>
    <row r="14623" spans="1:25" x14ac:dyDescent="0.25">
      <c r="A14623" t="str">
        <f>"245306618559"</f>
        <v>245306618559</v>
      </c>
      <c r="B14623" t="s">
        <v>930</v>
      </c>
      <c r="C14623" t="s">
        <v>1096</v>
      </c>
      <c r="D14623" t="s">
        <v>1094</v>
      </c>
      <c r="F14623" t="s">
        <v>1</v>
      </c>
      <c r="G14623" t="s">
        <v>2</v>
      </c>
      <c r="H14623" t="s">
        <v>50205</v>
      </c>
      <c r="I14623" t="s">
        <v>30774</v>
      </c>
      <c r="J14623" t="s">
        <v>30775</v>
      </c>
      <c r="P14623" t="s">
        <v>4043</v>
      </c>
      <c r="Y14623" t="s">
        <v>50206</v>
      </c>
    </row>
    <row r="14624" spans="1:25" x14ac:dyDescent="0.25">
      <c r="A14624" t="str">
        <f>"245381355965"</f>
        <v>245381355965</v>
      </c>
      <c r="B14624" t="s">
        <v>640</v>
      </c>
      <c r="C14624" t="s">
        <v>50207</v>
      </c>
      <c r="D14624" t="s">
        <v>39284</v>
      </c>
      <c r="E14624">
        <v>424016</v>
      </c>
      <c r="F14624" t="s">
        <v>1</v>
      </c>
      <c r="G14624" t="s">
        <v>2</v>
      </c>
      <c r="H14624" t="s">
        <v>5652</v>
      </c>
      <c r="Y14624" t="s">
        <v>50208</v>
      </c>
    </row>
    <row r="14625" spans="1:25" x14ac:dyDescent="0.25">
      <c r="A14625" t="str">
        <f>"245432546943"</f>
        <v>245432546943</v>
      </c>
      <c r="B14625" t="s">
        <v>1046</v>
      </c>
      <c r="C14625" t="s">
        <v>22946</v>
      </c>
      <c r="D14625" t="s">
        <v>22946</v>
      </c>
      <c r="F14625" t="s">
        <v>1</v>
      </c>
      <c r="G14625" t="s">
        <v>2</v>
      </c>
      <c r="H14625" t="s">
        <v>48047</v>
      </c>
      <c r="Y14625" t="s">
        <v>50209</v>
      </c>
    </row>
    <row r="14626" spans="1:25" x14ac:dyDescent="0.25">
      <c r="A14626" t="str">
        <f>"245479342720"</f>
        <v>245479342720</v>
      </c>
      <c r="B14626" t="s">
        <v>96</v>
      </c>
      <c r="C14626" t="s">
        <v>12085</v>
      </c>
      <c r="D14626" t="s">
        <v>973</v>
      </c>
      <c r="E14626">
        <v>424000</v>
      </c>
      <c r="F14626" t="s">
        <v>1</v>
      </c>
      <c r="G14626" t="s">
        <v>2</v>
      </c>
      <c r="H14626" t="s">
        <v>1531</v>
      </c>
      <c r="Y14626" t="s">
        <v>50210</v>
      </c>
    </row>
    <row r="14627" spans="1:25" x14ac:dyDescent="0.25">
      <c r="A14627" t="str">
        <f>"245494138030"</f>
        <v>245494138030</v>
      </c>
      <c r="B14627" t="s">
        <v>1544</v>
      </c>
      <c r="C14627" t="s">
        <v>15598</v>
      </c>
      <c r="D14627" t="s">
        <v>50211</v>
      </c>
      <c r="E14627">
        <v>424033</v>
      </c>
      <c r="F14627" t="s">
        <v>1</v>
      </c>
      <c r="G14627" t="s">
        <v>2</v>
      </c>
      <c r="H14627" t="s">
        <v>4300</v>
      </c>
      <c r="P14627" t="s">
        <v>1505</v>
      </c>
      <c r="Y14627" t="s">
        <v>50212</v>
      </c>
    </row>
    <row r="14628" spans="1:25" x14ac:dyDescent="0.25">
      <c r="A14628" t="str">
        <f>"245547039230"</f>
        <v>245547039230</v>
      </c>
      <c r="B14628" t="s">
        <v>530</v>
      </c>
      <c r="C14628" t="s">
        <v>23950</v>
      </c>
      <c r="D14628" t="s">
        <v>23950</v>
      </c>
      <c r="E14628">
        <v>424005</v>
      </c>
      <c r="F14628" t="s">
        <v>1</v>
      </c>
      <c r="G14628" t="s">
        <v>2</v>
      </c>
      <c r="H14628" t="s">
        <v>50213</v>
      </c>
      <c r="Y14628" t="s">
        <v>50214</v>
      </c>
    </row>
    <row r="14629" spans="1:25" x14ac:dyDescent="0.25">
      <c r="A14629" t="str">
        <f>"245577208367"</f>
        <v>245577208367</v>
      </c>
      <c r="B14629" t="s">
        <v>96</v>
      </c>
      <c r="C14629" t="s">
        <v>893</v>
      </c>
      <c r="D14629" t="s">
        <v>50215</v>
      </c>
      <c r="E14629">
        <v>424918</v>
      </c>
      <c r="F14629" t="s">
        <v>1</v>
      </c>
      <c r="G14629" t="s">
        <v>2</v>
      </c>
      <c r="H14629" t="s">
        <v>629</v>
      </c>
      <c r="J14629" t="s">
        <v>50216</v>
      </c>
      <c r="L14629" t="s">
        <v>50217</v>
      </c>
      <c r="M14629" t="s">
        <v>50218</v>
      </c>
      <c r="P14629" t="s">
        <v>144</v>
      </c>
      <c r="Q14629" t="s">
        <v>50219</v>
      </c>
      <c r="Y14629" t="s">
        <v>1744</v>
      </c>
    </row>
    <row r="14630" spans="1:25" x14ac:dyDescent="0.25">
      <c r="A14630" t="str">
        <f>"245617451231"</f>
        <v>245617451231</v>
      </c>
      <c r="B14630" t="s">
        <v>18</v>
      </c>
      <c r="C14630" t="s">
        <v>2171</v>
      </c>
      <c r="D14630" t="s">
        <v>50220</v>
      </c>
      <c r="E14630">
        <v>424000</v>
      </c>
      <c r="F14630" t="s">
        <v>1</v>
      </c>
      <c r="G14630" t="s">
        <v>2</v>
      </c>
      <c r="H14630" t="s">
        <v>3749</v>
      </c>
      <c r="I14630" t="s">
        <v>50221</v>
      </c>
      <c r="J14630" t="s">
        <v>50222</v>
      </c>
      <c r="P14630" t="s">
        <v>8655</v>
      </c>
      <c r="Y14630" t="s">
        <v>3754</v>
      </c>
    </row>
    <row r="14631" spans="1:25" x14ac:dyDescent="0.25">
      <c r="A14631" t="str">
        <f>"245658981596"</f>
        <v>245658981596</v>
      </c>
      <c r="B14631" t="s">
        <v>624</v>
      </c>
      <c r="C14631" t="s">
        <v>625</v>
      </c>
      <c r="D14631" t="s">
        <v>18118</v>
      </c>
      <c r="E14631">
        <v>424006</v>
      </c>
      <c r="F14631" t="s">
        <v>1</v>
      </c>
      <c r="G14631" t="s">
        <v>2</v>
      </c>
      <c r="H14631" t="s">
        <v>24066</v>
      </c>
      <c r="I14631" t="s">
        <v>50223</v>
      </c>
      <c r="J14631" t="s">
        <v>50224</v>
      </c>
      <c r="P14631" t="s">
        <v>19608</v>
      </c>
      <c r="Y14631" t="s">
        <v>50225</v>
      </c>
    </row>
    <row r="14632" spans="1:25" x14ac:dyDescent="0.25">
      <c r="A14632" t="str">
        <f>"1003793241"</f>
        <v>1003793241</v>
      </c>
      <c r="B14632" t="s">
        <v>176</v>
      </c>
      <c r="C14632" t="s">
        <v>250</v>
      </c>
      <c r="D14632" t="s">
        <v>50226</v>
      </c>
      <c r="F14632" t="s">
        <v>1</v>
      </c>
      <c r="G14632" t="s">
        <v>50227</v>
      </c>
      <c r="H14632" t="s">
        <v>50228</v>
      </c>
      <c r="J14632" t="s">
        <v>50229</v>
      </c>
      <c r="P14632" t="s">
        <v>50230</v>
      </c>
      <c r="Y14632" t="s">
        <v>50231</v>
      </c>
    </row>
    <row r="14633" spans="1:25" x14ac:dyDescent="0.25">
      <c r="A14633" t="str">
        <f>"1004416572"</f>
        <v>1004416572</v>
      </c>
      <c r="B14633" t="s">
        <v>574</v>
      </c>
      <c r="C14633" t="s">
        <v>29409</v>
      </c>
      <c r="D14633" t="s">
        <v>50232</v>
      </c>
      <c r="F14633" t="s">
        <v>1</v>
      </c>
      <c r="G14633" t="s">
        <v>50227</v>
      </c>
      <c r="H14633" t="s">
        <v>50233</v>
      </c>
      <c r="I14633" t="s">
        <v>50234</v>
      </c>
      <c r="L14633" t="s">
        <v>50235</v>
      </c>
      <c r="P14633" t="s">
        <v>3670</v>
      </c>
      <c r="Q14633" t="s">
        <v>50236</v>
      </c>
      <c r="S14633" t="s">
        <v>50237</v>
      </c>
      <c r="T14633" t="s">
        <v>50238</v>
      </c>
      <c r="Y14633" t="s">
        <v>50239</v>
      </c>
    </row>
    <row r="14634" spans="1:25" x14ac:dyDescent="0.25">
      <c r="A14634" t="str">
        <f>"1012973285"</f>
        <v>1012973285</v>
      </c>
      <c r="B14634" t="s">
        <v>447</v>
      </c>
      <c r="C14634" t="s">
        <v>6504</v>
      </c>
      <c r="D14634" t="s">
        <v>50240</v>
      </c>
      <c r="E14634">
        <v>425061</v>
      </c>
      <c r="F14634" t="s">
        <v>1</v>
      </c>
      <c r="G14634" t="s">
        <v>50227</v>
      </c>
      <c r="H14634" t="s">
        <v>50241</v>
      </c>
      <c r="Y14634" t="s">
        <v>50242</v>
      </c>
    </row>
    <row r="14635" spans="1:25" x14ac:dyDescent="0.25">
      <c r="A14635" t="str">
        <f>"1031743651"</f>
        <v>1031743651</v>
      </c>
      <c r="B14635" t="s">
        <v>1230</v>
      </c>
      <c r="C14635" t="s">
        <v>2526</v>
      </c>
      <c r="D14635" t="s">
        <v>50243</v>
      </c>
      <c r="E14635">
        <v>425062</v>
      </c>
      <c r="F14635" t="s">
        <v>1</v>
      </c>
      <c r="G14635" t="s">
        <v>50227</v>
      </c>
      <c r="H14635" t="s">
        <v>50244</v>
      </c>
      <c r="I14635" t="s">
        <v>50245</v>
      </c>
      <c r="L14635" t="s">
        <v>24300</v>
      </c>
      <c r="P14635" t="s">
        <v>20</v>
      </c>
      <c r="Y14635" t="s">
        <v>50246</v>
      </c>
    </row>
    <row r="14636" spans="1:25" x14ac:dyDescent="0.25">
      <c r="A14636" t="str">
        <f>"1050954057"</f>
        <v>1050954057</v>
      </c>
      <c r="B14636" t="s">
        <v>447</v>
      </c>
      <c r="C14636" t="s">
        <v>1592</v>
      </c>
      <c r="D14636" t="s">
        <v>50247</v>
      </c>
      <c r="E14636">
        <v>425060</v>
      </c>
      <c r="F14636" t="s">
        <v>1</v>
      </c>
      <c r="G14636" t="s">
        <v>50227</v>
      </c>
      <c r="H14636" t="s">
        <v>50248</v>
      </c>
      <c r="I14636" t="s">
        <v>50249</v>
      </c>
      <c r="P14636" t="s">
        <v>20</v>
      </c>
      <c r="Y14636" t="s">
        <v>50250</v>
      </c>
    </row>
    <row r="14637" spans="1:25" x14ac:dyDescent="0.25">
      <c r="A14637" t="str">
        <f>"1052446903"</f>
        <v>1052446903</v>
      </c>
      <c r="B14637" t="s">
        <v>284</v>
      </c>
      <c r="C14637" t="s">
        <v>50256</v>
      </c>
      <c r="D14637" t="s">
        <v>50251</v>
      </c>
      <c r="F14637" t="s">
        <v>1</v>
      </c>
      <c r="G14637" t="s">
        <v>50227</v>
      </c>
      <c r="H14637" t="s">
        <v>50252</v>
      </c>
      <c r="I14637" t="s">
        <v>50253</v>
      </c>
      <c r="L14637" t="s">
        <v>50254</v>
      </c>
      <c r="M14637" t="s">
        <v>50255</v>
      </c>
      <c r="P14637" t="s">
        <v>20</v>
      </c>
      <c r="Y14637" t="s">
        <v>50257</v>
      </c>
    </row>
    <row r="14638" spans="1:25" x14ac:dyDescent="0.25">
      <c r="A14638" t="str">
        <f>"1052561422"</f>
        <v>1052561422</v>
      </c>
      <c r="B14638" t="s">
        <v>96</v>
      </c>
      <c r="C14638" t="s">
        <v>7071</v>
      </c>
      <c r="D14638" t="s">
        <v>50258</v>
      </c>
      <c r="E14638">
        <v>425060</v>
      </c>
      <c r="F14638" t="s">
        <v>1</v>
      </c>
      <c r="G14638" t="s">
        <v>50227</v>
      </c>
      <c r="H14638" t="s">
        <v>50259</v>
      </c>
      <c r="I14638" t="s">
        <v>50260</v>
      </c>
      <c r="Y14638" t="s">
        <v>50261</v>
      </c>
    </row>
    <row r="14639" spans="1:25" x14ac:dyDescent="0.25">
      <c r="A14639" t="str">
        <f>"1052963331"</f>
        <v>1052963331</v>
      </c>
      <c r="B14639" t="s">
        <v>1262</v>
      </c>
      <c r="C14639" t="s">
        <v>1263</v>
      </c>
      <c r="D14639" t="s">
        <v>50262</v>
      </c>
      <c r="E14639">
        <v>425061</v>
      </c>
      <c r="F14639" t="s">
        <v>1</v>
      </c>
      <c r="G14639" t="s">
        <v>50227</v>
      </c>
      <c r="H14639" t="s">
        <v>50263</v>
      </c>
      <c r="P14639" t="s">
        <v>280</v>
      </c>
      <c r="Y14639" t="s">
        <v>50264</v>
      </c>
    </row>
    <row r="14640" spans="1:25" x14ac:dyDescent="0.25">
      <c r="A14640" t="str">
        <f>"1057066174"</f>
        <v>1057066174</v>
      </c>
      <c r="B14640" t="s">
        <v>447</v>
      </c>
      <c r="C14640" t="s">
        <v>16100</v>
      </c>
      <c r="D14640" t="s">
        <v>50265</v>
      </c>
      <c r="E14640">
        <v>425060</v>
      </c>
      <c r="F14640" t="s">
        <v>1</v>
      </c>
      <c r="G14640" t="s">
        <v>50227</v>
      </c>
      <c r="H14640" t="s">
        <v>50266</v>
      </c>
      <c r="I14640" t="s">
        <v>50267</v>
      </c>
      <c r="M14640" t="s">
        <v>50268</v>
      </c>
      <c r="T14640" t="s">
        <v>50269</v>
      </c>
      <c r="Y14640" t="s">
        <v>50270</v>
      </c>
    </row>
    <row r="14641" spans="1:25" x14ac:dyDescent="0.25">
      <c r="A14641" t="str">
        <f>"1058513213"</f>
        <v>1058513213</v>
      </c>
      <c r="B14641" t="s">
        <v>1053</v>
      </c>
      <c r="C14641" t="s">
        <v>1927</v>
      </c>
      <c r="D14641" t="s">
        <v>50271</v>
      </c>
      <c r="F14641" t="s">
        <v>1</v>
      </c>
      <c r="G14641" t="s">
        <v>50227</v>
      </c>
      <c r="H14641" t="s">
        <v>50272</v>
      </c>
      <c r="Y14641" t="s">
        <v>50273</v>
      </c>
    </row>
    <row r="14642" spans="1:25" x14ac:dyDescent="0.25">
      <c r="A14642" t="str">
        <f>"1062584138"</f>
        <v>1062584138</v>
      </c>
      <c r="B14642" t="s">
        <v>160</v>
      </c>
      <c r="C14642" t="s">
        <v>50276</v>
      </c>
      <c r="D14642" t="s">
        <v>50274</v>
      </c>
      <c r="F14642" t="s">
        <v>1</v>
      </c>
      <c r="G14642" t="s">
        <v>50227</v>
      </c>
      <c r="H14642" t="s">
        <v>50275</v>
      </c>
      <c r="Y14642" t="s">
        <v>50277</v>
      </c>
    </row>
    <row r="14643" spans="1:25" x14ac:dyDescent="0.25">
      <c r="A14643" t="str">
        <f>"1062653807"</f>
        <v>1062653807</v>
      </c>
      <c r="B14643" t="s">
        <v>1152</v>
      </c>
      <c r="C14643" t="s">
        <v>50281</v>
      </c>
      <c r="D14643" t="s">
        <v>50278</v>
      </c>
      <c r="F14643" t="s">
        <v>1</v>
      </c>
      <c r="G14643" t="s">
        <v>50227</v>
      </c>
      <c r="H14643" t="s">
        <v>50279</v>
      </c>
      <c r="I14643" t="s">
        <v>50280</v>
      </c>
      <c r="Y14643" t="s">
        <v>50282</v>
      </c>
    </row>
    <row r="14644" spans="1:25" x14ac:dyDescent="0.25">
      <c r="A14644" t="str">
        <f>"1062835375"</f>
        <v>1062835375</v>
      </c>
      <c r="B14644" t="s">
        <v>1053</v>
      </c>
      <c r="C14644" t="s">
        <v>1927</v>
      </c>
      <c r="D14644" t="s">
        <v>50283</v>
      </c>
      <c r="F14644" t="s">
        <v>1</v>
      </c>
      <c r="G14644" t="s">
        <v>50227</v>
      </c>
      <c r="H14644" t="s">
        <v>50233</v>
      </c>
      <c r="Y14644" t="s">
        <v>50284</v>
      </c>
    </row>
    <row r="14645" spans="1:25" x14ac:dyDescent="0.25">
      <c r="A14645" t="str">
        <f>"1065419912"</f>
        <v>1065419912</v>
      </c>
      <c r="B14645" t="s">
        <v>2790</v>
      </c>
      <c r="C14645" t="s">
        <v>3528</v>
      </c>
      <c r="D14645" t="s">
        <v>50285</v>
      </c>
      <c r="E14645">
        <v>425061</v>
      </c>
      <c r="F14645" t="s">
        <v>1</v>
      </c>
      <c r="G14645" t="s">
        <v>50227</v>
      </c>
      <c r="H14645" t="s">
        <v>50286</v>
      </c>
      <c r="I14645" t="s">
        <v>50287</v>
      </c>
      <c r="L14645" t="s">
        <v>50288</v>
      </c>
      <c r="M14645" t="s">
        <v>50289</v>
      </c>
      <c r="P14645" t="s">
        <v>10133</v>
      </c>
      <c r="Y14645" t="s">
        <v>50290</v>
      </c>
    </row>
    <row r="14646" spans="1:25" x14ac:dyDescent="0.25">
      <c r="A14646" t="str">
        <f>"1066243939"</f>
        <v>1066243939</v>
      </c>
      <c r="B14646" t="s">
        <v>176</v>
      </c>
      <c r="C14646" t="s">
        <v>566</v>
      </c>
      <c r="D14646" t="s">
        <v>50291</v>
      </c>
      <c r="E14646">
        <v>425060</v>
      </c>
      <c r="F14646" t="s">
        <v>1</v>
      </c>
      <c r="G14646" t="s">
        <v>50227</v>
      </c>
      <c r="H14646" t="s">
        <v>50292</v>
      </c>
      <c r="J14646" t="s">
        <v>50293</v>
      </c>
      <c r="L14646" t="s">
        <v>50294</v>
      </c>
      <c r="M14646" t="s">
        <v>50295</v>
      </c>
      <c r="P14646" t="s">
        <v>330</v>
      </c>
      <c r="Y14646" t="s">
        <v>50296</v>
      </c>
    </row>
    <row r="14647" spans="1:25" x14ac:dyDescent="0.25">
      <c r="A14647" t="str">
        <f>"1074710926"</f>
        <v>1074710926</v>
      </c>
      <c r="B14647" t="s">
        <v>1053</v>
      </c>
      <c r="C14647" t="s">
        <v>16884</v>
      </c>
      <c r="D14647" t="s">
        <v>50297</v>
      </c>
      <c r="E14647">
        <v>425060</v>
      </c>
      <c r="F14647" t="s">
        <v>1</v>
      </c>
      <c r="G14647" t="s">
        <v>50227</v>
      </c>
      <c r="H14647" t="s">
        <v>50298</v>
      </c>
      <c r="I14647" t="s">
        <v>50299</v>
      </c>
      <c r="P14647" t="s">
        <v>6563</v>
      </c>
      <c r="Y14647" t="s">
        <v>50300</v>
      </c>
    </row>
    <row r="14648" spans="1:25" x14ac:dyDescent="0.25">
      <c r="A14648" t="str">
        <f>"1077785455"</f>
        <v>1077785455</v>
      </c>
      <c r="B14648" t="s">
        <v>447</v>
      </c>
      <c r="C14648" t="s">
        <v>1592</v>
      </c>
      <c r="D14648" t="s">
        <v>50301</v>
      </c>
      <c r="F14648" t="s">
        <v>1</v>
      </c>
      <c r="G14648" t="s">
        <v>50227</v>
      </c>
      <c r="H14648" t="s">
        <v>50302</v>
      </c>
      <c r="Y14648" t="s">
        <v>50303</v>
      </c>
    </row>
    <row r="14649" spans="1:25" x14ac:dyDescent="0.25">
      <c r="A14649" t="str">
        <f>"1089912606"</f>
        <v>1089912606</v>
      </c>
      <c r="B14649" t="s">
        <v>703</v>
      </c>
      <c r="C14649" t="s">
        <v>3518</v>
      </c>
      <c r="D14649" t="s">
        <v>50304</v>
      </c>
      <c r="F14649" t="s">
        <v>1</v>
      </c>
      <c r="G14649" t="s">
        <v>50227</v>
      </c>
      <c r="H14649" t="s">
        <v>50305</v>
      </c>
      <c r="I14649" t="s">
        <v>50306</v>
      </c>
      <c r="Y14649" t="s">
        <v>50307</v>
      </c>
    </row>
    <row r="14650" spans="1:25" x14ac:dyDescent="0.25">
      <c r="A14650" t="str">
        <f>"1093612744"</f>
        <v>1093612744</v>
      </c>
      <c r="B14650" t="s">
        <v>25</v>
      </c>
      <c r="C14650" t="s">
        <v>5632</v>
      </c>
      <c r="D14650" t="s">
        <v>17404</v>
      </c>
      <c r="E14650">
        <v>425062</v>
      </c>
      <c r="F14650" t="s">
        <v>1</v>
      </c>
      <c r="G14650" t="s">
        <v>50227</v>
      </c>
      <c r="H14650" t="s">
        <v>50308</v>
      </c>
      <c r="I14650" t="s">
        <v>50309</v>
      </c>
      <c r="P14650" t="s">
        <v>280</v>
      </c>
      <c r="Y14650" t="s">
        <v>50310</v>
      </c>
    </row>
    <row r="14651" spans="1:25" x14ac:dyDescent="0.25">
      <c r="A14651" t="str">
        <f>"1094859560"</f>
        <v>1094859560</v>
      </c>
      <c r="B14651" t="s">
        <v>447</v>
      </c>
      <c r="C14651" t="s">
        <v>448</v>
      </c>
      <c r="D14651" t="s">
        <v>50311</v>
      </c>
      <c r="E14651">
        <v>425060</v>
      </c>
      <c r="F14651" t="s">
        <v>1</v>
      </c>
      <c r="G14651" t="s">
        <v>50227</v>
      </c>
      <c r="H14651" t="s">
        <v>50312</v>
      </c>
      <c r="I14651" t="s">
        <v>50313</v>
      </c>
      <c r="K14651" t="s">
        <v>50314</v>
      </c>
      <c r="L14651" t="s">
        <v>50315</v>
      </c>
      <c r="M14651" t="s">
        <v>50316</v>
      </c>
      <c r="P14651" t="s">
        <v>280</v>
      </c>
      <c r="Y14651" t="s">
        <v>50317</v>
      </c>
    </row>
    <row r="14652" spans="1:25" x14ac:dyDescent="0.25">
      <c r="A14652" t="str">
        <f>"1095172582"</f>
        <v>1095172582</v>
      </c>
      <c r="B14652" t="s">
        <v>1262</v>
      </c>
      <c r="C14652" t="s">
        <v>33441</v>
      </c>
      <c r="D14652" t="s">
        <v>50318</v>
      </c>
      <c r="E14652">
        <v>425061</v>
      </c>
      <c r="F14652" t="s">
        <v>1</v>
      </c>
      <c r="G14652" t="s">
        <v>50227</v>
      </c>
      <c r="H14652" t="s">
        <v>50319</v>
      </c>
      <c r="I14652" t="s">
        <v>50320</v>
      </c>
      <c r="L14652" t="s">
        <v>581</v>
      </c>
      <c r="M14652" t="s">
        <v>50321</v>
      </c>
      <c r="P14652" t="s">
        <v>280</v>
      </c>
      <c r="Y14652" t="s">
        <v>50322</v>
      </c>
    </row>
    <row r="14653" spans="1:25" x14ac:dyDescent="0.25">
      <c r="A14653" t="str">
        <f>"1099855547"</f>
        <v>1099855547</v>
      </c>
      <c r="B14653" t="s">
        <v>1053</v>
      </c>
      <c r="C14653" t="s">
        <v>50326</v>
      </c>
      <c r="D14653" t="s">
        <v>50323</v>
      </c>
      <c r="E14653">
        <v>425060</v>
      </c>
      <c r="F14653" t="s">
        <v>1</v>
      </c>
      <c r="G14653" t="s">
        <v>50227</v>
      </c>
      <c r="H14653" t="s">
        <v>50324</v>
      </c>
      <c r="J14653" t="s">
        <v>50325</v>
      </c>
      <c r="Y14653" t="s">
        <v>50327</v>
      </c>
    </row>
    <row r="14654" spans="1:25" x14ac:dyDescent="0.25">
      <c r="A14654" t="str">
        <f>"1107781846"</f>
        <v>1107781846</v>
      </c>
      <c r="B14654" t="s">
        <v>482</v>
      </c>
      <c r="C14654" t="s">
        <v>483</v>
      </c>
      <c r="D14654" t="s">
        <v>50328</v>
      </c>
      <c r="F14654" t="s">
        <v>1</v>
      </c>
      <c r="G14654" t="s">
        <v>50227</v>
      </c>
      <c r="H14654" t="s">
        <v>50329</v>
      </c>
      <c r="I14654" t="s">
        <v>50330</v>
      </c>
      <c r="M14654" t="s">
        <v>50331</v>
      </c>
      <c r="P14654" t="s">
        <v>280</v>
      </c>
      <c r="Y14654" t="s">
        <v>50332</v>
      </c>
    </row>
    <row r="14655" spans="1:25" x14ac:dyDescent="0.25">
      <c r="A14655" t="str">
        <f>"1114943655"</f>
        <v>1114943655</v>
      </c>
      <c r="B14655" t="s">
        <v>176</v>
      </c>
      <c r="C14655" t="s">
        <v>566</v>
      </c>
      <c r="D14655" t="s">
        <v>50333</v>
      </c>
      <c r="E14655">
        <v>425061</v>
      </c>
      <c r="F14655" t="s">
        <v>1</v>
      </c>
      <c r="G14655" t="s">
        <v>50227</v>
      </c>
      <c r="H14655" t="s">
        <v>50334</v>
      </c>
      <c r="J14655" t="s">
        <v>50335</v>
      </c>
      <c r="P14655" t="s">
        <v>330</v>
      </c>
      <c r="Y14655" t="s">
        <v>50336</v>
      </c>
    </row>
    <row r="14656" spans="1:25" x14ac:dyDescent="0.25">
      <c r="A14656" t="str">
        <f>"1120507554"</f>
        <v>1120507554</v>
      </c>
      <c r="B14656" t="s">
        <v>1702</v>
      </c>
      <c r="C14656" t="s">
        <v>2265</v>
      </c>
      <c r="D14656" t="s">
        <v>50337</v>
      </c>
      <c r="F14656" t="s">
        <v>1</v>
      </c>
      <c r="G14656" t="s">
        <v>50227</v>
      </c>
      <c r="H14656" t="s">
        <v>50338</v>
      </c>
      <c r="I14656" t="s">
        <v>50339</v>
      </c>
      <c r="P14656" t="s">
        <v>330</v>
      </c>
      <c r="Y14656" t="s">
        <v>50340</v>
      </c>
    </row>
    <row r="14657" spans="1:25" x14ac:dyDescent="0.25">
      <c r="A14657" t="str">
        <f>"1130330330"</f>
        <v>1130330330</v>
      </c>
      <c r="B14657" t="s">
        <v>11631</v>
      </c>
      <c r="C14657" t="s">
        <v>50345</v>
      </c>
      <c r="D14657" t="s">
        <v>50341</v>
      </c>
      <c r="E14657">
        <v>425061</v>
      </c>
      <c r="F14657" t="s">
        <v>1</v>
      </c>
      <c r="G14657" t="s">
        <v>50227</v>
      </c>
      <c r="H14657" t="s">
        <v>50252</v>
      </c>
      <c r="I14657" t="s">
        <v>50342</v>
      </c>
      <c r="L14657" t="s">
        <v>50343</v>
      </c>
      <c r="M14657" t="s">
        <v>50344</v>
      </c>
      <c r="P14657" t="s">
        <v>280</v>
      </c>
      <c r="Y14657" t="s">
        <v>50346</v>
      </c>
    </row>
    <row r="14658" spans="1:25" x14ac:dyDescent="0.25">
      <c r="A14658" t="str">
        <f>"1131327780"</f>
        <v>1131327780</v>
      </c>
      <c r="B14658" t="s">
        <v>574</v>
      </c>
      <c r="C14658" t="s">
        <v>646</v>
      </c>
      <c r="D14658" t="s">
        <v>50347</v>
      </c>
      <c r="E14658">
        <v>425060</v>
      </c>
      <c r="F14658" t="s">
        <v>1</v>
      </c>
      <c r="G14658" t="s">
        <v>50227</v>
      </c>
      <c r="H14658" t="s">
        <v>50248</v>
      </c>
      <c r="I14658" t="s">
        <v>50348</v>
      </c>
      <c r="P14658" t="s">
        <v>280</v>
      </c>
      <c r="Y14658" t="s">
        <v>50349</v>
      </c>
    </row>
    <row r="14659" spans="1:25" x14ac:dyDescent="0.25">
      <c r="A14659" t="str">
        <f>"1158088865"</f>
        <v>1158088865</v>
      </c>
      <c r="B14659" t="s">
        <v>176</v>
      </c>
      <c r="C14659" t="s">
        <v>50355</v>
      </c>
      <c r="D14659" t="s">
        <v>50350</v>
      </c>
      <c r="E14659">
        <v>425060</v>
      </c>
      <c r="F14659" t="s">
        <v>1</v>
      </c>
      <c r="G14659" t="s">
        <v>50227</v>
      </c>
      <c r="H14659" t="s">
        <v>50351</v>
      </c>
      <c r="J14659" t="s">
        <v>50352</v>
      </c>
      <c r="L14659" t="s">
        <v>50353</v>
      </c>
      <c r="M14659" t="s">
        <v>50354</v>
      </c>
      <c r="P14659" t="s">
        <v>330</v>
      </c>
      <c r="Q14659" t="s">
        <v>50356</v>
      </c>
      <c r="Y14659" t="s">
        <v>50357</v>
      </c>
    </row>
    <row r="14660" spans="1:25" x14ac:dyDescent="0.25">
      <c r="A14660" t="str">
        <f>"1216763214"</f>
        <v>1216763214</v>
      </c>
      <c r="B14660" t="s">
        <v>13560</v>
      </c>
      <c r="C14660" t="s">
        <v>19433</v>
      </c>
      <c r="D14660" t="s">
        <v>50358</v>
      </c>
      <c r="F14660" t="s">
        <v>1</v>
      </c>
      <c r="G14660" t="s">
        <v>50227</v>
      </c>
      <c r="H14660" t="s">
        <v>50359</v>
      </c>
      <c r="I14660" t="s">
        <v>50360</v>
      </c>
      <c r="P14660" t="s">
        <v>20</v>
      </c>
      <c r="Y14660" t="s">
        <v>50361</v>
      </c>
    </row>
    <row r="14661" spans="1:25" x14ac:dyDescent="0.25">
      <c r="A14661" t="str">
        <f>"1217973294"</f>
        <v>1217973294</v>
      </c>
      <c r="B14661" t="s">
        <v>930</v>
      </c>
      <c r="C14661" t="s">
        <v>1096</v>
      </c>
      <c r="D14661" t="s">
        <v>50362</v>
      </c>
      <c r="E14661">
        <v>425062</v>
      </c>
      <c r="F14661" t="s">
        <v>1</v>
      </c>
      <c r="G14661" t="s">
        <v>50227</v>
      </c>
      <c r="H14661" t="s">
        <v>50363</v>
      </c>
      <c r="J14661" t="s">
        <v>50364</v>
      </c>
      <c r="P14661" t="s">
        <v>1107</v>
      </c>
      <c r="Y14661" t="s">
        <v>50365</v>
      </c>
    </row>
    <row r="14662" spans="1:25" x14ac:dyDescent="0.25">
      <c r="A14662" t="str">
        <f>"1272903438"</f>
        <v>1272903438</v>
      </c>
      <c r="B14662" t="s">
        <v>417</v>
      </c>
      <c r="C14662" t="s">
        <v>6532</v>
      </c>
      <c r="D14662" t="s">
        <v>50366</v>
      </c>
      <c r="E14662">
        <v>425060</v>
      </c>
      <c r="F14662" t="s">
        <v>1</v>
      </c>
      <c r="G14662" t="s">
        <v>50227</v>
      </c>
      <c r="H14662" t="s">
        <v>50367</v>
      </c>
      <c r="I14662" t="s">
        <v>50368</v>
      </c>
      <c r="P14662" t="s">
        <v>280</v>
      </c>
      <c r="Y14662" t="s">
        <v>50369</v>
      </c>
    </row>
    <row r="14663" spans="1:25" x14ac:dyDescent="0.25">
      <c r="A14663" t="str">
        <f>"1278177900"</f>
        <v>1278177900</v>
      </c>
      <c r="B14663" t="s">
        <v>25</v>
      </c>
      <c r="C14663" t="s">
        <v>50372</v>
      </c>
      <c r="D14663" t="s">
        <v>50370</v>
      </c>
      <c r="F14663" t="s">
        <v>1</v>
      </c>
      <c r="G14663" t="s">
        <v>50227</v>
      </c>
      <c r="H14663" t="s">
        <v>50371</v>
      </c>
      <c r="Y14663" t="s">
        <v>50373</v>
      </c>
    </row>
    <row r="14664" spans="1:25" x14ac:dyDescent="0.25">
      <c r="A14664" t="str">
        <f>"1292412360"</f>
        <v>1292412360</v>
      </c>
      <c r="B14664" t="s">
        <v>88</v>
      </c>
      <c r="C14664" t="s">
        <v>50377</v>
      </c>
      <c r="D14664" t="s">
        <v>50374</v>
      </c>
      <c r="F14664" t="s">
        <v>1</v>
      </c>
      <c r="G14664" t="s">
        <v>50227</v>
      </c>
      <c r="H14664" t="s">
        <v>50375</v>
      </c>
      <c r="I14664" t="s">
        <v>50376</v>
      </c>
      <c r="P14664" t="s">
        <v>280</v>
      </c>
      <c r="Y14664" t="s">
        <v>50378</v>
      </c>
    </row>
    <row r="14665" spans="1:25" x14ac:dyDescent="0.25">
      <c r="A14665" t="str">
        <f>"1302017341"</f>
        <v>1302017341</v>
      </c>
      <c r="B14665" t="s">
        <v>1362</v>
      </c>
      <c r="C14665" t="s">
        <v>15548</v>
      </c>
      <c r="D14665" t="s">
        <v>50379</v>
      </c>
      <c r="E14665">
        <v>425062</v>
      </c>
      <c r="F14665" t="s">
        <v>1</v>
      </c>
      <c r="G14665" t="s">
        <v>50227</v>
      </c>
      <c r="H14665" t="s">
        <v>50380</v>
      </c>
      <c r="I14665" t="s">
        <v>50381</v>
      </c>
      <c r="Y14665" t="s">
        <v>50382</v>
      </c>
    </row>
    <row r="14666" spans="1:25" x14ac:dyDescent="0.25">
      <c r="A14666" t="str">
        <f>"1304954343"</f>
        <v>1304954343</v>
      </c>
      <c r="B14666" t="s">
        <v>447</v>
      </c>
      <c r="C14666" t="s">
        <v>448</v>
      </c>
      <c r="D14666" t="s">
        <v>50383</v>
      </c>
      <c r="E14666">
        <v>425061</v>
      </c>
      <c r="F14666" t="s">
        <v>1</v>
      </c>
      <c r="G14666" t="s">
        <v>50227</v>
      </c>
      <c r="H14666" t="s">
        <v>50384</v>
      </c>
      <c r="I14666" t="s">
        <v>50385</v>
      </c>
      <c r="P14666" t="s">
        <v>20</v>
      </c>
      <c r="Y14666" t="s">
        <v>50386</v>
      </c>
    </row>
    <row r="14667" spans="1:25" x14ac:dyDescent="0.25">
      <c r="A14667" t="str">
        <f>"1309431409"</f>
        <v>1309431409</v>
      </c>
      <c r="B14667" t="s">
        <v>117</v>
      </c>
      <c r="C14667" t="s">
        <v>6850</v>
      </c>
      <c r="D14667" t="s">
        <v>50387</v>
      </c>
      <c r="F14667" t="s">
        <v>1</v>
      </c>
      <c r="G14667" t="s">
        <v>50227</v>
      </c>
      <c r="H14667" t="s">
        <v>50375</v>
      </c>
      <c r="I14667" t="s">
        <v>50388</v>
      </c>
      <c r="L14667" t="s">
        <v>50389</v>
      </c>
      <c r="M14667" t="s">
        <v>50390</v>
      </c>
      <c r="P14667" t="s">
        <v>330</v>
      </c>
      <c r="Q14667" t="s">
        <v>50391</v>
      </c>
      <c r="T14667" t="s">
        <v>50392</v>
      </c>
      <c r="V14667" t="s">
        <v>50393</v>
      </c>
      <c r="Y14667" t="s">
        <v>50394</v>
      </c>
    </row>
    <row r="14668" spans="1:25" x14ac:dyDescent="0.25">
      <c r="A14668" t="str">
        <f>"1317054397"</f>
        <v>1317054397</v>
      </c>
      <c r="B14668" t="s">
        <v>1230</v>
      </c>
      <c r="C14668" t="s">
        <v>2526</v>
      </c>
      <c r="D14668" t="s">
        <v>50395</v>
      </c>
      <c r="E14668">
        <v>425062</v>
      </c>
      <c r="F14668" t="s">
        <v>1</v>
      </c>
      <c r="G14668" t="s">
        <v>50227</v>
      </c>
      <c r="H14668" t="s">
        <v>50244</v>
      </c>
      <c r="I14668" t="s">
        <v>50396</v>
      </c>
      <c r="L14668" t="s">
        <v>581</v>
      </c>
      <c r="M14668" t="s">
        <v>50397</v>
      </c>
      <c r="P14668" t="s">
        <v>20</v>
      </c>
      <c r="Y14668" t="s">
        <v>50398</v>
      </c>
    </row>
    <row r="14669" spans="1:25" x14ac:dyDescent="0.25">
      <c r="A14669" t="str">
        <f>"1319303333"</f>
        <v>1319303333</v>
      </c>
      <c r="B14669" t="s">
        <v>80</v>
      </c>
      <c r="C14669" t="s">
        <v>3295</v>
      </c>
      <c r="D14669" t="s">
        <v>50399</v>
      </c>
      <c r="E14669">
        <v>425060</v>
      </c>
      <c r="F14669" t="s">
        <v>1</v>
      </c>
      <c r="G14669" t="s">
        <v>50227</v>
      </c>
      <c r="H14669" t="s">
        <v>50400</v>
      </c>
      <c r="I14669" t="s">
        <v>50401</v>
      </c>
      <c r="J14669" t="s">
        <v>50402</v>
      </c>
      <c r="L14669" t="s">
        <v>50403</v>
      </c>
      <c r="M14669" t="s">
        <v>50404</v>
      </c>
      <c r="P14669" t="s">
        <v>50405</v>
      </c>
      <c r="Y14669" t="s">
        <v>50406</v>
      </c>
    </row>
    <row r="14670" spans="1:25" x14ac:dyDescent="0.25">
      <c r="A14670" t="str">
        <f>"1322042609"</f>
        <v>1322042609</v>
      </c>
      <c r="B14670" t="s">
        <v>3094</v>
      </c>
      <c r="C14670" t="s">
        <v>6522</v>
      </c>
      <c r="D14670" t="s">
        <v>50407</v>
      </c>
      <c r="E14670">
        <v>425060</v>
      </c>
      <c r="F14670" t="s">
        <v>1</v>
      </c>
      <c r="G14670" t="s">
        <v>50227</v>
      </c>
      <c r="H14670" t="s">
        <v>50408</v>
      </c>
      <c r="I14670" t="s">
        <v>50409</v>
      </c>
      <c r="L14670" t="s">
        <v>50410</v>
      </c>
      <c r="M14670" t="s">
        <v>50411</v>
      </c>
      <c r="P14670" t="s">
        <v>1071</v>
      </c>
      <c r="Y14670" t="s">
        <v>50412</v>
      </c>
    </row>
    <row r="14671" spans="1:25" x14ac:dyDescent="0.25">
      <c r="A14671" t="str">
        <f>"1327698423"</f>
        <v>1327698423</v>
      </c>
      <c r="B14671" t="s">
        <v>123</v>
      </c>
      <c r="C14671" t="s">
        <v>196</v>
      </c>
      <c r="D14671" t="s">
        <v>32208</v>
      </c>
      <c r="E14671">
        <v>425062</v>
      </c>
      <c r="F14671" t="s">
        <v>1</v>
      </c>
      <c r="G14671" t="s">
        <v>50227</v>
      </c>
      <c r="H14671" t="s">
        <v>50413</v>
      </c>
      <c r="I14671" t="s">
        <v>50414</v>
      </c>
      <c r="L14671" t="s">
        <v>50415</v>
      </c>
      <c r="M14671" t="s">
        <v>50416</v>
      </c>
      <c r="P14671" t="s">
        <v>20</v>
      </c>
      <c r="Y14671" t="s">
        <v>50417</v>
      </c>
    </row>
    <row r="14672" spans="1:25" x14ac:dyDescent="0.25">
      <c r="A14672" t="str">
        <f>"1336361379"</f>
        <v>1336361379</v>
      </c>
      <c r="B14672" t="s">
        <v>233</v>
      </c>
      <c r="C14672" t="s">
        <v>29653</v>
      </c>
      <c r="D14672" t="s">
        <v>50418</v>
      </c>
      <c r="F14672" t="s">
        <v>1</v>
      </c>
      <c r="G14672" t="s">
        <v>50227</v>
      </c>
      <c r="H14672" t="s">
        <v>50419</v>
      </c>
      <c r="I14672" t="s">
        <v>50420</v>
      </c>
      <c r="M14672" t="s">
        <v>50421</v>
      </c>
      <c r="P14672" t="s">
        <v>7701</v>
      </c>
      <c r="Y14672" t="s">
        <v>50303</v>
      </c>
    </row>
    <row r="14673" spans="1:25" x14ac:dyDescent="0.25">
      <c r="A14673" t="str">
        <f>"1341620617"</f>
        <v>1341620617</v>
      </c>
      <c r="B14673" t="s">
        <v>1152</v>
      </c>
      <c r="C14673" t="s">
        <v>1153</v>
      </c>
      <c r="D14673" t="s">
        <v>50422</v>
      </c>
      <c r="E14673">
        <v>425060</v>
      </c>
      <c r="F14673" t="s">
        <v>1</v>
      </c>
      <c r="G14673" t="s">
        <v>50227</v>
      </c>
      <c r="H14673" t="s">
        <v>50423</v>
      </c>
      <c r="I14673" t="s">
        <v>50424</v>
      </c>
      <c r="L14673" t="s">
        <v>50425</v>
      </c>
      <c r="M14673" t="s">
        <v>50426</v>
      </c>
      <c r="Q14673" t="s">
        <v>50427</v>
      </c>
      <c r="V14673" t="s">
        <v>50428</v>
      </c>
      <c r="Y14673" t="s">
        <v>50429</v>
      </c>
    </row>
    <row r="14674" spans="1:25" x14ac:dyDescent="0.25">
      <c r="A14674" t="str">
        <f>"1344363411"</f>
        <v>1344363411</v>
      </c>
      <c r="B14674" t="s">
        <v>1611</v>
      </c>
      <c r="C14674" t="s">
        <v>3218</v>
      </c>
      <c r="D14674" t="s">
        <v>50430</v>
      </c>
      <c r="E14674">
        <v>425060</v>
      </c>
      <c r="F14674" t="s">
        <v>1</v>
      </c>
      <c r="G14674" t="s">
        <v>50227</v>
      </c>
      <c r="H14674" t="s">
        <v>50431</v>
      </c>
      <c r="I14674" t="s">
        <v>50432</v>
      </c>
      <c r="M14674" t="s">
        <v>50433</v>
      </c>
      <c r="Y14674" t="s">
        <v>50434</v>
      </c>
    </row>
    <row r="14675" spans="1:25" x14ac:dyDescent="0.25">
      <c r="A14675" t="str">
        <f>"1349873158"</f>
        <v>1349873158</v>
      </c>
      <c r="B14675" t="s">
        <v>462</v>
      </c>
      <c r="C14675" t="s">
        <v>3988</v>
      </c>
      <c r="D14675" t="s">
        <v>50435</v>
      </c>
      <c r="E14675">
        <v>425060</v>
      </c>
      <c r="F14675" t="s">
        <v>1</v>
      </c>
      <c r="G14675" t="s">
        <v>50227</v>
      </c>
      <c r="H14675" t="s">
        <v>50436</v>
      </c>
      <c r="I14675" t="s">
        <v>50437</v>
      </c>
      <c r="J14675" t="s">
        <v>50438</v>
      </c>
      <c r="L14675" t="s">
        <v>15279</v>
      </c>
      <c r="M14675" t="s">
        <v>50439</v>
      </c>
      <c r="P14675" t="s">
        <v>696</v>
      </c>
      <c r="Q14675" t="s">
        <v>50440</v>
      </c>
      <c r="Y14675" t="s">
        <v>50441</v>
      </c>
    </row>
    <row r="14676" spans="1:25" x14ac:dyDescent="0.25">
      <c r="A14676" t="str">
        <f>"1352148915"</f>
        <v>1352148915</v>
      </c>
      <c r="B14676" t="s">
        <v>319</v>
      </c>
      <c r="C14676" t="s">
        <v>320</v>
      </c>
      <c r="D14676" t="s">
        <v>50442</v>
      </c>
      <c r="E14676">
        <v>425061</v>
      </c>
      <c r="F14676" t="s">
        <v>1</v>
      </c>
      <c r="G14676" t="s">
        <v>50227</v>
      </c>
      <c r="H14676" t="s">
        <v>50443</v>
      </c>
      <c r="I14676" t="s">
        <v>50444</v>
      </c>
      <c r="L14676" t="s">
        <v>2559</v>
      </c>
      <c r="M14676" t="s">
        <v>17901</v>
      </c>
      <c r="P14676" t="s">
        <v>50445</v>
      </c>
      <c r="Y14676" t="s">
        <v>50446</v>
      </c>
    </row>
    <row r="14677" spans="1:25" x14ac:dyDescent="0.25">
      <c r="A14677" t="str">
        <f>"1361382191"</f>
        <v>1361382191</v>
      </c>
      <c r="B14677" t="s">
        <v>151</v>
      </c>
      <c r="C14677" t="s">
        <v>2522</v>
      </c>
      <c r="D14677" t="s">
        <v>50447</v>
      </c>
      <c r="E14677">
        <v>425060</v>
      </c>
      <c r="F14677" t="s">
        <v>1</v>
      </c>
      <c r="G14677" t="s">
        <v>50227</v>
      </c>
      <c r="H14677" t="s">
        <v>50436</v>
      </c>
      <c r="I14677" t="s">
        <v>50448</v>
      </c>
      <c r="P14677" t="s">
        <v>11831</v>
      </c>
      <c r="Y14677" t="s">
        <v>50449</v>
      </c>
    </row>
    <row r="14678" spans="1:25" x14ac:dyDescent="0.25">
      <c r="A14678" t="str">
        <f>"1385084577"</f>
        <v>1385084577</v>
      </c>
      <c r="B14678" t="s">
        <v>18</v>
      </c>
      <c r="C14678" t="s">
        <v>959</v>
      </c>
      <c r="D14678" t="s">
        <v>50450</v>
      </c>
      <c r="E14678">
        <v>425060</v>
      </c>
      <c r="F14678" t="s">
        <v>1</v>
      </c>
      <c r="G14678" t="s">
        <v>50227</v>
      </c>
      <c r="H14678" t="s">
        <v>50451</v>
      </c>
      <c r="J14678" t="s">
        <v>50452</v>
      </c>
      <c r="P14678" t="s">
        <v>2710</v>
      </c>
      <c r="Y14678" t="s">
        <v>50453</v>
      </c>
    </row>
    <row r="14679" spans="1:25" x14ac:dyDescent="0.25">
      <c r="A14679" t="str">
        <f>"1386514366"</f>
        <v>1386514366</v>
      </c>
      <c r="B14679" t="s">
        <v>3573</v>
      </c>
      <c r="C14679" t="s">
        <v>3574</v>
      </c>
      <c r="D14679" t="s">
        <v>50454</v>
      </c>
      <c r="E14679">
        <v>425060</v>
      </c>
      <c r="F14679" t="s">
        <v>1</v>
      </c>
      <c r="G14679" t="s">
        <v>50227</v>
      </c>
      <c r="H14679" t="s">
        <v>50455</v>
      </c>
      <c r="I14679" t="s">
        <v>50456</v>
      </c>
      <c r="K14679" t="s">
        <v>50457</v>
      </c>
      <c r="L14679" t="s">
        <v>50458</v>
      </c>
      <c r="P14679" t="s">
        <v>152</v>
      </c>
      <c r="Y14679" t="s">
        <v>50459</v>
      </c>
    </row>
    <row r="14680" spans="1:25" x14ac:dyDescent="0.25">
      <c r="A14680" t="str">
        <f>"1389881176"</f>
        <v>1389881176</v>
      </c>
      <c r="B14680" t="s">
        <v>482</v>
      </c>
      <c r="C14680" t="s">
        <v>9754</v>
      </c>
      <c r="D14680" t="s">
        <v>4989</v>
      </c>
      <c r="E14680">
        <v>425060</v>
      </c>
      <c r="F14680" t="s">
        <v>1</v>
      </c>
      <c r="G14680" t="s">
        <v>50227</v>
      </c>
      <c r="H14680" t="s">
        <v>50436</v>
      </c>
      <c r="J14680" t="s">
        <v>50460</v>
      </c>
      <c r="P14680" t="s">
        <v>280</v>
      </c>
      <c r="Y14680" t="s">
        <v>50461</v>
      </c>
    </row>
    <row r="14681" spans="1:25" x14ac:dyDescent="0.25">
      <c r="A14681" t="str">
        <f>"1396748516"</f>
        <v>1396748516</v>
      </c>
      <c r="B14681" t="s">
        <v>4084</v>
      </c>
      <c r="C14681" t="s">
        <v>7951</v>
      </c>
      <c r="D14681" t="s">
        <v>50462</v>
      </c>
      <c r="E14681">
        <v>425060</v>
      </c>
      <c r="F14681" t="s">
        <v>1</v>
      </c>
      <c r="G14681" t="s">
        <v>50227</v>
      </c>
      <c r="H14681" t="s">
        <v>50463</v>
      </c>
      <c r="M14681" t="s">
        <v>50464</v>
      </c>
      <c r="Y14681" t="s">
        <v>50465</v>
      </c>
    </row>
    <row r="14682" spans="1:25" x14ac:dyDescent="0.25">
      <c r="A14682" t="str">
        <f>"1405418615"</f>
        <v>1405418615</v>
      </c>
      <c r="B14682" t="s">
        <v>456</v>
      </c>
      <c r="C14682" t="s">
        <v>50470</v>
      </c>
      <c r="D14682" t="s">
        <v>8682</v>
      </c>
      <c r="F14682" t="s">
        <v>1</v>
      </c>
      <c r="G14682" t="s">
        <v>50227</v>
      </c>
      <c r="H14682" t="s">
        <v>50466</v>
      </c>
      <c r="I14682" t="s">
        <v>50467</v>
      </c>
      <c r="J14682" t="s">
        <v>50468</v>
      </c>
      <c r="L14682" t="s">
        <v>33332</v>
      </c>
      <c r="M14682" t="s">
        <v>50469</v>
      </c>
      <c r="P14682" t="s">
        <v>1160</v>
      </c>
      <c r="Y14682" t="s">
        <v>50471</v>
      </c>
    </row>
    <row r="14683" spans="1:25" x14ac:dyDescent="0.25">
      <c r="A14683" t="str">
        <f>"1469469390"</f>
        <v>1469469390</v>
      </c>
      <c r="B14683" t="s">
        <v>797</v>
      </c>
      <c r="C14683" t="s">
        <v>5123</v>
      </c>
      <c r="D14683" t="s">
        <v>50472</v>
      </c>
      <c r="E14683">
        <v>425060</v>
      </c>
      <c r="F14683" t="s">
        <v>1</v>
      </c>
      <c r="G14683" t="s">
        <v>50227</v>
      </c>
      <c r="H14683" t="s">
        <v>50473</v>
      </c>
      <c r="I14683" t="s">
        <v>50474</v>
      </c>
      <c r="J14683" t="s">
        <v>50475</v>
      </c>
      <c r="P14683" t="s">
        <v>1404</v>
      </c>
      <c r="Y14683" t="s">
        <v>50476</v>
      </c>
    </row>
    <row r="14684" spans="1:25" x14ac:dyDescent="0.25">
      <c r="A14684" t="str">
        <f>"1506568238"</f>
        <v>1506568238</v>
      </c>
      <c r="B14684" t="s">
        <v>48</v>
      </c>
      <c r="C14684" t="s">
        <v>50481</v>
      </c>
      <c r="D14684" t="s">
        <v>50477</v>
      </c>
      <c r="E14684">
        <v>425060</v>
      </c>
      <c r="F14684" t="s">
        <v>1</v>
      </c>
      <c r="G14684" t="s">
        <v>50227</v>
      </c>
      <c r="H14684" t="s">
        <v>50478</v>
      </c>
      <c r="I14684" t="s">
        <v>50479</v>
      </c>
      <c r="M14684" t="s">
        <v>50480</v>
      </c>
      <c r="P14684" t="s">
        <v>2738</v>
      </c>
      <c r="Y14684" t="s">
        <v>50482</v>
      </c>
    </row>
    <row r="14685" spans="1:25" x14ac:dyDescent="0.25">
      <c r="A14685" t="str">
        <f>"1509381321"</f>
        <v>1509381321</v>
      </c>
      <c r="B14685" t="s">
        <v>96</v>
      </c>
      <c r="C14685" t="s">
        <v>507</v>
      </c>
      <c r="D14685" t="s">
        <v>504</v>
      </c>
      <c r="F14685" t="s">
        <v>1</v>
      </c>
      <c r="G14685" t="s">
        <v>50227</v>
      </c>
      <c r="H14685" t="s">
        <v>50483</v>
      </c>
      <c r="J14685" t="s">
        <v>50484</v>
      </c>
      <c r="P14685" t="s">
        <v>5552</v>
      </c>
      <c r="Y14685" t="s">
        <v>50485</v>
      </c>
    </row>
    <row r="14686" spans="1:25" x14ac:dyDescent="0.25">
      <c r="A14686" t="str">
        <f>"1560311650"</f>
        <v>1560311650</v>
      </c>
      <c r="B14686" t="s">
        <v>3094</v>
      </c>
      <c r="C14686" t="s">
        <v>3095</v>
      </c>
      <c r="D14686" t="s">
        <v>50486</v>
      </c>
      <c r="E14686">
        <v>425062</v>
      </c>
      <c r="F14686" t="s">
        <v>1</v>
      </c>
      <c r="G14686" t="s">
        <v>50227</v>
      </c>
      <c r="H14686" t="s">
        <v>50413</v>
      </c>
      <c r="I14686" t="s">
        <v>50487</v>
      </c>
      <c r="L14686" t="s">
        <v>50488</v>
      </c>
      <c r="M14686" t="s">
        <v>50489</v>
      </c>
      <c r="P14686" t="s">
        <v>280</v>
      </c>
      <c r="Y14686" t="s">
        <v>50490</v>
      </c>
    </row>
    <row r="14687" spans="1:25" x14ac:dyDescent="0.25">
      <c r="A14687" t="str">
        <f>"1566070754"</f>
        <v>1566070754</v>
      </c>
      <c r="B14687" t="s">
        <v>110</v>
      </c>
      <c r="C14687" t="s">
        <v>111</v>
      </c>
      <c r="D14687" t="s">
        <v>1115</v>
      </c>
      <c r="E14687">
        <v>425060</v>
      </c>
      <c r="F14687" t="s">
        <v>1</v>
      </c>
      <c r="G14687" t="s">
        <v>50227</v>
      </c>
      <c r="H14687" t="s">
        <v>50491</v>
      </c>
      <c r="I14687" t="s">
        <v>50492</v>
      </c>
      <c r="L14687" t="s">
        <v>7220</v>
      </c>
      <c r="P14687" t="s">
        <v>245</v>
      </c>
      <c r="Y14687" t="s">
        <v>50493</v>
      </c>
    </row>
    <row r="14688" spans="1:25" x14ac:dyDescent="0.25">
      <c r="A14688" t="str">
        <f>"1595395986"</f>
        <v>1595395986</v>
      </c>
      <c r="B14688" t="s">
        <v>348</v>
      </c>
      <c r="C14688" t="s">
        <v>21775</v>
      </c>
      <c r="D14688" t="s">
        <v>12817</v>
      </c>
      <c r="E14688">
        <v>425060</v>
      </c>
      <c r="F14688" t="s">
        <v>1</v>
      </c>
      <c r="G14688" t="s">
        <v>50227</v>
      </c>
      <c r="H14688" t="s">
        <v>50455</v>
      </c>
      <c r="I14688" t="s">
        <v>50494</v>
      </c>
      <c r="L14688" t="s">
        <v>50495</v>
      </c>
      <c r="M14688" t="s">
        <v>50496</v>
      </c>
      <c r="P14688" t="s">
        <v>133</v>
      </c>
      <c r="Q14688" t="s">
        <v>50497</v>
      </c>
      <c r="T14688" t="s">
        <v>50498</v>
      </c>
      <c r="Y14688" t="s">
        <v>50459</v>
      </c>
    </row>
    <row r="14689" spans="1:25" x14ac:dyDescent="0.25">
      <c r="A14689" t="str">
        <f>"1652740558"</f>
        <v>1652740558</v>
      </c>
      <c r="B14689" t="s">
        <v>290</v>
      </c>
      <c r="C14689" t="s">
        <v>50019</v>
      </c>
      <c r="D14689" t="s">
        <v>50499</v>
      </c>
      <c r="E14689">
        <v>425060</v>
      </c>
      <c r="F14689" t="s">
        <v>1</v>
      </c>
      <c r="G14689" t="s">
        <v>50227</v>
      </c>
      <c r="H14689" t="s">
        <v>50500</v>
      </c>
      <c r="I14689" t="s">
        <v>50501</v>
      </c>
      <c r="M14689" t="s">
        <v>50502</v>
      </c>
      <c r="P14689" t="s">
        <v>42017</v>
      </c>
      <c r="Y14689" t="s">
        <v>50503</v>
      </c>
    </row>
    <row r="14690" spans="1:25" x14ac:dyDescent="0.25">
      <c r="A14690" t="str">
        <f>"1698394957"</f>
        <v>1698394957</v>
      </c>
      <c r="B14690" t="s">
        <v>1053</v>
      </c>
      <c r="C14690" t="s">
        <v>1927</v>
      </c>
      <c r="D14690" t="s">
        <v>50504</v>
      </c>
      <c r="F14690" t="s">
        <v>1</v>
      </c>
      <c r="G14690" t="s">
        <v>50227</v>
      </c>
      <c r="H14690" t="s">
        <v>50505</v>
      </c>
      <c r="I14690" t="s">
        <v>50506</v>
      </c>
      <c r="P14690" t="s">
        <v>280</v>
      </c>
      <c r="Y14690" t="s">
        <v>50507</v>
      </c>
    </row>
    <row r="14691" spans="1:25" x14ac:dyDescent="0.25">
      <c r="A14691" t="str">
        <f>"1701672801"</f>
        <v>1701672801</v>
      </c>
      <c r="B14691" t="s">
        <v>2178</v>
      </c>
      <c r="C14691" t="s">
        <v>2179</v>
      </c>
      <c r="D14691" t="s">
        <v>50508</v>
      </c>
      <c r="E14691">
        <v>425060</v>
      </c>
      <c r="F14691" t="s">
        <v>1</v>
      </c>
      <c r="G14691" t="s">
        <v>50227</v>
      </c>
      <c r="H14691" t="s">
        <v>50509</v>
      </c>
      <c r="I14691" t="s">
        <v>50510</v>
      </c>
      <c r="P14691" t="s">
        <v>458</v>
      </c>
      <c r="Y14691" t="s">
        <v>50511</v>
      </c>
    </row>
    <row r="14692" spans="1:25" x14ac:dyDescent="0.25">
      <c r="A14692" t="str">
        <f>"1714701511"</f>
        <v>1714701511</v>
      </c>
      <c r="B14692" t="s">
        <v>26977</v>
      </c>
      <c r="C14692" t="s">
        <v>26978</v>
      </c>
      <c r="D14692" t="s">
        <v>50512</v>
      </c>
      <c r="E14692">
        <v>425060</v>
      </c>
      <c r="F14692" t="s">
        <v>1</v>
      </c>
      <c r="G14692" t="s">
        <v>50227</v>
      </c>
      <c r="H14692" t="s">
        <v>50431</v>
      </c>
      <c r="I14692" t="s">
        <v>50513</v>
      </c>
      <c r="P14692" t="s">
        <v>330</v>
      </c>
      <c r="Y14692" t="s">
        <v>50514</v>
      </c>
    </row>
    <row r="14693" spans="1:25" x14ac:dyDescent="0.25">
      <c r="A14693" t="str">
        <f>"1715098569"</f>
        <v>1715098569</v>
      </c>
      <c r="B14693" t="s">
        <v>1758</v>
      </c>
      <c r="C14693" t="s">
        <v>2276</v>
      </c>
      <c r="D14693" t="s">
        <v>50515</v>
      </c>
      <c r="E14693">
        <v>425061</v>
      </c>
      <c r="F14693" t="s">
        <v>1</v>
      </c>
      <c r="G14693" t="s">
        <v>50227</v>
      </c>
      <c r="H14693" t="s">
        <v>50516</v>
      </c>
      <c r="I14693" t="s">
        <v>50517</v>
      </c>
      <c r="P14693" t="s">
        <v>20</v>
      </c>
      <c r="Y14693" t="s">
        <v>50518</v>
      </c>
    </row>
    <row r="14694" spans="1:25" x14ac:dyDescent="0.25">
      <c r="A14694" t="str">
        <f>"1718851254"</f>
        <v>1718851254</v>
      </c>
      <c r="B14694" t="s">
        <v>456</v>
      </c>
      <c r="C14694" t="s">
        <v>2040</v>
      </c>
      <c r="D14694" t="s">
        <v>50519</v>
      </c>
      <c r="E14694">
        <v>425060</v>
      </c>
      <c r="F14694" t="s">
        <v>1</v>
      </c>
      <c r="G14694" t="s">
        <v>50227</v>
      </c>
      <c r="H14694" t="s">
        <v>50520</v>
      </c>
      <c r="J14694" t="s">
        <v>50521</v>
      </c>
      <c r="L14694" t="s">
        <v>50522</v>
      </c>
      <c r="P14694" t="s">
        <v>330</v>
      </c>
      <c r="Q14694" t="s">
        <v>50523</v>
      </c>
      <c r="Y14694" t="s">
        <v>50524</v>
      </c>
    </row>
    <row r="14695" spans="1:25" x14ac:dyDescent="0.25">
      <c r="A14695" t="str">
        <f>"1724916508"</f>
        <v>1724916508</v>
      </c>
      <c r="B14695" t="s">
        <v>110</v>
      </c>
      <c r="C14695" t="s">
        <v>50528</v>
      </c>
      <c r="D14695" t="s">
        <v>4950</v>
      </c>
      <c r="E14695">
        <v>425060</v>
      </c>
      <c r="F14695" t="s">
        <v>1</v>
      </c>
      <c r="G14695" t="s">
        <v>50227</v>
      </c>
      <c r="H14695" t="s">
        <v>50525</v>
      </c>
      <c r="I14695" t="s">
        <v>50526</v>
      </c>
      <c r="J14695" t="s">
        <v>50527</v>
      </c>
      <c r="P14695" t="s">
        <v>50529</v>
      </c>
      <c r="Q14695" t="s">
        <v>50530</v>
      </c>
      <c r="R14695" t="s">
        <v>50531</v>
      </c>
      <c r="Y14695" t="s">
        <v>50532</v>
      </c>
    </row>
    <row r="14696" spans="1:25" x14ac:dyDescent="0.25">
      <c r="A14696" t="str">
        <f>"1754111540"</f>
        <v>1754111540</v>
      </c>
      <c r="B14696" t="s">
        <v>2818</v>
      </c>
      <c r="C14696" t="s">
        <v>6466</v>
      </c>
      <c r="D14696" t="s">
        <v>50533</v>
      </c>
      <c r="E14696">
        <v>425060</v>
      </c>
      <c r="F14696" t="s">
        <v>1</v>
      </c>
      <c r="G14696" t="s">
        <v>50227</v>
      </c>
      <c r="H14696" t="s">
        <v>50436</v>
      </c>
      <c r="J14696" t="s">
        <v>50534</v>
      </c>
      <c r="L14696" t="s">
        <v>50535</v>
      </c>
      <c r="M14696" t="s">
        <v>50536</v>
      </c>
      <c r="P14696" t="s">
        <v>25737</v>
      </c>
      <c r="Y14696" t="s">
        <v>50537</v>
      </c>
    </row>
    <row r="14697" spans="1:25" x14ac:dyDescent="0.25">
      <c r="A14697" t="str">
        <f>"1798444279"</f>
        <v>1798444279</v>
      </c>
      <c r="B14697" t="s">
        <v>2178</v>
      </c>
      <c r="C14697" t="s">
        <v>2179</v>
      </c>
      <c r="D14697" t="s">
        <v>50538</v>
      </c>
      <c r="E14697">
        <v>425060</v>
      </c>
      <c r="F14697" t="s">
        <v>1</v>
      </c>
      <c r="G14697" t="s">
        <v>50227</v>
      </c>
      <c r="H14697" t="s">
        <v>50539</v>
      </c>
      <c r="I14697" t="s">
        <v>50540</v>
      </c>
      <c r="J14697" t="s">
        <v>50541</v>
      </c>
      <c r="L14697" t="s">
        <v>50542</v>
      </c>
      <c r="M14697" t="s">
        <v>50543</v>
      </c>
      <c r="P14697" t="s">
        <v>50544</v>
      </c>
      <c r="Q14697" t="s">
        <v>50545</v>
      </c>
      <c r="Y14697" t="s">
        <v>50546</v>
      </c>
    </row>
    <row r="14698" spans="1:25" x14ac:dyDescent="0.25">
      <c r="A14698" t="str">
        <f>"1865961829"</f>
        <v>1865961829</v>
      </c>
      <c r="B14698" t="s">
        <v>18</v>
      </c>
      <c r="C14698" t="s">
        <v>964</v>
      </c>
      <c r="D14698" t="s">
        <v>50547</v>
      </c>
      <c r="F14698" t="s">
        <v>1</v>
      </c>
      <c r="G14698" t="s">
        <v>50227</v>
      </c>
      <c r="H14698" t="s">
        <v>50375</v>
      </c>
      <c r="J14698" t="s">
        <v>50548</v>
      </c>
      <c r="L14698" t="s">
        <v>2127</v>
      </c>
      <c r="M14698" t="s">
        <v>50549</v>
      </c>
      <c r="P14698" t="s">
        <v>3938</v>
      </c>
      <c r="Y14698" t="s">
        <v>50550</v>
      </c>
    </row>
    <row r="14699" spans="1:25" x14ac:dyDescent="0.25">
      <c r="A14699" t="str">
        <f>"2380798547"</f>
        <v>2380798547</v>
      </c>
      <c r="B14699" t="s">
        <v>160</v>
      </c>
      <c r="C14699" t="s">
        <v>1666</v>
      </c>
      <c r="D14699" t="s">
        <v>50551</v>
      </c>
      <c r="F14699" t="s">
        <v>1</v>
      </c>
      <c r="G14699" t="s">
        <v>50227</v>
      </c>
      <c r="H14699" t="s">
        <v>50552</v>
      </c>
      <c r="I14699" t="s">
        <v>50553</v>
      </c>
      <c r="P14699" t="s">
        <v>280</v>
      </c>
      <c r="Y14699" t="s">
        <v>50554</v>
      </c>
    </row>
    <row r="14700" spans="1:25" x14ac:dyDescent="0.25">
      <c r="A14700" t="str">
        <f>"2873536847"</f>
        <v>2873536847</v>
      </c>
      <c r="B14700" t="s">
        <v>574</v>
      </c>
      <c r="C14700" t="s">
        <v>23462</v>
      </c>
      <c r="D14700" t="s">
        <v>27898</v>
      </c>
      <c r="F14700" t="s">
        <v>1</v>
      </c>
      <c r="G14700" t="s">
        <v>50227</v>
      </c>
      <c r="H14700" t="s">
        <v>50555</v>
      </c>
      <c r="Y14700" t="s">
        <v>50556</v>
      </c>
    </row>
    <row r="14701" spans="1:25" x14ac:dyDescent="0.25">
      <c r="A14701" t="str">
        <f>"3220669140"</f>
        <v>3220669140</v>
      </c>
      <c r="B14701" t="s">
        <v>1222</v>
      </c>
      <c r="C14701" t="s">
        <v>2114</v>
      </c>
      <c r="D14701" t="s">
        <v>50557</v>
      </c>
      <c r="E14701">
        <v>425060</v>
      </c>
      <c r="F14701" t="s">
        <v>1</v>
      </c>
      <c r="G14701" t="s">
        <v>50227</v>
      </c>
      <c r="H14701" t="s">
        <v>50558</v>
      </c>
      <c r="P14701" t="s">
        <v>50559</v>
      </c>
      <c r="Y14701" t="s">
        <v>50560</v>
      </c>
    </row>
    <row r="14702" spans="1:25" x14ac:dyDescent="0.25">
      <c r="A14702" t="str">
        <f>"3923770918"</f>
        <v>3923770918</v>
      </c>
      <c r="B14702" t="s">
        <v>654</v>
      </c>
      <c r="C14702" t="s">
        <v>14448</v>
      </c>
      <c r="D14702" t="s">
        <v>50561</v>
      </c>
      <c r="E14702">
        <v>425060</v>
      </c>
      <c r="F14702" t="s">
        <v>1</v>
      </c>
      <c r="G14702" t="s">
        <v>50227</v>
      </c>
      <c r="H14702" t="s">
        <v>50509</v>
      </c>
      <c r="Y14702" t="s">
        <v>50562</v>
      </c>
    </row>
    <row r="14703" spans="1:25" x14ac:dyDescent="0.25">
      <c r="A14703" t="str">
        <f>"4814468423"</f>
        <v>4814468423</v>
      </c>
      <c r="B14703" t="s">
        <v>530</v>
      </c>
      <c r="C14703" t="s">
        <v>23950</v>
      </c>
      <c r="D14703" t="s">
        <v>23950</v>
      </c>
      <c r="F14703" t="s">
        <v>1</v>
      </c>
      <c r="G14703" t="s">
        <v>50227</v>
      </c>
      <c r="H14703" t="s">
        <v>50563</v>
      </c>
      <c r="Y14703" t="s">
        <v>50564</v>
      </c>
    </row>
    <row r="14704" spans="1:25" x14ac:dyDescent="0.25">
      <c r="A14704" t="str">
        <f>"5637655460"</f>
        <v>5637655460</v>
      </c>
      <c r="B14704" t="s">
        <v>1475</v>
      </c>
      <c r="C14704" t="s">
        <v>1476</v>
      </c>
      <c r="D14704" t="s">
        <v>29863</v>
      </c>
      <c r="F14704" t="s">
        <v>1</v>
      </c>
      <c r="G14704" t="s">
        <v>50227</v>
      </c>
      <c r="H14704" t="s">
        <v>50371</v>
      </c>
      <c r="Y14704" t="s">
        <v>50565</v>
      </c>
    </row>
    <row r="14705" spans="1:25" x14ac:dyDescent="0.25">
      <c r="A14705" t="str">
        <f>"6173245666"</f>
        <v>6173245666</v>
      </c>
      <c r="B14705" t="s">
        <v>1152</v>
      </c>
      <c r="C14705" t="s">
        <v>13059</v>
      </c>
      <c r="D14705" t="s">
        <v>8449</v>
      </c>
      <c r="E14705">
        <v>425060</v>
      </c>
      <c r="F14705" t="s">
        <v>1</v>
      </c>
      <c r="G14705" t="s">
        <v>50227</v>
      </c>
      <c r="H14705" t="s">
        <v>50566</v>
      </c>
      <c r="J14705" t="s">
        <v>50567</v>
      </c>
      <c r="P14705" t="s">
        <v>216</v>
      </c>
      <c r="Y14705" t="s">
        <v>50568</v>
      </c>
    </row>
    <row r="14706" spans="1:25" x14ac:dyDescent="0.25">
      <c r="A14706" t="str">
        <f>"7104797475"</f>
        <v>7104797475</v>
      </c>
      <c r="B14706" t="s">
        <v>530</v>
      </c>
      <c r="C14706" t="s">
        <v>23950</v>
      </c>
      <c r="D14706" t="s">
        <v>23950</v>
      </c>
      <c r="F14706" t="s">
        <v>1</v>
      </c>
      <c r="G14706" t="s">
        <v>50227</v>
      </c>
      <c r="H14706" t="s">
        <v>50569</v>
      </c>
      <c r="Y14706" t="s">
        <v>50570</v>
      </c>
    </row>
    <row r="14707" spans="1:25" x14ac:dyDescent="0.25">
      <c r="A14707" t="str">
        <f>"8412599078"</f>
        <v>8412599078</v>
      </c>
      <c r="B14707" t="s">
        <v>1611</v>
      </c>
      <c r="C14707" t="s">
        <v>6872</v>
      </c>
      <c r="D14707" t="s">
        <v>50571</v>
      </c>
      <c r="E14707">
        <v>425060</v>
      </c>
      <c r="F14707" t="s">
        <v>1</v>
      </c>
      <c r="G14707" t="s">
        <v>50227</v>
      </c>
      <c r="H14707" t="s">
        <v>50431</v>
      </c>
      <c r="Y14707" t="s">
        <v>50572</v>
      </c>
    </row>
    <row r="14708" spans="1:25" x14ac:dyDescent="0.25">
      <c r="A14708" t="str">
        <f>"9844568749"</f>
        <v>9844568749</v>
      </c>
      <c r="B14708" t="s">
        <v>1078</v>
      </c>
      <c r="C14708" t="s">
        <v>25481</v>
      </c>
      <c r="D14708" t="s">
        <v>50573</v>
      </c>
      <c r="E14708">
        <v>425060</v>
      </c>
      <c r="F14708" t="s">
        <v>1</v>
      </c>
      <c r="G14708" t="s">
        <v>50227</v>
      </c>
      <c r="H14708" t="s">
        <v>50574</v>
      </c>
      <c r="Y14708" t="s">
        <v>50575</v>
      </c>
    </row>
    <row r="14709" spans="1:25" x14ac:dyDescent="0.25">
      <c r="A14709" t="str">
        <f>"9856178418"</f>
        <v>9856178418</v>
      </c>
      <c r="B14709" t="s">
        <v>417</v>
      </c>
      <c r="C14709" t="s">
        <v>6532</v>
      </c>
      <c r="D14709" t="s">
        <v>4950</v>
      </c>
      <c r="F14709" t="s">
        <v>1</v>
      </c>
      <c r="G14709" t="s">
        <v>50227</v>
      </c>
      <c r="H14709" t="s">
        <v>50576</v>
      </c>
      <c r="Y14709" t="s">
        <v>50577</v>
      </c>
    </row>
    <row r="14710" spans="1:25" x14ac:dyDescent="0.25">
      <c r="A14710" t="str">
        <f>"10943569973"</f>
        <v>10943569973</v>
      </c>
      <c r="B14710" t="s">
        <v>10383</v>
      </c>
      <c r="C14710" t="s">
        <v>24146</v>
      </c>
      <c r="D14710" t="s">
        <v>24146</v>
      </c>
      <c r="F14710" t="s">
        <v>1</v>
      </c>
      <c r="G14710" t="s">
        <v>50227</v>
      </c>
      <c r="H14710" t="s">
        <v>50578</v>
      </c>
      <c r="Y14710" t="s">
        <v>50579</v>
      </c>
    </row>
    <row r="14711" spans="1:25" x14ac:dyDescent="0.25">
      <c r="A14711" t="str">
        <f>"11865946348"</f>
        <v>11865946348</v>
      </c>
      <c r="B14711" t="s">
        <v>1552</v>
      </c>
      <c r="C14711" t="s">
        <v>1552</v>
      </c>
      <c r="D14711" t="s">
        <v>1552</v>
      </c>
      <c r="F14711" t="s">
        <v>1</v>
      </c>
      <c r="G14711" t="s">
        <v>50227</v>
      </c>
      <c r="H14711" t="s">
        <v>50580</v>
      </c>
      <c r="Y14711" t="s">
        <v>50581</v>
      </c>
    </row>
    <row r="14712" spans="1:25" x14ac:dyDescent="0.25">
      <c r="A14712" t="str">
        <f>"13064287755"</f>
        <v>13064287755</v>
      </c>
      <c r="B14712" t="s">
        <v>530</v>
      </c>
      <c r="C14712" t="s">
        <v>23950</v>
      </c>
      <c r="D14712" t="s">
        <v>23950</v>
      </c>
      <c r="F14712" t="s">
        <v>1</v>
      </c>
      <c r="G14712" t="s">
        <v>50227</v>
      </c>
      <c r="H14712" t="s">
        <v>50582</v>
      </c>
      <c r="Y14712" t="s">
        <v>50583</v>
      </c>
    </row>
    <row r="14713" spans="1:25" x14ac:dyDescent="0.25">
      <c r="A14713" t="str">
        <f>"13548197992"</f>
        <v>13548197992</v>
      </c>
      <c r="B14713" t="s">
        <v>574</v>
      </c>
      <c r="C14713" t="s">
        <v>646</v>
      </c>
      <c r="D14713" t="s">
        <v>50584</v>
      </c>
      <c r="E14713">
        <v>425061</v>
      </c>
      <c r="F14713" t="s">
        <v>1</v>
      </c>
      <c r="G14713" t="s">
        <v>50227</v>
      </c>
      <c r="H14713" t="s">
        <v>50585</v>
      </c>
      <c r="P14713" t="s">
        <v>1505</v>
      </c>
      <c r="Y14713" t="s">
        <v>50586</v>
      </c>
    </row>
    <row r="14714" spans="1:25" x14ac:dyDescent="0.25">
      <c r="A14714" t="str">
        <f>"13552607793"</f>
        <v>13552607793</v>
      </c>
      <c r="B14714" t="s">
        <v>123</v>
      </c>
      <c r="C14714" t="s">
        <v>424</v>
      </c>
      <c r="D14714" t="s">
        <v>50587</v>
      </c>
      <c r="F14714" t="s">
        <v>1</v>
      </c>
      <c r="G14714" t="s">
        <v>50227</v>
      </c>
      <c r="H14714" t="s">
        <v>50588</v>
      </c>
      <c r="I14714" t="s">
        <v>50589</v>
      </c>
      <c r="L14714" t="s">
        <v>50590</v>
      </c>
      <c r="M14714" t="s">
        <v>50591</v>
      </c>
      <c r="P14714" t="s">
        <v>39889</v>
      </c>
      <c r="Y14714" t="s">
        <v>50592</v>
      </c>
    </row>
    <row r="14715" spans="1:25" x14ac:dyDescent="0.25">
      <c r="A14715" t="str">
        <f>"15582002422"</f>
        <v>15582002422</v>
      </c>
      <c r="B14715" t="s">
        <v>123</v>
      </c>
      <c r="C14715" t="s">
        <v>424</v>
      </c>
      <c r="D14715" t="s">
        <v>50593</v>
      </c>
      <c r="E14715">
        <v>425060</v>
      </c>
      <c r="F14715" t="s">
        <v>1</v>
      </c>
      <c r="G14715" t="s">
        <v>50227</v>
      </c>
      <c r="H14715" t="s">
        <v>50594</v>
      </c>
      <c r="J14715" t="s">
        <v>50595</v>
      </c>
      <c r="L14715" t="s">
        <v>50410</v>
      </c>
      <c r="M14715" t="s">
        <v>50596</v>
      </c>
      <c r="P14715" t="s">
        <v>50597</v>
      </c>
      <c r="Y14715" t="s">
        <v>50598</v>
      </c>
    </row>
    <row r="14716" spans="1:25" x14ac:dyDescent="0.25">
      <c r="A14716" t="str">
        <f>"16193408671"</f>
        <v>16193408671</v>
      </c>
      <c r="B14716" t="s">
        <v>176</v>
      </c>
      <c r="C14716" t="s">
        <v>50600</v>
      </c>
      <c r="D14716" t="s">
        <v>50350</v>
      </c>
      <c r="E14716">
        <v>425060</v>
      </c>
      <c r="F14716" t="s">
        <v>1</v>
      </c>
      <c r="G14716" t="s">
        <v>50227</v>
      </c>
      <c r="H14716" t="s">
        <v>50599</v>
      </c>
      <c r="Y14716" t="s">
        <v>50601</v>
      </c>
    </row>
    <row r="14717" spans="1:25" x14ac:dyDescent="0.25">
      <c r="A14717" t="str">
        <f>"17552114125"</f>
        <v>17552114125</v>
      </c>
      <c r="B14717" t="s">
        <v>930</v>
      </c>
      <c r="C14717" t="s">
        <v>1096</v>
      </c>
      <c r="D14717" t="s">
        <v>1094</v>
      </c>
      <c r="E14717">
        <v>425061</v>
      </c>
      <c r="F14717" t="s">
        <v>1</v>
      </c>
      <c r="G14717" t="s">
        <v>50227</v>
      </c>
      <c r="H14717" t="s">
        <v>50602</v>
      </c>
      <c r="Y14717" t="s">
        <v>50603</v>
      </c>
    </row>
    <row r="14718" spans="1:25" x14ac:dyDescent="0.25">
      <c r="A14718" t="str">
        <f>"18343626013"</f>
        <v>18343626013</v>
      </c>
      <c r="B14718" t="s">
        <v>348</v>
      </c>
      <c r="C14718" t="s">
        <v>4366</v>
      </c>
      <c r="D14718" t="s">
        <v>27468</v>
      </c>
      <c r="E14718">
        <v>425060</v>
      </c>
      <c r="F14718" t="s">
        <v>1</v>
      </c>
      <c r="G14718" t="s">
        <v>50227</v>
      </c>
      <c r="H14718" t="s">
        <v>50574</v>
      </c>
      <c r="P14718" t="s">
        <v>11503</v>
      </c>
      <c r="Y14718" t="s">
        <v>50604</v>
      </c>
    </row>
    <row r="14719" spans="1:25" x14ac:dyDescent="0.25">
      <c r="A14719" t="str">
        <f>"18468760155"</f>
        <v>18468760155</v>
      </c>
      <c r="B14719" t="s">
        <v>319</v>
      </c>
      <c r="C14719" t="s">
        <v>320</v>
      </c>
      <c r="D14719" t="s">
        <v>320</v>
      </c>
      <c r="E14719">
        <v>425060</v>
      </c>
      <c r="F14719" t="s">
        <v>1</v>
      </c>
      <c r="G14719" t="s">
        <v>50227</v>
      </c>
      <c r="H14719" t="s">
        <v>50605</v>
      </c>
      <c r="Y14719" t="s">
        <v>50606</v>
      </c>
    </row>
    <row r="14720" spans="1:25" x14ac:dyDescent="0.25">
      <c r="A14720" t="str">
        <f>"18607355071"</f>
        <v>18607355071</v>
      </c>
      <c r="B14720" t="s">
        <v>530</v>
      </c>
      <c r="C14720" t="s">
        <v>23950</v>
      </c>
      <c r="D14720" t="s">
        <v>23950</v>
      </c>
      <c r="F14720" t="s">
        <v>1</v>
      </c>
      <c r="G14720" t="s">
        <v>50227</v>
      </c>
      <c r="H14720" t="s">
        <v>50607</v>
      </c>
      <c r="Y14720" t="s">
        <v>50608</v>
      </c>
    </row>
    <row r="14721" spans="1:25" x14ac:dyDescent="0.25">
      <c r="A14721" t="str">
        <f>"19084852857"</f>
        <v>19084852857</v>
      </c>
      <c r="B14721" t="s">
        <v>88</v>
      </c>
      <c r="C14721" t="s">
        <v>50610</v>
      </c>
      <c r="D14721" t="s">
        <v>13479</v>
      </c>
      <c r="E14721">
        <v>425061</v>
      </c>
      <c r="F14721" t="s">
        <v>1</v>
      </c>
      <c r="G14721" t="s">
        <v>50227</v>
      </c>
      <c r="H14721" t="s">
        <v>50286</v>
      </c>
      <c r="J14721" t="s">
        <v>50609</v>
      </c>
      <c r="P14721" t="s">
        <v>50611</v>
      </c>
      <c r="Y14721" t="s">
        <v>50612</v>
      </c>
    </row>
    <row r="14722" spans="1:25" x14ac:dyDescent="0.25">
      <c r="A14722" t="str">
        <f>"19559938958"</f>
        <v>19559938958</v>
      </c>
      <c r="B14722" t="s">
        <v>530</v>
      </c>
      <c r="C14722" t="s">
        <v>23950</v>
      </c>
      <c r="D14722" t="s">
        <v>23950</v>
      </c>
      <c r="F14722" t="s">
        <v>1</v>
      </c>
      <c r="G14722" t="s">
        <v>50227</v>
      </c>
      <c r="H14722" t="s">
        <v>50613</v>
      </c>
      <c r="Y14722" t="s">
        <v>50614</v>
      </c>
    </row>
    <row r="14723" spans="1:25" x14ac:dyDescent="0.25">
      <c r="A14723" t="str">
        <f>"20074056235"</f>
        <v>20074056235</v>
      </c>
      <c r="B14723" t="s">
        <v>96</v>
      </c>
      <c r="C14723" t="s">
        <v>2285</v>
      </c>
      <c r="D14723" t="s">
        <v>50615</v>
      </c>
      <c r="E14723">
        <v>425060</v>
      </c>
      <c r="F14723" t="s">
        <v>1</v>
      </c>
      <c r="G14723" t="s">
        <v>50227</v>
      </c>
      <c r="H14723" t="s">
        <v>50455</v>
      </c>
      <c r="Y14723" t="s">
        <v>50616</v>
      </c>
    </row>
    <row r="14724" spans="1:25" x14ac:dyDescent="0.25">
      <c r="A14724" t="str">
        <f>"21927819687"</f>
        <v>21927819687</v>
      </c>
      <c r="B14724" t="s">
        <v>18</v>
      </c>
      <c r="C14724" t="s">
        <v>4522</v>
      </c>
      <c r="D14724" t="s">
        <v>50617</v>
      </c>
      <c r="F14724" t="s">
        <v>1</v>
      </c>
      <c r="G14724" t="s">
        <v>50227</v>
      </c>
      <c r="H14724" t="s">
        <v>50618</v>
      </c>
      <c r="I14724" t="s">
        <v>50619</v>
      </c>
      <c r="M14724" t="s">
        <v>50620</v>
      </c>
      <c r="P14724" t="s">
        <v>11587</v>
      </c>
      <c r="Y14724" t="s">
        <v>50621</v>
      </c>
    </row>
    <row r="14725" spans="1:25" x14ac:dyDescent="0.25">
      <c r="A14725" t="str">
        <f>"23171262729"</f>
        <v>23171262729</v>
      </c>
      <c r="B14725" t="s">
        <v>1552</v>
      </c>
      <c r="C14725" t="s">
        <v>1552</v>
      </c>
      <c r="D14725" t="s">
        <v>50622</v>
      </c>
      <c r="F14725" t="s">
        <v>1</v>
      </c>
      <c r="G14725" t="s">
        <v>50227</v>
      </c>
      <c r="H14725" t="s">
        <v>50623</v>
      </c>
      <c r="Y14725" t="s">
        <v>50624</v>
      </c>
    </row>
    <row r="14726" spans="1:25" x14ac:dyDescent="0.25">
      <c r="A14726" t="str">
        <f>"23321447766"</f>
        <v>23321447766</v>
      </c>
      <c r="B14726" t="s">
        <v>1573</v>
      </c>
      <c r="C14726" t="s">
        <v>50625</v>
      </c>
      <c r="D14726" t="s">
        <v>1815</v>
      </c>
      <c r="E14726">
        <v>425060</v>
      </c>
      <c r="F14726" t="s">
        <v>1</v>
      </c>
      <c r="G14726" t="s">
        <v>50227</v>
      </c>
      <c r="H14726" t="s">
        <v>50574</v>
      </c>
      <c r="Y14726" t="s">
        <v>50626</v>
      </c>
    </row>
    <row r="14727" spans="1:25" x14ac:dyDescent="0.25">
      <c r="A14727" t="str">
        <f>"24063470963"</f>
        <v>24063470963</v>
      </c>
      <c r="B14727" t="s">
        <v>176</v>
      </c>
      <c r="C14727" t="s">
        <v>279</v>
      </c>
      <c r="D14727" t="s">
        <v>279</v>
      </c>
      <c r="E14727">
        <v>425061</v>
      </c>
      <c r="F14727" t="s">
        <v>1</v>
      </c>
      <c r="G14727" t="s">
        <v>50227</v>
      </c>
      <c r="H14727" t="s">
        <v>50627</v>
      </c>
      <c r="P14727" t="s">
        <v>330</v>
      </c>
      <c r="Y14727" t="s">
        <v>50628</v>
      </c>
    </row>
    <row r="14728" spans="1:25" x14ac:dyDescent="0.25">
      <c r="A14728" t="str">
        <f>"24682583703"</f>
        <v>24682583703</v>
      </c>
      <c r="B14728" t="s">
        <v>18</v>
      </c>
      <c r="C14728" t="s">
        <v>959</v>
      </c>
      <c r="D14728" t="s">
        <v>50629</v>
      </c>
      <c r="F14728" t="s">
        <v>1</v>
      </c>
      <c r="G14728" t="s">
        <v>50227</v>
      </c>
      <c r="H14728" t="s">
        <v>50630</v>
      </c>
      <c r="J14728" t="s">
        <v>29442</v>
      </c>
      <c r="M14728" t="s">
        <v>50631</v>
      </c>
      <c r="P14728" t="s">
        <v>1027</v>
      </c>
      <c r="Y14728" t="s">
        <v>50632</v>
      </c>
    </row>
    <row r="14729" spans="1:25" x14ac:dyDescent="0.25">
      <c r="A14729" t="str">
        <f>"26472216187"</f>
        <v>26472216187</v>
      </c>
      <c r="B14729" t="s">
        <v>530</v>
      </c>
      <c r="C14729" t="s">
        <v>23950</v>
      </c>
      <c r="D14729" t="s">
        <v>23950</v>
      </c>
      <c r="F14729" t="s">
        <v>1</v>
      </c>
      <c r="G14729" t="s">
        <v>50227</v>
      </c>
      <c r="H14729" t="s">
        <v>50633</v>
      </c>
      <c r="Y14729" t="s">
        <v>50634</v>
      </c>
    </row>
    <row r="14730" spans="1:25" x14ac:dyDescent="0.25">
      <c r="A14730" t="str">
        <f>"27212777907"</f>
        <v>27212777907</v>
      </c>
      <c r="B14730" t="s">
        <v>797</v>
      </c>
      <c r="C14730" t="s">
        <v>50637</v>
      </c>
      <c r="D14730" t="s">
        <v>50635</v>
      </c>
      <c r="F14730" t="s">
        <v>1</v>
      </c>
      <c r="G14730" t="s">
        <v>50227</v>
      </c>
      <c r="H14730" t="s">
        <v>50636</v>
      </c>
      <c r="Y14730" t="s">
        <v>50638</v>
      </c>
    </row>
    <row r="14731" spans="1:25" x14ac:dyDescent="0.25">
      <c r="A14731" t="str">
        <f>"29150067187"</f>
        <v>29150067187</v>
      </c>
      <c r="B14731" t="s">
        <v>530</v>
      </c>
      <c r="C14731" t="s">
        <v>23950</v>
      </c>
      <c r="D14731" t="s">
        <v>23950</v>
      </c>
      <c r="F14731" t="s">
        <v>1</v>
      </c>
      <c r="G14731" t="s">
        <v>50227</v>
      </c>
      <c r="H14731" t="s">
        <v>50639</v>
      </c>
      <c r="Y14731" t="s">
        <v>50640</v>
      </c>
    </row>
    <row r="14732" spans="1:25" x14ac:dyDescent="0.25">
      <c r="A14732" t="str">
        <f>"29262289263"</f>
        <v>29262289263</v>
      </c>
      <c r="B14732" t="s">
        <v>930</v>
      </c>
      <c r="C14732" t="s">
        <v>10263</v>
      </c>
      <c r="D14732" t="s">
        <v>36984</v>
      </c>
      <c r="E14732">
        <v>425061</v>
      </c>
      <c r="F14732" t="s">
        <v>1</v>
      </c>
      <c r="G14732" t="s">
        <v>50227</v>
      </c>
      <c r="H14732" t="s">
        <v>50286</v>
      </c>
      <c r="Y14732" t="s">
        <v>50641</v>
      </c>
    </row>
    <row r="14733" spans="1:25" x14ac:dyDescent="0.25">
      <c r="A14733" t="str">
        <f>"30326450117"</f>
        <v>30326450117</v>
      </c>
      <c r="B14733" t="s">
        <v>96</v>
      </c>
      <c r="C14733" t="s">
        <v>7071</v>
      </c>
      <c r="D14733" t="s">
        <v>29624</v>
      </c>
      <c r="F14733" t="s">
        <v>1</v>
      </c>
      <c r="G14733" t="s">
        <v>50227</v>
      </c>
      <c r="H14733" t="s">
        <v>50636</v>
      </c>
      <c r="Y14733" t="s">
        <v>50642</v>
      </c>
    </row>
    <row r="14734" spans="1:25" x14ac:dyDescent="0.25">
      <c r="A14734" t="str">
        <f>"31249745732"</f>
        <v>31249745732</v>
      </c>
      <c r="B14734" t="s">
        <v>1544</v>
      </c>
      <c r="C14734" t="s">
        <v>3596</v>
      </c>
      <c r="D14734" t="s">
        <v>50643</v>
      </c>
      <c r="E14734">
        <v>425060</v>
      </c>
      <c r="F14734" t="s">
        <v>1</v>
      </c>
      <c r="G14734" t="s">
        <v>50227</v>
      </c>
      <c r="H14734" t="s">
        <v>50644</v>
      </c>
      <c r="Y14734" t="s">
        <v>50645</v>
      </c>
    </row>
    <row r="14735" spans="1:25" x14ac:dyDescent="0.25">
      <c r="A14735" t="str">
        <f>"31283745236"</f>
        <v>31283745236</v>
      </c>
      <c r="B14735" t="s">
        <v>530</v>
      </c>
      <c r="C14735" t="s">
        <v>23950</v>
      </c>
      <c r="D14735" t="s">
        <v>23950</v>
      </c>
      <c r="F14735" t="s">
        <v>1</v>
      </c>
      <c r="G14735" t="s">
        <v>50227</v>
      </c>
      <c r="H14735" t="s">
        <v>50569</v>
      </c>
      <c r="Y14735" t="s">
        <v>50646</v>
      </c>
    </row>
    <row r="14736" spans="1:25" x14ac:dyDescent="0.25">
      <c r="A14736" t="str">
        <f>"31367097481"</f>
        <v>31367097481</v>
      </c>
      <c r="B14736" t="s">
        <v>123</v>
      </c>
      <c r="C14736" t="s">
        <v>424</v>
      </c>
      <c r="D14736" t="s">
        <v>50647</v>
      </c>
      <c r="E14736">
        <v>425062</v>
      </c>
      <c r="F14736" t="s">
        <v>1</v>
      </c>
      <c r="G14736" t="s">
        <v>50227</v>
      </c>
      <c r="H14736" t="s">
        <v>50244</v>
      </c>
      <c r="J14736" t="s">
        <v>50648</v>
      </c>
      <c r="Y14736" t="s">
        <v>50398</v>
      </c>
    </row>
    <row r="14737" spans="1:25" x14ac:dyDescent="0.25">
      <c r="A14737" t="str">
        <f>"32209548944"</f>
        <v>32209548944</v>
      </c>
      <c r="B14737" t="s">
        <v>530</v>
      </c>
      <c r="C14737" t="s">
        <v>23950</v>
      </c>
      <c r="D14737" t="s">
        <v>23950</v>
      </c>
      <c r="F14737" t="s">
        <v>1</v>
      </c>
      <c r="G14737" t="s">
        <v>50227</v>
      </c>
      <c r="H14737" t="s">
        <v>50563</v>
      </c>
      <c r="Y14737" t="s">
        <v>50649</v>
      </c>
    </row>
    <row r="14738" spans="1:25" x14ac:dyDescent="0.25">
      <c r="A14738" t="str">
        <f>"32252879269"</f>
        <v>32252879269</v>
      </c>
      <c r="B14738" t="s">
        <v>1475</v>
      </c>
      <c r="C14738" t="s">
        <v>1476</v>
      </c>
      <c r="D14738" t="s">
        <v>6511</v>
      </c>
      <c r="E14738">
        <v>425060</v>
      </c>
      <c r="F14738" t="s">
        <v>1</v>
      </c>
      <c r="G14738" t="s">
        <v>50227</v>
      </c>
      <c r="H14738" t="s">
        <v>50455</v>
      </c>
      <c r="Y14738" t="s">
        <v>50650</v>
      </c>
    </row>
    <row r="14739" spans="1:25" x14ac:dyDescent="0.25">
      <c r="A14739" t="str">
        <f>"32520478445"</f>
        <v>32520478445</v>
      </c>
      <c r="B14739" t="s">
        <v>25</v>
      </c>
      <c r="C14739" t="s">
        <v>5632</v>
      </c>
      <c r="D14739" t="s">
        <v>50651</v>
      </c>
      <c r="F14739" t="s">
        <v>1</v>
      </c>
      <c r="G14739" t="s">
        <v>50227</v>
      </c>
      <c r="H14739" t="s">
        <v>50636</v>
      </c>
      <c r="Y14739" t="s">
        <v>50652</v>
      </c>
    </row>
    <row r="14740" spans="1:25" x14ac:dyDescent="0.25">
      <c r="A14740" t="str">
        <f>"33102578185"</f>
        <v>33102578185</v>
      </c>
      <c r="B14740" t="s">
        <v>348</v>
      </c>
      <c r="C14740" t="s">
        <v>4366</v>
      </c>
      <c r="D14740" t="s">
        <v>50653</v>
      </c>
      <c r="F14740" t="s">
        <v>1</v>
      </c>
      <c r="G14740" t="s">
        <v>50227</v>
      </c>
      <c r="H14740" t="s">
        <v>50305</v>
      </c>
      <c r="Y14740" t="s">
        <v>50654</v>
      </c>
    </row>
    <row r="14741" spans="1:25" x14ac:dyDescent="0.25">
      <c r="A14741" t="str">
        <f>"33597756492"</f>
        <v>33597756492</v>
      </c>
      <c r="B14741" t="s">
        <v>1046</v>
      </c>
      <c r="C14741" t="s">
        <v>22946</v>
      </c>
      <c r="D14741" t="s">
        <v>22946</v>
      </c>
      <c r="F14741" t="s">
        <v>1</v>
      </c>
      <c r="G14741" t="s">
        <v>50227</v>
      </c>
      <c r="H14741" t="s">
        <v>50578</v>
      </c>
      <c r="Y14741" t="s">
        <v>50655</v>
      </c>
    </row>
    <row r="14742" spans="1:25" x14ac:dyDescent="0.25">
      <c r="A14742" t="str">
        <f>"34286748529"</f>
        <v>34286748529</v>
      </c>
      <c r="B14742" t="s">
        <v>96</v>
      </c>
      <c r="C14742" t="s">
        <v>695</v>
      </c>
      <c r="D14742" t="s">
        <v>16476</v>
      </c>
      <c r="E14742">
        <v>425060</v>
      </c>
      <c r="F14742" t="s">
        <v>1</v>
      </c>
      <c r="G14742" t="s">
        <v>50227</v>
      </c>
      <c r="H14742" t="s">
        <v>50436</v>
      </c>
      <c r="P14742" t="s">
        <v>10133</v>
      </c>
      <c r="Y14742" t="s">
        <v>50656</v>
      </c>
    </row>
    <row r="14743" spans="1:25" x14ac:dyDescent="0.25">
      <c r="A14743" t="str">
        <f>"34540506684"</f>
        <v>34540506684</v>
      </c>
      <c r="B14743" t="s">
        <v>574</v>
      </c>
      <c r="C14743" t="s">
        <v>646</v>
      </c>
      <c r="D14743" t="s">
        <v>11916</v>
      </c>
      <c r="F14743" t="s">
        <v>1</v>
      </c>
      <c r="G14743" t="s">
        <v>50227</v>
      </c>
      <c r="H14743" t="s">
        <v>50329</v>
      </c>
      <c r="Y14743" t="s">
        <v>50657</v>
      </c>
    </row>
    <row r="14744" spans="1:25" x14ac:dyDescent="0.25">
      <c r="A14744" t="str">
        <f>"34587263121"</f>
        <v>34587263121</v>
      </c>
      <c r="B14744" t="s">
        <v>530</v>
      </c>
      <c r="C14744" t="s">
        <v>23950</v>
      </c>
      <c r="D14744" t="s">
        <v>23950</v>
      </c>
      <c r="F14744" t="s">
        <v>1</v>
      </c>
      <c r="G14744" t="s">
        <v>50227</v>
      </c>
      <c r="H14744" t="s">
        <v>50658</v>
      </c>
      <c r="Y14744" t="s">
        <v>50659</v>
      </c>
    </row>
    <row r="14745" spans="1:25" x14ac:dyDescent="0.25">
      <c r="A14745" t="str">
        <f>"34667579728"</f>
        <v>34667579728</v>
      </c>
      <c r="B14745" t="s">
        <v>224</v>
      </c>
      <c r="C14745" t="s">
        <v>815</v>
      </c>
      <c r="D14745" t="s">
        <v>13302</v>
      </c>
      <c r="F14745" t="s">
        <v>1</v>
      </c>
      <c r="G14745" t="s">
        <v>50227</v>
      </c>
      <c r="H14745" t="s">
        <v>50636</v>
      </c>
      <c r="Y14745" t="s">
        <v>50660</v>
      </c>
    </row>
    <row r="14746" spans="1:25" x14ac:dyDescent="0.25">
      <c r="A14746" t="str">
        <f>"34777129406"</f>
        <v>34777129406</v>
      </c>
      <c r="B14746" t="s">
        <v>379</v>
      </c>
      <c r="C14746" t="s">
        <v>766</v>
      </c>
      <c r="D14746" t="s">
        <v>50661</v>
      </c>
      <c r="F14746" t="s">
        <v>1</v>
      </c>
      <c r="G14746" t="s">
        <v>50227</v>
      </c>
      <c r="H14746" t="s">
        <v>50636</v>
      </c>
      <c r="Y14746" t="s">
        <v>50662</v>
      </c>
    </row>
    <row r="14747" spans="1:25" x14ac:dyDescent="0.25">
      <c r="A14747" t="str">
        <f>"35514568901"</f>
        <v>35514568901</v>
      </c>
      <c r="B14747" t="s">
        <v>1343</v>
      </c>
      <c r="C14747" t="s">
        <v>5308</v>
      </c>
      <c r="D14747" t="s">
        <v>17329</v>
      </c>
      <c r="E14747">
        <v>425061</v>
      </c>
      <c r="F14747" t="s">
        <v>1</v>
      </c>
      <c r="G14747" t="s">
        <v>50227</v>
      </c>
      <c r="H14747" t="s">
        <v>50286</v>
      </c>
      <c r="Y14747" t="s">
        <v>50663</v>
      </c>
    </row>
    <row r="14748" spans="1:25" x14ac:dyDescent="0.25">
      <c r="A14748" t="str">
        <f>"36061318289"</f>
        <v>36061318289</v>
      </c>
      <c r="B14748" t="s">
        <v>18</v>
      </c>
      <c r="C14748" t="s">
        <v>13796</v>
      </c>
      <c r="D14748" t="s">
        <v>4522</v>
      </c>
      <c r="E14748">
        <v>425060</v>
      </c>
      <c r="F14748" t="s">
        <v>1</v>
      </c>
      <c r="G14748" t="s">
        <v>50227</v>
      </c>
      <c r="H14748" t="s">
        <v>50455</v>
      </c>
      <c r="Y14748" t="s">
        <v>50664</v>
      </c>
    </row>
    <row r="14749" spans="1:25" x14ac:dyDescent="0.25">
      <c r="A14749" t="str">
        <f>"36671610290"</f>
        <v>36671610290</v>
      </c>
      <c r="B14749" t="s">
        <v>290</v>
      </c>
      <c r="C14749" t="s">
        <v>2757</v>
      </c>
      <c r="D14749" t="s">
        <v>50665</v>
      </c>
      <c r="E14749">
        <v>425060</v>
      </c>
      <c r="F14749" t="s">
        <v>1</v>
      </c>
      <c r="G14749" t="s">
        <v>50227</v>
      </c>
      <c r="H14749" t="s">
        <v>50666</v>
      </c>
      <c r="J14749" t="s">
        <v>50667</v>
      </c>
      <c r="P14749" t="s">
        <v>1306</v>
      </c>
      <c r="Y14749" t="s">
        <v>50668</v>
      </c>
    </row>
    <row r="14750" spans="1:25" x14ac:dyDescent="0.25">
      <c r="A14750" t="str">
        <f>"39480134205"</f>
        <v>39480134205</v>
      </c>
      <c r="B14750" t="s">
        <v>67</v>
      </c>
      <c r="C14750" t="s">
        <v>269</v>
      </c>
      <c r="D14750" t="s">
        <v>50669</v>
      </c>
      <c r="E14750">
        <v>425060</v>
      </c>
      <c r="F14750" t="s">
        <v>1</v>
      </c>
      <c r="G14750" t="s">
        <v>50227</v>
      </c>
      <c r="H14750" t="s">
        <v>50670</v>
      </c>
      <c r="I14750" t="s">
        <v>1149</v>
      </c>
      <c r="M14750" t="s">
        <v>1248</v>
      </c>
      <c r="Y14750" t="s">
        <v>50671</v>
      </c>
    </row>
    <row r="14751" spans="1:25" x14ac:dyDescent="0.25">
      <c r="A14751" t="str">
        <f>"39650859828"</f>
        <v>39650859828</v>
      </c>
      <c r="B14751" t="s">
        <v>1061</v>
      </c>
      <c r="C14751" t="s">
        <v>26953</v>
      </c>
      <c r="D14751" t="s">
        <v>50672</v>
      </c>
      <c r="F14751" t="s">
        <v>1</v>
      </c>
      <c r="G14751" t="s">
        <v>50227</v>
      </c>
      <c r="H14751" t="s">
        <v>50673</v>
      </c>
      <c r="Y14751" t="s">
        <v>50674</v>
      </c>
    </row>
    <row r="14752" spans="1:25" x14ac:dyDescent="0.25">
      <c r="A14752" t="str">
        <f>"40051708750"</f>
        <v>40051708750</v>
      </c>
      <c r="B14752" t="s">
        <v>574</v>
      </c>
      <c r="C14752" t="s">
        <v>646</v>
      </c>
      <c r="D14752" t="s">
        <v>50675</v>
      </c>
      <c r="F14752" t="s">
        <v>1</v>
      </c>
      <c r="G14752" t="s">
        <v>50227</v>
      </c>
      <c r="H14752" t="s">
        <v>50630</v>
      </c>
      <c r="P14752" t="s">
        <v>2457</v>
      </c>
      <c r="Y14752" t="s">
        <v>50676</v>
      </c>
    </row>
    <row r="14753" spans="1:25" x14ac:dyDescent="0.25">
      <c r="A14753" t="str">
        <f>"40917533785"</f>
        <v>40917533785</v>
      </c>
      <c r="B14753" t="s">
        <v>530</v>
      </c>
      <c r="C14753" t="s">
        <v>23950</v>
      </c>
      <c r="D14753" t="s">
        <v>23950</v>
      </c>
      <c r="F14753" t="s">
        <v>1</v>
      </c>
      <c r="G14753" t="s">
        <v>50227</v>
      </c>
      <c r="H14753" t="s">
        <v>50677</v>
      </c>
      <c r="Y14753" t="s">
        <v>50678</v>
      </c>
    </row>
    <row r="14754" spans="1:25" x14ac:dyDescent="0.25">
      <c r="A14754" t="str">
        <f>"42222636725"</f>
        <v>42222636725</v>
      </c>
      <c r="B14754" t="s">
        <v>574</v>
      </c>
      <c r="C14754" t="s">
        <v>646</v>
      </c>
      <c r="D14754" t="s">
        <v>39037</v>
      </c>
      <c r="F14754" t="s">
        <v>1</v>
      </c>
      <c r="G14754" t="s">
        <v>50227</v>
      </c>
      <c r="H14754" t="s">
        <v>50679</v>
      </c>
      <c r="P14754" t="s">
        <v>1464</v>
      </c>
      <c r="Y14754" t="s">
        <v>50680</v>
      </c>
    </row>
    <row r="14755" spans="1:25" x14ac:dyDescent="0.25">
      <c r="A14755" t="str">
        <f>"42809394786"</f>
        <v>42809394786</v>
      </c>
      <c r="B14755" t="s">
        <v>1552</v>
      </c>
      <c r="C14755" t="s">
        <v>1552</v>
      </c>
      <c r="D14755" t="s">
        <v>1552</v>
      </c>
      <c r="E14755">
        <v>425060</v>
      </c>
      <c r="F14755" t="s">
        <v>1</v>
      </c>
      <c r="G14755" t="s">
        <v>50227</v>
      </c>
      <c r="H14755" t="s">
        <v>50681</v>
      </c>
      <c r="Y14755" t="s">
        <v>50682</v>
      </c>
    </row>
    <row r="14756" spans="1:25" x14ac:dyDescent="0.25">
      <c r="A14756" t="str">
        <f>"43425975197"</f>
        <v>43425975197</v>
      </c>
      <c r="B14756" t="s">
        <v>96</v>
      </c>
      <c r="C14756" t="s">
        <v>7071</v>
      </c>
      <c r="D14756" t="s">
        <v>29523</v>
      </c>
      <c r="F14756" t="s">
        <v>1</v>
      </c>
      <c r="G14756" t="s">
        <v>50227</v>
      </c>
      <c r="H14756" t="s">
        <v>50683</v>
      </c>
      <c r="P14756" t="s">
        <v>50684</v>
      </c>
      <c r="Y14756" t="s">
        <v>50685</v>
      </c>
    </row>
    <row r="14757" spans="1:25" x14ac:dyDescent="0.25">
      <c r="A14757" t="str">
        <f>"45337194231"</f>
        <v>45337194231</v>
      </c>
      <c r="B14757" t="s">
        <v>654</v>
      </c>
      <c r="C14757" t="s">
        <v>14448</v>
      </c>
      <c r="D14757" t="s">
        <v>50686</v>
      </c>
      <c r="E14757">
        <v>425060</v>
      </c>
      <c r="F14757" t="s">
        <v>1</v>
      </c>
      <c r="G14757" t="s">
        <v>50227</v>
      </c>
      <c r="H14757" t="s">
        <v>50605</v>
      </c>
      <c r="Y14757" t="s">
        <v>50687</v>
      </c>
    </row>
    <row r="14758" spans="1:25" x14ac:dyDescent="0.25">
      <c r="A14758" t="str">
        <f>"46095450502"</f>
        <v>46095450502</v>
      </c>
      <c r="B14758" t="s">
        <v>574</v>
      </c>
      <c r="C14758" t="s">
        <v>14269</v>
      </c>
      <c r="D14758" t="s">
        <v>32604</v>
      </c>
      <c r="E14758">
        <v>425061</v>
      </c>
      <c r="F14758" t="s">
        <v>1</v>
      </c>
      <c r="G14758" t="s">
        <v>50227</v>
      </c>
      <c r="H14758" t="s">
        <v>50688</v>
      </c>
      <c r="Y14758" t="s">
        <v>50689</v>
      </c>
    </row>
    <row r="14759" spans="1:25" x14ac:dyDescent="0.25">
      <c r="A14759" t="str">
        <f>"46355675449"</f>
        <v>46355675449</v>
      </c>
      <c r="B14759" t="s">
        <v>530</v>
      </c>
      <c r="C14759" t="s">
        <v>23950</v>
      </c>
      <c r="D14759" t="s">
        <v>23950</v>
      </c>
      <c r="E14759">
        <v>425062</v>
      </c>
      <c r="F14759" t="s">
        <v>1</v>
      </c>
      <c r="G14759" t="s">
        <v>50227</v>
      </c>
      <c r="H14759" t="s">
        <v>50690</v>
      </c>
      <c r="Y14759" t="s">
        <v>50691</v>
      </c>
    </row>
    <row r="14760" spans="1:25" x14ac:dyDescent="0.25">
      <c r="A14760" t="str">
        <f>"46853328857"</f>
        <v>46853328857</v>
      </c>
      <c r="B14760" t="s">
        <v>574</v>
      </c>
      <c r="C14760" t="s">
        <v>646</v>
      </c>
      <c r="D14760" t="s">
        <v>4221</v>
      </c>
      <c r="E14760">
        <v>425060</v>
      </c>
      <c r="F14760" t="s">
        <v>1</v>
      </c>
      <c r="G14760" t="s">
        <v>50227</v>
      </c>
      <c r="H14760" t="s">
        <v>50574</v>
      </c>
      <c r="P14760" t="s">
        <v>647</v>
      </c>
      <c r="Y14760" t="s">
        <v>50692</v>
      </c>
    </row>
    <row r="14761" spans="1:25" x14ac:dyDescent="0.25">
      <c r="A14761" t="str">
        <f>"47047778880"</f>
        <v>47047778880</v>
      </c>
      <c r="B14761" t="s">
        <v>284</v>
      </c>
      <c r="C14761" t="s">
        <v>50256</v>
      </c>
      <c r="D14761" t="s">
        <v>6246</v>
      </c>
      <c r="E14761">
        <v>425061</v>
      </c>
      <c r="F14761" t="s">
        <v>1</v>
      </c>
      <c r="G14761" t="s">
        <v>50227</v>
      </c>
      <c r="H14761" t="s">
        <v>50252</v>
      </c>
      <c r="I14761" t="s">
        <v>50693</v>
      </c>
      <c r="P14761" t="s">
        <v>20</v>
      </c>
      <c r="Y14761" t="s">
        <v>50694</v>
      </c>
    </row>
    <row r="14762" spans="1:25" x14ac:dyDescent="0.25">
      <c r="A14762" t="str">
        <f>"48403734632"</f>
        <v>48403734632</v>
      </c>
      <c r="B14762" t="s">
        <v>379</v>
      </c>
      <c r="C14762" t="s">
        <v>43216</v>
      </c>
      <c r="D14762" t="s">
        <v>50695</v>
      </c>
      <c r="E14762">
        <v>425060</v>
      </c>
      <c r="F14762" t="s">
        <v>1</v>
      </c>
      <c r="G14762" t="s">
        <v>50227</v>
      </c>
      <c r="H14762" t="s">
        <v>50574</v>
      </c>
      <c r="Y14762" t="s">
        <v>50696</v>
      </c>
    </row>
    <row r="14763" spans="1:25" x14ac:dyDescent="0.25">
      <c r="A14763" t="str">
        <f>"49574401817"</f>
        <v>49574401817</v>
      </c>
      <c r="B14763" t="s">
        <v>160</v>
      </c>
      <c r="C14763" t="s">
        <v>2479</v>
      </c>
      <c r="D14763" t="s">
        <v>50697</v>
      </c>
      <c r="F14763" t="s">
        <v>1</v>
      </c>
      <c r="G14763" t="s">
        <v>50227</v>
      </c>
      <c r="H14763" t="s">
        <v>50578</v>
      </c>
      <c r="Y14763" t="s">
        <v>50698</v>
      </c>
    </row>
    <row r="14764" spans="1:25" x14ac:dyDescent="0.25">
      <c r="A14764" t="str">
        <f>"49683982780"</f>
        <v>49683982780</v>
      </c>
      <c r="B14764" t="s">
        <v>96</v>
      </c>
      <c r="C14764" t="s">
        <v>26416</v>
      </c>
      <c r="D14764" t="s">
        <v>50699</v>
      </c>
      <c r="F14764" t="s">
        <v>1</v>
      </c>
      <c r="G14764" t="s">
        <v>50227</v>
      </c>
      <c r="H14764" t="s">
        <v>50228</v>
      </c>
      <c r="Y14764" t="s">
        <v>50700</v>
      </c>
    </row>
    <row r="14765" spans="1:25" x14ac:dyDescent="0.25">
      <c r="A14765" t="str">
        <f>"51246759486"</f>
        <v>51246759486</v>
      </c>
      <c r="B14765" t="s">
        <v>1230</v>
      </c>
      <c r="C14765" t="s">
        <v>2526</v>
      </c>
      <c r="D14765" t="s">
        <v>50701</v>
      </c>
      <c r="E14765">
        <v>425062</v>
      </c>
      <c r="F14765" t="s">
        <v>1</v>
      </c>
      <c r="G14765" t="s">
        <v>50227</v>
      </c>
      <c r="H14765" t="s">
        <v>50244</v>
      </c>
      <c r="I14765" t="s">
        <v>50702</v>
      </c>
      <c r="L14765" t="s">
        <v>581</v>
      </c>
      <c r="M14765" t="s">
        <v>49415</v>
      </c>
      <c r="Y14765" t="s">
        <v>50398</v>
      </c>
    </row>
    <row r="14766" spans="1:25" x14ac:dyDescent="0.25">
      <c r="A14766" t="str">
        <f>"51473318669"</f>
        <v>51473318669</v>
      </c>
      <c r="B14766" t="s">
        <v>1573</v>
      </c>
      <c r="C14766" t="s">
        <v>11019</v>
      </c>
      <c r="D14766" t="s">
        <v>50703</v>
      </c>
      <c r="E14766">
        <v>425060</v>
      </c>
      <c r="F14766" t="s">
        <v>1</v>
      </c>
      <c r="G14766" t="s">
        <v>50227</v>
      </c>
      <c r="H14766" t="s">
        <v>50605</v>
      </c>
      <c r="Y14766" t="s">
        <v>50704</v>
      </c>
    </row>
    <row r="14767" spans="1:25" x14ac:dyDescent="0.25">
      <c r="A14767" t="str">
        <f>"53004939066"</f>
        <v>53004939066</v>
      </c>
      <c r="B14767" t="s">
        <v>1046</v>
      </c>
      <c r="C14767" t="s">
        <v>22946</v>
      </c>
      <c r="D14767" t="s">
        <v>22946</v>
      </c>
      <c r="F14767" t="s">
        <v>1</v>
      </c>
      <c r="G14767" t="s">
        <v>50227</v>
      </c>
      <c r="H14767" t="s">
        <v>50578</v>
      </c>
      <c r="Y14767" t="s">
        <v>50705</v>
      </c>
    </row>
    <row r="14768" spans="1:25" x14ac:dyDescent="0.25">
      <c r="A14768" t="str">
        <f>"53325719674"</f>
        <v>53325719674</v>
      </c>
      <c r="B14768" t="s">
        <v>1544</v>
      </c>
      <c r="C14768" t="s">
        <v>3596</v>
      </c>
      <c r="D14768" t="s">
        <v>50706</v>
      </c>
      <c r="E14768">
        <v>425060</v>
      </c>
      <c r="F14768" t="s">
        <v>1</v>
      </c>
      <c r="G14768" t="s">
        <v>50227</v>
      </c>
      <c r="H14768" t="s">
        <v>50707</v>
      </c>
      <c r="Y14768" t="s">
        <v>50708</v>
      </c>
    </row>
    <row r="14769" spans="1:25" x14ac:dyDescent="0.25">
      <c r="A14769" t="str">
        <f>"53333523848"</f>
        <v>53333523848</v>
      </c>
      <c r="B14769" t="s">
        <v>797</v>
      </c>
      <c r="C14769" t="s">
        <v>5123</v>
      </c>
      <c r="D14769" t="s">
        <v>50709</v>
      </c>
      <c r="E14769">
        <v>425060</v>
      </c>
      <c r="F14769" t="s">
        <v>1</v>
      </c>
      <c r="G14769" t="s">
        <v>50227</v>
      </c>
      <c r="H14769" t="s">
        <v>50451</v>
      </c>
      <c r="Y14769" t="s">
        <v>50710</v>
      </c>
    </row>
    <row r="14770" spans="1:25" x14ac:dyDescent="0.25">
      <c r="A14770" t="str">
        <f>"53432346196"</f>
        <v>53432346196</v>
      </c>
      <c r="B14770" t="s">
        <v>654</v>
      </c>
      <c r="C14770" t="s">
        <v>14448</v>
      </c>
      <c r="D14770" t="s">
        <v>38751</v>
      </c>
      <c r="E14770">
        <v>425060</v>
      </c>
      <c r="F14770" t="s">
        <v>1</v>
      </c>
      <c r="G14770" t="s">
        <v>50227</v>
      </c>
      <c r="H14770" t="s">
        <v>50711</v>
      </c>
      <c r="Y14770" t="s">
        <v>50712</v>
      </c>
    </row>
    <row r="14771" spans="1:25" x14ac:dyDescent="0.25">
      <c r="A14771" t="str">
        <f>"54912121504"</f>
        <v>54912121504</v>
      </c>
      <c r="B14771" t="s">
        <v>290</v>
      </c>
      <c r="C14771" t="s">
        <v>290</v>
      </c>
      <c r="D14771" t="s">
        <v>50713</v>
      </c>
      <c r="E14771">
        <v>425061</v>
      </c>
      <c r="F14771" t="s">
        <v>1</v>
      </c>
      <c r="G14771" t="s">
        <v>50227</v>
      </c>
      <c r="H14771" t="s">
        <v>50714</v>
      </c>
      <c r="Y14771" t="s">
        <v>50715</v>
      </c>
    </row>
    <row r="14772" spans="1:25" x14ac:dyDescent="0.25">
      <c r="A14772" t="str">
        <f>"55091163117"</f>
        <v>55091163117</v>
      </c>
      <c r="B14772" t="s">
        <v>1046</v>
      </c>
      <c r="C14772" t="s">
        <v>22946</v>
      </c>
      <c r="D14772" t="s">
        <v>22946</v>
      </c>
      <c r="E14772">
        <v>425061</v>
      </c>
      <c r="F14772" t="s">
        <v>1</v>
      </c>
      <c r="G14772" t="s">
        <v>50227</v>
      </c>
      <c r="H14772" t="s">
        <v>50716</v>
      </c>
      <c r="Y14772" t="s">
        <v>50717</v>
      </c>
    </row>
    <row r="14773" spans="1:25" x14ac:dyDescent="0.25">
      <c r="A14773" t="str">
        <f>"55189541188"</f>
        <v>55189541188</v>
      </c>
      <c r="B14773" t="s">
        <v>2864</v>
      </c>
      <c r="C14773" t="s">
        <v>50719</v>
      </c>
      <c r="D14773" t="s">
        <v>50718</v>
      </c>
      <c r="F14773" t="s">
        <v>1</v>
      </c>
      <c r="G14773" t="s">
        <v>50227</v>
      </c>
      <c r="H14773" t="s">
        <v>50279</v>
      </c>
      <c r="Y14773" t="s">
        <v>50720</v>
      </c>
    </row>
    <row r="14774" spans="1:25" x14ac:dyDescent="0.25">
      <c r="A14774" t="str">
        <f>"55575568745"</f>
        <v>55575568745</v>
      </c>
      <c r="B14774" t="s">
        <v>176</v>
      </c>
      <c r="C14774" t="s">
        <v>279</v>
      </c>
      <c r="D14774" t="s">
        <v>279</v>
      </c>
      <c r="E14774">
        <v>425061</v>
      </c>
      <c r="F14774" t="s">
        <v>1</v>
      </c>
      <c r="G14774" t="s">
        <v>50227</v>
      </c>
      <c r="H14774" t="s">
        <v>50241</v>
      </c>
      <c r="Y14774" t="s">
        <v>50242</v>
      </c>
    </row>
    <row r="14775" spans="1:25" x14ac:dyDescent="0.25">
      <c r="A14775" t="str">
        <f>"56122825478"</f>
        <v>56122825478</v>
      </c>
      <c r="B14775" t="s">
        <v>18</v>
      </c>
      <c r="C14775" t="s">
        <v>50723</v>
      </c>
      <c r="D14775" t="s">
        <v>50721</v>
      </c>
      <c r="E14775">
        <v>425061</v>
      </c>
      <c r="F14775" t="s">
        <v>1</v>
      </c>
      <c r="G14775" t="s">
        <v>50227</v>
      </c>
      <c r="H14775" t="s">
        <v>50722</v>
      </c>
      <c r="Y14775" t="s">
        <v>50724</v>
      </c>
    </row>
    <row r="14776" spans="1:25" x14ac:dyDescent="0.25">
      <c r="A14776" t="str">
        <f>"56931113375"</f>
        <v>56931113375</v>
      </c>
      <c r="B14776" t="s">
        <v>1573</v>
      </c>
      <c r="C14776" t="s">
        <v>1817</v>
      </c>
      <c r="D14776" t="s">
        <v>41701</v>
      </c>
      <c r="E14776">
        <v>425060</v>
      </c>
      <c r="F14776" t="s">
        <v>1</v>
      </c>
      <c r="G14776" t="s">
        <v>50227</v>
      </c>
      <c r="H14776" t="s">
        <v>50725</v>
      </c>
      <c r="Y14776" t="s">
        <v>50726</v>
      </c>
    </row>
    <row r="14777" spans="1:25" x14ac:dyDescent="0.25">
      <c r="A14777" t="str">
        <f>"57071323521"</f>
        <v>57071323521</v>
      </c>
      <c r="B14777" t="s">
        <v>110</v>
      </c>
      <c r="C14777" t="s">
        <v>111</v>
      </c>
      <c r="D14777" t="s">
        <v>50727</v>
      </c>
      <c r="E14777">
        <v>425060</v>
      </c>
      <c r="F14777" t="s">
        <v>1</v>
      </c>
      <c r="G14777" t="s">
        <v>50227</v>
      </c>
      <c r="H14777" t="s">
        <v>50491</v>
      </c>
      <c r="Y14777" t="s">
        <v>50728</v>
      </c>
    </row>
    <row r="14778" spans="1:25" x14ac:dyDescent="0.25">
      <c r="A14778" t="str">
        <f>"57541071695"</f>
        <v>57541071695</v>
      </c>
      <c r="B14778" t="s">
        <v>574</v>
      </c>
      <c r="C14778" t="s">
        <v>14269</v>
      </c>
      <c r="D14778" t="s">
        <v>24813</v>
      </c>
      <c r="E14778">
        <v>425060</v>
      </c>
      <c r="F14778" t="s">
        <v>1</v>
      </c>
      <c r="G14778" t="s">
        <v>50227</v>
      </c>
      <c r="H14778" t="s">
        <v>50605</v>
      </c>
      <c r="Y14778" t="s">
        <v>50729</v>
      </c>
    </row>
    <row r="14779" spans="1:25" x14ac:dyDescent="0.25">
      <c r="A14779" t="str">
        <f>"57655379644"</f>
        <v>57655379644</v>
      </c>
      <c r="B14779" t="s">
        <v>2864</v>
      </c>
      <c r="C14779" t="s">
        <v>50719</v>
      </c>
      <c r="D14779" t="s">
        <v>50718</v>
      </c>
      <c r="E14779">
        <v>425060</v>
      </c>
      <c r="F14779" t="s">
        <v>1</v>
      </c>
      <c r="G14779" t="s">
        <v>50227</v>
      </c>
      <c r="H14779" t="s">
        <v>50473</v>
      </c>
      <c r="Y14779" t="s">
        <v>50730</v>
      </c>
    </row>
    <row r="14780" spans="1:25" x14ac:dyDescent="0.25">
      <c r="A14780" t="str">
        <f>"58339719351"</f>
        <v>58339719351</v>
      </c>
      <c r="B14780" t="s">
        <v>640</v>
      </c>
      <c r="C14780" t="s">
        <v>29164</v>
      </c>
      <c r="D14780" t="s">
        <v>29164</v>
      </c>
      <c r="F14780" t="s">
        <v>1</v>
      </c>
      <c r="G14780" t="s">
        <v>50227</v>
      </c>
      <c r="H14780" t="s">
        <v>50613</v>
      </c>
      <c r="Y14780" t="s">
        <v>50731</v>
      </c>
    </row>
    <row r="14781" spans="1:25" x14ac:dyDescent="0.25">
      <c r="A14781" t="str">
        <f>"58848216765"</f>
        <v>58848216765</v>
      </c>
      <c r="B14781" t="s">
        <v>1544</v>
      </c>
      <c r="C14781" t="s">
        <v>3596</v>
      </c>
      <c r="D14781" t="s">
        <v>10573</v>
      </c>
      <c r="E14781">
        <v>425061</v>
      </c>
      <c r="F14781" t="s">
        <v>1</v>
      </c>
      <c r="G14781" t="s">
        <v>50227</v>
      </c>
      <c r="H14781" t="s">
        <v>50732</v>
      </c>
      <c r="Y14781" t="s">
        <v>50733</v>
      </c>
    </row>
    <row r="14782" spans="1:25" x14ac:dyDescent="0.25">
      <c r="A14782" t="str">
        <f>"59257391857"</f>
        <v>59257391857</v>
      </c>
      <c r="B14782" t="s">
        <v>530</v>
      </c>
      <c r="C14782" t="s">
        <v>23950</v>
      </c>
      <c r="D14782" t="s">
        <v>23950</v>
      </c>
      <c r="F14782" t="s">
        <v>1</v>
      </c>
      <c r="G14782" t="s">
        <v>50227</v>
      </c>
      <c r="H14782" t="s">
        <v>50734</v>
      </c>
      <c r="Y14782" t="s">
        <v>50735</v>
      </c>
    </row>
    <row r="14783" spans="1:25" x14ac:dyDescent="0.25">
      <c r="A14783" t="str">
        <f>"59598905908"</f>
        <v>59598905908</v>
      </c>
      <c r="B14783" t="s">
        <v>1544</v>
      </c>
      <c r="C14783" t="s">
        <v>15598</v>
      </c>
      <c r="D14783" t="s">
        <v>3032</v>
      </c>
      <c r="E14783">
        <v>425060</v>
      </c>
      <c r="F14783" t="s">
        <v>1</v>
      </c>
      <c r="G14783" t="s">
        <v>50227</v>
      </c>
      <c r="H14783" t="s">
        <v>50558</v>
      </c>
      <c r="P14783" t="s">
        <v>330</v>
      </c>
      <c r="Y14783" t="s">
        <v>50736</v>
      </c>
    </row>
    <row r="14784" spans="1:25" x14ac:dyDescent="0.25">
      <c r="A14784" t="str">
        <f>"59907860355"</f>
        <v>59907860355</v>
      </c>
      <c r="B14784" t="s">
        <v>96</v>
      </c>
      <c r="C14784" t="s">
        <v>507</v>
      </c>
      <c r="D14784" t="s">
        <v>50737</v>
      </c>
      <c r="E14784">
        <v>425061</v>
      </c>
      <c r="F14784" t="s">
        <v>1</v>
      </c>
      <c r="G14784" t="s">
        <v>50227</v>
      </c>
      <c r="H14784" t="s">
        <v>50732</v>
      </c>
      <c r="P14784" t="s">
        <v>50738</v>
      </c>
      <c r="Y14784" t="s">
        <v>50739</v>
      </c>
    </row>
    <row r="14785" spans="1:25" x14ac:dyDescent="0.25">
      <c r="A14785" t="str">
        <f>"59991074723"</f>
        <v>59991074723</v>
      </c>
      <c r="B14785" t="s">
        <v>1061</v>
      </c>
      <c r="C14785" t="s">
        <v>26953</v>
      </c>
      <c r="D14785" t="s">
        <v>50740</v>
      </c>
      <c r="F14785" t="s">
        <v>1</v>
      </c>
      <c r="G14785" t="s">
        <v>50227</v>
      </c>
      <c r="H14785" t="s">
        <v>50741</v>
      </c>
      <c r="Y14785" t="s">
        <v>50742</v>
      </c>
    </row>
    <row r="14786" spans="1:25" x14ac:dyDescent="0.25">
      <c r="A14786" t="str">
        <f>"60714645600"</f>
        <v>60714645600</v>
      </c>
      <c r="B14786" t="s">
        <v>430</v>
      </c>
      <c r="C14786" t="s">
        <v>16178</v>
      </c>
      <c r="D14786" t="s">
        <v>10135</v>
      </c>
      <c r="E14786">
        <v>425060</v>
      </c>
      <c r="F14786" t="s">
        <v>1</v>
      </c>
      <c r="G14786" t="s">
        <v>50227</v>
      </c>
      <c r="H14786" t="s">
        <v>50451</v>
      </c>
      <c r="Y14786" t="s">
        <v>50743</v>
      </c>
    </row>
    <row r="14787" spans="1:25" x14ac:dyDescent="0.25">
      <c r="A14787" t="str">
        <f>"62254285674"</f>
        <v>62254285674</v>
      </c>
      <c r="B14787" t="s">
        <v>530</v>
      </c>
      <c r="C14787" t="s">
        <v>23950</v>
      </c>
      <c r="D14787" t="s">
        <v>23950</v>
      </c>
      <c r="F14787" t="s">
        <v>1</v>
      </c>
      <c r="G14787" t="s">
        <v>50227</v>
      </c>
      <c r="H14787" t="s">
        <v>50744</v>
      </c>
      <c r="Y14787" t="s">
        <v>50745</v>
      </c>
    </row>
    <row r="14788" spans="1:25" x14ac:dyDescent="0.25">
      <c r="A14788" t="str">
        <f>"62303915253"</f>
        <v>62303915253</v>
      </c>
      <c r="B14788" t="s">
        <v>96</v>
      </c>
      <c r="C14788" t="s">
        <v>7071</v>
      </c>
      <c r="D14788" t="s">
        <v>50746</v>
      </c>
      <c r="F14788" t="s">
        <v>1</v>
      </c>
      <c r="G14788" t="s">
        <v>50227</v>
      </c>
      <c r="H14788" t="s">
        <v>50747</v>
      </c>
      <c r="Y14788" t="s">
        <v>50748</v>
      </c>
    </row>
    <row r="14789" spans="1:25" x14ac:dyDescent="0.25">
      <c r="A14789" t="str">
        <f>"62624274052"</f>
        <v>62624274052</v>
      </c>
      <c r="B14789" t="s">
        <v>3008</v>
      </c>
      <c r="C14789" t="s">
        <v>15481</v>
      </c>
      <c r="D14789" t="s">
        <v>27643</v>
      </c>
      <c r="E14789">
        <v>425060</v>
      </c>
      <c r="F14789" t="s">
        <v>1</v>
      </c>
      <c r="G14789" t="s">
        <v>50227</v>
      </c>
      <c r="H14789" t="s">
        <v>50749</v>
      </c>
      <c r="Y14789" t="s">
        <v>50750</v>
      </c>
    </row>
    <row r="14790" spans="1:25" x14ac:dyDescent="0.25">
      <c r="A14790" t="str">
        <f>"62975091827"</f>
        <v>62975091827</v>
      </c>
      <c r="B14790" t="s">
        <v>96</v>
      </c>
      <c r="C14790" t="s">
        <v>893</v>
      </c>
      <c r="D14790" t="s">
        <v>39242</v>
      </c>
      <c r="F14790" t="s">
        <v>1</v>
      </c>
      <c r="G14790" t="s">
        <v>50227</v>
      </c>
      <c r="H14790" t="s">
        <v>50747</v>
      </c>
      <c r="Y14790" t="s">
        <v>50751</v>
      </c>
    </row>
    <row r="14791" spans="1:25" x14ac:dyDescent="0.25">
      <c r="A14791" t="str">
        <f>"63554542093"</f>
        <v>63554542093</v>
      </c>
      <c r="B14791" t="s">
        <v>18</v>
      </c>
      <c r="C14791" t="s">
        <v>4522</v>
      </c>
      <c r="D14791" t="s">
        <v>50752</v>
      </c>
      <c r="E14791">
        <v>425060</v>
      </c>
      <c r="F14791" t="s">
        <v>1</v>
      </c>
      <c r="G14791" t="s">
        <v>50227</v>
      </c>
      <c r="H14791" t="s">
        <v>50753</v>
      </c>
      <c r="J14791" t="s">
        <v>50754</v>
      </c>
      <c r="P14791" t="s">
        <v>23576</v>
      </c>
      <c r="Q14791" t="s">
        <v>50755</v>
      </c>
      <c r="V14791" t="s">
        <v>50756</v>
      </c>
      <c r="Y14791" t="s">
        <v>50757</v>
      </c>
    </row>
    <row r="14792" spans="1:25" x14ac:dyDescent="0.25">
      <c r="A14792" t="str">
        <f>"64018055670"</f>
        <v>64018055670</v>
      </c>
      <c r="B14792" t="s">
        <v>574</v>
      </c>
      <c r="C14792" t="s">
        <v>646</v>
      </c>
      <c r="D14792" t="s">
        <v>46614</v>
      </c>
      <c r="E14792">
        <v>425061</v>
      </c>
      <c r="F14792" t="s">
        <v>1</v>
      </c>
      <c r="G14792" t="s">
        <v>50227</v>
      </c>
      <c r="H14792" t="s">
        <v>50602</v>
      </c>
      <c r="P14792" t="s">
        <v>330</v>
      </c>
      <c r="Y14792" t="s">
        <v>50758</v>
      </c>
    </row>
    <row r="14793" spans="1:25" x14ac:dyDescent="0.25">
      <c r="A14793" t="str">
        <f>"64235409569"</f>
        <v>64235409569</v>
      </c>
      <c r="B14793" t="s">
        <v>930</v>
      </c>
      <c r="C14793" t="s">
        <v>927</v>
      </c>
      <c r="D14793" t="s">
        <v>50759</v>
      </c>
      <c r="F14793" t="s">
        <v>1</v>
      </c>
      <c r="G14793" t="s">
        <v>50227</v>
      </c>
      <c r="H14793" t="s">
        <v>50302</v>
      </c>
      <c r="J14793" t="s">
        <v>50760</v>
      </c>
      <c r="L14793" t="s">
        <v>50761</v>
      </c>
      <c r="P14793" t="s">
        <v>2079</v>
      </c>
      <c r="Q14793" t="s">
        <v>50762</v>
      </c>
      <c r="Y14793" t="s">
        <v>50763</v>
      </c>
    </row>
    <row r="14794" spans="1:25" x14ac:dyDescent="0.25">
      <c r="A14794" t="str">
        <f>"64345241235"</f>
        <v>64345241235</v>
      </c>
      <c r="B14794" t="s">
        <v>574</v>
      </c>
      <c r="C14794" t="s">
        <v>646</v>
      </c>
      <c r="D14794" t="s">
        <v>32650</v>
      </c>
      <c r="F14794" t="s">
        <v>1</v>
      </c>
      <c r="G14794" t="s">
        <v>50227</v>
      </c>
      <c r="H14794" t="s">
        <v>50764</v>
      </c>
      <c r="P14794" t="s">
        <v>1464</v>
      </c>
      <c r="Y14794" t="s">
        <v>50765</v>
      </c>
    </row>
    <row r="14795" spans="1:25" x14ac:dyDescent="0.25">
      <c r="A14795" t="str">
        <f>"64594140165"</f>
        <v>64594140165</v>
      </c>
      <c r="B14795" t="s">
        <v>8117</v>
      </c>
      <c r="C14795" t="s">
        <v>8118</v>
      </c>
      <c r="D14795" t="s">
        <v>50766</v>
      </c>
      <c r="E14795">
        <v>425060</v>
      </c>
      <c r="F14795" t="s">
        <v>1</v>
      </c>
      <c r="G14795" t="s">
        <v>50227</v>
      </c>
      <c r="H14795" t="s">
        <v>50259</v>
      </c>
      <c r="Y14795" t="s">
        <v>50767</v>
      </c>
    </row>
    <row r="14796" spans="1:25" x14ac:dyDescent="0.25">
      <c r="A14796" t="str">
        <f>"64638296484"</f>
        <v>64638296484</v>
      </c>
      <c r="B14796" t="s">
        <v>1343</v>
      </c>
      <c r="C14796" t="s">
        <v>1344</v>
      </c>
      <c r="D14796" t="s">
        <v>50768</v>
      </c>
      <c r="E14796">
        <v>425060</v>
      </c>
      <c r="F14796" t="s">
        <v>1</v>
      </c>
      <c r="G14796" t="s">
        <v>50227</v>
      </c>
      <c r="H14796" t="s">
        <v>50558</v>
      </c>
      <c r="Y14796" t="s">
        <v>50769</v>
      </c>
    </row>
    <row r="14797" spans="1:25" x14ac:dyDescent="0.25">
      <c r="A14797" t="str">
        <f>"64697956412"</f>
        <v>64697956412</v>
      </c>
      <c r="B14797" t="s">
        <v>654</v>
      </c>
      <c r="C14797" t="s">
        <v>14448</v>
      </c>
      <c r="D14797" t="s">
        <v>50770</v>
      </c>
      <c r="F14797" t="s">
        <v>1</v>
      </c>
      <c r="G14797" t="s">
        <v>50227</v>
      </c>
      <c r="H14797" t="s">
        <v>50329</v>
      </c>
      <c r="Y14797" t="s">
        <v>50771</v>
      </c>
    </row>
    <row r="14798" spans="1:25" x14ac:dyDescent="0.25">
      <c r="A14798" t="str">
        <f>"65991389539"</f>
        <v>65991389539</v>
      </c>
      <c r="B14798" t="s">
        <v>3200</v>
      </c>
      <c r="C14798" t="s">
        <v>50772</v>
      </c>
      <c r="D14798" t="s">
        <v>31437</v>
      </c>
      <c r="F14798" t="s">
        <v>1</v>
      </c>
      <c r="G14798" t="s">
        <v>50227</v>
      </c>
      <c r="H14798" t="s">
        <v>50483</v>
      </c>
      <c r="Y14798" t="s">
        <v>50773</v>
      </c>
    </row>
    <row r="14799" spans="1:25" x14ac:dyDescent="0.25">
      <c r="A14799" t="str">
        <f>"66206692187"</f>
        <v>66206692187</v>
      </c>
      <c r="B14799" t="s">
        <v>1617</v>
      </c>
      <c r="C14799" t="s">
        <v>21001</v>
      </c>
      <c r="D14799" t="s">
        <v>50774</v>
      </c>
      <c r="E14799">
        <v>425060</v>
      </c>
      <c r="F14799" t="s">
        <v>1</v>
      </c>
      <c r="G14799" t="s">
        <v>50227</v>
      </c>
      <c r="H14799" t="s">
        <v>50455</v>
      </c>
      <c r="Y14799" t="s">
        <v>50775</v>
      </c>
    </row>
    <row r="14800" spans="1:25" x14ac:dyDescent="0.25">
      <c r="A14800" t="str">
        <f>"66846193561"</f>
        <v>66846193561</v>
      </c>
      <c r="B14800" t="s">
        <v>319</v>
      </c>
      <c r="C14800" t="s">
        <v>320</v>
      </c>
      <c r="D14800" t="s">
        <v>320</v>
      </c>
      <c r="E14800">
        <v>425060</v>
      </c>
      <c r="F14800" t="s">
        <v>1</v>
      </c>
      <c r="G14800" t="s">
        <v>50227</v>
      </c>
      <c r="H14800" t="s">
        <v>50491</v>
      </c>
      <c r="Y14800" t="s">
        <v>50776</v>
      </c>
    </row>
    <row r="14801" spans="1:25" x14ac:dyDescent="0.25">
      <c r="A14801" t="str">
        <f>"67624200159"</f>
        <v>67624200159</v>
      </c>
      <c r="B14801" t="s">
        <v>574</v>
      </c>
      <c r="C14801" t="s">
        <v>646</v>
      </c>
      <c r="D14801" t="s">
        <v>7296</v>
      </c>
      <c r="E14801">
        <v>425061</v>
      </c>
      <c r="F14801" t="s">
        <v>1</v>
      </c>
      <c r="G14801" t="s">
        <v>50227</v>
      </c>
      <c r="H14801" t="s">
        <v>50443</v>
      </c>
      <c r="P14801" t="s">
        <v>13505</v>
      </c>
      <c r="Y14801" t="s">
        <v>50777</v>
      </c>
    </row>
    <row r="14802" spans="1:25" x14ac:dyDescent="0.25">
      <c r="A14802" t="str">
        <f>"67831238001"</f>
        <v>67831238001</v>
      </c>
      <c r="B14802" t="s">
        <v>123</v>
      </c>
      <c r="C14802" t="s">
        <v>424</v>
      </c>
      <c r="D14802" t="s">
        <v>3760</v>
      </c>
      <c r="E14802">
        <v>425060</v>
      </c>
      <c r="F14802" t="s">
        <v>1</v>
      </c>
      <c r="G14802" t="s">
        <v>50227</v>
      </c>
      <c r="H14802" t="s">
        <v>50778</v>
      </c>
      <c r="I14802" t="s">
        <v>50779</v>
      </c>
      <c r="L14802" t="s">
        <v>50780</v>
      </c>
      <c r="M14802" t="s">
        <v>50781</v>
      </c>
      <c r="P14802" t="s">
        <v>39889</v>
      </c>
      <c r="Y14802" t="s">
        <v>50782</v>
      </c>
    </row>
    <row r="14803" spans="1:25" x14ac:dyDescent="0.25">
      <c r="A14803" t="str">
        <f>"68500883628"</f>
        <v>68500883628</v>
      </c>
      <c r="B14803" t="s">
        <v>530</v>
      </c>
      <c r="C14803" t="s">
        <v>23950</v>
      </c>
      <c r="D14803" t="s">
        <v>23950</v>
      </c>
      <c r="E14803">
        <v>425060</v>
      </c>
      <c r="F14803" t="s">
        <v>1</v>
      </c>
      <c r="G14803" t="s">
        <v>50227</v>
      </c>
      <c r="H14803" t="s">
        <v>50783</v>
      </c>
      <c r="Y14803" t="s">
        <v>50784</v>
      </c>
    </row>
    <row r="14804" spans="1:25" x14ac:dyDescent="0.25">
      <c r="A14804" t="str">
        <f>"70206890139"</f>
        <v>70206890139</v>
      </c>
      <c r="B14804" t="s">
        <v>3094</v>
      </c>
      <c r="C14804" t="s">
        <v>3095</v>
      </c>
      <c r="D14804" t="s">
        <v>50785</v>
      </c>
      <c r="F14804" t="s">
        <v>1</v>
      </c>
      <c r="G14804" t="s">
        <v>50227</v>
      </c>
      <c r="H14804" t="s">
        <v>50786</v>
      </c>
      <c r="I14804" t="s">
        <v>50787</v>
      </c>
      <c r="L14804" t="s">
        <v>50788</v>
      </c>
      <c r="M14804" t="s">
        <v>50789</v>
      </c>
      <c r="P14804" t="s">
        <v>280</v>
      </c>
      <c r="Y14804" t="s">
        <v>50790</v>
      </c>
    </row>
    <row r="14805" spans="1:25" x14ac:dyDescent="0.25">
      <c r="A14805" t="str">
        <f>"71017626750"</f>
        <v>71017626750</v>
      </c>
      <c r="B14805" t="s">
        <v>530</v>
      </c>
      <c r="C14805" t="s">
        <v>23950</v>
      </c>
      <c r="D14805" t="s">
        <v>23950</v>
      </c>
      <c r="F14805" t="s">
        <v>1</v>
      </c>
      <c r="G14805" t="s">
        <v>50227</v>
      </c>
      <c r="H14805" t="s">
        <v>50791</v>
      </c>
      <c r="Y14805" t="s">
        <v>50792</v>
      </c>
    </row>
    <row r="14806" spans="1:25" x14ac:dyDescent="0.25">
      <c r="A14806" t="str">
        <f>"71040142945"</f>
        <v>71040142945</v>
      </c>
      <c r="B14806" t="s">
        <v>25</v>
      </c>
      <c r="C14806" t="s">
        <v>1596</v>
      </c>
      <c r="D14806" t="s">
        <v>50793</v>
      </c>
      <c r="F14806" t="s">
        <v>1</v>
      </c>
      <c r="G14806" t="s">
        <v>50227</v>
      </c>
      <c r="H14806" t="s">
        <v>50329</v>
      </c>
      <c r="J14806" t="s">
        <v>50794</v>
      </c>
      <c r="L14806" t="s">
        <v>50795</v>
      </c>
      <c r="M14806" t="s">
        <v>50796</v>
      </c>
      <c r="P14806" t="s">
        <v>5566</v>
      </c>
      <c r="Q14806" t="s">
        <v>50797</v>
      </c>
      <c r="Y14806" t="s">
        <v>50798</v>
      </c>
    </row>
    <row r="14807" spans="1:25" x14ac:dyDescent="0.25">
      <c r="A14807" t="str">
        <f>"71784132589"</f>
        <v>71784132589</v>
      </c>
      <c r="B14807" t="s">
        <v>978</v>
      </c>
      <c r="C14807" t="s">
        <v>23458</v>
      </c>
      <c r="D14807" t="s">
        <v>50799</v>
      </c>
      <c r="E14807">
        <v>425060</v>
      </c>
      <c r="F14807" t="s">
        <v>1</v>
      </c>
      <c r="G14807" t="s">
        <v>50227</v>
      </c>
      <c r="H14807" t="s">
        <v>50525</v>
      </c>
      <c r="Y14807" t="s">
        <v>50800</v>
      </c>
    </row>
    <row r="14808" spans="1:25" x14ac:dyDescent="0.25">
      <c r="A14808" t="str">
        <f>"72775534519"</f>
        <v>72775534519</v>
      </c>
      <c r="B14808" t="s">
        <v>80</v>
      </c>
      <c r="C14808" t="s">
        <v>50806</v>
      </c>
      <c r="D14808" t="s">
        <v>50801</v>
      </c>
      <c r="F14808" t="s">
        <v>1</v>
      </c>
      <c r="G14808" t="s">
        <v>50227</v>
      </c>
      <c r="H14808" t="s">
        <v>50802</v>
      </c>
      <c r="I14808" t="s">
        <v>50803</v>
      </c>
      <c r="J14808" t="s">
        <v>50804</v>
      </c>
      <c r="L14808" t="s">
        <v>50410</v>
      </c>
      <c r="M14808" t="s">
        <v>50805</v>
      </c>
      <c r="P14808" t="s">
        <v>280</v>
      </c>
      <c r="Y14808" t="s">
        <v>50807</v>
      </c>
    </row>
    <row r="14809" spans="1:25" x14ac:dyDescent="0.25">
      <c r="A14809" t="str">
        <f>"73955924831"</f>
        <v>73955924831</v>
      </c>
      <c r="B14809" t="s">
        <v>10383</v>
      </c>
      <c r="C14809" t="s">
        <v>24146</v>
      </c>
      <c r="D14809" t="s">
        <v>24146</v>
      </c>
      <c r="F14809" t="s">
        <v>1</v>
      </c>
      <c r="G14809" t="s">
        <v>50227</v>
      </c>
      <c r="H14809" t="s">
        <v>50578</v>
      </c>
      <c r="Y14809" t="s">
        <v>50808</v>
      </c>
    </row>
    <row r="14810" spans="1:25" x14ac:dyDescent="0.25">
      <c r="A14810" t="str">
        <f>"73986740132"</f>
        <v>73986740132</v>
      </c>
      <c r="B14810" t="s">
        <v>574</v>
      </c>
      <c r="C14810" t="s">
        <v>14016</v>
      </c>
      <c r="D14810" t="s">
        <v>3636</v>
      </c>
      <c r="E14810">
        <v>425060</v>
      </c>
      <c r="F14810" t="s">
        <v>1</v>
      </c>
      <c r="G14810" t="s">
        <v>50227</v>
      </c>
      <c r="H14810" t="s">
        <v>50558</v>
      </c>
      <c r="P14810" t="s">
        <v>16766</v>
      </c>
      <c r="Y14810" t="s">
        <v>50809</v>
      </c>
    </row>
    <row r="14811" spans="1:25" x14ac:dyDescent="0.25">
      <c r="A14811" t="str">
        <f>"74100737650"</f>
        <v>74100737650</v>
      </c>
      <c r="B14811" t="s">
        <v>574</v>
      </c>
      <c r="C14811" t="s">
        <v>14269</v>
      </c>
      <c r="D14811" t="s">
        <v>21152</v>
      </c>
      <c r="E14811">
        <v>425060</v>
      </c>
      <c r="F14811" t="s">
        <v>1</v>
      </c>
      <c r="G14811" t="s">
        <v>50227</v>
      </c>
      <c r="H14811" t="s">
        <v>50810</v>
      </c>
      <c r="P14811" t="s">
        <v>50811</v>
      </c>
      <c r="Y14811" t="s">
        <v>50812</v>
      </c>
    </row>
    <row r="14812" spans="1:25" x14ac:dyDescent="0.25">
      <c r="A14812" t="str">
        <f>"74478926367"</f>
        <v>74478926367</v>
      </c>
      <c r="B14812" t="s">
        <v>574</v>
      </c>
      <c r="C14812" t="s">
        <v>646</v>
      </c>
      <c r="D14812" t="s">
        <v>50813</v>
      </c>
      <c r="E14812">
        <v>425062</v>
      </c>
      <c r="F14812" t="s">
        <v>1</v>
      </c>
      <c r="G14812" t="s">
        <v>50227</v>
      </c>
      <c r="H14812" t="s">
        <v>50814</v>
      </c>
      <c r="P14812" t="s">
        <v>7436</v>
      </c>
      <c r="Y14812" t="s">
        <v>50815</v>
      </c>
    </row>
    <row r="14813" spans="1:25" x14ac:dyDescent="0.25">
      <c r="A14813" t="str">
        <f>"74648296160"</f>
        <v>74648296160</v>
      </c>
      <c r="B14813" t="s">
        <v>530</v>
      </c>
      <c r="C14813" t="s">
        <v>23950</v>
      </c>
      <c r="D14813" t="s">
        <v>23950</v>
      </c>
      <c r="F14813" t="s">
        <v>1</v>
      </c>
      <c r="G14813" t="s">
        <v>50227</v>
      </c>
      <c r="H14813" t="s">
        <v>50683</v>
      </c>
      <c r="Y14813" t="s">
        <v>50816</v>
      </c>
    </row>
    <row r="14814" spans="1:25" x14ac:dyDescent="0.25">
      <c r="A14814" t="str">
        <f>"74682549804"</f>
        <v>74682549804</v>
      </c>
      <c r="B14814" t="s">
        <v>96</v>
      </c>
      <c r="C14814" t="s">
        <v>50817</v>
      </c>
      <c r="D14814" t="s">
        <v>26498</v>
      </c>
      <c r="F14814" t="s">
        <v>1</v>
      </c>
      <c r="G14814" t="s">
        <v>50227</v>
      </c>
      <c r="H14814" t="s">
        <v>50483</v>
      </c>
      <c r="Y14814" t="s">
        <v>50818</v>
      </c>
    </row>
    <row r="14815" spans="1:25" x14ac:dyDescent="0.25">
      <c r="A14815" t="str">
        <f>"75315314380"</f>
        <v>75315314380</v>
      </c>
      <c r="B14815" t="s">
        <v>2864</v>
      </c>
      <c r="C14815" t="s">
        <v>50719</v>
      </c>
      <c r="D14815" t="s">
        <v>50719</v>
      </c>
      <c r="E14815">
        <v>425062</v>
      </c>
      <c r="F14815" t="s">
        <v>1</v>
      </c>
      <c r="G14815" t="s">
        <v>50227</v>
      </c>
      <c r="H14815" t="s">
        <v>50819</v>
      </c>
      <c r="Y14815" t="s">
        <v>50820</v>
      </c>
    </row>
    <row r="14816" spans="1:25" x14ac:dyDescent="0.25">
      <c r="A14816" t="str">
        <f>"75355400847"</f>
        <v>75355400847</v>
      </c>
      <c r="B14816" t="s">
        <v>530</v>
      </c>
      <c r="C14816" t="s">
        <v>23950</v>
      </c>
      <c r="D14816" t="s">
        <v>23950</v>
      </c>
      <c r="F14816" t="s">
        <v>1</v>
      </c>
      <c r="G14816" t="s">
        <v>50227</v>
      </c>
      <c r="H14816" t="s">
        <v>50821</v>
      </c>
      <c r="Y14816" t="s">
        <v>50822</v>
      </c>
    </row>
    <row r="14817" spans="1:25" x14ac:dyDescent="0.25">
      <c r="A14817" t="str">
        <f>"75397245256"</f>
        <v>75397245256</v>
      </c>
      <c r="B14817" t="s">
        <v>1061</v>
      </c>
      <c r="C14817" t="s">
        <v>50823</v>
      </c>
      <c r="D14817" t="s">
        <v>50823</v>
      </c>
      <c r="F14817" t="s">
        <v>1</v>
      </c>
      <c r="G14817" t="s">
        <v>50227</v>
      </c>
      <c r="H14817" t="s">
        <v>50578</v>
      </c>
      <c r="Y14817" t="s">
        <v>50824</v>
      </c>
    </row>
    <row r="14818" spans="1:25" x14ac:dyDescent="0.25">
      <c r="A14818" t="str">
        <f>"76397290040"</f>
        <v>76397290040</v>
      </c>
      <c r="B14818" t="s">
        <v>379</v>
      </c>
      <c r="C14818" t="s">
        <v>36862</v>
      </c>
      <c r="D14818" t="s">
        <v>50825</v>
      </c>
      <c r="E14818">
        <v>425060</v>
      </c>
      <c r="F14818" t="s">
        <v>1</v>
      </c>
      <c r="G14818" t="s">
        <v>50227</v>
      </c>
      <c r="H14818" t="s">
        <v>50826</v>
      </c>
      <c r="Y14818" t="s">
        <v>50827</v>
      </c>
    </row>
    <row r="14819" spans="1:25" x14ac:dyDescent="0.25">
      <c r="A14819" t="str">
        <f>"76987043300"</f>
        <v>76987043300</v>
      </c>
      <c r="B14819" t="s">
        <v>538</v>
      </c>
      <c r="C14819" t="s">
        <v>35282</v>
      </c>
      <c r="D14819" t="s">
        <v>50828</v>
      </c>
      <c r="F14819" t="s">
        <v>1</v>
      </c>
      <c r="G14819" t="s">
        <v>50227</v>
      </c>
      <c r="H14819" t="s">
        <v>50829</v>
      </c>
      <c r="I14819" t="s">
        <v>50830</v>
      </c>
      <c r="P14819" t="s">
        <v>280</v>
      </c>
      <c r="Y14819" t="s">
        <v>50831</v>
      </c>
    </row>
    <row r="14820" spans="1:25" x14ac:dyDescent="0.25">
      <c r="A14820" t="str">
        <f>"77695998029"</f>
        <v>77695998029</v>
      </c>
      <c r="B14820" t="s">
        <v>430</v>
      </c>
      <c r="C14820" t="s">
        <v>50834</v>
      </c>
      <c r="D14820" t="s">
        <v>50832</v>
      </c>
      <c r="F14820" t="s">
        <v>1</v>
      </c>
      <c r="G14820" t="s">
        <v>50227</v>
      </c>
      <c r="H14820" t="s">
        <v>50833</v>
      </c>
      <c r="P14820" t="s">
        <v>216</v>
      </c>
      <c r="Y14820" t="s">
        <v>50835</v>
      </c>
    </row>
    <row r="14821" spans="1:25" x14ac:dyDescent="0.25">
      <c r="A14821" t="str">
        <f>"78077468336"</f>
        <v>78077468336</v>
      </c>
      <c r="B14821" t="s">
        <v>574</v>
      </c>
      <c r="C14821" t="s">
        <v>9802</v>
      </c>
      <c r="D14821" t="s">
        <v>50836</v>
      </c>
      <c r="E14821">
        <v>425060</v>
      </c>
      <c r="F14821" t="s">
        <v>1</v>
      </c>
      <c r="G14821" t="s">
        <v>50227</v>
      </c>
      <c r="H14821" t="s">
        <v>50605</v>
      </c>
      <c r="Y14821" t="s">
        <v>50837</v>
      </c>
    </row>
    <row r="14822" spans="1:25" x14ac:dyDescent="0.25">
      <c r="A14822" t="str">
        <f>"79132048204"</f>
        <v>79132048204</v>
      </c>
      <c r="B14822" t="s">
        <v>160</v>
      </c>
      <c r="C14822" t="s">
        <v>1666</v>
      </c>
      <c r="D14822" t="s">
        <v>28800</v>
      </c>
      <c r="E14822">
        <v>425060</v>
      </c>
      <c r="F14822" t="s">
        <v>1</v>
      </c>
      <c r="G14822" t="s">
        <v>50227</v>
      </c>
      <c r="H14822" t="s">
        <v>50436</v>
      </c>
      <c r="J14822" t="s">
        <v>50838</v>
      </c>
      <c r="P14822" t="s">
        <v>20</v>
      </c>
      <c r="Y14822" t="s">
        <v>50839</v>
      </c>
    </row>
    <row r="14823" spans="1:25" x14ac:dyDescent="0.25">
      <c r="A14823" t="str">
        <f>"79815847190"</f>
        <v>79815847190</v>
      </c>
      <c r="B14823" t="s">
        <v>1552</v>
      </c>
      <c r="C14823" t="s">
        <v>12654</v>
      </c>
      <c r="D14823" t="s">
        <v>50840</v>
      </c>
      <c r="F14823" t="s">
        <v>1</v>
      </c>
      <c r="G14823" t="s">
        <v>50227</v>
      </c>
      <c r="H14823" t="s">
        <v>50623</v>
      </c>
      <c r="Y14823" t="s">
        <v>50841</v>
      </c>
    </row>
    <row r="14824" spans="1:25" x14ac:dyDescent="0.25">
      <c r="A14824" t="str">
        <f>"79949538051"</f>
        <v>79949538051</v>
      </c>
      <c r="B14824" t="s">
        <v>574</v>
      </c>
      <c r="C14824" t="s">
        <v>646</v>
      </c>
      <c r="D14824" t="s">
        <v>4725</v>
      </c>
      <c r="E14824">
        <v>425060</v>
      </c>
      <c r="F14824" t="s">
        <v>1</v>
      </c>
      <c r="G14824" t="s">
        <v>50227</v>
      </c>
      <c r="H14824" t="s">
        <v>50842</v>
      </c>
      <c r="P14824" t="s">
        <v>40067</v>
      </c>
      <c r="Y14824" t="s">
        <v>50843</v>
      </c>
    </row>
    <row r="14825" spans="1:25" x14ac:dyDescent="0.25">
      <c r="A14825" t="str">
        <f>"80259087537"</f>
        <v>80259087537</v>
      </c>
      <c r="B14825" t="s">
        <v>96</v>
      </c>
      <c r="C14825" t="s">
        <v>893</v>
      </c>
      <c r="D14825" t="s">
        <v>50844</v>
      </c>
      <c r="E14825">
        <v>425060</v>
      </c>
      <c r="F14825" t="s">
        <v>1</v>
      </c>
      <c r="G14825" t="s">
        <v>50227</v>
      </c>
      <c r="H14825" t="s">
        <v>50574</v>
      </c>
      <c r="Y14825" t="s">
        <v>50845</v>
      </c>
    </row>
    <row r="14826" spans="1:25" x14ac:dyDescent="0.25">
      <c r="A14826" t="str">
        <f>"81241981447"</f>
        <v>81241981447</v>
      </c>
      <c r="B14826" t="s">
        <v>574</v>
      </c>
      <c r="C14826" t="s">
        <v>646</v>
      </c>
      <c r="D14826" t="s">
        <v>50846</v>
      </c>
      <c r="E14826">
        <v>425061</v>
      </c>
      <c r="F14826" t="s">
        <v>1</v>
      </c>
      <c r="G14826" t="s">
        <v>50227</v>
      </c>
      <c r="H14826" t="s">
        <v>50847</v>
      </c>
      <c r="P14826" t="s">
        <v>7436</v>
      </c>
      <c r="Y14826" t="s">
        <v>50848</v>
      </c>
    </row>
    <row r="14827" spans="1:25" x14ac:dyDescent="0.25">
      <c r="A14827" t="str">
        <f>"82751409193"</f>
        <v>82751409193</v>
      </c>
      <c r="B14827" t="s">
        <v>18</v>
      </c>
      <c r="C14827" t="s">
        <v>4522</v>
      </c>
      <c r="D14827" t="s">
        <v>50849</v>
      </c>
      <c r="E14827">
        <v>425060</v>
      </c>
      <c r="F14827" t="s">
        <v>1</v>
      </c>
      <c r="G14827" t="s">
        <v>50227</v>
      </c>
      <c r="H14827" t="s">
        <v>50259</v>
      </c>
      <c r="Y14827" t="s">
        <v>50850</v>
      </c>
    </row>
    <row r="14828" spans="1:25" x14ac:dyDescent="0.25">
      <c r="A14828" t="str">
        <f>"83402397621"</f>
        <v>83402397621</v>
      </c>
      <c r="B14828" t="s">
        <v>1078</v>
      </c>
      <c r="C14828" t="s">
        <v>25481</v>
      </c>
      <c r="D14828" t="s">
        <v>691</v>
      </c>
      <c r="F14828" t="s">
        <v>1</v>
      </c>
      <c r="G14828" t="s">
        <v>50227</v>
      </c>
      <c r="H14828" t="s">
        <v>50636</v>
      </c>
      <c r="Y14828" t="s">
        <v>50851</v>
      </c>
    </row>
    <row r="14829" spans="1:25" x14ac:dyDescent="0.25">
      <c r="A14829" t="str">
        <f>"85586555512"</f>
        <v>85586555512</v>
      </c>
      <c r="B14829" t="s">
        <v>1617</v>
      </c>
      <c r="C14829" t="s">
        <v>21001</v>
      </c>
      <c r="D14829" t="s">
        <v>21001</v>
      </c>
      <c r="E14829">
        <v>425060</v>
      </c>
      <c r="F14829" t="s">
        <v>1</v>
      </c>
      <c r="G14829" t="s">
        <v>50227</v>
      </c>
      <c r="H14829" t="s">
        <v>50852</v>
      </c>
      <c r="Y14829" t="s">
        <v>50853</v>
      </c>
    </row>
    <row r="14830" spans="1:25" x14ac:dyDescent="0.25">
      <c r="A14830" t="str">
        <f>"86310410911"</f>
        <v>86310410911</v>
      </c>
      <c r="B14830" t="s">
        <v>348</v>
      </c>
      <c r="C14830" t="s">
        <v>4366</v>
      </c>
      <c r="D14830" t="s">
        <v>14703</v>
      </c>
      <c r="E14830">
        <v>425061</v>
      </c>
      <c r="F14830" t="s">
        <v>1</v>
      </c>
      <c r="G14830" t="s">
        <v>50227</v>
      </c>
      <c r="H14830" t="s">
        <v>50286</v>
      </c>
      <c r="Y14830" t="s">
        <v>50854</v>
      </c>
    </row>
    <row r="14831" spans="1:25" x14ac:dyDescent="0.25">
      <c r="A14831" t="str">
        <f>"88086376280"</f>
        <v>88086376280</v>
      </c>
      <c r="B14831" t="s">
        <v>574</v>
      </c>
      <c r="C14831" t="s">
        <v>14269</v>
      </c>
      <c r="D14831" t="s">
        <v>21152</v>
      </c>
      <c r="F14831" t="s">
        <v>1</v>
      </c>
      <c r="G14831" t="s">
        <v>50227</v>
      </c>
      <c r="H14831" t="s">
        <v>50855</v>
      </c>
      <c r="Y14831" t="s">
        <v>50856</v>
      </c>
    </row>
    <row r="14832" spans="1:25" x14ac:dyDescent="0.25">
      <c r="A14832" t="str">
        <f>"88318147292"</f>
        <v>88318147292</v>
      </c>
      <c r="B14832" t="s">
        <v>32</v>
      </c>
      <c r="C14832" t="s">
        <v>182</v>
      </c>
      <c r="D14832" t="s">
        <v>50857</v>
      </c>
      <c r="E14832">
        <v>425060</v>
      </c>
      <c r="F14832" t="s">
        <v>1</v>
      </c>
      <c r="G14832" t="s">
        <v>50227</v>
      </c>
      <c r="H14832" t="s">
        <v>50500</v>
      </c>
      <c r="J14832" t="s">
        <v>50858</v>
      </c>
      <c r="P14832" t="s">
        <v>410</v>
      </c>
      <c r="Y14832" t="s">
        <v>50859</v>
      </c>
    </row>
    <row r="14833" spans="1:25" x14ac:dyDescent="0.25">
      <c r="A14833" t="str">
        <f>"88369984989"</f>
        <v>88369984989</v>
      </c>
      <c r="B14833" t="s">
        <v>32</v>
      </c>
      <c r="C14833" t="s">
        <v>2996</v>
      </c>
      <c r="D14833" t="s">
        <v>24227</v>
      </c>
      <c r="E14833">
        <v>425060</v>
      </c>
      <c r="F14833" t="s">
        <v>1</v>
      </c>
      <c r="G14833" t="s">
        <v>50227</v>
      </c>
      <c r="H14833" t="s">
        <v>50860</v>
      </c>
      <c r="Y14833" t="s">
        <v>50861</v>
      </c>
    </row>
    <row r="14834" spans="1:25" x14ac:dyDescent="0.25">
      <c r="A14834" t="str">
        <f>"88977941375"</f>
        <v>88977941375</v>
      </c>
      <c r="B14834" t="s">
        <v>574</v>
      </c>
      <c r="C14834" t="s">
        <v>9802</v>
      </c>
      <c r="D14834" t="s">
        <v>50836</v>
      </c>
      <c r="E14834">
        <v>425060</v>
      </c>
      <c r="F14834" t="s">
        <v>1</v>
      </c>
      <c r="G14834" t="s">
        <v>50227</v>
      </c>
      <c r="H14834" t="s">
        <v>50266</v>
      </c>
      <c r="Y14834" t="s">
        <v>50270</v>
      </c>
    </row>
    <row r="14835" spans="1:25" x14ac:dyDescent="0.25">
      <c r="A14835" t="str">
        <f>"89941166352"</f>
        <v>89941166352</v>
      </c>
      <c r="B14835" t="s">
        <v>574</v>
      </c>
      <c r="C14835" t="s">
        <v>646</v>
      </c>
      <c r="D14835" t="s">
        <v>28850</v>
      </c>
      <c r="E14835">
        <v>425060</v>
      </c>
      <c r="F14835" t="s">
        <v>1</v>
      </c>
      <c r="G14835" t="s">
        <v>50227</v>
      </c>
      <c r="H14835" t="s">
        <v>50860</v>
      </c>
      <c r="Y14835" t="s">
        <v>50862</v>
      </c>
    </row>
    <row r="14836" spans="1:25" x14ac:dyDescent="0.25">
      <c r="A14836" t="str">
        <f>"91140636876"</f>
        <v>91140636876</v>
      </c>
      <c r="B14836" t="s">
        <v>530</v>
      </c>
      <c r="C14836" t="s">
        <v>23950</v>
      </c>
      <c r="D14836" t="s">
        <v>23950</v>
      </c>
      <c r="E14836">
        <v>425060</v>
      </c>
      <c r="F14836" t="s">
        <v>1</v>
      </c>
      <c r="G14836" t="s">
        <v>50227</v>
      </c>
      <c r="H14836" t="s">
        <v>50863</v>
      </c>
      <c r="Y14836" t="s">
        <v>50864</v>
      </c>
    </row>
    <row r="14837" spans="1:25" x14ac:dyDescent="0.25">
      <c r="A14837" t="str">
        <f>"91304710189"</f>
        <v>91304710189</v>
      </c>
      <c r="B14837" t="s">
        <v>96</v>
      </c>
      <c r="C14837" t="s">
        <v>8578</v>
      </c>
      <c r="D14837" t="s">
        <v>50865</v>
      </c>
      <c r="F14837" t="s">
        <v>1</v>
      </c>
      <c r="G14837" t="s">
        <v>50227</v>
      </c>
      <c r="H14837" t="s">
        <v>50483</v>
      </c>
      <c r="P14837" t="s">
        <v>21891</v>
      </c>
      <c r="Y14837" t="s">
        <v>50866</v>
      </c>
    </row>
    <row r="14838" spans="1:25" x14ac:dyDescent="0.25">
      <c r="A14838" t="str">
        <f>"93258686444"</f>
        <v>93258686444</v>
      </c>
      <c r="B14838" t="s">
        <v>348</v>
      </c>
      <c r="C14838" t="s">
        <v>4366</v>
      </c>
      <c r="D14838" t="s">
        <v>50867</v>
      </c>
      <c r="E14838">
        <v>425060</v>
      </c>
      <c r="F14838" t="s">
        <v>1</v>
      </c>
      <c r="G14838" t="s">
        <v>50227</v>
      </c>
      <c r="H14838" t="s">
        <v>50436</v>
      </c>
      <c r="Y14838" t="s">
        <v>50868</v>
      </c>
    </row>
    <row r="14839" spans="1:25" x14ac:dyDescent="0.25">
      <c r="A14839" t="str">
        <f>"93724747424"</f>
        <v>93724747424</v>
      </c>
      <c r="B14839" t="s">
        <v>530</v>
      </c>
      <c r="C14839" t="s">
        <v>23950</v>
      </c>
      <c r="D14839" t="s">
        <v>23950</v>
      </c>
      <c r="F14839" t="s">
        <v>1</v>
      </c>
      <c r="G14839" t="s">
        <v>50227</v>
      </c>
      <c r="H14839" t="s">
        <v>50613</v>
      </c>
      <c r="Y14839" t="s">
        <v>50869</v>
      </c>
    </row>
    <row r="14840" spans="1:25" x14ac:dyDescent="0.25">
      <c r="A14840" t="str">
        <f>"93765463714"</f>
        <v>93765463714</v>
      </c>
      <c r="B14840" t="s">
        <v>738</v>
      </c>
      <c r="C14840" t="s">
        <v>739</v>
      </c>
      <c r="D14840" t="s">
        <v>50870</v>
      </c>
      <c r="E14840">
        <v>425061</v>
      </c>
      <c r="F14840" t="s">
        <v>1</v>
      </c>
      <c r="G14840" t="s">
        <v>50227</v>
      </c>
      <c r="H14840" t="s">
        <v>50602</v>
      </c>
      <c r="J14840" t="s">
        <v>50871</v>
      </c>
      <c r="M14840" t="s">
        <v>50872</v>
      </c>
      <c r="P14840" t="s">
        <v>23588</v>
      </c>
      <c r="Y14840" t="s">
        <v>50873</v>
      </c>
    </row>
    <row r="14841" spans="1:25" x14ac:dyDescent="0.25">
      <c r="A14841" t="str">
        <f>"93895271898"</f>
        <v>93895271898</v>
      </c>
      <c r="B14841" t="s">
        <v>430</v>
      </c>
      <c r="C14841" t="s">
        <v>612</v>
      </c>
      <c r="D14841" t="s">
        <v>10135</v>
      </c>
      <c r="F14841" t="s">
        <v>1</v>
      </c>
      <c r="G14841" t="s">
        <v>50227</v>
      </c>
      <c r="H14841" t="s">
        <v>50228</v>
      </c>
      <c r="Y14841" t="s">
        <v>50874</v>
      </c>
    </row>
    <row r="14842" spans="1:25" x14ac:dyDescent="0.25">
      <c r="A14842" t="str">
        <f>"94028546820"</f>
        <v>94028546820</v>
      </c>
      <c r="B14842" t="s">
        <v>530</v>
      </c>
      <c r="C14842" t="s">
        <v>23950</v>
      </c>
      <c r="D14842" t="s">
        <v>23950</v>
      </c>
      <c r="F14842" t="s">
        <v>1</v>
      </c>
      <c r="G14842" t="s">
        <v>50227</v>
      </c>
      <c r="H14842" t="s">
        <v>50569</v>
      </c>
      <c r="Y14842" t="s">
        <v>50875</v>
      </c>
    </row>
    <row r="14843" spans="1:25" x14ac:dyDescent="0.25">
      <c r="A14843" t="str">
        <f>"94236172871"</f>
        <v>94236172871</v>
      </c>
      <c r="B14843" t="s">
        <v>96</v>
      </c>
      <c r="C14843" t="s">
        <v>2285</v>
      </c>
      <c r="D14843" t="s">
        <v>50876</v>
      </c>
      <c r="E14843">
        <v>425061</v>
      </c>
      <c r="F14843" t="s">
        <v>1</v>
      </c>
      <c r="G14843" t="s">
        <v>50227</v>
      </c>
      <c r="H14843" t="s">
        <v>50732</v>
      </c>
      <c r="J14843" t="s">
        <v>50877</v>
      </c>
      <c r="P14843" t="s">
        <v>50878</v>
      </c>
      <c r="V14843" t="s">
        <v>50879</v>
      </c>
      <c r="Y14843" t="s">
        <v>50880</v>
      </c>
    </row>
    <row r="14844" spans="1:25" x14ac:dyDescent="0.25">
      <c r="A14844" t="str">
        <f>"95078005248"</f>
        <v>95078005248</v>
      </c>
      <c r="B14844" t="s">
        <v>18</v>
      </c>
      <c r="C14844" t="s">
        <v>13796</v>
      </c>
      <c r="D14844" t="s">
        <v>35317</v>
      </c>
      <c r="E14844">
        <v>425060</v>
      </c>
      <c r="F14844" t="s">
        <v>1</v>
      </c>
      <c r="G14844" t="s">
        <v>50227</v>
      </c>
      <c r="H14844" t="s">
        <v>50558</v>
      </c>
      <c r="J14844" t="s">
        <v>50881</v>
      </c>
      <c r="Y14844" t="s">
        <v>50882</v>
      </c>
    </row>
    <row r="14845" spans="1:25" x14ac:dyDescent="0.25">
      <c r="A14845" t="str">
        <f>"95330812555"</f>
        <v>95330812555</v>
      </c>
      <c r="B14845" t="s">
        <v>290</v>
      </c>
      <c r="C14845" t="s">
        <v>290</v>
      </c>
      <c r="D14845" t="s">
        <v>50665</v>
      </c>
      <c r="E14845">
        <v>425060</v>
      </c>
      <c r="F14845" t="s">
        <v>1</v>
      </c>
      <c r="G14845" t="s">
        <v>50227</v>
      </c>
      <c r="H14845" t="s">
        <v>50883</v>
      </c>
      <c r="Y14845" t="s">
        <v>50884</v>
      </c>
    </row>
    <row r="14846" spans="1:25" x14ac:dyDescent="0.25">
      <c r="A14846" t="str">
        <f>"95383807803"</f>
        <v>95383807803</v>
      </c>
      <c r="B14846" t="s">
        <v>18</v>
      </c>
      <c r="C14846" t="s">
        <v>4522</v>
      </c>
      <c r="D14846" t="s">
        <v>50885</v>
      </c>
      <c r="F14846" t="s">
        <v>1</v>
      </c>
      <c r="G14846" t="s">
        <v>50227</v>
      </c>
      <c r="H14846" t="s">
        <v>50483</v>
      </c>
      <c r="J14846" t="s">
        <v>50886</v>
      </c>
      <c r="P14846" t="s">
        <v>21891</v>
      </c>
      <c r="Y14846" t="s">
        <v>50887</v>
      </c>
    </row>
    <row r="14847" spans="1:25" x14ac:dyDescent="0.25">
      <c r="A14847" t="str">
        <f>"95823181515"</f>
        <v>95823181515</v>
      </c>
      <c r="B14847" t="s">
        <v>2104</v>
      </c>
      <c r="C14847" t="s">
        <v>13387</v>
      </c>
      <c r="D14847" t="s">
        <v>34531</v>
      </c>
      <c r="F14847" t="s">
        <v>1</v>
      </c>
      <c r="G14847" t="s">
        <v>50227</v>
      </c>
      <c r="H14847" t="s">
        <v>50764</v>
      </c>
      <c r="Y14847" t="s">
        <v>50888</v>
      </c>
    </row>
    <row r="14848" spans="1:25" x14ac:dyDescent="0.25">
      <c r="A14848" t="str">
        <f>"96300523553"</f>
        <v>96300523553</v>
      </c>
      <c r="B14848" t="s">
        <v>110</v>
      </c>
      <c r="C14848" t="s">
        <v>38056</v>
      </c>
      <c r="D14848" t="s">
        <v>38056</v>
      </c>
      <c r="E14848">
        <v>425061</v>
      </c>
      <c r="F14848" t="s">
        <v>1</v>
      </c>
      <c r="G14848" t="s">
        <v>50227</v>
      </c>
      <c r="H14848" t="s">
        <v>50732</v>
      </c>
      <c r="Y14848" t="s">
        <v>50889</v>
      </c>
    </row>
    <row r="14849" spans="1:25" x14ac:dyDescent="0.25">
      <c r="A14849" t="str">
        <f>"96346663718"</f>
        <v>96346663718</v>
      </c>
      <c r="B14849" t="s">
        <v>3094</v>
      </c>
      <c r="C14849" t="s">
        <v>50893</v>
      </c>
      <c r="D14849" t="s">
        <v>50890</v>
      </c>
      <c r="F14849" t="s">
        <v>1</v>
      </c>
      <c r="G14849" t="s">
        <v>50227</v>
      </c>
      <c r="H14849" t="s">
        <v>50891</v>
      </c>
      <c r="I14849" t="s">
        <v>50892</v>
      </c>
      <c r="L14849" t="s">
        <v>3001</v>
      </c>
      <c r="M14849" t="s">
        <v>3002</v>
      </c>
      <c r="P14849" t="s">
        <v>330</v>
      </c>
      <c r="Y14849" t="s">
        <v>50894</v>
      </c>
    </row>
    <row r="14850" spans="1:25" x14ac:dyDescent="0.25">
      <c r="A14850" t="str">
        <f>"96398559338"</f>
        <v>96398559338</v>
      </c>
      <c r="B14850" t="s">
        <v>930</v>
      </c>
      <c r="C14850" t="s">
        <v>50896</v>
      </c>
      <c r="D14850" t="s">
        <v>35042</v>
      </c>
      <c r="F14850" t="s">
        <v>1</v>
      </c>
      <c r="G14850" t="s">
        <v>50227</v>
      </c>
      <c r="H14850" t="s">
        <v>50895</v>
      </c>
      <c r="Y14850" t="s">
        <v>50897</v>
      </c>
    </row>
    <row r="14851" spans="1:25" x14ac:dyDescent="0.25">
      <c r="A14851" t="str">
        <f>"96968324605"</f>
        <v>96968324605</v>
      </c>
      <c r="B14851" t="s">
        <v>379</v>
      </c>
      <c r="C14851" t="s">
        <v>4852</v>
      </c>
      <c r="D14851" t="s">
        <v>4852</v>
      </c>
      <c r="E14851">
        <v>425060</v>
      </c>
      <c r="F14851" t="s">
        <v>1</v>
      </c>
      <c r="G14851" t="s">
        <v>50227</v>
      </c>
      <c r="H14851" t="s">
        <v>50558</v>
      </c>
      <c r="P14851" t="s">
        <v>50898</v>
      </c>
      <c r="Y14851" t="s">
        <v>50899</v>
      </c>
    </row>
    <row r="14852" spans="1:25" x14ac:dyDescent="0.25">
      <c r="A14852" t="str">
        <f>"97539709290"</f>
        <v>97539709290</v>
      </c>
      <c r="B14852" t="s">
        <v>160</v>
      </c>
      <c r="C14852" t="s">
        <v>2479</v>
      </c>
      <c r="D14852" t="s">
        <v>50900</v>
      </c>
      <c r="F14852" t="s">
        <v>1</v>
      </c>
      <c r="G14852" t="s">
        <v>50227</v>
      </c>
      <c r="H14852" t="s">
        <v>50901</v>
      </c>
      <c r="Y14852" t="s">
        <v>50902</v>
      </c>
    </row>
    <row r="14853" spans="1:25" x14ac:dyDescent="0.25">
      <c r="A14853" t="str">
        <f>"98823630058"</f>
        <v>98823630058</v>
      </c>
      <c r="B14853" t="s">
        <v>574</v>
      </c>
      <c r="C14853" t="s">
        <v>646</v>
      </c>
      <c r="D14853" t="s">
        <v>29794</v>
      </c>
      <c r="E14853">
        <v>425062</v>
      </c>
      <c r="F14853" t="s">
        <v>1</v>
      </c>
      <c r="G14853" t="s">
        <v>50227</v>
      </c>
      <c r="H14853" t="s">
        <v>50819</v>
      </c>
      <c r="Y14853" t="s">
        <v>50903</v>
      </c>
    </row>
    <row r="14854" spans="1:25" x14ac:dyDescent="0.25">
      <c r="A14854" t="str">
        <f>"99229552149"</f>
        <v>99229552149</v>
      </c>
      <c r="B14854" t="s">
        <v>1046</v>
      </c>
      <c r="C14854" t="s">
        <v>50904</v>
      </c>
      <c r="D14854" t="s">
        <v>2249</v>
      </c>
      <c r="E14854">
        <v>425062</v>
      </c>
      <c r="F14854" t="s">
        <v>1</v>
      </c>
      <c r="G14854" t="s">
        <v>50227</v>
      </c>
      <c r="H14854" t="s">
        <v>50380</v>
      </c>
      <c r="P14854" t="s">
        <v>50905</v>
      </c>
      <c r="Y14854" t="s">
        <v>50906</v>
      </c>
    </row>
    <row r="14855" spans="1:25" x14ac:dyDescent="0.25">
      <c r="A14855" t="str">
        <f>"99336220184"</f>
        <v>99336220184</v>
      </c>
      <c r="B14855" t="s">
        <v>1053</v>
      </c>
      <c r="C14855" t="s">
        <v>1927</v>
      </c>
      <c r="D14855" t="s">
        <v>50907</v>
      </c>
      <c r="F14855" t="s">
        <v>1</v>
      </c>
      <c r="G14855" t="s">
        <v>50227</v>
      </c>
      <c r="H14855" t="s">
        <v>50908</v>
      </c>
      <c r="Y14855" t="s">
        <v>50909</v>
      </c>
    </row>
    <row r="14856" spans="1:25" x14ac:dyDescent="0.25">
      <c r="A14856" t="str">
        <f>"99869493130"</f>
        <v>99869493130</v>
      </c>
      <c r="B14856" t="s">
        <v>530</v>
      </c>
      <c r="C14856" t="s">
        <v>23950</v>
      </c>
      <c r="D14856" t="s">
        <v>23950</v>
      </c>
      <c r="F14856" t="s">
        <v>1</v>
      </c>
      <c r="G14856" t="s">
        <v>50227</v>
      </c>
      <c r="H14856" t="s">
        <v>50910</v>
      </c>
      <c r="Y14856" t="s">
        <v>50911</v>
      </c>
    </row>
    <row r="14857" spans="1:25" x14ac:dyDescent="0.25">
      <c r="A14857" t="str">
        <f>"100072003795"</f>
        <v>100072003795</v>
      </c>
      <c r="B14857" t="s">
        <v>96</v>
      </c>
      <c r="C14857" t="s">
        <v>507</v>
      </c>
      <c r="D14857" t="s">
        <v>2217</v>
      </c>
      <c r="E14857">
        <v>425060</v>
      </c>
      <c r="F14857" t="s">
        <v>1</v>
      </c>
      <c r="G14857" t="s">
        <v>50227</v>
      </c>
      <c r="H14857" t="s">
        <v>50451</v>
      </c>
      <c r="Y14857" t="s">
        <v>50912</v>
      </c>
    </row>
    <row r="14858" spans="1:25" x14ac:dyDescent="0.25">
      <c r="A14858" t="str">
        <f>"100274022979"</f>
        <v>100274022979</v>
      </c>
      <c r="B14858" t="s">
        <v>790</v>
      </c>
      <c r="C14858" t="s">
        <v>50916</v>
      </c>
      <c r="D14858" t="s">
        <v>50913</v>
      </c>
      <c r="F14858" t="s">
        <v>1</v>
      </c>
      <c r="G14858" t="s">
        <v>50227</v>
      </c>
      <c r="H14858" t="s">
        <v>50636</v>
      </c>
      <c r="J14858" t="s">
        <v>50914</v>
      </c>
      <c r="L14858" t="s">
        <v>50915</v>
      </c>
      <c r="P14858" t="s">
        <v>1514</v>
      </c>
      <c r="Q14858" t="s">
        <v>50917</v>
      </c>
      <c r="V14858" t="s">
        <v>50918</v>
      </c>
      <c r="Y14858" t="s">
        <v>50919</v>
      </c>
    </row>
    <row r="14859" spans="1:25" x14ac:dyDescent="0.25">
      <c r="A14859" t="str">
        <f>"101636808866"</f>
        <v>101636808866</v>
      </c>
      <c r="B14859" t="s">
        <v>530</v>
      </c>
      <c r="C14859" t="s">
        <v>23950</v>
      </c>
      <c r="D14859" t="s">
        <v>23950</v>
      </c>
      <c r="F14859" t="s">
        <v>1</v>
      </c>
      <c r="G14859" t="s">
        <v>50227</v>
      </c>
      <c r="H14859" t="s">
        <v>50920</v>
      </c>
      <c r="Y14859" t="s">
        <v>50921</v>
      </c>
    </row>
    <row r="14860" spans="1:25" x14ac:dyDescent="0.25">
      <c r="A14860" t="str">
        <f>"101736407992"</f>
        <v>101736407992</v>
      </c>
      <c r="B14860" t="s">
        <v>574</v>
      </c>
      <c r="C14860" t="s">
        <v>646</v>
      </c>
      <c r="D14860" t="s">
        <v>50922</v>
      </c>
      <c r="F14860" t="s">
        <v>1</v>
      </c>
      <c r="G14860" t="s">
        <v>50227</v>
      </c>
      <c r="H14860" t="s">
        <v>50630</v>
      </c>
      <c r="Y14860" t="s">
        <v>50632</v>
      </c>
    </row>
    <row r="14861" spans="1:25" x14ac:dyDescent="0.25">
      <c r="A14861" t="str">
        <f>"101770772675"</f>
        <v>101770772675</v>
      </c>
      <c r="B14861" t="s">
        <v>738</v>
      </c>
      <c r="C14861" t="s">
        <v>739</v>
      </c>
      <c r="D14861" t="s">
        <v>2578</v>
      </c>
      <c r="F14861" t="s">
        <v>1</v>
      </c>
      <c r="G14861" t="s">
        <v>50227</v>
      </c>
      <c r="H14861" t="s">
        <v>50923</v>
      </c>
      <c r="Y14861" t="s">
        <v>50924</v>
      </c>
    </row>
    <row r="14862" spans="1:25" x14ac:dyDescent="0.25">
      <c r="A14862" t="str">
        <f>"102744424375"</f>
        <v>102744424375</v>
      </c>
      <c r="B14862" t="s">
        <v>1617</v>
      </c>
      <c r="C14862" t="s">
        <v>1618</v>
      </c>
      <c r="D14862" t="s">
        <v>836</v>
      </c>
      <c r="E14862">
        <v>425060</v>
      </c>
      <c r="F14862" t="s">
        <v>1</v>
      </c>
      <c r="G14862" t="s">
        <v>50227</v>
      </c>
      <c r="H14862" t="s">
        <v>50725</v>
      </c>
      <c r="Y14862" t="s">
        <v>50925</v>
      </c>
    </row>
    <row r="14863" spans="1:25" x14ac:dyDescent="0.25">
      <c r="A14863" t="str">
        <f>"103342388778"</f>
        <v>103342388778</v>
      </c>
      <c r="B14863" t="s">
        <v>574</v>
      </c>
      <c r="C14863" t="s">
        <v>646</v>
      </c>
      <c r="D14863" t="s">
        <v>50926</v>
      </c>
      <c r="E14863">
        <v>425060</v>
      </c>
      <c r="F14863" t="s">
        <v>1</v>
      </c>
      <c r="G14863" t="s">
        <v>50227</v>
      </c>
      <c r="H14863" t="s">
        <v>50725</v>
      </c>
      <c r="P14863" t="s">
        <v>3690</v>
      </c>
      <c r="Y14863" t="s">
        <v>50927</v>
      </c>
    </row>
    <row r="14864" spans="1:25" x14ac:dyDescent="0.25">
      <c r="A14864" t="str">
        <f>"104168708810"</f>
        <v>104168708810</v>
      </c>
      <c r="B14864" t="s">
        <v>2062</v>
      </c>
      <c r="C14864" t="s">
        <v>3293</v>
      </c>
      <c r="D14864" t="s">
        <v>50928</v>
      </c>
      <c r="E14864">
        <v>425061</v>
      </c>
      <c r="F14864" t="s">
        <v>1</v>
      </c>
      <c r="G14864" t="s">
        <v>50227</v>
      </c>
      <c r="H14864" t="s">
        <v>50627</v>
      </c>
      <c r="Y14864" t="s">
        <v>50929</v>
      </c>
    </row>
    <row r="14865" spans="1:25" x14ac:dyDescent="0.25">
      <c r="A14865" t="str">
        <f>"104542417667"</f>
        <v>104542417667</v>
      </c>
      <c r="B14865" t="s">
        <v>738</v>
      </c>
      <c r="C14865" t="s">
        <v>739</v>
      </c>
      <c r="D14865" t="s">
        <v>2578</v>
      </c>
      <c r="F14865" t="s">
        <v>1</v>
      </c>
      <c r="G14865" t="s">
        <v>50227</v>
      </c>
      <c r="H14865" t="s">
        <v>50930</v>
      </c>
      <c r="Y14865" t="s">
        <v>50931</v>
      </c>
    </row>
    <row r="14866" spans="1:25" x14ac:dyDescent="0.25">
      <c r="A14866" t="str">
        <f>"104732107868"</f>
        <v>104732107868</v>
      </c>
      <c r="B14866" t="s">
        <v>624</v>
      </c>
      <c r="C14866" t="s">
        <v>50933</v>
      </c>
      <c r="D14866" t="s">
        <v>50932</v>
      </c>
      <c r="E14866">
        <v>425060</v>
      </c>
      <c r="F14866" t="s">
        <v>1</v>
      </c>
      <c r="G14866" t="s">
        <v>50227</v>
      </c>
      <c r="H14866" t="s">
        <v>50605</v>
      </c>
      <c r="P14866" t="s">
        <v>2710</v>
      </c>
      <c r="Y14866" t="s">
        <v>50934</v>
      </c>
    </row>
    <row r="14867" spans="1:25" x14ac:dyDescent="0.25">
      <c r="A14867" t="str">
        <f>"105046812268"</f>
        <v>105046812268</v>
      </c>
      <c r="B14867" t="s">
        <v>96</v>
      </c>
      <c r="C14867" t="s">
        <v>24042</v>
      </c>
      <c r="D14867" t="s">
        <v>50935</v>
      </c>
      <c r="E14867">
        <v>425060</v>
      </c>
      <c r="F14867" t="s">
        <v>1</v>
      </c>
      <c r="G14867" t="s">
        <v>50227</v>
      </c>
      <c r="H14867" t="s">
        <v>50574</v>
      </c>
      <c r="Y14867" t="s">
        <v>50936</v>
      </c>
    </row>
    <row r="14868" spans="1:25" x14ac:dyDescent="0.25">
      <c r="A14868" t="str">
        <f>"105743902849"</f>
        <v>105743902849</v>
      </c>
      <c r="B14868" t="s">
        <v>930</v>
      </c>
      <c r="C14868" t="s">
        <v>10263</v>
      </c>
      <c r="D14868" t="s">
        <v>10263</v>
      </c>
      <c r="E14868">
        <v>425061</v>
      </c>
      <c r="F14868" t="s">
        <v>1</v>
      </c>
      <c r="G14868" t="s">
        <v>50227</v>
      </c>
      <c r="H14868" t="s">
        <v>50602</v>
      </c>
      <c r="Y14868" t="s">
        <v>50937</v>
      </c>
    </row>
    <row r="14869" spans="1:25" x14ac:dyDescent="0.25">
      <c r="A14869" t="str">
        <f>"105916484806"</f>
        <v>105916484806</v>
      </c>
      <c r="B14869" t="s">
        <v>176</v>
      </c>
      <c r="C14869" t="s">
        <v>279</v>
      </c>
      <c r="D14869" t="s">
        <v>50938</v>
      </c>
      <c r="F14869" t="s">
        <v>1</v>
      </c>
      <c r="G14869" t="s">
        <v>50227</v>
      </c>
      <c r="H14869" t="s">
        <v>50939</v>
      </c>
      <c r="Y14869" t="s">
        <v>50940</v>
      </c>
    </row>
    <row r="14870" spans="1:25" x14ac:dyDescent="0.25">
      <c r="A14870" t="str">
        <f>"107570070771"</f>
        <v>107570070771</v>
      </c>
      <c r="B14870" t="s">
        <v>18</v>
      </c>
      <c r="C14870" t="s">
        <v>17465</v>
      </c>
      <c r="D14870" t="s">
        <v>50941</v>
      </c>
      <c r="E14870">
        <v>425060</v>
      </c>
      <c r="F14870" t="s">
        <v>1</v>
      </c>
      <c r="G14870" t="s">
        <v>50227</v>
      </c>
      <c r="H14870" t="s">
        <v>50749</v>
      </c>
      <c r="Y14870" t="s">
        <v>50942</v>
      </c>
    </row>
    <row r="14871" spans="1:25" x14ac:dyDescent="0.25">
      <c r="A14871" t="str">
        <f>"108291450477"</f>
        <v>108291450477</v>
      </c>
      <c r="B14871" t="s">
        <v>3908</v>
      </c>
      <c r="C14871" t="s">
        <v>3909</v>
      </c>
      <c r="D14871" t="s">
        <v>50943</v>
      </c>
      <c r="E14871">
        <v>425060</v>
      </c>
      <c r="F14871" t="s">
        <v>1</v>
      </c>
      <c r="G14871" t="s">
        <v>50227</v>
      </c>
      <c r="H14871" t="s">
        <v>50944</v>
      </c>
      <c r="I14871" t="s">
        <v>50945</v>
      </c>
      <c r="L14871" t="s">
        <v>50946</v>
      </c>
      <c r="M14871" t="s">
        <v>50947</v>
      </c>
      <c r="P14871" t="s">
        <v>19495</v>
      </c>
      <c r="Y14871" t="s">
        <v>50948</v>
      </c>
    </row>
    <row r="14872" spans="1:25" x14ac:dyDescent="0.25">
      <c r="A14872" t="str">
        <f>"109401704727"</f>
        <v>109401704727</v>
      </c>
      <c r="B14872" t="s">
        <v>290</v>
      </c>
      <c r="C14872" t="s">
        <v>290</v>
      </c>
      <c r="D14872" t="s">
        <v>50949</v>
      </c>
      <c r="E14872">
        <v>425061</v>
      </c>
      <c r="F14872" t="s">
        <v>1</v>
      </c>
      <c r="G14872" t="s">
        <v>50227</v>
      </c>
      <c r="H14872" t="s">
        <v>50286</v>
      </c>
      <c r="J14872" t="s">
        <v>50950</v>
      </c>
      <c r="Y14872" t="s">
        <v>50951</v>
      </c>
    </row>
    <row r="14873" spans="1:25" x14ac:dyDescent="0.25">
      <c r="A14873" t="str">
        <f>"110048912486"</f>
        <v>110048912486</v>
      </c>
      <c r="B14873" t="s">
        <v>1573</v>
      </c>
      <c r="C14873" t="s">
        <v>1753</v>
      </c>
      <c r="D14873" t="s">
        <v>25126</v>
      </c>
      <c r="E14873">
        <v>425060</v>
      </c>
      <c r="F14873" t="s">
        <v>1</v>
      </c>
      <c r="G14873" t="s">
        <v>50227</v>
      </c>
      <c r="H14873" t="s">
        <v>50725</v>
      </c>
      <c r="Y14873" t="s">
        <v>50952</v>
      </c>
    </row>
    <row r="14874" spans="1:25" x14ac:dyDescent="0.25">
      <c r="A14874" t="str">
        <f>"112317533161"</f>
        <v>112317533161</v>
      </c>
      <c r="B14874" t="s">
        <v>1152</v>
      </c>
      <c r="C14874" t="s">
        <v>1385</v>
      </c>
      <c r="D14874" t="s">
        <v>50953</v>
      </c>
      <c r="F14874" t="s">
        <v>1</v>
      </c>
      <c r="G14874" t="s">
        <v>50227</v>
      </c>
      <c r="H14874" t="s">
        <v>50683</v>
      </c>
      <c r="Y14874" t="s">
        <v>50954</v>
      </c>
    </row>
    <row r="14875" spans="1:25" x14ac:dyDescent="0.25">
      <c r="A14875" t="str">
        <f>"112396920232"</f>
        <v>112396920232</v>
      </c>
      <c r="B14875" t="s">
        <v>530</v>
      </c>
      <c r="C14875" t="s">
        <v>23950</v>
      </c>
      <c r="D14875" t="s">
        <v>23950</v>
      </c>
      <c r="F14875" t="s">
        <v>1</v>
      </c>
      <c r="G14875" t="s">
        <v>50227</v>
      </c>
      <c r="H14875" t="s">
        <v>50683</v>
      </c>
      <c r="Y14875" t="s">
        <v>50955</v>
      </c>
    </row>
    <row r="14876" spans="1:25" x14ac:dyDescent="0.25">
      <c r="A14876" t="str">
        <f>"112432623467"</f>
        <v>112432623467</v>
      </c>
      <c r="B14876" t="s">
        <v>117</v>
      </c>
      <c r="C14876" t="s">
        <v>873</v>
      </c>
      <c r="D14876" t="s">
        <v>873</v>
      </c>
      <c r="E14876">
        <v>425061</v>
      </c>
      <c r="F14876" t="s">
        <v>1</v>
      </c>
      <c r="G14876" t="s">
        <v>50227</v>
      </c>
      <c r="H14876" t="s">
        <v>50602</v>
      </c>
      <c r="Y14876" t="s">
        <v>50956</v>
      </c>
    </row>
    <row r="14877" spans="1:25" x14ac:dyDescent="0.25">
      <c r="A14877" t="str">
        <f>"112884004176"</f>
        <v>112884004176</v>
      </c>
      <c r="B14877" t="s">
        <v>110</v>
      </c>
      <c r="C14877" t="s">
        <v>111</v>
      </c>
      <c r="D14877" t="s">
        <v>50957</v>
      </c>
      <c r="E14877">
        <v>425060</v>
      </c>
      <c r="F14877" t="s">
        <v>1</v>
      </c>
      <c r="G14877" t="s">
        <v>50227</v>
      </c>
      <c r="H14877" t="s">
        <v>50451</v>
      </c>
      <c r="Y14877" t="s">
        <v>50958</v>
      </c>
    </row>
    <row r="14878" spans="1:25" x14ac:dyDescent="0.25">
      <c r="A14878" t="str">
        <f>"113804480110"</f>
        <v>113804480110</v>
      </c>
      <c r="B14878" t="s">
        <v>80</v>
      </c>
      <c r="C14878" t="s">
        <v>50962</v>
      </c>
      <c r="D14878" t="s">
        <v>50959</v>
      </c>
      <c r="F14878" t="s">
        <v>1</v>
      </c>
      <c r="G14878" t="s">
        <v>50227</v>
      </c>
      <c r="H14878" t="s">
        <v>50960</v>
      </c>
      <c r="I14878" t="s">
        <v>50961</v>
      </c>
      <c r="P14878" t="s">
        <v>2738</v>
      </c>
      <c r="Y14878" t="s">
        <v>50963</v>
      </c>
    </row>
    <row r="14879" spans="1:25" x14ac:dyDescent="0.25">
      <c r="A14879" t="str">
        <f>"115449072234"</f>
        <v>115449072234</v>
      </c>
      <c r="B14879" t="s">
        <v>930</v>
      </c>
      <c r="C14879" t="s">
        <v>6070</v>
      </c>
      <c r="D14879" t="s">
        <v>20039</v>
      </c>
      <c r="E14879">
        <v>425061</v>
      </c>
      <c r="F14879" t="s">
        <v>1</v>
      </c>
      <c r="G14879" t="s">
        <v>50227</v>
      </c>
      <c r="H14879" t="s">
        <v>50964</v>
      </c>
      <c r="J14879" t="s">
        <v>50965</v>
      </c>
      <c r="M14879" t="s">
        <v>50966</v>
      </c>
      <c r="P14879" t="s">
        <v>330</v>
      </c>
      <c r="Y14879" t="s">
        <v>50967</v>
      </c>
    </row>
    <row r="14880" spans="1:25" x14ac:dyDescent="0.25">
      <c r="A14880" t="str">
        <f>"116886149348"</f>
        <v>116886149348</v>
      </c>
      <c r="B14880" t="s">
        <v>3094</v>
      </c>
      <c r="C14880" t="s">
        <v>3095</v>
      </c>
      <c r="D14880" t="s">
        <v>50968</v>
      </c>
      <c r="E14880">
        <v>425060</v>
      </c>
      <c r="F14880" t="s">
        <v>1</v>
      </c>
      <c r="G14880" t="s">
        <v>50227</v>
      </c>
      <c r="H14880" t="s">
        <v>50969</v>
      </c>
      <c r="Y14880" t="s">
        <v>50970</v>
      </c>
    </row>
    <row r="14881" spans="1:25" x14ac:dyDescent="0.25">
      <c r="A14881" t="str">
        <f>"117659498426"</f>
        <v>117659498426</v>
      </c>
      <c r="B14881" t="s">
        <v>530</v>
      </c>
      <c r="C14881" t="s">
        <v>23950</v>
      </c>
      <c r="D14881" t="s">
        <v>23950</v>
      </c>
      <c r="F14881" t="s">
        <v>1</v>
      </c>
      <c r="G14881" t="s">
        <v>50227</v>
      </c>
      <c r="H14881" t="s">
        <v>50683</v>
      </c>
      <c r="Y14881" t="s">
        <v>50971</v>
      </c>
    </row>
    <row r="14882" spans="1:25" x14ac:dyDescent="0.25">
      <c r="A14882" t="str">
        <f>"118331940089"</f>
        <v>118331940089</v>
      </c>
      <c r="B14882" t="s">
        <v>2864</v>
      </c>
      <c r="C14882" t="s">
        <v>50719</v>
      </c>
      <c r="D14882" t="s">
        <v>50972</v>
      </c>
      <c r="E14882">
        <v>425062</v>
      </c>
      <c r="F14882" t="s">
        <v>1</v>
      </c>
      <c r="G14882" t="s">
        <v>50227</v>
      </c>
      <c r="H14882" t="s">
        <v>50973</v>
      </c>
      <c r="Y14882" t="s">
        <v>50974</v>
      </c>
    </row>
    <row r="14883" spans="1:25" x14ac:dyDescent="0.25">
      <c r="A14883" t="str">
        <f>"118401928736"</f>
        <v>118401928736</v>
      </c>
      <c r="B14883" t="s">
        <v>574</v>
      </c>
      <c r="C14883" t="s">
        <v>23462</v>
      </c>
      <c r="D14883" t="s">
        <v>27898</v>
      </c>
      <c r="E14883">
        <v>425060</v>
      </c>
      <c r="F14883" t="s">
        <v>1</v>
      </c>
      <c r="G14883" t="s">
        <v>50227</v>
      </c>
      <c r="H14883" t="s">
        <v>50605</v>
      </c>
      <c r="Y14883" t="s">
        <v>50975</v>
      </c>
    </row>
    <row r="14884" spans="1:25" x14ac:dyDescent="0.25">
      <c r="A14884" t="str">
        <f>"118859019714"</f>
        <v>118859019714</v>
      </c>
      <c r="B14884" t="s">
        <v>348</v>
      </c>
      <c r="C14884" t="s">
        <v>50978</v>
      </c>
      <c r="D14884" t="s">
        <v>50976</v>
      </c>
      <c r="E14884">
        <v>425060</v>
      </c>
      <c r="F14884" t="s">
        <v>1</v>
      </c>
      <c r="G14884" t="s">
        <v>50227</v>
      </c>
      <c r="H14884" t="s">
        <v>50558</v>
      </c>
      <c r="J14884" t="s">
        <v>50977</v>
      </c>
      <c r="P14884" t="s">
        <v>13994</v>
      </c>
      <c r="Y14884" t="s">
        <v>50560</v>
      </c>
    </row>
    <row r="14885" spans="1:25" x14ac:dyDescent="0.25">
      <c r="A14885" t="str">
        <f>"119436457242"</f>
        <v>119436457242</v>
      </c>
      <c r="B14885" t="s">
        <v>117</v>
      </c>
      <c r="C14885" t="s">
        <v>118</v>
      </c>
      <c r="D14885" t="s">
        <v>50979</v>
      </c>
      <c r="F14885" t="s">
        <v>1</v>
      </c>
      <c r="G14885" t="s">
        <v>50227</v>
      </c>
      <c r="H14885" t="s">
        <v>50578</v>
      </c>
      <c r="Y14885" t="s">
        <v>50980</v>
      </c>
    </row>
    <row r="14886" spans="1:25" x14ac:dyDescent="0.25">
      <c r="A14886" t="str">
        <f>"119444562373"</f>
        <v>119444562373</v>
      </c>
      <c r="B14886" t="s">
        <v>930</v>
      </c>
      <c r="C14886" t="s">
        <v>927</v>
      </c>
      <c r="D14886" t="s">
        <v>927</v>
      </c>
      <c r="E14886">
        <v>425061</v>
      </c>
      <c r="F14886" t="s">
        <v>1</v>
      </c>
      <c r="G14886" t="s">
        <v>50227</v>
      </c>
      <c r="H14886" t="s">
        <v>50602</v>
      </c>
      <c r="Y14886" t="s">
        <v>50981</v>
      </c>
    </row>
    <row r="14887" spans="1:25" x14ac:dyDescent="0.25">
      <c r="A14887" t="str">
        <f>"119542197408"</f>
        <v>119542197408</v>
      </c>
      <c r="B14887" t="s">
        <v>1611</v>
      </c>
      <c r="C14887" t="s">
        <v>2214</v>
      </c>
      <c r="D14887" t="s">
        <v>50982</v>
      </c>
      <c r="E14887">
        <v>425060</v>
      </c>
      <c r="F14887" t="s">
        <v>1</v>
      </c>
      <c r="G14887" t="s">
        <v>50227</v>
      </c>
      <c r="H14887" t="s">
        <v>50431</v>
      </c>
      <c r="Y14887" t="s">
        <v>50983</v>
      </c>
    </row>
    <row r="14888" spans="1:25" x14ac:dyDescent="0.25">
      <c r="A14888" t="str">
        <f>"120592527426"</f>
        <v>120592527426</v>
      </c>
      <c r="B14888" t="s">
        <v>18</v>
      </c>
      <c r="C14888" t="s">
        <v>143</v>
      </c>
      <c r="D14888" t="s">
        <v>27480</v>
      </c>
      <c r="F14888" t="s">
        <v>1</v>
      </c>
      <c r="G14888" t="s">
        <v>50227</v>
      </c>
      <c r="H14888" t="s">
        <v>50984</v>
      </c>
      <c r="P14888" t="s">
        <v>8655</v>
      </c>
      <c r="Y14888" t="s">
        <v>50985</v>
      </c>
    </row>
    <row r="14889" spans="1:25" x14ac:dyDescent="0.25">
      <c r="A14889" t="str">
        <f>"120593190180"</f>
        <v>120593190180</v>
      </c>
      <c r="B14889" t="s">
        <v>96</v>
      </c>
      <c r="C14889" t="s">
        <v>15131</v>
      </c>
      <c r="D14889" t="s">
        <v>38451</v>
      </c>
      <c r="F14889" t="s">
        <v>1</v>
      </c>
      <c r="G14889" t="s">
        <v>50227</v>
      </c>
      <c r="H14889" t="s">
        <v>50986</v>
      </c>
      <c r="Y14889" t="s">
        <v>50987</v>
      </c>
    </row>
    <row r="14890" spans="1:25" x14ac:dyDescent="0.25">
      <c r="A14890" t="str">
        <f>"121333756657"</f>
        <v>121333756657</v>
      </c>
      <c r="B14890" t="s">
        <v>290</v>
      </c>
      <c r="C14890" t="s">
        <v>290</v>
      </c>
      <c r="D14890" t="s">
        <v>28272</v>
      </c>
      <c r="E14890">
        <v>425060</v>
      </c>
      <c r="F14890" t="s">
        <v>1</v>
      </c>
      <c r="G14890" t="s">
        <v>50227</v>
      </c>
      <c r="H14890" t="s">
        <v>50599</v>
      </c>
      <c r="P14890" t="s">
        <v>50988</v>
      </c>
      <c r="Y14890" t="s">
        <v>50989</v>
      </c>
    </row>
    <row r="14891" spans="1:25" x14ac:dyDescent="0.25">
      <c r="A14891" t="str">
        <f>"122169488411"</f>
        <v>122169488411</v>
      </c>
      <c r="B14891" t="s">
        <v>3544</v>
      </c>
      <c r="C14891" t="s">
        <v>11303</v>
      </c>
      <c r="D14891" t="s">
        <v>50990</v>
      </c>
      <c r="E14891">
        <v>425060</v>
      </c>
      <c r="F14891" t="s">
        <v>1</v>
      </c>
      <c r="G14891" t="s">
        <v>50227</v>
      </c>
      <c r="H14891" t="s">
        <v>50451</v>
      </c>
      <c r="P14891" t="s">
        <v>280</v>
      </c>
      <c r="Y14891" t="s">
        <v>50991</v>
      </c>
    </row>
    <row r="14892" spans="1:25" x14ac:dyDescent="0.25">
      <c r="A14892" t="str">
        <f>"122531941899"</f>
        <v>122531941899</v>
      </c>
      <c r="B14892" t="s">
        <v>530</v>
      </c>
      <c r="C14892" t="s">
        <v>23950</v>
      </c>
      <c r="D14892" t="s">
        <v>23950</v>
      </c>
      <c r="F14892" t="s">
        <v>1</v>
      </c>
      <c r="G14892" t="s">
        <v>50227</v>
      </c>
      <c r="H14892" t="s">
        <v>50992</v>
      </c>
      <c r="Y14892" t="s">
        <v>50993</v>
      </c>
    </row>
    <row r="14893" spans="1:25" x14ac:dyDescent="0.25">
      <c r="A14893" t="str">
        <f>"122624394914"</f>
        <v>122624394914</v>
      </c>
      <c r="B14893" t="s">
        <v>1152</v>
      </c>
      <c r="C14893" t="s">
        <v>18252</v>
      </c>
      <c r="D14893" t="s">
        <v>50994</v>
      </c>
      <c r="E14893">
        <v>425062</v>
      </c>
      <c r="F14893" t="s">
        <v>1</v>
      </c>
      <c r="G14893" t="s">
        <v>50227</v>
      </c>
      <c r="H14893" t="s">
        <v>50814</v>
      </c>
      <c r="Y14893" t="s">
        <v>50995</v>
      </c>
    </row>
    <row r="14894" spans="1:25" x14ac:dyDescent="0.25">
      <c r="A14894" t="str">
        <f>"122992771163"</f>
        <v>122992771163</v>
      </c>
      <c r="B14894" t="s">
        <v>4084</v>
      </c>
      <c r="C14894" t="s">
        <v>7951</v>
      </c>
      <c r="D14894" t="s">
        <v>50996</v>
      </c>
      <c r="E14894">
        <v>425060</v>
      </c>
      <c r="F14894" t="s">
        <v>1</v>
      </c>
      <c r="G14894" t="s">
        <v>50227</v>
      </c>
      <c r="H14894" t="s">
        <v>50997</v>
      </c>
      <c r="M14894" t="s">
        <v>50464</v>
      </c>
      <c r="P14894" t="s">
        <v>50998</v>
      </c>
      <c r="Y14894" t="s">
        <v>50999</v>
      </c>
    </row>
    <row r="14895" spans="1:25" x14ac:dyDescent="0.25">
      <c r="A14895" t="str">
        <f>"123136525724"</f>
        <v>123136525724</v>
      </c>
      <c r="B14895" t="s">
        <v>379</v>
      </c>
      <c r="C14895" t="s">
        <v>766</v>
      </c>
      <c r="D14895" t="s">
        <v>51000</v>
      </c>
      <c r="E14895">
        <v>425060</v>
      </c>
      <c r="F14895" t="s">
        <v>1</v>
      </c>
      <c r="G14895" t="s">
        <v>50227</v>
      </c>
      <c r="H14895" t="s">
        <v>50558</v>
      </c>
      <c r="L14895" t="s">
        <v>33387</v>
      </c>
      <c r="M14895" t="s">
        <v>51001</v>
      </c>
      <c r="Y14895" t="s">
        <v>51002</v>
      </c>
    </row>
    <row r="14896" spans="1:25" x14ac:dyDescent="0.25">
      <c r="A14896" t="str">
        <f>"123411980318"</f>
        <v>123411980318</v>
      </c>
      <c r="B14896" t="s">
        <v>738</v>
      </c>
      <c r="C14896" t="s">
        <v>739</v>
      </c>
      <c r="D14896" t="s">
        <v>51003</v>
      </c>
      <c r="E14896">
        <v>425061</v>
      </c>
      <c r="F14896" t="s">
        <v>1</v>
      </c>
      <c r="G14896" t="s">
        <v>50227</v>
      </c>
      <c r="H14896" t="s">
        <v>50923</v>
      </c>
      <c r="P14896" t="s">
        <v>605</v>
      </c>
      <c r="Y14896" t="s">
        <v>51004</v>
      </c>
    </row>
    <row r="14897" spans="1:25" x14ac:dyDescent="0.25">
      <c r="A14897" t="str">
        <f>"124118700317"</f>
        <v>124118700317</v>
      </c>
      <c r="B14897" t="s">
        <v>1352</v>
      </c>
      <c r="C14897" t="s">
        <v>1353</v>
      </c>
      <c r="D14897" t="s">
        <v>51005</v>
      </c>
      <c r="F14897" t="s">
        <v>1</v>
      </c>
      <c r="G14897" t="s">
        <v>50227</v>
      </c>
      <c r="H14897" t="s">
        <v>50633</v>
      </c>
      <c r="Y14897" t="s">
        <v>51006</v>
      </c>
    </row>
    <row r="14898" spans="1:25" x14ac:dyDescent="0.25">
      <c r="A14898" t="str">
        <f>"124470687275"</f>
        <v>124470687275</v>
      </c>
      <c r="B14898" t="s">
        <v>530</v>
      </c>
      <c r="C14898" t="s">
        <v>23950</v>
      </c>
      <c r="D14898" t="s">
        <v>23950</v>
      </c>
      <c r="F14898" t="s">
        <v>1</v>
      </c>
      <c r="G14898" t="s">
        <v>50227</v>
      </c>
      <c r="H14898" t="s">
        <v>50920</v>
      </c>
      <c r="Y14898" t="s">
        <v>51007</v>
      </c>
    </row>
    <row r="14899" spans="1:25" x14ac:dyDescent="0.25">
      <c r="A14899" t="str">
        <f>"127970123489"</f>
        <v>127970123489</v>
      </c>
      <c r="B14899" t="s">
        <v>176</v>
      </c>
      <c r="C14899" t="s">
        <v>279</v>
      </c>
      <c r="D14899" t="s">
        <v>51008</v>
      </c>
      <c r="F14899" t="s">
        <v>1</v>
      </c>
      <c r="G14899" t="s">
        <v>50227</v>
      </c>
      <c r="H14899" t="s">
        <v>51009</v>
      </c>
      <c r="P14899" t="s">
        <v>330</v>
      </c>
      <c r="Y14899" t="s">
        <v>51010</v>
      </c>
    </row>
    <row r="14900" spans="1:25" x14ac:dyDescent="0.25">
      <c r="A14900" t="str">
        <f>"129442529778"</f>
        <v>129442529778</v>
      </c>
      <c r="B14900" t="s">
        <v>530</v>
      </c>
      <c r="C14900" t="s">
        <v>23950</v>
      </c>
      <c r="D14900" t="s">
        <v>23950</v>
      </c>
      <c r="F14900" t="s">
        <v>1</v>
      </c>
      <c r="G14900" t="s">
        <v>50227</v>
      </c>
      <c r="H14900" t="s">
        <v>50764</v>
      </c>
      <c r="Y14900" t="s">
        <v>51011</v>
      </c>
    </row>
    <row r="14901" spans="1:25" x14ac:dyDescent="0.25">
      <c r="A14901" t="str">
        <f>"130712828674"</f>
        <v>130712828674</v>
      </c>
      <c r="B14901" t="s">
        <v>574</v>
      </c>
      <c r="C14901" t="s">
        <v>14269</v>
      </c>
      <c r="D14901" t="s">
        <v>24316</v>
      </c>
      <c r="E14901">
        <v>425061</v>
      </c>
      <c r="F14901" t="s">
        <v>1</v>
      </c>
      <c r="G14901" t="s">
        <v>50227</v>
      </c>
      <c r="H14901" t="s">
        <v>51012</v>
      </c>
      <c r="Y14901" t="s">
        <v>51013</v>
      </c>
    </row>
    <row r="14902" spans="1:25" x14ac:dyDescent="0.25">
      <c r="A14902" t="str">
        <f>"132142957664"</f>
        <v>132142957664</v>
      </c>
      <c r="B14902" t="s">
        <v>1352</v>
      </c>
      <c r="C14902" t="s">
        <v>2093</v>
      </c>
      <c r="D14902" t="s">
        <v>6723</v>
      </c>
      <c r="E14902">
        <v>425061</v>
      </c>
      <c r="F14902" t="s">
        <v>1</v>
      </c>
      <c r="G14902" t="s">
        <v>50227</v>
      </c>
      <c r="H14902" t="s">
        <v>50241</v>
      </c>
      <c r="Y14902" t="s">
        <v>51014</v>
      </c>
    </row>
    <row r="14903" spans="1:25" x14ac:dyDescent="0.25">
      <c r="A14903" t="str">
        <f>"133005247072"</f>
        <v>133005247072</v>
      </c>
      <c r="B14903" t="s">
        <v>123</v>
      </c>
      <c r="C14903" t="s">
        <v>424</v>
      </c>
      <c r="D14903" t="s">
        <v>51015</v>
      </c>
      <c r="F14903" t="s">
        <v>1</v>
      </c>
      <c r="G14903" t="s">
        <v>50227</v>
      </c>
      <c r="H14903" t="s">
        <v>51016</v>
      </c>
      <c r="Y14903" t="s">
        <v>51017</v>
      </c>
    </row>
    <row r="14904" spans="1:25" x14ac:dyDescent="0.25">
      <c r="A14904" t="str">
        <f>"133151045881"</f>
        <v>133151045881</v>
      </c>
      <c r="B14904" t="s">
        <v>123</v>
      </c>
      <c r="C14904" t="s">
        <v>424</v>
      </c>
      <c r="D14904" t="s">
        <v>51018</v>
      </c>
      <c r="F14904" t="s">
        <v>1</v>
      </c>
      <c r="G14904" t="s">
        <v>50227</v>
      </c>
      <c r="H14904" t="s">
        <v>51019</v>
      </c>
      <c r="L14904" t="s">
        <v>50410</v>
      </c>
      <c r="M14904" t="s">
        <v>51020</v>
      </c>
      <c r="Y14904" t="s">
        <v>51021</v>
      </c>
    </row>
    <row r="14905" spans="1:25" x14ac:dyDescent="0.25">
      <c r="A14905" t="str">
        <f>"133483315207"</f>
        <v>133483315207</v>
      </c>
      <c r="B14905" t="s">
        <v>930</v>
      </c>
      <c r="C14905" t="s">
        <v>1096</v>
      </c>
      <c r="D14905" t="s">
        <v>51022</v>
      </c>
      <c r="E14905">
        <v>425060</v>
      </c>
      <c r="F14905" t="s">
        <v>1</v>
      </c>
      <c r="G14905" t="s">
        <v>50227</v>
      </c>
      <c r="H14905" t="s">
        <v>50749</v>
      </c>
      <c r="I14905" t="s">
        <v>33137</v>
      </c>
      <c r="J14905" t="s">
        <v>33138</v>
      </c>
      <c r="L14905" t="s">
        <v>33139</v>
      </c>
      <c r="M14905" t="s">
        <v>33140</v>
      </c>
      <c r="P14905" t="s">
        <v>216</v>
      </c>
      <c r="Q14905" t="s">
        <v>51023</v>
      </c>
      <c r="Y14905" t="s">
        <v>51024</v>
      </c>
    </row>
    <row r="14906" spans="1:25" x14ac:dyDescent="0.25">
      <c r="A14906" t="str">
        <f>"133562155844"</f>
        <v>133562155844</v>
      </c>
      <c r="B14906" t="s">
        <v>430</v>
      </c>
      <c r="C14906" t="s">
        <v>16178</v>
      </c>
      <c r="D14906" t="s">
        <v>10135</v>
      </c>
      <c r="F14906" t="s">
        <v>1</v>
      </c>
      <c r="G14906" t="s">
        <v>50227</v>
      </c>
      <c r="H14906" t="s">
        <v>50279</v>
      </c>
      <c r="Y14906" t="s">
        <v>51025</v>
      </c>
    </row>
    <row r="14907" spans="1:25" x14ac:dyDescent="0.25">
      <c r="A14907" t="str">
        <f>"133601926740"</f>
        <v>133601926740</v>
      </c>
      <c r="B14907" t="s">
        <v>1152</v>
      </c>
      <c r="C14907" t="s">
        <v>1385</v>
      </c>
      <c r="D14907" t="s">
        <v>1385</v>
      </c>
      <c r="E14907">
        <v>425061</v>
      </c>
      <c r="F14907" t="s">
        <v>1</v>
      </c>
      <c r="G14907" t="s">
        <v>50227</v>
      </c>
      <c r="H14907" t="s">
        <v>51026</v>
      </c>
      <c r="Y14907" t="s">
        <v>51027</v>
      </c>
    </row>
    <row r="14908" spans="1:25" x14ac:dyDescent="0.25">
      <c r="A14908" t="str">
        <f>"134759440741"</f>
        <v>134759440741</v>
      </c>
      <c r="B14908" t="s">
        <v>530</v>
      </c>
      <c r="C14908" t="s">
        <v>23950</v>
      </c>
      <c r="D14908" t="s">
        <v>23950</v>
      </c>
      <c r="F14908" t="s">
        <v>1</v>
      </c>
      <c r="G14908" t="s">
        <v>50227</v>
      </c>
      <c r="H14908" t="s">
        <v>50563</v>
      </c>
      <c r="Y14908" t="s">
        <v>51028</v>
      </c>
    </row>
    <row r="14909" spans="1:25" x14ac:dyDescent="0.25">
      <c r="A14909" t="str">
        <f>"134894409959"</f>
        <v>134894409959</v>
      </c>
      <c r="B14909" t="s">
        <v>160</v>
      </c>
      <c r="C14909" t="s">
        <v>9032</v>
      </c>
      <c r="D14909" t="s">
        <v>51029</v>
      </c>
      <c r="F14909" t="s">
        <v>1</v>
      </c>
      <c r="G14909" t="s">
        <v>50227</v>
      </c>
      <c r="H14909" t="s">
        <v>50901</v>
      </c>
      <c r="Y14909" t="s">
        <v>51030</v>
      </c>
    </row>
    <row r="14910" spans="1:25" x14ac:dyDescent="0.25">
      <c r="A14910" t="str">
        <f>"135083480356"</f>
        <v>135083480356</v>
      </c>
      <c r="B14910" t="s">
        <v>88</v>
      </c>
      <c r="C14910" t="s">
        <v>19306</v>
      </c>
      <c r="D14910" t="s">
        <v>51031</v>
      </c>
      <c r="E14910">
        <v>425060</v>
      </c>
      <c r="F14910" t="s">
        <v>1</v>
      </c>
      <c r="G14910" t="s">
        <v>50227</v>
      </c>
      <c r="H14910" t="s">
        <v>51032</v>
      </c>
      <c r="I14910" t="s">
        <v>51033</v>
      </c>
      <c r="P14910" t="s">
        <v>20</v>
      </c>
      <c r="Y14910" t="s">
        <v>51034</v>
      </c>
    </row>
    <row r="14911" spans="1:25" x14ac:dyDescent="0.25">
      <c r="A14911" t="str">
        <f>"137818538928"</f>
        <v>137818538928</v>
      </c>
      <c r="B14911" t="s">
        <v>18</v>
      </c>
      <c r="C14911" t="s">
        <v>2593</v>
      </c>
      <c r="D14911" t="s">
        <v>2167</v>
      </c>
      <c r="E14911">
        <v>425060</v>
      </c>
      <c r="F14911" t="s">
        <v>1</v>
      </c>
      <c r="G14911" t="s">
        <v>50227</v>
      </c>
      <c r="H14911" t="s">
        <v>50509</v>
      </c>
      <c r="J14911" t="s">
        <v>49089</v>
      </c>
      <c r="M14911" t="s">
        <v>51035</v>
      </c>
      <c r="P14911" t="s">
        <v>1027</v>
      </c>
      <c r="S14911" t="s">
        <v>51036</v>
      </c>
      <c r="Y14911" t="s">
        <v>51037</v>
      </c>
    </row>
    <row r="14912" spans="1:25" x14ac:dyDescent="0.25">
      <c r="A14912" t="str">
        <f>"138747710164"</f>
        <v>138747710164</v>
      </c>
      <c r="B14912" t="s">
        <v>25</v>
      </c>
      <c r="C14912" t="s">
        <v>15801</v>
      </c>
      <c r="D14912" t="s">
        <v>15801</v>
      </c>
      <c r="F14912" t="s">
        <v>1</v>
      </c>
      <c r="G14912" t="s">
        <v>50227</v>
      </c>
      <c r="H14912" t="s">
        <v>51038</v>
      </c>
      <c r="J14912" t="s">
        <v>51039</v>
      </c>
      <c r="L14912" t="s">
        <v>51040</v>
      </c>
      <c r="Q14912" t="s">
        <v>51041</v>
      </c>
      <c r="Y14912" t="s">
        <v>51042</v>
      </c>
    </row>
    <row r="14913" spans="1:25" x14ac:dyDescent="0.25">
      <c r="A14913" t="str">
        <f>"138994288439"</f>
        <v>138994288439</v>
      </c>
      <c r="B14913" t="s">
        <v>574</v>
      </c>
      <c r="C14913" t="s">
        <v>24087</v>
      </c>
      <c r="D14913" t="s">
        <v>33144</v>
      </c>
      <c r="F14913" t="s">
        <v>1</v>
      </c>
      <c r="G14913" t="s">
        <v>50227</v>
      </c>
      <c r="H14913" t="s">
        <v>51043</v>
      </c>
      <c r="P14913" t="s">
        <v>1464</v>
      </c>
      <c r="Y14913" t="s">
        <v>51044</v>
      </c>
    </row>
    <row r="14914" spans="1:25" x14ac:dyDescent="0.25">
      <c r="A14914" t="str">
        <f>"140064372175"</f>
        <v>140064372175</v>
      </c>
      <c r="B14914" t="s">
        <v>530</v>
      </c>
      <c r="C14914" t="s">
        <v>23950</v>
      </c>
      <c r="D14914" t="s">
        <v>23950</v>
      </c>
      <c r="F14914" t="s">
        <v>1</v>
      </c>
      <c r="G14914" t="s">
        <v>50227</v>
      </c>
      <c r="H14914" t="s">
        <v>50683</v>
      </c>
      <c r="Y14914" t="s">
        <v>51045</v>
      </c>
    </row>
    <row r="14915" spans="1:25" x14ac:dyDescent="0.25">
      <c r="A14915" t="str">
        <f>"140145907929"</f>
        <v>140145907929</v>
      </c>
      <c r="B14915" t="s">
        <v>18</v>
      </c>
      <c r="C14915" t="s">
        <v>17164</v>
      </c>
      <c r="D14915" t="s">
        <v>51046</v>
      </c>
      <c r="E14915">
        <v>425061</v>
      </c>
      <c r="F14915" t="s">
        <v>1</v>
      </c>
      <c r="G14915" t="s">
        <v>50227</v>
      </c>
      <c r="H14915" t="s">
        <v>50602</v>
      </c>
      <c r="Y14915" t="s">
        <v>51047</v>
      </c>
    </row>
    <row r="14916" spans="1:25" x14ac:dyDescent="0.25">
      <c r="A14916" t="str">
        <f>"140254291023"</f>
        <v>140254291023</v>
      </c>
      <c r="B14916" t="s">
        <v>10383</v>
      </c>
      <c r="C14916" t="s">
        <v>44630</v>
      </c>
      <c r="D14916" t="s">
        <v>44630</v>
      </c>
      <c r="F14916" t="s">
        <v>1</v>
      </c>
      <c r="G14916" t="s">
        <v>50227</v>
      </c>
      <c r="H14916" t="s">
        <v>50960</v>
      </c>
      <c r="Y14916" t="s">
        <v>51048</v>
      </c>
    </row>
    <row r="14917" spans="1:25" x14ac:dyDescent="0.25">
      <c r="A14917" t="str">
        <f>"140563536494"</f>
        <v>140563536494</v>
      </c>
      <c r="B14917" t="s">
        <v>3958</v>
      </c>
      <c r="C14917" t="s">
        <v>3959</v>
      </c>
      <c r="D14917" t="s">
        <v>51049</v>
      </c>
      <c r="E14917">
        <v>425061</v>
      </c>
      <c r="F14917" t="s">
        <v>1</v>
      </c>
      <c r="G14917" t="s">
        <v>50227</v>
      </c>
      <c r="H14917" t="s">
        <v>51050</v>
      </c>
      <c r="J14917" t="s">
        <v>51051</v>
      </c>
      <c r="P14917" t="s">
        <v>8133</v>
      </c>
      <c r="Y14917" t="s">
        <v>51052</v>
      </c>
    </row>
    <row r="14918" spans="1:25" x14ac:dyDescent="0.25">
      <c r="A14918" t="str">
        <f>"141011145557"</f>
        <v>141011145557</v>
      </c>
      <c r="B14918" t="s">
        <v>379</v>
      </c>
      <c r="C14918" t="s">
        <v>380</v>
      </c>
      <c r="D14918" t="s">
        <v>8393</v>
      </c>
      <c r="F14918" t="s">
        <v>1</v>
      </c>
      <c r="G14918" t="s">
        <v>50227</v>
      </c>
      <c r="H14918" t="s">
        <v>50233</v>
      </c>
      <c r="I14918" t="s">
        <v>51053</v>
      </c>
      <c r="L14918" t="s">
        <v>8395</v>
      </c>
      <c r="M14918" t="s">
        <v>8396</v>
      </c>
      <c r="P14918" t="s">
        <v>152</v>
      </c>
      <c r="Q14918" t="s">
        <v>8412</v>
      </c>
      <c r="R14918" t="s">
        <v>8399</v>
      </c>
      <c r="S14918" t="s">
        <v>8400</v>
      </c>
      <c r="T14918" t="s">
        <v>8401</v>
      </c>
      <c r="Y14918" t="s">
        <v>50284</v>
      </c>
    </row>
    <row r="14919" spans="1:25" x14ac:dyDescent="0.25">
      <c r="A14919" t="str">
        <f>"141590843389"</f>
        <v>141590843389</v>
      </c>
      <c r="B14919" t="s">
        <v>1152</v>
      </c>
      <c r="C14919" t="s">
        <v>4682</v>
      </c>
      <c r="D14919" t="s">
        <v>51054</v>
      </c>
      <c r="F14919" t="s">
        <v>1</v>
      </c>
      <c r="G14919" t="s">
        <v>50227</v>
      </c>
      <c r="H14919" t="s">
        <v>50683</v>
      </c>
      <c r="Y14919" t="s">
        <v>51055</v>
      </c>
    </row>
    <row r="14920" spans="1:25" x14ac:dyDescent="0.25">
      <c r="A14920" t="str">
        <f>"141855951071"</f>
        <v>141855951071</v>
      </c>
      <c r="B14920" t="s">
        <v>430</v>
      </c>
      <c r="C14920" t="s">
        <v>16178</v>
      </c>
      <c r="D14920" t="s">
        <v>50832</v>
      </c>
      <c r="E14920">
        <v>425060</v>
      </c>
      <c r="F14920" t="s">
        <v>1</v>
      </c>
      <c r="G14920" t="s">
        <v>50227</v>
      </c>
      <c r="H14920" t="s">
        <v>51056</v>
      </c>
      <c r="Y14920" t="s">
        <v>51057</v>
      </c>
    </row>
    <row r="14921" spans="1:25" x14ac:dyDescent="0.25">
      <c r="A14921" t="str">
        <f>"141963180680"</f>
        <v>141963180680</v>
      </c>
      <c r="B14921" t="s">
        <v>2104</v>
      </c>
      <c r="C14921" t="s">
        <v>13387</v>
      </c>
      <c r="D14921" t="s">
        <v>18934</v>
      </c>
      <c r="E14921">
        <v>425060</v>
      </c>
      <c r="F14921" t="s">
        <v>1</v>
      </c>
      <c r="G14921" t="s">
        <v>50227</v>
      </c>
      <c r="H14921" t="s">
        <v>50259</v>
      </c>
      <c r="I14921" t="s">
        <v>51058</v>
      </c>
      <c r="L14921" t="s">
        <v>18937</v>
      </c>
      <c r="M14921" t="s">
        <v>18938</v>
      </c>
      <c r="P14921" t="s">
        <v>10285</v>
      </c>
      <c r="Y14921" t="s">
        <v>51059</v>
      </c>
    </row>
    <row r="14922" spans="1:25" x14ac:dyDescent="0.25">
      <c r="A14922" t="str">
        <f>"142709709270"</f>
        <v>142709709270</v>
      </c>
      <c r="B14922" t="s">
        <v>3200</v>
      </c>
      <c r="C14922" t="s">
        <v>18948</v>
      </c>
      <c r="D14922" t="s">
        <v>31522</v>
      </c>
      <c r="E14922">
        <v>425060</v>
      </c>
      <c r="F14922" t="s">
        <v>1</v>
      </c>
      <c r="G14922" t="s">
        <v>50227</v>
      </c>
      <c r="H14922" t="s">
        <v>50558</v>
      </c>
      <c r="J14922" t="s">
        <v>51060</v>
      </c>
      <c r="P14922" t="s">
        <v>11503</v>
      </c>
      <c r="Y14922" t="s">
        <v>51061</v>
      </c>
    </row>
    <row r="14923" spans="1:25" x14ac:dyDescent="0.25">
      <c r="A14923" t="str">
        <f>"143225248322"</f>
        <v>143225248322</v>
      </c>
      <c r="B14923" t="s">
        <v>10383</v>
      </c>
      <c r="C14923" t="s">
        <v>24146</v>
      </c>
      <c r="D14923" t="s">
        <v>24146</v>
      </c>
      <c r="F14923" t="s">
        <v>1</v>
      </c>
      <c r="G14923" t="s">
        <v>50227</v>
      </c>
      <c r="H14923" t="s">
        <v>50578</v>
      </c>
      <c r="Y14923" t="s">
        <v>51062</v>
      </c>
    </row>
    <row r="14924" spans="1:25" x14ac:dyDescent="0.25">
      <c r="A14924" t="str">
        <f>"144512748060"</f>
        <v>144512748060</v>
      </c>
      <c r="B14924" t="s">
        <v>930</v>
      </c>
      <c r="C14924" t="s">
        <v>11882</v>
      </c>
      <c r="D14924" t="s">
        <v>51063</v>
      </c>
      <c r="E14924">
        <v>425061</v>
      </c>
      <c r="F14924" t="s">
        <v>1</v>
      </c>
      <c r="G14924" t="s">
        <v>50227</v>
      </c>
      <c r="H14924" t="s">
        <v>51064</v>
      </c>
      <c r="J14924" t="s">
        <v>51065</v>
      </c>
      <c r="P14924" t="s">
        <v>8655</v>
      </c>
      <c r="Y14924" t="s">
        <v>51066</v>
      </c>
    </row>
    <row r="14925" spans="1:25" x14ac:dyDescent="0.25">
      <c r="A14925" t="str">
        <f>"146205375184"</f>
        <v>146205375184</v>
      </c>
      <c r="B14925" t="s">
        <v>2846</v>
      </c>
      <c r="C14925" t="s">
        <v>11032</v>
      </c>
      <c r="D14925" t="s">
        <v>7257</v>
      </c>
      <c r="E14925">
        <v>425060</v>
      </c>
      <c r="F14925" t="s">
        <v>1</v>
      </c>
      <c r="G14925" t="s">
        <v>50227</v>
      </c>
      <c r="H14925" t="s">
        <v>50574</v>
      </c>
      <c r="Y14925" t="s">
        <v>51067</v>
      </c>
    </row>
    <row r="14926" spans="1:25" x14ac:dyDescent="0.25">
      <c r="A14926" t="str">
        <f>"148099946500"</f>
        <v>148099946500</v>
      </c>
      <c r="B14926" t="s">
        <v>462</v>
      </c>
      <c r="C14926" t="s">
        <v>51073</v>
      </c>
      <c r="D14926" t="s">
        <v>51068</v>
      </c>
      <c r="E14926">
        <v>425060</v>
      </c>
      <c r="F14926" t="s">
        <v>1</v>
      </c>
      <c r="G14926" t="s">
        <v>50227</v>
      </c>
      <c r="H14926" t="s">
        <v>50826</v>
      </c>
      <c r="I14926" t="s">
        <v>51069</v>
      </c>
      <c r="J14926" t="s">
        <v>51070</v>
      </c>
      <c r="L14926" t="s">
        <v>51071</v>
      </c>
      <c r="M14926" t="s">
        <v>51072</v>
      </c>
      <c r="P14926" t="s">
        <v>9</v>
      </c>
      <c r="Q14926" t="s">
        <v>51074</v>
      </c>
      <c r="Y14926" t="s">
        <v>51075</v>
      </c>
    </row>
    <row r="14927" spans="1:25" x14ac:dyDescent="0.25">
      <c r="A14927" t="str">
        <f>"148407253365"</f>
        <v>148407253365</v>
      </c>
      <c r="B14927" t="s">
        <v>2864</v>
      </c>
      <c r="C14927" t="s">
        <v>50719</v>
      </c>
      <c r="D14927" t="s">
        <v>50972</v>
      </c>
      <c r="F14927" t="s">
        <v>1</v>
      </c>
      <c r="G14927" t="s">
        <v>50227</v>
      </c>
      <c r="H14927" t="s">
        <v>51076</v>
      </c>
      <c r="Y14927" t="s">
        <v>51077</v>
      </c>
    </row>
    <row r="14928" spans="1:25" x14ac:dyDescent="0.25">
      <c r="A14928" t="str">
        <f>"148598714111"</f>
        <v>148598714111</v>
      </c>
      <c r="B14928" t="s">
        <v>1222</v>
      </c>
      <c r="C14928" t="s">
        <v>51078</v>
      </c>
      <c r="D14928" t="s">
        <v>50709</v>
      </c>
      <c r="E14928">
        <v>425060</v>
      </c>
      <c r="F14928" t="s">
        <v>1</v>
      </c>
      <c r="G14928" t="s">
        <v>50227</v>
      </c>
      <c r="H14928" t="s">
        <v>50451</v>
      </c>
      <c r="P14928" t="s">
        <v>35110</v>
      </c>
      <c r="Y14928" t="s">
        <v>51079</v>
      </c>
    </row>
    <row r="14929" spans="1:25" x14ac:dyDescent="0.25">
      <c r="A14929" t="str">
        <f>"149695641662"</f>
        <v>149695641662</v>
      </c>
      <c r="B14929" t="s">
        <v>319</v>
      </c>
      <c r="C14929" t="s">
        <v>320</v>
      </c>
      <c r="D14929" t="s">
        <v>51080</v>
      </c>
      <c r="E14929">
        <v>425060</v>
      </c>
      <c r="F14929" t="s">
        <v>1</v>
      </c>
      <c r="G14929" t="s">
        <v>50227</v>
      </c>
      <c r="H14929" t="s">
        <v>50509</v>
      </c>
      <c r="I14929" t="s">
        <v>51081</v>
      </c>
      <c r="P14929" t="s">
        <v>410</v>
      </c>
      <c r="Y14929" t="s">
        <v>51082</v>
      </c>
    </row>
    <row r="14930" spans="1:25" x14ac:dyDescent="0.25">
      <c r="A14930" t="str">
        <f>"152770836093"</f>
        <v>152770836093</v>
      </c>
      <c r="B14930" t="s">
        <v>1343</v>
      </c>
      <c r="C14930" t="s">
        <v>51083</v>
      </c>
      <c r="D14930" t="s">
        <v>1340</v>
      </c>
      <c r="E14930">
        <v>425060</v>
      </c>
      <c r="F14930" t="s">
        <v>1</v>
      </c>
      <c r="G14930" t="s">
        <v>50227</v>
      </c>
      <c r="H14930" t="s">
        <v>50574</v>
      </c>
      <c r="P14930" t="s">
        <v>2879</v>
      </c>
      <c r="Y14930" t="s">
        <v>51084</v>
      </c>
    </row>
    <row r="14931" spans="1:25" x14ac:dyDescent="0.25">
      <c r="A14931" t="str">
        <f>"153338237583"</f>
        <v>153338237583</v>
      </c>
      <c r="B14931" t="s">
        <v>1343</v>
      </c>
      <c r="C14931" t="s">
        <v>5308</v>
      </c>
      <c r="D14931" t="s">
        <v>22989</v>
      </c>
      <c r="F14931" t="s">
        <v>1</v>
      </c>
      <c r="G14931" t="s">
        <v>50227</v>
      </c>
      <c r="H14931" t="s">
        <v>50228</v>
      </c>
      <c r="Y14931" t="s">
        <v>51085</v>
      </c>
    </row>
    <row r="14932" spans="1:25" x14ac:dyDescent="0.25">
      <c r="A14932" t="str">
        <f>"153358535164"</f>
        <v>153358535164</v>
      </c>
      <c r="B14932" t="s">
        <v>530</v>
      </c>
      <c r="C14932" t="s">
        <v>23950</v>
      </c>
      <c r="D14932" t="s">
        <v>23950</v>
      </c>
      <c r="F14932" t="s">
        <v>1</v>
      </c>
      <c r="G14932" t="s">
        <v>50227</v>
      </c>
      <c r="H14932" t="s">
        <v>50791</v>
      </c>
      <c r="Y14932" t="s">
        <v>51086</v>
      </c>
    </row>
    <row r="14933" spans="1:25" x14ac:dyDescent="0.25">
      <c r="A14933" t="str">
        <f>"155484586137"</f>
        <v>155484586137</v>
      </c>
      <c r="B14933" t="s">
        <v>18</v>
      </c>
      <c r="C14933" t="s">
        <v>51088</v>
      </c>
      <c r="D14933" t="s">
        <v>51087</v>
      </c>
      <c r="E14933">
        <v>425060</v>
      </c>
      <c r="F14933" t="s">
        <v>1</v>
      </c>
      <c r="G14933" t="s">
        <v>50227</v>
      </c>
      <c r="H14933" t="s">
        <v>50436</v>
      </c>
      <c r="Y14933" t="s">
        <v>51089</v>
      </c>
    </row>
    <row r="14934" spans="1:25" x14ac:dyDescent="0.25">
      <c r="A14934" t="str">
        <f>"155507169906"</f>
        <v>155507169906</v>
      </c>
      <c r="B14934" t="s">
        <v>1343</v>
      </c>
      <c r="C14934" t="s">
        <v>5308</v>
      </c>
      <c r="D14934" t="s">
        <v>22553</v>
      </c>
      <c r="E14934">
        <v>425061</v>
      </c>
      <c r="F14934" t="s">
        <v>1</v>
      </c>
      <c r="G14934" t="s">
        <v>50227</v>
      </c>
      <c r="H14934" t="s">
        <v>50286</v>
      </c>
      <c r="P14934" t="s">
        <v>33509</v>
      </c>
      <c r="Y14934" t="s">
        <v>51090</v>
      </c>
    </row>
    <row r="14935" spans="1:25" x14ac:dyDescent="0.25">
      <c r="A14935" t="str">
        <f>"156022114826"</f>
        <v>156022114826</v>
      </c>
      <c r="B14935" t="s">
        <v>530</v>
      </c>
      <c r="C14935" t="s">
        <v>23950</v>
      </c>
      <c r="D14935" t="s">
        <v>23950</v>
      </c>
      <c r="E14935">
        <v>425060</v>
      </c>
      <c r="F14935" t="s">
        <v>1</v>
      </c>
      <c r="G14935" t="s">
        <v>50227</v>
      </c>
      <c r="H14935" t="s">
        <v>51091</v>
      </c>
      <c r="Y14935" t="s">
        <v>51092</v>
      </c>
    </row>
    <row r="14936" spans="1:25" x14ac:dyDescent="0.25">
      <c r="A14936" t="str">
        <f>"156071570031"</f>
        <v>156071570031</v>
      </c>
      <c r="B14936" t="s">
        <v>530</v>
      </c>
      <c r="C14936" t="s">
        <v>23950</v>
      </c>
      <c r="D14936" t="s">
        <v>23950</v>
      </c>
      <c r="E14936">
        <v>425061</v>
      </c>
      <c r="F14936" t="s">
        <v>1</v>
      </c>
      <c r="G14936" t="s">
        <v>50227</v>
      </c>
      <c r="H14936" t="s">
        <v>50443</v>
      </c>
      <c r="Y14936" t="s">
        <v>51093</v>
      </c>
    </row>
    <row r="14937" spans="1:25" x14ac:dyDescent="0.25">
      <c r="A14937" t="str">
        <f>"156367069956"</f>
        <v>156367069956</v>
      </c>
      <c r="B14937" t="s">
        <v>417</v>
      </c>
      <c r="C14937" t="s">
        <v>418</v>
      </c>
      <c r="D14937" t="s">
        <v>5328</v>
      </c>
      <c r="E14937">
        <v>425060</v>
      </c>
      <c r="F14937" t="s">
        <v>1</v>
      </c>
      <c r="G14937" t="s">
        <v>50227</v>
      </c>
      <c r="H14937" t="s">
        <v>50367</v>
      </c>
      <c r="I14937" t="s">
        <v>51094</v>
      </c>
      <c r="J14937" t="s">
        <v>51095</v>
      </c>
      <c r="P14937" t="s">
        <v>2879</v>
      </c>
      <c r="Q14937" t="s">
        <v>51096</v>
      </c>
      <c r="R14937" t="s">
        <v>51097</v>
      </c>
      <c r="Y14937" t="s">
        <v>51098</v>
      </c>
    </row>
    <row r="14938" spans="1:25" x14ac:dyDescent="0.25">
      <c r="A14938" t="str">
        <f>"156855632365"</f>
        <v>156855632365</v>
      </c>
      <c r="B14938" t="s">
        <v>519</v>
      </c>
      <c r="C14938" t="s">
        <v>12412</v>
      </c>
      <c r="D14938" t="s">
        <v>12412</v>
      </c>
      <c r="F14938" t="s">
        <v>1</v>
      </c>
      <c r="G14938" t="s">
        <v>50227</v>
      </c>
      <c r="H14938" t="s">
        <v>51099</v>
      </c>
      <c r="Y14938" t="s">
        <v>51100</v>
      </c>
    </row>
    <row r="14939" spans="1:25" x14ac:dyDescent="0.25">
      <c r="A14939" t="str">
        <f>"156964024503"</f>
        <v>156964024503</v>
      </c>
      <c r="B14939" t="s">
        <v>574</v>
      </c>
      <c r="C14939" t="s">
        <v>646</v>
      </c>
      <c r="D14939" t="s">
        <v>51101</v>
      </c>
      <c r="F14939" t="s">
        <v>1</v>
      </c>
      <c r="G14939" t="s">
        <v>50227</v>
      </c>
      <c r="H14939" t="s">
        <v>51076</v>
      </c>
      <c r="Y14939" t="s">
        <v>51102</v>
      </c>
    </row>
    <row r="14940" spans="1:25" x14ac:dyDescent="0.25">
      <c r="A14940" t="str">
        <f>"159071956440"</f>
        <v>159071956440</v>
      </c>
      <c r="B14940" t="s">
        <v>574</v>
      </c>
      <c r="C14940" t="s">
        <v>646</v>
      </c>
      <c r="D14940" t="s">
        <v>51103</v>
      </c>
      <c r="F14940" t="s">
        <v>1</v>
      </c>
      <c r="G14940" t="s">
        <v>50227</v>
      </c>
      <c r="H14940" t="s">
        <v>50855</v>
      </c>
      <c r="P14940" t="s">
        <v>216</v>
      </c>
      <c r="Y14940" t="s">
        <v>51104</v>
      </c>
    </row>
    <row r="14941" spans="1:25" x14ac:dyDescent="0.25">
      <c r="A14941" t="str">
        <f>"159866150904"</f>
        <v>159866150904</v>
      </c>
      <c r="B14941" t="s">
        <v>224</v>
      </c>
      <c r="C14941" t="s">
        <v>51110</v>
      </c>
      <c r="D14941" t="s">
        <v>51105</v>
      </c>
      <c r="F14941" t="s">
        <v>1</v>
      </c>
      <c r="G14941" t="s">
        <v>50227</v>
      </c>
      <c r="H14941" t="s">
        <v>50252</v>
      </c>
      <c r="I14941" t="s">
        <v>51106</v>
      </c>
      <c r="J14941" t="s">
        <v>51107</v>
      </c>
      <c r="L14941" t="s">
        <v>51108</v>
      </c>
      <c r="M14941" t="s">
        <v>51109</v>
      </c>
      <c r="P14941" t="s">
        <v>280</v>
      </c>
      <c r="Y14941" t="s">
        <v>51111</v>
      </c>
    </row>
    <row r="14942" spans="1:25" x14ac:dyDescent="0.25">
      <c r="A14942" t="str">
        <f>"160641632388"</f>
        <v>160641632388</v>
      </c>
      <c r="B14942" t="s">
        <v>7312</v>
      </c>
      <c r="C14942" t="s">
        <v>21136</v>
      </c>
      <c r="D14942" t="s">
        <v>37411</v>
      </c>
      <c r="E14942">
        <v>425061</v>
      </c>
      <c r="F14942" t="s">
        <v>1</v>
      </c>
      <c r="G14942" t="s">
        <v>50227</v>
      </c>
      <c r="H14942" t="s">
        <v>50732</v>
      </c>
      <c r="Y14942" t="s">
        <v>51112</v>
      </c>
    </row>
    <row r="14943" spans="1:25" x14ac:dyDescent="0.25">
      <c r="A14943" t="str">
        <f>"160980918778"</f>
        <v>160980918778</v>
      </c>
      <c r="B14943" t="s">
        <v>1475</v>
      </c>
      <c r="C14943" t="s">
        <v>4005</v>
      </c>
      <c r="D14943" t="s">
        <v>29624</v>
      </c>
      <c r="E14943">
        <v>425060</v>
      </c>
      <c r="F14943" t="s">
        <v>1</v>
      </c>
      <c r="G14943" t="s">
        <v>50227</v>
      </c>
      <c r="H14943" t="s">
        <v>50558</v>
      </c>
      <c r="Y14943" t="s">
        <v>51113</v>
      </c>
    </row>
    <row r="14944" spans="1:25" x14ac:dyDescent="0.25">
      <c r="A14944" t="str">
        <f>"161188119952"</f>
        <v>161188119952</v>
      </c>
      <c r="B14944" t="s">
        <v>1573</v>
      </c>
      <c r="C14944" t="s">
        <v>1574</v>
      </c>
      <c r="D14944" t="s">
        <v>51114</v>
      </c>
      <c r="F14944" t="s">
        <v>1</v>
      </c>
      <c r="G14944" t="s">
        <v>50227</v>
      </c>
      <c r="H14944" t="s">
        <v>50833</v>
      </c>
      <c r="P14944" t="s">
        <v>40907</v>
      </c>
      <c r="Y14944" t="s">
        <v>51115</v>
      </c>
    </row>
    <row r="14945" spans="1:25" x14ac:dyDescent="0.25">
      <c r="A14945" t="str">
        <f>"161844356657"</f>
        <v>161844356657</v>
      </c>
      <c r="B14945" t="s">
        <v>3200</v>
      </c>
      <c r="C14945" t="s">
        <v>18948</v>
      </c>
      <c r="D14945" t="s">
        <v>31522</v>
      </c>
      <c r="E14945">
        <v>425060</v>
      </c>
      <c r="F14945" t="s">
        <v>1</v>
      </c>
      <c r="G14945" t="s">
        <v>50227</v>
      </c>
      <c r="H14945" t="s">
        <v>50753</v>
      </c>
      <c r="J14945" t="s">
        <v>51060</v>
      </c>
      <c r="P14945" t="s">
        <v>51116</v>
      </c>
      <c r="Y14945" t="s">
        <v>50757</v>
      </c>
    </row>
    <row r="14946" spans="1:25" x14ac:dyDescent="0.25">
      <c r="A14946" t="str">
        <f>"163265017726"</f>
        <v>163265017726</v>
      </c>
      <c r="B14946" t="s">
        <v>519</v>
      </c>
      <c r="C14946" t="s">
        <v>23996</v>
      </c>
      <c r="D14946" t="s">
        <v>27657</v>
      </c>
      <c r="E14946">
        <v>425060</v>
      </c>
      <c r="F14946" t="s">
        <v>1</v>
      </c>
      <c r="G14946" t="s">
        <v>50227</v>
      </c>
      <c r="H14946" t="s">
        <v>50436</v>
      </c>
      <c r="Y14946" t="s">
        <v>51117</v>
      </c>
    </row>
    <row r="14947" spans="1:25" x14ac:dyDescent="0.25">
      <c r="A14947" t="str">
        <f>"164877212335"</f>
        <v>164877212335</v>
      </c>
      <c r="B14947" t="s">
        <v>1573</v>
      </c>
      <c r="C14947" t="s">
        <v>1753</v>
      </c>
      <c r="D14947" t="s">
        <v>51118</v>
      </c>
      <c r="F14947" t="s">
        <v>1</v>
      </c>
      <c r="G14947" t="s">
        <v>50227</v>
      </c>
      <c r="H14947" t="s">
        <v>50833</v>
      </c>
      <c r="P14947" t="s">
        <v>40907</v>
      </c>
      <c r="Y14947" t="s">
        <v>51119</v>
      </c>
    </row>
    <row r="14948" spans="1:25" x14ac:dyDescent="0.25">
      <c r="A14948" t="str">
        <f>"165739817568"</f>
        <v>165739817568</v>
      </c>
      <c r="B14948" t="s">
        <v>319</v>
      </c>
      <c r="C14948" t="s">
        <v>320</v>
      </c>
      <c r="D14948" t="s">
        <v>10276</v>
      </c>
      <c r="F14948" t="s">
        <v>1</v>
      </c>
      <c r="G14948" t="s">
        <v>50227</v>
      </c>
      <c r="H14948" t="s">
        <v>50630</v>
      </c>
      <c r="I14948" t="s">
        <v>51120</v>
      </c>
      <c r="P14948" t="s">
        <v>27</v>
      </c>
      <c r="Y14948" t="s">
        <v>51121</v>
      </c>
    </row>
    <row r="14949" spans="1:25" x14ac:dyDescent="0.25">
      <c r="A14949" t="str">
        <f>"168097590757"</f>
        <v>168097590757</v>
      </c>
      <c r="B14949" t="s">
        <v>574</v>
      </c>
      <c r="C14949" t="s">
        <v>646</v>
      </c>
      <c r="D14949" t="s">
        <v>41701</v>
      </c>
      <c r="E14949">
        <v>425060</v>
      </c>
      <c r="F14949" t="s">
        <v>1</v>
      </c>
      <c r="G14949" t="s">
        <v>50227</v>
      </c>
      <c r="H14949" t="s">
        <v>50670</v>
      </c>
      <c r="P14949" t="s">
        <v>40067</v>
      </c>
      <c r="Y14949" t="s">
        <v>51122</v>
      </c>
    </row>
    <row r="14950" spans="1:25" x14ac:dyDescent="0.25">
      <c r="A14950" t="str">
        <f>"169030532411"</f>
        <v>169030532411</v>
      </c>
      <c r="B14950" t="s">
        <v>96</v>
      </c>
      <c r="C14950" t="s">
        <v>24042</v>
      </c>
      <c r="D14950" t="s">
        <v>24127</v>
      </c>
      <c r="E14950">
        <v>425060</v>
      </c>
      <c r="F14950" t="s">
        <v>1</v>
      </c>
      <c r="G14950" t="s">
        <v>50227</v>
      </c>
      <c r="H14950" t="s">
        <v>50681</v>
      </c>
      <c r="Y14950" t="s">
        <v>51123</v>
      </c>
    </row>
    <row r="14951" spans="1:25" x14ac:dyDescent="0.25">
      <c r="A14951" t="str">
        <f>"169516933116"</f>
        <v>169516933116</v>
      </c>
      <c r="B14951" t="s">
        <v>530</v>
      </c>
      <c r="C14951" t="s">
        <v>23950</v>
      </c>
      <c r="D14951" t="s">
        <v>23950</v>
      </c>
      <c r="F14951" t="s">
        <v>1</v>
      </c>
      <c r="G14951" t="s">
        <v>50227</v>
      </c>
      <c r="H14951" t="s">
        <v>51124</v>
      </c>
      <c r="Y14951" t="s">
        <v>51125</v>
      </c>
    </row>
    <row r="14952" spans="1:25" x14ac:dyDescent="0.25">
      <c r="A14952" t="str">
        <f>"173918467976"</f>
        <v>173918467976</v>
      </c>
      <c r="B14952" t="s">
        <v>530</v>
      </c>
      <c r="C14952" t="s">
        <v>23950</v>
      </c>
      <c r="D14952" t="s">
        <v>23950</v>
      </c>
      <c r="E14952">
        <v>425060</v>
      </c>
      <c r="F14952" t="s">
        <v>1</v>
      </c>
      <c r="G14952" t="s">
        <v>50227</v>
      </c>
      <c r="H14952" t="s">
        <v>50473</v>
      </c>
      <c r="Y14952" t="s">
        <v>51126</v>
      </c>
    </row>
    <row r="14953" spans="1:25" x14ac:dyDescent="0.25">
      <c r="A14953" t="str">
        <f>"174425946113"</f>
        <v>174425946113</v>
      </c>
      <c r="B14953" t="s">
        <v>319</v>
      </c>
      <c r="C14953" t="s">
        <v>320</v>
      </c>
      <c r="D14953" t="s">
        <v>51127</v>
      </c>
      <c r="F14953" t="s">
        <v>1</v>
      </c>
      <c r="G14953" t="s">
        <v>50227</v>
      </c>
      <c r="H14953" t="s">
        <v>50483</v>
      </c>
      <c r="Y14953" t="s">
        <v>51128</v>
      </c>
    </row>
    <row r="14954" spans="1:25" x14ac:dyDescent="0.25">
      <c r="A14954" t="str">
        <f>"174451864942"</f>
        <v>174451864942</v>
      </c>
      <c r="B14954" t="s">
        <v>96</v>
      </c>
      <c r="C14954" t="s">
        <v>26416</v>
      </c>
      <c r="D14954" t="s">
        <v>51129</v>
      </c>
      <c r="F14954" t="s">
        <v>1</v>
      </c>
      <c r="G14954" t="s">
        <v>50227</v>
      </c>
      <c r="H14954" t="s">
        <v>50228</v>
      </c>
      <c r="Y14954" t="s">
        <v>51130</v>
      </c>
    </row>
    <row r="14955" spans="1:25" x14ac:dyDescent="0.25">
      <c r="A14955" t="str">
        <f>"174853125043"</f>
        <v>174853125043</v>
      </c>
      <c r="B14955" t="s">
        <v>8011</v>
      </c>
      <c r="C14955" t="s">
        <v>38871</v>
      </c>
      <c r="D14955" t="s">
        <v>24988</v>
      </c>
      <c r="E14955">
        <v>425060</v>
      </c>
      <c r="F14955" t="s">
        <v>1</v>
      </c>
      <c r="G14955" t="s">
        <v>50227</v>
      </c>
      <c r="H14955" t="s">
        <v>50605</v>
      </c>
      <c r="Y14955" t="s">
        <v>51131</v>
      </c>
    </row>
    <row r="14956" spans="1:25" x14ac:dyDescent="0.25">
      <c r="A14956" t="str">
        <f>"175102026769"</f>
        <v>175102026769</v>
      </c>
      <c r="B14956" t="s">
        <v>25</v>
      </c>
      <c r="C14956" t="s">
        <v>4458</v>
      </c>
      <c r="D14956" t="s">
        <v>24065</v>
      </c>
      <c r="E14956">
        <v>425060</v>
      </c>
      <c r="F14956" t="s">
        <v>1</v>
      </c>
      <c r="G14956" t="s">
        <v>50227</v>
      </c>
      <c r="H14956" t="s">
        <v>50810</v>
      </c>
      <c r="P14956" t="s">
        <v>21948</v>
      </c>
      <c r="Y14956" t="s">
        <v>51132</v>
      </c>
    </row>
    <row r="14957" spans="1:25" x14ac:dyDescent="0.25">
      <c r="A14957" t="str">
        <f>"177368232369"</f>
        <v>177368232369</v>
      </c>
      <c r="B14957" t="s">
        <v>574</v>
      </c>
      <c r="C14957" t="s">
        <v>646</v>
      </c>
      <c r="D14957" t="s">
        <v>4221</v>
      </c>
      <c r="E14957">
        <v>425061</v>
      </c>
      <c r="F14957" t="s">
        <v>1</v>
      </c>
      <c r="G14957" t="s">
        <v>50227</v>
      </c>
      <c r="H14957" t="s">
        <v>50722</v>
      </c>
      <c r="Y14957" t="s">
        <v>51133</v>
      </c>
    </row>
    <row r="14958" spans="1:25" x14ac:dyDescent="0.25">
      <c r="A14958" t="str">
        <f>"177678234698"</f>
        <v>177678234698</v>
      </c>
      <c r="B14958" t="s">
        <v>348</v>
      </c>
      <c r="C14958" t="s">
        <v>4366</v>
      </c>
      <c r="D14958" t="s">
        <v>51134</v>
      </c>
      <c r="E14958">
        <v>425060</v>
      </c>
      <c r="F14958" t="s">
        <v>1</v>
      </c>
      <c r="G14958" t="s">
        <v>50227</v>
      </c>
      <c r="H14958" t="s">
        <v>50491</v>
      </c>
      <c r="Y14958" t="s">
        <v>51135</v>
      </c>
    </row>
    <row r="14959" spans="1:25" x14ac:dyDescent="0.25">
      <c r="A14959" t="str">
        <f>"177860848376"</f>
        <v>177860848376</v>
      </c>
      <c r="B14959" t="s">
        <v>530</v>
      </c>
      <c r="C14959" t="s">
        <v>23950</v>
      </c>
      <c r="D14959" t="s">
        <v>23950</v>
      </c>
      <c r="F14959" t="s">
        <v>1</v>
      </c>
      <c r="G14959" t="s">
        <v>50227</v>
      </c>
      <c r="H14959" t="s">
        <v>50683</v>
      </c>
      <c r="Y14959" t="s">
        <v>51136</v>
      </c>
    </row>
    <row r="14960" spans="1:25" x14ac:dyDescent="0.25">
      <c r="A14960" t="str">
        <f>"178113613853"</f>
        <v>178113613853</v>
      </c>
      <c r="B14960" t="s">
        <v>1544</v>
      </c>
      <c r="C14960" t="s">
        <v>7974</v>
      </c>
      <c r="D14960" t="s">
        <v>51137</v>
      </c>
      <c r="E14960">
        <v>425061</v>
      </c>
      <c r="F14960" t="s">
        <v>1</v>
      </c>
      <c r="G14960" t="s">
        <v>50227</v>
      </c>
      <c r="H14960" t="s">
        <v>50602</v>
      </c>
      <c r="P14960" t="s">
        <v>330</v>
      </c>
      <c r="Y14960" t="s">
        <v>51138</v>
      </c>
    </row>
    <row r="14961" spans="1:25" x14ac:dyDescent="0.25">
      <c r="A14961" t="str">
        <f>"178142396322"</f>
        <v>178142396322</v>
      </c>
      <c r="B14961" t="s">
        <v>1552</v>
      </c>
      <c r="C14961" t="s">
        <v>1552</v>
      </c>
      <c r="D14961" t="s">
        <v>1552</v>
      </c>
      <c r="F14961" t="s">
        <v>1</v>
      </c>
      <c r="G14961" t="s">
        <v>50227</v>
      </c>
      <c r="H14961" t="s">
        <v>51139</v>
      </c>
      <c r="P14961" t="s">
        <v>330</v>
      </c>
      <c r="Y14961" t="s">
        <v>51140</v>
      </c>
    </row>
    <row r="14962" spans="1:25" x14ac:dyDescent="0.25">
      <c r="A14962" t="str">
        <f>"178198830216"</f>
        <v>178198830216</v>
      </c>
      <c r="B14962" t="s">
        <v>88</v>
      </c>
      <c r="C14962" t="s">
        <v>6066</v>
      </c>
      <c r="D14962" t="s">
        <v>31769</v>
      </c>
      <c r="F14962" t="s">
        <v>1</v>
      </c>
      <c r="G14962" t="s">
        <v>50227</v>
      </c>
      <c r="H14962" t="s">
        <v>50636</v>
      </c>
      <c r="Y14962" t="s">
        <v>51141</v>
      </c>
    </row>
    <row r="14963" spans="1:25" x14ac:dyDescent="0.25">
      <c r="A14963" t="str">
        <f>"178993531214"</f>
        <v>178993531214</v>
      </c>
      <c r="B14963" t="s">
        <v>530</v>
      </c>
      <c r="C14963" t="s">
        <v>23950</v>
      </c>
      <c r="D14963" t="s">
        <v>23950</v>
      </c>
      <c r="F14963" t="s">
        <v>1</v>
      </c>
      <c r="G14963" t="s">
        <v>50227</v>
      </c>
      <c r="H14963" t="s">
        <v>50639</v>
      </c>
      <c r="Y14963" t="s">
        <v>51142</v>
      </c>
    </row>
    <row r="14964" spans="1:25" x14ac:dyDescent="0.25">
      <c r="A14964" t="str">
        <f>"179502102211"</f>
        <v>179502102211</v>
      </c>
      <c r="B14964" t="s">
        <v>640</v>
      </c>
      <c r="C14964" t="s">
        <v>51147</v>
      </c>
      <c r="D14964" t="s">
        <v>51143</v>
      </c>
      <c r="F14964" t="s">
        <v>1</v>
      </c>
      <c r="G14964" t="s">
        <v>50227</v>
      </c>
      <c r="H14964" t="s">
        <v>50359</v>
      </c>
      <c r="I14964" t="s">
        <v>51144</v>
      </c>
      <c r="L14964" t="s">
        <v>51145</v>
      </c>
      <c r="M14964" t="s">
        <v>51146</v>
      </c>
      <c r="P14964" t="s">
        <v>1638</v>
      </c>
      <c r="Y14964" t="s">
        <v>51148</v>
      </c>
    </row>
    <row r="14965" spans="1:25" x14ac:dyDescent="0.25">
      <c r="A14965" t="str">
        <f>"180352875949"</f>
        <v>180352875949</v>
      </c>
      <c r="B14965" t="s">
        <v>96</v>
      </c>
      <c r="C14965" t="s">
        <v>893</v>
      </c>
      <c r="D14965" t="s">
        <v>11868</v>
      </c>
      <c r="F14965" t="s">
        <v>1</v>
      </c>
      <c r="G14965" t="s">
        <v>50227</v>
      </c>
      <c r="H14965" t="s">
        <v>50683</v>
      </c>
      <c r="Y14965" t="s">
        <v>51149</v>
      </c>
    </row>
    <row r="14966" spans="1:25" x14ac:dyDescent="0.25">
      <c r="A14966" t="str">
        <f>"181013631877"</f>
        <v>181013631877</v>
      </c>
      <c r="B14966" t="s">
        <v>417</v>
      </c>
      <c r="C14966" t="s">
        <v>418</v>
      </c>
      <c r="D14966" t="s">
        <v>417</v>
      </c>
      <c r="E14966">
        <v>425060</v>
      </c>
      <c r="F14966" t="s">
        <v>1</v>
      </c>
      <c r="G14966" t="s">
        <v>50227</v>
      </c>
      <c r="H14966" t="s">
        <v>50525</v>
      </c>
      <c r="Y14966" t="s">
        <v>51150</v>
      </c>
    </row>
    <row r="14967" spans="1:25" x14ac:dyDescent="0.25">
      <c r="A14967" t="str">
        <f>"182864429964"</f>
        <v>182864429964</v>
      </c>
      <c r="B14967" t="s">
        <v>430</v>
      </c>
      <c r="C14967" t="s">
        <v>16178</v>
      </c>
      <c r="D14967" t="s">
        <v>10135</v>
      </c>
      <c r="E14967">
        <v>425060</v>
      </c>
      <c r="F14967" t="s">
        <v>1</v>
      </c>
      <c r="G14967" t="s">
        <v>50227</v>
      </c>
      <c r="H14967" t="s">
        <v>50574</v>
      </c>
      <c r="Y14967" t="s">
        <v>51151</v>
      </c>
    </row>
    <row r="14968" spans="1:25" x14ac:dyDescent="0.25">
      <c r="A14968" t="str">
        <f>"183005036981"</f>
        <v>183005036981</v>
      </c>
      <c r="B14968" t="s">
        <v>978</v>
      </c>
      <c r="C14968" t="s">
        <v>14285</v>
      </c>
      <c r="D14968" t="s">
        <v>35706</v>
      </c>
      <c r="E14968">
        <v>425060</v>
      </c>
      <c r="F14968" t="s">
        <v>1</v>
      </c>
      <c r="G14968" t="s">
        <v>50227</v>
      </c>
      <c r="H14968" t="s">
        <v>50431</v>
      </c>
      <c r="I14968" t="s">
        <v>35707</v>
      </c>
      <c r="J14968" t="s">
        <v>35708</v>
      </c>
      <c r="M14968" t="s">
        <v>51152</v>
      </c>
      <c r="P14968" t="s">
        <v>330</v>
      </c>
      <c r="Y14968" t="s">
        <v>50983</v>
      </c>
    </row>
    <row r="14969" spans="1:25" x14ac:dyDescent="0.25">
      <c r="A14969" t="str">
        <f>"183532851589"</f>
        <v>183532851589</v>
      </c>
      <c r="B14969" t="s">
        <v>530</v>
      </c>
      <c r="C14969" t="s">
        <v>23950</v>
      </c>
      <c r="D14969" t="s">
        <v>23950</v>
      </c>
      <c r="F14969" t="s">
        <v>1</v>
      </c>
      <c r="G14969" t="s">
        <v>50227</v>
      </c>
      <c r="H14969" t="s">
        <v>50633</v>
      </c>
      <c r="Y14969" t="s">
        <v>51153</v>
      </c>
    </row>
    <row r="14970" spans="1:25" x14ac:dyDescent="0.25">
      <c r="A14970" t="str">
        <f>"184434017343"</f>
        <v>184434017343</v>
      </c>
      <c r="B14970" t="s">
        <v>1611</v>
      </c>
      <c r="C14970" t="s">
        <v>3218</v>
      </c>
      <c r="D14970" t="s">
        <v>51154</v>
      </c>
      <c r="F14970" t="s">
        <v>1</v>
      </c>
      <c r="G14970" t="s">
        <v>50227</v>
      </c>
      <c r="H14970" t="s">
        <v>50578</v>
      </c>
      <c r="Y14970" t="s">
        <v>51155</v>
      </c>
    </row>
    <row r="14971" spans="1:25" x14ac:dyDescent="0.25">
      <c r="A14971" t="str">
        <f>"184987543151"</f>
        <v>184987543151</v>
      </c>
      <c r="B14971" t="s">
        <v>290</v>
      </c>
      <c r="C14971" t="s">
        <v>11114</v>
      </c>
      <c r="D14971" t="s">
        <v>51156</v>
      </c>
      <c r="E14971">
        <v>425060</v>
      </c>
      <c r="F14971" t="s">
        <v>1</v>
      </c>
      <c r="G14971" t="s">
        <v>50227</v>
      </c>
      <c r="H14971" t="s">
        <v>50574</v>
      </c>
      <c r="P14971" t="s">
        <v>216</v>
      </c>
      <c r="Y14971" t="s">
        <v>51157</v>
      </c>
    </row>
    <row r="14972" spans="1:25" x14ac:dyDescent="0.25">
      <c r="A14972" t="str">
        <f>"185002943535"</f>
        <v>185002943535</v>
      </c>
      <c r="B14972" t="s">
        <v>530</v>
      </c>
      <c r="C14972" t="s">
        <v>23950</v>
      </c>
      <c r="D14972" t="s">
        <v>23950</v>
      </c>
      <c r="F14972" t="s">
        <v>1</v>
      </c>
      <c r="G14972" t="s">
        <v>50227</v>
      </c>
      <c r="H14972" t="s">
        <v>50658</v>
      </c>
      <c r="Y14972" t="s">
        <v>51158</v>
      </c>
    </row>
    <row r="14973" spans="1:25" x14ac:dyDescent="0.25">
      <c r="A14973" t="str">
        <f>"185419474703"</f>
        <v>185419474703</v>
      </c>
      <c r="B14973" t="s">
        <v>530</v>
      </c>
      <c r="C14973" t="s">
        <v>23950</v>
      </c>
      <c r="D14973" t="s">
        <v>23950</v>
      </c>
      <c r="F14973" t="s">
        <v>1</v>
      </c>
      <c r="G14973" t="s">
        <v>50227</v>
      </c>
      <c r="H14973" t="s">
        <v>51159</v>
      </c>
      <c r="Y14973" t="s">
        <v>51160</v>
      </c>
    </row>
    <row r="14974" spans="1:25" x14ac:dyDescent="0.25">
      <c r="A14974" t="str">
        <f>"185435712265"</f>
        <v>185435712265</v>
      </c>
      <c r="B14974" t="s">
        <v>88</v>
      </c>
      <c r="C14974" t="s">
        <v>89</v>
      </c>
      <c r="D14974" t="s">
        <v>12763</v>
      </c>
      <c r="E14974">
        <v>425060</v>
      </c>
      <c r="F14974" t="s">
        <v>1</v>
      </c>
      <c r="G14974" t="s">
        <v>50227</v>
      </c>
      <c r="H14974" t="s">
        <v>50749</v>
      </c>
      <c r="Y14974" t="s">
        <v>51161</v>
      </c>
    </row>
    <row r="14975" spans="1:25" x14ac:dyDescent="0.25">
      <c r="A14975" t="str">
        <f>"186173575918"</f>
        <v>186173575918</v>
      </c>
      <c r="B14975" t="s">
        <v>319</v>
      </c>
      <c r="C14975" t="s">
        <v>320</v>
      </c>
      <c r="D14975" t="s">
        <v>320</v>
      </c>
      <c r="F14975" t="s">
        <v>1</v>
      </c>
      <c r="G14975" t="s">
        <v>50227</v>
      </c>
      <c r="H14975" t="s">
        <v>50578</v>
      </c>
      <c r="Y14975" t="s">
        <v>51162</v>
      </c>
    </row>
    <row r="14976" spans="1:25" x14ac:dyDescent="0.25">
      <c r="A14976" t="str">
        <f>"187170114697"</f>
        <v>187170114697</v>
      </c>
      <c r="B14976" t="s">
        <v>530</v>
      </c>
      <c r="C14976" t="s">
        <v>23950</v>
      </c>
      <c r="D14976" t="s">
        <v>23950</v>
      </c>
      <c r="F14976" t="s">
        <v>1</v>
      </c>
      <c r="G14976" t="s">
        <v>50227</v>
      </c>
      <c r="H14976" t="s">
        <v>51163</v>
      </c>
      <c r="Y14976" t="s">
        <v>51164</v>
      </c>
    </row>
    <row r="14977" spans="1:25" x14ac:dyDescent="0.25">
      <c r="A14977" t="str">
        <f>"187540247793"</f>
        <v>187540247793</v>
      </c>
      <c r="B14977" t="s">
        <v>1343</v>
      </c>
      <c r="C14977" t="s">
        <v>28717</v>
      </c>
      <c r="D14977" t="s">
        <v>51165</v>
      </c>
      <c r="F14977" t="s">
        <v>1</v>
      </c>
      <c r="G14977" t="s">
        <v>50227</v>
      </c>
      <c r="H14977" t="s">
        <v>50636</v>
      </c>
      <c r="Y14977" t="s">
        <v>51166</v>
      </c>
    </row>
    <row r="14978" spans="1:25" x14ac:dyDescent="0.25">
      <c r="A14978" t="str">
        <f>"188264824457"</f>
        <v>188264824457</v>
      </c>
      <c r="B14978" t="s">
        <v>574</v>
      </c>
      <c r="C14978" t="s">
        <v>646</v>
      </c>
      <c r="D14978" t="s">
        <v>51167</v>
      </c>
      <c r="E14978">
        <v>425062</v>
      </c>
      <c r="F14978" t="s">
        <v>1</v>
      </c>
      <c r="G14978" t="s">
        <v>50227</v>
      </c>
      <c r="H14978" t="s">
        <v>51168</v>
      </c>
      <c r="Y14978" t="s">
        <v>51169</v>
      </c>
    </row>
    <row r="14979" spans="1:25" x14ac:dyDescent="0.25">
      <c r="A14979" t="str">
        <f>"188440545030"</f>
        <v>188440545030</v>
      </c>
      <c r="B14979" t="s">
        <v>7312</v>
      </c>
      <c r="C14979" t="s">
        <v>19097</v>
      </c>
      <c r="D14979" t="s">
        <v>51170</v>
      </c>
      <c r="E14979">
        <v>425061</v>
      </c>
      <c r="F14979" t="s">
        <v>1</v>
      </c>
      <c r="G14979" t="s">
        <v>50227</v>
      </c>
      <c r="H14979" t="s">
        <v>50286</v>
      </c>
      <c r="Y14979" t="s">
        <v>51171</v>
      </c>
    </row>
    <row r="14980" spans="1:25" x14ac:dyDescent="0.25">
      <c r="A14980" t="str">
        <f>"189344279794"</f>
        <v>189344279794</v>
      </c>
      <c r="B14980" t="s">
        <v>1573</v>
      </c>
      <c r="C14980" t="s">
        <v>1817</v>
      </c>
      <c r="D14980" t="s">
        <v>29811</v>
      </c>
      <c r="F14980" t="s">
        <v>1</v>
      </c>
      <c r="G14980" t="s">
        <v>50227</v>
      </c>
      <c r="H14980" t="s">
        <v>51172</v>
      </c>
      <c r="Y14980" t="s">
        <v>51173</v>
      </c>
    </row>
    <row r="14981" spans="1:25" x14ac:dyDescent="0.25">
      <c r="A14981" t="str">
        <f>"189703109191"</f>
        <v>189703109191</v>
      </c>
      <c r="B14981" t="s">
        <v>574</v>
      </c>
      <c r="C14981" t="s">
        <v>9802</v>
      </c>
      <c r="D14981" t="s">
        <v>50311</v>
      </c>
      <c r="F14981" t="s">
        <v>1</v>
      </c>
      <c r="G14981" t="s">
        <v>50227</v>
      </c>
      <c r="H14981" t="s">
        <v>51174</v>
      </c>
      <c r="I14981" t="s">
        <v>51175</v>
      </c>
      <c r="L14981" t="s">
        <v>50315</v>
      </c>
      <c r="M14981" t="s">
        <v>51176</v>
      </c>
      <c r="P14981" t="s">
        <v>20</v>
      </c>
      <c r="Y14981" t="s">
        <v>51177</v>
      </c>
    </row>
    <row r="14982" spans="1:25" x14ac:dyDescent="0.25">
      <c r="A14982" t="str">
        <f>"190342399970"</f>
        <v>190342399970</v>
      </c>
      <c r="B14982" t="s">
        <v>348</v>
      </c>
      <c r="C14982" t="s">
        <v>4366</v>
      </c>
      <c r="D14982" t="s">
        <v>51178</v>
      </c>
      <c r="F14982" t="s">
        <v>1</v>
      </c>
      <c r="G14982" t="s">
        <v>50227</v>
      </c>
      <c r="H14982" t="s">
        <v>50483</v>
      </c>
      <c r="Y14982" t="s">
        <v>51179</v>
      </c>
    </row>
    <row r="14983" spans="1:25" x14ac:dyDescent="0.25">
      <c r="A14983" t="str">
        <f>"191950573457"</f>
        <v>191950573457</v>
      </c>
      <c r="B14983" t="s">
        <v>1611</v>
      </c>
      <c r="C14983" t="s">
        <v>3218</v>
      </c>
      <c r="D14983" t="s">
        <v>51180</v>
      </c>
      <c r="E14983">
        <v>425060</v>
      </c>
      <c r="F14983" t="s">
        <v>1</v>
      </c>
      <c r="G14983" t="s">
        <v>50227</v>
      </c>
      <c r="H14983" t="s">
        <v>50431</v>
      </c>
      <c r="Y14983" t="s">
        <v>51181</v>
      </c>
    </row>
    <row r="14984" spans="1:25" x14ac:dyDescent="0.25">
      <c r="A14984" t="str">
        <f>"192438793953"</f>
        <v>192438793953</v>
      </c>
      <c r="B14984" t="s">
        <v>96</v>
      </c>
      <c r="C14984" t="s">
        <v>2285</v>
      </c>
      <c r="D14984" t="s">
        <v>2613</v>
      </c>
      <c r="E14984">
        <v>425060</v>
      </c>
      <c r="F14984" t="s">
        <v>1</v>
      </c>
      <c r="G14984" t="s">
        <v>50227</v>
      </c>
      <c r="H14984" t="s">
        <v>50558</v>
      </c>
      <c r="Y14984" t="s">
        <v>51182</v>
      </c>
    </row>
    <row r="14985" spans="1:25" x14ac:dyDescent="0.25">
      <c r="A14985" t="str">
        <f>"192849730618"</f>
        <v>192849730618</v>
      </c>
      <c r="B14985" t="s">
        <v>530</v>
      </c>
      <c r="C14985" t="s">
        <v>23950</v>
      </c>
      <c r="D14985" t="s">
        <v>23950</v>
      </c>
      <c r="F14985" t="s">
        <v>1</v>
      </c>
      <c r="G14985" t="s">
        <v>50227</v>
      </c>
      <c r="H14985" t="s">
        <v>50639</v>
      </c>
      <c r="Y14985" t="s">
        <v>51183</v>
      </c>
    </row>
    <row r="14986" spans="1:25" x14ac:dyDescent="0.25">
      <c r="A14986" t="str">
        <f>"193565889921"</f>
        <v>193565889921</v>
      </c>
      <c r="B14986" t="s">
        <v>96</v>
      </c>
      <c r="C14986" t="s">
        <v>507</v>
      </c>
      <c r="D14986" t="s">
        <v>51184</v>
      </c>
      <c r="E14986">
        <v>425060</v>
      </c>
      <c r="F14986" t="s">
        <v>1</v>
      </c>
      <c r="G14986" t="s">
        <v>50227</v>
      </c>
      <c r="H14986" t="s">
        <v>50574</v>
      </c>
      <c r="Y14986" t="s">
        <v>51185</v>
      </c>
    </row>
    <row r="14987" spans="1:25" x14ac:dyDescent="0.25">
      <c r="A14987" t="str">
        <f>"193871545199"</f>
        <v>193871545199</v>
      </c>
      <c r="B14987" t="s">
        <v>1152</v>
      </c>
      <c r="C14987" t="s">
        <v>10452</v>
      </c>
      <c r="D14987" t="s">
        <v>10452</v>
      </c>
      <c r="F14987" t="s">
        <v>1</v>
      </c>
      <c r="G14987" t="s">
        <v>50227</v>
      </c>
      <c r="H14987" t="s">
        <v>50636</v>
      </c>
      <c r="Y14987" t="s">
        <v>51186</v>
      </c>
    </row>
    <row r="14988" spans="1:25" x14ac:dyDescent="0.25">
      <c r="A14988" t="str">
        <f>"194190533038"</f>
        <v>194190533038</v>
      </c>
      <c r="B14988" t="s">
        <v>790</v>
      </c>
      <c r="C14988" t="s">
        <v>2049</v>
      </c>
      <c r="D14988" t="s">
        <v>51187</v>
      </c>
      <c r="E14988">
        <v>425060</v>
      </c>
      <c r="F14988" t="s">
        <v>1</v>
      </c>
      <c r="G14988" t="s">
        <v>50227</v>
      </c>
      <c r="H14988" t="s">
        <v>50711</v>
      </c>
      <c r="Y14988" t="s">
        <v>51188</v>
      </c>
    </row>
    <row r="14989" spans="1:25" x14ac:dyDescent="0.25">
      <c r="A14989" t="str">
        <f>"195081552884"</f>
        <v>195081552884</v>
      </c>
      <c r="B14989" t="s">
        <v>1573</v>
      </c>
      <c r="C14989" t="s">
        <v>51190</v>
      </c>
      <c r="D14989" t="s">
        <v>51189</v>
      </c>
      <c r="E14989">
        <v>425061</v>
      </c>
      <c r="F14989" t="s">
        <v>1</v>
      </c>
      <c r="G14989" t="s">
        <v>50227</v>
      </c>
      <c r="H14989" t="s">
        <v>50602</v>
      </c>
      <c r="Y14989" t="s">
        <v>51191</v>
      </c>
    </row>
    <row r="14990" spans="1:25" x14ac:dyDescent="0.25">
      <c r="A14990" t="str">
        <f>"195797229158"</f>
        <v>195797229158</v>
      </c>
      <c r="B14990" t="s">
        <v>379</v>
      </c>
      <c r="C14990" t="s">
        <v>766</v>
      </c>
      <c r="D14990" t="s">
        <v>51192</v>
      </c>
      <c r="E14990">
        <v>425060</v>
      </c>
      <c r="F14990" t="s">
        <v>1</v>
      </c>
      <c r="G14990" t="s">
        <v>50227</v>
      </c>
      <c r="H14990" t="s">
        <v>50605</v>
      </c>
      <c r="Y14990" t="s">
        <v>51193</v>
      </c>
    </row>
    <row r="14991" spans="1:25" x14ac:dyDescent="0.25">
      <c r="A14991" t="str">
        <f>"195798321193"</f>
        <v>195798321193</v>
      </c>
      <c r="B14991" t="s">
        <v>574</v>
      </c>
      <c r="C14991" t="s">
        <v>10644</v>
      </c>
      <c r="D14991" t="s">
        <v>51194</v>
      </c>
      <c r="E14991">
        <v>425060</v>
      </c>
      <c r="F14991" t="s">
        <v>1</v>
      </c>
      <c r="G14991" t="s">
        <v>50227</v>
      </c>
      <c r="H14991" t="s">
        <v>50248</v>
      </c>
      <c r="Y14991" t="s">
        <v>51195</v>
      </c>
    </row>
    <row r="14992" spans="1:25" x14ac:dyDescent="0.25">
      <c r="A14992" t="str">
        <f>"196608455027"</f>
        <v>196608455027</v>
      </c>
      <c r="B14992" t="s">
        <v>348</v>
      </c>
      <c r="C14992" t="s">
        <v>4366</v>
      </c>
      <c r="D14992" t="s">
        <v>7130</v>
      </c>
      <c r="F14992" t="s">
        <v>1</v>
      </c>
      <c r="G14992" t="s">
        <v>50227</v>
      </c>
      <c r="H14992" t="s">
        <v>50483</v>
      </c>
      <c r="Y14992" t="s">
        <v>51196</v>
      </c>
    </row>
    <row r="14993" spans="1:25" x14ac:dyDescent="0.25">
      <c r="A14993" t="str">
        <f>"197491332604"</f>
        <v>197491332604</v>
      </c>
      <c r="B14993" t="s">
        <v>18</v>
      </c>
      <c r="C14993" t="s">
        <v>4522</v>
      </c>
      <c r="D14993" t="s">
        <v>4522</v>
      </c>
      <c r="F14993" t="s">
        <v>1</v>
      </c>
      <c r="G14993" t="s">
        <v>50227</v>
      </c>
      <c r="H14993" t="s">
        <v>50984</v>
      </c>
      <c r="Y14993" t="s">
        <v>51197</v>
      </c>
    </row>
    <row r="14994" spans="1:25" x14ac:dyDescent="0.25">
      <c r="A14994" t="str">
        <f>"197510663374"</f>
        <v>197510663374</v>
      </c>
      <c r="B14994" t="s">
        <v>1617</v>
      </c>
      <c r="C14994" t="s">
        <v>1618</v>
      </c>
      <c r="D14994" t="s">
        <v>836</v>
      </c>
      <c r="E14994">
        <v>425060</v>
      </c>
      <c r="F14994" t="s">
        <v>1</v>
      </c>
      <c r="G14994" t="s">
        <v>50227</v>
      </c>
      <c r="H14994" t="s">
        <v>50558</v>
      </c>
      <c r="Y14994" t="s">
        <v>51198</v>
      </c>
    </row>
    <row r="14995" spans="1:25" x14ac:dyDescent="0.25">
      <c r="A14995" t="str">
        <f>"197883114612"</f>
        <v>197883114612</v>
      </c>
      <c r="B14995" t="s">
        <v>96</v>
      </c>
      <c r="C14995" t="s">
        <v>893</v>
      </c>
      <c r="D14995" t="s">
        <v>31769</v>
      </c>
      <c r="E14995">
        <v>425060</v>
      </c>
      <c r="F14995" t="s">
        <v>1</v>
      </c>
      <c r="G14995" t="s">
        <v>50227</v>
      </c>
      <c r="H14995" t="s">
        <v>50558</v>
      </c>
      <c r="Y14995" t="s">
        <v>51199</v>
      </c>
    </row>
    <row r="14996" spans="1:25" x14ac:dyDescent="0.25">
      <c r="A14996" t="str">
        <f>"199104904814"</f>
        <v>199104904814</v>
      </c>
      <c r="B14996" t="s">
        <v>519</v>
      </c>
      <c r="C14996" t="s">
        <v>51202</v>
      </c>
      <c r="D14996" t="s">
        <v>51200</v>
      </c>
      <c r="E14996">
        <v>425060</v>
      </c>
      <c r="F14996" t="s">
        <v>1</v>
      </c>
      <c r="G14996" t="s">
        <v>50227</v>
      </c>
      <c r="H14996" t="s">
        <v>50436</v>
      </c>
      <c r="J14996" t="s">
        <v>51201</v>
      </c>
      <c r="P14996" t="s">
        <v>3814</v>
      </c>
      <c r="Q14996" t="s">
        <v>51203</v>
      </c>
      <c r="R14996" t="s">
        <v>51204</v>
      </c>
      <c r="Y14996" t="s">
        <v>51205</v>
      </c>
    </row>
    <row r="14997" spans="1:25" x14ac:dyDescent="0.25">
      <c r="A14997" t="str">
        <f>"200326894412"</f>
        <v>200326894412</v>
      </c>
      <c r="B14997" t="s">
        <v>18</v>
      </c>
      <c r="C14997" t="s">
        <v>51207</v>
      </c>
      <c r="D14997" t="s">
        <v>51206</v>
      </c>
      <c r="E14997">
        <v>425062</v>
      </c>
      <c r="F14997" t="s">
        <v>1</v>
      </c>
      <c r="G14997" t="s">
        <v>50227</v>
      </c>
      <c r="H14997" t="s">
        <v>50814</v>
      </c>
      <c r="Y14997" t="s">
        <v>51208</v>
      </c>
    </row>
    <row r="14998" spans="1:25" x14ac:dyDescent="0.25">
      <c r="A14998" t="str">
        <f>"202021031949"</f>
        <v>202021031949</v>
      </c>
      <c r="B14998" t="s">
        <v>3544</v>
      </c>
      <c r="C14998" t="s">
        <v>11303</v>
      </c>
      <c r="D14998" t="s">
        <v>51209</v>
      </c>
      <c r="E14998">
        <v>425061</v>
      </c>
      <c r="F14998" t="s">
        <v>1</v>
      </c>
      <c r="G14998" t="s">
        <v>50227</v>
      </c>
      <c r="H14998" t="s">
        <v>51210</v>
      </c>
      <c r="J14998" t="s">
        <v>51211</v>
      </c>
      <c r="L14998" t="s">
        <v>51212</v>
      </c>
      <c r="M14998" t="s">
        <v>51213</v>
      </c>
      <c r="P14998" t="s">
        <v>280</v>
      </c>
      <c r="Y14998" t="s">
        <v>51214</v>
      </c>
    </row>
    <row r="14999" spans="1:25" x14ac:dyDescent="0.25">
      <c r="A14999" t="str">
        <f>"202549673571"</f>
        <v>202549673571</v>
      </c>
      <c r="B14999" t="s">
        <v>290</v>
      </c>
      <c r="C14999" t="s">
        <v>290</v>
      </c>
      <c r="D14999" t="s">
        <v>3636</v>
      </c>
      <c r="E14999">
        <v>425060</v>
      </c>
      <c r="F14999" t="s">
        <v>1</v>
      </c>
      <c r="G14999" t="s">
        <v>50227</v>
      </c>
      <c r="H14999" t="s">
        <v>50558</v>
      </c>
      <c r="Y14999" t="s">
        <v>51215</v>
      </c>
    </row>
    <row r="15000" spans="1:25" x14ac:dyDescent="0.25">
      <c r="A15000" t="str">
        <f>"203001125466"</f>
        <v>203001125466</v>
      </c>
      <c r="B15000" t="s">
        <v>2864</v>
      </c>
      <c r="C15000" t="s">
        <v>50719</v>
      </c>
      <c r="D15000" t="s">
        <v>417</v>
      </c>
      <c r="E15000">
        <v>425062</v>
      </c>
      <c r="F15000" t="s">
        <v>1</v>
      </c>
      <c r="G15000" t="s">
        <v>50227</v>
      </c>
      <c r="H15000" t="s">
        <v>51216</v>
      </c>
      <c r="Y15000" t="s">
        <v>51217</v>
      </c>
    </row>
    <row r="15001" spans="1:25" x14ac:dyDescent="0.25">
      <c r="A15001" t="str">
        <f>"203264139831"</f>
        <v>203264139831</v>
      </c>
      <c r="B15001" t="s">
        <v>379</v>
      </c>
      <c r="C15001" t="s">
        <v>766</v>
      </c>
      <c r="D15001" t="s">
        <v>18769</v>
      </c>
      <c r="E15001">
        <v>425060</v>
      </c>
      <c r="F15001" t="s">
        <v>1</v>
      </c>
      <c r="G15001" t="s">
        <v>50227</v>
      </c>
      <c r="H15001" t="s">
        <v>50455</v>
      </c>
      <c r="I15001" t="s">
        <v>51218</v>
      </c>
      <c r="J15001" t="s">
        <v>51219</v>
      </c>
      <c r="L15001" t="s">
        <v>18772</v>
      </c>
      <c r="M15001" t="s">
        <v>51220</v>
      </c>
      <c r="P15001" t="s">
        <v>9</v>
      </c>
      <c r="Q15001" t="s">
        <v>18774</v>
      </c>
      <c r="Y15001" t="s">
        <v>50459</v>
      </c>
    </row>
    <row r="15002" spans="1:25" x14ac:dyDescent="0.25">
      <c r="A15002" t="str">
        <f>"204157327185"</f>
        <v>204157327185</v>
      </c>
      <c r="B15002" t="s">
        <v>25</v>
      </c>
      <c r="C15002" t="s">
        <v>20320</v>
      </c>
      <c r="D15002" t="s">
        <v>51221</v>
      </c>
      <c r="E15002">
        <v>425060</v>
      </c>
      <c r="F15002" t="s">
        <v>1</v>
      </c>
      <c r="G15002" t="s">
        <v>50227</v>
      </c>
      <c r="H15002" t="s">
        <v>51222</v>
      </c>
      <c r="Y15002" t="s">
        <v>51223</v>
      </c>
    </row>
    <row r="15003" spans="1:25" x14ac:dyDescent="0.25">
      <c r="A15003" t="str">
        <f>"204373697046"</f>
        <v>204373697046</v>
      </c>
      <c r="B15003" t="s">
        <v>640</v>
      </c>
      <c r="C15003" t="s">
        <v>51225</v>
      </c>
      <c r="D15003" t="s">
        <v>51224</v>
      </c>
      <c r="E15003">
        <v>425061</v>
      </c>
      <c r="F15003" t="s">
        <v>1</v>
      </c>
      <c r="G15003" t="s">
        <v>50227</v>
      </c>
      <c r="H15003" t="s">
        <v>51026</v>
      </c>
      <c r="P15003" t="s">
        <v>51226</v>
      </c>
      <c r="Y15003" t="s">
        <v>51227</v>
      </c>
    </row>
    <row r="15004" spans="1:25" x14ac:dyDescent="0.25">
      <c r="A15004" t="str">
        <f>"205554189082"</f>
        <v>205554189082</v>
      </c>
      <c r="B15004" t="s">
        <v>88</v>
      </c>
      <c r="C15004" t="s">
        <v>51230</v>
      </c>
      <c r="D15004" t="s">
        <v>28838</v>
      </c>
      <c r="E15004">
        <v>425060</v>
      </c>
      <c r="F15004" t="s">
        <v>1</v>
      </c>
      <c r="G15004" t="s">
        <v>50227</v>
      </c>
      <c r="H15004" t="s">
        <v>50753</v>
      </c>
      <c r="J15004" t="s">
        <v>51228</v>
      </c>
      <c r="M15004" t="s">
        <v>51229</v>
      </c>
      <c r="P15004" t="s">
        <v>51231</v>
      </c>
      <c r="V15004" t="s">
        <v>51232</v>
      </c>
      <c r="Y15004" t="s">
        <v>50757</v>
      </c>
    </row>
    <row r="15005" spans="1:25" x14ac:dyDescent="0.25">
      <c r="A15005" t="str">
        <f>"206964185110"</f>
        <v>206964185110</v>
      </c>
      <c r="B15005" t="s">
        <v>530</v>
      </c>
      <c r="C15005" t="s">
        <v>23950</v>
      </c>
      <c r="D15005" t="s">
        <v>23950</v>
      </c>
      <c r="E15005">
        <v>425061</v>
      </c>
      <c r="F15005" t="s">
        <v>1</v>
      </c>
      <c r="G15005" t="s">
        <v>50227</v>
      </c>
      <c r="H15005" t="s">
        <v>51233</v>
      </c>
      <c r="Y15005" t="s">
        <v>51234</v>
      </c>
    </row>
    <row r="15006" spans="1:25" x14ac:dyDescent="0.25">
      <c r="A15006" t="str">
        <f>"207008377909"</f>
        <v>207008377909</v>
      </c>
      <c r="B15006" t="s">
        <v>1544</v>
      </c>
      <c r="C15006" t="s">
        <v>7974</v>
      </c>
      <c r="D15006" t="s">
        <v>25268</v>
      </c>
      <c r="E15006">
        <v>425061</v>
      </c>
      <c r="F15006" t="s">
        <v>1</v>
      </c>
      <c r="G15006" t="s">
        <v>50227</v>
      </c>
      <c r="H15006" t="s">
        <v>51235</v>
      </c>
      <c r="P15006" t="s">
        <v>29865</v>
      </c>
      <c r="Y15006" t="s">
        <v>51236</v>
      </c>
    </row>
    <row r="15007" spans="1:25" x14ac:dyDescent="0.25">
      <c r="A15007" t="str">
        <f>"207096440997"</f>
        <v>207096440997</v>
      </c>
      <c r="B15007" t="s">
        <v>96</v>
      </c>
      <c r="C15007" t="s">
        <v>27219</v>
      </c>
      <c r="D15007" t="s">
        <v>27219</v>
      </c>
      <c r="F15007" t="s">
        <v>1</v>
      </c>
      <c r="G15007" t="s">
        <v>50227</v>
      </c>
      <c r="H15007" t="s">
        <v>50636</v>
      </c>
      <c r="Y15007" t="s">
        <v>51237</v>
      </c>
    </row>
    <row r="15008" spans="1:25" x14ac:dyDescent="0.25">
      <c r="A15008" t="str">
        <f>"207548572154"</f>
        <v>207548572154</v>
      </c>
      <c r="B15008" t="s">
        <v>574</v>
      </c>
      <c r="C15008" t="s">
        <v>646</v>
      </c>
      <c r="D15008" t="s">
        <v>51238</v>
      </c>
      <c r="F15008" t="s">
        <v>1</v>
      </c>
      <c r="G15008" t="s">
        <v>50227</v>
      </c>
      <c r="H15008" t="s">
        <v>51239</v>
      </c>
      <c r="P15008" t="s">
        <v>51240</v>
      </c>
      <c r="Y15008" t="s">
        <v>51241</v>
      </c>
    </row>
    <row r="15009" spans="1:25" x14ac:dyDescent="0.25">
      <c r="A15009" t="str">
        <f>"208269546059"</f>
        <v>208269546059</v>
      </c>
      <c r="B15009" t="s">
        <v>18</v>
      </c>
      <c r="C15009" t="s">
        <v>51242</v>
      </c>
      <c r="D15009" t="s">
        <v>1297</v>
      </c>
      <c r="F15009" t="s">
        <v>1</v>
      </c>
      <c r="G15009" t="s">
        <v>50227</v>
      </c>
      <c r="H15009" t="s">
        <v>50747</v>
      </c>
      <c r="Y15009" t="s">
        <v>51243</v>
      </c>
    </row>
    <row r="15010" spans="1:25" x14ac:dyDescent="0.25">
      <c r="A15010" t="str">
        <f>"208509946867"</f>
        <v>208509946867</v>
      </c>
      <c r="B15010" t="s">
        <v>319</v>
      </c>
      <c r="C15010" t="s">
        <v>320</v>
      </c>
      <c r="D15010" t="s">
        <v>51244</v>
      </c>
      <c r="F15010" t="s">
        <v>1</v>
      </c>
      <c r="G15010" t="s">
        <v>50227</v>
      </c>
      <c r="H15010" t="s">
        <v>50228</v>
      </c>
      <c r="I15010" t="s">
        <v>51245</v>
      </c>
      <c r="P15010" t="s">
        <v>3776</v>
      </c>
      <c r="Y15010" t="s">
        <v>51246</v>
      </c>
    </row>
    <row r="15011" spans="1:25" x14ac:dyDescent="0.25">
      <c r="A15011" t="str">
        <f>"208611919855"</f>
        <v>208611919855</v>
      </c>
      <c r="B15011" t="s">
        <v>96</v>
      </c>
      <c r="C15011" t="s">
        <v>893</v>
      </c>
      <c r="D15011" t="s">
        <v>893</v>
      </c>
      <c r="F15011" t="s">
        <v>1</v>
      </c>
      <c r="G15011" t="s">
        <v>50227</v>
      </c>
      <c r="H15011" t="s">
        <v>50228</v>
      </c>
      <c r="Y15011" t="s">
        <v>51247</v>
      </c>
    </row>
    <row r="15012" spans="1:25" x14ac:dyDescent="0.25">
      <c r="A15012" t="str">
        <f>"209122552441"</f>
        <v>209122552441</v>
      </c>
      <c r="B15012" t="s">
        <v>117</v>
      </c>
      <c r="C15012" t="s">
        <v>6850</v>
      </c>
      <c r="D15012" t="s">
        <v>51248</v>
      </c>
      <c r="F15012" t="s">
        <v>1</v>
      </c>
      <c r="G15012" t="s">
        <v>50227</v>
      </c>
      <c r="H15012" t="s">
        <v>51249</v>
      </c>
      <c r="Y15012" t="s">
        <v>51250</v>
      </c>
    </row>
    <row r="15013" spans="1:25" x14ac:dyDescent="0.25">
      <c r="A15013" t="str">
        <f>"209525626219"</f>
        <v>209525626219</v>
      </c>
      <c r="B15013" t="s">
        <v>96</v>
      </c>
      <c r="C15013" t="s">
        <v>893</v>
      </c>
      <c r="D15013" t="s">
        <v>893</v>
      </c>
      <c r="F15013" t="s">
        <v>1</v>
      </c>
      <c r="G15013" t="s">
        <v>50227</v>
      </c>
      <c r="H15013" t="s">
        <v>50371</v>
      </c>
      <c r="Y15013" t="s">
        <v>51251</v>
      </c>
    </row>
    <row r="15014" spans="1:25" x14ac:dyDescent="0.25">
      <c r="A15014" t="str">
        <f>"211281286228"</f>
        <v>211281286228</v>
      </c>
      <c r="B15014" t="s">
        <v>18</v>
      </c>
      <c r="C15014" t="s">
        <v>51252</v>
      </c>
      <c r="D15014" t="s">
        <v>24294</v>
      </c>
      <c r="F15014" t="s">
        <v>1</v>
      </c>
      <c r="G15014" t="s">
        <v>50227</v>
      </c>
      <c r="H15014" t="s">
        <v>50833</v>
      </c>
      <c r="P15014" t="s">
        <v>40907</v>
      </c>
      <c r="Y15014" t="s">
        <v>51253</v>
      </c>
    </row>
    <row r="15015" spans="1:25" x14ac:dyDescent="0.25">
      <c r="A15015" t="str">
        <f>"211612763625"</f>
        <v>211612763625</v>
      </c>
      <c r="B15015" t="s">
        <v>462</v>
      </c>
      <c r="C15015" t="s">
        <v>1140</v>
      </c>
      <c r="D15015" t="s">
        <v>51254</v>
      </c>
      <c r="E15015">
        <v>425061</v>
      </c>
      <c r="F15015" t="s">
        <v>1</v>
      </c>
      <c r="G15015" t="s">
        <v>50227</v>
      </c>
      <c r="H15015" t="s">
        <v>51255</v>
      </c>
      <c r="Y15015" t="s">
        <v>51256</v>
      </c>
    </row>
    <row r="15016" spans="1:25" x14ac:dyDescent="0.25">
      <c r="A15016" t="str">
        <f>"211758296589"</f>
        <v>211758296589</v>
      </c>
      <c r="B15016" t="s">
        <v>176</v>
      </c>
      <c r="C15016" t="s">
        <v>250</v>
      </c>
      <c r="D15016" t="s">
        <v>51257</v>
      </c>
      <c r="E15016">
        <v>425060</v>
      </c>
      <c r="F15016" t="s">
        <v>1</v>
      </c>
      <c r="G15016" t="s">
        <v>50227</v>
      </c>
      <c r="H15016" t="s">
        <v>50500</v>
      </c>
      <c r="Y15016" t="s">
        <v>51258</v>
      </c>
    </row>
    <row r="15017" spans="1:25" x14ac:dyDescent="0.25">
      <c r="A15017" t="str">
        <f>"211968674515"</f>
        <v>211968674515</v>
      </c>
      <c r="B15017" t="s">
        <v>1222</v>
      </c>
      <c r="C15017" t="s">
        <v>2114</v>
      </c>
      <c r="D15017" t="s">
        <v>47025</v>
      </c>
      <c r="E15017">
        <v>425060</v>
      </c>
      <c r="F15017" t="s">
        <v>1</v>
      </c>
      <c r="G15017" t="s">
        <v>50227</v>
      </c>
      <c r="H15017" t="s">
        <v>50451</v>
      </c>
      <c r="Y15017" t="s">
        <v>51259</v>
      </c>
    </row>
    <row r="15018" spans="1:25" x14ac:dyDescent="0.25">
      <c r="A15018" t="str">
        <f>"214830357376"</f>
        <v>214830357376</v>
      </c>
      <c r="B15018" t="s">
        <v>1152</v>
      </c>
      <c r="C15018" t="s">
        <v>8449</v>
      </c>
      <c r="D15018" t="s">
        <v>51260</v>
      </c>
      <c r="E15018">
        <v>425061</v>
      </c>
      <c r="F15018" t="s">
        <v>1</v>
      </c>
      <c r="G15018" t="s">
        <v>50227</v>
      </c>
      <c r="H15018" t="s">
        <v>50443</v>
      </c>
      <c r="J15018" t="s">
        <v>51261</v>
      </c>
      <c r="P15018" t="s">
        <v>216</v>
      </c>
      <c r="Y15018" t="s">
        <v>51262</v>
      </c>
    </row>
    <row r="15019" spans="1:25" x14ac:dyDescent="0.25">
      <c r="A15019" t="str">
        <f>"214920890968"</f>
        <v>214920890968</v>
      </c>
      <c r="B15019" t="s">
        <v>96</v>
      </c>
      <c r="C15019" t="s">
        <v>7071</v>
      </c>
      <c r="D15019" t="s">
        <v>51263</v>
      </c>
      <c r="F15019" t="s">
        <v>1</v>
      </c>
      <c r="G15019" t="s">
        <v>50227</v>
      </c>
      <c r="H15019" t="s">
        <v>50483</v>
      </c>
      <c r="Y15019" t="s">
        <v>51264</v>
      </c>
    </row>
    <row r="15020" spans="1:25" x14ac:dyDescent="0.25">
      <c r="A15020" t="str">
        <f>"215632271126"</f>
        <v>215632271126</v>
      </c>
      <c r="B15020" t="s">
        <v>1758</v>
      </c>
      <c r="C15020" t="s">
        <v>8089</v>
      </c>
      <c r="D15020" t="s">
        <v>5408</v>
      </c>
      <c r="F15020" t="s">
        <v>1</v>
      </c>
      <c r="G15020" t="s">
        <v>50227</v>
      </c>
      <c r="H15020" t="s">
        <v>50986</v>
      </c>
      <c r="Y15020" t="s">
        <v>51265</v>
      </c>
    </row>
    <row r="15021" spans="1:25" x14ac:dyDescent="0.25">
      <c r="A15021" t="str">
        <f>"215638846336"</f>
        <v>215638846336</v>
      </c>
      <c r="B15021" t="s">
        <v>738</v>
      </c>
      <c r="C15021" t="s">
        <v>739</v>
      </c>
      <c r="D15021" t="s">
        <v>51266</v>
      </c>
      <c r="E15021">
        <v>425060</v>
      </c>
      <c r="F15021" t="s">
        <v>1</v>
      </c>
      <c r="G15021" t="s">
        <v>50227</v>
      </c>
      <c r="H15021" t="s">
        <v>51267</v>
      </c>
      <c r="J15021" t="s">
        <v>51268</v>
      </c>
      <c r="P15021" t="s">
        <v>15832</v>
      </c>
      <c r="Y15021" t="s">
        <v>51269</v>
      </c>
    </row>
    <row r="15022" spans="1:25" x14ac:dyDescent="0.25">
      <c r="A15022" t="str">
        <f>"217275044164"</f>
        <v>217275044164</v>
      </c>
      <c r="B15022" t="s">
        <v>1544</v>
      </c>
      <c r="C15022" t="s">
        <v>15598</v>
      </c>
      <c r="D15022" t="s">
        <v>51103</v>
      </c>
      <c r="F15022" t="s">
        <v>1</v>
      </c>
      <c r="G15022" t="s">
        <v>50227</v>
      </c>
      <c r="H15022" t="s">
        <v>50855</v>
      </c>
      <c r="Y15022" t="s">
        <v>51270</v>
      </c>
    </row>
    <row r="15023" spans="1:25" x14ac:dyDescent="0.25">
      <c r="A15023" t="str">
        <f>"217710773550"</f>
        <v>217710773550</v>
      </c>
      <c r="B15023" t="s">
        <v>738</v>
      </c>
      <c r="C15023" t="s">
        <v>739</v>
      </c>
      <c r="D15023" t="s">
        <v>33901</v>
      </c>
      <c r="F15023" t="s">
        <v>1</v>
      </c>
      <c r="G15023" t="s">
        <v>50227</v>
      </c>
      <c r="H15023" t="s">
        <v>51271</v>
      </c>
      <c r="P15023" t="s">
        <v>23588</v>
      </c>
      <c r="Y15023" t="s">
        <v>51272</v>
      </c>
    </row>
    <row r="15024" spans="1:25" x14ac:dyDescent="0.25">
      <c r="A15024" t="str">
        <f>"218035978954"</f>
        <v>218035978954</v>
      </c>
      <c r="B15024" t="s">
        <v>1343</v>
      </c>
      <c r="C15024" t="s">
        <v>13544</v>
      </c>
      <c r="D15024" t="s">
        <v>26865</v>
      </c>
      <c r="F15024" t="s">
        <v>1</v>
      </c>
      <c r="G15024" t="s">
        <v>50227</v>
      </c>
      <c r="H15024" t="s">
        <v>50228</v>
      </c>
      <c r="Y15024" t="s">
        <v>51273</v>
      </c>
    </row>
    <row r="15025" spans="1:25" x14ac:dyDescent="0.25">
      <c r="A15025" t="str">
        <f>"218448824081"</f>
        <v>218448824081</v>
      </c>
      <c r="B15025" t="s">
        <v>8011</v>
      </c>
      <c r="C15025" t="s">
        <v>51275</v>
      </c>
      <c r="D15025" t="s">
        <v>18317</v>
      </c>
      <c r="E15025">
        <v>425060</v>
      </c>
      <c r="F15025" t="s">
        <v>1</v>
      </c>
      <c r="G15025" t="s">
        <v>50227</v>
      </c>
      <c r="H15025" t="s">
        <v>50753</v>
      </c>
      <c r="J15025" t="s">
        <v>51274</v>
      </c>
      <c r="P15025" t="s">
        <v>51276</v>
      </c>
      <c r="Y15025" t="s">
        <v>51277</v>
      </c>
    </row>
    <row r="15026" spans="1:25" x14ac:dyDescent="0.25">
      <c r="A15026" t="str">
        <f>"219269736124"</f>
        <v>219269736124</v>
      </c>
      <c r="B15026" t="s">
        <v>888</v>
      </c>
      <c r="C15026" t="s">
        <v>7389</v>
      </c>
      <c r="D15026" t="s">
        <v>51278</v>
      </c>
      <c r="E15026">
        <v>425060</v>
      </c>
      <c r="F15026" t="s">
        <v>1</v>
      </c>
      <c r="G15026" t="s">
        <v>50227</v>
      </c>
      <c r="H15026" t="s">
        <v>50436</v>
      </c>
      <c r="Y15026" t="s">
        <v>51279</v>
      </c>
    </row>
    <row r="15027" spans="1:25" x14ac:dyDescent="0.25">
      <c r="A15027" t="str">
        <f>"220041630052"</f>
        <v>220041630052</v>
      </c>
      <c r="B15027" t="s">
        <v>1046</v>
      </c>
      <c r="C15027" t="s">
        <v>4959</v>
      </c>
      <c r="D15027" t="s">
        <v>4959</v>
      </c>
      <c r="E15027">
        <v>425060</v>
      </c>
      <c r="F15027" t="s">
        <v>1</v>
      </c>
      <c r="G15027" t="s">
        <v>50227</v>
      </c>
      <c r="H15027" t="s">
        <v>50599</v>
      </c>
      <c r="P15027" t="s">
        <v>50988</v>
      </c>
      <c r="Y15027" t="s">
        <v>51280</v>
      </c>
    </row>
    <row r="15028" spans="1:25" x14ac:dyDescent="0.25">
      <c r="A15028" t="str">
        <f>"220990440550"</f>
        <v>220990440550</v>
      </c>
      <c r="B15028" t="s">
        <v>530</v>
      </c>
      <c r="C15028" t="s">
        <v>23950</v>
      </c>
      <c r="D15028" t="s">
        <v>23950</v>
      </c>
      <c r="E15028">
        <v>425060</v>
      </c>
      <c r="F15028" t="s">
        <v>1</v>
      </c>
      <c r="G15028" t="s">
        <v>50227</v>
      </c>
      <c r="H15028" t="s">
        <v>51281</v>
      </c>
      <c r="Y15028" t="s">
        <v>51282</v>
      </c>
    </row>
    <row r="15029" spans="1:25" x14ac:dyDescent="0.25">
      <c r="A15029" t="str">
        <f>"221417844132"</f>
        <v>221417844132</v>
      </c>
      <c r="B15029" t="s">
        <v>574</v>
      </c>
      <c r="C15029" t="s">
        <v>646</v>
      </c>
      <c r="D15029" t="s">
        <v>10573</v>
      </c>
      <c r="E15029">
        <v>425060</v>
      </c>
      <c r="F15029" t="s">
        <v>1</v>
      </c>
      <c r="G15029" t="s">
        <v>50227</v>
      </c>
      <c r="H15029" t="s">
        <v>50810</v>
      </c>
      <c r="Y15029" t="s">
        <v>51283</v>
      </c>
    </row>
    <row r="15030" spans="1:25" x14ac:dyDescent="0.25">
      <c r="A15030" t="str">
        <f>"221541703757"</f>
        <v>221541703757</v>
      </c>
      <c r="B15030" t="s">
        <v>530</v>
      </c>
      <c r="C15030" t="s">
        <v>23950</v>
      </c>
      <c r="D15030" t="s">
        <v>23950</v>
      </c>
      <c r="F15030" t="s">
        <v>1</v>
      </c>
      <c r="G15030" t="s">
        <v>50227</v>
      </c>
      <c r="H15030" t="s">
        <v>51163</v>
      </c>
      <c r="Y15030" t="s">
        <v>51284</v>
      </c>
    </row>
    <row r="15031" spans="1:25" x14ac:dyDescent="0.25">
      <c r="A15031" t="str">
        <f>"221731635970"</f>
        <v>221731635970</v>
      </c>
      <c r="B15031" t="s">
        <v>379</v>
      </c>
      <c r="C15031" t="s">
        <v>766</v>
      </c>
      <c r="D15031" t="s">
        <v>51285</v>
      </c>
      <c r="F15031" t="s">
        <v>1</v>
      </c>
      <c r="G15031" t="s">
        <v>50227</v>
      </c>
      <c r="H15031" t="s">
        <v>50633</v>
      </c>
      <c r="Y15031" t="s">
        <v>51286</v>
      </c>
    </row>
    <row r="15032" spans="1:25" x14ac:dyDescent="0.25">
      <c r="A15032" t="str">
        <f>"221743907730"</f>
        <v>221743907730</v>
      </c>
      <c r="B15032" t="s">
        <v>462</v>
      </c>
      <c r="C15032" t="s">
        <v>1140</v>
      </c>
      <c r="D15032" t="s">
        <v>51287</v>
      </c>
      <c r="F15032" t="s">
        <v>1</v>
      </c>
      <c r="G15032" t="s">
        <v>50227</v>
      </c>
      <c r="H15032" t="s">
        <v>50329</v>
      </c>
      <c r="Y15032" t="s">
        <v>51288</v>
      </c>
    </row>
    <row r="15033" spans="1:25" x14ac:dyDescent="0.25">
      <c r="A15033" t="str">
        <f>"223286711589"</f>
        <v>223286711589</v>
      </c>
      <c r="B15033" t="s">
        <v>530</v>
      </c>
      <c r="C15033" t="s">
        <v>23950</v>
      </c>
      <c r="D15033" t="s">
        <v>23950</v>
      </c>
      <c r="F15033" t="s">
        <v>1</v>
      </c>
      <c r="G15033" t="s">
        <v>50227</v>
      </c>
      <c r="H15033" t="s">
        <v>50563</v>
      </c>
      <c r="Y15033" t="s">
        <v>51289</v>
      </c>
    </row>
    <row r="15034" spans="1:25" x14ac:dyDescent="0.25">
      <c r="A15034" t="str">
        <f>"223338544382"</f>
        <v>223338544382</v>
      </c>
      <c r="B15034" t="s">
        <v>574</v>
      </c>
      <c r="C15034" t="s">
        <v>646</v>
      </c>
      <c r="D15034" t="s">
        <v>34531</v>
      </c>
      <c r="F15034" t="s">
        <v>1</v>
      </c>
      <c r="G15034" t="s">
        <v>50227</v>
      </c>
      <c r="H15034" t="s">
        <v>51043</v>
      </c>
      <c r="Y15034" t="s">
        <v>51290</v>
      </c>
    </row>
    <row r="15035" spans="1:25" x14ac:dyDescent="0.25">
      <c r="A15035" t="str">
        <f>"223657430838"</f>
        <v>223657430838</v>
      </c>
      <c r="B15035" t="s">
        <v>530</v>
      </c>
      <c r="C15035" t="s">
        <v>23950</v>
      </c>
      <c r="D15035" t="s">
        <v>23950</v>
      </c>
      <c r="F15035" t="s">
        <v>1</v>
      </c>
      <c r="G15035" t="s">
        <v>50227</v>
      </c>
      <c r="H15035" t="s">
        <v>50578</v>
      </c>
      <c r="Y15035" t="s">
        <v>51291</v>
      </c>
    </row>
    <row r="15036" spans="1:25" x14ac:dyDescent="0.25">
      <c r="A15036" t="str">
        <f>"224470078155"</f>
        <v>224470078155</v>
      </c>
      <c r="B15036" t="s">
        <v>1758</v>
      </c>
      <c r="C15036" t="s">
        <v>5551</v>
      </c>
      <c r="D15036" t="s">
        <v>5551</v>
      </c>
      <c r="E15036">
        <v>425061</v>
      </c>
      <c r="F15036" t="s">
        <v>1</v>
      </c>
      <c r="G15036" t="s">
        <v>50227</v>
      </c>
      <c r="H15036" t="s">
        <v>50516</v>
      </c>
      <c r="Y15036" t="s">
        <v>51292</v>
      </c>
    </row>
    <row r="15037" spans="1:25" x14ac:dyDescent="0.25">
      <c r="A15037" t="str">
        <f>"225976897514"</f>
        <v>225976897514</v>
      </c>
      <c r="B15037" t="s">
        <v>530</v>
      </c>
      <c r="C15037" t="s">
        <v>23950</v>
      </c>
      <c r="D15037" t="s">
        <v>23950</v>
      </c>
      <c r="E15037">
        <v>425061</v>
      </c>
      <c r="F15037" t="s">
        <v>1</v>
      </c>
      <c r="G15037" t="s">
        <v>50227</v>
      </c>
      <c r="H15037" t="s">
        <v>50714</v>
      </c>
      <c r="Y15037" t="s">
        <v>51293</v>
      </c>
    </row>
    <row r="15038" spans="1:25" x14ac:dyDescent="0.25">
      <c r="A15038" t="str">
        <f>"226808949140"</f>
        <v>226808949140</v>
      </c>
      <c r="B15038" t="s">
        <v>574</v>
      </c>
      <c r="C15038" t="s">
        <v>646</v>
      </c>
      <c r="D15038" t="s">
        <v>51294</v>
      </c>
      <c r="E15038">
        <v>425060</v>
      </c>
      <c r="F15038" t="s">
        <v>1</v>
      </c>
      <c r="G15038" t="s">
        <v>50227</v>
      </c>
      <c r="H15038" t="s">
        <v>50558</v>
      </c>
      <c r="P15038" t="s">
        <v>245</v>
      </c>
      <c r="Y15038" t="s">
        <v>51295</v>
      </c>
    </row>
    <row r="15039" spans="1:25" x14ac:dyDescent="0.25">
      <c r="A15039" t="str">
        <f>"227619862782"</f>
        <v>227619862782</v>
      </c>
      <c r="B15039" t="s">
        <v>379</v>
      </c>
      <c r="C15039" t="s">
        <v>766</v>
      </c>
      <c r="D15039" t="s">
        <v>1569</v>
      </c>
      <c r="E15039">
        <v>425060</v>
      </c>
      <c r="F15039" t="s">
        <v>1</v>
      </c>
      <c r="G15039" t="s">
        <v>50227</v>
      </c>
      <c r="H15039" t="s">
        <v>50574</v>
      </c>
      <c r="Y15039" t="s">
        <v>51296</v>
      </c>
    </row>
    <row r="15040" spans="1:25" x14ac:dyDescent="0.25">
      <c r="A15040" t="str">
        <f>"228062655653"</f>
        <v>228062655653</v>
      </c>
      <c r="B15040" t="s">
        <v>290</v>
      </c>
      <c r="C15040" t="s">
        <v>4296</v>
      </c>
      <c r="D15040" t="s">
        <v>51297</v>
      </c>
      <c r="F15040" t="s">
        <v>1</v>
      </c>
      <c r="G15040" t="s">
        <v>50227</v>
      </c>
      <c r="H15040" t="s">
        <v>51298</v>
      </c>
      <c r="Y15040" t="s">
        <v>51299</v>
      </c>
    </row>
    <row r="15041" spans="1:25" x14ac:dyDescent="0.25">
      <c r="A15041" t="str">
        <f>"229304941140"</f>
        <v>229304941140</v>
      </c>
      <c r="B15041" t="s">
        <v>18</v>
      </c>
      <c r="C15041" t="s">
        <v>4522</v>
      </c>
      <c r="D15041" t="s">
        <v>4522</v>
      </c>
      <c r="F15041" t="s">
        <v>1</v>
      </c>
      <c r="G15041" t="s">
        <v>50227</v>
      </c>
      <c r="H15041" t="s">
        <v>50302</v>
      </c>
      <c r="Y15041" t="s">
        <v>51300</v>
      </c>
    </row>
    <row r="15042" spans="1:25" x14ac:dyDescent="0.25">
      <c r="A15042" t="str">
        <f>"229417205406"</f>
        <v>229417205406</v>
      </c>
      <c r="B15042" t="s">
        <v>530</v>
      </c>
      <c r="C15042" t="s">
        <v>23950</v>
      </c>
      <c r="D15042" t="s">
        <v>23950</v>
      </c>
      <c r="F15042" t="s">
        <v>1</v>
      </c>
      <c r="G15042" t="s">
        <v>50227</v>
      </c>
      <c r="H15042" t="s">
        <v>50764</v>
      </c>
      <c r="Y15042" t="s">
        <v>51301</v>
      </c>
    </row>
    <row r="15043" spans="1:25" x14ac:dyDescent="0.25">
      <c r="A15043" t="str">
        <f>"234053289753"</f>
        <v>234053289753</v>
      </c>
      <c r="B15043" t="s">
        <v>530</v>
      </c>
      <c r="C15043" t="s">
        <v>23950</v>
      </c>
      <c r="D15043" t="s">
        <v>23950</v>
      </c>
      <c r="F15043" t="s">
        <v>1</v>
      </c>
      <c r="G15043" t="s">
        <v>50227</v>
      </c>
      <c r="H15043" t="s">
        <v>51302</v>
      </c>
      <c r="Y15043" t="s">
        <v>51303</v>
      </c>
    </row>
    <row r="15044" spans="1:25" x14ac:dyDescent="0.25">
      <c r="A15044" t="str">
        <f>"235137860686"</f>
        <v>235137860686</v>
      </c>
      <c r="B15044" t="s">
        <v>430</v>
      </c>
      <c r="C15044" t="s">
        <v>8739</v>
      </c>
      <c r="D15044" t="s">
        <v>51304</v>
      </c>
      <c r="E15044">
        <v>425060</v>
      </c>
      <c r="F15044" t="s">
        <v>1</v>
      </c>
      <c r="G15044" t="s">
        <v>50227</v>
      </c>
      <c r="H15044" t="s">
        <v>50749</v>
      </c>
      <c r="Q15044" t="s">
        <v>51305</v>
      </c>
      <c r="Y15044" t="s">
        <v>51306</v>
      </c>
    </row>
    <row r="15045" spans="1:25" x14ac:dyDescent="0.25">
      <c r="A15045" t="str">
        <f>"235174469959"</f>
        <v>235174469959</v>
      </c>
      <c r="B15045" t="s">
        <v>574</v>
      </c>
      <c r="C15045" t="s">
        <v>646</v>
      </c>
      <c r="D15045" t="s">
        <v>11536</v>
      </c>
      <c r="E15045">
        <v>425062</v>
      </c>
      <c r="F15045" t="s">
        <v>1</v>
      </c>
      <c r="G15045" t="s">
        <v>50227</v>
      </c>
      <c r="H15045" t="s">
        <v>50819</v>
      </c>
      <c r="Y15045" t="s">
        <v>51307</v>
      </c>
    </row>
    <row r="15046" spans="1:25" x14ac:dyDescent="0.25">
      <c r="A15046" t="str">
        <f>"236168108267"</f>
        <v>236168108267</v>
      </c>
      <c r="B15046" t="s">
        <v>624</v>
      </c>
      <c r="C15046" t="s">
        <v>51308</v>
      </c>
      <c r="D15046" t="s">
        <v>51308</v>
      </c>
      <c r="E15046">
        <v>425061</v>
      </c>
      <c r="F15046" t="s">
        <v>1</v>
      </c>
      <c r="G15046" t="s">
        <v>50227</v>
      </c>
      <c r="H15046" t="s">
        <v>50286</v>
      </c>
      <c r="Y15046" t="s">
        <v>51309</v>
      </c>
    </row>
    <row r="15047" spans="1:25" x14ac:dyDescent="0.25">
      <c r="A15047" t="str">
        <f>"238392272541"</f>
        <v>238392272541</v>
      </c>
      <c r="B15047" t="s">
        <v>18</v>
      </c>
      <c r="C15047" t="s">
        <v>51312</v>
      </c>
      <c r="D15047" t="s">
        <v>51310</v>
      </c>
      <c r="E15047">
        <v>425061</v>
      </c>
      <c r="F15047" t="s">
        <v>1</v>
      </c>
      <c r="G15047" t="s">
        <v>50227</v>
      </c>
      <c r="H15047" t="s">
        <v>50602</v>
      </c>
      <c r="J15047" t="s">
        <v>51311</v>
      </c>
      <c r="P15047" t="s">
        <v>11587</v>
      </c>
      <c r="Y15047" t="s">
        <v>51313</v>
      </c>
    </row>
    <row r="15048" spans="1:25" x14ac:dyDescent="0.25">
      <c r="A15048" t="str">
        <f>"238615495158"</f>
        <v>238615495158</v>
      </c>
      <c r="B15048" t="s">
        <v>290</v>
      </c>
      <c r="C15048" t="s">
        <v>290</v>
      </c>
      <c r="D15048" t="s">
        <v>51314</v>
      </c>
      <c r="E15048">
        <v>425062</v>
      </c>
      <c r="F15048" t="s">
        <v>1</v>
      </c>
      <c r="G15048" t="s">
        <v>50227</v>
      </c>
      <c r="H15048" t="s">
        <v>51315</v>
      </c>
      <c r="P15048" t="s">
        <v>1306</v>
      </c>
      <c r="Y15048" t="s">
        <v>51316</v>
      </c>
    </row>
    <row r="15049" spans="1:25" x14ac:dyDescent="0.25">
      <c r="A15049" t="str">
        <f>"239450131160"</f>
        <v>239450131160</v>
      </c>
      <c r="B15049" t="s">
        <v>96</v>
      </c>
      <c r="C15049" t="s">
        <v>893</v>
      </c>
      <c r="D15049" t="s">
        <v>51317</v>
      </c>
      <c r="F15049" t="s">
        <v>1</v>
      </c>
      <c r="G15049" t="s">
        <v>50227</v>
      </c>
      <c r="H15049" t="s">
        <v>50483</v>
      </c>
      <c r="Y15049" t="s">
        <v>51318</v>
      </c>
    </row>
    <row r="15050" spans="1:25" x14ac:dyDescent="0.25">
      <c r="A15050" t="str">
        <f>"240072944848"</f>
        <v>240072944848</v>
      </c>
      <c r="B15050" t="s">
        <v>1343</v>
      </c>
      <c r="C15050" t="s">
        <v>5308</v>
      </c>
      <c r="D15050" t="s">
        <v>51319</v>
      </c>
      <c r="E15050">
        <v>425060</v>
      </c>
      <c r="F15050" t="s">
        <v>1</v>
      </c>
      <c r="G15050" t="s">
        <v>50227</v>
      </c>
      <c r="H15050" t="s">
        <v>50558</v>
      </c>
      <c r="Y15050" t="s">
        <v>51320</v>
      </c>
    </row>
    <row r="15051" spans="1:25" x14ac:dyDescent="0.25">
      <c r="A15051" t="str">
        <f>"240745547717"</f>
        <v>240745547717</v>
      </c>
      <c r="B15051" t="s">
        <v>3008</v>
      </c>
      <c r="C15051" t="s">
        <v>51321</v>
      </c>
      <c r="D15051" t="s">
        <v>15481</v>
      </c>
      <c r="E15051">
        <v>425060</v>
      </c>
      <c r="F15051" t="s">
        <v>1</v>
      </c>
      <c r="G15051" t="s">
        <v>50227</v>
      </c>
      <c r="H15051" t="s">
        <v>51267</v>
      </c>
      <c r="J15051" t="s">
        <v>51268</v>
      </c>
      <c r="P15051" t="s">
        <v>15832</v>
      </c>
      <c r="Y15051" t="s">
        <v>51322</v>
      </c>
    </row>
    <row r="15052" spans="1:25" x14ac:dyDescent="0.25">
      <c r="A15052" t="str">
        <f>"241231695258"</f>
        <v>241231695258</v>
      </c>
      <c r="B15052" t="s">
        <v>530</v>
      </c>
      <c r="C15052" t="s">
        <v>23950</v>
      </c>
      <c r="D15052" t="s">
        <v>23950</v>
      </c>
      <c r="F15052" t="s">
        <v>1</v>
      </c>
      <c r="G15052" t="s">
        <v>50227</v>
      </c>
      <c r="H15052" t="s">
        <v>50734</v>
      </c>
      <c r="Y15052" t="s">
        <v>51323</v>
      </c>
    </row>
    <row r="15053" spans="1:25" x14ac:dyDescent="0.25">
      <c r="A15053" t="str">
        <f>"242537611526"</f>
        <v>242537611526</v>
      </c>
      <c r="B15053" t="s">
        <v>96</v>
      </c>
      <c r="C15053" t="s">
        <v>38310</v>
      </c>
      <c r="D15053" t="s">
        <v>51324</v>
      </c>
      <c r="E15053">
        <v>425060</v>
      </c>
      <c r="F15053" t="s">
        <v>1</v>
      </c>
      <c r="G15053" t="s">
        <v>50227</v>
      </c>
      <c r="H15053" t="s">
        <v>50574</v>
      </c>
      <c r="Y15053" t="s">
        <v>51325</v>
      </c>
    </row>
    <row r="15054" spans="1:25" x14ac:dyDescent="0.25">
      <c r="A15054" t="str">
        <f>"243513204673"</f>
        <v>243513204673</v>
      </c>
      <c r="B15054" t="s">
        <v>2846</v>
      </c>
      <c r="C15054" t="s">
        <v>51327</v>
      </c>
      <c r="D15054" t="s">
        <v>51326</v>
      </c>
      <c r="E15054">
        <v>425060</v>
      </c>
      <c r="F15054" t="s">
        <v>1</v>
      </c>
      <c r="G15054" t="s">
        <v>50227</v>
      </c>
      <c r="H15054" t="s">
        <v>50574</v>
      </c>
      <c r="Y15054" t="s">
        <v>51328</v>
      </c>
    </row>
    <row r="15055" spans="1:25" x14ac:dyDescent="0.25">
      <c r="A15055" t="str">
        <f>"1000032404"</f>
        <v>1000032404</v>
      </c>
      <c r="B15055" t="s">
        <v>2790</v>
      </c>
      <c r="C15055" t="s">
        <v>3528</v>
      </c>
      <c r="D15055" t="s">
        <v>51329</v>
      </c>
      <c r="E15055">
        <v>425354</v>
      </c>
      <c r="F15055" t="s">
        <v>1</v>
      </c>
      <c r="G15055" t="s">
        <v>51330</v>
      </c>
      <c r="H15055" t="s">
        <v>51331</v>
      </c>
      <c r="I15055" t="s">
        <v>51332</v>
      </c>
      <c r="J15055" t="s">
        <v>51333</v>
      </c>
      <c r="P15055" t="s">
        <v>51334</v>
      </c>
      <c r="Y15055" t="s">
        <v>51335</v>
      </c>
    </row>
    <row r="15056" spans="1:25" x14ac:dyDescent="0.25">
      <c r="A15056" t="str">
        <f>"1000941108"</f>
        <v>1000941108</v>
      </c>
      <c r="B15056" t="s">
        <v>624</v>
      </c>
      <c r="C15056" t="s">
        <v>51339</v>
      </c>
      <c r="D15056" t="s">
        <v>51336</v>
      </c>
      <c r="F15056" t="s">
        <v>1</v>
      </c>
      <c r="G15056" t="s">
        <v>51330</v>
      </c>
      <c r="H15056" t="s">
        <v>51337</v>
      </c>
      <c r="I15056" t="s">
        <v>51338</v>
      </c>
      <c r="Y15056" t="s">
        <v>51340</v>
      </c>
    </row>
    <row r="15057" spans="1:25" x14ac:dyDescent="0.25">
      <c r="A15057" t="str">
        <f>"1001349760"</f>
        <v>1001349760</v>
      </c>
      <c r="B15057" t="s">
        <v>25</v>
      </c>
      <c r="C15057" t="s">
        <v>59</v>
      </c>
      <c r="D15057" t="s">
        <v>51341</v>
      </c>
      <c r="E15057">
        <v>425350</v>
      </c>
      <c r="F15057" t="s">
        <v>1</v>
      </c>
      <c r="G15057" t="s">
        <v>51330</v>
      </c>
      <c r="H15057" t="s">
        <v>51342</v>
      </c>
      <c r="I15057" t="s">
        <v>51343</v>
      </c>
      <c r="J15057" t="s">
        <v>51344</v>
      </c>
      <c r="P15057" t="s">
        <v>20</v>
      </c>
      <c r="Y15057" t="s">
        <v>51345</v>
      </c>
    </row>
    <row r="15058" spans="1:25" x14ac:dyDescent="0.25">
      <c r="A15058" t="str">
        <f>"1001584589"</f>
        <v>1001584589</v>
      </c>
      <c r="B15058" t="s">
        <v>18</v>
      </c>
      <c r="C15058" t="s">
        <v>959</v>
      </c>
      <c r="D15058" t="s">
        <v>51346</v>
      </c>
      <c r="F15058" t="s">
        <v>1</v>
      </c>
      <c r="G15058" t="s">
        <v>51330</v>
      </c>
      <c r="H15058" t="s">
        <v>51347</v>
      </c>
      <c r="I15058" t="s">
        <v>51348</v>
      </c>
      <c r="Y15058" t="s">
        <v>51349</v>
      </c>
    </row>
    <row r="15059" spans="1:25" x14ac:dyDescent="0.25">
      <c r="A15059" t="str">
        <f>"1003274289"</f>
        <v>1003274289</v>
      </c>
      <c r="B15059" t="s">
        <v>1053</v>
      </c>
      <c r="C15059" t="s">
        <v>16884</v>
      </c>
      <c r="D15059" t="s">
        <v>51350</v>
      </c>
      <c r="E15059">
        <v>425350</v>
      </c>
      <c r="F15059" t="s">
        <v>1</v>
      </c>
      <c r="G15059" t="s">
        <v>51330</v>
      </c>
      <c r="H15059" t="s">
        <v>51351</v>
      </c>
      <c r="I15059" t="s">
        <v>51352</v>
      </c>
      <c r="P15059" t="s">
        <v>280</v>
      </c>
      <c r="Y15059" t="s">
        <v>51353</v>
      </c>
    </row>
    <row r="15060" spans="1:25" x14ac:dyDescent="0.25">
      <c r="A15060" t="str">
        <f>"1007224742"</f>
        <v>1007224742</v>
      </c>
      <c r="B15060" t="s">
        <v>447</v>
      </c>
      <c r="C15060" t="s">
        <v>51357</v>
      </c>
      <c r="D15060" t="s">
        <v>51354</v>
      </c>
      <c r="E15060">
        <v>425350</v>
      </c>
      <c r="F15060" t="s">
        <v>1</v>
      </c>
      <c r="G15060" t="s">
        <v>51330</v>
      </c>
      <c r="H15060" t="s">
        <v>51355</v>
      </c>
      <c r="I15060" t="s">
        <v>51356</v>
      </c>
      <c r="Y15060" t="s">
        <v>51358</v>
      </c>
    </row>
    <row r="15061" spans="1:25" x14ac:dyDescent="0.25">
      <c r="A15061" t="str">
        <f>"1028296165"</f>
        <v>1028296165</v>
      </c>
      <c r="B15061" t="s">
        <v>176</v>
      </c>
      <c r="C15061" t="s">
        <v>566</v>
      </c>
      <c r="D15061" t="s">
        <v>51118</v>
      </c>
      <c r="E15061">
        <v>425350</v>
      </c>
      <c r="F15061" t="s">
        <v>1</v>
      </c>
      <c r="G15061" t="s">
        <v>51330</v>
      </c>
      <c r="H15061" t="s">
        <v>51359</v>
      </c>
      <c r="I15061" t="s">
        <v>51360</v>
      </c>
      <c r="K15061" t="s">
        <v>51361</v>
      </c>
      <c r="P15061" t="s">
        <v>330</v>
      </c>
      <c r="Y15061" t="s">
        <v>51362</v>
      </c>
    </row>
    <row r="15062" spans="1:25" x14ac:dyDescent="0.25">
      <c r="A15062" t="str">
        <f>"1040138216"</f>
        <v>1040138216</v>
      </c>
      <c r="B15062" t="s">
        <v>3094</v>
      </c>
      <c r="C15062" t="s">
        <v>7527</v>
      </c>
      <c r="D15062" t="s">
        <v>51363</v>
      </c>
      <c r="F15062" t="s">
        <v>1</v>
      </c>
      <c r="G15062" t="s">
        <v>51330</v>
      </c>
      <c r="H15062" t="s">
        <v>51364</v>
      </c>
      <c r="I15062" t="s">
        <v>51365</v>
      </c>
      <c r="K15062" t="s">
        <v>51366</v>
      </c>
      <c r="L15062" t="s">
        <v>3001</v>
      </c>
      <c r="M15062" t="s">
        <v>3002</v>
      </c>
      <c r="P15062" t="s">
        <v>330</v>
      </c>
      <c r="Y15062" t="s">
        <v>51367</v>
      </c>
    </row>
    <row r="15063" spans="1:25" x14ac:dyDescent="0.25">
      <c r="A15063" t="str">
        <f>"1042067398"</f>
        <v>1042067398</v>
      </c>
      <c r="B15063" t="s">
        <v>284</v>
      </c>
      <c r="C15063" t="s">
        <v>3445</v>
      </c>
      <c r="D15063" t="s">
        <v>51368</v>
      </c>
      <c r="F15063" t="s">
        <v>1</v>
      </c>
      <c r="G15063" t="s">
        <v>51330</v>
      </c>
      <c r="H15063" t="s">
        <v>51369</v>
      </c>
      <c r="I15063" t="s">
        <v>51370</v>
      </c>
      <c r="Y15063" t="s">
        <v>51371</v>
      </c>
    </row>
    <row r="15064" spans="1:25" x14ac:dyDescent="0.25">
      <c r="A15064" t="str">
        <f>"1042125358"</f>
        <v>1042125358</v>
      </c>
      <c r="B15064" t="s">
        <v>2790</v>
      </c>
      <c r="C15064" t="s">
        <v>3528</v>
      </c>
      <c r="D15064" t="s">
        <v>51372</v>
      </c>
      <c r="F15064" t="s">
        <v>1</v>
      </c>
      <c r="G15064" t="s">
        <v>51330</v>
      </c>
      <c r="H15064" t="s">
        <v>51373</v>
      </c>
      <c r="I15064" t="s">
        <v>51374</v>
      </c>
      <c r="L15064" t="s">
        <v>51375</v>
      </c>
      <c r="M15064" t="s">
        <v>51376</v>
      </c>
      <c r="P15064" t="s">
        <v>51334</v>
      </c>
      <c r="Q15064" t="s">
        <v>51377</v>
      </c>
      <c r="Y15064" t="s">
        <v>51378</v>
      </c>
    </row>
    <row r="15065" spans="1:25" x14ac:dyDescent="0.25">
      <c r="A15065" t="str">
        <f>"1044008267"</f>
        <v>1044008267</v>
      </c>
      <c r="B15065" t="s">
        <v>204</v>
      </c>
      <c r="C15065" t="s">
        <v>25704</v>
      </c>
      <c r="D15065" t="s">
        <v>51379</v>
      </c>
      <c r="F15065" t="s">
        <v>1</v>
      </c>
      <c r="G15065" t="s">
        <v>51330</v>
      </c>
      <c r="H15065" t="s">
        <v>51380</v>
      </c>
      <c r="Y15065" t="s">
        <v>51381</v>
      </c>
    </row>
    <row r="15066" spans="1:25" x14ac:dyDescent="0.25">
      <c r="A15066" t="str">
        <f>"1044851947"</f>
        <v>1044851947</v>
      </c>
      <c r="B15066" t="s">
        <v>1611</v>
      </c>
      <c r="C15066" t="s">
        <v>14699</v>
      </c>
      <c r="D15066" t="s">
        <v>51382</v>
      </c>
      <c r="F15066" t="s">
        <v>1</v>
      </c>
      <c r="G15066" t="s">
        <v>51330</v>
      </c>
      <c r="H15066" t="s">
        <v>51383</v>
      </c>
      <c r="Y15066" t="s">
        <v>51384</v>
      </c>
    </row>
    <row r="15067" spans="1:25" x14ac:dyDescent="0.25">
      <c r="A15067" t="str">
        <f>"1046858785"</f>
        <v>1046858785</v>
      </c>
      <c r="B15067" t="s">
        <v>160</v>
      </c>
      <c r="C15067" t="s">
        <v>13649</v>
      </c>
      <c r="D15067" t="s">
        <v>51385</v>
      </c>
      <c r="F15067" t="s">
        <v>1</v>
      </c>
      <c r="G15067" t="s">
        <v>51330</v>
      </c>
      <c r="H15067" t="s">
        <v>51386</v>
      </c>
      <c r="I15067" t="s">
        <v>51387</v>
      </c>
      <c r="P15067" t="s">
        <v>51388</v>
      </c>
      <c r="Y15067" t="s">
        <v>51389</v>
      </c>
    </row>
    <row r="15068" spans="1:25" x14ac:dyDescent="0.25">
      <c r="A15068" t="str">
        <f>"1047931037"</f>
        <v>1047931037</v>
      </c>
      <c r="B15068" t="s">
        <v>160</v>
      </c>
      <c r="C15068" t="s">
        <v>14673</v>
      </c>
      <c r="D15068" t="s">
        <v>14667</v>
      </c>
      <c r="F15068" t="s">
        <v>1</v>
      </c>
      <c r="G15068" t="s">
        <v>51330</v>
      </c>
      <c r="H15068" t="s">
        <v>51390</v>
      </c>
      <c r="I15068" t="s">
        <v>51391</v>
      </c>
      <c r="P15068" t="s">
        <v>280</v>
      </c>
      <c r="Y15068" t="s">
        <v>51392</v>
      </c>
    </row>
    <row r="15069" spans="1:25" x14ac:dyDescent="0.25">
      <c r="A15069" t="str">
        <f>"1049463011"</f>
        <v>1049463011</v>
      </c>
      <c r="B15069" t="s">
        <v>803</v>
      </c>
      <c r="C15069" t="s">
        <v>3088</v>
      </c>
      <c r="D15069" t="s">
        <v>51393</v>
      </c>
      <c r="E15069">
        <v>425350</v>
      </c>
      <c r="F15069" t="s">
        <v>1</v>
      </c>
      <c r="G15069" t="s">
        <v>51330</v>
      </c>
      <c r="H15069" t="s">
        <v>51394</v>
      </c>
      <c r="I15069" t="s">
        <v>51395</v>
      </c>
      <c r="L15069" t="s">
        <v>51396</v>
      </c>
      <c r="M15069" t="s">
        <v>51397</v>
      </c>
      <c r="P15069" t="s">
        <v>7701</v>
      </c>
      <c r="Y15069" t="s">
        <v>51398</v>
      </c>
    </row>
    <row r="15070" spans="1:25" x14ac:dyDescent="0.25">
      <c r="A15070" t="str">
        <f>"1051577130"</f>
        <v>1051577130</v>
      </c>
      <c r="B15070" t="s">
        <v>738</v>
      </c>
      <c r="C15070" t="s">
        <v>739</v>
      </c>
      <c r="D15070" t="s">
        <v>51399</v>
      </c>
      <c r="E15070">
        <v>425350</v>
      </c>
      <c r="F15070" t="s">
        <v>1</v>
      </c>
      <c r="G15070" t="s">
        <v>51330</v>
      </c>
      <c r="H15070" t="s">
        <v>51400</v>
      </c>
      <c r="I15070" t="s">
        <v>51401</v>
      </c>
      <c r="L15070" t="s">
        <v>2127</v>
      </c>
      <c r="M15070" t="s">
        <v>51402</v>
      </c>
      <c r="P15070" t="s">
        <v>280</v>
      </c>
      <c r="Y15070" t="s">
        <v>51403</v>
      </c>
    </row>
    <row r="15071" spans="1:25" x14ac:dyDescent="0.25">
      <c r="A15071" t="str">
        <f>"1054399340"</f>
        <v>1054399340</v>
      </c>
      <c r="B15071" t="s">
        <v>1053</v>
      </c>
      <c r="C15071" t="s">
        <v>6300</v>
      </c>
      <c r="D15071" t="s">
        <v>51404</v>
      </c>
      <c r="F15071" t="s">
        <v>1</v>
      </c>
      <c r="G15071" t="s">
        <v>51330</v>
      </c>
      <c r="H15071" t="s">
        <v>51405</v>
      </c>
      <c r="Y15071" t="s">
        <v>51349</v>
      </c>
    </row>
    <row r="15072" spans="1:25" x14ac:dyDescent="0.25">
      <c r="A15072" t="str">
        <f>"1054872925"</f>
        <v>1054872925</v>
      </c>
      <c r="B15072" t="s">
        <v>284</v>
      </c>
      <c r="C15072" t="s">
        <v>51411</v>
      </c>
      <c r="D15072" t="s">
        <v>51406</v>
      </c>
      <c r="E15072">
        <v>425350</v>
      </c>
      <c r="F15072" t="s">
        <v>1</v>
      </c>
      <c r="G15072" t="s">
        <v>51330</v>
      </c>
      <c r="H15072" t="s">
        <v>51407</v>
      </c>
      <c r="I15072" t="s">
        <v>51408</v>
      </c>
      <c r="L15072" t="s">
        <v>51409</v>
      </c>
      <c r="M15072" t="s">
        <v>51410</v>
      </c>
      <c r="P15072" t="s">
        <v>280</v>
      </c>
      <c r="Q15072" t="s">
        <v>51412</v>
      </c>
      <c r="T15072" t="s">
        <v>51413</v>
      </c>
      <c r="Y15072" t="s">
        <v>51414</v>
      </c>
    </row>
    <row r="15073" spans="1:25" x14ac:dyDescent="0.25">
      <c r="A15073" t="str">
        <f>"1061142027"</f>
        <v>1061142027</v>
      </c>
      <c r="B15073" t="s">
        <v>1053</v>
      </c>
      <c r="C15073" t="s">
        <v>39136</v>
      </c>
      <c r="D15073" t="s">
        <v>51415</v>
      </c>
      <c r="F15073" t="s">
        <v>1</v>
      </c>
      <c r="G15073" t="s">
        <v>51330</v>
      </c>
      <c r="H15073" t="s">
        <v>51416</v>
      </c>
      <c r="I15073" t="s">
        <v>51417</v>
      </c>
      <c r="Y15073" t="s">
        <v>51418</v>
      </c>
    </row>
    <row r="15074" spans="1:25" x14ac:dyDescent="0.25">
      <c r="A15074" t="str">
        <f>"1063426011"</f>
        <v>1063426011</v>
      </c>
      <c r="B15074" t="s">
        <v>803</v>
      </c>
      <c r="C15074" t="s">
        <v>51421</v>
      </c>
      <c r="D15074" t="s">
        <v>32650</v>
      </c>
      <c r="E15074">
        <v>425350</v>
      </c>
      <c r="F15074" t="s">
        <v>1</v>
      </c>
      <c r="G15074" t="s">
        <v>51330</v>
      </c>
      <c r="H15074" t="s">
        <v>51394</v>
      </c>
      <c r="I15074" t="s">
        <v>51419</v>
      </c>
      <c r="K15074" t="s">
        <v>51420</v>
      </c>
      <c r="Y15074" t="s">
        <v>51422</v>
      </c>
    </row>
    <row r="15075" spans="1:25" x14ac:dyDescent="0.25">
      <c r="A15075" t="str">
        <f>"1063952529"</f>
        <v>1063952529</v>
      </c>
      <c r="B15075" t="s">
        <v>18</v>
      </c>
      <c r="C15075" t="s">
        <v>47428</v>
      </c>
      <c r="D15075" t="s">
        <v>51423</v>
      </c>
      <c r="F15075" t="s">
        <v>1</v>
      </c>
      <c r="G15075" t="s">
        <v>51330</v>
      </c>
      <c r="H15075" t="s">
        <v>51424</v>
      </c>
      <c r="I15075" t="s">
        <v>51425</v>
      </c>
      <c r="Y15075" t="s">
        <v>51426</v>
      </c>
    </row>
    <row r="15076" spans="1:25" x14ac:dyDescent="0.25">
      <c r="A15076" t="str">
        <f>"1067084251"</f>
        <v>1067084251</v>
      </c>
      <c r="B15076" t="s">
        <v>160</v>
      </c>
      <c r="C15076" t="s">
        <v>50276</v>
      </c>
      <c r="D15076" t="s">
        <v>51427</v>
      </c>
      <c r="F15076" t="s">
        <v>1</v>
      </c>
      <c r="G15076" t="s">
        <v>51330</v>
      </c>
      <c r="H15076" t="s">
        <v>51428</v>
      </c>
      <c r="Y15076" t="s">
        <v>51429</v>
      </c>
    </row>
    <row r="15077" spans="1:25" x14ac:dyDescent="0.25">
      <c r="A15077" t="str">
        <f>"1067189259"</f>
        <v>1067189259</v>
      </c>
      <c r="B15077" t="s">
        <v>1611</v>
      </c>
      <c r="C15077" t="s">
        <v>51432</v>
      </c>
      <c r="D15077" t="s">
        <v>51430</v>
      </c>
      <c r="E15077">
        <v>425350</v>
      </c>
      <c r="F15077" t="s">
        <v>1</v>
      </c>
      <c r="G15077" t="s">
        <v>51330</v>
      </c>
      <c r="H15077" t="s">
        <v>51431</v>
      </c>
      <c r="Y15077" t="s">
        <v>51433</v>
      </c>
    </row>
    <row r="15078" spans="1:25" x14ac:dyDescent="0.25">
      <c r="A15078" t="str">
        <f>"1073213828"</f>
        <v>1073213828</v>
      </c>
      <c r="B15078" t="s">
        <v>160</v>
      </c>
      <c r="C15078" t="s">
        <v>2479</v>
      </c>
      <c r="D15078" t="s">
        <v>51434</v>
      </c>
      <c r="F15078" t="s">
        <v>1</v>
      </c>
      <c r="G15078" t="s">
        <v>51330</v>
      </c>
      <c r="H15078" t="s">
        <v>51435</v>
      </c>
      <c r="I15078" t="s">
        <v>51436</v>
      </c>
      <c r="P15078" t="s">
        <v>51437</v>
      </c>
      <c r="Y15078" t="s">
        <v>51438</v>
      </c>
    </row>
    <row r="15079" spans="1:25" x14ac:dyDescent="0.25">
      <c r="A15079" t="str">
        <f>"1074509361"</f>
        <v>1074509361</v>
      </c>
      <c r="B15079" t="s">
        <v>456</v>
      </c>
      <c r="C15079" t="s">
        <v>2040</v>
      </c>
      <c r="D15079" t="s">
        <v>51439</v>
      </c>
      <c r="E15079">
        <v>425350</v>
      </c>
      <c r="F15079" t="s">
        <v>1</v>
      </c>
      <c r="G15079" t="s">
        <v>51330</v>
      </c>
      <c r="H15079" t="s">
        <v>51440</v>
      </c>
      <c r="I15079" t="s">
        <v>51441</v>
      </c>
      <c r="L15079" t="s">
        <v>10318</v>
      </c>
      <c r="P15079" t="s">
        <v>330</v>
      </c>
      <c r="S15079" t="s">
        <v>51442</v>
      </c>
      <c r="Y15079" t="s">
        <v>51443</v>
      </c>
    </row>
    <row r="15080" spans="1:25" x14ac:dyDescent="0.25">
      <c r="A15080" t="str">
        <f>"1074513196"</f>
        <v>1074513196</v>
      </c>
      <c r="B15080" t="s">
        <v>574</v>
      </c>
      <c r="C15080" t="s">
        <v>51446</v>
      </c>
      <c r="D15080" t="s">
        <v>13924</v>
      </c>
      <c r="F15080" t="s">
        <v>1</v>
      </c>
      <c r="G15080" t="s">
        <v>51330</v>
      </c>
      <c r="H15080" t="s">
        <v>51444</v>
      </c>
      <c r="I15080" t="s">
        <v>51445</v>
      </c>
      <c r="Y15080" t="s">
        <v>51447</v>
      </c>
    </row>
    <row r="15081" spans="1:25" x14ac:dyDescent="0.25">
      <c r="A15081" t="str">
        <f>"1076723268"</f>
        <v>1076723268</v>
      </c>
      <c r="B15081" t="s">
        <v>703</v>
      </c>
      <c r="C15081" t="s">
        <v>51452</v>
      </c>
      <c r="D15081" t="s">
        <v>51448</v>
      </c>
      <c r="E15081">
        <v>425354</v>
      </c>
      <c r="F15081" t="s">
        <v>1</v>
      </c>
      <c r="G15081" t="s">
        <v>51330</v>
      </c>
      <c r="H15081" t="s">
        <v>51449</v>
      </c>
      <c r="I15081" t="s">
        <v>51450</v>
      </c>
      <c r="L15081" t="s">
        <v>51451</v>
      </c>
      <c r="P15081" t="s">
        <v>280</v>
      </c>
      <c r="Y15081" t="s">
        <v>51453</v>
      </c>
    </row>
    <row r="15082" spans="1:25" x14ac:dyDescent="0.25">
      <c r="A15082" t="str">
        <f>"1084698669"</f>
        <v>1084698669</v>
      </c>
      <c r="B15082" t="s">
        <v>352</v>
      </c>
      <c r="C15082" t="s">
        <v>3028</v>
      </c>
      <c r="D15082" t="s">
        <v>51454</v>
      </c>
      <c r="F15082" t="s">
        <v>1</v>
      </c>
      <c r="G15082" t="s">
        <v>51330</v>
      </c>
      <c r="H15082" t="s">
        <v>51455</v>
      </c>
      <c r="I15082" t="s">
        <v>51456</v>
      </c>
      <c r="P15082" t="s">
        <v>280</v>
      </c>
      <c r="Y15082" t="s">
        <v>51457</v>
      </c>
    </row>
    <row r="15083" spans="1:25" x14ac:dyDescent="0.25">
      <c r="A15083" t="str">
        <f>"1085306957"</f>
        <v>1085306957</v>
      </c>
      <c r="B15083" t="s">
        <v>1702</v>
      </c>
      <c r="C15083" t="s">
        <v>2265</v>
      </c>
      <c r="D15083" t="s">
        <v>51458</v>
      </c>
      <c r="F15083" t="s">
        <v>1</v>
      </c>
      <c r="G15083" t="s">
        <v>51330</v>
      </c>
      <c r="H15083" t="s">
        <v>51459</v>
      </c>
      <c r="I15083" t="s">
        <v>51460</v>
      </c>
      <c r="P15083" t="s">
        <v>280</v>
      </c>
      <c r="Y15083" t="s">
        <v>51461</v>
      </c>
    </row>
    <row r="15084" spans="1:25" x14ac:dyDescent="0.25">
      <c r="A15084" t="str">
        <f>"1087668047"</f>
        <v>1087668047</v>
      </c>
      <c r="B15084" t="s">
        <v>1182</v>
      </c>
      <c r="C15084" t="s">
        <v>16133</v>
      </c>
      <c r="D15084" t="s">
        <v>51462</v>
      </c>
      <c r="E15084">
        <v>425350</v>
      </c>
      <c r="F15084" t="s">
        <v>1</v>
      </c>
      <c r="G15084" t="s">
        <v>51330</v>
      </c>
      <c r="H15084" t="s">
        <v>51463</v>
      </c>
      <c r="I15084" t="s">
        <v>51464</v>
      </c>
      <c r="P15084" t="s">
        <v>20</v>
      </c>
      <c r="Q15084" t="s">
        <v>51465</v>
      </c>
      <c r="V15084" t="s">
        <v>51466</v>
      </c>
      <c r="Y15084" t="s">
        <v>51467</v>
      </c>
    </row>
    <row r="15085" spans="1:25" x14ac:dyDescent="0.25">
      <c r="A15085" t="str">
        <f>"1093851629"</f>
        <v>1093851629</v>
      </c>
      <c r="B15085" t="s">
        <v>18</v>
      </c>
      <c r="C15085" t="s">
        <v>51472</v>
      </c>
      <c r="D15085" t="s">
        <v>51468</v>
      </c>
      <c r="F15085" t="s">
        <v>1</v>
      </c>
      <c r="G15085" t="s">
        <v>51330</v>
      </c>
      <c r="H15085" t="s">
        <v>51469</v>
      </c>
      <c r="J15085" t="s">
        <v>51470</v>
      </c>
      <c r="M15085" t="s">
        <v>51471</v>
      </c>
      <c r="P15085" t="s">
        <v>11587</v>
      </c>
      <c r="Q15085" t="s">
        <v>51473</v>
      </c>
      <c r="Y15085" t="s">
        <v>51474</v>
      </c>
    </row>
    <row r="15086" spans="1:25" x14ac:dyDescent="0.25">
      <c r="A15086" t="str">
        <f>"1105044697"</f>
        <v>1105044697</v>
      </c>
      <c r="B15086" t="s">
        <v>1611</v>
      </c>
      <c r="C15086" t="s">
        <v>3218</v>
      </c>
      <c r="D15086" t="s">
        <v>3218</v>
      </c>
      <c r="F15086" t="s">
        <v>1</v>
      </c>
      <c r="G15086" t="s">
        <v>51330</v>
      </c>
      <c r="H15086" t="s">
        <v>51475</v>
      </c>
      <c r="Y15086" t="s">
        <v>51476</v>
      </c>
    </row>
    <row r="15087" spans="1:25" x14ac:dyDescent="0.25">
      <c r="A15087" t="str">
        <f>"1108068271"</f>
        <v>1108068271</v>
      </c>
      <c r="B15087" t="s">
        <v>2790</v>
      </c>
      <c r="C15087" t="s">
        <v>3528</v>
      </c>
      <c r="D15087" t="s">
        <v>51477</v>
      </c>
      <c r="E15087">
        <v>425354</v>
      </c>
      <c r="F15087" t="s">
        <v>1</v>
      </c>
      <c r="G15087" t="s">
        <v>51330</v>
      </c>
      <c r="H15087" t="s">
        <v>51478</v>
      </c>
      <c r="I15087" t="s">
        <v>51479</v>
      </c>
      <c r="J15087" t="s">
        <v>51333</v>
      </c>
      <c r="L15087" t="s">
        <v>51375</v>
      </c>
      <c r="M15087" t="s">
        <v>51480</v>
      </c>
      <c r="P15087" t="s">
        <v>51334</v>
      </c>
      <c r="Q15087" t="s">
        <v>51481</v>
      </c>
      <c r="Y15087" t="s">
        <v>51482</v>
      </c>
    </row>
    <row r="15088" spans="1:25" x14ac:dyDescent="0.25">
      <c r="A15088" t="str">
        <f>"1108157403"</f>
        <v>1108157403</v>
      </c>
      <c r="B15088" t="s">
        <v>1262</v>
      </c>
      <c r="C15088" t="s">
        <v>18398</v>
      </c>
      <c r="D15088" t="s">
        <v>51483</v>
      </c>
      <c r="F15088" t="s">
        <v>1</v>
      </c>
      <c r="G15088" t="s">
        <v>51330</v>
      </c>
      <c r="H15088" t="s">
        <v>51484</v>
      </c>
      <c r="I15088" t="s">
        <v>51485</v>
      </c>
      <c r="L15088" t="s">
        <v>581</v>
      </c>
      <c r="M15088" t="s">
        <v>582</v>
      </c>
      <c r="P15088" t="s">
        <v>280</v>
      </c>
      <c r="Y15088" t="s">
        <v>51486</v>
      </c>
    </row>
    <row r="15089" spans="1:25" x14ac:dyDescent="0.25">
      <c r="A15089" t="str">
        <f>"1113352142"</f>
        <v>1113352142</v>
      </c>
      <c r="B15089" t="s">
        <v>319</v>
      </c>
      <c r="C15089" t="s">
        <v>320</v>
      </c>
      <c r="D15089" t="s">
        <v>51487</v>
      </c>
      <c r="E15089">
        <v>425350</v>
      </c>
      <c r="F15089" t="s">
        <v>1</v>
      </c>
      <c r="G15089" t="s">
        <v>51330</v>
      </c>
      <c r="H15089" t="s">
        <v>51488</v>
      </c>
      <c r="I15089" t="s">
        <v>51489</v>
      </c>
      <c r="P15089" t="s">
        <v>14531</v>
      </c>
      <c r="Y15089" t="s">
        <v>51490</v>
      </c>
    </row>
    <row r="15090" spans="1:25" x14ac:dyDescent="0.25">
      <c r="A15090" t="str">
        <f>"1113747494"</f>
        <v>1113747494</v>
      </c>
      <c r="B15090" t="s">
        <v>18</v>
      </c>
      <c r="C15090" t="s">
        <v>26544</v>
      </c>
      <c r="D15090" t="s">
        <v>51491</v>
      </c>
      <c r="F15090" t="s">
        <v>1</v>
      </c>
      <c r="G15090" t="s">
        <v>51330</v>
      </c>
      <c r="H15090" t="s">
        <v>51455</v>
      </c>
      <c r="I15090" t="s">
        <v>51492</v>
      </c>
      <c r="P15090" t="s">
        <v>280</v>
      </c>
      <c r="Y15090" t="s">
        <v>51457</v>
      </c>
    </row>
    <row r="15091" spans="1:25" x14ac:dyDescent="0.25">
      <c r="A15091" t="str">
        <f>"1114473043"</f>
        <v>1114473043</v>
      </c>
      <c r="B15091" t="s">
        <v>1262</v>
      </c>
      <c r="C15091" t="s">
        <v>3214</v>
      </c>
      <c r="D15091" t="s">
        <v>51493</v>
      </c>
      <c r="F15091" t="s">
        <v>1</v>
      </c>
      <c r="G15091" t="s">
        <v>51330</v>
      </c>
      <c r="H15091" t="s">
        <v>51494</v>
      </c>
      <c r="I15091" t="s">
        <v>51495</v>
      </c>
      <c r="Y15091" t="s">
        <v>51496</v>
      </c>
    </row>
    <row r="15092" spans="1:25" x14ac:dyDescent="0.25">
      <c r="A15092" t="str">
        <f>"1116058474"</f>
        <v>1116058474</v>
      </c>
      <c r="B15092" t="s">
        <v>2790</v>
      </c>
      <c r="C15092" t="s">
        <v>3528</v>
      </c>
      <c r="D15092" t="s">
        <v>51497</v>
      </c>
      <c r="E15092">
        <v>425354</v>
      </c>
      <c r="F15092" t="s">
        <v>1</v>
      </c>
      <c r="G15092" t="s">
        <v>51330</v>
      </c>
      <c r="H15092" t="s">
        <v>51498</v>
      </c>
      <c r="I15092" t="s">
        <v>51499</v>
      </c>
      <c r="J15092" t="s">
        <v>51333</v>
      </c>
      <c r="L15092" t="s">
        <v>51375</v>
      </c>
      <c r="M15092" t="s">
        <v>51376</v>
      </c>
      <c r="P15092" t="s">
        <v>51500</v>
      </c>
      <c r="Q15092" t="s">
        <v>51481</v>
      </c>
      <c r="T15092" t="s">
        <v>51501</v>
      </c>
      <c r="V15092" t="s">
        <v>51502</v>
      </c>
      <c r="Y15092" t="s">
        <v>51503</v>
      </c>
    </row>
    <row r="15093" spans="1:25" x14ac:dyDescent="0.25">
      <c r="A15093" t="str">
        <f>"1122454829"</f>
        <v>1122454829</v>
      </c>
      <c r="B15093" t="s">
        <v>482</v>
      </c>
      <c r="C15093" t="s">
        <v>483</v>
      </c>
      <c r="D15093" t="s">
        <v>51504</v>
      </c>
      <c r="E15093">
        <v>425350</v>
      </c>
      <c r="F15093" t="s">
        <v>1</v>
      </c>
      <c r="G15093" t="s">
        <v>51330</v>
      </c>
      <c r="H15093" t="s">
        <v>51440</v>
      </c>
      <c r="I15093" t="s">
        <v>51505</v>
      </c>
      <c r="M15093" t="s">
        <v>51506</v>
      </c>
      <c r="P15093" t="s">
        <v>20</v>
      </c>
      <c r="Y15093" t="s">
        <v>51443</v>
      </c>
    </row>
    <row r="15094" spans="1:25" x14ac:dyDescent="0.25">
      <c r="A15094" t="str">
        <f>"1123573705"</f>
        <v>1123573705</v>
      </c>
      <c r="B15094" t="s">
        <v>624</v>
      </c>
      <c r="C15094" t="s">
        <v>51339</v>
      </c>
      <c r="D15094" t="s">
        <v>51507</v>
      </c>
      <c r="F15094" t="s">
        <v>1</v>
      </c>
      <c r="G15094" t="s">
        <v>51330</v>
      </c>
      <c r="H15094" t="s">
        <v>51337</v>
      </c>
      <c r="I15094" t="s">
        <v>51508</v>
      </c>
      <c r="Y15094" t="s">
        <v>51509</v>
      </c>
    </row>
    <row r="15095" spans="1:25" x14ac:dyDescent="0.25">
      <c r="A15095" t="str">
        <f>"1124851426"</f>
        <v>1124851426</v>
      </c>
      <c r="B15095" t="s">
        <v>1053</v>
      </c>
      <c r="C15095" t="s">
        <v>1927</v>
      </c>
      <c r="D15095" t="s">
        <v>51510</v>
      </c>
      <c r="E15095">
        <v>425350</v>
      </c>
      <c r="F15095" t="s">
        <v>1</v>
      </c>
      <c r="G15095" t="s">
        <v>51330</v>
      </c>
      <c r="H15095" t="s">
        <v>51511</v>
      </c>
      <c r="I15095" t="s">
        <v>51512</v>
      </c>
      <c r="Y15095" t="s">
        <v>51513</v>
      </c>
    </row>
    <row r="15096" spans="1:25" x14ac:dyDescent="0.25">
      <c r="A15096" t="str">
        <f>"1129086083"</f>
        <v>1129086083</v>
      </c>
      <c r="B15096" t="s">
        <v>624</v>
      </c>
      <c r="C15096" t="s">
        <v>9573</v>
      </c>
      <c r="D15096" t="s">
        <v>51514</v>
      </c>
      <c r="F15096" t="s">
        <v>1</v>
      </c>
      <c r="G15096" t="s">
        <v>51330</v>
      </c>
      <c r="H15096" t="s">
        <v>51515</v>
      </c>
      <c r="I15096" t="s">
        <v>51516</v>
      </c>
      <c r="Y15096" t="s">
        <v>51461</v>
      </c>
    </row>
    <row r="15097" spans="1:25" x14ac:dyDescent="0.25">
      <c r="A15097" t="str">
        <f>"1131066233"</f>
        <v>1131066233</v>
      </c>
      <c r="B15097" t="s">
        <v>2055</v>
      </c>
      <c r="C15097" t="s">
        <v>48903</v>
      </c>
      <c r="D15097" t="s">
        <v>51517</v>
      </c>
      <c r="F15097" t="s">
        <v>1</v>
      </c>
      <c r="G15097" t="s">
        <v>51330</v>
      </c>
      <c r="H15097" t="s">
        <v>51518</v>
      </c>
      <c r="I15097" t="s">
        <v>51519</v>
      </c>
      <c r="P15097" t="s">
        <v>280</v>
      </c>
      <c r="Y15097" t="s">
        <v>51520</v>
      </c>
    </row>
    <row r="15098" spans="1:25" x14ac:dyDescent="0.25">
      <c r="A15098" t="str">
        <f>"1180438103"</f>
        <v>1180438103</v>
      </c>
      <c r="B15098" t="s">
        <v>1222</v>
      </c>
      <c r="C15098" t="s">
        <v>15807</v>
      </c>
      <c r="D15098" t="s">
        <v>51521</v>
      </c>
      <c r="E15098">
        <v>425350</v>
      </c>
      <c r="F15098" t="s">
        <v>1</v>
      </c>
      <c r="G15098" t="s">
        <v>51330</v>
      </c>
      <c r="H15098" t="s">
        <v>51488</v>
      </c>
      <c r="I15098" t="s">
        <v>51522</v>
      </c>
      <c r="M15098" t="s">
        <v>51523</v>
      </c>
      <c r="P15098" t="s">
        <v>51524</v>
      </c>
      <c r="Q15098" t="s">
        <v>51525</v>
      </c>
      <c r="Y15098" t="s">
        <v>51526</v>
      </c>
    </row>
    <row r="15099" spans="1:25" x14ac:dyDescent="0.25">
      <c r="A15099" t="str">
        <f>"1193922588"</f>
        <v>1193922588</v>
      </c>
      <c r="B15099" t="s">
        <v>716</v>
      </c>
      <c r="C15099" t="s">
        <v>717</v>
      </c>
      <c r="D15099" t="s">
        <v>51527</v>
      </c>
      <c r="F15099" t="s">
        <v>1</v>
      </c>
      <c r="G15099" t="s">
        <v>51330</v>
      </c>
      <c r="H15099" t="s">
        <v>51528</v>
      </c>
      <c r="I15099" t="s">
        <v>51529</v>
      </c>
      <c r="J15099" t="s">
        <v>51530</v>
      </c>
      <c r="P15099" t="s">
        <v>330</v>
      </c>
      <c r="Y15099" t="s">
        <v>51531</v>
      </c>
    </row>
    <row r="15100" spans="1:25" x14ac:dyDescent="0.25">
      <c r="A15100" t="str">
        <f>"1227894542"</f>
        <v>1227894542</v>
      </c>
      <c r="B15100" t="s">
        <v>430</v>
      </c>
      <c r="C15100" t="s">
        <v>51534</v>
      </c>
      <c r="D15100" t="s">
        <v>51532</v>
      </c>
      <c r="E15100">
        <v>425350</v>
      </c>
      <c r="F15100" t="s">
        <v>1</v>
      </c>
      <c r="G15100" t="s">
        <v>51330</v>
      </c>
      <c r="H15100" t="s">
        <v>51533</v>
      </c>
      <c r="Y15100" t="s">
        <v>51535</v>
      </c>
    </row>
    <row r="15101" spans="1:25" x14ac:dyDescent="0.25">
      <c r="A15101" t="str">
        <f>"1229008897"</f>
        <v>1229008897</v>
      </c>
      <c r="B15101" t="s">
        <v>2055</v>
      </c>
      <c r="C15101" t="s">
        <v>6421</v>
      </c>
      <c r="D15101" t="s">
        <v>7316</v>
      </c>
      <c r="E15101">
        <v>425350</v>
      </c>
      <c r="F15101" t="s">
        <v>1</v>
      </c>
      <c r="G15101" t="s">
        <v>51330</v>
      </c>
      <c r="H15101" t="s">
        <v>51536</v>
      </c>
      <c r="I15101" t="s">
        <v>51537</v>
      </c>
      <c r="L15101" t="s">
        <v>51538</v>
      </c>
      <c r="M15101" t="s">
        <v>51539</v>
      </c>
      <c r="P15101" t="s">
        <v>280</v>
      </c>
      <c r="Y15101" t="s">
        <v>51540</v>
      </c>
    </row>
    <row r="15102" spans="1:25" x14ac:dyDescent="0.25">
      <c r="A15102" t="str">
        <f>"1236190820"</f>
        <v>1236190820</v>
      </c>
      <c r="B15102" t="s">
        <v>1152</v>
      </c>
      <c r="C15102" t="s">
        <v>1153</v>
      </c>
      <c r="D15102" t="s">
        <v>10280</v>
      </c>
      <c r="E15102">
        <v>425350</v>
      </c>
      <c r="F15102" t="s">
        <v>1</v>
      </c>
      <c r="G15102" t="s">
        <v>51330</v>
      </c>
      <c r="H15102" t="s">
        <v>51541</v>
      </c>
      <c r="I15102" t="s">
        <v>22092</v>
      </c>
      <c r="M15102" t="s">
        <v>10284</v>
      </c>
      <c r="P15102" t="s">
        <v>60</v>
      </c>
      <c r="Q15102" t="s">
        <v>10286</v>
      </c>
      <c r="R15102" t="s">
        <v>10287</v>
      </c>
      <c r="S15102" t="s">
        <v>10288</v>
      </c>
      <c r="T15102" t="s">
        <v>10289</v>
      </c>
      <c r="U15102" t="s">
        <v>10290</v>
      </c>
      <c r="V15102" t="s">
        <v>10291</v>
      </c>
      <c r="Y15102" t="s">
        <v>51542</v>
      </c>
    </row>
    <row r="15103" spans="1:25" x14ac:dyDescent="0.25">
      <c r="A15103" t="str">
        <f>"1244957880"</f>
        <v>1244957880</v>
      </c>
      <c r="B15103" t="s">
        <v>13560</v>
      </c>
      <c r="C15103" t="s">
        <v>19433</v>
      </c>
      <c r="D15103" t="s">
        <v>51543</v>
      </c>
      <c r="F15103" t="s">
        <v>1</v>
      </c>
      <c r="G15103" t="s">
        <v>51330</v>
      </c>
      <c r="H15103" t="s">
        <v>51544</v>
      </c>
      <c r="I15103" t="s">
        <v>51545</v>
      </c>
      <c r="P15103" t="s">
        <v>51546</v>
      </c>
      <c r="Y15103" t="s">
        <v>51547</v>
      </c>
    </row>
    <row r="15104" spans="1:25" x14ac:dyDescent="0.25">
      <c r="A15104" t="str">
        <f>"1245353963"</f>
        <v>1245353963</v>
      </c>
      <c r="B15104" t="s">
        <v>1352</v>
      </c>
      <c r="C15104" t="s">
        <v>2093</v>
      </c>
      <c r="D15104" t="s">
        <v>6723</v>
      </c>
      <c r="E15104">
        <v>425350</v>
      </c>
      <c r="F15104" t="s">
        <v>1</v>
      </c>
      <c r="G15104" t="s">
        <v>51330</v>
      </c>
      <c r="H15104" t="s">
        <v>51548</v>
      </c>
      <c r="J15104" t="s">
        <v>51549</v>
      </c>
      <c r="P15104" t="s">
        <v>51550</v>
      </c>
      <c r="Y15104" t="s">
        <v>51551</v>
      </c>
    </row>
    <row r="15105" spans="1:25" x14ac:dyDescent="0.25">
      <c r="A15105" t="str">
        <f>"1289799346"</f>
        <v>1289799346</v>
      </c>
      <c r="B15105" t="s">
        <v>797</v>
      </c>
      <c r="C15105" t="s">
        <v>5123</v>
      </c>
      <c r="D15105" t="s">
        <v>51552</v>
      </c>
      <c r="E15105">
        <v>425353</v>
      </c>
      <c r="F15105" t="s">
        <v>1</v>
      </c>
      <c r="G15105" t="s">
        <v>51330</v>
      </c>
      <c r="H15105" t="s">
        <v>51553</v>
      </c>
      <c r="P15105" t="s">
        <v>216</v>
      </c>
      <c r="Y15105" t="s">
        <v>51554</v>
      </c>
    </row>
    <row r="15106" spans="1:25" x14ac:dyDescent="0.25">
      <c r="A15106" t="str">
        <f>"1291685166"</f>
        <v>1291685166</v>
      </c>
      <c r="B15106" t="s">
        <v>519</v>
      </c>
      <c r="C15106" t="s">
        <v>10008</v>
      </c>
      <c r="D15106" t="s">
        <v>51555</v>
      </c>
      <c r="E15106">
        <v>425350</v>
      </c>
      <c r="F15106" t="s">
        <v>1</v>
      </c>
      <c r="G15106" t="s">
        <v>51330</v>
      </c>
      <c r="H15106" t="s">
        <v>51488</v>
      </c>
      <c r="I15106" t="s">
        <v>51556</v>
      </c>
      <c r="M15106" t="s">
        <v>17056</v>
      </c>
      <c r="P15106" t="s">
        <v>7221</v>
      </c>
      <c r="Y15106" t="s">
        <v>51557</v>
      </c>
    </row>
    <row r="15107" spans="1:25" x14ac:dyDescent="0.25">
      <c r="A15107" t="str">
        <f>"1316114074"</f>
        <v>1316114074</v>
      </c>
      <c r="B15107" t="s">
        <v>624</v>
      </c>
      <c r="C15107" t="s">
        <v>1637</v>
      </c>
      <c r="D15107" t="s">
        <v>6421</v>
      </c>
      <c r="F15107" t="s">
        <v>1</v>
      </c>
      <c r="G15107" t="s">
        <v>51330</v>
      </c>
      <c r="H15107" t="s">
        <v>51558</v>
      </c>
      <c r="J15107" t="s">
        <v>51559</v>
      </c>
      <c r="P15107" t="s">
        <v>3690</v>
      </c>
      <c r="Y15107" t="s">
        <v>51560</v>
      </c>
    </row>
    <row r="15108" spans="1:25" x14ac:dyDescent="0.25">
      <c r="A15108" t="str">
        <f>"1318309480"</f>
        <v>1318309480</v>
      </c>
      <c r="B15108" t="s">
        <v>6478</v>
      </c>
      <c r="C15108" t="s">
        <v>9854</v>
      </c>
      <c r="D15108" t="s">
        <v>51561</v>
      </c>
      <c r="E15108">
        <v>425350</v>
      </c>
      <c r="F15108" t="s">
        <v>1</v>
      </c>
      <c r="G15108" t="s">
        <v>51330</v>
      </c>
      <c r="H15108" t="s">
        <v>51562</v>
      </c>
      <c r="I15108" t="s">
        <v>51563</v>
      </c>
      <c r="P15108" t="s">
        <v>20</v>
      </c>
      <c r="Y15108" t="s">
        <v>51564</v>
      </c>
    </row>
    <row r="15109" spans="1:25" x14ac:dyDescent="0.25">
      <c r="A15109" t="str">
        <f>"1329593718"</f>
        <v>1329593718</v>
      </c>
      <c r="B15109" t="s">
        <v>2818</v>
      </c>
      <c r="C15109" t="s">
        <v>6466</v>
      </c>
      <c r="D15109" t="s">
        <v>51565</v>
      </c>
      <c r="F15109" t="s">
        <v>1</v>
      </c>
      <c r="G15109" t="s">
        <v>51330</v>
      </c>
      <c r="H15109" t="s">
        <v>51566</v>
      </c>
      <c r="I15109" t="s">
        <v>51567</v>
      </c>
      <c r="L15109" t="s">
        <v>51568</v>
      </c>
      <c r="M15109" t="s">
        <v>51569</v>
      </c>
      <c r="P15109" t="s">
        <v>18341</v>
      </c>
      <c r="Q15109" t="s">
        <v>51570</v>
      </c>
      <c r="Y15109" t="s">
        <v>51571</v>
      </c>
    </row>
    <row r="15110" spans="1:25" x14ac:dyDescent="0.25">
      <c r="A15110" t="str">
        <f>"1333008164"</f>
        <v>1333008164</v>
      </c>
      <c r="B15110" t="s">
        <v>624</v>
      </c>
      <c r="C15110" t="s">
        <v>1637</v>
      </c>
      <c r="D15110" t="s">
        <v>42014</v>
      </c>
      <c r="E15110">
        <v>425350</v>
      </c>
      <c r="F15110" t="s">
        <v>1</v>
      </c>
      <c r="G15110" t="s">
        <v>51330</v>
      </c>
      <c r="H15110" t="s">
        <v>51541</v>
      </c>
      <c r="J15110" t="s">
        <v>51572</v>
      </c>
      <c r="Y15110" t="s">
        <v>51573</v>
      </c>
    </row>
    <row r="15111" spans="1:25" x14ac:dyDescent="0.25">
      <c r="A15111" t="str">
        <f>"1345359020"</f>
        <v>1345359020</v>
      </c>
      <c r="B15111" t="s">
        <v>4084</v>
      </c>
      <c r="C15111" t="s">
        <v>7951</v>
      </c>
      <c r="D15111" t="s">
        <v>51574</v>
      </c>
      <c r="E15111">
        <v>425354</v>
      </c>
      <c r="F15111" t="s">
        <v>1</v>
      </c>
      <c r="G15111" t="s">
        <v>51330</v>
      </c>
      <c r="H15111" t="s">
        <v>51575</v>
      </c>
      <c r="L15111" t="s">
        <v>51576</v>
      </c>
      <c r="M15111" t="s">
        <v>51577</v>
      </c>
      <c r="Y15111" t="s">
        <v>51578</v>
      </c>
    </row>
    <row r="15112" spans="1:25" x14ac:dyDescent="0.25">
      <c r="A15112" t="str">
        <f>"1346311545"</f>
        <v>1346311545</v>
      </c>
      <c r="B15112" t="s">
        <v>3573</v>
      </c>
      <c r="C15112" t="s">
        <v>3574</v>
      </c>
      <c r="D15112" t="s">
        <v>51579</v>
      </c>
      <c r="E15112">
        <v>425350</v>
      </c>
      <c r="F15112" t="s">
        <v>1</v>
      </c>
      <c r="G15112" t="s">
        <v>51330</v>
      </c>
      <c r="H15112" t="s">
        <v>51342</v>
      </c>
      <c r="I15112" t="s">
        <v>51580</v>
      </c>
      <c r="P15112" t="s">
        <v>20</v>
      </c>
      <c r="Y15112" t="s">
        <v>51581</v>
      </c>
    </row>
    <row r="15113" spans="1:25" x14ac:dyDescent="0.25">
      <c r="A15113" t="str">
        <f>"1353355547"</f>
        <v>1353355547</v>
      </c>
      <c r="B15113" t="s">
        <v>538</v>
      </c>
      <c r="C15113" t="s">
        <v>539</v>
      </c>
      <c r="D15113" t="s">
        <v>51582</v>
      </c>
      <c r="E15113">
        <v>425350</v>
      </c>
      <c r="F15113" t="s">
        <v>1</v>
      </c>
      <c r="G15113" t="s">
        <v>51330</v>
      </c>
      <c r="H15113" t="s">
        <v>51583</v>
      </c>
      <c r="I15113" t="s">
        <v>51584</v>
      </c>
      <c r="K15113" t="s">
        <v>51585</v>
      </c>
      <c r="P15113" t="s">
        <v>20</v>
      </c>
      <c r="Y15113" t="s">
        <v>51586</v>
      </c>
    </row>
    <row r="15114" spans="1:25" x14ac:dyDescent="0.25">
      <c r="A15114" t="str">
        <f>"1355978815"</f>
        <v>1355978815</v>
      </c>
      <c r="B15114" t="s">
        <v>2818</v>
      </c>
      <c r="C15114" t="s">
        <v>6466</v>
      </c>
      <c r="D15114" t="s">
        <v>6466</v>
      </c>
      <c r="E15114">
        <v>425350</v>
      </c>
      <c r="F15114" t="s">
        <v>1</v>
      </c>
      <c r="G15114" t="s">
        <v>51330</v>
      </c>
      <c r="H15114" t="s">
        <v>51342</v>
      </c>
      <c r="J15114" t="s">
        <v>51587</v>
      </c>
      <c r="L15114" t="s">
        <v>51588</v>
      </c>
      <c r="M15114" t="s">
        <v>51589</v>
      </c>
      <c r="P15114" t="s">
        <v>27</v>
      </c>
      <c r="Y15114" t="s">
        <v>51590</v>
      </c>
    </row>
    <row r="15115" spans="1:25" x14ac:dyDescent="0.25">
      <c r="A15115" t="str">
        <f>"1371879288"</f>
        <v>1371879288</v>
      </c>
      <c r="B15115" t="s">
        <v>1362</v>
      </c>
      <c r="C15115" t="s">
        <v>15548</v>
      </c>
      <c r="D15115" t="s">
        <v>15543</v>
      </c>
      <c r="E15115">
        <v>425350</v>
      </c>
      <c r="F15115" t="s">
        <v>1</v>
      </c>
      <c r="G15115" t="s">
        <v>51330</v>
      </c>
      <c r="H15115" t="s">
        <v>51591</v>
      </c>
      <c r="I15115" t="s">
        <v>51592</v>
      </c>
      <c r="P15115" t="s">
        <v>51593</v>
      </c>
      <c r="Y15115" t="s">
        <v>51594</v>
      </c>
    </row>
    <row r="15116" spans="1:25" x14ac:dyDescent="0.25">
      <c r="A15116" t="str">
        <f>"1376965092"</f>
        <v>1376965092</v>
      </c>
      <c r="B15116" t="s">
        <v>18</v>
      </c>
      <c r="C15116" t="s">
        <v>12962</v>
      </c>
      <c r="D15116" t="s">
        <v>51595</v>
      </c>
      <c r="F15116" t="s">
        <v>1</v>
      </c>
      <c r="G15116" t="s">
        <v>51330</v>
      </c>
      <c r="H15116" t="s">
        <v>51596</v>
      </c>
      <c r="I15116" t="s">
        <v>51597</v>
      </c>
      <c r="J15116" t="s">
        <v>51598</v>
      </c>
      <c r="L15116" t="s">
        <v>7859</v>
      </c>
      <c r="M15116" t="s">
        <v>51599</v>
      </c>
      <c r="P15116" t="s">
        <v>1528</v>
      </c>
      <c r="Y15116" t="s">
        <v>51600</v>
      </c>
    </row>
    <row r="15117" spans="1:25" x14ac:dyDescent="0.25">
      <c r="A15117" t="str">
        <f>"1383610192"</f>
        <v>1383610192</v>
      </c>
      <c r="B15117" t="s">
        <v>88</v>
      </c>
      <c r="C15117" t="s">
        <v>51603</v>
      </c>
      <c r="D15117" t="s">
        <v>51532</v>
      </c>
      <c r="F15117" t="s">
        <v>1</v>
      </c>
      <c r="G15117" t="s">
        <v>51330</v>
      </c>
      <c r="H15117" t="s">
        <v>51601</v>
      </c>
      <c r="J15117" t="s">
        <v>51602</v>
      </c>
      <c r="P15117" t="s">
        <v>410</v>
      </c>
      <c r="Q15117" t="s">
        <v>51604</v>
      </c>
      <c r="Y15117" t="s">
        <v>51418</v>
      </c>
    </row>
    <row r="15118" spans="1:25" x14ac:dyDescent="0.25">
      <c r="A15118" t="str">
        <f>"1393568841"</f>
        <v>1393568841</v>
      </c>
      <c r="B15118" t="s">
        <v>1475</v>
      </c>
      <c r="C15118" t="s">
        <v>51608</v>
      </c>
      <c r="D15118" t="s">
        <v>51605</v>
      </c>
      <c r="E15118">
        <v>425350</v>
      </c>
      <c r="F15118" t="s">
        <v>1</v>
      </c>
      <c r="G15118" t="s">
        <v>51330</v>
      </c>
      <c r="H15118" t="s">
        <v>51606</v>
      </c>
      <c r="I15118" t="s">
        <v>51607</v>
      </c>
      <c r="P15118" t="s">
        <v>11503</v>
      </c>
      <c r="Y15118" t="s">
        <v>51609</v>
      </c>
    </row>
    <row r="15119" spans="1:25" x14ac:dyDescent="0.25">
      <c r="A15119" t="str">
        <f>"1415649659"</f>
        <v>1415649659</v>
      </c>
      <c r="B15119" t="s">
        <v>131</v>
      </c>
      <c r="C15119" t="s">
        <v>8826</v>
      </c>
      <c r="D15119" t="s">
        <v>51610</v>
      </c>
      <c r="E15119">
        <v>425350</v>
      </c>
      <c r="F15119" t="s">
        <v>1</v>
      </c>
      <c r="G15119" t="s">
        <v>51330</v>
      </c>
      <c r="H15119" t="s">
        <v>51611</v>
      </c>
      <c r="I15119" t="s">
        <v>51612</v>
      </c>
      <c r="L15119" t="s">
        <v>51613</v>
      </c>
      <c r="M15119" t="s">
        <v>51614</v>
      </c>
      <c r="P15119" t="s">
        <v>280</v>
      </c>
      <c r="Y15119" t="s">
        <v>51615</v>
      </c>
    </row>
    <row r="15120" spans="1:25" x14ac:dyDescent="0.25">
      <c r="A15120" t="str">
        <f>"1453635880"</f>
        <v>1453635880</v>
      </c>
      <c r="B15120" t="s">
        <v>151</v>
      </c>
      <c r="C15120" t="s">
        <v>1034</v>
      </c>
      <c r="D15120" t="s">
        <v>51616</v>
      </c>
      <c r="E15120">
        <v>425350</v>
      </c>
      <c r="F15120" t="s">
        <v>1</v>
      </c>
      <c r="G15120" t="s">
        <v>51330</v>
      </c>
      <c r="H15120" t="s">
        <v>51617</v>
      </c>
      <c r="I15120" t="s">
        <v>51618</v>
      </c>
      <c r="J15120" t="s">
        <v>51619</v>
      </c>
      <c r="P15120" t="s">
        <v>2280</v>
      </c>
      <c r="Y15120" t="s">
        <v>51620</v>
      </c>
    </row>
    <row r="15121" spans="1:25" x14ac:dyDescent="0.25">
      <c r="A15121" t="str">
        <f>"1473412163"</f>
        <v>1473412163</v>
      </c>
      <c r="B15121" t="s">
        <v>151</v>
      </c>
      <c r="C15121" t="s">
        <v>1034</v>
      </c>
      <c r="D15121" t="s">
        <v>18291</v>
      </c>
      <c r="E15121">
        <v>425350</v>
      </c>
      <c r="F15121" t="s">
        <v>1</v>
      </c>
      <c r="G15121" t="s">
        <v>51330</v>
      </c>
      <c r="H15121" t="s">
        <v>51342</v>
      </c>
      <c r="I15121" t="s">
        <v>51621</v>
      </c>
      <c r="J15121" t="s">
        <v>51622</v>
      </c>
      <c r="P15121" t="s">
        <v>2979</v>
      </c>
      <c r="Y15121" t="s">
        <v>51623</v>
      </c>
    </row>
    <row r="15122" spans="1:25" x14ac:dyDescent="0.25">
      <c r="A15122" t="str">
        <f>"1484595600"</f>
        <v>1484595600</v>
      </c>
      <c r="B15122" t="s">
        <v>151</v>
      </c>
      <c r="C15122" t="s">
        <v>4240</v>
      </c>
      <c r="D15122" t="s">
        <v>4240</v>
      </c>
      <c r="E15122">
        <v>425350</v>
      </c>
      <c r="F15122" t="s">
        <v>1</v>
      </c>
      <c r="G15122" t="s">
        <v>51330</v>
      </c>
      <c r="H15122" t="s">
        <v>51400</v>
      </c>
      <c r="J15122" t="s">
        <v>51624</v>
      </c>
      <c r="Y15122" t="s">
        <v>51625</v>
      </c>
    </row>
    <row r="15123" spans="1:25" x14ac:dyDescent="0.25">
      <c r="A15123" t="str">
        <f>"1490385145"</f>
        <v>1490385145</v>
      </c>
      <c r="B15123" t="s">
        <v>1230</v>
      </c>
      <c r="C15123" t="s">
        <v>2526</v>
      </c>
      <c r="D15123" t="s">
        <v>51626</v>
      </c>
      <c r="E15123">
        <v>425350</v>
      </c>
      <c r="F15123" t="s">
        <v>1</v>
      </c>
      <c r="G15123" t="s">
        <v>51330</v>
      </c>
      <c r="H15123" t="s">
        <v>51627</v>
      </c>
      <c r="I15123" t="s">
        <v>51628</v>
      </c>
      <c r="P15123" t="s">
        <v>20</v>
      </c>
      <c r="Y15123" t="s">
        <v>51629</v>
      </c>
    </row>
    <row r="15124" spans="1:25" x14ac:dyDescent="0.25">
      <c r="A15124" t="str">
        <f>"1502920783"</f>
        <v>1502920783</v>
      </c>
      <c r="B15124" t="s">
        <v>151</v>
      </c>
      <c r="C15124" t="s">
        <v>151</v>
      </c>
      <c r="D15124" t="s">
        <v>51630</v>
      </c>
      <c r="F15124" t="s">
        <v>1</v>
      </c>
      <c r="G15124" t="s">
        <v>51330</v>
      </c>
      <c r="H15124" t="s">
        <v>51631</v>
      </c>
      <c r="J15124" t="s">
        <v>51632</v>
      </c>
      <c r="P15124" t="s">
        <v>2951</v>
      </c>
      <c r="Y15124" t="s">
        <v>51633</v>
      </c>
    </row>
    <row r="15125" spans="1:25" x14ac:dyDescent="0.25">
      <c r="A15125" t="str">
        <f>"1534076771"</f>
        <v>1534076771</v>
      </c>
      <c r="B15125" t="s">
        <v>6478</v>
      </c>
      <c r="C15125" t="s">
        <v>9854</v>
      </c>
      <c r="D15125" t="s">
        <v>51634</v>
      </c>
      <c r="F15125" t="s">
        <v>1</v>
      </c>
      <c r="G15125" t="s">
        <v>51330</v>
      </c>
      <c r="H15125" t="s">
        <v>51635</v>
      </c>
      <c r="I15125" t="s">
        <v>51636</v>
      </c>
      <c r="P15125" t="s">
        <v>2438</v>
      </c>
      <c r="Y15125" t="s">
        <v>51637</v>
      </c>
    </row>
    <row r="15126" spans="1:25" x14ac:dyDescent="0.25">
      <c r="A15126" t="str">
        <f>"1560767267"</f>
        <v>1560767267</v>
      </c>
      <c r="B15126" t="s">
        <v>2790</v>
      </c>
      <c r="C15126" t="s">
        <v>51644</v>
      </c>
      <c r="D15126" t="s">
        <v>51638</v>
      </c>
      <c r="E15126">
        <v>425354</v>
      </c>
      <c r="F15126" t="s">
        <v>1</v>
      </c>
      <c r="G15126" t="s">
        <v>51330</v>
      </c>
      <c r="H15126" t="s">
        <v>51639</v>
      </c>
      <c r="I15126" t="s">
        <v>51640</v>
      </c>
      <c r="J15126" t="s">
        <v>51641</v>
      </c>
      <c r="L15126" t="s">
        <v>51642</v>
      </c>
      <c r="M15126" t="s">
        <v>51643</v>
      </c>
      <c r="P15126" t="s">
        <v>340</v>
      </c>
      <c r="Y15126" t="s">
        <v>51645</v>
      </c>
    </row>
    <row r="15127" spans="1:25" x14ac:dyDescent="0.25">
      <c r="A15127" t="str">
        <f>"1606109993"</f>
        <v>1606109993</v>
      </c>
      <c r="B15127" t="s">
        <v>123</v>
      </c>
      <c r="C15127" t="s">
        <v>424</v>
      </c>
      <c r="D15127" t="s">
        <v>15442</v>
      </c>
      <c r="F15127" t="s">
        <v>1</v>
      </c>
      <c r="G15127" t="s">
        <v>51330</v>
      </c>
      <c r="H15127" t="s">
        <v>51646</v>
      </c>
      <c r="I15127" t="s">
        <v>51647</v>
      </c>
      <c r="L15127" t="s">
        <v>51648</v>
      </c>
      <c r="M15127" t="s">
        <v>51649</v>
      </c>
      <c r="P15127" t="s">
        <v>39889</v>
      </c>
      <c r="Y15127" t="s">
        <v>51650</v>
      </c>
    </row>
    <row r="15128" spans="1:25" x14ac:dyDescent="0.25">
      <c r="A15128" t="str">
        <f>"1612044550"</f>
        <v>1612044550</v>
      </c>
      <c r="B15128" t="s">
        <v>3094</v>
      </c>
      <c r="C15128" t="s">
        <v>3095</v>
      </c>
      <c r="D15128" t="s">
        <v>51651</v>
      </c>
      <c r="E15128">
        <v>425354</v>
      </c>
      <c r="F15128" t="s">
        <v>1</v>
      </c>
      <c r="G15128" t="s">
        <v>51330</v>
      </c>
      <c r="H15128" t="s">
        <v>51652</v>
      </c>
      <c r="I15128" t="s">
        <v>51653</v>
      </c>
      <c r="L15128" t="s">
        <v>51654</v>
      </c>
      <c r="M15128" t="s">
        <v>51655</v>
      </c>
      <c r="P15128" t="s">
        <v>20</v>
      </c>
      <c r="Q15128" t="s">
        <v>51656</v>
      </c>
      <c r="S15128" t="s">
        <v>51657</v>
      </c>
      <c r="T15128" t="s">
        <v>51658</v>
      </c>
      <c r="U15128" t="s">
        <v>51659</v>
      </c>
      <c r="V15128" t="s">
        <v>51660</v>
      </c>
      <c r="Y15128" t="s">
        <v>51661</v>
      </c>
    </row>
    <row r="15129" spans="1:25" x14ac:dyDescent="0.25">
      <c r="A15129" t="str">
        <f>"1644911936"</f>
        <v>1644911936</v>
      </c>
      <c r="B15129" t="s">
        <v>3094</v>
      </c>
      <c r="C15129" t="s">
        <v>3095</v>
      </c>
      <c r="D15129" t="s">
        <v>51662</v>
      </c>
      <c r="E15129">
        <v>425350</v>
      </c>
      <c r="F15129" t="s">
        <v>1</v>
      </c>
      <c r="G15129" t="s">
        <v>51330</v>
      </c>
      <c r="H15129" t="s">
        <v>51562</v>
      </c>
      <c r="I15129" t="s">
        <v>51663</v>
      </c>
      <c r="L15129" t="s">
        <v>3001</v>
      </c>
      <c r="M15129" t="s">
        <v>3002</v>
      </c>
      <c r="P15129" t="s">
        <v>31443</v>
      </c>
      <c r="Y15129" t="s">
        <v>51664</v>
      </c>
    </row>
    <row r="15130" spans="1:25" x14ac:dyDescent="0.25">
      <c r="A15130" t="str">
        <f>"1653437229"</f>
        <v>1653437229</v>
      </c>
      <c r="B15130" t="s">
        <v>123</v>
      </c>
      <c r="C15130" t="s">
        <v>424</v>
      </c>
      <c r="D15130" t="s">
        <v>51665</v>
      </c>
      <c r="E15130">
        <v>425350</v>
      </c>
      <c r="F15130" t="s">
        <v>1</v>
      </c>
      <c r="G15130" t="s">
        <v>51330</v>
      </c>
      <c r="H15130" t="s">
        <v>51666</v>
      </c>
      <c r="I15130" t="s">
        <v>51667</v>
      </c>
      <c r="L15130" t="s">
        <v>51668</v>
      </c>
      <c r="M15130" t="s">
        <v>51669</v>
      </c>
      <c r="P15130" t="s">
        <v>39889</v>
      </c>
      <c r="Y15130" t="s">
        <v>51670</v>
      </c>
    </row>
    <row r="15131" spans="1:25" x14ac:dyDescent="0.25">
      <c r="A15131" t="str">
        <f>"1655165259"</f>
        <v>1655165259</v>
      </c>
      <c r="B15131" t="s">
        <v>123</v>
      </c>
      <c r="C15131" t="s">
        <v>424</v>
      </c>
      <c r="D15131" t="s">
        <v>51671</v>
      </c>
      <c r="E15131">
        <v>425354</v>
      </c>
      <c r="F15131" t="s">
        <v>1</v>
      </c>
      <c r="G15131" t="s">
        <v>51330</v>
      </c>
      <c r="H15131" t="s">
        <v>51672</v>
      </c>
      <c r="I15131" t="s">
        <v>51673</v>
      </c>
      <c r="P15131" t="s">
        <v>39889</v>
      </c>
      <c r="Y15131" t="s">
        <v>51674</v>
      </c>
    </row>
    <row r="15132" spans="1:25" x14ac:dyDescent="0.25">
      <c r="A15132" t="str">
        <f>"1676714133"</f>
        <v>1676714133</v>
      </c>
      <c r="B15132" t="s">
        <v>1729</v>
      </c>
      <c r="C15132" t="s">
        <v>1730</v>
      </c>
      <c r="D15132" t="s">
        <v>51675</v>
      </c>
      <c r="E15132">
        <v>425350</v>
      </c>
      <c r="F15132" t="s">
        <v>1</v>
      </c>
      <c r="G15132" t="s">
        <v>51330</v>
      </c>
      <c r="H15132" t="s">
        <v>51611</v>
      </c>
      <c r="I15132" t="s">
        <v>51676</v>
      </c>
      <c r="P15132" t="s">
        <v>20</v>
      </c>
      <c r="Y15132" t="s">
        <v>51677</v>
      </c>
    </row>
    <row r="15133" spans="1:25" x14ac:dyDescent="0.25">
      <c r="A15133" t="str">
        <f>"1678870275"</f>
        <v>1678870275</v>
      </c>
      <c r="B15133" t="s">
        <v>482</v>
      </c>
      <c r="C15133" t="s">
        <v>4430</v>
      </c>
      <c r="D15133" t="s">
        <v>51678</v>
      </c>
      <c r="E15133">
        <v>425350</v>
      </c>
      <c r="F15133" t="s">
        <v>1</v>
      </c>
      <c r="G15133" t="s">
        <v>51330</v>
      </c>
      <c r="H15133" t="s">
        <v>51679</v>
      </c>
      <c r="J15133" t="s">
        <v>51680</v>
      </c>
      <c r="L15133" t="s">
        <v>51681</v>
      </c>
      <c r="M15133" t="s">
        <v>51682</v>
      </c>
      <c r="Y15133" t="s">
        <v>51683</v>
      </c>
    </row>
    <row r="15134" spans="1:25" x14ac:dyDescent="0.25">
      <c r="A15134" t="str">
        <f>"1682581986"</f>
        <v>1682581986</v>
      </c>
      <c r="B15134" t="s">
        <v>574</v>
      </c>
      <c r="C15134" t="s">
        <v>646</v>
      </c>
      <c r="D15134" t="s">
        <v>51684</v>
      </c>
      <c r="E15134">
        <v>425350</v>
      </c>
      <c r="F15134" t="s">
        <v>1</v>
      </c>
      <c r="G15134" t="s">
        <v>51330</v>
      </c>
      <c r="H15134" t="s">
        <v>51685</v>
      </c>
      <c r="I15134" t="s">
        <v>51686</v>
      </c>
      <c r="P15134" t="s">
        <v>60</v>
      </c>
      <c r="Y15134" t="s">
        <v>51687</v>
      </c>
    </row>
    <row r="15135" spans="1:25" x14ac:dyDescent="0.25">
      <c r="A15135" t="str">
        <f>"1683179083"</f>
        <v>1683179083</v>
      </c>
      <c r="B15135" t="s">
        <v>2055</v>
      </c>
      <c r="C15135" t="s">
        <v>6421</v>
      </c>
      <c r="D15135" t="s">
        <v>51688</v>
      </c>
      <c r="F15135" t="s">
        <v>1</v>
      </c>
      <c r="G15135" t="s">
        <v>51330</v>
      </c>
      <c r="H15135" t="s">
        <v>51689</v>
      </c>
      <c r="J15135" t="s">
        <v>51690</v>
      </c>
      <c r="L15135" t="s">
        <v>51691</v>
      </c>
      <c r="P15135" t="s">
        <v>16778</v>
      </c>
      <c r="Y15135" t="s">
        <v>51692</v>
      </c>
    </row>
    <row r="15136" spans="1:25" x14ac:dyDescent="0.25">
      <c r="A15136" t="str">
        <f>"1686646644"</f>
        <v>1686646644</v>
      </c>
      <c r="B15136" t="s">
        <v>2178</v>
      </c>
      <c r="C15136" t="s">
        <v>2179</v>
      </c>
      <c r="D15136" t="s">
        <v>51693</v>
      </c>
      <c r="E15136">
        <v>425350</v>
      </c>
      <c r="F15136" t="s">
        <v>1</v>
      </c>
      <c r="G15136" t="s">
        <v>51330</v>
      </c>
      <c r="H15136" t="s">
        <v>51694</v>
      </c>
      <c r="I15136" t="s">
        <v>51695</v>
      </c>
      <c r="P15136" t="s">
        <v>152</v>
      </c>
      <c r="Y15136" t="s">
        <v>51696</v>
      </c>
    </row>
    <row r="15137" spans="1:25" x14ac:dyDescent="0.25">
      <c r="A15137" t="str">
        <f>"1702212787"</f>
        <v>1702212787</v>
      </c>
      <c r="B15137" t="s">
        <v>2178</v>
      </c>
      <c r="C15137" t="s">
        <v>2179</v>
      </c>
      <c r="D15137" t="s">
        <v>51697</v>
      </c>
      <c r="F15137" t="s">
        <v>1</v>
      </c>
      <c r="G15137" t="s">
        <v>51330</v>
      </c>
      <c r="H15137" t="s">
        <v>51698</v>
      </c>
      <c r="I15137" t="s">
        <v>51699</v>
      </c>
      <c r="P15137" t="s">
        <v>51700</v>
      </c>
      <c r="Y15137" t="s">
        <v>51701</v>
      </c>
    </row>
    <row r="15138" spans="1:25" x14ac:dyDescent="0.25">
      <c r="A15138" t="str">
        <f>"1727148670"</f>
        <v>1727148670</v>
      </c>
      <c r="B15138" t="s">
        <v>2178</v>
      </c>
      <c r="C15138" t="s">
        <v>2179</v>
      </c>
      <c r="D15138" t="s">
        <v>51702</v>
      </c>
      <c r="E15138">
        <v>425350</v>
      </c>
      <c r="F15138" t="s">
        <v>1</v>
      </c>
      <c r="G15138" t="s">
        <v>51330</v>
      </c>
      <c r="H15138" t="s">
        <v>51703</v>
      </c>
      <c r="I15138" t="s">
        <v>51704</v>
      </c>
      <c r="P15138" t="s">
        <v>51705</v>
      </c>
      <c r="Y15138" t="s">
        <v>51706</v>
      </c>
    </row>
    <row r="15139" spans="1:25" x14ac:dyDescent="0.25">
      <c r="A15139" t="str">
        <f>"1727725574"</f>
        <v>1727725574</v>
      </c>
      <c r="B15139" t="s">
        <v>2790</v>
      </c>
      <c r="C15139" t="s">
        <v>51712</v>
      </c>
      <c r="D15139" t="s">
        <v>51707</v>
      </c>
      <c r="E15139">
        <v>425354</v>
      </c>
      <c r="F15139" t="s">
        <v>1</v>
      </c>
      <c r="G15139" t="s">
        <v>51330</v>
      </c>
      <c r="H15139" t="s">
        <v>51708</v>
      </c>
      <c r="I15139" t="s">
        <v>51709</v>
      </c>
      <c r="L15139" t="s">
        <v>51710</v>
      </c>
      <c r="M15139" t="s">
        <v>51711</v>
      </c>
      <c r="P15139" t="s">
        <v>51713</v>
      </c>
      <c r="Q15139" t="s">
        <v>51714</v>
      </c>
      <c r="Y15139" t="s">
        <v>51715</v>
      </c>
    </row>
    <row r="15140" spans="1:25" x14ac:dyDescent="0.25">
      <c r="A15140" t="str">
        <f>"1734242790"</f>
        <v>1734242790</v>
      </c>
      <c r="B15140" t="s">
        <v>2818</v>
      </c>
      <c r="C15140" t="s">
        <v>6466</v>
      </c>
      <c r="D15140" t="s">
        <v>51716</v>
      </c>
      <c r="E15140">
        <v>425350</v>
      </c>
      <c r="F15140" t="s">
        <v>1</v>
      </c>
      <c r="G15140" t="s">
        <v>51330</v>
      </c>
      <c r="H15140" t="s">
        <v>51717</v>
      </c>
      <c r="I15140" t="s">
        <v>51718</v>
      </c>
      <c r="J15140" t="s">
        <v>51719</v>
      </c>
      <c r="P15140" t="s">
        <v>51720</v>
      </c>
      <c r="Y15140" t="s">
        <v>51721</v>
      </c>
    </row>
    <row r="15141" spans="1:25" x14ac:dyDescent="0.25">
      <c r="A15141" t="str">
        <f>"1744107950"</f>
        <v>1744107950</v>
      </c>
      <c r="B15141" t="s">
        <v>1152</v>
      </c>
      <c r="C15141" t="s">
        <v>1153</v>
      </c>
      <c r="D15141" t="s">
        <v>10280</v>
      </c>
      <c r="E15141">
        <v>425350</v>
      </c>
      <c r="F15141" t="s">
        <v>1</v>
      </c>
      <c r="G15141" t="s">
        <v>51330</v>
      </c>
      <c r="H15141" t="s">
        <v>51722</v>
      </c>
      <c r="I15141" t="s">
        <v>22092</v>
      </c>
      <c r="M15141" t="s">
        <v>10284</v>
      </c>
      <c r="Q15141" t="s">
        <v>10286</v>
      </c>
      <c r="R15141" t="s">
        <v>10287</v>
      </c>
      <c r="S15141" t="s">
        <v>10288</v>
      </c>
      <c r="T15141" t="s">
        <v>10289</v>
      </c>
      <c r="U15141" t="s">
        <v>10290</v>
      </c>
      <c r="V15141" t="s">
        <v>10291</v>
      </c>
      <c r="Y15141" t="s">
        <v>51723</v>
      </c>
    </row>
    <row r="15142" spans="1:25" x14ac:dyDescent="0.25">
      <c r="A15142" t="str">
        <f>"1755606548"</f>
        <v>1755606548</v>
      </c>
      <c r="B15142" t="s">
        <v>96</v>
      </c>
      <c r="C15142" t="s">
        <v>893</v>
      </c>
      <c r="D15142" t="s">
        <v>51724</v>
      </c>
      <c r="E15142">
        <v>425350</v>
      </c>
      <c r="F15142" t="s">
        <v>1</v>
      </c>
      <c r="G15142" t="s">
        <v>51330</v>
      </c>
      <c r="H15142" t="s">
        <v>51394</v>
      </c>
      <c r="J15142" t="s">
        <v>51725</v>
      </c>
      <c r="L15142" t="s">
        <v>51726</v>
      </c>
      <c r="M15142" t="s">
        <v>51727</v>
      </c>
      <c r="P15142" t="s">
        <v>11503</v>
      </c>
      <c r="Q15142" t="s">
        <v>51728</v>
      </c>
      <c r="R15142" t="s">
        <v>51729</v>
      </c>
      <c r="S15142" t="s">
        <v>51730</v>
      </c>
      <c r="T15142" t="s">
        <v>51731</v>
      </c>
      <c r="V15142" t="s">
        <v>51732</v>
      </c>
      <c r="Y15142" t="s">
        <v>51733</v>
      </c>
    </row>
    <row r="15143" spans="1:25" x14ac:dyDescent="0.25">
      <c r="A15143" t="str">
        <f>"1761773052"</f>
        <v>1761773052</v>
      </c>
      <c r="B15143" t="s">
        <v>18</v>
      </c>
      <c r="C15143" t="s">
        <v>51736</v>
      </c>
      <c r="D15143" t="s">
        <v>50752</v>
      </c>
      <c r="F15143" t="s">
        <v>1</v>
      </c>
      <c r="G15143" t="s">
        <v>51330</v>
      </c>
      <c r="H15143" t="s">
        <v>51734</v>
      </c>
      <c r="J15143" t="s">
        <v>51735</v>
      </c>
      <c r="P15143" t="s">
        <v>11503</v>
      </c>
      <c r="Y15143" t="s">
        <v>51737</v>
      </c>
    </row>
    <row r="15144" spans="1:25" x14ac:dyDescent="0.25">
      <c r="A15144" t="str">
        <f>"1771595876"</f>
        <v>1771595876</v>
      </c>
      <c r="B15144" t="s">
        <v>4084</v>
      </c>
      <c r="C15144" t="s">
        <v>7951</v>
      </c>
      <c r="D15144" t="s">
        <v>51738</v>
      </c>
      <c r="E15144">
        <v>425354</v>
      </c>
      <c r="F15144" t="s">
        <v>1</v>
      </c>
      <c r="G15144" t="s">
        <v>51330</v>
      </c>
      <c r="H15144" t="s">
        <v>51739</v>
      </c>
      <c r="Y15144" t="s">
        <v>51740</v>
      </c>
    </row>
    <row r="15145" spans="1:25" x14ac:dyDescent="0.25">
      <c r="A15145" t="str">
        <f>"1788324924"</f>
        <v>1788324924</v>
      </c>
      <c r="B15145" t="s">
        <v>2846</v>
      </c>
      <c r="C15145" t="s">
        <v>51744</v>
      </c>
      <c r="D15145" t="s">
        <v>51741</v>
      </c>
      <c r="E15145">
        <v>425350</v>
      </c>
      <c r="F15145" t="s">
        <v>1</v>
      </c>
      <c r="G15145" t="s">
        <v>51330</v>
      </c>
      <c r="H15145" t="s">
        <v>51742</v>
      </c>
      <c r="J15145" t="s">
        <v>51743</v>
      </c>
      <c r="P15145" t="s">
        <v>1433</v>
      </c>
      <c r="Q15145" t="s">
        <v>51745</v>
      </c>
      <c r="Y15145" t="s">
        <v>51746</v>
      </c>
    </row>
    <row r="15146" spans="1:25" x14ac:dyDescent="0.25">
      <c r="A15146" t="str">
        <f>"1788395329"</f>
        <v>1788395329</v>
      </c>
      <c r="B15146" t="s">
        <v>176</v>
      </c>
      <c r="C15146" t="s">
        <v>566</v>
      </c>
      <c r="D15146" t="s">
        <v>51747</v>
      </c>
      <c r="E15146">
        <v>425350</v>
      </c>
      <c r="F15146" t="s">
        <v>1</v>
      </c>
      <c r="G15146" t="s">
        <v>51330</v>
      </c>
      <c r="H15146" t="s">
        <v>51748</v>
      </c>
      <c r="I15146" t="s">
        <v>51749</v>
      </c>
      <c r="P15146" t="s">
        <v>330</v>
      </c>
      <c r="T15146" t="s">
        <v>51750</v>
      </c>
      <c r="Y15146" t="s">
        <v>51751</v>
      </c>
    </row>
    <row r="15147" spans="1:25" x14ac:dyDescent="0.25">
      <c r="A15147" t="str">
        <f>"1803569172"</f>
        <v>1803569172</v>
      </c>
      <c r="B15147" t="s">
        <v>3094</v>
      </c>
      <c r="C15147" t="s">
        <v>50893</v>
      </c>
      <c r="D15147" t="s">
        <v>51752</v>
      </c>
      <c r="E15147">
        <v>425354</v>
      </c>
      <c r="F15147" t="s">
        <v>1</v>
      </c>
      <c r="G15147" t="s">
        <v>51330</v>
      </c>
      <c r="H15147" t="s">
        <v>51753</v>
      </c>
      <c r="I15147" t="s">
        <v>51754</v>
      </c>
      <c r="L15147" t="s">
        <v>51755</v>
      </c>
      <c r="M15147" t="s">
        <v>51756</v>
      </c>
      <c r="P15147" t="s">
        <v>330</v>
      </c>
      <c r="Y15147" t="s">
        <v>51757</v>
      </c>
    </row>
    <row r="15148" spans="1:25" x14ac:dyDescent="0.25">
      <c r="A15148" t="str">
        <f>"1901787009"</f>
        <v>1901787009</v>
      </c>
      <c r="B15148" t="s">
        <v>352</v>
      </c>
      <c r="C15148" t="s">
        <v>51760</v>
      </c>
      <c r="D15148" t="s">
        <v>3186</v>
      </c>
      <c r="F15148" t="s">
        <v>1</v>
      </c>
      <c r="G15148" t="s">
        <v>51330</v>
      </c>
      <c r="H15148" t="s">
        <v>51758</v>
      </c>
      <c r="J15148" t="s">
        <v>51759</v>
      </c>
      <c r="L15148" t="s">
        <v>3189</v>
      </c>
      <c r="M15148" t="s">
        <v>3190</v>
      </c>
      <c r="P15148" t="s">
        <v>3192</v>
      </c>
      <c r="Q15148" t="s">
        <v>51761</v>
      </c>
      <c r="R15148" t="s">
        <v>51762</v>
      </c>
      <c r="T15148" t="s">
        <v>51763</v>
      </c>
      <c r="V15148" t="s">
        <v>3196</v>
      </c>
      <c r="Y15148" t="s">
        <v>51764</v>
      </c>
    </row>
    <row r="15149" spans="1:25" x14ac:dyDescent="0.25">
      <c r="A15149" t="str">
        <f>"2811634720"</f>
        <v>2811634720</v>
      </c>
      <c r="B15149" t="s">
        <v>530</v>
      </c>
      <c r="C15149" t="s">
        <v>23950</v>
      </c>
      <c r="D15149" t="s">
        <v>23950</v>
      </c>
      <c r="E15149">
        <v>425350</v>
      </c>
      <c r="F15149" t="s">
        <v>1</v>
      </c>
      <c r="G15149" t="s">
        <v>51330</v>
      </c>
      <c r="H15149" t="s">
        <v>51703</v>
      </c>
      <c r="Y15149" t="s">
        <v>51765</v>
      </c>
    </row>
    <row r="15150" spans="1:25" x14ac:dyDescent="0.25">
      <c r="A15150" t="str">
        <f>"3396065761"</f>
        <v>3396065761</v>
      </c>
      <c r="B15150" t="s">
        <v>32</v>
      </c>
      <c r="C15150" t="s">
        <v>40</v>
      </c>
      <c r="D15150" t="s">
        <v>2733</v>
      </c>
      <c r="E15150">
        <v>425350</v>
      </c>
      <c r="F15150" t="s">
        <v>1</v>
      </c>
      <c r="G15150" t="s">
        <v>51330</v>
      </c>
      <c r="H15150" t="s">
        <v>51488</v>
      </c>
      <c r="P15150" t="s">
        <v>696</v>
      </c>
      <c r="Y15150" t="s">
        <v>51766</v>
      </c>
    </row>
    <row r="15151" spans="1:25" x14ac:dyDescent="0.25">
      <c r="A15151" t="str">
        <f>"4044224235"</f>
        <v>4044224235</v>
      </c>
      <c r="B15151" t="s">
        <v>18</v>
      </c>
      <c r="C15151" t="s">
        <v>3386</v>
      </c>
      <c r="D15151" t="s">
        <v>18</v>
      </c>
      <c r="F15151" t="s">
        <v>1</v>
      </c>
      <c r="G15151" t="s">
        <v>51330</v>
      </c>
      <c r="H15151" t="s">
        <v>51767</v>
      </c>
      <c r="Y15151" t="s">
        <v>51768</v>
      </c>
    </row>
    <row r="15152" spans="1:25" x14ac:dyDescent="0.25">
      <c r="A15152" t="str">
        <f>"4398628245"</f>
        <v>4398628245</v>
      </c>
      <c r="B15152" t="s">
        <v>188</v>
      </c>
      <c r="C15152" t="s">
        <v>24568</v>
      </c>
      <c r="D15152" t="s">
        <v>24568</v>
      </c>
      <c r="F15152" t="s">
        <v>1</v>
      </c>
      <c r="G15152" t="s">
        <v>51330</v>
      </c>
      <c r="H15152" t="s">
        <v>51769</v>
      </c>
      <c r="P15152" t="s">
        <v>330</v>
      </c>
      <c r="Y15152" t="s">
        <v>51770</v>
      </c>
    </row>
    <row r="15153" spans="1:25" x14ac:dyDescent="0.25">
      <c r="A15153" t="str">
        <f>"4493794724"</f>
        <v>4493794724</v>
      </c>
      <c r="B15153" t="s">
        <v>1573</v>
      </c>
      <c r="C15153" t="s">
        <v>1817</v>
      </c>
      <c r="D15153" t="s">
        <v>719</v>
      </c>
      <c r="E15153">
        <v>425350</v>
      </c>
      <c r="F15153" t="s">
        <v>1</v>
      </c>
      <c r="G15153" t="s">
        <v>51330</v>
      </c>
      <c r="H15153" t="s">
        <v>51771</v>
      </c>
      <c r="Y15153" t="s">
        <v>51772</v>
      </c>
    </row>
    <row r="15154" spans="1:25" x14ac:dyDescent="0.25">
      <c r="A15154" t="str">
        <f>"4764017676"</f>
        <v>4764017676</v>
      </c>
      <c r="B15154" t="s">
        <v>716</v>
      </c>
      <c r="C15154" t="s">
        <v>717</v>
      </c>
      <c r="D15154" t="s">
        <v>51773</v>
      </c>
      <c r="E15154">
        <v>425350</v>
      </c>
      <c r="F15154" t="s">
        <v>1</v>
      </c>
      <c r="G15154" t="s">
        <v>51330</v>
      </c>
      <c r="H15154" t="s">
        <v>51511</v>
      </c>
      <c r="Y15154" t="s">
        <v>51774</v>
      </c>
    </row>
    <row r="15155" spans="1:25" x14ac:dyDescent="0.25">
      <c r="A15155" t="str">
        <f>"5550687808"</f>
        <v>5550687808</v>
      </c>
      <c r="B15155" t="s">
        <v>574</v>
      </c>
      <c r="C15155" t="s">
        <v>646</v>
      </c>
      <c r="D15155" t="s">
        <v>51775</v>
      </c>
      <c r="F15155" t="s">
        <v>1</v>
      </c>
      <c r="G15155" t="s">
        <v>51330</v>
      </c>
      <c r="H15155" t="s">
        <v>51776</v>
      </c>
      <c r="P15155" t="s">
        <v>1505</v>
      </c>
      <c r="Y15155" t="s">
        <v>51777</v>
      </c>
    </row>
    <row r="15156" spans="1:25" x14ac:dyDescent="0.25">
      <c r="A15156" t="str">
        <f>"6456063791"</f>
        <v>6456063791</v>
      </c>
      <c r="B15156" t="s">
        <v>2846</v>
      </c>
      <c r="C15156" t="s">
        <v>51778</v>
      </c>
      <c r="D15156" t="s">
        <v>51778</v>
      </c>
      <c r="F15156" t="s">
        <v>1</v>
      </c>
      <c r="G15156" t="s">
        <v>51330</v>
      </c>
      <c r="H15156" t="s">
        <v>51779</v>
      </c>
      <c r="Y15156" t="s">
        <v>51780</v>
      </c>
    </row>
    <row r="15157" spans="1:25" x14ac:dyDescent="0.25">
      <c r="A15157" t="str">
        <f>"6953739702"</f>
        <v>6953739702</v>
      </c>
      <c r="B15157" t="s">
        <v>803</v>
      </c>
      <c r="C15157" t="s">
        <v>4941</v>
      </c>
      <c r="D15157" t="s">
        <v>4941</v>
      </c>
      <c r="E15157">
        <v>425350</v>
      </c>
      <c r="F15157" t="s">
        <v>1</v>
      </c>
      <c r="G15157" t="s">
        <v>51330</v>
      </c>
      <c r="H15157" t="s">
        <v>51533</v>
      </c>
      <c r="Y15157" t="s">
        <v>51781</v>
      </c>
    </row>
    <row r="15158" spans="1:25" x14ac:dyDescent="0.25">
      <c r="A15158" t="str">
        <f>"7181009917"</f>
        <v>7181009917</v>
      </c>
      <c r="B15158" t="s">
        <v>530</v>
      </c>
      <c r="C15158" t="s">
        <v>23950</v>
      </c>
      <c r="D15158" t="s">
        <v>23950</v>
      </c>
      <c r="F15158" t="s">
        <v>1</v>
      </c>
      <c r="G15158" t="s">
        <v>51330</v>
      </c>
      <c r="H15158" t="s">
        <v>51782</v>
      </c>
      <c r="Y15158" t="s">
        <v>51783</v>
      </c>
    </row>
    <row r="15159" spans="1:25" x14ac:dyDescent="0.25">
      <c r="A15159" t="str">
        <f>"7339754877"</f>
        <v>7339754877</v>
      </c>
      <c r="B15159" t="s">
        <v>574</v>
      </c>
      <c r="C15159" t="s">
        <v>24952</v>
      </c>
      <c r="D15159" t="s">
        <v>24952</v>
      </c>
      <c r="F15159" t="s">
        <v>1</v>
      </c>
      <c r="G15159" t="s">
        <v>51330</v>
      </c>
      <c r="H15159" t="s">
        <v>51784</v>
      </c>
      <c r="P15159" t="s">
        <v>51785</v>
      </c>
      <c r="Y15159" t="s">
        <v>51786</v>
      </c>
    </row>
    <row r="15160" spans="1:25" x14ac:dyDescent="0.25">
      <c r="A15160" t="str">
        <f>"7543103603"</f>
        <v>7543103603</v>
      </c>
      <c r="B15160" t="s">
        <v>530</v>
      </c>
      <c r="C15160" t="s">
        <v>23950</v>
      </c>
      <c r="D15160" t="s">
        <v>23950</v>
      </c>
      <c r="F15160" t="s">
        <v>1</v>
      </c>
      <c r="G15160" t="s">
        <v>51330</v>
      </c>
      <c r="H15160" t="s">
        <v>51787</v>
      </c>
      <c r="Y15160" t="s">
        <v>51788</v>
      </c>
    </row>
    <row r="15161" spans="1:25" x14ac:dyDescent="0.25">
      <c r="A15161" t="str">
        <f>"7693822987"</f>
        <v>7693822987</v>
      </c>
      <c r="B15161" t="s">
        <v>530</v>
      </c>
      <c r="C15161" t="s">
        <v>23950</v>
      </c>
      <c r="D15161" t="s">
        <v>23950</v>
      </c>
      <c r="F15161" t="s">
        <v>1</v>
      </c>
      <c r="G15161" t="s">
        <v>51330</v>
      </c>
      <c r="H15161" t="s">
        <v>51789</v>
      </c>
      <c r="Y15161" t="s">
        <v>51790</v>
      </c>
    </row>
    <row r="15162" spans="1:25" x14ac:dyDescent="0.25">
      <c r="A15162" t="str">
        <f>"7731858371"</f>
        <v>7731858371</v>
      </c>
      <c r="B15162" t="s">
        <v>930</v>
      </c>
      <c r="C15162" t="s">
        <v>11882</v>
      </c>
      <c r="D15162" t="s">
        <v>1094</v>
      </c>
      <c r="F15162" t="s">
        <v>1</v>
      </c>
      <c r="G15162" t="s">
        <v>51330</v>
      </c>
      <c r="H15162" t="s">
        <v>51791</v>
      </c>
      <c r="J15162" t="s">
        <v>51792</v>
      </c>
      <c r="P15162" t="s">
        <v>3938</v>
      </c>
      <c r="Y15162" t="s">
        <v>51793</v>
      </c>
    </row>
    <row r="15163" spans="1:25" x14ac:dyDescent="0.25">
      <c r="A15163" t="str">
        <f>"8008167564"</f>
        <v>8008167564</v>
      </c>
      <c r="B15163" t="s">
        <v>48</v>
      </c>
      <c r="C15163" t="s">
        <v>16070</v>
      </c>
      <c r="D15163" t="s">
        <v>51794</v>
      </c>
      <c r="E15163">
        <v>425350</v>
      </c>
      <c r="F15163" t="s">
        <v>1</v>
      </c>
      <c r="G15163" t="s">
        <v>51330</v>
      </c>
      <c r="H15163" t="s">
        <v>51533</v>
      </c>
      <c r="J15163" t="s">
        <v>51795</v>
      </c>
      <c r="P15163" t="s">
        <v>51796</v>
      </c>
      <c r="V15163" t="s">
        <v>51797</v>
      </c>
      <c r="Y15163" t="s">
        <v>51535</v>
      </c>
    </row>
    <row r="15164" spans="1:25" x14ac:dyDescent="0.25">
      <c r="A15164" t="str">
        <f>"8662206420"</f>
        <v>8662206420</v>
      </c>
      <c r="B15164" t="s">
        <v>18</v>
      </c>
      <c r="C15164" t="s">
        <v>51799</v>
      </c>
      <c r="D15164" t="s">
        <v>4522</v>
      </c>
      <c r="E15164">
        <v>425350</v>
      </c>
      <c r="F15164" t="s">
        <v>1</v>
      </c>
      <c r="G15164" t="s">
        <v>51330</v>
      </c>
      <c r="H15164" t="s">
        <v>51798</v>
      </c>
      <c r="Y15164" t="s">
        <v>51800</v>
      </c>
    </row>
    <row r="15165" spans="1:25" x14ac:dyDescent="0.25">
      <c r="A15165" t="str">
        <f>"9359393377"</f>
        <v>9359393377</v>
      </c>
      <c r="B15165" t="s">
        <v>117</v>
      </c>
      <c r="C15165" t="s">
        <v>873</v>
      </c>
      <c r="D15165" t="s">
        <v>873</v>
      </c>
      <c r="F15165" t="s">
        <v>1</v>
      </c>
      <c r="G15165" t="s">
        <v>51330</v>
      </c>
      <c r="H15165" t="s">
        <v>51801</v>
      </c>
      <c r="Y15165" t="s">
        <v>51802</v>
      </c>
    </row>
    <row r="15166" spans="1:25" x14ac:dyDescent="0.25">
      <c r="A15166" t="str">
        <f>"10468933127"</f>
        <v>10468933127</v>
      </c>
      <c r="B15166" t="s">
        <v>1573</v>
      </c>
      <c r="C15166" t="s">
        <v>1817</v>
      </c>
      <c r="D15166" t="s">
        <v>1815</v>
      </c>
      <c r="F15166" t="s">
        <v>1</v>
      </c>
      <c r="G15166" t="s">
        <v>51330</v>
      </c>
      <c r="H15166" t="s">
        <v>51803</v>
      </c>
      <c r="P15166" t="s">
        <v>2079</v>
      </c>
      <c r="Y15166" t="s">
        <v>51804</v>
      </c>
    </row>
    <row r="15167" spans="1:25" x14ac:dyDescent="0.25">
      <c r="A15167" t="str">
        <f>"10572897555"</f>
        <v>10572897555</v>
      </c>
      <c r="B15167" t="s">
        <v>176</v>
      </c>
      <c r="C15167" t="s">
        <v>566</v>
      </c>
      <c r="D15167" t="s">
        <v>51805</v>
      </c>
      <c r="F15167" t="s">
        <v>1</v>
      </c>
      <c r="G15167" t="s">
        <v>51330</v>
      </c>
      <c r="H15167" t="s">
        <v>51806</v>
      </c>
      <c r="J15167" t="s">
        <v>51807</v>
      </c>
      <c r="M15167" t="s">
        <v>51808</v>
      </c>
      <c r="P15167" t="s">
        <v>330</v>
      </c>
      <c r="Q15167" t="s">
        <v>51809</v>
      </c>
      <c r="Y15167" t="s">
        <v>51810</v>
      </c>
    </row>
    <row r="15168" spans="1:25" x14ac:dyDescent="0.25">
      <c r="A15168" t="str">
        <f>"10788006523"</f>
        <v>10788006523</v>
      </c>
      <c r="B15168" t="s">
        <v>1758</v>
      </c>
      <c r="C15168" t="s">
        <v>2276</v>
      </c>
      <c r="D15168" t="s">
        <v>51811</v>
      </c>
      <c r="E15168">
        <v>425350</v>
      </c>
      <c r="F15168" t="s">
        <v>1</v>
      </c>
      <c r="G15168" t="s">
        <v>51330</v>
      </c>
      <c r="H15168" t="s">
        <v>51771</v>
      </c>
      <c r="J15168" t="s">
        <v>51812</v>
      </c>
      <c r="P15168" t="s">
        <v>51813</v>
      </c>
      <c r="Y15168" t="s">
        <v>51814</v>
      </c>
    </row>
    <row r="15169" spans="1:25" x14ac:dyDescent="0.25">
      <c r="A15169" t="str">
        <f>"10828708442"</f>
        <v>10828708442</v>
      </c>
      <c r="B15169" t="s">
        <v>1758</v>
      </c>
      <c r="C15169" t="s">
        <v>8089</v>
      </c>
      <c r="D15169" t="s">
        <v>51815</v>
      </c>
      <c r="F15169" t="s">
        <v>1</v>
      </c>
      <c r="G15169" t="s">
        <v>51330</v>
      </c>
      <c r="H15169" t="s">
        <v>51816</v>
      </c>
      <c r="P15169" t="s">
        <v>605</v>
      </c>
      <c r="Y15169" t="s">
        <v>51817</v>
      </c>
    </row>
    <row r="15170" spans="1:25" x14ac:dyDescent="0.25">
      <c r="A15170" t="str">
        <f>"11001412148"</f>
        <v>11001412148</v>
      </c>
      <c r="B15170" t="s">
        <v>176</v>
      </c>
      <c r="C15170" t="s">
        <v>27547</v>
      </c>
      <c r="D15170" t="s">
        <v>27545</v>
      </c>
      <c r="E15170">
        <v>425354</v>
      </c>
      <c r="F15170" t="s">
        <v>1</v>
      </c>
      <c r="G15170" t="s">
        <v>51330</v>
      </c>
      <c r="H15170" t="s">
        <v>51818</v>
      </c>
      <c r="Y15170" t="s">
        <v>51819</v>
      </c>
    </row>
    <row r="15171" spans="1:25" x14ac:dyDescent="0.25">
      <c r="A15171" t="str">
        <f>"11116713032"</f>
        <v>11116713032</v>
      </c>
      <c r="B15171" t="s">
        <v>2104</v>
      </c>
      <c r="C15171" t="s">
        <v>13387</v>
      </c>
      <c r="D15171" t="s">
        <v>51820</v>
      </c>
      <c r="F15171" t="s">
        <v>1</v>
      </c>
      <c r="G15171" t="s">
        <v>51330</v>
      </c>
      <c r="H15171" t="s">
        <v>51821</v>
      </c>
      <c r="Y15171" t="s">
        <v>51822</v>
      </c>
    </row>
    <row r="15172" spans="1:25" x14ac:dyDescent="0.25">
      <c r="A15172" t="str">
        <f>"12429770692"</f>
        <v>12429770692</v>
      </c>
      <c r="B15172" t="s">
        <v>18</v>
      </c>
      <c r="C15172" t="s">
        <v>1419</v>
      </c>
      <c r="D15172" t="s">
        <v>51823</v>
      </c>
      <c r="F15172" t="s">
        <v>1</v>
      </c>
      <c r="G15172" t="s">
        <v>51330</v>
      </c>
      <c r="H15172" t="s">
        <v>51824</v>
      </c>
      <c r="Y15172" t="s">
        <v>51825</v>
      </c>
    </row>
    <row r="15173" spans="1:25" x14ac:dyDescent="0.25">
      <c r="A15173" t="str">
        <f>"12689281233"</f>
        <v>12689281233</v>
      </c>
      <c r="B15173" t="s">
        <v>530</v>
      </c>
      <c r="C15173" t="s">
        <v>23950</v>
      </c>
      <c r="D15173" t="s">
        <v>23950</v>
      </c>
      <c r="F15173" t="s">
        <v>1</v>
      </c>
      <c r="G15173" t="s">
        <v>51330</v>
      </c>
      <c r="H15173" t="s">
        <v>51826</v>
      </c>
      <c r="Y15173" t="s">
        <v>51827</v>
      </c>
    </row>
    <row r="15174" spans="1:25" x14ac:dyDescent="0.25">
      <c r="A15174" t="str">
        <f>"12990650824"</f>
        <v>12990650824</v>
      </c>
      <c r="B15174" t="s">
        <v>1222</v>
      </c>
      <c r="C15174" t="s">
        <v>2114</v>
      </c>
      <c r="D15174" t="s">
        <v>51828</v>
      </c>
      <c r="F15174" t="s">
        <v>1</v>
      </c>
      <c r="G15174" t="s">
        <v>51330</v>
      </c>
      <c r="H15174" t="s">
        <v>51829</v>
      </c>
      <c r="Y15174" t="s">
        <v>51830</v>
      </c>
    </row>
    <row r="15175" spans="1:25" x14ac:dyDescent="0.25">
      <c r="A15175" t="str">
        <f>"13136106617"</f>
        <v>13136106617</v>
      </c>
      <c r="B15175" t="s">
        <v>1152</v>
      </c>
      <c r="C15175" t="s">
        <v>1153</v>
      </c>
      <c r="D15175" t="s">
        <v>10280</v>
      </c>
      <c r="E15175">
        <v>425350</v>
      </c>
      <c r="F15175" t="s">
        <v>1</v>
      </c>
      <c r="G15175" t="s">
        <v>51330</v>
      </c>
      <c r="H15175" t="s">
        <v>51831</v>
      </c>
      <c r="I15175" t="s">
        <v>22092</v>
      </c>
      <c r="M15175" t="s">
        <v>10284</v>
      </c>
      <c r="P15175" t="s">
        <v>16441</v>
      </c>
      <c r="Q15175" t="s">
        <v>10286</v>
      </c>
      <c r="R15175" t="s">
        <v>10287</v>
      </c>
      <c r="S15175" t="s">
        <v>10288</v>
      </c>
      <c r="T15175" t="s">
        <v>10289</v>
      </c>
      <c r="U15175" t="s">
        <v>10290</v>
      </c>
      <c r="V15175" t="s">
        <v>10291</v>
      </c>
      <c r="Y15175" t="s">
        <v>51832</v>
      </c>
    </row>
    <row r="15176" spans="1:25" x14ac:dyDescent="0.25">
      <c r="A15176" t="str">
        <f>"15057201541"</f>
        <v>15057201541</v>
      </c>
      <c r="B15176" t="s">
        <v>10383</v>
      </c>
      <c r="C15176" t="s">
        <v>31853</v>
      </c>
      <c r="D15176" t="s">
        <v>51833</v>
      </c>
      <c r="F15176" t="s">
        <v>1</v>
      </c>
      <c r="G15176" t="s">
        <v>51330</v>
      </c>
      <c r="H15176" t="s">
        <v>51834</v>
      </c>
      <c r="M15176" t="s">
        <v>51410</v>
      </c>
      <c r="Y15176" t="s">
        <v>51835</v>
      </c>
    </row>
    <row r="15177" spans="1:25" x14ac:dyDescent="0.25">
      <c r="A15177" t="str">
        <f>"16397967944"</f>
        <v>16397967944</v>
      </c>
      <c r="B15177" t="s">
        <v>117</v>
      </c>
      <c r="C15177" t="s">
        <v>118</v>
      </c>
      <c r="D15177" t="s">
        <v>30206</v>
      </c>
      <c r="F15177" t="s">
        <v>1</v>
      </c>
      <c r="G15177" t="s">
        <v>51330</v>
      </c>
      <c r="H15177" t="s">
        <v>51767</v>
      </c>
      <c r="Y15177" t="s">
        <v>51836</v>
      </c>
    </row>
    <row r="15178" spans="1:25" x14ac:dyDescent="0.25">
      <c r="A15178" t="str">
        <f>"16468344966"</f>
        <v>16468344966</v>
      </c>
      <c r="B15178" t="s">
        <v>1078</v>
      </c>
      <c r="C15178" t="s">
        <v>25481</v>
      </c>
      <c r="D15178" t="s">
        <v>7229</v>
      </c>
      <c r="E15178">
        <v>425353</v>
      </c>
      <c r="F15178" t="s">
        <v>1</v>
      </c>
      <c r="G15178" t="s">
        <v>51330</v>
      </c>
      <c r="H15178" t="s">
        <v>51837</v>
      </c>
      <c r="Y15178" t="s">
        <v>51838</v>
      </c>
    </row>
    <row r="15179" spans="1:25" x14ac:dyDescent="0.25">
      <c r="A15179" t="str">
        <f>"16582908946"</f>
        <v>16582908946</v>
      </c>
      <c r="B15179" t="s">
        <v>290</v>
      </c>
      <c r="C15179" t="s">
        <v>291</v>
      </c>
      <c r="D15179" t="s">
        <v>43617</v>
      </c>
      <c r="E15179">
        <v>425350</v>
      </c>
      <c r="F15179" t="s">
        <v>1</v>
      </c>
      <c r="G15179" t="s">
        <v>51330</v>
      </c>
      <c r="H15179" t="s">
        <v>51606</v>
      </c>
      <c r="P15179" t="s">
        <v>40236</v>
      </c>
      <c r="Y15179" t="s">
        <v>51839</v>
      </c>
    </row>
    <row r="15180" spans="1:25" x14ac:dyDescent="0.25">
      <c r="A15180" t="str">
        <f>"16585080323"</f>
        <v>16585080323</v>
      </c>
      <c r="B15180" t="s">
        <v>25</v>
      </c>
      <c r="C15180" t="s">
        <v>59</v>
      </c>
      <c r="D15180" t="s">
        <v>51840</v>
      </c>
      <c r="F15180" t="s">
        <v>1</v>
      </c>
      <c r="G15180" t="s">
        <v>51330</v>
      </c>
      <c r="H15180" t="s">
        <v>51416</v>
      </c>
      <c r="Y15180" t="s">
        <v>51841</v>
      </c>
    </row>
    <row r="15181" spans="1:25" x14ac:dyDescent="0.25">
      <c r="A15181" t="str">
        <f>"16660211138"</f>
        <v>16660211138</v>
      </c>
      <c r="B15181" t="s">
        <v>319</v>
      </c>
      <c r="C15181" t="s">
        <v>320</v>
      </c>
      <c r="D15181" t="s">
        <v>51842</v>
      </c>
      <c r="F15181" t="s">
        <v>1</v>
      </c>
      <c r="G15181" t="s">
        <v>51330</v>
      </c>
      <c r="H15181" t="s">
        <v>51816</v>
      </c>
      <c r="P15181" t="s">
        <v>6764</v>
      </c>
      <c r="Y15181" t="s">
        <v>51843</v>
      </c>
    </row>
    <row r="15182" spans="1:25" x14ac:dyDescent="0.25">
      <c r="A15182" t="str">
        <f>"16883088069"</f>
        <v>16883088069</v>
      </c>
      <c r="B15182" t="s">
        <v>530</v>
      </c>
      <c r="C15182" t="s">
        <v>23950</v>
      </c>
      <c r="D15182" t="s">
        <v>23950</v>
      </c>
      <c r="F15182" t="s">
        <v>1</v>
      </c>
      <c r="G15182" t="s">
        <v>51330</v>
      </c>
      <c r="H15182" t="s">
        <v>51844</v>
      </c>
      <c r="Y15182" t="s">
        <v>51845</v>
      </c>
    </row>
    <row r="15183" spans="1:25" x14ac:dyDescent="0.25">
      <c r="A15183" t="str">
        <f>"17081874770"</f>
        <v>17081874770</v>
      </c>
      <c r="B15183" t="s">
        <v>530</v>
      </c>
      <c r="C15183" t="s">
        <v>23950</v>
      </c>
      <c r="D15183" t="s">
        <v>23950</v>
      </c>
      <c r="F15183" t="s">
        <v>1</v>
      </c>
      <c r="G15183" t="s">
        <v>51330</v>
      </c>
      <c r="H15183" t="s">
        <v>51846</v>
      </c>
      <c r="Y15183" t="s">
        <v>51847</v>
      </c>
    </row>
    <row r="15184" spans="1:25" x14ac:dyDescent="0.25">
      <c r="A15184" t="str">
        <f>"17264372800"</f>
        <v>17264372800</v>
      </c>
      <c r="B15184" t="s">
        <v>18</v>
      </c>
      <c r="C15184" t="s">
        <v>4522</v>
      </c>
      <c r="D15184" t="s">
        <v>51848</v>
      </c>
      <c r="F15184" t="s">
        <v>1</v>
      </c>
      <c r="G15184" t="s">
        <v>51330</v>
      </c>
      <c r="H15184" t="s">
        <v>51849</v>
      </c>
      <c r="Y15184" t="s">
        <v>51850</v>
      </c>
    </row>
    <row r="15185" spans="1:25" x14ac:dyDescent="0.25">
      <c r="A15185" t="str">
        <f>"17978343391"</f>
        <v>17978343391</v>
      </c>
      <c r="B15185" t="s">
        <v>1475</v>
      </c>
      <c r="C15185" t="s">
        <v>1476</v>
      </c>
      <c r="D15185" t="s">
        <v>51851</v>
      </c>
      <c r="E15185">
        <v>425350</v>
      </c>
      <c r="F15185" t="s">
        <v>1</v>
      </c>
      <c r="G15185" t="s">
        <v>51330</v>
      </c>
      <c r="H15185" t="s">
        <v>51533</v>
      </c>
      <c r="P15185" t="s">
        <v>11503</v>
      </c>
      <c r="Y15185" t="s">
        <v>51852</v>
      </c>
    </row>
    <row r="15186" spans="1:25" x14ac:dyDescent="0.25">
      <c r="A15186" t="str">
        <f>"18316627712"</f>
        <v>18316627712</v>
      </c>
      <c r="B15186" t="s">
        <v>790</v>
      </c>
      <c r="C15186" t="s">
        <v>4583</v>
      </c>
      <c r="D15186" t="s">
        <v>3307</v>
      </c>
      <c r="F15186" t="s">
        <v>1</v>
      </c>
      <c r="G15186" t="s">
        <v>51330</v>
      </c>
      <c r="H15186" t="s">
        <v>51853</v>
      </c>
      <c r="P15186" t="s">
        <v>4247</v>
      </c>
      <c r="Y15186" t="s">
        <v>51854</v>
      </c>
    </row>
    <row r="15187" spans="1:25" x14ac:dyDescent="0.25">
      <c r="A15187" t="str">
        <f>"18859109235"</f>
        <v>18859109235</v>
      </c>
      <c r="B15187" t="s">
        <v>430</v>
      </c>
      <c r="C15187" t="s">
        <v>16178</v>
      </c>
      <c r="D15187" t="s">
        <v>51855</v>
      </c>
      <c r="F15187" t="s">
        <v>1</v>
      </c>
      <c r="G15187" t="s">
        <v>51330</v>
      </c>
      <c r="H15187" t="s">
        <v>51784</v>
      </c>
      <c r="P15187" t="s">
        <v>1464</v>
      </c>
      <c r="Y15187" t="s">
        <v>51856</v>
      </c>
    </row>
    <row r="15188" spans="1:25" x14ac:dyDescent="0.25">
      <c r="A15188" t="str">
        <f>"18984032462"</f>
        <v>18984032462</v>
      </c>
      <c r="B15188" t="s">
        <v>624</v>
      </c>
      <c r="C15188" t="s">
        <v>51308</v>
      </c>
      <c r="D15188" t="s">
        <v>51308</v>
      </c>
      <c r="F15188" t="s">
        <v>1</v>
      </c>
      <c r="G15188" t="s">
        <v>51330</v>
      </c>
      <c r="H15188" t="s">
        <v>51857</v>
      </c>
      <c r="Y15188" t="s">
        <v>51858</v>
      </c>
    </row>
    <row r="15189" spans="1:25" x14ac:dyDescent="0.25">
      <c r="A15189" t="str">
        <f>"20984120997"</f>
        <v>20984120997</v>
      </c>
      <c r="B15189" t="s">
        <v>123</v>
      </c>
      <c r="C15189" t="s">
        <v>424</v>
      </c>
      <c r="D15189" t="s">
        <v>51859</v>
      </c>
      <c r="F15189" t="s">
        <v>1</v>
      </c>
      <c r="G15189" t="s">
        <v>51330</v>
      </c>
      <c r="H15189" t="s">
        <v>51860</v>
      </c>
      <c r="P15189" t="s">
        <v>381</v>
      </c>
      <c r="Y15189" t="s">
        <v>51861</v>
      </c>
    </row>
    <row r="15190" spans="1:25" x14ac:dyDescent="0.25">
      <c r="A15190" t="str">
        <f>"21657434441"</f>
        <v>21657434441</v>
      </c>
      <c r="B15190" t="s">
        <v>319</v>
      </c>
      <c r="C15190" t="s">
        <v>320</v>
      </c>
      <c r="D15190" t="s">
        <v>51862</v>
      </c>
      <c r="E15190">
        <v>425350</v>
      </c>
      <c r="F15190" t="s">
        <v>1</v>
      </c>
      <c r="G15190" t="s">
        <v>51330</v>
      </c>
      <c r="H15190" t="s">
        <v>51863</v>
      </c>
      <c r="P15190" t="s">
        <v>216</v>
      </c>
      <c r="Y15190" t="s">
        <v>51864</v>
      </c>
    </row>
    <row r="15191" spans="1:25" x14ac:dyDescent="0.25">
      <c r="A15191" t="str">
        <f>"21741673115"</f>
        <v>21741673115</v>
      </c>
      <c r="B15191" t="s">
        <v>96</v>
      </c>
      <c r="C15191" t="s">
        <v>893</v>
      </c>
      <c r="D15191" t="s">
        <v>18885</v>
      </c>
      <c r="E15191">
        <v>425350</v>
      </c>
      <c r="F15191" t="s">
        <v>1</v>
      </c>
      <c r="G15191" t="s">
        <v>51330</v>
      </c>
      <c r="H15191" t="s">
        <v>51342</v>
      </c>
      <c r="Y15191" t="s">
        <v>51865</v>
      </c>
    </row>
    <row r="15192" spans="1:25" x14ac:dyDescent="0.25">
      <c r="A15192" t="str">
        <f>"21882774429"</f>
        <v>21882774429</v>
      </c>
      <c r="B15192" t="s">
        <v>188</v>
      </c>
      <c r="C15192" t="s">
        <v>23982</v>
      </c>
      <c r="D15192" t="s">
        <v>23982</v>
      </c>
      <c r="E15192">
        <v>425350</v>
      </c>
      <c r="F15192" t="s">
        <v>1</v>
      </c>
      <c r="G15192" t="s">
        <v>51330</v>
      </c>
      <c r="H15192" t="s">
        <v>51463</v>
      </c>
      <c r="Y15192" t="s">
        <v>51866</v>
      </c>
    </row>
    <row r="15193" spans="1:25" x14ac:dyDescent="0.25">
      <c r="A15193" t="str">
        <f>"22260282573"</f>
        <v>22260282573</v>
      </c>
      <c r="B15193" t="s">
        <v>1046</v>
      </c>
      <c r="C15193" t="s">
        <v>3808</v>
      </c>
      <c r="D15193" t="s">
        <v>3808</v>
      </c>
      <c r="F15193" t="s">
        <v>1</v>
      </c>
      <c r="G15193" t="s">
        <v>51330</v>
      </c>
      <c r="H15193" t="s">
        <v>51821</v>
      </c>
      <c r="Y15193" t="s">
        <v>51867</v>
      </c>
    </row>
    <row r="15194" spans="1:25" x14ac:dyDescent="0.25">
      <c r="A15194" t="str">
        <f>"23071532785"</f>
        <v>23071532785</v>
      </c>
      <c r="B15194" t="s">
        <v>290</v>
      </c>
      <c r="C15194" t="s">
        <v>23328</v>
      </c>
      <c r="D15194" t="s">
        <v>51868</v>
      </c>
      <c r="E15194">
        <v>425350</v>
      </c>
      <c r="F15194" t="s">
        <v>1</v>
      </c>
      <c r="G15194" t="s">
        <v>51330</v>
      </c>
      <c r="H15194" t="s">
        <v>51869</v>
      </c>
      <c r="Y15194" t="s">
        <v>51870</v>
      </c>
    </row>
    <row r="15195" spans="1:25" x14ac:dyDescent="0.25">
      <c r="A15195" t="str">
        <f>"23662040982"</f>
        <v>23662040982</v>
      </c>
      <c r="B15195" t="s">
        <v>117</v>
      </c>
      <c r="C15195" t="s">
        <v>118</v>
      </c>
      <c r="D15195" t="s">
        <v>51871</v>
      </c>
      <c r="F15195" t="s">
        <v>1</v>
      </c>
      <c r="G15195" t="s">
        <v>51330</v>
      </c>
      <c r="H15195" t="s">
        <v>51789</v>
      </c>
      <c r="Y15195" t="s">
        <v>51872</v>
      </c>
    </row>
    <row r="15196" spans="1:25" x14ac:dyDescent="0.25">
      <c r="A15196" t="str">
        <f>"24221710524"</f>
        <v>24221710524</v>
      </c>
      <c r="B15196" t="s">
        <v>530</v>
      </c>
      <c r="C15196" t="s">
        <v>23950</v>
      </c>
      <c r="D15196" t="s">
        <v>23950</v>
      </c>
      <c r="F15196" t="s">
        <v>1</v>
      </c>
      <c r="G15196" t="s">
        <v>51330</v>
      </c>
      <c r="H15196" t="s">
        <v>51873</v>
      </c>
      <c r="Y15196" t="s">
        <v>51874</v>
      </c>
    </row>
    <row r="15197" spans="1:25" x14ac:dyDescent="0.25">
      <c r="A15197" t="str">
        <f>"24406039431"</f>
        <v>24406039431</v>
      </c>
      <c r="B15197" t="s">
        <v>1493</v>
      </c>
      <c r="C15197" t="s">
        <v>2355</v>
      </c>
      <c r="D15197" t="s">
        <v>11808</v>
      </c>
      <c r="F15197" t="s">
        <v>1</v>
      </c>
      <c r="G15197" t="s">
        <v>51330</v>
      </c>
      <c r="H15197" t="s">
        <v>51734</v>
      </c>
      <c r="P15197" t="s">
        <v>2258</v>
      </c>
      <c r="Y15197" t="s">
        <v>51875</v>
      </c>
    </row>
    <row r="15198" spans="1:25" x14ac:dyDescent="0.25">
      <c r="A15198" t="str">
        <f>"24761159318"</f>
        <v>24761159318</v>
      </c>
      <c r="B15198" t="s">
        <v>117</v>
      </c>
      <c r="C15198" t="s">
        <v>6850</v>
      </c>
      <c r="D15198" t="s">
        <v>6850</v>
      </c>
      <c r="F15198" t="s">
        <v>1</v>
      </c>
      <c r="G15198" t="s">
        <v>51330</v>
      </c>
      <c r="H15198" t="s">
        <v>51876</v>
      </c>
      <c r="Y15198" t="s">
        <v>51877</v>
      </c>
    </row>
    <row r="15199" spans="1:25" x14ac:dyDescent="0.25">
      <c r="A15199" t="str">
        <f>"24794052944"</f>
        <v>24794052944</v>
      </c>
      <c r="B15199" t="s">
        <v>530</v>
      </c>
      <c r="C15199" t="s">
        <v>23950</v>
      </c>
      <c r="D15199" t="s">
        <v>23950</v>
      </c>
      <c r="F15199" t="s">
        <v>1</v>
      </c>
      <c r="G15199" t="s">
        <v>51330</v>
      </c>
      <c r="H15199" t="s">
        <v>51878</v>
      </c>
      <c r="Y15199" t="s">
        <v>51879</v>
      </c>
    </row>
    <row r="15200" spans="1:25" x14ac:dyDescent="0.25">
      <c r="A15200" t="str">
        <f>"25054223014"</f>
        <v>25054223014</v>
      </c>
      <c r="B15200" t="s">
        <v>738</v>
      </c>
      <c r="C15200" t="s">
        <v>739</v>
      </c>
      <c r="D15200" t="s">
        <v>4549</v>
      </c>
      <c r="E15200">
        <v>425350</v>
      </c>
      <c r="F15200" t="s">
        <v>1</v>
      </c>
      <c r="G15200" t="s">
        <v>51330</v>
      </c>
      <c r="H15200" t="s">
        <v>51880</v>
      </c>
      <c r="P15200" t="s">
        <v>1035</v>
      </c>
      <c r="Y15200" t="s">
        <v>51881</v>
      </c>
    </row>
    <row r="15201" spans="1:25" x14ac:dyDescent="0.25">
      <c r="A15201" t="str">
        <f>"25298219133"</f>
        <v>25298219133</v>
      </c>
      <c r="B15201" t="s">
        <v>117</v>
      </c>
      <c r="C15201" t="s">
        <v>118</v>
      </c>
      <c r="D15201" t="s">
        <v>51882</v>
      </c>
      <c r="F15201" t="s">
        <v>1</v>
      </c>
      <c r="G15201" t="s">
        <v>51330</v>
      </c>
      <c r="H15201" t="s">
        <v>51883</v>
      </c>
      <c r="Y15201" t="s">
        <v>51884</v>
      </c>
    </row>
    <row r="15202" spans="1:25" x14ac:dyDescent="0.25">
      <c r="A15202" t="str">
        <f>"25831560420"</f>
        <v>25831560420</v>
      </c>
      <c r="B15202" t="s">
        <v>530</v>
      </c>
      <c r="C15202" t="s">
        <v>23950</v>
      </c>
      <c r="D15202" t="s">
        <v>23950</v>
      </c>
      <c r="F15202" t="s">
        <v>1</v>
      </c>
      <c r="G15202" t="s">
        <v>51330</v>
      </c>
      <c r="H15202" t="s">
        <v>51885</v>
      </c>
      <c r="Y15202" t="s">
        <v>51886</v>
      </c>
    </row>
    <row r="15203" spans="1:25" x14ac:dyDescent="0.25">
      <c r="A15203" t="str">
        <f>"26791646718"</f>
        <v>26791646718</v>
      </c>
      <c r="B15203" t="s">
        <v>930</v>
      </c>
      <c r="C15203" t="s">
        <v>10263</v>
      </c>
      <c r="D15203" t="s">
        <v>10263</v>
      </c>
      <c r="F15203" t="s">
        <v>1</v>
      </c>
      <c r="G15203" t="s">
        <v>51330</v>
      </c>
      <c r="H15203" t="s">
        <v>51887</v>
      </c>
      <c r="P15203" t="s">
        <v>1464</v>
      </c>
      <c r="Y15203" t="s">
        <v>51888</v>
      </c>
    </row>
    <row r="15204" spans="1:25" x14ac:dyDescent="0.25">
      <c r="A15204" t="str">
        <f>"26841620998"</f>
        <v>26841620998</v>
      </c>
      <c r="B15204" t="s">
        <v>96</v>
      </c>
      <c r="C15204" t="s">
        <v>893</v>
      </c>
      <c r="D15204" t="s">
        <v>51889</v>
      </c>
      <c r="E15204">
        <v>425353</v>
      </c>
      <c r="F15204" t="s">
        <v>1</v>
      </c>
      <c r="G15204" t="s">
        <v>51330</v>
      </c>
      <c r="H15204" t="s">
        <v>51553</v>
      </c>
      <c r="Y15204" t="s">
        <v>51890</v>
      </c>
    </row>
    <row r="15205" spans="1:25" x14ac:dyDescent="0.25">
      <c r="A15205" t="str">
        <f>"26853737888"</f>
        <v>26853737888</v>
      </c>
      <c r="B15205" t="s">
        <v>3908</v>
      </c>
      <c r="C15205" t="s">
        <v>51896</v>
      </c>
      <c r="D15205" t="s">
        <v>51891</v>
      </c>
      <c r="E15205">
        <v>425350</v>
      </c>
      <c r="F15205" t="s">
        <v>1</v>
      </c>
      <c r="G15205" t="s">
        <v>51330</v>
      </c>
      <c r="H15205" t="s">
        <v>51892</v>
      </c>
      <c r="I15205" t="s">
        <v>51893</v>
      </c>
      <c r="L15205" t="s">
        <v>51894</v>
      </c>
      <c r="M15205" t="s">
        <v>51895</v>
      </c>
      <c r="P15205" t="s">
        <v>51897</v>
      </c>
      <c r="Y15205" t="s">
        <v>51898</v>
      </c>
    </row>
    <row r="15206" spans="1:25" x14ac:dyDescent="0.25">
      <c r="A15206" t="str">
        <f>"26913052708"</f>
        <v>26913052708</v>
      </c>
      <c r="B15206" t="s">
        <v>10383</v>
      </c>
      <c r="C15206" t="s">
        <v>24146</v>
      </c>
      <c r="D15206" t="s">
        <v>24146</v>
      </c>
      <c r="F15206" t="s">
        <v>1</v>
      </c>
      <c r="G15206" t="s">
        <v>51330</v>
      </c>
      <c r="H15206" t="s">
        <v>51876</v>
      </c>
      <c r="Y15206" t="s">
        <v>51899</v>
      </c>
    </row>
    <row r="15207" spans="1:25" x14ac:dyDescent="0.25">
      <c r="A15207" t="str">
        <f>"27137230194"</f>
        <v>27137230194</v>
      </c>
      <c r="B15207" t="s">
        <v>530</v>
      </c>
      <c r="C15207" t="s">
        <v>23950</v>
      </c>
      <c r="D15207" t="s">
        <v>23950</v>
      </c>
      <c r="F15207" t="s">
        <v>1</v>
      </c>
      <c r="G15207" t="s">
        <v>51330</v>
      </c>
      <c r="H15207" t="s">
        <v>51782</v>
      </c>
      <c r="Y15207" t="s">
        <v>51900</v>
      </c>
    </row>
    <row r="15208" spans="1:25" x14ac:dyDescent="0.25">
      <c r="A15208" t="str">
        <f>"27693339199"</f>
        <v>27693339199</v>
      </c>
      <c r="B15208" t="s">
        <v>1046</v>
      </c>
      <c r="C15208" t="s">
        <v>22946</v>
      </c>
      <c r="D15208" t="s">
        <v>22946</v>
      </c>
      <c r="F15208" t="s">
        <v>1</v>
      </c>
      <c r="G15208" t="s">
        <v>51330</v>
      </c>
      <c r="H15208" t="s">
        <v>51901</v>
      </c>
      <c r="Y15208" t="s">
        <v>51902</v>
      </c>
    </row>
    <row r="15209" spans="1:25" x14ac:dyDescent="0.25">
      <c r="A15209" t="str">
        <f>"28144540533"</f>
        <v>28144540533</v>
      </c>
      <c r="B15209" t="s">
        <v>1061</v>
      </c>
      <c r="C15209" t="s">
        <v>26953</v>
      </c>
      <c r="D15209" t="s">
        <v>51903</v>
      </c>
      <c r="F15209" t="s">
        <v>1</v>
      </c>
      <c r="G15209" t="s">
        <v>51330</v>
      </c>
      <c r="H15209" t="s">
        <v>51904</v>
      </c>
      <c r="Y15209" t="s">
        <v>51905</v>
      </c>
    </row>
    <row r="15210" spans="1:25" x14ac:dyDescent="0.25">
      <c r="A15210" t="str">
        <f>"28244830930"</f>
        <v>28244830930</v>
      </c>
      <c r="B15210" t="s">
        <v>1046</v>
      </c>
      <c r="C15210" t="s">
        <v>22946</v>
      </c>
      <c r="D15210" t="s">
        <v>22946</v>
      </c>
      <c r="F15210" t="s">
        <v>1</v>
      </c>
      <c r="G15210" t="s">
        <v>51330</v>
      </c>
      <c r="H15210" t="s">
        <v>51906</v>
      </c>
      <c r="Y15210" t="s">
        <v>51907</v>
      </c>
    </row>
    <row r="15211" spans="1:25" x14ac:dyDescent="0.25">
      <c r="A15211" t="str">
        <f>"29131765792"</f>
        <v>29131765792</v>
      </c>
      <c r="B15211" t="s">
        <v>67</v>
      </c>
      <c r="C15211" t="s">
        <v>832</v>
      </c>
      <c r="D15211" t="s">
        <v>8747</v>
      </c>
      <c r="E15211">
        <v>425354</v>
      </c>
      <c r="F15211" t="s">
        <v>1</v>
      </c>
      <c r="G15211" t="s">
        <v>51330</v>
      </c>
      <c r="H15211" t="s">
        <v>51908</v>
      </c>
      <c r="Y15211" t="s">
        <v>51909</v>
      </c>
    </row>
    <row r="15212" spans="1:25" x14ac:dyDescent="0.25">
      <c r="A15212" t="str">
        <f>"29560910548"</f>
        <v>29560910548</v>
      </c>
      <c r="B15212" t="s">
        <v>188</v>
      </c>
      <c r="C15212" t="s">
        <v>24568</v>
      </c>
      <c r="D15212" t="s">
        <v>24568</v>
      </c>
      <c r="F15212" t="s">
        <v>1</v>
      </c>
      <c r="G15212" t="s">
        <v>51330</v>
      </c>
      <c r="H15212" t="s">
        <v>51876</v>
      </c>
      <c r="Y15212" t="s">
        <v>51910</v>
      </c>
    </row>
    <row r="15213" spans="1:25" x14ac:dyDescent="0.25">
      <c r="A15213" t="str">
        <f>"30660528084"</f>
        <v>30660528084</v>
      </c>
      <c r="B15213" t="s">
        <v>18</v>
      </c>
      <c r="C15213" t="s">
        <v>28195</v>
      </c>
      <c r="D15213" t="s">
        <v>51911</v>
      </c>
      <c r="F15213" t="s">
        <v>1</v>
      </c>
      <c r="G15213" t="s">
        <v>51330</v>
      </c>
      <c r="H15213" t="s">
        <v>51816</v>
      </c>
      <c r="P15213" t="s">
        <v>2079</v>
      </c>
      <c r="Y15213" t="s">
        <v>51912</v>
      </c>
    </row>
    <row r="15214" spans="1:25" x14ac:dyDescent="0.25">
      <c r="A15214" t="str">
        <f>"31776278667"</f>
        <v>31776278667</v>
      </c>
      <c r="B15214" t="s">
        <v>716</v>
      </c>
      <c r="C15214" t="s">
        <v>717</v>
      </c>
      <c r="D15214" t="s">
        <v>51913</v>
      </c>
      <c r="F15214" t="s">
        <v>1</v>
      </c>
      <c r="G15214" t="s">
        <v>51330</v>
      </c>
      <c r="H15214" t="s">
        <v>51887</v>
      </c>
      <c r="Y15214" t="s">
        <v>51914</v>
      </c>
    </row>
    <row r="15215" spans="1:25" x14ac:dyDescent="0.25">
      <c r="A15215" t="str">
        <f>"31946141984"</f>
        <v>31946141984</v>
      </c>
      <c r="B15215" t="s">
        <v>117</v>
      </c>
      <c r="C15215" t="s">
        <v>118</v>
      </c>
      <c r="D15215" t="s">
        <v>51915</v>
      </c>
      <c r="F15215" t="s">
        <v>1</v>
      </c>
      <c r="G15215" t="s">
        <v>51330</v>
      </c>
      <c r="H15215" t="s">
        <v>51916</v>
      </c>
      <c r="Y15215" t="s">
        <v>51917</v>
      </c>
    </row>
    <row r="15216" spans="1:25" x14ac:dyDescent="0.25">
      <c r="A15216" t="str">
        <f>"32473869782"</f>
        <v>32473869782</v>
      </c>
      <c r="B15216" t="s">
        <v>530</v>
      </c>
      <c r="C15216" t="s">
        <v>23950</v>
      </c>
      <c r="D15216" t="s">
        <v>23950</v>
      </c>
      <c r="F15216" t="s">
        <v>1</v>
      </c>
      <c r="G15216" t="s">
        <v>51330</v>
      </c>
      <c r="H15216" t="s">
        <v>51918</v>
      </c>
      <c r="Y15216" t="s">
        <v>51919</v>
      </c>
    </row>
    <row r="15217" spans="1:25" x14ac:dyDescent="0.25">
      <c r="A15217" t="str">
        <f>"33226747183"</f>
        <v>33226747183</v>
      </c>
      <c r="B15217" t="s">
        <v>574</v>
      </c>
      <c r="C15217" t="s">
        <v>646</v>
      </c>
      <c r="D15217" t="s">
        <v>51920</v>
      </c>
      <c r="F15217" t="s">
        <v>1</v>
      </c>
      <c r="G15217" t="s">
        <v>51330</v>
      </c>
      <c r="H15217" t="s">
        <v>51921</v>
      </c>
      <c r="Y15217" t="s">
        <v>51922</v>
      </c>
    </row>
    <row r="15218" spans="1:25" x14ac:dyDescent="0.25">
      <c r="A15218" t="str">
        <f>"33835950662"</f>
        <v>33835950662</v>
      </c>
      <c r="B15218" t="s">
        <v>233</v>
      </c>
      <c r="C15218" t="s">
        <v>14003</v>
      </c>
      <c r="D15218" t="s">
        <v>569</v>
      </c>
      <c r="E15218">
        <v>425350</v>
      </c>
      <c r="F15218" t="s">
        <v>1</v>
      </c>
      <c r="G15218" t="s">
        <v>51330</v>
      </c>
      <c r="H15218" t="s">
        <v>51342</v>
      </c>
      <c r="P15218" t="s">
        <v>1433</v>
      </c>
      <c r="Y15218" t="s">
        <v>51923</v>
      </c>
    </row>
    <row r="15219" spans="1:25" x14ac:dyDescent="0.25">
      <c r="A15219" t="str">
        <f>"33891607322"</f>
        <v>33891607322</v>
      </c>
      <c r="B15219" t="s">
        <v>530</v>
      </c>
      <c r="C15219" t="s">
        <v>23950</v>
      </c>
      <c r="D15219" t="s">
        <v>23950</v>
      </c>
      <c r="F15219" t="s">
        <v>1</v>
      </c>
      <c r="G15219" t="s">
        <v>51330</v>
      </c>
      <c r="H15219" t="s">
        <v>51924</v>
      </c>
      <c r="Y15219" t="s">
        <v>51925</v>
      </c>
    </row>
    <row r="15220" spans="1:25" x14ac:dyDescent="0.25">
      <c r="A15220" t="str">
        <f>"34051089533"</f>
        <v>34051089533</v>
      </c>
      <c r="B15220" t="s">
        <v>462</v>
      </c>
      <c r="C15220" t="s">
        <v>5618</v>
      </c>
      <c r="D15220" t="s">
        <v>51926</v>
      </c>
      <c r="E15220">
        <v>425350</v>
      </c>
      <c r="F15220" t="s">
        <v>1</v>
      </c>
      <c r="G15220" t="s">
        <v>51330</v>
      </c>
      <c r="H15220" t="s">
        <v>51342</v>
      </c>
      <c r="P15220" t="s">
        <v>9</v>
      </c>
      <c r="Y15220" t="s">
        <v>51927</v>
      </c>
    </row>
    <row r="15221" spans="1:25" x14ac:dyDescent="0.25">
      <c r="A15221" t="str">
        <f>"34272077384"</f>
        <v>34272077384</v>
      </c>
      <c r="B15221" t="s">
        <v>530</v>
      </c>
      <c r="C15221" t="s">
        <v>23950</v>
      </c>
      <c r="D15221" t="s">
        <v>23950</v>
      </c>
      <c r="F15221" t="s">
        <v>1</v>
      </c>
      <c r="G15221" t="s">
        <v>51330</v>
      </c>
      <c r="H15221" t="s">
        <v>51928</v>
      </c>
      <c r="Y15221" t="s">
        <v>51929</v>
      </c>
    </row>
    <row r="15222" spans="1:25" x14ac:dyDescent="0.25">
      <c r="A15222" t="str">
        <f>"34339554441"</f>
        <v>34339554441</v>
      </c>
      <c r="B15222" t="s">
        <v>117</v>
      </c>
      <c r="C15222" t="s">
        <v>118</v>
      </c>
      <c r="D15222" t="s">
        <v>7402</v>
      </c>
      <c r="F15222" t="s">
        <v>1</v>
      </c>
      <c r="G15222" t="s">
        <v>51330</v>
      </c>
      <c r="H15222" t="s">
        <v>51876</v>
      </c>
      <c r="Y15222" t="s">
        <v>51930</v>
      </c>
    </row>
    <row r="15223" spans="1:25" x14ac:dyDescent="0.25">
      <c r="A15223" t="str">
        <f>"36123493972"</f>
        <v>36123493972</v>
      </c>
      <c r="B15223" t="s">
        <v>530</v>
      </c>
      <c r="C15223" t="s">
        <v>23950</v>
      </c>
      <c r="D15223" t="s">
        <v>23950</v>
      </c>
      <c r="F15223" t="s">
        <v>1</v>
      </c>
      <c r="G15223" t="s">
        <v>51330</v>
      </c>
      <c r="H15223" t="s">
        <v>51931</v>
      </c>
      <c r="Y15223" t="s">
        <v>51932</v>
      </c>
    </row>
    <row r="15224" spans="1:25" x14ac:dyDescent="0.25">
      <c r="A15224" t="str">
        <f>"37181073981"</f>
        <v>37181073981</v>
      </c>
      <c r="B15224" t="s">
        <v>530</v>
      </c>
      <c r="C15224" t="s">
        <v>23950</v>
      </c>
      <c r="D15224" t="s">
        <v>23950</v>
      </c>
      <c r="F15224" t="s">
        <v>1</v>
      </c>
      <c r="G15224" t="s">
        <v>51330</v>
      </c>
      <c r="H15224" t="s">
        <v>51821</v>
      </c>
      <c r="Y15224" t="s">
        <v>51933</v>
      </c>
    </row>
    <row r="15225" spans="1:25" x14ac:dyDescent="0.25">
      <c r="A15225" t="str">
        <f>"37611167025"</f>
        <v>37611167025</v>
      </c>
      <c r="B15225" t="s">
        <v>1611</v>
      </c>
      <c r="C15225" t="s">
        <v>6872</v>
      </c>
      <c r="D15225" t="s">
        <v>51934</v>
      </c>
      <c r="E15225">
        <v>425353</v>
      </c>
      <c r="F15225" t="s">
        <v>1</v>
      </c>
      <c r="G15225" t="s">
        <v>51330</v>
      </c>
      <c r="H15225" t="s">
        <v>51935</v>
      </c>
      <c r="I15225" t="s">
        <v>51936</v>
      </c>
      <c r="P15225" t="s">
        <v>390</v>
      </c>
      <c r="Y15225" t="s">
        <v>51937</v>
      </c>
    </row>
    <row r="15226" spans="1:25" x14ac:dyDescent="0.25">
      <c r="A15226" t="str">
        <f>"37857978263"</f>
        <v>37857978263</v>
      </c>
      <c r="B15226" t="s">
        <v>1152</v>
      </c>
      <c r="C15226" t="s">
        <v>1152</v>
      </c>
      <c r="D15226" t="s">
        <v>1152</v>
      </c>
      <c r="E15226">
        <v>425350</v>
      </c>
      <c r="F15226" t="s">
        <v>1</v>
      </c>
      <c r="G15226" t="s">
        <v>51330</v>
      </c>
      <c r="H15226" t="s">
        <v>51400</v>
      </c>
      <c r="Y15226" t="s">
        <v>51938</v>
      </c>
    </row>
    <row r="15227" spans="1:25" x14ac:dyDescent="0.25">
      <c r="A15227" t="str">
        <f>"38093928596"</f>
        <v>38093928596</v>
      </c>
      <c r="B15227" t="s">
        <v>530</v>
      </c>
      <c r="C15227" t="s">
        <v>23950</v>
      </c>
      <c r="D15227" t="s">
        <v>23950</v>
      </c>
      <c r="F15227" t="s">
        <v>1</v>
      </c>
      <c r="G15227" t="s">
        <v>51330</v>
      </c>
      <c r="H15227" t="s">
        <v>51876</v>
      </c>
      <c r="Y15227" t="s">
        <v>51939</v>
      </c>
    </row>
    <row r="15228" spans="1:25" x14ac:dyDescent="0.25">
      <c r="A15228" t="str">
        <f>"38128791396"</f>
        <v>38128791396</v>
      </c>
      <c r="B15228" t="s">
        <v>25</v>
      </c>
      <c r="C15228" t="s">
        <v>13425</v>
      </c>
      <c r="D15228" t="s">
        <v>51940</v>
      </c>
      <c r="F15228" t="s">
        <v>1</v>
      </c>
      <c r="G15228" t="s">
        <v>51330</v>
      </c>
      <c r="H15228" t="s">
        <v>51416</v>
      </c>
      <c r="Y15228" t="s">
        <v>51941</v>
      </c>
    </row>
    <row r="15229" spans="1:25" x14ac:dyDescent="0.25">
      <c r="A15229" t="str">
        <f>"38267876874"</f>
        <v>38267876874</v>
      </c>
      <c r="B15229" t="s">
        <v>18</v>
      </c>
      <c r="C15229" t="s">
        <v>4522</v>
      </c>
      <c r="D15229" t="s">
        <v>51942</v>
      </c>
      <c r="F15229" t="s">
        <v>1</v>
      </c>
      <c r="G15229" t="s">
        <v>51330</v>
      </c>
      <c r="H15229" t="s">
        <v>51758</v>
      </c>
      <c r="J15229" t="s">
        <v>51943</v>
      </c>
      <c r="P15229" t="s">
        <v>799</v>
      </c>
      <c r="Q15229" t="s">
        <v>51944</v>
      </c>
      <c r="Y15229" t="s">
        <v>51945</v>
      </c>
    </row>
    <row r="15230" spans="1:25" x14ac:dyDescent="0.25">
      <c r="A15230" t="str">
        <f>"38552348492"</f>
        <v>38552348492</v>
      </c>
      <c r="B15230" t="s">
        <v>574</v>
      </c>
      <c r="C15230" t="s">
        <v>14269</v>
      </c>
      <c r="D15230" t="s">
        <v>14267</v>
      </c>
      <c r="E15230">
        <v>425350</v>
      </c>
      <c r="F15230" t="s">
        <v>1</v>
      </c>
      <c r="G15230" t="s">
        <v>51330</v>
      </c>
      <c r="H15230" t="s">
        <v>51946</v>
      </c>
      <c r="Y15230" t="s">
        <v>51947</v>
      </c>
    </row>
    <row r="15231" spans="1:25" x14ac:dyDescent="0.25">
      <c r="A15231" t="str">
        <f>"38722718635"</f>
        <v>38722718635</v>
      </c>
      <c r="B15231" t="s">
        <v>117</v>
      </c>
      <c r="C15231" t="s">
        <v>118</v>
      </c>
      <c r="D15231" t="s">
        <v>51948</v>
      </c>
      <c r="F15231" t="s">
        <v>1</v>
      </c>
      <c r="G15231" t="s">
        <v>51330</v>
      </c>
      <c r="H15231" t="s">
        <v>51876</v>
      </c>
      <c r="Y15231" t="s">
        <v>51949</v>
      </c>
    </row>
    <row r="15232" spans="1:25" x14ac:dyDescent="0.25">
      <c r="A15232" t="str">
        <f>"38941847913"</f>
        <v>38941847913</v>
      </c>
      <c r="B15232" t="s">
        <v>530</v>
      </c>
      <c r="C15232" t="s">
        <v>23950</v>
      </c>
      <c r="D15232" t="s">
        <v>23950</v>
      </c>
      <c r="E15232">
        <v>425350</v>
      </c>
      <c r="F15232" t="s">
        <v>1</v>
      </c>
      <c r="G15232" t="s">
        <v>51330</v>
      </c>
      <c r="H15232" t="s">
        <v>51440</v>
      </c>
      <c r="Y15232" t="s">
        <v>51950</v>
      </c>
    </row>
    <row r="15233" spans="1:25" x14ac:dyDescent="0.25">
      <c r="A15233" t="str">
        <f>"39394885038"</f>
        <v>39394885038</v>
      </c>
      <c r="B15233" t="s">
        <v>18</v>
      </c>
      <c r="C15233" t="s">
        <v>51954</v>
      </c>
      <c r="D15233" t="s">
        <v>16023</v>
      </c>
      <c r="F15233" t="s">
        <v>1</v>
      </c>
      <c r="G15233" t="s">
        <v>51330</v>
      </c>
      <c r="H15233" t="s">
        <v>51951</v>
      </c>
      <c r="I15233" t="s">
        <v>51952</v>
      </c>
      <c r="J15233" t="s">
        <v>51953</v>
      </c>
      <c r="P15233" t="s">
        <v>51955</v>
      </c>
      <c r="Q15233" t="s">
        <v>51956</v>
      </c>
      <c r="Y15233" t="s">
        <v>51957</v>
      </c>
    </row>
    <row r="15234" spans="1:25" x14ac:dyDescent="0.25">
      <c r="A15234" t="str">
        <f>"39645164634"</f>
        <v>39645164634</v>
      </c>
      <c r="B15234" t="s">
        <v>117</v>
      </c>
      <c r="C15234" t="s">
        <v>118</v>
      </c>
      <c r="D15234" t="s">
        <v>30663</v>
      </c>
      <c r="F15234" t="s">
        <v>1</v>
      </c>
      <c r="G15234" t="s">
        <v>51330</v>
      </c>
      <c r="H15234" t="s">
        <v>51876</v>
      </c>
      <c r="Y15234" t="s">
        <v>51958</v>
      </c>
    </row>
    <row r="15235" spans="1:25" x14ac:dyDescent="0.25">
      <c r="A15235" t="str">
        <f>"40446993791"</f>
        <v>40446993791</v>
      </c>
      <c r="B15235" t="s">
        <v>1611</v>
      </c>
      <c r="C15235" t="s">
        <v>14699</v>
      </c>
      <c r="D15235" t="s">
        <v>28909</v>
      </c>
      <c r="F15235" t="s">
        <v>1</v>
      </c>
      <c r="G15235" t="s">
        <v>51330</v>
      </c>
      <c r="H15235" t="s">
        <v>51959</v>
      </c>
      <c r="Y15235" t="s">
        <v>51960</v>
      </c>
    </row>
    <row r="15236" spans="1:25" x14ac:dyDescent="0.25">
      <c r="A15236" t="str">
        <f>"40914661976"</f>
        <v>40914661976</v>
      </c>
      <c r="B15236" t="s">
        <v>574</v>
      </c>
      <c r="C15236" t="s">
        <v>646</v>
      </c>
      <c r="D15236" t="s">
        <v>51961</v>
      </c>
      <c r="F15236" t="s">
        <v>1</v>
      </c>
      <c r="G15236" t="s">
        <v>51330</v>
      </c>
      <c r="H15236" t="s">
        <v>51962</v>
      </c>
      <c r="Y15236" t="s">
        <v>51963</v>
      </c>
    </row>
    <row r="15237" spans="1:25" x14ac:dyDescent="0.25">
      <c r="A15237" t="str">
        <f>"41781388176"</f>
        <v>41781388176</v>
      </c>
      <c r="B15237" t="s">
        <v>574</v>
      </c>
      <c r="C15237" t="s">
        <v>51965</v>
      </c>
      <c r="D15237" t="s">
        <v>4221</v>
      </c>
      <c r="F15237" t="s">
        <v>1</v>
      </c>
      <c r="G15237" t="s">
        <v>51330</v>
      </c>
      <c r="H15237" t="s">
        <v>51964</v>
      </c>
      <c r="P15237" t="s">
        <v>216</v>
      </c>
      <c r="Y15237" t="s">
        <v>51966</v>
      </c>
    </row>
    <row r="15238" spans="1:25" x14ac:dyDescent="0.25">
      <c r="A15238" t="str">
        <f>"41810576569"</f>
        <v>41810576569</v>
      </c>
      <c r="B15238" t="s">
        <v>1152</v>
      </c>
      <c r="C15238" t="s">
        <v>1385</v>
      </c>
      <c r="D15238" t="s">
        <v>1385</v>
      </c>
      <c r="E15238">
        <v>425350</v>
      </c>
      <c r="F15238" t="s">
        <v>1</v>
      </c>
      <c r="G15238" t="s">
        <v>51330</v>
      </c>
      <c r="H15238" t="s">
        <v>51511</v>
      </c>
      <c r="Y15238" t="s">
        <v>51967</v>
      </c>
    </row>
    <row r="15239" spans="1:25" x14ac:dyDescent="0.25">
      <c r="A15239" t="str">
        <f>"42093939911"</f>
        <v>42093939911</v>
      </c>
      <c r="B15239" t="s">
        <v>703</v>
      </c>
      <c r="C15239" t="s">
        <v>7344</v>
      </c>
      <c r="D15239" t="s">
        <v>51968</v>
      </c>
      <c r="F15239" t="s">
        <v>1</v>
      </c>
      <c r="G15239" t="s">
        <v>51330</v>
      </c>
      <c r="H15239" t="s">
        <v>51846</v>
      </c>
      <c r="Y15239" t="s">
        <v>51969</v>
      </c>
    </row>
    <row r="15240" spans="1:25" x14ac:dyDescent="0.25">
      <c r="A15240" t="str">
        <f>"42207495541"</f>
        <v>42207495541</v>
      </c>
      <c r="B15240" t="s">
        <v>530</v>
      </c>
      <c r="C15240" t="s">
        <v>23950</v>
      </c>
      <c r="D15240" t="s">
        <v>23950</v>
      </c>
      <c r="E15240">
        <v>425350</v>
      </c>
      <c r="F15240" t="s">
        <v>1</v>
      </c>
      <c r="G15240" t="s">
        <v>51330</v>
      </c>
      <c r="H15240" t="s">
        <v>51970</v>
      </c>
      <c r="Y15240" t="s">
        <v>51971</v>
      </c>
    </row>
    <row r="15241" spans="1:25" x14ac:dyDescent="0.25">
      <c r="A15241" t="str">
        <f>"42680587874"</f>
        <v>42680587874</v>
      </c>
      <c r="B15241" t="s">
        <v>530</v>
      </c>
      <c r="C15241" t="s">
        <v>23950</v>
      </c>
      <c r="D15241" t="s">
        <v>23950</v>
      </c>
      <c r="F15241" t="s">
        <v>1</v>
      </c>
      <c r="G15241" t="s">
        <v>51330</v>
      </c>
      <c r="H15241" t="s">
        <v>51596</v>
      </c>
      <c r="Y15241" t="s">
        <v>51972</v>
      </c>
    </row>
    <row r="15242" spans="1:25" x14ac:dyDescent="0.25">
      <c r="A15242" t="str">
        <f>"42849554774"</f>
        <v>42849554774</v>
      </c>
      <c r="B15242" t="s">
        <v>1152</v>
      </c>
      <c r="C15242" t="s">
        <v>51973</v>
      </c>
      <c r="D15242" t="s">
        <v>51833</v>
      </c>
      <c r="E15242">
        <v>425350</v>
      </c>
      <c r="F15242" t="s">
        <v>1</v>
      </c>
      <c r="G15242" t="s">
        <v>51330</v>
      </c>
      <c r="H15242" t="s">
        <v>51407</v>
      </c>
      <c r="Y15242" t="s">
        <v>51974</v>
      </c>
    </row>
    <row r="15243" spans="1:25" x14ac:dyDescent="0.25">
      <c r="A15243" t="str">
        <f>"43557111181"</f>
        <v>43557111181</v>
      </c>
      <c r="B15243" t="s">
        <v>348</v>
      </c>
      <c r="C15243" t="s">
        <v>26811</v>
      </c>
      <c r="D15243" t="s">
        <v>51975</v>
      </c>
      <c r="F15243" t="s">
        <v>1</v>
      </c>
      <c r="G15243" t="s">
        <v>51330</v>
      </c>
      <c r="H15243" t="s">
        <v>51976</v>
      </c>
      <c r="Y15243" t="s">
        <v>51977</v>
      </c>
    </row>
    <row r="15244" spans="1:25" x14ac:dyDescent="0.25">
      <c r="A15244" t="str">
        <f>"43613485745"</f>
        <v>43613485745</v>
      </c>
      <c r="B15244" t="s">
        <v>530</v>
      </c>
      <c r="C15244" t="s">
        <v>23950</v>
      </c>
      <c r="D15244" t="s">
        <v>23950</v>
      </c>
      <c r="F15244" t="s">
        <v>1</v>
      </c>
      <c r="G15244" t="s">
        <v>51330</v>
      </c>
      <c r="H15244" t="s">
        <v>51978</v>
      </c>
      <c r="Y15244" t="s">
        <v>51979</v>
      </c>
    </row>
    <row r="15245" spans="1:25" x14ac:dyDescent="0.25">
      <c r="A15245" t="str">
        <f>"44386077234"</f>
        <v>44386077234</v>
      </c>
      <c r="B15245" t="s">
        <v>738</v>
      </c>
      <c r="C15245" t="s">
        <v>17320</v>
      </c>
      <c r="D15245" t="s">
        <v>33843</v>
      </c>
      <c r="E15245">
        <v>425350</v>
      </c>
      <c r="F15245" t="s">
        <v>1</v>
      </c>
      <c r="G15245" t="s">
        <v>51330</v>
      </c>
      <c r="H15245" t="s">
        <v>51980</v>
      </c>
      <c r="J15245" t="s">
        <v>33844</v>
      </c>
      <c r="P15245" t="s">
        <v>60</v>
      </c>
      <c r="Y15245" t="s">
        <v>51981</v>
      </c>
    </row>
    <row r="15246" spans="1:25" x14ac:dyDescent="0.25">
      <c r="A15246" t="str">
        <f>"44516180644"</f>
        <v>44516180644</v>
      </c>
      <c r="B15246" t="s">
        <v>841</v>
      </c>
      <c r="C15246" t="s">
        <v>7300</v>
      </c>
      <c r="D15246" t="s">
        <v>28838</v>
      </c>
      <c r="F15246" t="s">
        <v>1</v>
      </c>
      <c r="G15246" t="s">
        <v>51330</v>
      </c>
      <c r="H15246" t="s">
        <v>51853</v>
      </c>
      <c r="J15246" t="s">
        <v>51982</v>
      </c>
      <c r="M15246" t="s">
        <v>51983</v>
      </c>
      <c r="P15246" t="s">
        <v>11503</v>
      </c>
      <c r="Q15246" t="s">
        <v>7301</v>
      </c>
      <c r="V15246" t="s">
        <v>51984</v>
      </c>
      <c r="Y15246" t="s">
        <v>51985</v>
      </c>
    </row>
    <row r="15247" spans="1:25" x14ac:dyDescent="0.25">
      <c r="A15247" t="str">
        <f>"45285618246"</f>
        <v>45285618246</v>
      </c>
      <c r="B15247" t="s">
        <v>574</v>
      </c>
      <c r="C15247" t="s">
        <v>646</v>
      </c>
      <c r="D15247" t="s">
        <v>51986</v>
      </c>
      <c r="F15247" t="s">
        <v>1</v>
      </c>
      <c r="G15247" t="s">
        <v>51330</v>
      </c>
      <c r="H15247" t="s">
        <v>51883</v>
      </c>
      <c r="P15247" t="s">
        <v>60</v>
      </c>
      <c r="Y15247" t="s">
        <v>51987</v>
      </c>
    </row>
    <row r="15248" spans="1:25" x14ac:dyDescent="0.25">
      <c r="A15248" t="str">
        <f>"45421038878"</f>
        <v>45421038878</v>
      </c>
      <c r="B15248" t="s">
        <v>1078</v>
      </c>
      <c r="C15248" t="s">
        <v>51988</v>
      </c>
      <c r="D15248" t="s">
        <v>43687</v>
      </c>
      <c r="F15248" t="s">
        <v>1</v>
      </c>
      <c r="G15248" t="s">
        <v>51330</v>
      </c>
      <c r="H15248" t="s">
        <v>51816</v>
      </c>
      <c r="P15248" t="s">
        <v>11503</v>
      </c>
      <c r="Y15248" t="s">
        <v>51989</v>
      </c>
    </row>
    <row r="15249" spans="1:25" x14ac:dyDescent="0.25">
      <c r="A15249" t="str">
        <f>"47258288995"</f>
        <v>47258288995</v>
      </c>
      <c r="B15249" t="s">
        <v>1475</v>
      </c>
      <c r="C15249" t="s">
        <v>1476</v>
      </c>
      <c r="D15249" t="s">
        <v>51990</v>
      </c>
      <c r="F15249" t="s">
        <v>1</v>
      </c>
      <c r="G15249" t="s">
        <v>51330</v>
      </c>
      <c r="H15249" t="s">
        <v>51991</v>
      </c>
      <c r="I15249" t="s">
        <v>51992</v>
      </c>
      <c r="P15249" t="s">
        <v>6764</v>
      </c>
      <c r="Y15249" t="s">
        <v>51993</v>
      </c>
    </row>
    <row r="15250" spans="1:25" x14ac:dyDescent="0.25">
      <c r="A15250" t="str">
        <f>"47314984268"</f>
        <v>47314984268</v>
      </c>
      <c r="B15250" t="s">
        <v>160</v>
      </c>
      <c r="C15250" t="s">
        <v>14673</v>
      </c>
      <c r="D15250" t="s">
        <v>51994</v>
      </c>
      <c r="F15250" t="s">
        <v>1</v>
      </c>
      <c r="G15250" t="s">
        <v>51330</v>
      </c>
      <c r="H15250" t="s">
        <v>51995</v>
      </c>
      <c r="I15250" t="s">
        <v>51996</v>
      </c>
      <c r="P15250" t="s">
        <v>280</v>
      </c>
      <c r="Y15250" t="s">
        <v>51997</v>
      </c>
    </row>
    <row r="15251" spans="1:25" x14ac:dyDescent="0.25">
      <c r="A15251" t="str">
        <f>"48242964990"</f>
        <v>48242964990</v>
      </c>
      <c r="B15251" t="s">
        <v>1475</v>
      </c>
      <c r="C15251" t="s">
        <v>1476</v>
      </c>
      <c r="D15251" t="s">
        <v>51998</v>
      </c>
      <c r="F15251" t="s">
        <v>1</v>
      </c>
      <c r="G15251" t="s">
        <v>51330</v>
      </c>
      <c r="H15251" t="s">
        <v>51853</v>
      </c>
      <c r="P15251" t="s">
        <v>11503</v>
      </c>
      <c r="Q15251" t="s">
        <v>51999</v>
      </c>
      <c r="Y15251" t="s">
        <v>52000</v>
      </c>
    </row>
    <row r="15252" spans="1:25" x14ac:dyDescent="0.25">
      <c r="A15252" t="str">
        <f>"48418247870"</f>
        <v>48418247870</v>
      </c>
      <c r="B15252" t="s">
        <v>1152</v>
      </c>
      <c r="C15252" t="s">
        <v>18252</v>
      </c>
      <c r="D15252" t="s">
        <v>52001</v>
      </c>
      <c r="F15252" t="s">
        <v>1</v>
      </c>
      <c r="G15252" t="s">
        <v>51330</v>
      </c>
      <c r="H15252" t="s">
        <v>52002</v>
      </c>
      <c r="Y15252" t="s">
        <v>52003</v>
      </c>
    </row>
    <row r="15253" spans="1:25" x14ac:dyDescent="0.25">
      <c r="A15253" t="str">
        <f>"48440616207"</f>
        <v>48440616207</v>
      </c>
      <c r="B15253" t="s">
        <v>530</v>
      </c>
      <c r="C15253" t="s">
        <v>23950</v>
      </c>
      <c r="D15253" t="s">
        <v>23950</v>
      </c>
      <c r="F15253" t="s">
        <v>1</v>
      </c>
      <c r="G15253" t="s">
        <v>51330</v>
      </c>
      <c r="H15253" t="s">
        <v>52004</v>
      </c>
      <c r="Y15253" t="s">
        <v>52005</v>
      </c>
    </row>
    <row r="15254" spans="1:25" x14ac:dyDescent="0.25">
      <c r="A15254" t="str">
        <f>"48497277224"</f>
        <v>48497277224</v>
      </c>
      <c r="B15254" t="s">
        <v>530</v>
      </c>
      <c r="C15254" t="s">
        <v>23950</v>
      </c>
      <c r="D15254" t="s">
        <v>23950</v>
      </c>
      <c r="F15254" t="s">
        <v>1</v>
      </c>
      <c r="G15254" t="s">
        <v>51330</v>
      </c>
      <c r="H15254" t="s">
        <v>52006</v>
      </c>
      <c r="Y15254" t="s">
        <v>52007</v>
      </c>
    </row>
    <row r="15255" spans="1:25" x14ac:dyDescent="0.25">
      <c r="A15255" t="str">
        <f>"49690260586"</f>
        <v>49690260586</v>
      </c>
      <c r="B15255" t="s">
        <v>530</v>
      </c>
      <c r="C15255" t="s">
        <v>23950</v>
      </c>
      <c r="D15255" t="s">
        <v>23950</v>
      </c>
      <c r="F15255" t="s">
        <v>1</v>
      </c>
      <c r="G15255" t="s">
        <v>51330</v>
      </c>
      <c r="H15255" t="s">
        <v>51846</v>
      </c>
      <c r="Y15255" t="s">
        <v>52008</v>
      </c>
    </row>
    <row r="15256" spans="1:25" x14ac:dyDescent="0.25">
      <c r="A15256" t="str">
        <f>"50241183814"</f>
        <v>50241183814</v>
      </c>
      <c r="B15256" t="s">
        <v>530</v>
      </c>
      <c r="C15256" t="s">
        <v>23950</v>
      </c>
      <c r="D15256" t="s">
        <v>23950</v>
      </c>
      <c r="F15256" t="s">
        <v>1</v>
      </c>
      <c r="G15256" t="s">
        <v>51330</v>
      </c>
      <c r="H15256" t="s">
        <v>52009</v>
      </c>
      <c r="Y15256" t="s">
        <v>52010</v>
      </c>
    </row>
    <row r="15257" spans="1:25" x14ac:dyDescent="0.25">
      <c r="A15257" t="str">
        <f>"50831976579"</f>
        <v>50831976579</v>
      </c>
      <c r="B15257" t="s">
        <v>738</v>
      </c>
      <c r="C15257" t="s">
        <v>739</v>
      </c>
      <c r="D15257" t="s">
        <v>2578</v>
      </c>
      <c r="F15257" t="s">
        <v>1</v>
      </c>
      <c r="G15257" t="s">
        <v>51330</v>
      </c>
      <c r="H15257" t="s">
        <v>51849</v>
      </c>
      <c r="Y15257" t="s">
        <v>52011</v>
      </c>
    </row>
    <row r="15258" spans="1:25" x14ac:dyDescent="0.25">
      <c r="A15258" t="str">
        <f>"50920004283"</f>
        <v>50920004283</v>
      </c>
      <c r="B15258" t="s">
        <v>797</v>
      </c>
      <c r="C15258" t="s">
        <v>5123</v>
      </c>
      <c r="D15258" t="s">
        <v>52012</v>
      </c>
      <c r="E15258">
        <v>425353</v>
      </c>
      <c r="F15258" t="s">
        <v>1</v>
      </c>
      <c r="G15258" t="s">
        <v>51330</v>
      </c>
      <c r="H15258" t="s">
        <v>51837</v>
      </c>
      <c r="J15258" t="s">
        <v>52013</v>
      </c>
      <c r="P15258" t="s">
        <v>1433</v>
      </c>
      <c r="Y15258" t="s">
        <v>52014</v>
      </c>
    </row>
    <row r="15259" spans="1:25" x14ac:dyDescent="0.25">
      <c r="A15259" t="str">
        <f>"51938851878"</f>
        <v>51938851878</v>
      </c>
      <c r="B15259" t="s">
        <v>574</v>
      </c>
      <c r="C15259" t="s">
        <v>646</v>
      </c>
      <c r="D15259" t="s">
        <v>52015</v>
      </c>
      <c r="F15259" t="s">
        <v>1</v>
      </c>
      <c r="G15259" t="s">
        <v>51330</v>
      </c>
      <c r="H15259" t="s">
        <v>51962</v>
      </c>
      <c r="P15259" t="s">
        <v>1464</v>
      </c>
      <c r="Y15259" t="s">
        <v>52016</v>
      </c>
    </row>
    <row r="15260" spans="1:25" x14ac:dyDescent="0.25">
      <c r="A15260" t="str">
        <f>"52190415818"</f>
        <v>52190415818</v>
      </c>
      <c r="B15260" t="s">
        <v>530</v>
      </c>
      <c r="C15260" t="s">
        <v>23950</v>
      </c>
      <c r="D15260" t="s">
        <v>23950</v>
      </c>
      <c r="F15260" t="s">
        <v>1</v>
      </c>
      <c r="G15260" t="s">
        <v>51330</v>
      </c>
      <c r="H15260" t="s">
        <v>52017</v>
      </c>
      <c r="Y15260" t="s">
        <v>52018</v>
      </c>
    </row>
    <row r="15261" spans="1:25" x14ac:dyDescent="0.25">
      <c r="A15261" t="str">
        <f>"53063654097"</f>
        <v>53063654097</v>
      </c>
      <c r="B15261" t="s">
        <v>574</v>
      </c>
      <c r="C15261" t="s">
        <v>646</v>
      </c>
      <c r="D15261" t="s">
        <v>51103</v>
      </c>
      <c r="F15261" t="s">
        <v>1</v>
      </c>
      <c r="G15261" t="s">
        <v>51330</v>
      </c>
      <c r="H15261" t="s">
        <v>52019</v>
      </c>
      <c r="P15261" t="s">
        <v>605</v>
      </c>
      <c r="Y15261" t="s">
        <v>52020</v>
      </c>
    </row>
    <row r="15262" spans="1:25" x14ac:dyDescent="0.25">
      <c r="A15262" t="str">
        <f>"53278184429"</f>
        <v>53278184429</v>
      </c>
      <c r="B15262" t="s">
        <v>1152</v>
      </c>
      <c r="C15262" t="s">
        <v>36884</v>
      </c>
      <c r="D15262" t="s">
        <v>36884</v>
      </c>
      <c r="F15262" t="s">
        <v>1</v>
      </c>
      <c r="G15262" t="s">
        <v>51330</v>
      </c>
      <c r="H15262" t="s">
        <v>51876</v>
      </c>
      <c r="Y15262" t="s">
        <v>52021</v>
      </c>
    </row>
    <row r="15263" spans="1:25" x14ac:dyDescent="0.25">
      <c r="A15263" t="str">
        <f>"53499943970"</f>
        <v>53499943970</v>
      </c>
      <c r="B15263" t="s">
        <v>319</v>
      </c>
      <c r="C15263" t="s">
        <v>320</v>
      </c>
      <c r="D15263" t="s">
        <v>29300</v>
      </c>
      <c r="F15263" t="s">
        <v>1</v>
      </c>
      <c r="G15263" t="s">
        <v>51330</v>
      </c>
      <c r="H15263" t="s">
        <v>52022</v>
      </c>
      <c r="P15263" t="s">
        <v>696</v>
      </c>
      <c r="Y15263" t="s">
        <v>52023</v>
      </c>
    </row>
    <row r="15264" spans="1:25" x14ac:dyDescent="0.25">
      <c r="A15264" t="str">
        <f>"53895930076"</f>
        <v>53895930076</v>
      </c>
      <c r="B15264" t="s">
        <v>176</v>
      </c>
      <c r="C15264" t="s">
        <v>27547</v>
      </c>
      <c r="D15264" t="s">
        <v>27545</v>
      </c>
      <c r="F15264" t="s">
        <v>1</v>
      </c>
      <c r="G15264" t="s">
        <v>51330</v>
      </c>
      <c r="H15264" t="s">
        <v>52024</v>
      </c>
      <c r="Y15264" t="s">
        <v>52025</v>
      </c>
    </row>
    <row r="15265" spans="1:25" x14ac:dyDescent="0.25">
      <c r="A15265" t="str">
        <f>"53936983582"</f>
        <v>53936983582</v>
      </c>
      <c r="B15265" t="s">
        <v>930</v>
      </c>
      <c r="C15265" t="s">
        <v>10263</v>
      </c>
      <c r="D15265" t="s">
        <v>10263</v>
      </c>
      <c r="F15265" t="s">
        <v>1</v>
      </c>
      <c r="G15265" t="s">
        <v>51330</v>
      </c>
      <c r="H15265" t="s">
        <v>51846</v>
      </c>
      <c r="J15265" t="s">
        <v>52026</v>
      </c>
      <c r="P15265" t="s">
        <v>60</v>
      </c>
      <c r="Y15265" t="s">
        <v>52027</v>
      </c>
    </row>
    <row r="15266" spans="1:25" x14ac:dyDescent="0.25">
      <c r="A15266" t="str">
        <f>"54827863663"</f>
        <v>54827863663</v>
      </c>
      <c r="B15266" t="s">
        <v>348</v>
      </c>
      <c r="C15266" t="s">
        <v>52029</v>
      </c>
      <c r="D15266" t="s">
        <v>52028</v>
      </c>
      <c r="E15266">
        <v>425353</v>
      </c>
      <c r="F15266" t="s">
        <v>1</v>
      </c>
      <c r="G15266" t="s">
        <v>51330</v>
      </c>
      <c r="H15266" t="s">
        <v>51553</v>
      </c>
      <c r="Y15266" t="s">
        <v>52030</v>
      </c>
    </row>
    <row r="15267" spans="1:25" x14ac:dyDescent="0.25">
      <c r="A15267" t="str">
        <f>"54893734554"</f>
        <v>54893734554</v>
      </c>
      <c r="B15267" t="s">
        <v>319</v>
      </c>
      <c r="C15267" t="s">
        <v>320</v>
      </c>
      <c r="D15267" t="s">
        <v>320</v>
      </c>
      <c r="F15267" t="s">
        <v>1</v>
      </c>
      <c r="G15267" t="s">
        <v>51330</v>
      </c>
      <c r="H15267" t="s">
        <v>52022</v>
      </c>
      <c r="Y15267" t="s">
        <v>52031</v>
      </c>
    </row>
    <row r="15268" spans="1:25" x14ac:dyDescent="0.25">
      <c r="A15268" t="str">
        <f>"55313620183"</f>
        <v>55313620183</v>
      </c>
      <c r="B15268" t="s">
        <v>574</v>
      </c>
      <c r="C15268" t="s">
        <v>646</v>
      </c>
      <c r="D15268" t="s">
        <v>4221</v>
      </c>
      <c r="F15268" t="s">
        <v>1</v>
      </c>
      <c r="G15268" t="s">
        <v>51330</v>
      </c>
      <c r="H15268" t="s">
        <v>52032</v>
      </c>
      <c r="P15268" t="s">
        <v>9840</v>
      </c>
      <c r="Y15268" t="s">
        <v>52033</v>
      </c>
    </row>
    <row r="15269" spans="1:25" x14ac:dyDescent="0.25">
      <c r="A15269" t="str">
        <f>"55336720093"</f>
        <v>55336720093</v>
      </c>
      <c r="B15269" t="s">
        <v>1152</v>
      </c>
      <c r="C15269" t="s">
        <v>1152</v>
      </c>
      <c r="D15269" t="s">
        <v>1152</v>
      </c>
      <c r="E15269">
        <v>425353</v>
      </c>
      <c r="F15269" t="s">
        <v>1</v>
      </c>
      <c r="G15269" t="s">
        <v>51330</v>
      </c>
      <c r="H15269" t="s">
        <v>51553</v>
      </c>
      <c r="P15269" t="s">
        <v>11503</v>
      </c>
      <c r="Y15269" t="s">
        <v>52034</v>
      </c>
    </row>
    <row r="15270" spans="1:25" x14ac:dyDescent="0.25">
      <c r="A15270" t="str">
        <f>"55722201528"</f>
        <v>55722201528</v>
      </c>
      <c r="B15270" t="s">
        <v>530</v>
      </c>
      <c r="C15270" t="s">
        <v>23950</v>
      </c>
      <c r="D15270" t="s">
        <v>23950</v>
      </c>
      <c r="F15270" t="s">
        <v>1</v>
      </c>
      <c r="G15270" t="s">
        <v>51330</v>
      </c>
      <c r="H15270" t="s">
        <v>52035</v>
      </c>
      <c r="Y15270" t="s">
        <v>52036</v>
      </c>
    </row>
    <row r="15271" spans="1:25" x14ac:dyDescent="0.25">
      <c r="A15271" t="str">
        <f>"56752840284"</f>
        <v>56752840284</v>
      </c>
      <c r="B15271" t="s">
        <v>574</v>
      </c>
      <c r="C15271" t="s">
        <v>14269</v>
      </c>
      <c r="D15271" t="s">
        <v>31232</v>
      </c>
      <c r="E15271">
        <v>425353</v>
      </c>
      <c r="F15271" t="s">
        <v>1</v>
      </c>
      <c r="G15271" t="s">
        <v>51330</v>
      </c>
      <c r="H15271" t="s">
        <v>51553</v>
      </c>
      <c r="P15271" t="s">
        <v>216</v>
      </c>
      <c r="Y15271" t="s">
        <v>52037</v>
      </c>
    </row>
    <row r="15272" spans="1:25" x14ac:dyDescent="0.25">
      <c r="A15272" t="str">
        <f>"56753448227"</f>
        <v>56753448227</v>
      </c>
      <c r="B15272" t="s">
        <v>348</v>
      </c>
      <c r="C15272" t="s">
        <v>4366</v>
      </c>
      <c r="D15272" t="s">
        <v>52038</v>
      </c>
      <c r="F15272" t="s">
        <v>1</v>
      </c>
      <c r="G15272" t="s">
        <v>51330</v>
      </c>
      <c r="H15272" t="s">
        <v>51390</v>
      </c>
      <c r="P15272" t="s">
        <v>696</v>
      </c>
      <c r="Y15272" t="s">
        <v>52039</v>
      </c>
    </row>
    <row r="15273" spans="1:25" x14ac:dyDescent="0.25">
      <c r="A15273" t="str">
        <f>"57557599549"</f>
        <v>57557599549</v>
      </c>
      <c r="B15273" t="s">
        <v>160</v>
      </c>
      <c r="C15273" t="s">
        <v>13649</v>
      </c>
      <c r="D15273" t="s">
        <v>52040</v>
      </c>
      <c r="E15273">
        <v>425354</v>
      </c>
      <c r="F15273" t="s">
        <v>1</v>
      </c>
      <c r="G15273" t="s">
        <v>51330</v>
      </c>
      <c r="H15273" t="s">
        <v>52041</v>
      </c>
      <c r="Y15273" t="s">
        <v>52042</v>
      </c>
    </row>
    <row r="15274" spans="1:25" x14ac:dyDescent="0.25">
      <c r="A15274" t="str">
        <f>"57880858634"</f>
        <v>57880858634</v>
      </c>
      <c r="B15274" t="s">
        <v>530</v>
      </c>
      <c r="C15274" t="s">
        <v>23950</v>
      </c>
      <c r="D15274" t="s">
        <v>23950</v>
      </c>
      <c r="F15274" t="s">
        <v>1</v>
      </c>
      <c r="G15274" t="s">
        <v>51330</v>
      </c>
      <c r="H15274" t="s">
        <v>52043</v>
      </c>
      <c r="Y15274" t="s">
        <v>52044</v>
      </c>
    </row>
    <row r="15275" spans="1:25" x14ac:dyDescent="0.25">
      <c r="A15275" t="str">
        <f>"57993832330"</f>
        <v>57993832330</v>
      </c>
      <c r="B15275" t="s">
        <v>530</v>
      </c>
      <c r="C15275" t="s">
        <v>23950</v>
      </c>
      <c r="D15275" t="s">
        <v>23950</v>
      </c>
      <c r="F15275" t="s">
        <v>1</v>
      </c>
      <c r="G15275" t="s">
        <v>51330</v>
      </c>
      <c r="H15275" t="s">
        <v>52045</v>
      </c>
      <c r="Y15275" t="s">
        <v>52046</v>
      </c>
    </row>
    <row r="15276" spans="1:25" x14ac:dyDescent="0.25">
      <c r="A15276" t="str">
        <f>"58471248919"</f>
        <v>58471248919</v>
      </c>
      <c r="B15276" t="s">
        <v>530</v>
      </c>
      <c r="C15276" t="s">
        <v>23950</v>
      </c>
      <c r="D15276" t="s">
        <v>23950</v>
      </c>
      <c r="F15276" t="s">
        <v>1</v>
      </c>
      <c r="G15276" t="s">
        <v>51330</v>
      </c>
      <c r="H15276" t="s">
        <v>51769</v>
      </c>
      <c r="Y15276" t="s">
        <v>52047</v>
      </c>
    </row>
    <row r="15277" spans="1:25" x14ac:dyDescent="0.25">
      <c r="A15277" t="str">
        <f>"58973069211"</f>
        <v>58973069211</v>
      </c>
      <c r="B15277" t="s">
        <v>574</v>
      </c>
      <c r="C15277" t="s">
        <v>646</v>
      </c>
      <c r="D15277" t="s">
        <v>51833</v>
      </c>
      <c r="F15277" t="s">
        <v>1</v>
      </c>
      <c r="G15277" t="s">
        <v>51330</v>
      </c>
      <c r="H15277" t="s">
        <v>52048</v>
      </c>
      <c r="Y15277" t="s">
        <v>52049</v>
      </c>
    </row>
    <row r="15278" spans="1:25" x14ac:dyDescent="0.25">
      <c r="A15278" t="str">
        <f>"59213077749"</f>
        <v>59213077749</v>
      </c>
      <c r="B15278" t="s">
        <v>1493</v>
      </c>
      <c r="C15278" t="s">
        <v>2355</v>
      </c>
      <c r="D15278" t="s">
        <v>11808</v>
      </c>
      <c r="E15278">
        <v>425353</v>
      </c>
      <c r="F15278" t="s">
        <v>1</v>
      </c>
      <c r="G15278" t="s">
        <v>51330</v>
      </c>
      <c r="H15278" t="s">
        <v>52050</v>
      </c>
      <c r="P15278" t="s">
        <v>2258</v>
      </c>
      <c r="Y15278" t="s">
        <v>52051</v>
      </c>
    </row>
    <row r="15279" spans="1:25" x14ac:dyDescent="0.25">
      <c r="A15279" t="str">
        <f>"59326911338"</f>
        <v>59326911338</v>
      </c>
      <c r="B15279" t="s">
        <v>1475</v>
      </c>
      <c r="C15279" t="s">
        <v>1476</v>
      </c>
      <c r="D15279" t="s">
        <v>52052</v>
      </c>
      <c r="E15279">
        <v>425350</v>
      </c>
      <c r="F15279" t="s">
        <v>1</v>
      </c>
      <c r="G15279" t="s">
        <v>51330</v>
      </c>
      <c r="H15279" t="s">
        <v>51533</v>
      </c>
      <c r="P15279" t="s">
        <v>8655</v>
      </c>
      <c r="Y15279" t="s">
        <v>52053</v>
      </c>
    </row>
    <row r="15280" spans="1:25" x14ac:dyDescent="0.25">
      <c r="A15280" t="str">
        <f>"59499333246"</f>
        <v>59499333246</v>
      </c>
      <c r="B15280" t="s">
        <v>530</v>
      </c>
      <c r="C15280" t="s">
        <v>23950</v>
      </c>
      <c r="D15280" t="s">
        <v>23950</v>
      </c>
      <c r="E15280">
        <v>425350</v>
      </c>
      <c r="F15280" t="s">
        <v>1</v>
      </c>
      <c r="G15280" t="s">
        <v>51330</v>
      </c>
      <c r="H15280" t="s">
        <v>52054</v>
      </c>
      <c r="Y15280" t="s">
        <v>52055</v>
      </c>
    </row>
    <row r="15281" spans="1:25" x14ac:dyDescent="0.25">
      <c r="A15281" t="str">
        <f>"59576562292"</f>
        <v>59576562292</v>
      </c>
      <c r="B15281" t="s">
        <v>530</v>
      </c>
      <c r="C15281" t="s">
        <v>23950</v>
      </c>
      <c r="D15281" t="s">
        <v>23950</v>
      </c>
      <c r="F15281" t="s">
        <v>1</v>
      </c>
      <c r="G15281" t="s">
        <v>51330</v>
      </c>
      <c r="H15281" t="s">
        <v>52056</v>
      </c>
      <c r="Y15281" t="s">
        <v>52057</v>
      </c>
    </row>
    <row r="15282" spans="1:25" x14ac:dyDescent="0.25">
      <c r="A15282" t="str">
        <f>"60888011365"</f>
        <v>60888011365</v>
      </c>
      <c r="B15282" t="s">
        <v>25</v>
      </c>
      <c r="C15282" t="s">
        <v>13425</v>
      </c>
      <c r="D15282" t="s">
        <v>13425</v>
      </c>
      <c r="E15282">
        <v>425350</v>
      </c>
      <c r="F15282" t="s">
        <v>1</v>
      </c>
      <c r="G15282" t="s">
        <v>51330</v>
      </c>
      <c r="H15282" t="s">
        <v>51511</v>
      </c>
      <c r="Y15282" t="s">
        <v>52058</v>
      </c>
    </row>
    <row r="15283" spans="1:25" x14ac:dyDescent="0.25">
      <c r="A15283" t="str">
        <f>"60966487441"</f>
        <v>60966487441</v>
      </c>
      <c r="B15283" t="s">
        <v>1152</v>
      </c>
      <c r="C15283" t="s">
        <v>18252</v>
      </c>
      <c r="D15283" t="s">
        <v>52059</v>
      </c>
      <c r="F15283" t="s">
        <v>1</v>
      </c>
      <c r="G15283" t="s">
        <v>51330</v>
      </c>
      <c r="H15283" t="s">
        <v>52060</v>
      </c>
      <c r="P15283" t="s">
        <v>20</v>
      </c>
      <c r="Y15283" t="s">
        <v>52061</v>
      </c>
    </row>
    <row r="15284" spans="1:25" x14ac:dyDescent="0.25">
      <c r="A15284" t="str">
        <f>"61097691685"</f>
        <v>61097691685</v>
      </c>
      <c r="B15284" t="s">
        <v>530</v>
      </c>
      <c r="C15284" t="s">
        <v>23950</v>
      </c>
      <c r="D15284" t="s">
        <v>23950</v>
      </c>
      <c r="F15284" t="s">
        <v>1</v>
      </c>
      <c r="G15284" t="s">
        <v>51330</v>
      </c>
      <c r="H15284" t="s">
        <v>51876</v>
      </c>
      <c r="Y15284" t="s">
        <v>52062</v>
      </c>
    </row>
    <row r="15285" spans="1:25" x14ac:dyDescent="0.25">
      <c r="A15285" t="str">
        <f>"61111598594"</f>
        <v>61111598594</v>
      </c>
      <c r="B15285" t="s">
        <v>1053</v>
      </c>
      <c r="C15285" t="s">
        <v>1927</v>
      </c>
      <c r="D15285" t="s">
        <v>52063</v>
      </c>
      <c r="E15285">
        <v>425350</v>
      </c>
      <c r="F15285" t="s">
        <v>1</v>
      </c>
      <c r="G15285" t="s">
        <v>51330</v>
      </c>
      <c r="H15285" t="s">
        <v>51342</v>
      </c>
      <c r="P15285" t="s">
        <v>27</v>
      </c>
      <c r="Y15285" t="s">
        <v>52064</v>
      </c>
    </row>
    <row r="15286" spans="1:25" x14ac:dyDescent="0.25">
      <c r="A15286" t="str">
        <f>"61161673561"</f>
        <v>61161673561</v>
      </c>
      <c r="B15286" t="s">
        <v>574</v>
      </c>
      <c r="C15286" t="s">
        <v>646</v>
      </c>
      <c r="D15286" t="s">
        <v>4221</v>
      </c>
      <c r="E15286">
        <v>425350</v>
      </c>
      <c r="F15286" t="s">
        <v>1</v>
      </c>
      <c r="G15286" t="s">
        <v>51330</v>
      </c>
      <c r="H15286" t="s">
        <v>52065</v>
      </c>
      <c r="Y15286" t="s">
        <v>52066</v>
      </c>
    </row>
    <row r="15287" spans="1:25" x14ac:dyDescent="0.25">
      <c r="A15287" t="str">
        <f>"61982386519"</f>
        <v>61982386519</v>
      </c>
      <c r="B15287" t="s">
        <v>1046</v>
      </c>
      <c r="C15287" t="s">
        <v>20384</v>
      </c>
      <c r="D15287" t="s">
        <v>52067</v>
      </c>
      <c r="F15287" t="s">
        <v>1</v>
      </c>
      <c r="G15287" t="s">
        <v>51330</v>
      </c>
      <c r="H15287" t="s">
        <v>51390</v>
      </c>
      <c r="Y15287" t="s">
        <v>52068</v>
      </c>
    </row>
    <row r="15288" spans="1:25" x14ac:dyDescent="0.25">
      <c r="A15288" t="str">
        <f>"62195646751"</f>
        <v>62195646751</v>
      </c>
      <c r="B15288" t="s">
        <v>1046</v>
      </c>
      <c r="C15288" t="s">
        <v>22946</v>
      </c>
      <c r="D15288" t="s">
        <v>22946</v>
      </c>
      <c r="E15288">
        <v>425350</v>
      </c>
      <c r="F15288" t="s">
        <v>1</v>
      </c>
      <c r="G15288" t="s">
        <v>51330</v>
      </c>
      <c r="H15288" t="s">
        <v>52069</v>
      </c>
      <c r="Y15288" t="s">
        <v>52070</v>
      </c>
    </row>
    <row r="15289" spans="1:25" x14ac:dyDescent="0.25">
      <c r="A15289" t="str">
        <f>"62469208298"</f>
        <v>62469208298</v>
      </c>
      <c r="B15289" t="s">
        <v>930</v>
      </c>
      <c r="C15289" t="s">
        <v>927</v>
      </c>
      <c r="D15289" t="s">
        <v>927</v>
      </c>
      <c r="F15289" t="s">
        <v>1</v>
      </c>
      <c r="G15289" t="s">
        <v>51330</v>
      </c>
      <c r="H15289" t="s">
        <v>52071</v>
      </c>
      <c r="Y15289" t="s">
        <v>52072</v>
      </c>
    </row>
    <row r="15290" spans="1:25" x14ac:dyDescent="0.25">
      <c r="A15290" t="str">
        <f>"63022763317"</f>
        <v>63022763317</v>
      </c>
      <c r="B15290" t="s">
        <v>530</v>
      </c>
      <c r="C15290" t="s">
        <v>23950</v>
      </c>
      <c r="D15290" t="s">
        <v>23950</v>
      </c>
      <c r="E15290">
        <v>425350</v>
      </c>
      <c r="F15290" t="s">
        <v>1</v>
      </c>
      <c r="G15290" t="s">
        <v>51330</v>
      </c>
      <c r="H15290" t="s">
        <v>51771</v>
      </c>
      <c r="Y15290" t="s">
        <v>52073</v>
      </c>
    </row>
    <row r="15291" spans="1:25" x14ac:dyDescent="0.25">
      <c r="A15291" t="str">
        <f>"63653859838"</f>
        <v>63653859838</v>
      </c>
      <c r="B15291" t="s">
        <v>1343</v>
      </c>
      <c r="C15291" t="s">
        <v>13544</v>
      </c>
      <c r="D15291" t="s">
        <v>26865</v>
      </c>
      <c r="E15291">
        <v>425350</v>
      </c>
      <c r="F15291" t="s">
        <v>1</v>
      </c>
      <c r="G15291" t="s">
        <v>51330</v>
      </c>
      <c r="H15291" t="s">
        <v>51771</v>
      </c>
      <c r="Y15291" t="s">
        <v>52074</v>
      </c>
    </row>
    <row r="15292" spans="1:25" x14ac:dyDescent="0.25">
      <c r="A15292" t="str">
        <f>"64880480193"</f>
        <v>64880480193</v>
      </c>
      <c r="B15292" t="s">
        <v>2055</v>
      </c>
      <c r="C15292" t="s">
        <v>48903</v>
      </c>
      <c r="D15292" t="s">
        <v>48902</v>
      </c>
      <c r="E15292">
        <v>425350</v>
      </c>
      <c r="F15292" t="s">
        <v>1</v>
      </c>
      <c r="G15292" t="s">
        <v>51330</v>
      </c>
      <c r="H15292" t="s">
        <v>51511</v>
      </c>
      <c r="Y15292" t="s">
        <v>52075</v>
      </c>
    </row>
    <row r="15293" spans="1:25" x14ac:dyDescent="0.25">
      <c r="A15293" t="str">
        <f>"65463908818"</f>
        <v>65463908818</v>
      </c>
      <c r="B15293" t="s">
        <v>978</v>
      </c>
      <c r="C15293" t="s">
        <v>43260</v>
      </c>
      <c r="D15293" t="s">
        <v>52076</v>
      </c>
      <c r="E15293">
        <v>425350</v>
      </c>
      <c r="F15293" t="s">
        <v>1</v>
      </c>
      <c r="G15293" t="s">
        <v>51330</v>
      </c>
      <c r="H15293" t="s">
        <v>51488</v>
      </c>
      <c r="Y15293" t="s">
        <v>52077</v>
      </c>
    </row>
    <row r="15294" spans="1:25" x14ac:dyDescent="0.25">
      <c r="A15294" t="str">
        <f>"66634435546"</f>
        <v>66634435546</v>
      </c>
      <c r="B15294" t="s">
        <v>2178</v>
      </c>
      <c r="C15294" t="s">
        <v>3223</v>
      </c>
      <c r="D15294" t="s">
        <v>52078</v>
      </c>
      <c r="E15294">
        <v>425350</v>
      </c>
      <c r="F15294" t="s">
        <v>1</v>
      </c>
      <c r="G15294" t="s">
        <v>51330</v>
      </c>
      <c r="H15294" t="s">
        <v>51488</v>
      </c>
      <c r="Y15294" t="s">
        <v>52079</v>
      </c>
    </row>
    <row r="15295" spans="1:25" x14ac:dyDescent="0.25">
      <c r="A15295" t="str">
        <f>"66817013371"</f>
        <v>66817013371</v>
      </c>
      <c r="B15295" t="s">
        <v>1078</v>
      </c>
      <c r="C15295" t="s">
        <v>52084</v>
      </c>
      <c r="D15295" t="s">
        <v>52080</v>
      </c>
      <c r="E15295">
        <v>425354</v>
      </c>
      <c r="F15295" t="s">
        <v>1</v>
      </c>
      <c r="G15295" t="s">
        <v>51330</v>
      </c>
      <c r="H15295" t="s">
        <v>52081</v>
      </c>
      <c r="J15295" t="s">
        <v>52082</v>
      </c>
      <c r="M15295" t="s">
        <v>52083</v>
      </c>
      <c r="P15295" t="s">
        <v>280</v>
      </c>
      <c r="Y15295" t="s">
        <v>52085</v>
      </c>
    </row>
    <row r="15296" spans="1:25" x14ac:dyDescent="0.25">
      <c r="A15296" t="str">
        <f>"67105887534"</f>
        <v>67105887534</v>
      </c>
      <c r="B15296" t="s">
        <v>530</v>
      </c>
      <c r="C15296" t="s">
        <v>23950</v>
      </c>
      <c r="D15296" t="s">
        <v>23950</v>
      </c>
      <c r="F15296" t="s">
        <v>1</v>
      </c>
      <c r="G15296" t="s">
        <v>51330</v>
      </c>
      <c r="H15296" t="s">
        <v>52086</v>
      </c>
      <c r="Y15296" t="s">
        <v>52087</v>
      </c>
    </row>
    <row r="15297" spans="1:25" x14ac:dyDescent="0.25">
      <c r="A15297" t="str">
        <f>"67199254768"</f>
        <v>67199254768</v>
      </c>
      <c r="B15297" t="s">
        <v>574</v>
      </c>
      <c r="C15297" t="s">
        <v>646</v>
      </c>
      <c r="D15297" t="s">
        <v>4221</v>
      </c>
      <c r="F15297" t="s">
        <v>1</v>
      </c>
      <c r="G15297" t="s">
        <v>51330</v>
      </c>
      <c r="H15297" t="s">
        <v>52088</v>
      </c>
      <c r="Y15297" t="s">
        <v>52089</v>
      </c>
    </row>
    <row r="15298" spans="1:25" x14ac:dyDescent="0.25">
      <c r="A15298" t="str">
        <f>"67453147488"</f>
        <v>67453147488</v>
      </c>
      <c r="B15298" t="s">
        <v>176</v>
      </c>
      <c r="C15298" t="s">
        <v>27547</v>
      </c>
      <c r="D15298" t="s">
        <v>27545</v>
      </c>
      <c r="F15298" t="s">
        <v>1</v>
      </c>
      <c r="G15298" t="s">
        <v>51330</v>
      </c>
      <c r="H15298" t="s">
        <v>52090</v>
      </c>
      <c r="Y15298" t="s">
        <v>52091</v>
      </c>
    </row>
    <row r="15299" spans="1:25" x14ac:dyDescent="0.25">
      <c r="A15299" t="str">
        <f>"67516748883"</f>
        <v>67516748883</v>
      </c>
      <c r="B15299" t="s">
        <v>574</v>
      </c>
      <c r="C15299" t="s">
        <v>14269</v>
      </c>
      <c r="D15299" t="s">
        <v>52092</v>
      </c>
      <c r="F15299" t="s">
        <v>1</v>
      </c>
      <c r="G15299" t="s">
        <v>51330</v>
      </c>
      <c r="H15299" t="s">
        <v>52093</v>
      </c>
      <c r="Y15299" t="s">
        <v>52094</v>
      </c>
    </row>
    <row r="15300" spans="1:25" x14ac:dyDescent="0.25">
      <c r="A15300" t="str">
        <f>"67894155025"</f>
        <v>67894155025</v>
      </c>
      <c r="B15300" t="s">
        <v>3700</v>
      </c>
      <c r="C15300" t="s">
        <v>4023</v>
      </c>
      <c r="D15300" t="s">
        <v>28927</v>
      </c>
      <c r="E15300">
        <v>425350</v>
      </c>
      <c r="F15300" t="s">
        <v>1</v>
      </c>
      <c r="G15300" t="s">
        <v>51330</v>
      </c>
      <c r="H15300" t="s">
        <v>52065</v>
      </c>
      <c r="Y15300" t="s">
        <v>52095</v>
      </c>
    </row>
    <row r="15301" spans="1:25" x14ac:dyDescent="0.25">
      <c r="A15301" t="str">
        <f>"68229811974"</f>
        <v>68229811974</v>
      </c>
      <c r="B15301" t="s">
        <v>1152</v>
      </c>
      <c r="C15301" t="s">
        <v>4682</v>
      </c>
      <c r="D15301" t="s">
        <v>51054</v>
      </c>
      <c r="F15301" t="s">
        <v>1</v>
      </c>
      <c r="G15301" t="s">
        <v>51330</v>
      </c>
      <c r="H15301" t="s">
        <v>51816</v>
      </c>
      <c r="Y15301" t="s">
        <v>52096</v>
      </c>
    </row>
    <row r="15302" spans="1:25" x14ac:dyDescent="0.25">
      <c r="A15302" t="str">
        <f>"68296696398"</f>
        <v>68296696398</v>
      </c>
      <c r="B15302" t="s">
        <v>530</v>
      </c>
      <c r="C15302" t="s">
        <v>23950</v>
      </c>
      <c r="D15302" t="s">
        <v>23950</v>
      </c>
      <c r="E15302">
        <v>425353</v>
      </c>
      <c r="F15302" t="s">
        <v>1</v>
      </c>
      <c r="G15302" t="s">
        <v>51330</v>
      </c>
      <c r="H15302" t="s">
        <v>52097</v>
      </c>
      <c r="Y15302" t="s">
        <v>52098</v>
      </c>
    </row>
    <row r="15303" spans="1:25" x14ac:dyDescent="0.25">
      <c r="A15303" t="str">
        <f>"68598248033"</f>
        <v>68598248033</v>
      </c>
      <c r="B15303" t="s">
        <v>1475</v>
      </c>
      <c r="C15303" t="s">
        <v>1476</v>
      </c>
      <c r="D15303" t="s">
        <v>23495</v>
      </c>
      <c r="F15303" t="s">
        <v>1</v>
      </c>
      <c r="G15303" t="s">
        <v>51330</v>
      </c>
      <c r="H15303" t="s">
        <v>51906</v>
      </c>
      <c r="P15303" t="s">
        <v>8655</v>
      </c>
      <c r="Y15303" t="s">
        <v>52099</v>
      </c>
    </row>
    <row r="15304" spans="1:25" x14ac:dyDescent="0.25">
      <c r="A15304" t="str">
        <f>"68970331875"</f>
        <v>68970331875</v>
      </c>
      <c r="B15304" t="s">
        <v>1544</v>
      </c>
      <c r="C15304" t="s">
        <v>3596</v>
      </c>
      <c r="D15304" t="s">
        <v>52100</v>
      </c>
      <c r="F15304" t="s">
        <v>1</v>
      </c>
      <c r="G15304" t="s">
        <v>51330</v>
      </c>
      <c r="H15304" t="s">
        <v>52101</v>
      </c>
      <c r="P15304" t="s">
        <v>410</v>
      </c>
      <c r="Y15304" t="s">
        <v>52102</v>
      </c>
    </row>
    <row r="15305" spans="1:25" x14ac:dyDescent="0.25">
      <c r="A15305" t="str">
        <f>"69113188043"</f>
        <v>69113188043</v>
      </c>
      <c r="B15305" t="s">
        <v>1475</v>
      </c>
      <c r="C15305" t="s">
        <v>1476</v>
      </c>
      <c r="D15305" t="s">
        <v>2578</v>
      </c>
      <c r="E15305">
        <v>425350</v>
      </c>
      <c r="F15305" t="s">
        <v>1</v>
      </c>
      <c r="G15305" t="s">
        <v>51330</v>
      </c>
      <c r="H15305" t="s">
        <v>51880</v>
      </c>
      <c r="Y15305" t="s">
        <v>52103</v>
      </c>
    </row>
    <row r="15306" spans="1:25" x14ac:dyDescent="0.25">
      <c r="A15306" t="str">
        <f>"69997855797"</f>
        <v>69997855797</v>
      </c>
      <c r="B15306" t="s">
        <v>530</v>
      </c>
      <c r="C15306" t="s">
        <v>23950</v>
      </c>
      <c r="D15306" t="s">
        <v>23950</v>
      </c>
      <c r="F15306" t="s">
        <v>1</v>
      </c>
      <c r="G15306" t="s">
        <v>51330</v>
      </c>
      <c r="H15306" t="s">
        <v>52104</v>
      </c>
      <c r="Y15306" t="s">
        <v>52105</v>
      </c>
    </row>
    <row r="15307" spans="1:25" x14ac:dyDescent="0.25">
      <c r="A15307" t="str">
        <f>"70400076586"</f>
        <v>70400076586</v>
      </c>
      <c r="B15307" t="s">
        <v>530</v>
      </c>
      <c r="C15307" t="s">
        <v>23950</v>
      </c>
      <c r="D15307" t="s">
        <v>23950</v>
      </c>
      <c r="F15307" t="s">
        <v>1</v>
      </c>
      <c r="G15307" t="s">
        <v>51330</v>
      </c>
      <c r="H15307" t="s">
        <v>52106</v>
      </c>
      <c r="Y15307" t="s">
        <v>52107</v>
      </c>
    </row>
    <row r="15308" spans="1:25" x14ac:dyDescent="0.25">
      <c r="A15308" t="str">
        <f>"70572472794"</f>
        <v>70572472794</v>
      </c>
      <c r="B15308" t="s">
        <v>640</v>
      </c>
      <c r="C15308" t="s">
        <v>663</v>
      </c>
      <c r="D15308" t="s">
        <v>52108</v>
      </c>
      <c r="E15308">
        <v>425350</v>
      </c>
      <c r="F15308" t="s">
        <v>1</v>
      </c>
      <c r="G15308" t="s">
        <v>51330</v>
      </c>
      <c r="H15308" t="s">
        <v>51869</v>
      </c>
      <c r="Y15308" t="s">
        <v>52109</v>
      </c>
    </row>
    <row r="15309" spans="1:25" x14ac:dyDescent="0.25">
      <c r="A15309" t="str">
        <f>"71408354196"</f>
        <v>71408354196</v>
      </c>
      <c r="B15309" t="s">
        <v>10383</v>
      </c>
      <c r="C15309" t="s">
        <v>31853</v>
      </c>
      <c r="D15309" t="s">
        <v>52110</v>
      </c>
      <c r="F15309" t="s">
        <v>1</v>
      </c>
      <c r="G15309" t="s">
        <v>51330</v>
      </c>
      <c r="H15309" t="s">
        <v>52111</v>
      </c>
      <c r="Y15309" t="s">
        <v>52112</v>
      </c>
    </row>
    <row r="15310" spans="1:25" x14ac:dyDescent="0.25">
      <c r="A15310" t="str">
        <f>"71516608037"</f>
        <v>71516608037</v>
      </c>
      <c r="B15310" t="s">
        <v>96</v>
      </c>
      <c r="C15310" t="s">
        <v>695</v>
      </c>
      <c r="D15310" t="s">
        <v>27690</v>
      </c>
      <c r="E15310">
        <v>425350</v>
      </c>
      <c r="F15310" t="s">
        <v>1</v>
      </c>
      <c r="G15310" t="s">
        <v>51330</v>
      </c>
      <c r="H15310" t="s">
        <v>51511</v>
      </c>
      <c r="Y15310" t="s">
        <v>51967</v>
      </c>
    </row>
    <row r="15311" spans="1:25" x14ac:dyDescent="0.25">
      <c r="A15311" t="str">
        <f>"71888346003"</f>
        <v>71888346003</v>
      </c>
      <c r="B15311" t="s">
        <v>1046</v>
      </c>
      <c r="C15311" t="s">
        <v>22946</v>
      </c>
      <c r="D15311" t="s">
        <v>22946</v>
      </c>
      <c r="F15311" t="s">
        <v>1</v>
      </c>
      <c r="G15311" t="s">
        <v>51330</v>
      </c>
      <c r="H15311" t="s">
        <v>52113</v>
      </c>
      <c r="Y15311" t="s">
        <v>52114</v>
      </c>
    </row>
    <row r="15312" spans="1:25" x14ac:dyDescent="0.25">
      <c r="A15312" t="str">
        <f>"72173018315"</f>
        <v>72173018315</v>
      </c>
      <c r="B15312" t="s">
        <v>530</v>
      </c>
      <c r="C15312" t="s">
        <v>23950</v>
      </c>
      <c r="D15312" t="s">
        <v>23950</v>
      </c>
      <c r="E15312">
        <v>425350</v>
      </c>
      <c r="F15312" t="s">
        <v>1</v>
      </c>
      <c r="G15312" t="s">
        <v>51330</v>
      </c>
      <c r="H15312" t="s">
        <v>52115</v>
      </c>
      <c r="Y15312" t="s">
        <v>52116</v>
      </c>
    </row>
    <row r="15313" spans="1:25" x14ac:dyDescent="0.25">
      <c r="A15313" t="str">
        <f>"72369957860"</f>
        <v>72369957860</v>
      </c>
      <c r="B15313" t="s">
        <v>188</v>
      </c>
      <c r="C15313" t="s">
        <v>23982</v>
      </c>
      <c r="D15313" t="s">
        <v>23982</v>
      </c>
      <c r="E15313">
        <v>425350</v>
      </c>
      <c r="F15313" t="s">
        <v>1</v>
      </c>
      <c r="G15313" t="s">
        <v>51330</v>
      </c>
      <c r="H15313" t="s">
        <v>51407</v>
      </c>
      <c r="Y15313" t="s">
        <v>52117</v>
      </c>
    </row>
    <row r="15314" spans="1:25" x14ac:dyDescent="0.25">
      <c r="A15314" t="str">
        <f>"72786210987"</f>
        <v>72786210987</v>
      </c>
      <c r="B15314" t="s">
        <v>1152</v>
      </c>
      <c r="C15314" t="s">
        <v>1153</v>
      </c>
      <c r="D15314" t="s">
        <v>10280</v>
      </c>
      <c r="E15314">
        <v>425350</v>
      </c>
      <c r="F15314" t="s">
        <v>1</v>
      </c>
      <c r="G15314" t="s">
        <v>51330</v>
      </c>
      <c r="H15314" t="s">
        <v>52118</v>
      </c>
      <c r="I15314" t="s">
        <v>22092</v>
      </c>
      <c r="M15314" t="s">
        <v>10284</v>
      </c>
      <c r="Q15314" t="s">
        <v>10286</v>
      </c>
      <c r="R15314" t="s">
        <v>10287</v>
      </c>
      <c r="S15314" t="s">
        <v>10288</v>
      </c>
      <c r="T15314" t="s">
        <v>10289</v>
      </c>
      <c r="U15314" t="s">
        <v>10290</v>
      </c>
      <c r="V15314" t="s">
        <v>10291</v>
      </c>
      <c r="Y15314" t="s">
        <v>52119</v>
      </c>
    </row>
    <row r="15315" spans="1:25" x14ac:dyDescent="0.25">
      <c r="A15315" t="str">
        <f>"73352784389"</f>
        <v>73352784389</v>
      </c>
      <c r="B15315" t="s">
        <v>348</v>
      </c>
      <c r="C15315" t="s">
        <v>4366</v>
      </c>
      <c r="D15315" t="s">
        <v>348</v>
      </c>
      <c r="E15315">
        <v>425350</v>
      </c>
      <c r="F15315" t="s">
        <v>1</v>
      </c>
      <c r="G15315" t="s">
        <v>51330</v>
      </c>
      <c r="H15315" t="s">
        <v>52120</v>
      </c>
      <c r="Y15315" t="s">
        <v>52121</v>
      </c>
    </row>
    <row r="15316" spans="1:25" x14ac:dyDescent="0.25">
      <c r="A15316" t="str">
        <f>"73664100308"</f>
        <v>73664100308</v>
      </c>
      <c r="B15316" t="s">
        <v>624</v>
      </c>
      <c r="C15316" t="s">
        <v>52125</v>
      </c>
      <c r="D15316" t="s">
        <v>52122</v>
      </c>
      <c r="F15316" t="s">
        <v>1</v>
      </c>
      <c r="G15316" t="s">
        <v>51330</v>
      </c>
      <c r="H15316" t="s">
        <v>52123</v>
      </c>
      <c r="I15316" t="s">
        <v>52124</v>
      </c>
      <c r="P15316" t="s">
        <v>52126</v>
      </c>
      <c r="Y15316" t="s">
        <v>52127</v>
      </c>
    </row>
    <row r="15317" spans="1:25" x14ac:dyDescent="0.25">
      <c r="A15317" t="str">
        <f>"73753757079"</f>
        <v>73753757079</v>
      </c>
      <c r="B15317" t="s">
        <v>530</v>
      </c>
      <c r="C15317" t="s">
        <v>23950</v>
      </c>
      <c r="D15317" t="s">
        <v>23950</v>
      </c>
      <c r="F15317" t="s">
        <v>1</v>
      </c>
      <c r="G15317" t="s">
        <v>51330</v>
      </c>
      <c r="H15317" t="s">
        <v>52128</v>
      </c>
      <c r="Y15317" t="s">
        <v>52129</v>
      </c>
    </row>
    <row r="15318" spans="1:25" x14ac:dyDescent="0.25">
      <c r="A15318" t="str">
        <f>"73813238111"</f>
        <v>73813238111</v>
      </c>
      <c r="B15318" t="s">
        <v>290</v>
      </c>
      <c r="C15318" t="s">
        <v>290</v>
      </c>
      <c r="D15318" t="s">
        <v>52130</v>
      </c>
      <c r="F15318" t="s">
        <v>1</v>
      </c>
      <c r="G15318" t="s">
        <v>51330</v>
      </c>
      <c r="H15318" t="s">
        <v>51390</v>
      </c>
      <c r="P15318" t="s">
        <v>21363</v>
      </c>
      <c r="V15318" t="s">
        <v>52131</v>
      </c>
      <c r="Y15318" t="s">
        <v>52132</v>
      </c>
    </row>
    <row r="15319" spans="1:25" x14ac:dyDescent="0.25">
      <c r="A15319" t="str">
        <f>"73915506823"</f>
        <v>73915506823</v>
      </c>
      <c r="B15319" t="s">
        <v>1573</v>
      </c>
      <c r="C15319" t="s">
        <v>1817</v>
      </c>
      <c r="D15319" t="s">
        <v>52133</v>
      </c>
      <c r="E15319">
        <v>425350</v>
      </c>
      <c r="F15319" t="s">
        <v>1</v>
      </c>
      <c r="G15319" t="s">
        <v>51330</v>
      </c>
      <c r="H15319" t="s">
        <v>52065</v>
      </c>
      <c r="P15319" t="s">
        <v>11503</v>
      </c>
      <c r="Y15319" t="s">
        <v>52134</v>
      </c>
    </row>
    <row r="15320" spans="1:25" x14ac:dyDescent="0.25">
      <c r="A15320" t="str">
        <f>"74131967510"</f>
        <v>74131967510</v>
      </c>
      <c r="B15320" t="s">
        <v>8011</v>
      </c>
      <c r="C15320" t="s">
        <v>25177</v>
      </c>
      <c r="D15320" t="s">
        <v>12536</v>
      </c>
      <c r="E15320">
        <v>425353</v>
      </c>
      <c r="F15320" t="s">
        <v>1</v>
      </c>
      <c r="G15320" t="s">
        <v>51330</v>
      </c>
      <c r="H15320" t="s">
        <v>51553</v>
      </c>
      <c r="Y15320" t="s">
        <v>52135</v>
      </c>
    </row>
    <row r="15321" spans="1:25" x14ac:dyDescent="0.25">
      <c r="A15321" t="str">
        <f>"74302958403"</f>
        <v>74302958403</v>
      </c>
      <c r="B15321" t="s">
        <v>4084</v>
      </c>
      <c r="C15321" t="s">
        <v>7951</v>
      </c>
      <c r="D15321" t="s">
        <v>52136</v>
      </c>
      <c r="E15321">
        <v>425354</v>
      </c>
      <c r="F15321" t="s">
        <v>1</v>
      </c>
      <c r="G15321" t="s">
        <v>51330</v>
      </c>
      <c r="H15321" t="s">
        <v>52137</v>
      </c>
      <c r="Y15321" t="s">
        <v>52138</v>
      </c>
    </row>
    <row r="15322" spans="1:25" x14ac:dyDescent="0.25">
      <c r="A15322" t="str">
        <f>"74696097455"</f>
        <v>74696097455</v>
      </c>
      <c r="B15322" t="s">
        <v>1475</v>
      </c>
      <c r="C15322" t="s">
        <v>4005</v>
      </c>
      <c r="D15322" t="s">
        <v>52139</v>
      </c>
      <c r="F15322" t="s">
        <v>1</v>
      </c>
      <c r="G15322" t="s">
        <v>51330</v>
      </c>
      <c r="H15322" t="s">
        <v>51337</v>
      </c>
      <c r="L15322" t="s">
        <v>52140</v>
      </c>
      <c r="M15322" t="s">
        <v>52141</v>
      </c>
      <c r="Q15322" t="s">
        <v>52142</v>
      </c>
      <c r="Y15322" t="s">
        <v>52143</v>
      </c>
    </row>
    <row r="15323" spans="1:25" x14ac:dyDescent="0.25">
      <c r="A15323" t="str">
        <f>"74833788419"</f>
        <v>74833788419</v>
      </c>
      <c r="B15323" t="s">
        <v>530</v>
      </c>
      <c r="C15323" t="s">
        <v>23950</v>
      </c>
      <c r="D15323" t="s">
        <v>23950</v>
      </c>
      <c r="F15323" t="s">
        <v>1</v>
      </c>
      <c r="G15323" t="s">
        <v>51330</v>
      </c>
      <c r="H15323" t="s">
        <v>52144</v>
      </c>
      <c r="Y15323" t="s">
        <v>52145</v>
      </c>
    </row>
    <row r="15324" spans="1:25" x14ac:dyDescent="0.25">
      <c r="A15324" t="str">
        <f>"74906549263"</f>
        <v>74906549263</v>
      </c>
      <c r="B15324" t="s">
        <v>1046</v>
      </c>
      <c r="C15324" t="s">
        <v>22946</v>
      </c>
      <c r="D15324" t="s">
        <v>22946</v>
      </c>
      <c r="E15324">
        <v>425354</v>
      </c>
      <c r="F15324" t="s">
        <v>1</v>
      </c>
      <c r="G15324" t="s">
        <v>51330</v>
      </c>
      <c r="H15324" t="s">
        <v>52146</v>
      </c>
      <c r="Y15324" t="s">
        <v>52147</v>
      </c>
    </row>
    <row r="15325" spans="1:25" x14ac:dyDescent="0.25">
      <c r="A15325" t="str">
        <f>"75280976548"</f>
        <v>75280976548</v>
      </c>
      <c r="B15325" t="s">
        <v>151</v>
      </c>
      <c r="C15325" t="s">
        <v>2522</v>
      </c>
      <c r="D15325" t="s">
        <v>52148</v>
      </c>
      <c r="F15325" t="s">
        <v>1</v>
      </c>
      <c r="G15325" t="s">
        <v>51330</v>
      </c>
      <c r="H15325" t="s">
        <v>51416</v>
      </c>
      <c r="I15325" t="s">
        <v>52149</v>
      </c>
      <c r="P15325" t="s">
        <v>52150</v>
      </c>
      <c r="Y15325" t="s">
        <v>52151</v>
      </c>
    </row>
    <row r="15326" spans="1:25" x14ac:dyDescent="0.25">
      <c r="A15326" t="str">
        <f>"75596004119"</f>
        <v>75596004119</v>
      </c>
      <c r="B15326" t="s">
        <v>3544</v>
      </c>
      <c r="C15326" t="s">
        <v>11303</v>
      </c>
      <c r="D15326" t="s">
        <v>51994</v>
      </c>
      <c r="F15326" t="s">
        <v>1</v>
      </c>
      <c r="G15326" t="s">
        <v>51330</v>
      </c>
      <c r="H15326" t="s">
        <v>51849</v>
      </c>
      <c r="P15326" t="s">
        <v>280</v>
      </c>
      <c r="Y15326" t="s">
        <v>52152</v>
      </c>
    </row>
    <row r="15327" spans="1:25" x14ac:dyDescent="0.25">
      <c r="A15327" t="str">
        <f>"75598644019"</f>
        <v>75598644019</v>
      </c>
      <c r="B15327" t="s">
        <v>530</v>
      </c>
      <c r="C15327" t="s">
        <v>23950</v>
      </c>
      <c r="D15327" t="s">
        <v>23950</v>
      </c>
      <c r="F15327" t="s">
        <v>1</v>
      </c>
      <c r="G15327" t="s">
        <v>51330</v>
      </c>
      <c r="H15327" t="s">
        <v>51846</v>
      </c>
      <c r="Y15327" t="s">
        <v>52153</v>
      </c>
    </row>
    <row r="15328" spans="1:25" x14ac:dyDescent="0.25">
      <c r="A15328" t="str">
        <f>"75674433106"</f>
        <v>75674433106</v>
      </c>
      <c r="B15328" t="s">
        <v>530</v>
      </c>
      <c r="C15328" t="s">
        <v>23950</v>
      </c>
      <c r="D15328" t="s">
        <v>23950</v>
      </c>
      <c r="F15328" t="s">
        <v>1</v>
      </c>
      <c r="G15328" t="s">
        <v>51330</v>
      </c>
      <c r="H15328" t="s">
        <v>52154</v>
      </c>
      <c r="Y15328" t="s">
        <v>52155</v>
      </c>
    </row>
    <row r="15329" spans="1:25" x14ac:dyDescent="0.25">
      <c r="A15329" t="str">
        <f>"76154597043"</f>
        <v>76154597043</v>
      </c>
      <c r="B15329" t="s">
        <v>574</v>
      </c>
      <c r="C15329" t="s">
        <v>646</v>
      </c>
      <c r="D15329" t="s">
        <v>51773</v>
      </c>
      <c r="E15329">
        <v>425354</v>
      </c>
      <c r="F15329" t="s">
        <v>1</v>
      </c>
      <c r="G15329" t="s">
        <v>51330</v>
      </c>
      <c r="H15329" t="s">
        <v>52156</v>
      </c>
      <c r="P15329" t="s">
        <v>216</v>
      </c>
      <c r="Y15329" t="s">
        <v>52157</v>
      </c>
    </row>
    <row r="15330" spans="1:25" x14ac:dyDescent="0.25">
      <c r="A15330" t="str">
        <f>"76371689639"</f>
        <v>76371689639</v>
      </c>
      <c r="B15330" t="s">
        <v>117</v>
      </c>
      <c r="C15330" t="s">
        <v>118</v>
      </c>
      <c r="D15330" t="s">
        <v>52158</v>
      </c>
      <c r="F15330" t="s">
        <v>1</v>
      </c>
      <c r="G15330" t="s">
        <v>51330</v>
      </c>
      <c r="H15330" t="s">
        <v>51876</v>
      </c>
      <c r="Y15330" t="s">
        <v>52159</v>
      </c>
    </row>
    <row r="15331" spans="1:25" x14ac:dyDescent="0.25">
      <c r="A15331" t="str">
        <f>"76462390778"</f>
        <v>76462390778</v>
      </c>
      <c r="B15331" t="s">
        <v>18</v>
      </c>
      <c r="C15331" t="s">
        <v>51799</v>
      </c>
      <c r="D15331" t="s">
        <v>52160</v>
      </c>
      <c r="E15331">
        <v>425350</v>
      </c>
      <c r="F15331" t="s">
        <v>1</v>
      </c>
      <c r="G15331" t="s">
        <v>51330</v>
      </c>
      <c r="H15331" t="s">
        <v>51798</v>
      </c>
      <c r="Y15331" t="s">
        <v>52161</v>
      </c>
    </row>
    <row r="15332" spans="1:25" x14ac:dyDescent="0.25">
      <c r="A15332" t="str">
        <f>"76706598034"</f>
        <v>76706598034</v>
      </c>
      <c r="B15332" t="s">
        <v>417</v>
      </c>
      <c r="C15332" t="s">
        <v>418</v>
      </c>
      <c r="D15332" t="s">
        <v>4950</v>
      </c>
      <c r="F15332" t="s">
        <v>1</v>
      </c>
      <c r="G15332" t="s">
        <v>51330</v>
      </c>
      <c r="H15332" t="s">
        <v>52162</v>
      </c>
      <c r="P15332" t="s">
        <v>18882</v>
      </c>
      <c r="Y15332" t="s">
        <v>52163</v>
      </c>
    </row>
    <row r="15333" spans="1:25" x14ac:dyDescent="0.25">
      <c r="A15333" t="str">
        <f>"77668290752"</f>
        <v>77668290752</v>
      </c>
      <c r="B15333" t="s">
        <v>96</v>
      </c>
      <c r="C15333" t="s">
        <v>29163</v>
      </c>
      <c r="D15333" t="s">
        <v>12999</v>
      </c>
      <c r="E15333">
        <v>425350</v>
      </c>
      <c r="F15333" t="s">
        <v>1</v>
      </c>
      <c r="G15333" t="s">
        <v>51330</v>
      </c>
      <c r="H15333" t="s">
        <v>52164</v>
      </c>
      <c r="Y15333" t="s">
        <v>52165</v>
      </c>
    </row>
    <row r="15334" spans="1:25" x14ac:dyDescent="0.25">
      <c r="A15334" t="str">
        <f>"77878686698"</f>
        <v>77878686698</v>
      </c>
      <c r="B15334" t="s">
        <v>96</v>
      </c>
      <c r="C15334" t="s">
        <v>29320</v>
      </c>
      <c r="D15334" t="s">
        <v>52166</v>
      </c>
      <c r="E15334">
        <v>425350</v>
      </c>
      <c r="F15334" t="s">
        <v>1</v>
      </c>
      <c r="G15334" t="s">
        <v>51330</v>
      </c>
      <c r="H15334" t="s">
        <v>51488</v>
      </c>
      <c r="Y15334" t="s">
        <v>52167</v>
      </c>
    </row>
    <row r="15335" spans="1:25" x14ac:dyDescent="0.25">
      <c r="A15335" t="str">
        <f>"78077469031"</f>
        <v>78077469031</v>
      </c>
      <c r="B15335" t="s">
        <v>1475</v>
      </c>
      <c r="C15335" t="s">
        <v>1476</v>
      </c>
      <c r="D15335" t="s">
        <v>39242</v>
      </c>
      <c r="E15335">
        <v>425350</v>
      </c>
      <c r="F15335" t="s">
        <v>1</v>
      </c>
      <c r="G15335" t="s">
        <v>51330</v>
      </c>
      <c r="H15335" t="s">
        <v>52168</v>
      </c>
      <c r="P15335" t="s">
        <v>52169</v>
      </c>
      <c r="Y15335" t="s">
        <v>52170</v>
      </c>
    </row>
    <row r="15336" spans="1:25" x14ac:dyDescent="0.25">
      <c r="A15336" t="str">
        <f>"78254526360"</f>
        <v>78254526360</v>
      </c>
      <c r="B15336" t="s">
        <v>10383</v>
      </c>
      <c r="C15336" t="s">
        <v>24146</v>
      </c>
      <c r="D15336" t="s">
        <v>24146</v>
      </c>
      <c r="F15336" t="s">
        <v>1</v>
      </c>
      <c r="G15336" t="s">
        <v>51330</v>
      </c>
      <c r="H15336" t="s">
        <v>52093</v>
      </c>
      <c r="Y15336" t="s">
        <v>52171</v>
      </c>
    </row>
    <row r="15337" spans="1:25" x14ac:dyDescent="0.25">
      <c r="A15337" t="str">
        <f>"78346265497"</f>
        <v>78346265497</v>
      </c>
      <c r="B15337" t="s">
        <v>96</v>
      </c>
      <c r="C15337" t="s">
        <v>15131</v>
      </c>
      <c r="D15337" t="s">
        <v>52172</v>
      </c>
      <c r="E15337">
        <v>425350</v>
      </c>
      <c r="F15337" t="s">
        <v>1</v>
      </c>
      <c r="G15337" t="s">
        <v>51330</v>
      </c>
      <c r="H15337" t="s">
        <v>51742</v>
      </c>
      <c r="Y15337" t="s">
        <v>52173</v>
      </c>
    </row>
    <row r="15338" spans="1:25" x14ac:dyDescent="0.25">
      <c r="A15338" t="str">
        <f>"78981121456"</f>
        <v>78981121456</v>
      </c>
      <c r="B15338" t="s">
        <v>530</v>
      </c>
      <c r="C15338" t="s">
        <v>23950</v>
      </c>
      <c r="D15338" t="s">
        <v>23950</v>
      </c>
      <c r="E15338">
        <v>425353</v>
      </c>
      <c r="F15338" t="s">
        <v>1</v>
      </c>
      <c r="G15338" t="s">
        <v>51330</v>
      </c>
      <c r="H15338" t="s">
        <v>52174</v>
      </c>
      <c r="Y15338" t="s">
        <v>52175</v>
      </c>
    </row>
    <row r="15339" spans="1:25" x14ac:dyDescent="0.25">
      <c r="A15339" t="str">
        <f>"79307300024"</f>
        <v>79307300024</v>
      </c>
      <c r="B15339" t="s">
        <v>1573</v>
      </c>
      <c r="C15339" t="s">
        <v>1817</v>
      </c>
      <c r="D15339" t="s">
        <v>28927</v>
      </c>
      <c r="F15339" t="s">
        <v>1</v>
      </c>
      <c r="G15339" t="s">
        <v>51330</v>
      </c>
      <c r="H15339" t="s">
        <v>51816</v>
      </c>
      <c r="P15339" t="s">
        <v>605</v>
      </c>
      <c r="Y15339" t="s">
        <v>52176</v>
      </c>
    </row>
    <row r="15340" spans="1:25" x14ac:dyDescent="0.25">
      <c r="A15340" t="str">
        <f>"79952785498"</f>
        <v>79952785498</v>
      </c>
      <c r="B15340" t="s">
        <v>188</v>
      </c>
      <c r="C15340" t="s">
        <v>23982</v>
      </c>
      <c r="D15340" t="s">
        <v>23982</v>
      </c>
      <c r="E15340">
        <v>425350</v>
      </c>
      <c r="F15340" t="s">
        <v>1</v>
      </c>
      <c r="G15340" t="s">
        <v>51330</v>
      </c>
      <c r="H15340" t="s">
        <v>52177</v>
      </c>
      <c r="Y15340" t="s">
        <v>52178</v>
      </c>
    </row>
    <row r="15341" spans="1:25" x14ac:dyDescent="0.25">
      <c r="A15341" t="str">
        <f>"80195857877"</f>
        <v>80195857877</v>
      </c>
      <c r="B15341" t="s">
        <v>96</v>
      </c>
      <c r="C15341" t="s">
        <v>24042</v>
      </c>
      <c r="D15341" t="s">
        <v>24127</v>
      </c>
      <c r="E15341">
        <v>425353</v>
      </c>
      <c r="F15341" t="s">
        <v>1</v>
      </c>
      <c r="G15341" t="s">
        <v>51330</v>
      </c>
      <c r="H15341" t="s">
        <v>51553</v>
      </c>
      <c r="Y15341" t="s">
        <v>52179</v>
      </c>
    </row>
    <row r="15342" spans="1:25" x14ac:dyDescent="0.25">
      <c r="A15342" t="str">
        <f>"80963299096"</f>
        <v>80963299096</v>
      </c>
      <c r="B15342" t="s">
        <v>96</v>
      </c>
      <c r="C15342" t="s">
        <v>52182</v>
      </c>
      <c r="D15342" t="s">
        <v>19097</v>
      </c>
      <c r="F15342" t="s">
        <v>1</v>
      </c>
      <c r="G15342" t="s">
        <v>51330</v>
      </c>
      <c r="H15342" t="s">
        <v>51906</v>
      </c>
      <c r="J15342" t="s">
        <v>52180</v>
      </c>
      <c r="L15342" t="s">
        <v>52181</v>
      </c>
      <c r="P15342" t="s">
        <v>8655</v>
      </c>
      <c r="Q15342" t="s">
        <v>52183</v>
      </c>
      <c r="Y15342" t="s">
        <v>52184</v>
      </c>
    </row>
    <row r="15343" spans="1:25" x14ac:dyDescent="0.25">
      <c r="A15343" t="str">
        <f>"81523566893"</f>
        <v>81523566893</v>
      </c>
      <c r="B15343" t="s">
        <v>530</v>
      </c>
      <c r="C15343" t="s">
        <v>23950</v>
      </c>
      <c r="D15343" t="s">
        <v>23950</v>
      </c>
      <c r="E15343">
        <v>425350</v>
      </c>
      <c r="F15343" t="s">
        <v>1</v>
      </c>
      <c r="G15343" t="s">
        <v>51330</v>
      </c>
      <c r="H15343" t="s">
        <v>52185</v>
      </c>
      <c r="Y15343" t="s">
        <v>52186</v>
      </c>
    </row>
    <row r="15344" spans="1:25" x14ac:dyDescent="0.25">
      <c r="A15344" t="str">
        <f>"81700549122"</f>
        <v>81700549122</v>
      </c>
      <c r="B15344" t="s">
        <v>530</v>
      </c>
      <c r="C15344" t="s">
        <v>23950</v>
      </c>
      <c r="D15344" t="s">
        <v>23950</v>
      </c>
      <c r="F15344" t="s">
        <v>1</v>
      </c>
      <c r="G15344" t="s">
        <v>51330</v>
      </c>
      <c r="H15344" t="s">
        <v>51826</v>
      </c>
      <c r="Y15344" t="s">
        <v>52187</v>
      </c>
    </row>
    <row r="15345" spans="1:25" x14ac:dyDescent="0.25">
      <c r="A15345" t="str">
        <f>"81718150131"</f>
        <v>81718150131</v>
      </c>
      <c r="B15345" t="s">
        <v>1758</v>
      </c>
      <c r="C15345" t="s">
        <v>2276</v>
      </c>
      <c r="D15345" t="s">
        <v>52188</v>
      </c>
      <c r="E15345">
        <v>425354</v>
      </c>
      <c r="F15345" t="s">
        <v>1</v>
      </c>
      <c r="G15345" t="s">
        <v>51330</v>
      </c>
      <c r="H15345" t="s">
        <v>52189</v>
      </c>
      <c r="I15345" t="s">
        <v>52190</v>
      </c>
      <c r="L15345" t="s">
        <v>581</v>
      </c>
      <c r="M15345" t="s">
        <v>582</v>
      </c>
      <c r="P15345" t="s">
        <v>52191</v>
      </c>
      <c r="Y15345" t="s">
        <v>52192</v>
      </c>
    </row>
    <row r="15346" spans="1:25" x14ac:dyDescent="0.25">
      <c r="A15346" t="str">
        <f>"82553267693"</f>
        <v>82553267693</v>
      </c>
      <c r="B15346" t="s">
        <v>352</v>
      </c>
      <c r="C15346" t="s">
        <v>29673</v>
      </c>
      <c r="D15346" t="s">
        <v>52193</v>
      </c>
      <c r="F15346" t="s">
        <v>1</v>
      </c>
      <c r="G15346" t="s">
        <v>51330</v>
      </c>
      <c r="H15346" t="s">
        <v>52048</v>
      </c>
      <c r="P15346" t="s">
        <v>799</v>
      </c>
      <c r="Y15346" t="s">
        <v>52194</v>
      </c>
    </row>
    <row r="15347" spans="1:25" x14ac:dyDescent="0.25">
      <c r="A15347" t="str">
        <f>"82666840467"</f>
        <v>82666840467</v>
      </c>
      <c r="B15347" t="s">
        <v>290</v>
      </c>
      <c r="C15347" t="s">
        <v>290</v>
      </c>
      <c r="D15347" t="s">
        <v>11916</v>
      </c>
      <c r="E15347">
        <v>425350</v>
      </c>
      <c r="F15347" t="s">
        <v>1</v>
      </c>
      <c r="G15347" t="s">
        <v>51330</v>
      </c>
      <c r="H15347" t="s">
        <v>52118</v>
      </c>
      <c r="P15347" t="s">
        <v>1306</v>
      </c>
      <c r="Y15347" t="s">
        <v>52195</v>
      </c>
    </row>
    <row r="15348" spans="1:25" x14ac:dyDescent="0.25">
      <c r="A15348" t="str">
        <f>"82884488498"</f>
        <v>82884488498</v>
      </c>
      <c r="B15348" t="s">
        <v>1343</v>
      </c>
      <c r="C15348" t="s">
        <v>5308</v>
      </c>
      <c r="D15348" t="s">
        <v>44251</v>
      </c>
      <c r="F15348" t="s">
        <v>1</v>
      </c>
      <c r="G15348" t="s">
        <v>51330</v>
      </c>
      <c r="H15348" t="s">
        <v>51390</v>
      </c>
      <c r="Y15348" t="s">
        <v>52196</v>
      </c>
    </row>
    <row r="15349" spans="1:25" x14ac:dyDescent="0.25">
      <c r="A15349" t="str">
        <f>"82885702634"</f>
        <v>82885702634</v>
      </c>
      <c r="B15349" t="s">
        <v>803</v>
      </c>
      <c r="C15349" t="s">
        <v>804</v>
      </c>
      <c r="D15349" t="s">
        <v>52197</v>
      </c>
      <c r="E15349">
        <v>425350</v>
      </c>
      <c r="F15349" t="s">
        <v>1</v>
      </c>
      <c r="G15349" t="s">
        <v>51330</v>
      </c>
      <c r="H15349" t="s">
        <v>51694</v>
      </c>
      <c r="I15349" t="s">
        <v>52198</v>
      </c>
      <c r="J15349" t="s">
        <v>52199</v>
      </c>
      <c r="P15349" t="s">
        <v>3039</v>
      </c>
      <c r="Y15349" t="s">
        <v>52200</v>
      </c>
    </row>
    <row r="15350" spans="1:25" x14ac:dyDescent="0.25">
      <c r="A15350" t="str">
        <f>"83128202940"</f>
        <v>83128202940</v>
      </c>
      <c r="B15350" t="s">
        <v>123</v>
      </c>
      <c r="C15350" t="s">
        <v>424</v>
      </c>
      <c r="D15350" t="s">
        <v>52201</v>
      </c>
      <c r="E15350">
        <v>425350</v>
      </c>
      <c r="F15350" t="s">
        <v>1</v>
      </c>
      <c r="G15350" t="s">
        <v>51330</v>
      </c>
      <c r="H15350" t="s">
        <v>51627</v>
      </c>
      <c r="Y15350" t="s">
        <v>52202</v>
      </c>
    </row>
    <row r="15351" spans="1:25" x14ac:dyDescent="0.25">
      <c r="A15351" t="str">
        <f>"83969839624"</f>
        <v>83969839624</v>
      </c>
      <c r="B15351" t="s">
        <v>530</v>
      </c>
      <c r="C15351" t="s">
        <v>23950</v>
      </c>
      <c r="D15351" t="s">
        <v>23950</v>
      </c>
      <c r="F15351" t="s">
        <v>1</v>
      </c>
      <c r="G15351" t="s">
        <v>51330</v>
      </c>
      <c r="H15351" t="s">
        <v>52203</v>
      </c>
      <c r="Y15351" t="s">
        <v>52204</v>
      </c>
    </row>
    <row r="15352" spans="1:25" x14ac:dyDescent="0.25">
      <c r="A15352" t="str">
        <f>"84052635033"</f>
        <v>84052635033</v>
      </c>
      <c r="B15352" t="s">
        <v>530</v>
      </c>
      <c r="C15352" t="s">
        <v>23950</v>
      </c>
      <c r="D15352" t="s">
        <v>23950</v>
      </c>
      <c r="E15352">
        <v>425350</v>
      </c>
      <c r="F15352" t="s">
        <v>1</v>
      </c>
      <c r="G15352" t="s">
        <v>51330</v>
      </c>
      <c r="H15352" t="s">
        <v>52205</v>
      </c>
      <c r="Y15352" t="s">
        <v>52206</v>
      </c>
    </row>
    <row r="15353" spans="1:25" x14ac:dyDescent="0.25">
      <c r="A15353" t="str">
        <f>"84382370843"</f>
        <v>84382370843</v>
      </c>
      <c r="B15353" t="s">
        <v>930</v>
      </c>
      <c r="C15353" t="s">
        <v>11882</v>
      </c>
      <c r="D15353" t="s">
        <v>1094</v>
      </c>
      <c r="E15353">
        <v>425353</v>
      </c>
      <c r="F15353" t="s">
        <v>1</v>
      </c>
      <c r="G15353" t="s">
        <v>51330</v>
      </c>
      <c r="H15353" t="s">
        <v>52174</v>
      </c>
      <c r="Y15353" t="s">
        <v>52207</v>
      </c>
    </row>
    <row r="15354" spans="1:25" x14ac:dyDescent="0.25">
      <c r="A15354" t="str">
        <f>"84633288563"</f>
        <v>84633288563</v>
      </c>
      <c r="B15354" t="s">
        <v>930</v>
      </c>
      <c r="C15354" t="s">
        <v>4781</v>
      </c>
      <c r="D15354" t="s">
        <v>15948</v>
      </c>
      <c r="E15354">
        <v>425353</v>
      </c>
      <c r="F15354" t="s">
        <v>1</v>
      </c>
      <c r="G15354" t="s">
        <v>51330</v>
      </c>
      <c r="H15354" t="s">
        <v>52208</v>
      </c>
      <c r="Y15354" t="s">
        <v>52209</v>
      </c>
    </row>
    <row r="15355" spans="1:25" x14ac:dyDescent="0.25">
      <c r="A15355" t="str">
        <f>"84736406836"</f>
        <v>84736406836</v>
      </c>
      <c r="B15355" t="s">
        <v>530</v>
      </c>
      <c r="C15355" t="s">
        <v>23950</v>
      </c>
      <c r="D15355" t="s">
        <v>23950</v>
      </c>
      <c r="E15355">
        <v>425350</v>
      </c>
      <c r="F15355" t="s">
        <v>1</v>
      </c>
      <c r="G15355" t="s">
        <v>51330</v>
      </c>
      <c r="H15355" t="s">
        <v>51880</v>
      </c>
      <c r="Y15355" t="s">
        <v>52210</v>
      </c>
    </row>
    <row r="15356" spans="1:25" x14ac:dyDescent="0.25">
      <c r="A15356" t="str">
        <f>"85279318921"</f>
        <v>85279318921</v>
      </c>
      <c r="B15356" t="s">
        <v>530</v>
      </c>
      <c r="C15356" t="s">
        <v>23950</v>
      </c>
      <c r="D15356" t="s">
        <v>23950</v>
      </c>
      <c r="F15356" t="s">
        <v>1</v>
      </c>
      <c r="G15356" t="s">
        <v>51330</v>
      </c>
      <c r="H15356" t="s">
        <v>51455</v>
      </c>
      <c r="Y15356" t="s">
        <v>52211</v>
      </c>
    </row>
    <row r="15357" spans="1:25" x14ac:dyDescent="0.25">
      <c r="A15357" t="str">
        <f>"85430649223"</f>
        <v>85430649223</v>
      </c>
      <c r="B15357" t="s">
        <v>1475</v>
      </c>
      <c r="C15357" t="s">
        <v>1476</v>
      </c>
      <c r="D15357" t="s">
        <v>52212</v>
      </c>
      <c r="E15357">
        <v>425353</v>
      </c>
      <c r="F15357" t="s">
        <v>1</v>
      </c>
      <c r="G15357" t="s">
        <v>51330</v>
      </c>
      <c r="H15357" t="s">
        <v>52050</v>
      </c>
      <c r="Y15357" t="s">
        <v>52213</v>
      </c>
    </row>
    <row r="15358" spans="1:25" x14ac:dyDescent="0.25">
      <c r="A15358" t="str">
        <f>"85566629985"</f>
        <v>85566629985</v>
      </c>
      <c r="B15358" t="s">
        <v>530</v>
      </c>
      <c r="C15358" t="s">
        <v>23950</v>
      </c>
      <c r="D15358" t="s">
        <v>23950</v>
      </c>
      <c r="F15358" t="s">
        <v>1</v>
      </c>
      <c r="G15358" t="s">
        <v>51330</v>
      </c>
      <c r="H15358" t="s">
        <v>52214</v>
      </c>
      <c r="Y15358" t="s">
        <v>52215</v>
      </c>
    </row>
    <row r="15359" spans="1:25" x14ac:dyDescent="0.25">
      <c r="A15359" t="str">
        <f>"85868276285"</f>
        <v>85868276285</v>
      </c>
      <c r="B15359" t="s">
        <v>530</v>
      </c>
      <c r="C15359" t="s">
        <v>23950</v>
      </c>
      <c r="D15359" t="s">
        <v>23950</v>
      </c>
      <c r="E15359">
        <v>425350</v>
      </c>
      <c r="F15359" t="s">
        <v>1</v>
      </c>
      <c r="G15359" t="s">
        <v>51330</v>
      </c>
      <c r="H15359" t="s">
        <v>52216</v>
      </c>
      <c r="Y15359" t="s">
        <v>52217</v>
      </c>
    </row>
    <row r="15360" spans="1:25" x14ac:dyDescent="0.25">
      <c r="A15360" t="str">
        <f>"86516544634"</f>
        <v>86516544634</v>
      </c>
      <c r="B15360" t="s">
        <v>1573</v>
      </c>
      <c r="C15360" t="s">
        <v>1817</v>
      </c>
      <c r="D15360" t="s">
        <v>2111</v>
      </c>
      <c r="F15360" t="s">
        <v>1</v>
      </c>
      <c r="G15360" t="s">
        <v>51330</v>
      </c>
      <c r="H15360" t="s">
        <v>51829</v>
      </c>
      <c r="Y15360" t="s">
        <v>52218</v>
      </c>
    </row>
    <row r="15361" spans="1:25" x14ac:dyDescent="0.25">
      <c r="A15361" t="str">
        <f>"86582804365"</f>
        <v>86582804365</v>
      </c>
      <c r="B15361" t="s">
        <v>319</v>
      </c>
      <c r="C15361" t="s">
        <v>320</v>
      </c>
      <c r="D15361" t="s">
        <v>320</v>
      </c>
      <c r="F15361" t="s">
        <v>1</v>
      </c>
      <c r="G15361" t="s">
        <v>51330</v>
      </c>
      <c r="H15361" t="s">
        <v>52219</v>
      </c>
      <c r="Y15361" t="s">
        <v>52220</v>
      </c>
    </row>
    <row r="15362" spans="1:25" x14ac:dyDescent="0.25">
      <c r="A15362" t="str">
        <f>"87885420850"</f>
        <v>87885420850</v>
      </c>
      <c r="B15362" t="s">
        <v>290</v>
      </c>
      <c r="C15362" t="s">
        <v>290</v>
      </c>
      <c r="D15362" t="s">
        <v>52221</v>
      </c>
      <c r="E15362">
        <v>425350</v>
      </c>
      <c r="F15362" t="s">
        <v>1</v>
      </c>
      <c r="G15362" t="s">
        <v>51330</v>
      </c>
      <c r="H15362" t="s">
        <v>51771</v>
      </c>
      <c r="P15362" t="s">
        <v>2457</v>
      </c>
      <c r="Y15362" t="s">
        <v>52222</v>
      </c>
    </row>
    <row r="15363" spans="1:25" x14ac:dyDescent="0.25">
      <c r="A15363" t="str">
        <f>"88332666392"</f>
        <v>88332666392</v>
      </c>
      <c r="B15363" t="s">
        <v>96</v>
      </c>
      <c r="C15363" t="s">
        <v>24042</v>
      </c>
      <c r="D15363" t="s">
        <v>24127</v>
      </c>
      <c r="F15363" t="s">
        <v>1</v>
      </c>
      <c r="G15363" t="s">
        <v>51330</v>
      </c>
      <c r="H15363" t="s">
        <v>52223</v>
      </c>
      <c r="Y15363" t="s">
        <v>52224</v>
      </c>
    </row>
    <row r="15364" spans="1:25" x14ac:dyDescent="0.25">
      <c r="A15364" t="str">
        <f>"89162899894"</f>
        <v>89162899894</v>
      </c>
      <c r="B15364" t="s">
        <v>18</v>
      </c>
      <c r="C15364" t="s">
        <v>143</v>
      </c>
      <c r="D15364" t="s">
        <v>34715</v>
      </c>
      <c r="E15364">
        <v>425353</v>
      </c>
      <c r="F15364" t="s">
        <v>1</v>
      </c>
      <c r="G15364" t="s">
        <v>51330</v>
      </c>
      <c r="H15364" t="s">
        <v>52050</v>
      </c>
      <c r="Y15364" t="s">
        <v>52225</v>
      </c>
    </row>
    <row r="15365" spans="1:25" x14ac:dyDescent="0.25">
      <c r="A15365" t="str">
        <f>"89192648235"</f>
        <v>89192648235</v>
      </c>
      <c r="B15365" t="s">
        <v>7</v>
      </c>
      <c r="C15365" t="s">
        <v>925</v>
      </c>
      <c r="D15365" t="s">
        <v>925</v>
      </c>
      <c r="E15365">
        <v>425350</v>
      </c>
      <c r="F15365" t="s">
        <v>1</v>
      </c>
      <c r="G15365" t="s">
        <v>51330</v>
      </c>
      <c r="H15365" t="s">
        <v>51511</v>
      </c>
      <c r="Y15365" t="s">
        <v>52226</v>
      </c>
    </row>
    <row r="15366" spans="1:25" x14ac:dyDescent="0.25">
      <c r="A15366" t="str">
        <f>"90013606988"</f>
        <v>90013606988</v>
      </c>
      <c r="B15366" t="s">
        <v>738</v>
      </c>
      <c r="C15366" t="s">
        <v>739</v>
      </c>
      <c r="D15366" t="s">
        <v>52227</v>
      </c>
      <c r="F15366" t="s">
        <v>1</v>
      </c>
      <c r="G15366" t="s">
        <v>51330</v>
      </c>
      <c r="H15366" t="s">
        <v>51779</v>
      </c>
      <c r="Y15366" t="s">
        <v>52228</v>
      </c>
    </row>
    <row r="15367" spans="1:25" x14ac:dyDescent="0.25">
      <c r="A15367" t="str">
        <f>"90223173189"</f>
        <v>90223173189</v>
      </c>
      <c r="B15367" t="s">
        <v>319</v>
      </c>
      <c r="C15367" t="s">
        <v>320</v>
      </c>
      <c r="D15367" t="s">
        <v>320</v>
      </c>
      <c r="F15367" t="s">
        <v>1</v>
      </c>
      <c r="G15367" t="s">
        <v>51330</v>
      </c>
      <c r="H15367" t="s">
        <v>51824</v>
      </c>
      <c r="Y15367" t="s">
        <v>52229</v>
      </c>
    </row>
    <row r="15368" spans="1:25" x14ac:dyDescent="0.25">
      <c r="A15368" t="str">
        <f>"90295372421"</f>
        <v>90295372421</v>
      </c>
      <c r="B15368" t="s">
        <v>160</v>
      </c>
      <c r="C15368" t="s">
        <v>2479</v>
      </c>
      <c r="D15368" t="s">
        <v>52230</v>
      </c>
      <c r="F15368" t="s">
        <v>1</v>
      </c>
      <c r="G15368" t="s">
        <v>51330</v>
      </c>
      <c r="H15368" t="s">
        <v>51876</v>
      </c>
      <c r="Y15368" t="s">
        <v>52231</v>
      </c>
    </row>
    <row r="15369" spans="1:25" x14ac:dyDescent="0.25">
      <c r="A15369" t="str">
        <f>"90671552405"</f>
        <v>90671552405</v>
      </c>
      <c r="B15369" t="s">
        <v>530</v>
      </c>
      <c r="C15369" t="s">
        <v>23950</v>
      </c>
      <c r="D15369" t="s">
        <v>23950</v>
      </c>
      <c r="F15369" t="s">
        <v>1</v>
      </c>
      <c r="G15369" t="s">
        <v>51330</v>
      </c>
      <c r="H15369" t="s">
        <v>51544</v>
      </c>
      <c r="Y15369" t="s">
        <v>52232</v>
      </c>
    </row>
    <row r="15370" spans="1:25" x14ac:dyDescent="0.25">
      <c r="A15370" t="str">
        <f>"90677895301"</f>
        <v>90677895301</v>
      </c>
      <c r="B15370" t="s">
        <v>123</v>
      </c>
      <c r="C15370" t="s">
        <v>424</v>
      </c>
      <c r="D15370" t="s">
        <v>10417</v>
      </c>
      <c r="F15370" t="s">
        <v>1</v>
      </c>
      <c r="G15370" t="s">
        <v>51330</v>
      </c>
      <c r="H15370" t="s">
        <v>52233</v>
      </c>
      <c r="I15370" t="s">
        <v>52234</v>
      </c>
      <c r="P15370" t="s">
        <v>39889</v>
      </c>
      <c r="Y15370" t="s">
        <v>52235</v>
      </c>
    </row>
    <row r="15371" spans="1:25" x14ac:dyDescent="0.25">
      <c r="A15371" t="str">
        <f>"90752522653"</f>
        <v>90752522653</v>
      </c>
      <c r="B15371" t="s">
        <v>7</v>
      </c>
      <c r="C15371" t="s">
        <v>13296</v>
      </c>
      <c r="D15371" t="s">
        <v>18696</v>
      </c>
      <c r="F15371" t="s">
        <v>1</v>
      </c>
      <c r="G15371" t="s">
        <v>51330</v>
      </c>
      <c r="H15371" t="s">
        <v>52236</v>
      </c>
      <c r="J15371" t="s">
        <v>52237</v>
      </c>
      <c r="P15371" t="s">
        <v>52238</v>
      </c>
      <c r="Y15371" t="s">
        <v>52239</v>
      </c>
    </row>
    <row r="15372" spans="1:25" x14ac:dyDescent="0.25">
      <c r="A15372" t="str">
        <f>"92038703534"</f>
        <v>92038703534</v>
      </c>
      <c r="B15372" t="s">
        <v>530</v>
      </c>
      <c r="C15372" t="s">
        <v>23950</v>
      </c>
      <c r="D15372" t="s">
        <v>23950</v>
      </c>
      <c r="F15372" t="s">
        <v>1</v>
      </c>
      <c r="G15372" t="s">
        <v>51330</v>
      </c>
      <c r="H15372" t="s">
        <v>52240</v>
      </c>
      <c r="Y15372" t="s">
        <v>52241</v>
      </c>
    </row>
    <row r="15373" spans="1:25" x14ac:dyDescent="0.25">
      <c r="A15373" t="str">
        <f>"92759249156"</f>
        <v>92759249156</v>
      </c>
      <c r="B15373" t="s">
        <v>738</v>
      </c>
      <c r="C15373" t="s">
        <v>739</v>
      </c>
      <c r="D15373" t="s">
        <v>52242</v>
      </c>
      <c r="E15373">
        <v>425350</v>
      </c>
      <c r="F15373" t="s">
        <v>1</v>
      </c>
      <c r="G15373" t="s">
        <v>51330</v>
      </c>
      <c r="H15373" t="s">
        <v>51742</v>
      </c>
      <c r="Y15373" t="s">
        <v>52243</v>
      </c>
    </row>
    <row r="15374" spans="1:25" x14ac:dyDescent="0.25">
      <c r="A15374" t="str">
        <f>"93457797777"</f>
        <v>93457797777</v>
      </c>
      <c r="B15374" t="s">
        <v>290</v>
      </c>
      <c r="C15374" t="s">
        <v>290</v>
      </c>
      <c r="D15374" t="s">
        <v>52244</v>
      </c>
      <c r="E15374">
        <v>425350</v>
      </c>
      <c r="F15374" t="s">
        <v>1</v>
      </c>
      <c r="G15374" t="s">
        <v>51330</v>
      </c>
      <c r="H15374" t="s">
        <v>51869</v>
      </c>
      <c r="P15374" t="s">
        <v>52245</v>
      </c>
      <c r="Y15374" t="s">
        <v>52246</v>
      </c>
    </row>
    <row r="15375" spans="1:25" x14ac:dyDescent="0.25">
      <c r="A15375" t="str">
        <f>"93954812708"</f>
        <v>93954812708</v>
      </c>
      <c r="B15375" t="s">
        <v>96</v>
      </c>
      <c r="C15375" t="s">
        <v>24042</v>
      </c>
      <c r="D15375" t="s">
        <v>29764</v>
      </c>
      <c r="F15375" t="s">
        <v>1</v>
      </c>
      <c r="G15375" t="s">
        <v>51330</v>
      </c>
      <c r="H15375" t="s">
        <v>52247</v>
      </c>
      <c r="P15375" t="s">
        <v>330</v>
      </c>
      <c r="Y15375" t="s">
        <v>52248</v>
      </c>
    </row>
    <row r="15376" spans="1:25" x14ac:dyDescent="0.25">
      <c r="A15376" t="str">
        <f>"94789870149"</f>
        <v>94789870149</v>
      </c>
      <c r="B15376" t="s">
        <v>48</v>
      </c>
      <c r="C15376" t="s">
        <v>16070</v>
      </c>
      <c r="D15376" t="s">
        <v>52249</v>
      </c>
      <c r="F15376" t="s">
        <v>1</v>
      </c>
      <c r="G15376" t="s">
        <v>51330</v>
      </c>
      <c r="H15376" t="s">
        <v>51853</v>
      </c>
      <c r="P15376" t="s">
        <v>52250</v>
      </c>
      <c r="Y15376" t="s">
        <v>52251</v>
      </c>
    </row>
    <row r="15377" spans="1:25" x14ac:dyDescent="0.25">
      <c r="A15377" t="str">
        <f>"94966872790"</f>
        <v>94966872790</v>
      </c>
      <c r="B15377" t="s">
        <v>530</v>
      </c>
      <c r="C15377" t="s">
        <v>23950</v>
      </c>
      <c r="D15377" t="s">
        <v>23950</v>
      </c>
      <c r="E15377">
        <v>425350</v>
      </c>
      <c r="F15377" t="s">
        <v>1</v>
      </c>
      <c r="G15377" t="s">
        <v>51330</v>
      </c>
      <c r="H15377" t="s">
        <v>52252</v>
      </c>
      <c r="Y15377" t="s">
        <v>52253</v>
      </c>
    </row>
    <row r="15378" spans="1:25" x14ac:dyDescent="0.25">
      <c r="A15378" t="str">
        <f>"95297252208"</f>
        <v>95297252208</v>
      </c>
      <c r="B15378" t="s">
        <v>18</v>
      </c>
      <c r="C15378" t="s">
        <v>959</v>
      </c>
      <c r="D15378" t="s">
        <v>52254</v>
      </c>
      <c r="E15378">
        <v>425350</v>
      </c>
      <c r="F15378" t="s">
        <v>1</v>
      </c>
      <c r="G15378" t="s">
        <v>51330</v>
      </c>
      <c r="H15378" t="s">
        <v>52185</v>
      </c>
      <c r="J15378" t="s">
        <v>29442</v>
      </c>
      <c r="M15378" t="s">
        <v>52255</v>
      </c>
      <c r="P15378" t="s">
        <v>1027</v>
      </c>
      <c r="Y15378" t="s">
        <v>52256</v>
      </c>
    </row>
    <row r="15379" spans="1:25" x14ac:dyDescent="0.25">
      <c r="A15379" t="str">
        <f>"96054004283"</f>
        <v>96054004283</v>
      </c>
      <c r="B15379" t="s">
        <v>290</v>
      </c>
      <c r="C15379" t="s">
        <v>52259</v>
      </c>
      <c r="D15379" t="s">
        <v>52257</v>
      </c>
      <c r="E15379">
        <v>425350</v>
      </c>
      <c r="F15379" t="s">
        <v>1</v>
      </c>
      <c r="G15379" t="s">
        <v>51330</v>
      </c>
      <c r="H15379" t="s">
        <v>51685</v>
      </c>
      <c r="J15379" t="s">
        <v>52258</v>
      </c>
      <c r="P15379" t="s">
        <v>1027</v>
      </c>
      <c r="Y15379" t="s">
        <v>52260</v>
      </c>
    </row>
    <row r="15380" spans="1:25" x14ac:dyDescent="0.25">
      <c r="A15380" t="str">
        <f>"96391529968"</f>
        <v>96391529968</v>
      </c>
      <c r="B15380" t="s">
        <v>574</v>
      </c>
      <c r="C15380" t="s">
        <v>646</v>
      </c>
      <c r="D15380" t="s">
        <v>52261</v>
      </c>
      <c r="E15380">
        <v>425350</v>
      </c>
      <c r="F15380" t="s">
        <v>1</v>
      </c>
      <c r="G15380" t="s">
        <v>51330</v>
      </c>
      <c r="H15380" t="s">
        <v>51946</v>
      </c>
      <c r="P15380" t="s">
        <v>216</v>
      </c>
      <c r="Y15380" t="s">
        <v>52262</v>
      </c>
    </row>
    <row r="15381" spans="1:25" x14ac:dyDescent="0.25">
      <c r="A15381" t="str">
        <f>"96543889922"</f>
        <v>96543889922</v>
      </c>
      <c r="B15381" t="s">
        <v>96</v>
      </c>
      <c r="C15381" t="s">
        <v>507</v>
      </c>
      <c r="D15381" t="s">
        <v>52263</v>
      </c>
      <c r="E15381">
        <v>425350</v>
      </c>
      <c r="F15381" t="s">
        <v>1</v>
      </c>
      <c r="G15381" t="s">
        <v>51330</v>
      </c>
      <c r="H15381" t="s">
        <v>51533</v>
      </c>
      <c r="Y15381" t="s">
        <v>52264</v>
      </c>
    </row>
    <row r="15382" spans="1:25" x14ac:dyDescent="0.25">
      <c r="A15382" t="str">
        <f>"96897173972"</f>
        <v>96897173972</v>
      </c>
      <c r="B15382" t="s">
        <v>738</v>
      </c>
      <c r="C15382" t="s">
        <v>739</v>
      </c>
      <c r="D15382" t="s">
        <v>52265</v>
      </c>
      <c r="F15382" t="s">
        <v>1</v>
      </c>
      <c r="G15382" t="s">
        <v>51330</v>
      </c>
      <c r="H15382" t="s">
        <v>52266</v>
      </c>
      <c r="Y15382" t="s">
        <v>52267</v>
      </c>
    </row>
    <row r="15383" spans="1:25" x14ac:dyDescent="0.25">
      <c r="A15383" t="str">
        <f>"96961046941"</f>
        <v>96961046941</v>
      </c>
      <c r="B15383" t="s">
        <v>3573</v>
      </c>
      <c r="C15383" t="s">
        <v>5816</v>
      </c>
      <c r="D15383" t="s">
        <v>52268</v>
      </c>
      <c r="E15383">
        <v>425350</v>
      </c>
      <c r="F15383" t="s">
        <v>1</v>
      </c>
      <c r="G15383" t="s">
        <v>51330</v>
      </c>
      <c r="H15383" t="s">
        <v>51511</v>
      </c>
      <c r="Y15383" t="s">
        <v>51967</v>
      </c>
    </row>
    <row r="15384" spans="1:25" x14ac:dyDescent="0.25">
      <c r="A15384" t="str">
        <f>"97176116934"</f>
        <v>97176116934</v>
      </c>
      <c r="B15384" t="s">
        <v>530</v>
      </c>
      <c r="C15384" t="s">
        <v>23950</v>
      </c>
      <c r="D15384" t="s">
        <v>23950</v>
      </c>
      <c r="F15384" t="s">
        <v>1</v>
      </c>
      <c r="G15384" t="s">
        <v>51330</v>
      </c>
      <c r="H15384" t="s">
        <v>52269</v>
      </c>
      <c r="Y15384" t="s">
        <v>52270</v>
      </c>
    </row>
    <row r="15385" spans="1:25" x14ac:dyDescent="0.25">
      <c r="A15385" t="str">
        <f>"97770156799"</f>
        <v>97770156799</v>
      </c>
      <c r="B15385" t="s">
        <v>1475</v>
      </c>
      <c r="C15385" t="s">
        <v>1476</v>
      </c>
      <c r="D15385" t="s">
        <v>52271</v>
      </c>
      <c r="E15385">
        <v>425350</v>
      </c>
      <c r="F15385" t="s">
        <v>1</v>
      </c>
      <c r="G15385" t="s">
        <v>51330</v>
      </c>
      <c r="H15385" t="s">
        <v>51869</v>
      </c>
      <c r="Y15385" t="s">
        <v>52272</v>
      </c>
    </row>
    <row r="15386" spans="1:25" x14ac:dyDescent="0.25">
      <c r="A15386" t="str">
        <f>"97910162503"</f>
        <v>97910162503</v>
      </c>
      <c r="B15386" t="s">
        <v>117</v>
      </c>
      <c r="C15386" t="s">
        <v>6850</v>
      </c>
      <c r="D15386" t="s">
        <v>52273</v>
      </c>
      <c r="F15386" t="s">
        <v>1</v>
      </c>
      <c r="G15386" t="s">
        <v>51330</v>
      </c>
      <c r="H15386" t="s">
        <v>52203</v>
      </c>
      <c r="Y15386" t="s">
        <v>52274</v>
      </c>
    </row>
    <row r="15387" spans="1:25" x14ac:dyDescent="0.25">
      <c r="A15387" t="str">
        <f>"98721815020"</f>
        <v>98721815020</v>
      </c>
      <c r="B15387" t="s">
        <v>18</v>
      </c>
      <c r="C15387" t="s">
        <v>1419</v>
      </c>
      <c r="D15387" t="s">
        <v>4445</v>
      </c>
      <c r="E15387">
        <v>425350</v>
      </c>
      <c r="F15387" t="s">
        <v>1</v>
      </c>
      <c r="G15387" t="s">
        <v>51330</v>
      </c>
      <c r="H15387" t="s">
        <v>51511</v>
      </c>
      <c r="Y15387" t="s">
        <v>52075</v>
      </c>
    </row>
    <row r="15388" spans="1:25" x14ac:dyDescent="0.25">
      <c r="A15388" t="str">
        <f>"99981161370"</f>
        <v>99981161370</v>
      </c>
      <c r="B15388" t="s">
        <v>348</v>
      </c>
      <c r="C15388" t="s">
        <v>4366</v>
      </c>
      <c r="D15388" t="s">
        <v>1297</v>
      </c>
      <c r="F15388" t="s">
        <v>1</v>
      </c>
      <c r="G15388" t="s">
        <v>51330</v>
      </c>
      <c r="H15388" t="s">
        <v>51734</v>
      </c>
      <c r="Y15388" t="s">
        <v>52275</v>
      </c>
    </row>
    <row r="15389" spans="1:25" x14ac:dyDescent="0.25">
      <c r="A15389" t="str">
        <f>"100347424899"</f>
        <v>100347424899</v>
      </c>
      <c r="B15389" t="s">
        <v>530</v>
      </c>
      <c r="C15389" t="s">
        <v>23950</v>
      </c>
      <c r="D15389" t="s">
        <v>23950</v>
      </c>
      <c r="E15389">
        <v>425350</v>
      </c>
      <c r="F15389" t="s">
        <v>1</v>
      </c>
      <c r="G15389" t="s">
        <v>51330</v>
      </c>
      <c r="H15389" t="s">
        <v>51394</v>
      </c>
      <c r="Y15389" t="s">
        <v>52276</v>
      </c>
    </row>
    <row r="15390" spans="1:25" x14ac:dyDescent="0.25">
      <c r="A15390" t="str">
        <f>"100726229824"</f>
        <v>100726229824</v>
      </c>
      <c r="B15390" t="s">
        <v>790</v>
      </c>
      <c r="C15390" t="s">
        <v>52280</v>
      </c>
      <c r="D15390" t="s">
        <v>52277</v>
      </c>
      <c r="E15390">
        <v>425353</v>
      </c>
      <c r="F15390" t="s">
        <v>1</v>
      </c>
      <c r="G15390" t="s">
        <v>51330</v>
      </c>
      <c r="H15390" t="s">
        <v>52050</v>
      </c>
      <c r="J15390" t="s">
        <v>52278</v>
      </c>
      <c r="L15390" t="s">
        <v>52279</v>
      </c>
      <c r="P15390" t="s">
        <v>52281</v>
      </c>
      <c r="Q15390" t="s">
        <v>52282</v>
      </c>
      <c r="Y15390" t="s">
        <v>52283</v>
      </c>
    </row>
    <row r="15391" spans="1:25" x14ac:dyDescent="0.25">
      <c r="A15391" t="str">
        <f>"101298485773"</f>
        <v>101298485773</v>
      </c>
      <c r="B15391" t="s">
        <v>4084</v>
      </c>
      <c r="C15391" t="s">
        <v>28282</v>
      </c>
      <c r="D15391" t="s">
        <v>28461</v>
      </c>
      <c r="F15391" t="s">
        <v>1</v>
      </c>
      <c r="G15391" t="s">
        <v>51330</v>
      </c>
      <c r="H15391" t="s">
        <v>52162</v>
      </c>
      <c r="P15391" t="s">
        <v>52284</v>
      </c>
      <c r="Y15391" t="s">
        <v>52285</v>
      </c>
    </row>
    <row r="15392" spans="1:25" x14ac:dyDescent="0.25">
      <c r="A15392" t="str">
        <f>"102461785117"</f>
        <v>102461785117</v>
      </c>
      <c r="B15392" t="s">
        <v>574</v>
      </c>
      <c r="C15392" t="s">
        <v>646</v>
      </c>
      <c r="D15392" t="s">
        <v>52286</v>
      </c>
      <c r="E15392">
        <v>425350</v>
      </c>
      <c r="F15392" t="s">
        <v>1</v>
      </c>
      <c r="G15392" t="s">
        <v>51330</v>
      </c>
      <c r="H15392" t="s">
        <v>51970</v>
      </c>
      <c r="P15392" t="s">
        <v>1505</v>
      </c>
      <c r="Y15392" t="s">
        <v>52287</v>
      </c>
    </row>
    <row r="15393" spans="1:25" x14ac:dyDescent="0.25">
      <c r="A15393" t="str">
        <f>"102640512255"</f>
        <v>102640512255</v>
      </c>
      <c r="B15393" t="s">
        <v>117</v>
      </c>
      <c r="C15393" t="s">
        <v>6850</v>
      </c>
      <c r="D15393" t="s">
        <v>52288</v>
      </c>
      <c r="F15393" t="s">
        <v>1</v>
      </c>
      <c r="G15393" t="s">
        <v>51330</v>
      </c>
      <c r="H15393" t="s">
        <v>51789</v>
      </c>
      <c r="Y15393" t="s">
        <v>52289</v>
      </c>
    </row>
    <row r="15394" spans="1:25" x14ac:dyDescent="0.25">
      <c r="A15394" t="str">
        <f>"103097347776"</f>
        <v>103097347776</v>
      </c>
      <c r="B15394" t="s">
        <v>290</v>
      </c>
      <c r="C15394" t="s">
        <v>290</v>
      </c>
      <c r="D15394" t="s">
        <v>7716</v>
      </c>
      <c r="E15394">
        <v>425350</v>
      </c>
      <c r="F15394" t="s">
        <v>1</v>
      </c>
      <c r="G15394" t="s">
        <v>51330</v>
      </c>
      <c r="H15394" t="s">
        <v>51533</v>
      </c>
      <c r="P15394" t="s">
        <v>24980</v>
      </c>
      <c r="Y15394" t="s">
        <v>52290</v>
      </c>
    </row>
    <row r="15395" spans="1:25" x14ac:dyDescent="0.25">
      <c r="A15395" t="str">
        <f>"103514023873"</f>
        <v>103514023873</v>
      </c>
      <c r="B15395" t="s">
        <v>1475</v>
      </c>
      <c r="C15395" t="s">
        <v>1476</v>
      </c>
      <c r="D15395" t="s">
        <v>7507</v>
      </c>
      <c r="E15395">
        <v>425350</v>
      </c>
      <c r="F15395" t="s">
        <v>1</v>
      </c>
      <c r="G15395" t="s">
        <v>51330</v>
      </c>
      <c r="H15395" t="s">
        <v>51541</v>
      </c>
      <c r="Y15395" t="s">
        <v>52291</v>
      </c>
    </row>
    <row r="15396" spans="1:25" x14ac:dyDescent="0.25">
      <c r="A15396" t="str">
        <f>"103577183342"</f>
        <v>103577183342</v>
      </c>
      <c r="B15396" t="s">
        <v>233</v>
      </c>
      <c r="C15396" t="s">
        <v>42063</v>
      </c>
      <c r="D15396" t="s">
        <v>52292</v>
      </c>
      <c r="E15396">
        <v>425350</v>
      </c>
      <c r="F15396" t="s">
        <v>1</v>
      </c>
      <c r="G15396" t="s">
        <v>51330</v>
      </c>
      <c r="H15396" t="s">
        <v>51394</v>
      </c>
      <c r="Y15396" t="s">
        <v>52293</v>
      </c>
    </row>
    <row r="15397" spans="1:25" x14ac:dyDescent="0.25">
      <c r="A15397" t="str">
        <f>"104406621839"</f>
        <v>104406621839</v>
      </c>
      <c r="B15397" t="s">
        <v>1611</v>
      </c>
      <c r="C15397" t="s">
        <v>6872</v>
      </c>
      <c r="D15397" t="s">
        <v>6872</v>
      </c>
      <c r="F15397" t="s">
        <v>1</v>
      </c>
      <c r="G15397" t="s">
        <v>51330</v>
      </c>
      <c r="H15397" t="s">
        <v>52294</v>
      </c>
      <c r="Y15397" t="s">
        <v>52295</v>
      </c>
    </row>
    <row r="15398" spans="1:25" x14ac:dyDescent="0.25">
      <c r="A15398" t="str">
        <f>"104827781456"</f>
        <v>104827781456</v>
      </c>
      <c r="B15398" t="s">
        <v>284</v>
      </c>
      <c r="C15398" t="s">
        <v>27632</v>
      </c>
      <c r="D15398" t="s">
        <v>52296</v>
      </c>
      <c r="F15398" t="s">
        <v>1</v>
      </c>
      <c r="G15398" t="s">
        <v>51330</v>
      </c>
      <c r="H15398" t="s">
        <v>52297</v>
      </c>
      <c r="Y15398" t="s">
        <v>52298</v>
      </c>
    </row>
    <row r="15399" spans="1:25" x14ac:dyDescent="0.25">
      <c r="A15399" t="str">
        <f>"105932602933"</f>
        <v>105932602933</v>
      </c>
      <c r="B15399" t="s">
        <v>519</v>
      </c>
      <c r="C15399" t="s">
        <v>8279</v>
      </c>
      <c r="D15399" t="s">
        <v>52299</v>
      </c>
      <c r="F15399" t="s">
        <v>1</v>
      </c>
      <c r="G15399" t="s">
        <v>51330</v>
      </c>
      <c r="H15399" t="s">
        <v>51962</v>
      </c>
      <c r="I15399" t="s">
        <v>52300</v>
      </c>
      <c r="L15399" t="s">
        <v>52301</v>
      </c>
      <c r="M15399" t="s">
        <v>52302</v>
      </c>
      <c r="P15399" t="s">
        <v>1071</v>
      </c>
      <c r="Q15399" t="s">
        <v>52303</v>
      </c>
      <c r="R15399" t="s">
        <v>52304</v>
      </c>
      <c r="S15399" t="s">
        <v>52305</v>
      </c>
      <c r="T15399" t="s">
        <v>52306</v>
      </c>
      <c r="Y15399" t="s">
        <v>52307</v>
      </c>
    </row>
    <row r="15400" spans="1:25" x14ac:dyDescent="0.25">
      <c r="A15400" t="str">
        <f>"106118700994"</f>
        <v>106118700994</v>
      </c>
      <c r="B15400" t="s">
        <v>96</v>
      </c>
      <c r="C15400" t="s">
        <v>7071</v>
      </c>
      <c r="D15400" t="s">
        <v>29520</v>
      </c>
      <c r="E15400">
        <v>425350</v>
      </c>
      <c r="F15400" t="s">
        <v>1</v>
      </c>
      <c r="G15400" t="s">
        <v>51330</v>
      </c>
      <c r="H15400" t="s">
        <v>52308</v>
      </c>
      <c r="Y15400" t="s">
        <v>52309</v>
      </c>
    </row>
    <row r="15401" spans="1:25" x14ac:dyDescent="0.25">
      <c r="A15401" t="str">
        <f>"106690870834"</f>
        <v>106690870834</v>
      </c>
      <c r="B15401" t="s">
        <v>530</v>
      </c>
      <c r="C15401" t="s">
        <v>23950</v>
      </c>
      <c r="D15401" t="s">
        <v>23950</v>
      </c>
      <c r="F15401" t="s">
        <v>1</v>
      </c>
      <c r="G15401" t="s">
        <v>51330</v>
      </c>
      <c r="H15401" t="s">
        <v>52310</v>
      </c>
      <c r="Y15401" t="s">
        <v>52311</v>
      </c>
    </row>
    <row r="15402" spans="1:25" x14ac:dyDescent="0.25">
      <c r="A15402" t="str">
        <f>"106878400707"</f>
        <v>106878400707</v>
      </c>
      <c r="B15402" t="s">
        <v>348</v>
      </c>
      <c r="C15402" t="s">
        <v>12325</v>
      </c>
      <c r="D15402" t="s">
        <v>52312</v>
      </c>
      <c r="F15402" t="s">
        <v>1</v>
      </c>
      <c r="G15402" t="s">
        <v>51330</v>
      </c>
      <c r="H15402" t="s">
        <v>51853</v>
      </c>
      <c r="Y15402" t="s">
        <v>52313</v>
      </c>
    </row>
    <row r="15403" spans="1:25" x14ac:dyDescent="0.25">
      <c r="A15403" t="str">
        <f>"108247617633"</f>
        <v>108247617633</v>
      </c>
      <c r="B15403" t="s">
        <v>978</v>
      </c>
      <c r="C15403" t="s">
        <v>1659</v>
      </c>
      <c r="D15403" t="s">
        <v>31177</v>
      </c>
      <c r="F15403" t="s">
        <v>1</v>
      </c>
      <c r="G15403" t="s">
        <v>51330</v>
      </c>
      <c r="H15403" t="s">
        <v>52314</v>
      </c>
      <c r="Y15403" t="s">
        <v>52315</v>
      </c>
    </row>
    <row r="15404" spans="1:25" x14ac:dyDescent="0.25">
      <c r="A15404" t="str">
        <f>"110110413590"</f>
        <v>110110413590</v>
      </c>
      <c r="B15404" t="s">
        <v>67</v>
      </c>
      <c r="C15404" t="s">
        <v>832</v>
      </c>
      <c r="D15404" t="s">
        <v>491</v>
      </c>
      <c r="E15404">
        <v>425350</v>
      </c>
      <c r="F15404" t="s">
        <v>1</v>
      </c>
      <c r="G15404" t="s">
        <v>51330</v>
      </c>
      <c r="H15404" t="s">
        <v>52316</v>
      </c>
      <c r="Y15404" t="s">
        <v>52317</v>
      </c>
    </row>
    <row r="15405" spans="1:25" x14ac:dyDescent="0.25">
      <c r="A15405" t="str">
        <f>"111195676767"</f>
        <v>111195676767</v>
      </c>
      <c r="B15405" t="s">
        <v>1061</v>
      </c>
      <c r="C15405" t="s">
        <v>50823</v>
      </c>
      <c r="D15405" t="s">
        <v>50823</v>
      </c>
      <c r="F15405" t="s">
        <v>1</v>
      </c>
      <c r="G15405" t="s">
        <v>51330</v>
      </c>
      <c r="H15405" t="s">
        <v>51767</v>
      </c>
      <c r="Y15405" t="s">
        <v>52318</v>
      </c>
    </row>
    <row r="15406" spans="1:25" x14ac:dyDescent="0.25">
      <c r="A15406" t="str">
        <f>"112251483413"</f>
        <v>112251483413</v>
      </c>
      <c r="B15406" t="s">
        <v>2818</v>
      </c>
      <c r="C15406" t="s">
        <v>6466</v>
      </c>
      <c r="D15406" t="s">
        <v>52319</v>
      </c>
      <c r="F15406" t="s">
        <v>1</v>
      </c>
      <c r="G15406" t="s">
        <v>51330</v>
      </c>
      <c r="H15406" t="s">
        <v>51962</v>
      </c>
      <c r="Y15406" t="s">
        <v>52320</v>
      </c>
    </row>
    <row r="15407" spans="1:25" x14ac:dyDescent="0.25">
      <c r="A15407" t="str">
        <f>"112315177415"</f>
        <v>112315177415</v>
      </c>
      <c r="B15407" t="s">
        <v>176</v>
      </c>
      <c r="C15407" t="s">
        <v>566</v>
      </c>
      <c r="D15407" t="s">
        <v>52321</v>
      </c>
      <c r="E15407">
        <v>425350</v>
      </c>
      <c r="F15407" t="s">
        <v>1</v>
      </c>
      <c r="G15407" t="s">
        <v>51330</v>
      </c>
      <c r="H15407" t="s">
        <v>51533</v>
      </c>
      <c r="Y15407" t="s">
        <v>52322</v>
      </c>
    </row>
    <row r="15408" spans="1:25" x14ac:dyDescent="0.25">
      <c r="A15408" t="str">
        <f>"112371394602"</f>
        <v>112371394602</v>
      </c>
      <c r="B15408" t="s">
        <v>574</v>
      </c>
      <c r="C15408" t="s">
        <v>646</v>
      </c>
      <c r="D15408" t="s">
        <v>4221</v>
      </c>
      <c r="F15408" t="s">
        <v>1</v>
      </c>
      <c r="G15408" t="s">
        <v>51330</v>
      </c>
      <c r="H15408" t="s">
        <v>51962</v>
      </c>
      <c r="Y15408" t="s">
        <v>52323</v>
      </c>
    </row>
    <row r="15409" spans="1:25" x14ac:dyDescent="0.25">
      <c r="A15409" t="str">
        <f>"112496832151"</f>
        <v>112496832151</v>
      </c>
      <c r="B15409" t="s">
        <v>797</v>
      </c>
      <c r="C15409" t="s">
        <v>5123</v>
      </c>
      <c r="D15409" t="s">
        <v>52324</v>
      </c>
      <c r="F15409" t="s">
        <v>1</v>
      </c>
      <c r="G15409" t="s">
        <v>51330</v>
      </c>
      <c r="H15409" t="s">
        <v>51518</v>
      </c>
      <c r="P15409" t="s">
        <v>799</v>
      </c>
      <c r="Y15409" t="s">
        <v>52325</v>
      </c>
    </row>
    <row r="15410" spans="1:25" x14ac:dyDescent="0.25">
      <c r="A15410" t="str">
        <f>"112864652217"</f>
        <v>112864652217</v>
      </c>
      <c r="B15410" t="s">
        <v>530</v>
      </c>
      <c r="C15410" t="s">
        <v>23950</v>
      </c>
      <c r="D15410" t="s">
        <v>23950</v>
      </c>
      <c r="E15410">
        <v>425350</v>
      </c>
      <c r="F15410" t="s">
        <v>1</v>
      </c>
      <c r="G15410" t="s">
        <v>51330</v>
      </c>
      <c r="H15410" t="s">
        <v>51533</v>
      </c>
      <c r="Y15410" t="s">
        <v>52326</v>
      </c>
    </row>
    <row r="15411" spans="1:25" x14ac:dyDescent="0.25">
      <c r="A15411" t="str">
        <f>"113095605295"</f>
        <v>113095605295</v>
      </c>
      <c r="B15411" t="s">
        <v>25</v>
      </c>
      <c r="C15411" t="s">
        <v>59</v>
      </c>
      <c r="D15411" t="s">
        <v>52327</v>
      </c>
      <c r="E15411">
        <v>425350</v>
      </c>
      <c r="F15411" t="s">
        <v>1</v>
      </c>
      <c r="G15411" t="s">
        <v>51330</v>
      </c>
      <c r="H15411" t="s">
        <v>51511</v>
      </c>
      <c r="Y15411" t="s">
        <v>51774</v>
      </c>
    </row>
    <row r="15412" spans="1:25" x14ac:dyDescent="0.25">
      <c r="A15412" t="str">
        <f>"113227968581"</f>
        <v>113227968581</v>
      </c>
      <c r="B15412" t="s">
        <v>530</v>
      </c>
      <c r="C15412" t="s">
        <v>23950</v>
      </c>
      <c r="D15412" t="s">
        <v>23950</v>
      </c>
      <c r="F15412" t="s">
        <v>1</v>
      </c>
      <c r="G15412" t="s">
        <v>51330</v>
      </c>
      <c r="H15412" t="s">
        <v>52009</v>
      </c>
      <c r="Y15412" t="s">
        <v>52328</v>
      </c>
    </row>
    <row r="15413" spans="1:25" x14ac:dyDescent="0.25">
      <c r="A15413" t="str">
        <f>"113512694887"</f>
        <v>113512694887</v>
      </c>
      <c r="B15413" t="s">
        <v>5745</v>
      </c>
      <c r="C15413" t="s">
        <v>45337</v>
      </c>
      <c r="D15413" t="s">
        <v>52329</v>
      </c>
      <c r="F15413" t="s">
        <v>1</v>
      </c>
      <c r="G15413" t="s">
        <v>51330</v>
      </c>
      <c r="H15413" t="s">
        <v>51928</v>
      </c>
      <c r="Y15413" t="s">
        <v>52330</v>
      </c>
    </row>
    <row r="15414" spans="1:25" x14ac:dyDescent="0.25">
      <c r="A15414" t="str">
        <f>"113978875810"</f>
        <v>113978875810</v>
      </c>
      <c r="B15414" t="s">
        <v>1475</v>
      </c>
      <c r="C15414" t="s">
        <v>1476</v>
      </c>
      <c r="D15414" t="s">
        <v>52331</v>
      </c>
      <c r="E15414">
        <v>425350</v>
      </c>
      <c r="F15414" t="s">
        <v>1</v>
      </c>
      <c r="G15414" t="s">
        <v>51330</v>
      </c>
      <c r="H15414" t="s">
        <v>52252</v>
      </c>
      <c r="P15414" t="s">
        <v>17482</v>
      </c>
      <c r="Y15414" t="s">
        <v>52332</v>
      </c>
    </row>
    <row r="15415" spans="1:25" x14ac:dyDescent="0.25">
      <c r="A15415" t="str">
        <f>"114085383737"</f>
        <v>114085383737</v>
      </c>
      <c r="B15415" t="s">
        <v>430</v>
      </c>
      <c r="C15415" t="s">
        <v>16178</v>
      </c>
      <c r="D15415" t="s">
        <v>41218</v>
      </c>
      <c r="F15415" t="s">
        <v>1</v>
      </c>
      <c r="G15415" t="s">
        <v>51330</v>
      </c>
      <c r="H15415" t="s">
        <v>51779</v>
      </c>
      <c r="Y15415" t="s">
        <v>52333</v>
      </c>
    </row>
    <row r="15416" spans="1:25" x14ac:dyDescent="0.25">
      <c r="A15416" t="str">
        <f>"115256763528"</f>
        <v>115256763528</v>
      </c>
      <c r="B15416" t="s">
        <v>624</v>
      </c>
      <c r="C15416" t="s">
        <v>24400</v>
      </c>
      <c r="D15416" t="s">
        <v>24400</v>
      </c>
      <c r="F15416" t="s">
        <v>1</v>
      </c>
      <c r="G15416" t="s">
        <v>51330</v>
      </c>
      <c r="H15416" t="s">
        <v>51829</v>
      </c>
      <c r="Y15416" t="s">
        <v>52334</v>
      </c>
    </row>
    <row r="15417" spans="1:25" x14ac:dyDescent="0.25">
      <c r="A15417" t="str">
        <f>"116084957560"</f>
        <v>116084957560</v>
      </c>
      <c r="B15417" t="s">
        <v>2178</v>
      </c>
      <c r="C15417" t="s">
        <v>52337</v>
      </c>
      <c r="D15417" t="s">
        <v>52335</v>
      </c>
      <c r="E15417">
        <v>425350</v>
      </c>
      <c r="F15417" t="s">
        <v>1</v>
      </c>
      <c r="G15417" t="s">
        <v>51330</v>
      </c>
      <c r="H15417" t="s">
        <v>51611</v>
      </c>
      <c r="I15417" t="s">
        <v>52336</v>
      </c>
      <c r="Y15417" t="s">
        <v>52338</v>
      </c>
    </row>
    <row r="15418" spans="1:25" x14ac:dyDescent="0.25">
      <c r="A15418" t="str">
        <f>"116586815225"</f>
        <v>116586815225</v>
      </c>
      <c r="B15418" t="s">
        <v>530</v>
      </c>
      <c r="C15418" t="s">
        <v>23950</v>
      </c>
      <c r="D15418" t="s">
        <v>23950</v>
      </c>
      <c r="F15418" t="s">
        <v>1</v>
      </c>
      <c r="G15418" t="s">
        <v>51330</v>
      </c>
      <c r="H15418" t="s">
        <v>52339</v>
      </c>
      <c r="Y15418" t="s">
        <v>52340</v>
      </c>
    </row>
    <row r="15419" spans="1:25" x14ac:dyDescent="0.25">
      <c r="A15419" t="str">
        <f>"116640037446"</f>
        <v>116640037446</v>
      </c>
      <c r="B15419" t="s">
        <v>18</v>
      </c>
      <c r="C15419" t="s">
        <v>12289</v>
      </c>
      <c r="D15419" t="s">
        <v>52341</v>
      </c>
      <c r="F15419" t="s">
        <v>1</v>
      </c>
      <c r="G15419" t="s">
        <v>51330</v>
      </c>
      <c r="H15419" t="s">
        <v>51829</v>
      </c>
      <c r="Y15419" t="s">
        <v>52342</v>
      </c>
    </row>
    <row r="15420" spans="1:25" x14ac:dyDescent="0.25">
      <c r="A15420" t="str">
        <f>"117254638505"</f>
        <v>117254638505</v>
      </c>
      <c r="B15420" t="s">
        <v>1552</v>
      </c>
      <c r="C15420" t="s">
        <v>12654</v>
      </c>
      <c r="D15420" t="s">
        <v>52343</v>
      </c>
      <c r="E15420">
        <v>425350</v>
      </c>
      <c r="F15420" t="s">
        <v>1</v>
      </c>
      <c r="G15420" t="s">
        <v>51330</v>
      </c>
      <c r="H15420" t="s">
        <v>51342</v>
      </c>
      <c r="P15420" t="s">
        <v>280</v>
      </c>
      <c r="Y15420" t="s">
        <v>52344</v>
      </c>
    </row>
    <row r="15421" spans="1:25" x14ac:dyDescent="0.25">
      <c r="A15421" t="str">
        <f>"117583746453"</f>
        <v>117583746453</v>
      </c>
      <c r="B15421" t="s">
        <v>978</v>
      </c>
      <c r="C15421" t="s">
        <v>1659</v>
      </c>
      <c r="D15421" t="s">
        <v>31177</v>
      </c>
      <c r="F15421" t="s">
        <v>1</v>
      </c>
      <c r="G15421" t="s">
        <v>51330</v>
      </c>
      <c r="H15421" t="s">
        <v>51475</v>
      </c>
      <c r="P15421" t="s">
        <v>4998</v>
      </c>
      <c r="Y15421" t="s">
        <v>52345</v>
      </c>
    </row>
    <row r="15422" spans="1:25" x14ac:dyDescent="0.25">
      <c r="A15422" t="str">
        <f>"118057157642"</f>
        <v>118057157642</v>
      </c>
      <c r="B15422" t="s">
        <v>530</v>
      </c>
      <c r="C15422" t="s">
        <v>23950</v>
      </c>
      <c r="D15422" t="s">
        <v>23950</v>
      </c>
      <c r="F15422" t="s">
        <v>1</v>
      </c>
      <c r="G15422" t="s">
        <v>51330</v>
      </c>
      <c r="H15422" t="s">
        <v>52346</v>
      </c>
      <c r="Y15422" t="s">
        <v>52347</v>
      </c>
    </row>
    <row r="15423" spans="1:25" x14ac:dyDescent="0.25">
      <c r="A15423" t="str">
        <f>"118330251041"</f>
        <v>118330251041</v>
      </c>
      <c r="B15423" t="s">
        <v>1152</v>
      </c>
      <c r="C15423" t="s">
        <v>10452</v>
      </c>
      <c r="D15423" t="s">
        <v>31056</v>
      </c>
      <c r="F15423" t="s">
        <v>1</v>
      </c>
      <c r="G15423" t="s">
        <v>51330</v>
      </c>
      <c r="H15423" t="s">
        <v>52032</v>
      </c>
      <c r="P15423" t="s">
        <v>9840</v>
      </c>
      <c r="Y15423" t="s">
        <v>52348</v>
      </c>
    </row>
    <row r="15424" spans="1:25" x14ac:dyDescent="0.25">
      <c r="A15424" t="str">
        <f>"118610337233"</f>
        <v>118610337233</v>
      </c>
      <c r="B15424" t="s">
        <v>1573</v>
      </c>
      <c r="C15424" t="s">
        <v>1817</v>
      </c>
      <c r="D15424" t="s">
        <v>52349</v>
      </c>
      <c r="F15424" t="s">
        <v>1</v>
      </c>
      <c r="G15424" t="s">
        <v>51330</v>
      </c>
      <c r="H15424" t="s">
        <v>52350</v>
      </c>
      <c r="Y15424" t="s">
        <v>52351</v>
      </c>
    </row>
    <row r="15425" spans="1:25" x14ac:dyDescent="0.25">
      <c r="A15425" t="str">
        <f>"118734467748"</f>
        <v>118734467748</v>
      </c>
      <c r="B15425" t="s">
        <v>703</v>
      </c>
      <c r="C15425" t="s">
        <v>3518</v>
      </c>
      <c r="D15425" t="s">
        <v>52352</v>
      </c>
      <c r="F15425" t="s">
        <v>1</v>
      </c>
      <c r="G15425" t="s">
        <v>51330</v>
      </c>
      <c r="H15425" t="s">
        <v>51801</v>
      </c>
      <c r="Y15425" t="s">
        <v>52353</v>
      </c>
    </row>
    <row r="15426" spans="1:25" x14ac:dyDescent="0.25">
      <c r="A15426" t="str">
        <f>"118967420196"</f>
        <v>118967420196</v>
      </c>
      <c r="B15426" t="s">
        <v>530</v>
      </c>
      <c r="C15426" t="s">
        <v>23950</v>
      </c>
      <c r="D15426" t="s">
        <v>23950</v>
      </c>
      <c r="F15426" t="s">
        <v>1</v>
      </c>
      <c r="G15426" t="s">
        <v>51330</v>
      </c>
      <c r="H15426" t="s">
        <v>52354</v>
      </c>
      <c r="Y15426" t="s">
        <v>52355</v>
      </c>
    </row>
    <row r="15427" spans="1:25" x14ac:dyDescent="0.25">
      <c r="A15427" t="str">
        <f>"119011336943"</f>
        <v>119011336943</v>
      </c>
      <c r="B15427" t="s">
        <v>8117</v>
      </c>
      <c r="C15427" t="s">
        <v>8118</v>
      </c>
      <c r="D15427" t="s">
        <v>52356</v>
      </c>
      <c r="E15427">
        <v>425350</v>
      </c>
      <c r="F15427" t="s">
        <v>1</v>
      </c>
      <c r="G15427" t="s">
        <v>51330</v>
      </c>
      <c r="H15427" t="s">
        <v>51407</v>
      </c>
      <c r="Y15427" t="s">
        <v>52357</v>
      </c>
    </row>
    <row r="15428" spans="1:25" x14ac:dyDescent="0.25">
      <c r="A15428" t="str">
        <f>"119012505210"</f>
        <v>119012505210</v>
      </c>
      <c r="B15428" t="s">
        <v>290</v>
      </c>
      <c r="C15428" t="s">
        <v>9932</v>
      </c>
      <c r="D15428" t="s">
        <v>52358</v>
      </c>
      <c r="E15428">
        <v>425350</v>
      </c>
      <c r="F15428" t="s">
        <v>1</v>
      </c>
      <c r="G15428" t="s">
        <v>51330</v>
      </c>
      <c r="H15428" t="s">
        <v>51359</v>
      </c>
      <c r="P15428" t="s">
        <v>26289</v>
      </c>
      <c r="Y15428" t="s">
        <v>52359</v>
      </c>
    </row>
    <row r="15429" spans="1:25" x14ac:dyDescent="0.25">
      <c r="A15429" t="str">
        <f>"119430020853"</f>
        <v>119430020853</v>
      </c>
      <c r="B15429" t="s">
        <v>530</v>
      </c>
      <c r="C15429" t="s">
        <v>23950</v>
      </c>
      <c r="D15429" t="s">
        <v>23950</v>
      </c>
      <c r="F15429" t="s">
        <v>1</v>
      </c>
      <c r="G15429" t="s">
        <v>51330</v>
      </c>
      <c r="H15429" t="s">
        <v>52360</v>
      </c>
      <c r="Y15429" t="s">
        <v>52361</v>
      </c>
    </row>
    <row r="15430" spans="1:25" x14ac:dyDescent="0.25">
      <c r="A15430" t="str">
        <f>"119669018999"</f>
        <v>119669018999</v>
      </c>
      <c r="B15430" t="s">
        <v>1230</v>
      </c>
      <c r="C15430" t="s">
        <v>2526</v>
      </c>
      <c r="D15430" t="s">
        <v>52362</v>
      </c>
      <c r="E15430">
        <v>425353</v>
      </c>
      <c r="F15430" t="s">
        <v>1</v>
      </c>
      <c r="G15430" t="s">
        <v>51330</v>
      </c>
      <c r="H15430" t="s">
        <v>52050</v>
      </c>
      <c r="I15430" t="s">
        <v>52363</v>
      </c>
      <c r="L15430" t="s">
        <v>52364</v>
      </c>
      <c r="M15430" t="s">
        <v>52365</v>
      </c>
      <c r="P15430" t="s">
        <v>20</v>
      </c>
      <c r="Y15430" t="s">
        <v>52366</v>
      </c>
    </row>
    <row r="15431" spans="1:25" x14ac:dyDescent="0.25">
      <c r="A15431" t="str">
        <f>"120090430377"</f>
        <v>120090430377</v>
      </c>
      <c r="B15431" t="s">
        <v>930</v>
      </c>
      <c r="C15431" t="s">
        <v>927</v>
      </c>
      <c r="D15431" t="s">
        <v>927</v>
      </c>
      <c r="F15431" t="s">
        <v>1</v>
      </c>
      <c r="G15431" t="s">
        <v>51330</v>
      </c>
      <c r="H15431" t="s">
        <v>52367</v>
      </c>
      <c r="Y15431" t="s">
        <v>52368</v>
      </c>
    </row>
    <row r="15432" spans="1:25" x14ac:dyDescent="0.25">
      <c r="A15432" t="str">
        <f>"120808498810"</f>
        <v>120808498810</v>
      </c>
      <c r="B15432" t="s">
        <v>117</v>
      </c>
      <c r="C15432" t="s">
        <v>873</v>
      </c>
      <c r="D15432" t="s">
        <v>873</v>
      </c>
      <c r="F15432" t="s">
        <v>1</v>
      </c>
      <c r="G15432" t="s">
        <v>51330</v>
      </c>
      <c r="H15432" t="s">
        <v>52369</v>
      </c>
      <c r="Y15432" t="s">
        <v>52370</v>
      </c>
    </row>
    <row r="15433" spans="1:25" x14ac:dyDescent="0.25">
      <c r="A15433" t="str">
        <f>"121055602626"</f>
        <v>121055602626</v>
      </c>
      <c r="B15433" t="s">
        <v>574</v>
      </c>
      <c r="C15433" t="s">
        <v>646</v>
      </c>
      <c r="D15433" t="s">
        <v>52371</v>
      </c>
      <c r="E15433">
        <v>425350</v>
      </c>
      <c r="F15433" t="s">
        <v>1</v>
      </c>
      <c r="G15433" t="s">
        <v>51330</v>
      </c>
      <c r="H15433" t="s">
        <v>52372</v>
      </c>
      <c r="P15433" t="s">
        <v>13505</v>
      </c>
      <c r="Y15433" t="s">
        <v>52373</v>
      </c>
    </row>
    <row r="15434" spans="1:25" x14ac:dyDescent="0.25">
      <c r="A15434" t="str">
        <f>"121993332867"</f>
        <v>121993332867</v>
      </c>
      <c r="B15434" t="s">
        <v>574</v>
      </c>
      <c r="C15434" t="s">
        <v>646</v>
      </c>
      <c r="D15434" t="s">
        <v>14025</v>
      </c>
      <c r="E15434">
        <v>425350</v>
      </c>
      <c r="F15434" t="s">
        <v>1</v>
      </c>
      <c r="G15434" t="s">
        <v>51330</v>
      </c>
      <c r="H15434" t="s">
        <v>52374</v>
      </c>
      <c r="P15434" t="s">
        <v>216</v>
      </c>
      <c r="Y15434" t="s">
        <v>52375</v>
      </c>
    </row>
    <row r="15435" spans="1:25" x14ac:dyDescent="0.25">
      <c r="A15435" t="str">
        <f>"122534334607"</f>
        <v>122534334607</v>
      </c>
      <c r="B15435" t="s">
        <v>1544</v>
      </c>
      <c r="C15435" t="s">
        <v>15598</v>
      </c>
      <c r="D15435" t="s">
        <v>52376</v>
      </c>
      <c r="F15435" t="s">
        <v>1</v>
      </c>
      <c r="G15435" t="s">
        <v>51330</v>
      </c>
      <c r="H15435" t="s">
        <v>51821</v>
      </c>
      <c r="J15435" t="s">
        <v>52377</v>
      </c>
      <c r="Y15435" t="s">
        <v>52378</v>
      </c>
    </row>
    <row r="15436" spans="1:25" x14ac:dyDescent="0.25">
      <c r="A15436" t="str">
        <f>"122555226686"</f>
        <v>122555226686</v>
      </c>
      <c r="B15436" t="s">
        <v>1552</v>
      </c>
      <c r="C15436" t="s">
        <v>1962</v>
      </c>
      <c r="D15436" t="s">
        <v>52379</v>
      </c>
      <c r="F15436" t="s">
        <v>1</v>
      </c>
      <c r="G15436" t="s">
        <v>51330</v>
      </c>
      <c r="H15436" t="s">
        <v>52380</v>
      </c>
      <c r="J15436" t="s">
        <v>52381</v>
      </c>
      <c r="P15436" t="s">
        <v>330</v>
      </c>
      <c r="Y15436" t="s">
        <v>52382</v>
      </c>
    </row>
    <row r="15437" spans="1:25" x14ac:dyDescent="0.25">
      <c r="A15437" t="str">
        <f>"122727030780"</f>
        <v>122727030780</v>
      </c>
      <c r="B15437" t="s">
        <v>160</v>
      </c>
      <c r="C15437" t="s">
        <v>9976</v>
      </c>
      <c r="D15437" t="s">
        <v>11679</v>
      </c>
      <c r="E15437">
        <v>425350</v>
      </c>
      <c r="F15437" t="s">
        <v>1</v>
      </c>
      <c r="G15437" t="s">
        <v>51330</v>
      </c>
      <c r="H15437" t="s">
        <v>51703</v>
      </c>
      <c r="I15437" t="s">
        <v>52383</v>
      </c>
      <c r="P15437" t="s">
        <v>20</v>
      </c>
      <c r="Y15437" t="s">
        <v>52384</v>
      </c>
    </row>
    <row r="15438" spans="1:25" x14ac:dyDescent="0.25">
      <c r="A15438" t="str">
        <f>"122810687074"</f>
        <v>122810687074</v>
      </c>
      <c r="B15438" t="s">
        <v>25</v>
      </c>
      <c r="C15438" t="s">
        <v>15801</v>
      </c>
      <c r="D15438" t="s">
        <v>52385</v>
      </c>
      <c r="E15438">
        <v>425350</v>
      </c>
      <c r="F15438" t="s">
        <v>1</v>
      </c>
      <c r="G15438" t="s">
        <v>51330</v>
      </c>
      <c r="H15438" t="s">
        <v>51511</v>
      </c>
      <c r="Y15438" t="s">
        <v>52386</v>
      </c>
    </row>
    <row r="15439" spans="1:25" x14ac:dyDescent="0.25">
      <c r="A15439" t="str">
        <f>"123072864068"</f>
        <v>123072864068</v>
      </c>
      <c r="B15439" t="s">
        <v>290</v>
      </c>
      <c r="C15439" t="s">
        <v>290</v>
      </c>
      <c r="D15439" t="s">
        <v>52387</v>
      </c>
      <c r="E15439">
        <v>425350</v>
      </c>
      <c r="F15439" t="s">
        <v>1</v>
      </c>
      <c r="G15439" t="s">
        <v>51330</v>
      </c>
      <c r="H15439" t="s">
        <v>51946</v>
      </c>
      <c r="Y15439" t="s">
        <v>52388</v>
      </c>
    </row>
    <row r="15440" spans="1:25" x14ac:dyDescent="0.25">
      <c r="A15440" t="str">
        <f>"123452991686"</f>
        <v>123452991686</v>
      </c>
      <c r="B15440" t="s">
        <v>1046</v>
      </c>
      <c r="C15440" t="s">
        <v>22946</v>
      </c>
      <c r="D15440" t="s">
        <v>22946</v>
      </c>
      <c r="F15440" t="s">
        <v>1</v>
      </c>
      <c r="G15440" t="s">
        <v>51330</v>
      </c>
      <c r="H15440" t="s">
        <v>51518</v>
      </c>
      <c r="Y15440" t="s">
        <v>52389</v>
      </c>
    </row>
    <row r="15441" spans="1:25" x14ac:dyDescent="0.25">
      <c r="A15441" t="str">
        <f>"123634811305"</f>
        <v>123634811305</v>
      </c>
      <c r="B15441" t="s">
        <v>574</v>
      </c>
      <c r="C15441" t="s">
        <v>646</v>
      </c>
      <c r="D15441" t="s">
        <v>21574</v>
      </c>
      <c r="F15441" t="s">
        <v>1</v>
      </c>
      <c r="G15441" t="s">
        <v>51330</v>
      </c>
      <c r="H15441" t="s">
        <v>52354</v>
      </c>
      <c r="Y15441" t="s">
        <v>52390</v>
      </c>
    </row>
    <row r="15442" spans="1:25" x14ac:dyDescent="0.25">
      <c r="A15442" t="str">
        <f>"123651673625"</f>
        <v>123651673625</v>
      </c>
      <c r="B15442" t="s">
        <v>530</v>
      </c>
      <c r="C15442" t="s">
        <v>23950</v>
      </c>
      <c r="D15442" t="s">
        <v>23950</v>
      </c>
      <c r="F15442" t="s">
        <v>1</v>
      </c>
      <c r="G15442" t="s">
        <v>51330</v>
      </c>
      <c r="H15442" t="s">
        <v>52391</v>
      </c>
      <c r="Y15442" t="s">
        <v>52392</v>
      </c>
    </row>
    <row r="15443" spans="1:25" x14ac:dyDescent="0.25">
      <c r="A15443" t="str">
        <f>"123679664870"</f>
        <v>123679664870</v>
      </c>
      <c r="B15443" t="s">
        <v>290</v>
      </c>
      <c r="C15443" t="s">
        <v>290</v>
      </c>
      <c r="D15443" t="s">
        <v>290</v>
      </c>
      <c r="F15443" t="s">
        <v>1</v>
      </c>
      <c r="G15443" t="s">
        <v>51330</v>
      </c>
      <c r="H15443" t="s">
        <v>52393</v>
      </c>
      <c r="Y15443" t="s">
        <v>52394</v>
      </c>
    </row>
    <row r="15444" spans="1:25" x14ac:dyDescent="0.25">
      <c r="A15444" t="str">
        <f>"124370079554"</f>
        <v>124370079554</v>
      </c>
      <c r="B15444" t="s">
        <v>530</v>
      </c>
      <c r="C15444" t="s">
        <v>23950</v>
      </c>
      <c r="D15444" t="s">
        <v>23950</v>
      </c>
      <c r="F15444" t="s">
        <v>1</v>
      </c>
      <c r="G15444" t="s">
        <v>51330</v>
      </c>
      <c r="H15444" t="s">
        <v>51876</v>
      </c>
      <c r="Y15444" t="s">
        <v>52395</v>
      </c>
    </row>
    <row r="15445" spans="1:25" x14ac:dyDescent="0.25">
      <c r="A15445" t="str">
        <f>"124479276180"</f>
        <v>124479276180</v>
      </c>
      <c r="B15445" t="s">
        <v>417</v>
      </c>
      <c r="C15445" t="s">
        <v>418</v>
      </c>
      <c r="D15445" t="s">
        <v>52396</v>
      </c>
      <c r="E15445">
        <v>425350</v>
      </c>
      <c r="F15445" t="s">
        <v>1</v>
      </c>
      <c r="G15445" t="s">
        <v>51330</v>
      </c>
      <c r="H15445" t="s">
        <v>52397</v>
      </c>
      <c r="Y15445" t="s">
        <v>52398</v>
      </c>
    </row>
    <row r="15446" spans="1:25" x14ac:dyDescent="0.25">
      <c r="A15446" t="str">
        <f>"124497384223"</f>
        <v>124497384223</v>
      </c>
      <c r="B15446" t="s">
        <v>530</v>
      </c>
      <c r="C15446" t="s">
        <v>23950</v>
      </c>
      <c r="D15446" t="s">
        <v>23950</v>
      </c>
      <c r="F15446" t="s">
        <v>1</v>
      </c>
      <c r="G15446" t="s">
        <v>51330</v>
      </c>
      <c r="H15446" t="s">
        <v>52399</v>
      </c>
      <c r="Y15446" t="s">
        <v>52400</v>
      </c>
    </row>
    <row r="15447" spans="1:25" x14ac:dyDescent="0.25">
      <c r="A15447" t="str">
        <f>"124653708997"</f>
        <v>124653708997</v>
      </c>
      <c r="B15447" t="s">
        <v>160</v>
      </c>
      <c r="C15447" t="s">
        <v>9976</v>
      </c>
      <c r="D15447" t="s">
        <v>52401</v>
      </c>
      <c r="F15447" t="s">
        <v>1</v>
      </c>
      <c r="G15447" t="s">
        <v>51330</v>
      </c>
      <c r="H15447" t="s">
        <v>52402</v>
      </c>
      <c r="Y15447" t="s">
        <v>52403</v>
      </c>
    </row>
    <row r="15448" spans="1:25" x14ac:dyDescent="0.25">
      <c r="A15448" t="str">
        <f>"124797247275"</f>
        <v>124797247275</v>
      </c>
      <c r="B15448" t="s">
        <v>1230</v>
      </c>
      <c r="C15448" t="s">
        <v>2526</v>
      </c>
      <c r="D15448" t="s">
        <v>52404</v>
      </c>
      <c r="F15448" t="s">
        <v>1</v>
      </c>
      <c r="G15448" t="s">
        <v>51330</v>
      </c>
      <c r="H15448" t="s">
        <v>52405</v>
      </c>
      <c r="I15448" t="s">
        <v>52406</v>
      </c>
      <c r="L15448" t="s">
        <v>52407</v>
      </c>
      <c r="M15448" t="s">
        <v>52408</v>
      </c>
      <c r="P15448" t="s">
        <v>20</v>
      </c>
      <c r="Y15448" t="s">
        <v>52409</v>
      </c>
    </row>
    <row r="15449" spans="1:25" x14ac:dyDescent="0.25">
      <c r="A15449" t="str">
        <f>"124913364255"</f>
        <v>124913364255</v>
      </c>
      <c r="B15449" t="s">
        <v>790</v>
      </c>
      <c r="C15449" t="s">
        <v>52413</v>
      </c>
      <c r="D15449" t="s">
        <v>52410</v>
      </c>
      <c r="E15449">
        <v>425350</v>
      </c>
      <c r="F15449" t="s">
        <v>1</v>
      </c>
      <c r="G15449" t="s">
        <v>51330</v>
      </c>
      <c r="H15449" t="s">
        <v>52168</v>
      </c>
      <c r="I15449" t="s">
        <v>52411</v>
      </c>
      <c r="M15449" t="s">
        <v>52412</v>
      </c>
      <c r="P15449" t="s">
        <v>696</v>
      </c>
      <c r="Y15449" t="s">
        <v>52414</v>
      </c>
    </row>
    <row r="15450" spans="1:25" x14ac:dyDescent="0.25">
      <c r="A15450" t="str">
        <f>"125210342905"</f>
        <v>125210342905</v>
      </c>
      <c r="B15450" t="s">
        <v>18</v>
      </c>
      <c r="C15450" t="s">
        <v>17164</v>
      </c>
      <c r="D15450" t="s">
        <v>52415</v>
      </c>
      <c r="F15450" t="s">
        <v>1</v>
      </c>
      <c r="G15450" t="s">
        <v>51330</v>
      </c>
      <c r="H15450" t="s">
        <v>52416</v>
      </c>
      <c r="P15450" t="s">
        <v>23588</v>
      </c>
      <c r="Y15450" t="s">
        <v>52417</v>
      </c>
    </row>
    <row r="15451" spans="1:25" x14ac:dyDescent="0.25">
      <c r="A15451" t="str">
        <f>"125300123374"</f>
        <v>125300123374</v>
      </c>
      <c r="B15451" t="s">
        <v>290</v>
      </c>
      <c r="C15451" t="s">
        <v>290</v>
      </c>
      <c r="D15451" t="s">
        <v>52418</v>
      </c>
      <c r="E15451">
        <v>425350</v>
      </c>
      <c r="F15451" t="s">
        <v>1</v>
      </c>
      <c r="G15451" t="s">
        <v>51330</v>
      </c>
      <c r="H15451" t="s">
        <v>51488</v>
      </c>
      <c r="P15451" t="s">
        <v>52419</v>
      </c>
      <c r="Y15451" t="s">
        <v>52420</v>
      </c>
    </row>
    <row r="15452" spans="1:25" x14ac:dyDescent="0.25">
      <c r="A15452" t="str">
        <f>"125484801465"</f>
        <v>125484801465</v>
      </c>
      <c r="B15452" t="s">
        <v>574</v>
      </c>
      <c r="C15452" t="s">
        <v>646</v>
      </c>
      <c r="D15452" t="s">
        <v>52421</v>
      </c>
      <c r="F15452" t="s">
        <v>1</v>
      </c>
      <c r="G15452" t="s">
        <v>51330</v>
      </c>
      <c r="H15452" t="s">
        <v>52422</v>
      </c>
      <c r="P15452" t="s">
        <v>799</v>
      </c>
      <c r="Y15452" t="s">
        <v>52423</v>
      </c>
    </row>
    <row r="15453" spans="1:25" x14ac:dyDescent="0.25">
      <c r="A15453" t="str">
        <f>"125562441437"</f>
        <v>125562441437</v>
      </c>
      <c r="B15453" t="s">
        <v>348</v>
      </c>
      <c r="C15453" t="s">
        <v>19530</v>
      </c>
      <c r="D15453" t="s">
        <v>52424</v>
      </c>
      <c r="F15453" t="s">
        <v>1</v>
      </c>
      <c r="G15453" t="s">
        <v>51330</v>
      </c>
      <c r="H15453" t="s">
        <v>51849</v>
      </c>
      <c r="Y15453" t="s">
        <v>52425</v>
      </c>
    </row>
    <row r="15454" spans="1:25" x14ac:dyDescent="0.25">
      <c r="A15454" t="str">
        <f>"126163174419"</f>
        <v>126163174419</v>
      </c>
      <c r="B15454" t="s">
        <v>738</v>
      </c>
      <c r="C15454" t="s">
        <v>739</v>
      </c>
      <c r="D15454" t="s">
        <v>2574</v>
      </c>
      <c r="F15454" t="s">
        <v>1</v>
      </c>
      <c r="G15454" t="s">
        <v>51330</v>
      </c>
      <c r="H15454" t="s">
        <v>52426</v>
      </c>
      <c r="I15454" t="s">
        <v>52427</v>
      </c>
      <c r="L15454" t="s">
        <v>52428</v>
      </c>
      <c r="M15454" t="s">
        <v>52429</v>
      </c>
      <c r="P15454" t="s">
        <v>216</v>
      </c>
      <c r="Q15454" t="s">
        <v>52430</v>
      </c>
      <c r="R15454" t="s">
        <v>52431</v>
      </c>
      <c r="U15454" t="s">
        <v>52432</v>
      </c>
      <c r="V15454" t="s">
        <v>52433</v>
      </c>
      <c r="Y15454" t="s">
        <v>52425</v>
      </c>
    </row>
    <row r="15455" spans="1:25" x14ac:dyDescent="0.25">
      <c r="A15455" t="str">
        <f>"126619149230"</f>
        <v>126619149230</v>
      </c>
      <c r="B15455" t="s">
        <v>574</v>
      </c>
      <c r="C15455" t="s">
        <v>646</v>
      </c>
      <c r="D15455" t="s">
        <v>4221</v>
      </c>
      <c r="E15455">
        <v>425354</v>
      </c>
      <c r="F15455" t="s">
        <v>1</v>
      </c>
      <c r="G15455" t="s">
        <v>51330</v>
      </c>
      <c r="H15455" t="s">
        <v>51908</v>
      </c>
      <c r="Y15455" t="s">
        <v>52434</v>
      </c>
    </row>
    <row r="15456" spans="1:25" x14ac:dyDescent="0.25">
      <c r="A15456" t="str">
        <f>"126771993014"</f>
        <v>126771993014</v>
      </c>
      <c r="B15456" t="s">
        <v>18</v>
      </c>
      <c r="C15456" t="s">
        <v>4522</v>
      </c>
      <c r="D15456" t="s">
        <v>4522</v>
      </c>
      <c r="F15456" t="s">
        <v>1</v>
      </c>
      <c r="G15456" t="s">
        <v>51330</v>
      </c>
      <c r="H15456" t="s">
        <v>52019</v>
      </c>
      <c r="P15456" t="s">
        <v>605</v>
      </c>
      <c r="Y15456" t="s">
        <v>52435</v>
      </c>
    </row>
    <row r="15457" spans="1:25" x14ac:dyDescent="0.25">
      <c r="A15457" t="str">
        <f>"126840194398"</f>
        <v>126840194398</v>
      </c>
      <c r="B15457" t="s">
        <v>530</v>
      </c>
      <c r="C15457" t="s">
        <v>23950</v>
      </c>
      <c r="D15457" t="s">
        <v>23950</v>
      </c>
      <c r="F15457" t="s">
        <v>1</v>
      </c>
      <c r="G15457" t="s">
        <v>51330</v>
      </c>
      <c r="H15457" t="s">
        <v>52436</v>
      </c>
      <c r="Y15457" t="s">
        <v>52437</v>
      </c>
    </row>
    <row r="15458" spans="1:25" x14ac:dyDescent="0.25">
      <c r="A15458" t="str">
        <f>"127902990902"</f>
        <v>127902990902</v>
      </c>
      <c r="B15458" t="s">
        <v>530</v>
      </c>
      <c r="C15458" t="s">
        <v>23950</v>
      </c>
      <c r="D15458" t="s">
        <v>23950</v>
      </c>
      <c r="E15458">
        <v>425350</v>
      </c>
      <c r="F15458" t="s">
        <v>1</v>
      </c>
      <c r="G15458" t="s">
        <v>51330</v>
      </c>
      <c r="H15458" t="s">
        <v>52438</v>
      </c>
      <c r="Y15458" t="s">
        <v>52439</v>
      </c>
    </row>
    <row r="15459" spans="1:25" x14ac:dyDescent="0.25">
      <c r="A15459" t="str">
        <f>"128132974419"</f>
        <v>128132974419</v>
      </c>
      <c r="B15459" t="s">
        <v>290</v>
      </c>
      <c r="C15459" t="s">
        <v>290</v>
      </c>
      <c r="D15459" t="s">
        <v>52440</v>
      </c>
      <c r="F15459" t="s">
        <v>1</v>
      </c>
      <c r="G15459" t="s">
        <v>51330</v>
      </c>
      <c r="H15459" t="s">
        <v>51860</v>
      </c>
      <c r="P15459" t="s">
        <v>381</v>
      </c>
      <c r="Y15459" t="s">
        <v>52441</v>
      </c>
    </row>
    <row r="15460" spans="1:25" x14ac:dyDescent="0.25">
      <c r="A15460" t="str">
        <f>"129191453556"</f>
        <v>129191453556</v>
      </c>
      <c r="B15460" t="s">
        <v>530</v>
      </c>
      <c r="C15460" t="s">
        <v>23950</v>
      </c>
      <c r="D15460" t="s">
        <v>23950</v>
      </c>
      <c r="F15460" t="s">
        <v>1</v>
      </c>
      <c r="G15460" t="s">
        <v>51330</v>
      </c>
      <c r="H15460" t="s">
        <v>52442</v>
      </c>
      <c r="Y15460" t="s">
        <v>52443</v>
      </c>
    </row>
    <row r="15461" spans="1:25" x14ac:dyDescent="0.25">
      <c r="A15461" t="str">
        <f>"129341989653"</f>
        <v>129341989653</v>
      </c>
      <c r="B15461" t="s">
        <v>803</v>
      </c>
      <c r="C15461" t="s">
        <v>4941</v>
      </c>
      <c r="D15461" t="s">
        <v>51855</v>
      </c>
      <c r="F15461" t="s">
        <v>1</v>
      </c>
      <c r="G15461" t="s">
        <v>51330</v>
      </c>
      <c r="H15461" t="s">
        <v>51784</v>
      </c>
      <c r="Y15461" t="s">
        <v>52444</v>
      </c>
    </row>
    <row r="15462" spans="1:25" x14ac:dyDescent="0.25">
      <c r="A15462" t="str">
        <f>"129342219008"</f>
        <v>129342219008</v>
      </c>
      <c r="B15462" t="s">
        <v>530</v>
      </c>
      <c r="C15462" t="s">
        <v>23950</v>
      </c>
      <c r="D15462" t="s">
        <v>23950</v>
      </c>
      <c r="F15462" t="s">
        <v>1</v>
      </c>
      <c r="G15462" t="s">
        <v>51330</v>
      </c>
      <c r="H15462" t="s">
        <v>52128</v>
      </c>
      <c r="Y15462" t="s">
        <v>52445</v>
      </c>
    </row>
    <row r="15463" spans="1:25" x14ac:dyDescent="0.25">
      <c r="A15463" t="str">
        <f>"129443240131"</f>
        <v>129443240131</v>
      </c>
      <c r="B15463" t="s">
        <v>188</v>
      </c>
      <c r="C15463" t="s">
        <v>23982</v>
      </c>
      <c r="D15463" t="s">
        <v>23982</v>
      </c>
      <c r="E15463">
        <v>425350</v>
      </c>
      <c r="F15463" t="s">
        <v>1</v>
      </c>
      <c r="G15463" t="s">
        <v>51330</v>
      </c>
      <c r="H15463" t="s">
        <v>51394</v>
      </c>
      <c r="Y15463" t="s">
        <v>52446</v>
      </c>
    </row>
    <row r="15464" spans="1:25" x14ac:dyDescent="0.25">
      <c r="A15464" t="str">
        <f>"129484311250"</f>
        <v>129484311250</v>
      </c>
      <c r="B15464" t="s">
        <v>574</v>
      </c>
      <c r="C15464" t="s">
        <v>646</v>
      </c>
      <c r="D15464" t="s">
        <v>52447</v>
      </c>
      <c r="E15464">
        <v>425350</v>
      </c>
      <c r="F15464" t="s">
        <v>1</v>
      </c>
      <c r="G15464" t="s">
        <v>51330</v>
      </c>
      <c r="H15464" t="s">
        <v>51742</v>
      </c>
      <c r="Y15464" t="s">
        <v>52448</v>
      </c>
    </row>
    <row r="15465" spans="1:25" x14ac:dyDescent="0.25">
      <c r="A15465" t="str">
        <f>"129945550177"</f>
        <v>129945550177</v>
      </c>
      <c r="B15465" t="s">
        <v>160</v>
      </c>
      <c r="C15465" t="s">
        <v>2479</v>
      </c>
      <c r="D15465" t="s">
        <v>510</v>
      </c>
      <c r="F15465" t="s">
        <v>1</v>
      </c>
      <c r="G15465" t="s">
        <v>51330</v>
      </c>
      <c r="H15465" t="s">
        <v>51386</v>
      </c>
      <c r="P15465" t="s">
        <v>20</v>
      </c>
      <c r="Y15465" t="s">
        <v>52449</v>
      </c>
    </row>
    <row r="15466" spans="1:25" x14ac:dyDescent="0.25">
      <c r="A15466" t="str">
        <f>"130199987595"</f>
        <v>130199987595</v>
      </c>
      <c r="B15466" t="s">
        <v>530</v>
      </c>
      <c r="C15466" t="s">
        <v>23950</v>
      </c>
      <c r="D15466" t="s">
        <v>23950</v>
      </c>
      <c r="E15466">
        <v>425350</v>
      </c>
      <c r="F15466" t="s">
        <v>1</v>
      </c>
      <c r="G15466" t="s">
        <v>51330</v>
      </c>
      <c r="H15466" t="s">
        <v>52450</v>
      </c>
      <c r="Y15466" t="s">
        <v>52451</v>
      </c>
    </row>
    <row r="15467" spans="1:25" x14ac:dyDescent="0.25">
      <c r="A15467" t="str">
        <f>"130511479330"</f>
        <v>130511479330</v>
      </c>
      <c r="B15467" t="s">
        <v>530</v>
      </c>
      <c r="C15467" t="s">
        <v>23950</v>
      </c>
      <c r="D15467" t="s">
        <v>23950</v>
      </c>
      <c r="F15467" t="s">
        <v>1</v>
      </c>
      <c r="G15467" t="s">
        <v>51330</v>
      </c>
      <c r="H15467" t="s">
        <v>52452</v>
      </c>
      <c r="Y15467" t="s">
        <v>52453</v>
      </c>
    </row>
    <row r="15468" spans="1:25" x14ac:dyDescent="0.25">
      <c r="A15468" t="str">
        <f>"131550863931"</f>
        <v>131550863931</v>
      </c>
      <c r="B15468" t="s">
        <v>110</v>
      </c>
      <c r="C15468" t="s">
        <v>111</v>
      </c>
      <c r="D15468" t="s">
        <v>1115</v>
      </c>
      <c r="F15468" t="s">
        <v>1</v>
      </c>
      <c r="G15468" t="s">
        <v>51330</v>
      </c>
      <c r="H15468" t="s">
        <v>51779</v>
      </c>
      <c r="P15468" t="s">
        <v>2710</v>
      </c>
      <c r="Y15468" t="s">
        <v>52454</v>
      </c>
    </row>
    <row r="15469" spans="1:25" x14ac:dyDescent="0.25">
      <c r="A15469" t="str">
        <f>"131601323029"</f>
        <v>131601323029</v>
      </c>
      <c r="B15469" t="s">
        <v>96</v>
      </c>
      <c r="C15469" t="s">
        <v>893</v>
      </c>
      <c r="D15469" t="s">
        <v>52455</v>
      </c>
      <c r="F15469" t="s">
        <v>1</v>
      </c>
      <c r="G15469" t="s">
        <v>51330</v>
      </c>
      <c r="H15469" t="s">
        <v>51416</v>
      </c>
      <c r="Y15469" t="s">
        <v>52456</v>
      </c>
    </row>
    <row r="15470" spans="1:25" x14ac:dyDescent="0.25">
      <c r="A15470" t="str">
        <f>"133899513722"</f>
        <v>133899513722</v>
      </c>
      <c r="B15470" t="s">
        <v>530</v>
      </c>
      <c r="C15470" t="s">
        <v>23950</v>
      </c>
      <c r="D15470" t="s">
        <v>23950</v>
      </c>
      <c r="F15470" t="s">
        <v>1</v>
      </c>
      <c r="G15470" t="s">
        <v>51330</v>
      </c>
      <c r="H15470" t="s">
        <v>52048</v>
      </c>
      <c r="Y15470" t="s">
        <v>52457</v>
      </c>
    </row>
    <row r="15471" spans="1:25" x14ac:dyDescent="0.25">
      <c r="A15471" t="str">
        <f>"134986615892"</f>
        <v>134986615892</v>
      </c>
      <c r="B15471" t="s">
        <v>530</v>
      </c>
      <c r="C15471" t="s">
        <v>23950</v>
      </c>
      <c r="D15471" t="s">
        <v>23950</v>
      </c>
      <c r="F15471" t="s">
        <v>1</v>
      </c>
      <c r="G15471" t="s">
        <v>51330</v>
      </c>
      <c r="H15471" t="s">
        <v>52458</v>
      </c>
      <c r="Y15471" t="s">
        <v>52459</v>
      </c>
    </row>
    <row r="15472" spans="1:25" x14ac:dyDescent="0.25">
      <c r="A15472" t="str">
        <f>"135204821413"</f>
        <v>135204821413</v>
      </c>
      <c r="B15472" t="s">
        <v>530</v>
      </c>
      <c r="C15472" t="s">
        <v>5046</v>
      </c>
      <c r="D15472" t="s">
        <v>52460</v>
      </c>
      <c r="F15472" t="s">
        <v>1</v>
      </c>
      <c r="G15472" t="s">
        <v>51330</v>
      </c>
      <c r="H15472" t="s">
        <v>52461</v>
      </c>
      <c r="J15472" t="s">
        <v>52462</v>
      </c>
      <c r="Y15472" t="s">
        <v>52463</v>
      </c>
    </row>
    <row r="15473" spans="1:25" x14ac:dyDescent="0.25">
      <c r="A15473" t="str">
        <f>"135364570007"</f>
        <v>135364570007</v>
      </c>
      <c r="B15473" t="s">
        <v>1552</v>
      </c>
      <c r="C15473" t="s">
        <v>12654</v>
      </c>
      <c r="D15473" t="s">
        <v>52464</v>
      </c>
      <c r="F15473" t="s">
        <v>1</v>
      </c>
      <c r="G15473" t="s">
        <v>51330</v>
      </c>
      <c r="H15473" t="s">
        <v>52465</v>
      </c>
      <c r="I15473" t="s">
        <v>52466</v>
      </c>
      <c r="P15473" t="s">
        <v>52467</v>
      </c>
      <c r="Y15473" t="s">
        <v>52468</v>
      </c>
    </row>
    <row r="15474" spans="1:25" x14ac:dyDescent="0.25">
      <c r="A15474" t="str">
        <f>"135463134304"</f>
        <v>135463134304</v>
      </c>
      <c r="B15474" t="s">
        <v>1343</v>
      </c>
      <c r="C15474" t="s">
        <v>5308</v>
      </c>
      <c r="D15474" t="s">
        <v>19976</v>
      </c>
      <c r="E15474">
        <v>425353</v>
      </c>
      <c r="F15474" t="s">
        <v>1</v>
      </c>
      <c r="G15474" t="s">
        <v>51330</v>
      </c>
      <c r="H15474" t="s">
        <v>51837</v>
      </c>
      <c r="P15474" t="s">
        <v>2050</v>
      </c>
      <c r="Y15474" t="s">
        <v>52469</v>
      </c>
    </row>
    <row r="15475" spans="1:25" x14ac:dyDescent="0.25">
      <c r="A15475" t="str">
        <f>"135853462929"</f>
        <v>135853462929</v>
      </c>
      <c r="B15475" t="s">
        <v>160</v>
      </c>
      <c r="C15475" t="s">
        <v>13649</v>
      </c>
      <c r="D15475" t="s">
        <v>52470</v>
      </c>
      <c r="F15475" t="s">
        <v>1</v>
      </c>
      <c r="G15475" t="s">
        <v>51330</v>
      </c>
      <c r="H15475" t="s">
        <v>52471</v>
      </c>
      <c r="Y15475" t="s">
        <v>52472</v>
      </c>
    </row>
    <row r="15476" spans="1:25" x14ac:dyDescent="0.25">
      <c r="A15476" t="str">
        <f>"136471237867"</f>
        <v>136471237867</v>
      </c>
      <c r="B15476" t="s">
        <v>10383</v>
      </c>
      <c r="C15476" t="s">
        <v>24146</v>
      </c>
      <c r="D15476" t="s">
        <v>24146</v>
      </c>
      <c r="F15476" t="s">
        <v>1</v>
      </c>
      <c r="G15476" t="s">
        <v>51330</v>
      </c>
      <c r="H15476" t="s">
        <v>51767</v>
      </c>
      <c r="Y15476" t="s">
        <v>52473</v>
      </c>
    </row>
    <row r="15477" spans="1:25" x14ac:dyDescent="0.25">
      <c r="A15477" t="str">
        <f>"136781447849"</f>
        <v>136781447849</v>
      </c>
      <c r="B15477" t="s">
        <v>96</v>
      </c>
      <c r="C15477" t="s">
        <v>24042</v>
      </c>
      <c r="D15477" t="s">
        <v>24127</v>
      </c>
      <c r="F15477" t="s">
        <v>1</v>
      </c>
      <c r="G15477" t="s">
        <v>51330</v>
      </c>
      <c r="H15477" t="s">
        <v>51976</v>
      </c>
      <c r="Y15477" t="s">
        <v>52474</v>
      </c>
    </row>
    <row r="15478" spans="1:25" x14ac:dyDescent="0.25">
      <c r="A15478" t="str">
        <f>"136852827004"</f>
        <v>136852827004</v>
      </c>
      <c r="B15478" t="s">
        <v>530</v>
      </c>
      <c r="C15478" t="s">
        <v>23950</v>
      </c>
      <c r="D15478" t="s">
        <v>23950</v>
      </c>
      <c r="F15478" t="s">
        <v>1</v>
      </c>
      <c r="G15478" t="s">
        <v>51330</v>
      </c>
      <c r="H15478" t="s">
        <v>52475</v>
      </c>
      <c r="Y15478" t="s">
        <v>52476</v>
      </c>
    </row>
    <row r="15479" spans="1:25" x14ac:dyDescent="0.25">
      <c r="A15479" t="str">
        <f>"136886808244"</f>
        <v>136886808244</v>
      </c>
      <c r="B15479" t="s">
        <v>530</v>
      </c>
      <c r="C15479" t="s">
        <v>23950</v>
      </c>
      <c r="D15479" t="s">
        <v>23950</v>
      </c>
      <c r="F15479" t="s">
        <v>1</v>
      </c>
      <c r="G15479" t="s">
        <v>51330</v>
      </c>
      <c r="H15479" t="s">
        <v>51876</v>
      </c>
      <c r="Y15479" t="s">
        <v>52477</v>
      </c>
    </row>
    <row r="15480" spans="1:25" x14ac:dyDescent="0.25">
      <c r="A15480" t="str">
        <f>"137141744844"</f>
        <v>137141744844</v>
      </c>
      <c r="B15480" t="s">
        <v>7312</v>
      </c>
      <c r="C15480" t="s">
        <v>52479</v>
      </c>
      <c r="D15480" t="s">
        <v>52478</v>
      </c>
      <c r="E15480">
        <v>425350</v>
      </c>
      <c r="F15480" t="s">
        <v>1</v>
      </c>
      <c r="G15480" t="s">
        <v>51330</v>
      </c>
      <c r="H15480" t="s">
        <v>51342</v>
      </c>
      <c r="Y15480" t="s">
        <v>52480</v>
      </c>
    </row>
    <row r="15481" spans="1:25" x14ac:dyDescent="0.25">
      <c r="A15481" t="str">
        <f>"137674702741"</f>
        <v>137674702741</v>
      </c>
      <c r="B15481" t="s">
        <v>188</v>
      </c>
      <c r="C15481" t="s">
        <v>24568</v>
      </c>
      <c r="D15481" t="s">
        <v>24568</v>
      </c>
      <c r="F15481" t="s">
        <v>1</v>
      </c>
      <c r="G15481" t="s">
        <v>51330</v>
      </c>
      <c r="H15481" t="s">
        <v>51876</v>
      </c>
      <c r="Y15481" t="s">
        <v>52481</v>
      </c>
    </row>
    <row r="15482" spans="1:25" x14ac:dyDescent="0.25">
      <c r="A15482" t="str">
        <f>"137810420211"</f>
        <v>137810420211</v>
      </c>
      <c r="B15482" t="s">
        <v>6478</v>
      </c>
      <c r="C15482" t="s">
        <v>9854</v>
      </c>
      <c r="D15482" t="s">
        <v>52482</v>
      </c>
      <c r="F15482" t="s">
        <v>1</v>
      </c>
      <c r="G15482" t="s">
        <v>51330</v>
      </c>
      <c r="H15482" t="s">
        <v>51834</v>
      </c>
      <c r="Y15482" t="s">
        <v>52483</v>
      </c>
    </row>
    <row r="15483" spans="1:25" x14ac:dyDescent="0.25">
      <c r="A15483" t="str">
        <f>"137853989353"</f>
        <v>137853989353</v>
      </c>
      <c r="B15483" t="s">
        <v>96</v>
      </c>
      <c r="C15483" t="s">
        <v>12115</v>
      </c>
      <c r="D15483" t="s">
        <v>52484</v>
      </c>
      <c r="E15483">
        <v>425350</v>
      </c>
      <c r="F15483" t="s">
        <v>1</v>
      </c>
      <c r="G15483" t="s">
        <v>51330</v>
      </c>
      <c r="H15483" t="s">
        <v>51342</v>
      </c>
      <c r="Y15483" t="s">
        <v>52485</v>
      </c>
    </row>
    <row r="15484" spans="1:25" x14ac:dyDescent="0.25">
      <c r="A15484" t="str">
        <f>"138007770034"</f>
        <v>138007770034</v>
      </c>
      <c r="B15484" t="s">
        <v>188</v>
      </c>
      <c r="C15484" t="s">
        <v>24568</v>
      </c>
      <c r="D15484" t="s">
        <v>24568</v>
      </c>
      <c r="F15484" t="s">
        <v>1</v>
      </c>
      <c r="G15484" t="s">
        <v>51330</v>
      </c>
      <c r="H15484" t="s">
        <v>52247</v>
      </c>
      <c r="Y15484" t="s">
        <v>52486</v>
      </c>
    </row>
    <row r="15485" spans="1:25" x14ac:dyDescent="0.25">
      <c r="A15485" t="str">
        <f>"138250610971"</f>
        <v>138250610971</v>
      </c>
      <c r="B15485" t="s">
        <v>117</v>
      </c>
      <c r="C15485" t="s">
        <v>873</v>
      </c>
      <c r="D15485" t="s">
        <v>873</v>
      </c>
      <c r="F15485" t="s">
        <v>1</v>
      </c>
      <c r="G15485" t="s">
        <v>51330</v>
      </c>
      <c r="H15485" t="s">
        <v>51801</v>
      </c>
      <c r="Y15485" t="s">
        <v>52487</v>
      </c>
    </row>
    <row r="15486" spans="1:25" x14ac:dyDescent="0.25">
      <c r="A15486" t="str">
        <f>"139006968382"</f>
        <v>139006968382</v>
      </c>
      <c r="B15486" t="s">
        <v>574</v>
      </c>
      <c r="C15486" t="s">
        <v>36621</v>
      </c>
      <c r="D15486" t="s">
        <v>52488</v>
      </c>
      <c r="F15486" t="s">
        <v>1</v>
      </c>
      <c r="G15486" t="s">
        <v>51330</v>
      </c>
      <c r="H15486" t="s">
        <v>52088</v>
      </c>
      <c r="P15486" t="s">
        <v>2457</v>
      </c>
      <c r="Y15486" t="s">
        <v>52489</v>
      </c>
    </row>
    <row r="15487" spans="1:25" x14ac:dyDescent="0.25">
      <c r="A15487" t="str">
        <f>"139097744396"</f>
        <v>139097744396</v>
      </c>
      <c r="B15487" t="s">
        <v>530</v>
      </c>
      <c r="C15487" t="s">
        <v>23950</v>
      </c>
      <c r="D15487" t="s">
        <v>23950</v>
      </c>
      <c r="E15487">
        <v>425354</v>
      </c>
      <c r="F15487" t="s">
        <v>1</v>
      </c>
      <c r="G15487" t="s">
        <v>51330</v>
      </c>
      <c r="H15487" t="s">
        <v>51498</v>
      </c>
      <c r="Y15487" t="s">
        <v>52490</v>
      </c>
    </row>
    <row r="15488" spans="1:25" x14ac:dyDescent="0.25">
      <c r="A15488" t="str">
        <f>"139470582278"</f>
        <v>139470582278</v>
      </c>
      <c r="B15488" t="s">
        <v>1061</v>
      </c>
      <c r="C15488" t="s">
        <v>26953</v>
      </c>
      <c r="D15488" t="s">
        <v>52491</v>
      </c>
      <c r="F15488" t="s">
        <v>1</v>
      </c>
      <c r="G15488" t="s">
        <v>51330</v>
      </c>
      <c r="H15488" t="s">
        <v>52492</v>
      </c>
      <c r="Y15488" t="s">
        <v>52493</v>
      </c>
    </row>
    <row r="15489" spans="1:25" x14ac:dyDescent="0.25">
      <c r="A15489" t="str">
        <f>"139798432016"</f>
        <v>139798432016</v>
      </c>
      <c r="B15489" t="s">
        <v>1182</v>
      </c>
      <c r="C15489" t="s">
        <v>52495</v>
      </c>
      <c r="D15489" t="s">
        <v>52494</v>
      </c>
      <c r="E15489">
        <v>425350</v>
      </c>
      <c r="F15489" t="s">
        <v>1</v>
      </c>
      <c r="G15489" t="s">
        <v>51330</v>
      </c>
      <c r="H15489" t="s">
        <v>51511</v>
      </c>
      <c r="Y15489" t="s">
        <v>52226</v>
      </c>
    </row>
    <row r="15490" spans="1:25" x14ac:dyDescent="0.25">
      <c r="A15490" t="str">
        <f>"139978079094"</f>
        <v>139978079094</v>
      </c>
      <c r="B15490" t="s">
        <v>131</v>
      </c>
      <c r="C15490" t="s">
        <v>3866</v>
      </c>
      <c r="D15490" t="s">
        <v>52496</v>
      </c>
      <c r="F15490" t="s">
        <v>1</v>
      </c>
      <c r="G15490" t="s">
        <v>51330</v>
      </c>
      <c r="H15490" t="s">
        <v>52497</v>
      </c>
      <c r="L15490" t="s">
        <v>52498</v>
      </c>
      <c r="Q15490" t="s">
        <v>52499</v>
      </c>
      <c r="Y15490" t="s">
        <v>52500</v>
      </c>
    </row>
    <row r="15491" spans="1:25" x14ac:dyDescent="0.25">
      <c r="A15491" t="str">
        <f>"140875867032"</f>
        <v>140875867032</v>
      </c>
      <c r="B15491" t="s">
        <v>18</v>
      </c>
      <c r="C15491" t="s">
        <v>959</v>
      </c>
      <c r="D15491" t="s">
        <v>5691</v>
      </c>
      <c r="E15491">
        <v>425350</v>
      </c>
      <c r="F15491" t="s">
        <v>1</v>
      </c>
      <c r="G15491" t="s">
        <v>51330</v>
      </c>
      <c r="H15491" t="s">
        <v>51511</v>
      </c>
      <c r="Y15491" t="s">
        <v>52226</v>
      </c>
    </row>
    <row r="15492" spans="1:25" x14ac:dyDescent="0.25">
      <c r="A15492" t="str">
        <f>"141024784639"</f>
        <v>141024784639</v>
      </c>
      <c r="B15492" t="s">
        <v>88</v>
      </c>
      <c r="C15492" t="s">
        <v>52502</v>
      </c>
      <c r="D15492" t="s">
        <v>52501</v>
      </c>
      <c r="F15492" t="s">
        <v>1</v>
      </c>
      <c r="G15492" t="s">
        <v>51330</v>
      </c>
      <c r="H15492" t="s">
        <v>51976</v>
      </c>
      <c r="Y15492" t="s">
        <v>52503</v>
      </c>
    </row>
    <row r="15493" spans="1:25" x14ac:dyDescent="0.25">
      <c r="A15493" t="str">
        <f>"141251688343"</f>
        <v>141251688343</v>
      </c>
      <c r="B15493" t="s">
        <v>530</v>
      </c>
      <c r="C15493" t="s">
        <v>23950</v>
      </c>
      <c r="D15493" t="s">
        <v>23950</v>
      </c>
      <c r="F15493" t="s">
        <v>1</v>
      </c>
      <c r="G15493" t="s">
        <v>51330</v>
      </c>
      <c r="H15493" t="s">
        <v>51846</v>
      </c>
      <c r="Y15493" t="s">
        <v>52504</v>
      </c>
    </row>
    <row r="15494" spans="1:25" x14ac:dyDescent="0.25">
      <c r="A15494" t="str">
        <f>"141674787182"</f>
        <v>141674787182</v>
      </c>
      <c r="B15494" t="s">
        <v>930</v>
      </c>
      <c r="C15494" t="s">
        <v>10263</v>
      </c>
      <c r="D15494" t="s">
        <v>10263</v>
      </c>
      <c r="F15494" t="s">
        <v>1</v>
      </c>
      <c r="G15494" t="s">
        <v>51330</v>
      </c>
      <c r="H15494" t="s">
        <v>52393</v>
      </c>
      <c r="P15494" t="s">
        <v>133</v>
      </c>
      <c r="Y15494" t="s">
        <v>52505</v>
      </c>
    </row>
    <row r="15495" spans="1:25" x14ac:dyDescent="0.25">
      <c r="A15495" t="str">
        <f>"141941105115"</f>
        <v>141941105115</v>
      </c>
      <c r="B15495" t="s">
        <v>176</v>
      </c>
      <c r="C15495" t="s">
        <v>27547</v>
      </c>
      <c r="D15495" t="s">
        <v>27545</v>
      </c>
      <c r="F15495" t="s">
        <v>1</v>
      </c>
      <c r="G15495" t="s">
        <v>51330</v>
      </c>
      <c r="H15495" t="s">
        <v>52475</v>
      </c>
      <c r="Y15495" t="s">
        <v>52506</v>
      </c>
    </row>
    <row r="15496" spans="1:25" x14ac:dyDescent="0.25">
      <c r="A15496" t="str">
        <f>"142420367735"</f>
        <v>142420367735</v>
      </c>
      <c r="B15496" t="s">
        <v>430</v>
      </c>
      <c r="C15496" t="s">
        <v>52507</v>
      </c>
      <c r="D15496" t="s">
        <v>3198</v>
      </c>
      <c r="F15496" t="s">
        <v>1</v>
      </c>
      <c r="G15496" t="s">
        <v>51330</v>
      </c>
      <c r="H15496" t="s">
        <v>51816</v>
      </c>
      <c r="P15496" t="s">
        <v>2050</v>
      </c>
      <c r="Y15496" t="s">
        <v>52508</v>
      </c>
    </row>
    <row r="15497" spans="1:25" x14ac:dyDescent="0.25">
      <c r="A15497" t="str">
        <f>"143113144202"</f>
        <v>143113144202</v>
      </c>
      <c r="B15497" t="s">
        <v>530</v>
      </c>
      <c r="C15497" t="s">
        <v>23950</v>
      </c>
      <c r="D15497" t="s">
        <v>23950</v>
      </c>
      <c r="F15497" t="s">
        <v>1</v>
      </c>
      <c r="G15497" t="s">
        <v>51330</v>
      </c>
      <c r="H15497" t="s">
        <v>51849</v>
      </c>
      <c r="Y15497" t="s">
        <v>52509</v>
      </c>
    </row>
    <row r="15498" spans="1:25" x14ac:dyDescent="0.25">
      <c r="A15498" t="str">
        <f>"143754622854"</f>
        <v>143754622854</v>
      </c>
      <c r="B15498" t="s">
        <v>1315</v>
      </c>
      <c r="C15498" t="s">
        <v>52512</v>
      </c>
      <c r="D15498" t="s">
        <v>52510</v>
      </c>
      <c r="E15498">
        <v>425350</v>
      </c>
      <c r="F15498" t="s">
        <v>1</v>
      </c>
      <c r="G15498" t="s">
        <v>51330</v>
      </c>
      <c r="H15498" t="s">
        <v>51407</v>
      </c>
      <c r="M15498" t="s">
        <v>52511</v>
      </c>
      <c r="P15498" t="s">
        <v>20</v>
      </c>
      <c r="Y15498" t="s">
        <v>52513</v>
      </c>
    </row>
    <row r="15499" spans="1:25" x14ac:dyDescent="0.25">
      <c r="A15499" t="str">
        <f>"143802294829"</f>
        <v>143802294829</v>
      </c>
      <c r="B15499" t="s">
        <v>117</v>
      </c>
      <c r="C15499" t="s">
        <v>873</v>
      </c>
      <c r="D15499" t="s">
        <v>873</v>
      </c>
      <c r="F15499" t="s">
        <v>1</v>
      </c>
      <c r="G15499" t="s">
        <v>51330</v>
      </c>
      <c r="H15499" t="s">
        <v>52514</v>
      </c>
      <c r="Y15499" t="s">
        <v>52515</v>
      </c>
    </row>
    <row r="15500" spans="1:25" x14ac:dyDescent="0.25">
      <c r="A15500" t="str">
        <f>"143812124766"</f>
        <v>143812124766</v>
      </c>
      <c r="B15500" t="s">
        <v>519</v>
      </c>
      <c r="C15500" t="s">
        <v>47504</v>
      </c>
      <c r="D15500" t="s">
        <v>16846</v>
      </c>
      <c r="E15500">
        <v>425350</v>
      </c>
      <c r="F15500" t="s">
        <v>1</v>
      </c>
      <c r="G15500" t="s">
        <v>51330</v>
      </c>
      <c r="H15500" t="s">
        <v>51488</v>
      </c>
      <c r="J15500" t="s">
        <v>52516</v>
      </c>
      <c r="P15500" t="s">
        <v>5829</v>
      </c>
      <c r="Q15500" t="s">
        <v>52517</v>
      </c>
      <c r="Y15500" t="s">
        <v>52518</v>
      </c>
    </row>
    <row r="15501" spans="1:25" x14ac:dyDescent="0.25">
      <c r="A15501" t="str">
        <f>"145171428703"</f>
        <v>145171428703</v>
      </c>
      <c r="B15501" t="s">
        <v>117</v>
      </c>
      <c r="C15501" t="s">
        <v>118</v>
      </c>
      <c r="D15501" t="s">
        <v>49202</v>
      </c>
      <c r="F15501" t="s">
        <v>1</v>
      </c>
      <c r="G15501" t="s">
        <v>51330</v>
      </c>
      <c r="H15501" t="s">
        <v>51876</v>
      </c>
      <c r="Y15501" t="s">
        <v>52519</v>
      </c>
    </row>
    <row r="15502" spans="1:25" x14ac:dyDescent="0.25">
      <c r="A15502" t="str">
        <f>"145607574820"</f>
        <v>145607574820</v>
      </c>
      <c r="B15502" t="s">
        <v>160</v>
      </c>
      <c r="C15502" t="s">
        <v>13649</v>
      </c>
      <c r="D15502" t="s">
        <v>52040</v>
      </c>
      <c r="F15502" t="s">
        <v>1</v>
      </c>
      <c r="G15502" t="s">
        <v>51330</v>
      </c>
      <c r="H15502" t="s">
        <v>51876</v>
      </c>
      <c r="Y15502" t="s">
        <v>52520</v>
      </c>
    </row>
    <row r="15503" spans="1:25" x14ac:dyDescent="0.25">
      <c r="A15503" t="str">
        <f>"145785186324"</f>
        <v>145785186324</v>
      </c>
      <c r="B15503" t="s">
        <v>10383</v>
      </c>
      <c r="C15503" t="s">
        <v>24146</v>
      </c>
      <c r="D15503" t="s">
        <v>24146</v>
      </c>
      <c r="F15503" t="s">
        <v>1</v>
      </c>
      <c r="G15503" t="s">
        <v>51330</v>
      </c>
      <c r="H15503" t="s">
        <v>51876</v>
      </c>
      <c r="Y15503" t="s">
        <v>52521</v>
      </c>
    </row>
    <row r="15504" spans="1:25" x14ac:dyDescent="0.25">
      <c r="A15504" t="str">
        <f>"146337114428"</f>
        <v>146337114428</v>
      </c>
      <c r="B15504" t="s">
        <v>408</v>
      </c>
      <c r="C15504" t="s">
        <v>52523</v>
      </c>
      <c r="D15504" t="s">
        <v>35042</v>
      </c>
      <c r="E15504">
        <v>425350</v>
      </c>
      <c r="F15504" t="s">
        <v>1</v>
      </c>
      <c r="G15504" t="s">
        <v>51330</v>
      </c>
      <c r="H15504" t="s">
        <v>52168</v>
      </c>
      <c r="J15504" t="s">
        <v>52522</v>
      </c>
      <c r="P15504" t="s">
        <v>52524</v>
      </c>
      <c r="Y15504" t="s">
        <v>52414</v>
      </c>
    </row>
    <row r="15505" spans="1:25" x14ac:dyDescent="0.25">
      <c r="A15505" t="str">
        <f>"146871174514"</f>
        <v>146871174514</v>
      </c>
      <c r="B15505" t="s">
        <v>1573</v>
      </c>
      <c r="C15505" t="s">
        <v>1817</v>
      </c>
      <c r="D15505" t="s">
        <v>31960</v>
      </c>
      <c r="F15505" t="s">
        <v>1</v>
      </c>
      <c r="G15505" t="s">
        <v>51330</v>
      </c>
      <c r="H15505" t="s">
        <v>52525</v>
      </c>
      <c r="P15505" t="s">
        <v>21891</v>
      </c>
      <c r="Y15505" t="s">
        <v>52526</v>
      </c>
    </row>
    <row r="15506" spans="1:25" x14ac:dyDescent="0.25">
      <c r="A15506" t="str">
        <f>"146996700507"</f>
        <v>146996700507</v>
      </c>
      <c r="B15506" t="s">
        <v>1617</v>
      </c>
      <c r="C15506" t="s">
        <v>21001</v>
      </c>
      <c r="D15506" t="s">
        <v>20999</v>
      </c>
      <c r="E15506">
        <v>425350</v>
      </c>
      <c r="F15506" t="s">
        <v>1</v>
      </c>
      <c r="G15506" t="s">
        <v>51330</v>
      </c>
      <c r="H15506" t="s">
        <v>51591</v>
      </c>
      <c r="Y15506" t="s">
        <v>52527</v>
      </c>
    </row>
    <row r="15507" spans="1:25" x14ac:dyDescent="0.25">
      <c r="A15507" t="str">
        <f>"147019086499"</f>
        <v>147019086499</v>
      </c>
      <c r="B15507" t="s">
        <v>3700</v>
      </c>
      <c r="C15507" t="s">
        <v>4023</v>
      </c>
      <c r="D15507" t="s">
        <v>52528</v>
      </c>
      <c r="E15507">
        <v>425353</v>
      </c>
      <c r="F15507" t="s">
        <v>1</v>
      </c>
      <c r="G15507" t="s">
        <v>51330</v>
      </c>
      <c r="H15507" t="s">
        <v>51837</v>
      </c>
      <c r="Y15507" t="s">
        <v>52529</v>
      </c>
    </row>
    <row r="15508" spans="1:25" x14ac:dyDescent="0.25">
      <c r="A15508" t="str">
        <f>"147133428344"</f>
        <v>147133428344</v>
      </c>
      <c r="B15508" t="s">
        <v>530</v>
      </c>
      <c r="C15508" t="s">
        <v>23950</v>
      </c>
      <c r="D15508" t="s">
        <v>23950</v>
      </c>
      <c r="F15508" t="s">
        <v>1</v>
      </c>
      <c r="G15508" t="s">
        <v>51330</v>
      </c>
      <c r="H15508" t="s">
        <v>52530</v>
      </c>
      <c r="Y15508" t="s">
        <v>52531</v>
      </c>
    </row>
    <row r="15509" spans="1:25" x14ac:dyDescent="0.25">
      <c r="A15509" t="str">
        <f>"147279684005"</f>
        <v>147279684005</v>
      </c>
      <c r="B15509" t="s">
        <v>1061</v>
      </c>
      <c r="C15509" t="s">
        <v>26953</v>
      </c>
      <c r="D15509" t="s">
        <v>52532</v>
      </c>
      <c r="F15509" t="s">
        <v>1</v>
      </c>
      <c r="G15509" t="s">
        <v>51330</v>
      </c>
      <c r="H15509" t="s">
        <v>52514</v>
      </c>
      <c r="Y15509" t="s">
        <v>52533</v>
      </c>
    </row>
    <row r="15510" spans="1:25" x14ac:dyDescent="0.25">
      <c r="A15510" t="str">
        <f>"147815352688"</f>
        <v>147815352688</v>
      </c>
      <c r="B15510" t="s">
        <v>1182</v>
      </c>
      <c r="C15510" t="s">
        <v>14307</v>
      </c>
      <c r="D15510" t="s">
        <v>52534</v>
      </c>
      <c r="E15510">
        <v>425353</v>
      </c>
      <c r="F15510" t="s">
        <v>1</v>
      </c>
      <c r="G15510" t="s">
        <v>51330</v>
      </c>
      <c r="H15510" t="s">
        <v>52050</v>
      </c>
      <c r="Y15510" t="s">
        <v>52535</v>
      </c>
    </row>
    <row r="15511" spans="1:25" x14ac:dyDescent="0.25">
      <c r="A15511" t="str">
        <f>"147936316919"</f>
        <v>147936316919</v>
      </c>
      <c r="B15511" t="s">
        <v>18</v>
      </c>
      <c r="C15511" t="s">
        <v>13796</v>
      </c>
      <c r="D15511" t="s">
        <v>52536</v>
      </c>
      <c r="E15511">
        <v>425350</v>
      </c>
      <c r="F15511" t="s">
        <v>1</v>
      </c>
      <c r="G15511" t="s">
        <v>51330</v>
      </c>
      <c r="H15511" t="s">
        <v>51342</v>
      </c>
      <c r="Y15511" t="s">
        <v>52537</v>
      </c>
    </row>
    <row r="15512" spans="1:25" x14ac:dyDescent="0.25">
      <c r="A15512" t="str">
        <f>"148996172113"</f>
        <v>148996172113</v>
      </c>
      <c r="B15512" t="s">
        <v>530</v>
      </c>
      <c r="C15512" t="s">
        <v>23950</v>
      </c>
      <c r="D15512" t="s">
        <v>23950</v>
      </c>
      <c r="F15512" t="s">
        <v>1</v>
      </c>
      <c r="G15512" t="s">
        <v>51330</v>
      </c>
      <c r="H15512" t="s">
        <v>52538</v>
      </c>
      <c r="Y15512" t="s">
        <v>52539</v>
      </c>
    </row>
    <row r="15513" spans="1:25" x14ac:dyDescent="0.25">
      <c r="A15513" t="str">
        <f>"149060623216"</f>
        <v>149060623216</v>
      </c>
      <c r="B15513" t="s">
        <v>18</v>
      </c>
      <c r="C15513" t="s">
        <v>52541</v>
      </c>
      <c r="D15513" t="s">
        <v>52540</v>
      </c>
      <c r="F15513" t="s">
        <v>1</v>
      </c>
      <c r="G15513" t="s">
        <v>51330</v>
      </c>
      <c r="H15513" t="s">
        <v>51976</v>
      </c>
      <c r="Y15513" t="s">
        <v>52542</v>
      </c>
    </row>
    <row r="15514" spans="1:25" x14ac:dyDescent="0.25">
      <c r="A15514" t="str">
        <f>"149125306613"</f>
        <v>149125306613</v>
      </c>
      <c r="B15514" t="s">
        <v>1222</v>
      </c>
      <c r="C15514" t="s">
        <v>52543</v>
      </c>
      <c r="D15514" t="s">
        <v>23156</v>
      </c>
      <c r="F15514" t="s">
        <v>1</v>
      </c>
      <c r="G15514" t="s">
        <v>51330</v>
      </c>
      <c r="H15514" t="s">
        <v>51853</v>
      </c>
      <c r="Y15514" t="s">
        <v>52544</v>
      </c>
    </row>
    <row r="15515" spans="1:25" x14ac:dyDescent="0.25">
      <c r="A15515" t="str">
        <f>"149287064193"</f>
        <v>149287064193</v>
      </c>
      <c r="B15515" t="s">
        <v>1152</v>
      </c>
      <c r="C15515" t="s">
        <v>36884</v>
      </c>
      <c r="D15515" t="s">
        <v>5858</v>
      </c>
      <c r="F15515" t="s">
        <v>1</v>
      </c>
      <c r="G15515" t="s">
        <v>51330</v>
      </c>
      <c r="H15515" t="s">
        <v>51849</v>
      </c>
      <c r="Y15515" t="s">
        <v>52545</v>
      </c>
    </row>
    <row r="15516" spans="1:25" x14ac:dyDescent="0.25">
      <c r="A15516" t="str">
        <f>"149330570180"</f>
        <v>149330570180</v>
      </c>
      <c r="B15516" t="s">
        <v>530</v>
      </c>
      <c r="C15516" t="s">
        <v>23950</v>
      </c>
      <c r="D15516" t="s">
        <v>23950</v>
      </c>
      <c r="F15516" t="s">
        <v>1</v>
      </c>
      <c r="G15516" t="s">
        <v>51330</v>
      </c>
      <c r="H15516" t="s">
        <v>52546</v>
      </c>
      <c r="Y15516" t="s">
        <v>52547</v>
      </c>
    </row>
    <row r="15517" spans="1:25" x14ac:dyDescent="0.25">
      <c r="A15517" t="str">
        <f>"149671596821"</f>
        <v>149671596821</v>
      </c>
      <c r="B15517" t="s">
        <v>841</v>
      </c>
      <c r="C15517" t="s">
        <v>52550</v>
      </c>
      <c r="D15517" t="s">
        <v>31126</v>
      </c>
      <c r="F15517" t="s">
        <v>1</v>
      </c>
      <c r="G15517" t="s">
        <v>51330</v>
      </c>
      <c r="H15517" t="s">
        <v>52548</v>
      </c>
      <c r="J15517" t="s">
        <v>52549</v>
      </c>
      <c r="P15517" t="s">
        <v>312</v>
      </c>
      <c r="Y15517" t="s">
        <v>52551</v>
      </c>
    </row>
    <row r="15518" spans="1:25" x14ac:dyDescent="0.25">
      <c r="A15518" t="str">
        <f>"149709266795"</f>
        <v>149709266795</v>
      </c>
      <c r="B15518" t="s">
        <v>7</v>
      </c>
      <c r="C15518" t="s">
        <v>42631</v>
      </c>
      <c r="D15518" t="s">
        <v>52552</v>
      </c>
      <c r="F15518" t="s">
        <v>1</v>
      </c>
      <c r="G15518" t="s">
        <v>51330</v>
      </c>
      <c r="H15518" t="s">
        <v>51544</v>
      </c>
      <c r="J15518" t="s">
        <v>51953</v>
      </c>
      <c r="Y15518" t="s">
        <v>52553</v>
      </c>
    </row>
    <row r="15519" spans="1:25" x14ac:dyDescent="0.25">
      <c r="A15519" t="str">
        <f>"150245405000"</f>
        <v>150245405000</v>
      </c>
      <c r="B15519" t="s">
        <v>1352</v>
      </c>
      <c r="C15519" t="s">
        <v>52554</v>
      </c>
      <c r="D15519" t="s">
        <v>6723</v>
      </c>
      <c r="E15519">
        <v>425350</v>
      </c>
      <c r="F15519" t="s">
        <v>1</v>
      </c>
      <c r="G15519" t="s">
        <v>51330</v>
      </c>
      <c r="H15519" t="s">
        <v>51511</v>
      </c>
      <c r="Y15519" t="s">
        <v>52555</v>
      </c>
    </row>
    <row r="15520" spans="1:25" x14ac:dyDescent="0.25">
      <c r="A15520" t="str">
        <f>"150598094568"</f>
        <v>150598094568</v>
      </c>
      <c r="B15520" t="s">
        <v>110</v>
      </c>
      <c r="C15520" t="s">
        <v>111</v>
      </c>
      <c r="D15520" t="s">
        <v>12</v>
      </c>
      <c r="E15520">
        <v>425350</v>
      </c>
      <c r="F15520" t="s">
        <v>1</v>
      </c>
      <c r="G15520" t="s">
        <v>51330</v>
      </c>
      <c r="H15520" t="s">
        <v>52164</v>
      </c>
      <c r="Y15520" t="s">
        <v>52556</v>
      </c>
    </row>
    <row r="15521" spans="1:25" x14ac:dyDescent="0.25">
      <c r="A15521" t="str">
        <f>"151091995279"</f>
        <v>151091995279</v>
      </c>
      <c r="B15521" t="s">
        <v>2055</v>
      </c>
      <c r="C15521" t="s">
        <v>52559</v>
      </c>
      <c r="D15521" t="s">
        <v>52557</v>
      </c>
      <c r="F15521" t="s">
        <v>1</v>
      </c>
      <c r="G15521" t="s">
        <v>51330</v>
      </c>
      <c r="H15521" t="s">
        <v>51416</v>
      </c>
      <c r="I15521" t="s">
        <v>52558</v>
      </c>
      <c r="P15521" t="s">
        <v>987</v>
      </c>
      <c r="Y15521" t="s">
        <v>51418</v>
      </c>
    </row>
    <row r="15522" spans="1:25" x14ac:dyDescent="0.25">
      <c r="A15522" t="str">
        <f>"151136731114"</f>
        <v>151136731114</v>
      </c>
      <c r="B15522" t="s">
        <v>151</v>
      </c>
      <c r="C15522" t="s">
        <v>151</v>
      </c>
      <c r="D15522" t="s">
        <v>151</v>
      </c>
      <c r="E15522">
        <v>425350</v>
      </c>
      <c r="F15522" t="s">
        <v>1</v>
      </c>
      <c r="G15522" t="s">
        <v>51330</v>
      </c>
      <c r="H15522" t="s">
        <v>51511</v>
      </c>
      <c r="Y15522" t="s">
        <v>52386</v>
      </c>
    </row>
    <row r="15523" spans="1:25" x14ac:dyDescent="0.25">
      <c r="A15523" t="str">
        <f>"151282072587"</f>
        <v>151282072587</v>
      </c>
      <c r="B15523" t="s">
        <v>530</v>
      </c>
      <c r="C15523" t="s">
        <v>23950</v>
      </c>
      <c r="D15523" t="s">
        <v>23950</v>
      </c>
      <c r="F15523" t="s">
        <v>1</v>
      </c>
      <c r="G15523" t="s">
        <v>51330</v>
      </c>
      <c r="H15523" t="s">
        <v>52560</v>
      </c>
      <c r="Y15523" t="s">
        <v>52561</v>
      </c>
    </row>
    <row r="15524" spans="1:25" x14ac:dyDescent="0.25">
      <c r="A15524" t="str">
        <f>"151422489753"</f>
        <v>151422489753</v>
      </c>
      <c r="B15524" t="s">
        <v>530</v>
      </c>
      <c r="C15524" t="s">
        <v>23950</v>
      </c>
      <c r="D15524" t="s">
        <v>23950</v>
      </c>
      <c r="F15524" t="s">
        <v>1</v>
      </c>
      <c r="G15524" t="s">
        <v>51330</v>
      </c>
      <c r="H15524" t="s">
        <v>52369</v>
      </c>
      <c r="Y15524" t="s">
        <v>52562</v>
      </c>
    </row>
    <row r="15525" spans="1:25" x14ac:dyDescent="0.25">
      <c r="A15525" t="str">
        <f>"152222669920"</f>
        <v>152222669920</v>
      </c>
      <c r="B15525" t="s">
        <v>319</v>
      </c>
      <c r="C15525" t="s">
        <v>320</v>
      </c>
      <c r="D15525" t="s">
        <v>320</v>
      </c>
      <c r="F15525" t="s">
        <v>1</v>
      </c>
      <c r="G15525" t="s">
        <v>51330</v>
      </c>
      <c r="H15525" t="s">
        <v>52563</v>
      </c>
      <c r="Y15525" t="s">
        <v>52564</v>
      </c>
    </row>
    <row r="15526" spans="1:25" x14ac:dyDescent="0.25">
      <c r="A15526" t="str">
        <f>"152487814783"</f>
        <v>152487814783</v>
      </c>
      <c r="B15526" t="s">
        <v>8011</v>
      </c>
      <c r="C15526" t="s">
        <v>52566</v>
      </c>
      <c r="D15526" t="s">
        <v>9579</v>
      </c>
      <c r="E15526">
        <v>425350</v>
      </c>
      <c r="F15526" t="s">
        <v>1</v>
      </c>
      <c r="G15526" t="s">
        <v>51330</v>
      </c>
      <c r="H15526" t="s">
        <v>51742</v>
      </c>
      <c r="J15526" t="s">
        <v>52565</v>
      </c>
      <c r="P15526" t="s">
        <v>133</v>
      </c>
      <c r="Y15526" t="s">
        <v>52567</v>
      </c>
    </row>
    <row r="15527" spans="1:25" x14ac:dyDescent="0.25">
      <c r="A15527" t="str">
        <f>"152825367356"</f>
        <v>152825367356</v>
      </c>
      <c r="B15527" t="s">
        <v>530</v>
      </c>
      <c r="C15527" t="s">
        <v>23950</v>
      </c>
      <c r="D15527" t="s">
        <v>23950</v>
      </c>
      <c r="F15527" t="s">
        <v>1</v>
      </c>
      <c r="G15527" t="s">
        <v>51330</v>
      </c>
      <c r="H15527" t="s">
        <v>51782</v>
      </c>
      <c r="Y15527" t="s">
        <v>52568</v>
      </c>
    </row>
    <row r="15528" spans="1:25" x14ac:dyDescent="0.25">
      <c r="A15528" t="str">
        <f>"153649440055"</f>
        <v>153649440055</v>
      </c>
      <c r="B15528" t="s">
        <v>1182</v>
      </c>
      <c r="C15528" t="s">
        <v>42586</v>
      </c>
      <c r="D15528" t="s">
        <v>31126</v>
      </c>
      <c r="F15528" t="s">
        <v>1</v>
      </c>
      <c r="G15528" t="s">
        <v>51330</v>
      </c>
      <c r="H15528" t="s">
        <v>52223</v>
      </c>
      <c r="J15528" t="s">
        <v>52549</v>
      </c>
      <c r="P15528" t="s">
        <v>312</v>
      </c>
      <c r="Y15528" t="s">
        <v>52569</v>
      </c>
    </row>
    <row r="15529" spans="1:25" x14ac:dyDescent="0.25">
      <c r="A15529" t="str">
        <f>"153785287246"</f>
        <v>153785287246</v>
      </c>
      <c r="B15529" t="s">
        <v>348</v>
      </c>
      <c r="C15529" t="s">
        <v>4366</v>
      </c>
      <c r="D15529" t="s">
        <v>348</v>
      </c>
      <c r="F15529" t="s">
        <v>1</v>
      </c>
      <c r="G15529" t="s">
        <v>51330</v>
      </c>
      <c r="H15529" t="s">
        <v>52570</v>
      </c>
      <c r="Y15529" t="s">
        <v>52571</v>
      </c>
    </row>
    <row r="15530" spans="1:25" x14ac:dyDescent="0.25">
      <c r="A15530" t="str">
        <f>"154336762571"</f>
        <v>154336762571</v>
      </c>
      <c r="B15530" t="s">
        <v>530</v>
      </c>
      <c r="C15530" t="s">
        <v>23950</v>
      </c>
      <c r="D15530" t="s">
        <v>23950</v>
      </c>
      <c r="F15530" t="s">
        <v>1</v>
      </c>
      <c r="G15530" t="s">
        <v>51330</v>
      </c>
      <c r="H15530" t="s">
        <v>51826</v>
      </c>
      <c r="Y15530" t="s">
        <v>52572</v>
      </c>
    </row>
    <row r="15531" spans="1:25" x14ac:dyDescent="0.25">
      <c r="A15531" t="str">
        <f>"155545116599"</f>
        <v>155545116599</v>
      </c>
      <c r="B15531" t="s">
        <v>430</v>
      </c>
      <c r="C15531" t="s">
        <v>431</v>
      </c>
      <c r="D15531" t="s">
        <v>52573</v>
      </c>
      <c r="E15531">
        <v>425353</v>
      </c>
      <c r="F15531" t="s">
        <v>1</v>
      </c>
      <c r="G15531" t="s">
        <v>51330</v>
      </c>
      <c r="H15531" t="s">
        <v>51553</v>
      </c>
      <c r="Y15531" t="s">
        <v>52574</v>
      </c>
    </row>
    <row r="15532" spans="1:25" x14ac:dyDescent="0.25">
      <c r="A15532" t="str">
        <f>"155658010567"</f>
        <v>155658010567</v>
      </c>
      <c r="B15532" t="s">
        <v>1475</v>
      </c>
      <c r="C15532" t="s">
        <v>1476</v>
      </c>
      <c r="D15532" t="s">
        <v>52575</v>
      </c>
      <c r="E15532">
        <v>425353</v>
      </c>
      <c r="F15532" t="s">
        <v>1</v>
      </c>
      <c r="G15532" t="s">
        <v>51330</v>
      </c>
      <c r="H15532" t="s">
        <v>51837</v>
      </c>
      <c r="P15532" t="s">
        <v>52576</v>
      </c>
      <c r="Y15532" t="s">
        <v>52577</v>
      </c>
    </row>
    <row r="15533" spans="1:25" x14ac:dyDescent="0.25">
      <c r="A15533" t="str">
        <f>"155887680195"</f>
        <v>155887680195</v>
      </c>
      <c r="B15533" t="s">
        <v>18</v>
      </c>
      <c r="C15533" t="s">
        <v>2593</v>
      </c>
      <c r="D15533" t="s">
        <v>2167</v>
      </c>
      <c r="F15533" t="s">
        <v>1</v>
      </c>
      <c r="G15533" t="s">
        <v>51330</v>
      </c>
      <c r="H15533" t="s">
        <v>51853</v>
      </c>
      <c r="J15533" t="s">
        <v>49089</v>
      </c>
      <c r="M15533" t="s">
        <v>52578</v>
      </c>
      <c r="P15533" t="s">
        <v>1027</v>
      </c>
      <c r="S15533" t="s">
        <v>52579</v>
      </c>
      <c r="Y15533" t="s">
        <v>52580</v>
      </c>
    </row>
    <row r="15534" spans="1:25" x14ac:dyDescent="0.25">
      <c r="A15534" t="str">
        <f>"155980787336"</f>
        <v>155980787336</v>
      </c>
      <c r="B15534" t="s">
        <v>530</v>
      </c>
      <c r="C15534" t="s">
        <v>23950</v>
      </c>
      <c r="D15534" t="s">
        <v>23950</v>
      </c>
      <c r="E15534">
        <v>425350</v>
      </c>
      <c r="F15534" t="s">
        <v>1</v>
      </c>
      <c r="G15534" t="s">
        <v>51330</v>
      </c>
      <c r="H15534" t="s">
        <v>52581</v>
      </c>
      <c r="Y15534" t="s">
        <v>52582</v>
      </c>
    </row>
    <row r="15535" spans="1:25" x14ac:dyDescent="0.25">
      <c r="A15535" t="str">
        <f>"155994143480"</f>
        <v>155994143480</v>
      </c>
      <c r="B15535" t="s">
        <v>96</v>
      </c>
      <c r="C15535" t="s">
        <v>695</v>
      </c>
      <c r="D15535" t="s">
        <v>12083</v>
      </c>
      <c r="E15535">
        <v>425350</v>
      </c>
      <c r="F15535" t="s">
        <v>1</v>
      </c>
      <c r="G15535" t="s">
        <v>51330</v>
      </c>
      <c r="H15535" t="s">
        <v>51342</v>
      </c>
      <c r="Y15535" t="s">
        <v>52583</v>
      </c>
    </row>
    <row r="15536" spans="1:25" x14ac:dyDescent="0.25">
      <c r="A15536" t="str">
        <f>"156202668287"</f>
        <v>156202668287</v>
      </c>
      <c r="B15536" t="s">
        <v>80</v>
      </c>
      <c r="C15536" t="s">
        <v>52585</v>
      </c>
      <c r="D15536" t="s">
        <v>7316</v>
      </c>
      <c r="E15536">
        <v>425350</v>
      </c>
      <c r="F15536" t="s">
        <v>1</v>
      </c>
      <c r="G15536" t="s">
        <v>51330</v>
      </c>
      <c r="H15536" t="s">
        <v>52438</v>
      </c>
      <c r="I15536" t="s">
        <v>52584</v>
      </c>
      <c r="L15536" t="s">
        <v>10381</v>
      </c>
      <c r="M15536" t="s">
        <v>10382</v>
      </c>
      <c r="P15536" t="s">
        <v>2738</v>
      </c>
      <c r="Y15536" t="s">
        <v>52586</v>
      </c>
    </row>
    <row r="15537" spans="1:25" x14ac:dyDescent="0.25">
      <c r="A15537" t="str">
        <f>"157028105284"</f>
        <v>157028105284</v>
      </c>
      <c r="B15537" t="s">
        <v>930</v>
      </c>
      <c r="C15537" t="s">
        <v>10263</v>
      </c>
      <c r="D15537" t="s">
        <v>52587</v>
      </c>
      <c r="F15537" t="s">
        <v>1</v>
      </c>
      <c r="G15537" t="s">
        <v>51330</v>
      </c>
      <c r="H15537" t="s">
        <v>51801</v>
      </c>
      <c r="P15537" t="s">
        <v>52588</v>
      </c>
      <c r="Y15537" t="s">
        <v>52589</v>
      </c>
    </row>
    <row r="15538" spans="1:25" x14ac:dyDescent="0.25">
      <c r="A15538" t="str">
        <f>"157034242759"</f>
        <v>157034242759</v>
      </c>
      <c r="B15538" t="s">
        <v>417</v>
      </c>
      <c r="C15538" t="s">
        <v>418</v>
      </c>
      <c r="D15538" t="s">
        <v>417</v>
      </c>
      <c r="E15538">
        <v>425350</v>
      </c>
      <c r="F15538" t="s">
        <v>1</v>
      </c>
      <c r="G15538" t="s">
        <v>51330</v>
      </c>
      <c r="H15538" t="s">
        <v>51407</v>
      </c>
      <c r="P15538" t="s">
        <v>52590</v>
      </c>
      <c r="Y15538" t="s">
        <v>52591</v>
      </c>
    </row>
    <row r="15539" spans="1:25" x14ac:dyDescent="0.25">
      <c r="A15539" t="str">
        <f>"157471902772"</f>
        <v>157471902772</v>
      </c>
      <c r="B15539" t="s">
        <v>1475</v>
      </c>
      <c r="C15539" t="s">
        <v>1476</v>
      </c>
      <c r="D15539" t="s">
        <v>52592</v>
      </c>
      <c r="F15539" t="s">
        <v>1</v>
      </c>
      <c r="G15539" t="s">
        <v>51330</v>
      </c>
      <c r="H15539" t="s">
        <v>51849</v>
      </c>
      <c r="I15539" t="s">
        <v>52593</v>
      </c>
      <c r="J15539" t="s">
        <v>52594</v>
      </c>
      <c r="M15539" t="s">
        <v>52595</v>
      </c>
      <c r="P15539" t="s">
        <v>11587</v>
      </c>
      <c r="Y15539" t="s">
        <v>52596</v>
      </c>
    </row>
    <row r="15540" spans="1:25" x14ac:dyDescent="0.25">
      <c r="A15540" t="str">
        <f>"157722408264"</f>
        <v>157722408264</v>
      </c>
      <c r="B15540" t="s">
        <v>530</v>
      </c>
      <c r="C15540" t="s">
        <v>23950</v>
      </c>
      <c r="D15540" t="s">
        <v>23950</v>
      </c>
      <c r="E15540">
        <v>425350</v>
      </c>
      <c r="F15540" t="s">
        <v>1</v>
      </c>
      <c r="G15540" t="s">
        <v>51330</v>
      </c>
      <c r="H15540" t="s">
        <v>51351</v>
      </c>
      <c r="Y15540" t="s">
        <v>52597</v>
      </c>
    </row>
    <row r="15541" spans="1:25" x14ac:dyDescent="0.25">
      <c r="A15541" t="str">
        <f>"159406317680"</f>
        <v>159406317680</v>
      </c>
      <c r="B15541" t="s">
        <v>530</v>
      </c>
      <c r="C15541" t="s">
        <v>23950</v>
      </c>
      <c r="D15541" t="s">
        <v>23950</v>
      </c>
      <c r="F15541" t="s">
        <v>1</v>
      </c>
      <c r="G15541" t="s">
        <v>51330</v>
      </c>
      <c r="H15541" t="s">
        <v>52598</v>
      </c>
      <c r="Y15541" t="s">
        <v>52599</v>
      </c>
    </row>
    <row r="15542" spans="1:25" x14ac:dyDescent="0.25">
      <c r="A15542" t="str">
        <f>"160541882995"</f>
        <v>160541882995</v>
      </c>
      <c r="B15542" t="s">
        <v>530</v>
      </c>
      <c r="C15542" t="s">
        <v>23950</v>
      </c>
      <c r="D15542" t="s">
        <v>23950</v>
      </c>
      <c r="F15542" t="s">
        <v>1</v>
      </c>
      <c r="G15542" t="s">
        <v>51330</v>
      </c>
      <c r="H15542" t="s">
        <v>52600</v>
      </c>
      <c r="Y15542" t="s">
        <v>52601</v>
      </c>
    </row>
    <row r="15543" spans="1:25" x14ac:dyDescent="0.25">
      <c r="A15543" t="str">
        <f>"160640750370"</f>
        <v>160640750370</v>
      </c>
      <c r="B15543" t="s">
        <v>574</v>
      </c>
      <c r="C15543" t="s">
        <v>52602</v>
      </c>
      <c r="D15543" t="s">
        <v>569</v>
      </c>
      <c r="F15543" t="s">
        <v>1</v>
      </c>
      <c r="G15543" t="s">
        <v>51330</v>
      </c>
      <c r="H15543" t="s">
        <v>51337</v>
      </c>
      <c r="P15543" t="s">
        <v>52603</v>
      </c>
      <c r="Y15543" t="s">
        <v>52604</v>
      </c>
    </row>
    <row r="15544" spans="1:25" x14ac:dyDescent="0.25">
      <c r="A15544" t="str">
        <f>"160759622265"</f>
        <v>160759622265</v>
      </c>
      <c r="B15544" t="s">
        <v>1152</v>
      </c>
      <c r="C15544" t="s">
        <v>2319</v>
      </c>
      <c r="D15544" t="s">
        <v>2319</v>
      </c>
      <c r="E15544">
        <v>425350</v>
      </c>
      <c r="F15544" t="s">
        <v>1</v>
      </c>
      <c r="G15544" t="s">
        <v>51330</v>
      </c>
      <c r="H15544" t="s">
        <v>52164</v>
      </c>
      <c r="Y15544" t="s">
        <v>52605</v>
      </c>
    </row>
    <row r="15545" spans="1:25" x14ac:dyDescent="0.25">
      <c r="A15545" t="str">
        <f>"160879641792"</f>
        <v>160879641792</v>
      </c>
      <c r="B15545" t="s">
        <v>1152</v>
      </c>
      <c r="C15545" t="s">
        <v>1989</v>
      </c>
      <c r="D15545" t="s">
        <v>52606</v>
      </c>
      <c r="E15545">
        <v>425350</v>
      </c>
      <c r="F15545" t="s">
        <v>1</v>
      </c>
      <c r="G15545" t="s">
        <v>51330</v>
      </c>
      <c r="H15545" t="s">
        <v>52164</v>
      </c>
      <c r="Y15545" t="s">
        <v>52607</v>
      </c>
    </row>
    <row r="15546" spans="1:25" x14ac:dyDescent="0.25">
      <c r="A15546" t="str">
        <f>"161270599243"</f>
        <v>161270599243</v>
      </c>
      <c r="B15546" t="s">
        <v>1152</v>
      </c>
      <c r="C15546" t="s">
        <v>1153</v>
      </c>
      <c r="D15546" t="s">
        <v>10280</v>
      </c>
      <c r="E15546">
        <v>425350</v>
      </c>
      <c r="F15546" t="s">
        <v>1</v>
      </c>
      <c r="G15546" t="s">
        <v>51330</v>
      </c>
      <c r="H15546" t="s">
        <v>51394</v>
      </c>
      <c r="I15546" t="s">
        <v>22092</v>
      </c>
      <c r="M15546" t="s">
        <v>10284</v>
      </c>
      <c r="Q15546" t="s">
        <v>10286</v>
      </c>
      <c r="R15546" t="s">
        <v>10287</v>
      </c>
      <c r="S15546" t="s">
        <v>10288</v>
      </c>
      <c r="T15546" t="s">
        <v>10289</v>
      </c>
      <c r="U15546" t="s">
        <v>10290</v>
      </c>
      <c r="V15546" t="s">
        <v>10291</v>
      </c>
      <c r="Y15546" t="s">
        <v>51721</v>
      </c>
    </row>
    <row r="15547" spans="1:25" x14ac:dyDescent="0.25">
      <c r="A15547" t="str">
        <f>"161567407545"</f>
        <v>161567407545</v>
      </c>
      <c r="B15547" t="s">
        <v>574</v>
      </c>
      <c r="C15547" t="s">
        <v>646</v>
      </c>
      <c r="D15547" t="s">
        <v>24040</v>
      </c>
      <c r="F15547" t="s">
        <v>1</v>
      </c>
      <c r="G15547" t="s">
        <v>51330</v>
      </c>
      <c r="H15547" t="s">
        <v>52002</v>
      </c>
      <c r="P15547" t="s">
        <v>2457</v>
      </c>
      <c r="Y15547" t="s">
        <v>52608</v>
      </c>
    </row>
    <row r="15548" spans="1:25" x14ac:dyDescent="0.25">
      <c r="A15548" t="str">
        <f>"162569471291"</f>
        <v>162569471291</v>
      </c>
      <c r="B15548" t="s">
        <v>18</v>
      </c>
      <c r="C15548" t="s">
        <v>4522</v>
      </c>
      <c r="D15548" t="s">
        <v>52609</v>
      </c>
      <c r="F15548" t="s">
        <v>1</v>
      </c>
      <c r="G15548" t="s">
        <v>51330</v>
      </c>
      <c r="H15548" t="s">
        <v>51758</v>
      </c>
      <c r="Y15548" t="s">
        <v>51371</v>
      </c>
    </row>
    <row r="15549" spans="1:25" x14ac:dyDescent="0.25">
      <c r="A15549" t="str">
        <f>"162728173894"</f>
        <v>162728173894</v>
      </c>
      <c r="B15549" t="s">
        <v>462</v>
      </c>
      <c r="C15549" t="s">
        <v>3988</v>
      </c>
      <c r="D15549" t="s">
        <v>52610</v>
      </c>
      <c r="F15549" t="s">
        <v>1</v>
      </c>
      <c r="G15549" t="s">
        <v>51330</v>
      </c>
      <c r="H15549" t="s">
        <v>52611</v>
      </c>
      <c r="J15549" t="s">
        <v>52612</v>
      </c>
      <c r="L15549" t="s">
        <v>52613</v>
      </c>
      <c r="M15549" t="s">
        <v>52614</v>
      </c>
      <c r="P15549" t="s">
        <v>9</v>
      </c>
      <c r="Q15549" t="s">
        <v>52615</v>
      </c>
      <c r="Y15549" t="s">
        <v>52616</v>
      </c>
    </row>
    <row r="15550" spans="1:25" x14ac:dyDescent="0.25">
      <c r="A15550" t="str">
        <f>"164195352965"</f>
        <v>164195352965</v>
      </c>
      <c r="B15550" t="s">
        <v>290</v>
      </c>
      <c r="C15550" t="s">
        <v>290</v>
      </c>
      <c r="D15550" t="s">
        <v>52617</v>
      </c>
      <c r="E15550">
        <v>425350</v>
      </c>
      <c r="F15550" t="s">
        <v>1</v>
      </c>
      <c r="G15550" t="s">
        <v>51330</v>
      </c>
      <c r="H15550" t="s">
        <v>51591</v>
      </c>
      <c r="Y15550" t="s">
        <v>52618</v>
      </c>
    </row>
    <row r="15551" spans="1:25" x14ac:dyDescent="0.25">
      <c r="A15551" t="str">
        <f>"164280218884"</f>
        <v>164280218884</v>
      </c>
      <c r="B15551" t="s">
        <v>1152</v>
      </c>
      <c r="C15551" t="s">
        <v>20846</v>
      </c>
      <c r="D15551" t="s">
        <v>52166</v>
      </c>
      <c r="E15551">
        <v>425350</v>
      </c>
      <c r="F15551" t="s">
        <v>1</v>
      </c>
      <c r="G15551" t="s">
        <v>51330</v>
      </c>
      <c r="H15551" t="s">
        <v>52164</v>
      </c>
      <c r="P15551" t="s">
        <v>696</v>
      </c>
      <c r="Y15551" t="s">
        <v>52619</v>
      </c>
    </row>
    <row r="15552" spans="1:25" x14ac:dyDescent="0.25">
      <c r="A15552" t="str">
        <f>"164847810308"</f>
        <v>164847810308</v>
      </c>
      <c r="B15552" t="s">
        <v>25</v>
      </c>
      <c r="C15552" t="s">
        <v>59</v>
      </c>
      <c r="D15552" t="s">
        <v>5236</v>
      </c>
      <c r="E15552">
        <v>425353</v>
      </c>
      <c r="F15552" t="s">
        <v>1</v>
      </c>
      <c r="G15552" t="s">
        <v>51330</v>
      </c>
      <c r="H15552" t="s">
        <v>51837</v>
      </c>
      <c r="Y15552" t="s">
        <v>52620</v>
      </c>
    </row>
    <row r="15553" spans="1:25" x14ac:dyDescent="0.25">
      <c r="A15553" t="str">
        <f>"164936719173"</f>
        <v>164936719173</v>
      </c>
      <c r="B15553" t="s">
        <v>290</v>
      </c>
      <c r="C15553" t="s">
        <v>291</v>
      </c>
      <c r="D15553" t="s">
        <v>20891</v>
      </c>
      <c r="F15553" t="s">
        <v>1</v>
      </c>
      <c r="G15553" t="s">
        <v>51330</v>
      </c>
      <c r="H15553" t="s">
        <v>52380</v>
      </c>
      <c r="J15553" t="s">
        <v>52621</v>
      </c>
      <c r="P15553" t="s">
        <v>52622</v>
      </c>
      <c r="Q15553" t="s">
        <v>52623</v>
      </c>
      <c r="Y15553" t="s">
        <v>52624</v>
      </c>
    </row>
    <row r="15554" spans="1:25" x14ac:dyDescent="0.25">
      <c r="A15554" t="str">
        <f>"165047163881"</f>
        <v>165047163881</v>
      </c>
      <c r="B15554" t="s">
        <v>574</v>
      </c>
      <c r="C15554" t="s">
        <v>646</v>
      </c>
      <c r="D15554" t="s">
        <v>4221</v>
      </c>
      <c r="E15554">
        <v>425354</v>
      </c>
      <c r="F15554" t="s">
        <v>1</v>
      </c>
      <c r="G15554" t="s">
        <v>51330</v>
      </c>
      <c r="H15554" t="s">
        <v>52625</v>
      </c>
      <c r="P15554" t="s">
        <v>2457</v>
      </c>
      <c r="Y15554" t="s">
        <v>52626</v>
      </c>
    </row>
    <row r="15555" spans="1:25" x14ac:dyDescent="0.25">
      <c r="A15555" t="str">
        <f>"165064421664"</f>
        <v>165064421664</v>
      </c>
      <c r="B15555" t="s">
        <v>1061</v>
      </c>
      <c r="C15555" t="s">
        <v>50823</v>
      </c>
      <c r="D15555" t="s">
        <v>52627</v>
      </c>
      <c r="F15555" t="s">
        <v>1</v>
      </c>
      <c r="G15555" t="s">
        <v>51330</v>
      </c>
      <c r="H15555" t="s">
        <v>51767</v>
      </c>
      <c r="Y15555" t="s">
        <v>52628</v>
      </c>
    </row>
    <row r="15556" spans="1:25" x14ac:dyDescent="0.25">
      <c r="A15556" t="str">
        <f>"165361519692"</f>
        <v>165361519692</v>
      </c>
      <c r="B15556" t="s">
        <v>18</v>
      </c>
      <c r="C15556" t="s">
        <v>6222</v>
      </c>
      <c r="D15556" t="s">
        <v>52540</v>
      </c>
      <c r="F15556" t="s">
        <v>1</v>
      </c>
      <c r="G15556" t="s">
        <v>51330</v>
      </c>
      <c r="H15556" t="s">
        <v>52570</v>
      </c>
      <c r="Y15556" t="s">
        <v>52629</v>
      </c>
    </row>
    <row r="15557" spans="1:25" x14ac:dyDescent="0.25">
      <c r="A15557" t="str">
        <f>"165446827231"</f>
        <v>165446827231</v>
      </c>
      <c r="B15557" t="s">
        <v>530</v>
      </c>
      <c r="C15557" t="s">
        <v>23950</v>
      </c>
      <c r="D15557" t="s">
        <v>23950</v>
      </c>
      <c r="F15557" t="s">
        <v>1</v>
      </c>
      <c r="G15557" t="s">
        <v>51330</v>
      </c>
      <c r="H15557" t="s">
        <v>52024</v>
      </c>
      <c r="Y15557" t="s">
        <v>52630</v>
      </c>
    </row>
    <row r="15558" spans="1:25" x14ac:dyDescent="0.25">
      <c r="A15558" t="str">
        <f>"165847480965"</f>
        <v>165847480965</v>
      </c>
      <c r="B15558" t="s">
        <v>1611</v>
      </c>
      <c r="C15558" t="s">
        <v>52631</v>
      </c>
      <c r="D15558" t="s">
        <v>30153</v>
      </c>
      <c r="F15558" t="s">
        <v>1</v>
      </c>
      <c r="G15558" t="s">
        <v>51330</v>
      </c>
      <c r="H15558" t="s">
        <v>52314</v>
      </c>
      <c r="P15558" t="s">
        <v>4765</v>
      </c>
      <c r="Y15558" t="s">
        <v>52632</v>
      </c>
    </row>
    <row r="15559" spans="1:25" x14ac:dyDescent="0.25">
      <c r="A15559" t="str">
        <f>"166200714248"</f>
        <v>166200714248</v>
      </c>
      <c r="B15559" t="s">
        <v>888</v>
      </c>
      <c r="C15559" t="s">
        <v>15845</v>
      </c>
      <c r="D15559" t="s">
        <v>52633</v>
      </c>
      <c r="E15559">
        <v>425350</v>
      </c>
      <c r="F15559" t="s">
        <v>1</v>
      </c>
      <c r="G15559" t="s">
        <v>51330</v>
      </c>
      <c r="H15559" t="s">
        <v>51342</v>
      </c>
      <c r="Y15559" t="s">
        <v>52634</v>
      </c>
    </row>
    <row r="15560" spans="1:25" x14ac:dyDescent="0.25">
      <c r="A15560" t="str">
        <f>"166866802768"</f>
        <v>166866802768</v>
      </c>
      <c r="B15560" t="s">
        <v>3094</v>
      </c>
      <c r="C15560" t="s">
        <v>3095</v>
      </c>
      <c r="D15560" t="s">
        <v>52635</v>
      </c>
      <c r="F15560" t="s">
        <v>1</v>
      </c>
      <c r="G15560" t="s">
        <v>51330</v>
      </c>
      <c r="H15560" t="s">
        <v>52636</v>
      </c>
      <c r="Y15560" t="s">
        <v>52637</v>
      </c>
    </row>
    <row r="15561" spans="1:25" x14ac:dyDescent="0.25">
      <c r="A15561" t="str">
        <f>"166976051687"</f>
        <v>166976051687</v>
      </c>
      <c r="B15561" t="s">
        <v>96</v>
      </c>
      <c r="C15561" t="s">
        <v>893</v>
      </c>
      <c r="D15561" t="s">
        <v>52638</v>
      </c>
      <c r="E15561">
        <v>425353</v>
      </c>
      <c r="F15561" t="s">
        <v>1</v>
      </c>
      <c r="G15561" t="s">
        <v>51330</v>
      </c>
      <c r="H15561" t="s">
        <v>51837</v>
      </c>
      <c r="Y15561" t="s">
        <v>52639</v>
      </c>
    </row>
    <row r="15562" spans="1:25" x14ac:dyDescent="0.25">
      <c r="A15562" t="str">
        <f>"167341104549"</f>
        <v>167341104549</v>
      </c>
      <c r="B15562" t="s">
        <v>482</v>
      </c>
      <c r="C15562" t="s">
        <v>483</v>
      </c>
      <c r="D15562" t="s">
        <v>52640</v>
      </c>
      <c r="F15562" t="s">
        <v>1</v>
      </c>
      <c r="G15562" t="s">
        <v>51330</v>
      </c>
      <c r="H15562" t="s">
        <v>52380</v>
      </c>
      <c r="I15562" t="s">
        <v>52641</v>
      </c>
      <c r="L15562" t="s">
        <v>52642</v>
      </c>
      <c r="P15562" t="s">
        <v>280</v>
      </c>
      <c r="Q15562" t="s">
        <v>52643</v>
      </c>
      <c r="R15562" t="s">
        <v>52644</v>
      </c>
      <c r="Y15562" t="s">
        <v>52645</v>
      </c>
    </row>
    <row r="15563" spans="1:25" x14ac:dyDescent="0.25">
      <c r="A15563" t="str">
        <f>"168588383729"</f>
        <v>168588383729</v>
      </c>
      <c r="B15563" t="s">
        <v>462</v>
      </c>
      <c r="C15563" t="s">
        <v>1140</v>
      </c>
      <c r="D15563" t="s">
        <v>52646</v>
      </c>
      <c r="E15563">
        <v>425350</v>
      </c>
      <c r="F15563" t="s">
        <v>1</v>
      </c>
      <c r="G15563" t="s">
        <v>51330</v>
      </c>
      <c r="H15563" t="s">
        <v>52647</v>
      </c>
      <c r="Y15563" t="s">
        <v>52648</v>
      </c>
    </row>
    <row r="15564" spans="1:25" x14ac:dyDescent="0.25">
      <c r="A15564" t="str">
        <f>"168661206336"</f>
        <v>168661206336</v>
      </c>
      <c r="B15564" t="s">
        <v>319</v>
      </c>
      <c r="C15564" t="s">
        <v>320</v>
      </c>
      <c r="D15564" t="s">
        <v>320</v>
      </c>
      <c r="E15564">
        <v>425350</v>
      </c>
      <c r="F15564" t="s">
        <v>1</v>
      </c>
      <c r="G15564" t="s">
        <v>51330</v>
      </c>
      <c r="H15564" t="s">
        <v>51591</v>
      </c>
      <c r="Y15564" t="s">
        <v>52649</v>
      </c>
    </row>
    <row r="15565" spans="1:25" x14ac:dyDescent="0.25">
      <c r="A15565" t="str">
        <f>"169953677735"</f>
        <v>169953677735</v>
      </c>
      <c r="B15565" t="s">
        <v>530</v>
      </c>
      <c r="C15565" t="s">
        <v>23950</v>
      </c>
      <c r="D15565" t="s">
        <v>23950</v>
      </c>
      <c r="F15565" t="s">
        <v>1</v>
      </c>
      <c r="G15565" t="s">
        <v>51330</v>
      </c>
      <c r="H15565" t="s">
        <v>51931</v>
      </c>
      <c r="Y15565" t="s">
        <v>52650</v>
      </c>
    </row>
    <row r="15566" spans="1:25" x14ac:dyDescent="0.25">
      <c r="A15566" t="str">
        <f>"170288363291"</f>
        <v>170288363291</v>
      </c>
      <c r="B15566" t="s">
        <v>1617</v>
      </c>
      <c r="C15566" t="s">
        <v>1618</v>
      </c>
      <c r="D15566" t="s">
        <v>1618</v>
      </c>
      <c r="F15566" t="s">
        <v>1</v>
      </c>
      <c r="G15566" t="s">
        <v>51330</v>
      </c>
      <c r="H15566" t="s">
        <v>51824</v>
      </c>
      <c r="P15566" t="s">
        <v>22843</v>
      </c>
      <c r="Y15566" t="s">
        <v>52651</v>
      </c>
    </row>
    <row r="15567" spans="1:25" x14ac:dyDescent="0.25">
      <c r="A15567" t="str">
        <f>"171269810709"</f>
        <v>171269810709</v>
      </c>
      <c r="B15567" t="s">
        <v>640</v>
      </c>
      <c r="C15567" t="s">
        <v>24659</v>
      </c>
      <c r="D15567" t="s">
        <v>4964</v>
      </c>
      <c r="F15567" t="s">
        <v>1</v>
      </c>
      <c r="G15567" t="s">
        <v>51330</v>
      </c>
      <c r="H15567" t="s">
        <v>51816</v>
      </c>
      <c r="P15567" t="s">
        <v>216</v>
      </c>
      <c r="Y15567" t="s">
        <v>52652</v>
      </c>
    </row>
    <row r="15568" spans="1:25" x14ac:dyDescent="0.25">
      <c r="A15568" t="str">
        <f>"171399829086"</f>
        <v>171399829086</v>
      </c>
      <c r="B15568" t="s">
        <v>80</v>
      </c>
      <c r="C15568" t="s">
        <v>2071</v>
      </c>
      <c r="D15568" t="s">
        <v>52653</v>
      </c>
      <c r="F15568" t="s">
        <v>1</v>
      </c>
      <c r="G15568" t="s">
        <v>51330</v>
      </c>
      <c r="H15568" t="s">
        <v>52111</v>
      </c>
      <c r="Y15568" t="s">
        <v>52654</v>
      </c>
    </row>
    <row r="15569" spans="1:25" x14ac:dyDescent="0.25">
      <c r="A15569" t="str">
        <f>"171415062078"</f>
        <v>171415062078</v>
      </c>
      <c r="B15569" t="s">
        <v>233</v>
      </c>
      <c r="C15569" t="s">
        <v>14003</v>
      </c>
      <c r="D15569" t="s">
        <v>52015</v>
      </c>
      <c r="F15569" t="s">
        <v>1</v>
      </c>
      <c r="G15569" t="s">
        <v>51330</v>
      </c>
      <c r="H15569" t="s">
        <v>52048</v>
      </c>
      <c r="P15569" t="s">
        <v>410</v>
      </c>
      <c r="Y15569" t="s">
        <v>52655</v>
      </c>
    </row>
    <row r="15570" spans="1:25" x14ac:dyDescent="0.25">
      <c r="A15570" t="str">
        <f>"171755564548"</f>
        <v>171755564548</v>
      </c>
      <c r="B15570" t="s">
        <v>123</v>
      </c>
      <c r="C15570" t="s">
        <v>424</v>
      </c>
      <c r="D15570" t="s">
        <v>52201</v>
      </c>
      <c r="F15570" t="s">
        <v>1</v>
      </c>
      <c r="G15570" t="s">
        <v>51330</v>
      </c>
      <c r="H15570" t="s">
        <v>52656</v>
      </c>
      <c r="I15570" t="s">
        <v>52657</v>
      </c>
      <c r="P15570" t="s">
        <v>52658</v>
      </c>
      <c r="Y15570" t="s">
        <v>52659</v>
      </c>
    </row>
    <row r="15571" spans="1:25" x14ac:dyDescent="0.25">
      <c r="A15571" t="str">
        <f>"172007240628"</f>
        <v>172007240628</v>
      </c>
      <c r="B15571" t="s">
        <v>930</v>
      </c>
      <c r="C15571" t="s">
        <v>1096</v>
      </c>
      <c r="D15571" t="s">
        <v>52265</v>
      </c>
      <c r="F15571" t="s">
        <v>1</v>
      </c>
      <c r="G15571" t="s">
        <v>51330</v>
      </c>
      <c r="H15571" t="s">
        <v>52266</v>
      </c>
      <c r="Y15571" t="s">
        <v>52660</v>
      </c>
    </row>
    <row r="15572" spans="1:25" x14ac:dyDescent="0.25">
      <c r="A15572" t="str">
        <f>"172615424716"</f>
        <v>172615424716</v>
      </c>
      <c r="B15572" t="s">
        <v>574</v>
      </c>
      <c r="C15572" t="s">
        <v>646</v>
      </c>
      <c r="D15572" t="s">
        <v>43687</v>
      </c>
      <c r="F15572" t="s">
        <v>1</v>
      </c>
      <c r="G15572" t="s">
        <v>51330</v>
      </c>
      <c r="H15572" t="s">
        <v>51816</v>
      </c>
      <c r="P15572" t="s">
        <v>6764</v>
      </c>
      <c r="Y15572" t="s">
        <v>52661</v>
      </c>
    </row>
    <row r="15573" spans="1:25" x14ac:dyDescent="0.25">
      <c r="A15573" t="str">
        <f>"174395476337"</f>
        <v>174395476337</v>
      </c>
      <c r="B15573" t="s">
        <v>530</v>
      </c>
      <c r="C15573" t="s">
        <v>23950</v>
      </c>
      <c r="D15573" t="s">
        <v>23950</v>
      </c>
      <c r="F15573" t="s">
        <v>1</v>
      </c>
      <c r="G15573" t="s">
        <v>51330</v>
      </c>
      <c r="H15573" t="s">
        <v>52662</v>
      </c>
      <c r="Y15573" t="s">
        <v>52663</v>
      </c>
    </row>
    <row r="15574" spans="1:25" x14ac:dyDescent="0.25">
      <c r="A15574" t="str">
        <f>"174549173681"</f>
        <v>174549173681</v>
      </c>
      <c r="B15574" t="s">
        <v>123</v>
      </c>
      <c r="C15574" t="s">
        <v>424</v>
      </c>
      <c r="D15574" t="s">
        <v>8943</v>
      </c>
      <c r="F15574" t="s">
        <v>1</v>
      </c>
      <c r="G15574" t="s">
        <v>51330</v>
      </c>
      <c r="H15574" t="s">
        <v>52664</v>
      </c>
      <c r="I15574" t="s">
        <v>52665</v>
      </c>
      <c r="P15574" t="s">
        <v>280</v>
      </c>
      <c r="Y15574" t="s">
        <v>52666</v>
      </c>
    </row>
    <row r="15575" spans="1:25" x14ac:dyDescent="0.25">
      <c r="A15575" t="str">
        <f>"176007159189"</f>
        <v>176007159189</v>
      </c>
      <c r="B15575" t="s">
        <v>3700</v>
      </c>
      <c r="C15575" t="s">
        <v>4023</v>
      </c>
      <c r="D15575" t="s">
        <v>52528</v>
      </c>
      <c r="F15575" t="s">
        <v>1</v>
      </c>
      <c r="G15575" t="s">
        <v>51330</v>
      </c>
      <c r="H15575" t="s">
        <v>51779</v>
      </c>
      <c r="Y15575" t="s">
        <v>52667</v>
      </c>
    </row>
    <row r="15576" spans="1:25" x14ac:dyDescent="0.25">
      <c r="A15576" t="str">
        <f>"176415427514"</f>
        <v>176415427514</v>
      </c>
      <c r="B15576" t="s">
        <v>319</v>
      </c>
      <c r="C15576" t="s">
        <v>320</v>
      </c>
      <c r="D15576" t="s">
        <v>10276</v>
      </c>
      <c r="E15576">
        <v>425350</v>
      </c>
      <c r="F15576" t="s">
        <v>1</v>
      </c>
      <c r="G15576" t="s">
        <v>51330</v>
      </c>
      <c r="H15576" t="s">
        <v>51511</v>
      </c>
      <c r="I15576" t="s">
        <v>52668</v>
      </c>
      <c r="J15576" t="s">
        <v>52669</v>
      </c>
      <c r="Y15576" t="s">
        <v>52670</v>
      </c>
    </row>
    <row r="15577" spans="1:25" x14ac:dyDescent="0.25">
      <c r="A15577" t="str">
        <f>"176969525700"</f>
        <v>176969525700</v>
      </c>
      <c r="B15577" t="s">
        <v>624</v>
      </c>
      <c r="C15577" t="s">
        <v>50933</v>
      </c>
      <c r="D15577" t="s">
        <v>52488</v>
      </c>
      <c r="F15577" t="s">
        <v>1</v>
      </c>
      <c r="G15577" t="s">
        <v>51330</v>
      </c>
      <c r="H15577" t="s">
        <v>51784</v>
      </c>
      <c r="Y15577" t="s">
        <v>52671</v>
      </c>
    </row>
    <row r="15578" spans="1:25" x14ac:dyDescent="0.25">
      <c r="A15578" t="str">
        <f>"177628127639"</f>
        <v>177628127639</v>
      </c>
      <c r="B15578" t="s">
        <v>456</v>
      </c>
      <c r="C15578" t="s">
        <v>2773</v>
      </c>
      <c r="D15578" t="s">
        <v>52672</v>
      </c>
      <c r="F15578" t="s">
        <v>1</v>
      </c>
      <c r="G15578" t="s">
        <v>51330</v>
      </c>
      <c r="H15578" t="s">
        <v>52673</v>
      </c>
      <c r="J15578" t="s">
        <v>52674</v>
      </c>
      <c r="L15578" t="s">
        <v>52675</v>
      </c>
      <c r="P15578" t="s">
        <v>1160</v>
      </c>
      <c r="Y15578" t="s">
        <v>52676</v>
      </c>
    </row>
    <row r="15579" spans="1:25" x14ac:dyDescent="0.25">
      <c r="A15579" t="str">
        <f>"178315525001"</f>
        <v>178315525001</v>
      </c>
      <c r="B15579" t="s">
        <v>530</v>
      </c>
      <c r="C15579" t="s">
        <v>23950</v>
      </c>
      <c r="D15579" t="s">
        <v>23950</v>
      </c>
      <c r="E15579">
        <v>425350</v>
      </c>
      <c r="F15579" t="s">
        <v>1</v>
      </c>
      <c r="G15579" t="s">
        <v>51330</v>
      </c>
      <c r="H15579" t="s">
        <v>52177</v>
      </c>
      <c r="Y15579" t="s">
        <v>52677</v>
      </c>
    </row>
    <row r="15580" spans="1:25" x14ac:dyDescent="0.25">
      <c r="A15580" t="str">
        <f>"178401264093"</f>
        <v>178401264093</v>
      </c>
      <c r="B15580" t="s">
        <v>348</v>
      </c>
      <c r="C15580" t="s">
        <v>4366</v>
      </c>
      <c r="D15580" t="s">
        <v>1297</v>
      </c>
      <c r="E15580">
        <v>425353</v>
      </c>
      <c r="F15580" t="s">
        <v>1</v>
      </c>
      <c r="G15580" t="s">
        <v>51330</v>
      </c>
      <c r="H15580" t="s">
        <v>52050</v>
      </c>
      <c r="Y15580" t="s">
        <v>52678</v>
      </c>
    </row>
    <row r="15581" spans="1:25" x14ac:dyDescent="0.25">
      <c r="A15581" t="str">
        <f>"179314769666"</f>
        <v>179314769666</v>
      </c>
      <c r="B15581" t="s">
        <v>530</v>
      </c>
      <c r="C15581" t="s">
        <v>23950</v>
      </c>
      <c r="D15581" t="s">
        <v>23950</v>
      </c>
      <c r="E15581">
        <v>425350</v>
      </c>
      <c r="F15581" t="s">
        <v>1</v>
      </c>
      <c r="G15581" t="s">
        <v>51330</v>
      </c>
      <c r="H15581" t="s">
        <v>51980</v>
      </c>
      <c r="Y15581" t="s">
        <v>52679</v>
      </c>
    </row>
    <row r="15582" spans="1:25" x14ac:dyDescent="0.25">
      <c r="A15582" t="str">
        <f>"179450662913"</f>
        <v>179450662913</v>
      </c>
      <c r="B15582" t="s">
        <v>803</v>
      </c>
      <c r="C15582" t="s">
        <v>29318</v>
      </c>
      <c r="D15582" t="s">
        <v>29317</v>
      </c>
      <c r="E15582">
        <v>425350</v>
      </c>
      <c r="F15582" t="s">
        <v>1</v>
      </c>
      <c r="G15582" t="s">
        <v>51330</v>
      </c>
      <c r="H15582" t="s">
        <v>51771</v>
      </c>
      <c r="Y15582" t="s">
        <v>52680</v>
      </c>
    </row>
    <row r="15583" spans="1:25" x14ac:dyDescent="0.25">
      <c r="A15583" t="str">
        <f>"179513504309"</f>
        <v>179513504309</v>
      </c>
      <c r="B15583" t="s">
        <v>1343</v>
      </c>
      <c r="C15583" t="s">
        <v>13544</v>
      </c>
      <c r="D15583" t="s">
        <v>26865</v>
      </c>
      <c r="E15583">
        <v>425353</v>
      </c>
      <c r="F15583" t="s">
        <v>1</v>
      </c>
      <c r="G15583" t="s">
        <v>51330</v>
      </c>
      <c r="H15583" t="s">
        <v>51553</v>
      </c>
      <c r="Y15583" t="s">
        <v>52681</v>
      </c>
    </row>
    <row r="15584" spans="1:25" x14ac:dyDescent="0.25">
      <c r="A15584" t="str">
        <f>"179525480236"</f>
        <v>179525480236</v>
      </c>
      <c r="B15584" t="s">
        <v>117</v>
      </c>
      <c r="C15584" t="s">
        <v>873</v>
      </c>
      <c r="D15584" t="s">
        <v>873</v>
      </c>
      <c r="F15584" t="s">
        <v>1</v>
      </c>
      <c r="G15584" t="s">
        <v>51330</v>
      </c>
      <c r="H15584" t="s">
        <v>52682</v>
      </c>
      <c r="Y15584" t="s">
        <v>52683</v>
      </c>
    </row>
    <row r="15585" spans="1:25" x14ac:dyDescent="0.25">
      <c r="A15585" t="str">
        <f>"180438936341"</f>
        <v>180438936341</v>
      </c>
      <c r="B15585" t="s">
        <v>1046</v>
      </c>
      <c r="C15585" t="s">
        <v>22946</v>
      </c>
      <c r="D15585" t="s">
        <v>22946</v>
      </c>
      <c r="E15585">
        <v>425354</v>
      </c>
      <c r="F15585" t="s">
        <v>1</v>
      </c>
      <c r="G15585" t="s">
        <v>51330</v>
      </c>
      <c r="H15585" t="s">
        <v>52684</v>
      </c>
      <c r="Y15585" t="s">
        <v>52685</v>
      </c>
    </row>
    <row r="15586" spans="1:25" x14ac:dyDescent="0.25">
      <c r="A15586" t="str">
        <f>"181727524586"</f>
        <v>181727524586</v>
      </c>
      <c r="B15586" t="s">
        <v>3094</v>
      </c>
      <c r="C15586" t="s">
        <v>6522</v>
      </c>
      <c r="D15586" t="s">
        <v>52686</v>
      </c>
      <c r="F15586" t="s">
        <v>1</v>
      </c>
      <c r="G15586" t="s">
        <v>51330</v>
      </c>
      <c r="H15586" t="s">
        <v>52636</v>
      </c>
      <c r="I15586" t="s">
        <v>52687</v>
      </c>
      <c r="L15586" t="s">
        <v>52688</v>
      </c>
      <c r="M15586" t="s">
        <v>52689</v>
      </c>
      <c r="P15586" t="s">
        <v>26325</v>
      </c>
      <c r="Y15586" t="s">
        <v>52690</v>
      </c>
    </row>
    <row r="15587" spans="1:25" x14ac:dyDescent="0.25">
      <c r="A15587" t="str">
        <f>"182464315648"</f>
        <v>182464315648</v>
      </c>
      <c r="B15587" t="s">
        <v>574</v>
      </c>
      <c r="C15587" t="s">
        <v>23520</v>
      </c>
      <c r="D15587" t="s">
        <v>52691</v>
      </c>
      <c r="F15587" t="s">
        <v>1</v>
      </c>
      <c r="G15587" t="s">
        <v>51330</v>
      </c>
      <c r="H15587" t="s">
        <v>51803</v>
      </c>
      <c r="Y15587" t="s">
        <v>52692</v>
      </c>
    </row>
    <row r="15588" spans="1:25" x14ac:dyDescent="0.25">
      <c r="A15588" t="str">
        <f>"182765617268"</f>
        <v>182765617268</v>
      </c>
      <c r="B15588" t="s">
        <v>930</v>
      </c>
      <c r="C15588" t="s">
        <v>1096</v>
      </c>
      <c r="D15588" t="s">
        <v>52693</v>
      </c>
      <c r="F15588" t="s">
        <v>1</v>
      </c>
      <c r="G15588" t="s">
        <v>51330</v>
      </c>
      <c r="H15588" t="s">
        <v>51887</v>
      </c>
      <c r="P15588" t="s">
        <v>1464</v>
      </c>
      <c r="Y15588" t="s">
        <v>52694</v>
      </c>
    </row>
    <row r="15589" spans="1:25" x14ac:dyDescent="0.25">
      <c r="A15589" t="str">
        <f>"183124579900"</f>
        <v>183124579900</v>
      </c>
      <c r="B15589" t="s">
        <v>3008</v>
      </c>
      <c r="C15589" t="s">
        <v>15744</v>
      </c>
      <c r="D15589" t="s">
        <v>52695</v>
      </c>
      <c r="F15589" t="s">
        <v>1</v>
      </c>
      <c r="G15589" t="s">
        <v>51330</v>
      </c>
      <c r="H15589" t="s">
        <v>52696</v>
      </c>
      <c r="J15589" t="s">
        <v>52697</v>
      </c>
      <c r="P15589" t="s">
        <v>280</v>
      </c>
      <c r="Y15589" t="s">
        <v>51457</v>
      </c>
    </row>
    <row r="15590" spans="1:25" x14ac:dyDescent="0.25">
      <c r="A15590" t="str">
        <f>"183195164931"</f>
        <v>183195164931</v>
      </c>
      <c r="B15590" t="s">
        <v>3700</v>
      </c>
      <c r="C15590" t="s">
        <v>12422</v>
      </c>
      <c r="D15590" t="s">
        <v>52698</v>
      </c>
      <c r="E15590">
        <v>425353</v>
      </c>
      <c r="F15590" t="s">
        <v>1</v>
      </c>
      <c r="G15590" t="s">
        <v>51330</v>
      </c>
      <c r="H15590" t="s">
        <v>51837</v>
      </c>
      <c r="Y15590" t="s">
        <v>52699</v>
      </c>
    </row>
    <row r="15591" spans="1:25" x14ac:dyDescent="0.25">
      <c r="A15591" t="str">
        <f>"183403875806"</f>
        <v>183403875806</v>
      </c>
      <c r="B15591" t="s">
        <v>530</v>
      </c>
      <c r="C15591" t="s">
        <v>23950</v>
      </c>
      <c r="D15591" t="s">
        <v>23950</v>
      </c>
      <c r="F15591" t="s">
        <v>1</v>
      </c>
      <c r="G15591" t="s">
        <v>51330</v>
      </c>
      <c r="H15591" t="s">
        <v>52700</v>
      </c>
      <c r="Y15591" t="s">
        <v>52701</v>
      </c>
    </row>
    <row r="15592" spans="1:25" x14ac:dyDescent="0.25">
      <c r="A15592" t="str">
        <f>"183825877403"</f>
        <v>183825877403</v>
      </c>
      <c r="B15592" t="s">
        <v>574</v>
      </c>
      <c r="C15592" t="s">
        <v>646</v>
      </c>
      <c r="D15592" t="s">
        <v>52702</v>
      </c>
      <c r="F15592" t="s">
        <v>1</v>
      </c>
      <c r="G15592" t="s">
        <v>51330</v>
      </c>
      <c r="H15592" t="s">
        <v>51826</v>
      </c>
      <c r="P15592" t="s">
        <v>9820</v>
      </c>
      <c r="Y15592" t="s">
        <v>52703</v>
      </c>
    </row>
    <row r="15593" spans="1:25" x14ac:dyDescent="0.25">
      <c r="A15593" t="str">
        <f>"184045113776"</f>
        <v>184045113776</v>
      </c>
      <c r="B15593" t="s">
        <v>123</v>
      </c>
      <c r="C15593" t="s">
        <v>424</v>
      </c>
      <c r="D15593" t="s">
        <v>23495</v>
      </c>
      <c r="E15593">
        <v>425350</v>
      </c>
      <c r="F15593" t="s">
        <v>1</v>
      </c>
      <c r="G15593" t="s">
        <v>51330</v>
      </c>
      <c r="H15593" t="s">
        <v>52704</v>
      </c>
      <c r="I15593" t="s">
        <v>52705</v>
      </c>
      <c r="L15593" t="s">
        <v>51668</v>
      </c>
      <c r="M15593" t="s">
        <v>52706</v>
      </c>
      <c r="P15593" t="s">
        <v>21202</v>
      </c>
      <c r="Y15593" t="s">
        <v>52707</v>
      </c>
    </row>
    <row r="15594" spans="1:25" x14ac:dyDescent="0.25">
      <c r="A15594" t="str">
        <f>"184674003190"</f>
        <v>184674003190</v>
      </c>
      <c r="B15594" t="s">
        <v>96</v>
      </c>
      <c r="C15594" t="s">
        <v>893</v>
      </c>
      <c r="D15594" t="s">
        <v>45115</v>
      </c>
      <c r="E15594">
        <v>425350</v>
      </c>
      <c r="F15594" t="s">
        <v>1</v>
      </c>
      <c r="G15594" t="s">
        <v>51330</v>
      </c>
      <c r="H15594" t="s">
        <v>52177</v>
      </c>
      <c r="Y15594" t="s">
        <v>52708</v>
      </c>
    </row>
    <row r="15595" spans="1:25" x14ac:dyDescent="0.25">
      <c r="A15595" t="str">
        <f>"184802336554"</f>
        <v>184802336554</v>
      </c>
      <c r="B15595" t="s">
        <v>348</v>
      </c>
      <c r="C15595" t="s">
        <v>12108</v>
      </c>
      <c r="D15595" t="s">
        <v>33964</v>
      </c>
      <c r="F15595" t="s">
        <v>1</v>
      </c>
      <c r="G15595" t="s">
        <v>51330</v>
      </c>
      <c r="H15595" t="s">
        <v>51824</v>
      </c>
      <c r="J15595" t="s">
        <v>52709</v>
      </c>
      <c r="P15595" t="s">
        <v>6764</v>
      </c>
      <c r="Q15595" t="s">
        <v>52710</v>
      </c>
      <c r="R15595" t="s">
        <v>52711</v>
      </c>
      <c r="V15595" t="s">
        <v>52712</v>
      </c>
      <c r="Y15595" t="s">
        <v>52713</v>
      </c>
    </row>
    <row r="15596" spans="1:25" x14ac:dyDescent="0.25">
      <c r="A15596" t="str">
        <f>"185013546264"</f>
        <v>185013546264</v>
      </c>
      <c r="B15596" t="s">
        <v>530</v>
      </c>
      <c r="C15596" t="s">
        <v>23950</v>
      </c>
      <c r="D15596" t="s">
        <v>23950</v>
      </c>
      <c r="E15596">
        <v>425350</v>
      </c>
      <c r="F15596" t="s">
        <v>1</v>
      </c>
      <c r="G15596" t="s">
        <v>51330</v>
      </c>
      <c r="H15596" t="s">
        <v>51541</v>
      </c>
      <c r="Y15596" t="s">
        <v>52714</v>
      </c>
    </row>
    <row r="15597" spans="1:25" x14ac:dyDescent="0.25">
      <c r="A15597" t="str">
        <f>"185417052277"</f>
        <v>185417052277</v>
      </c>
      <c r="B15597" t="s">
        <v>1573</v>
      </c>
      <c r="C15597" t="s">
        <v>52716</v>
      </c>
      <c r="D15597" t="s">
        <v>36853</v>
      </c>
      <c r="E15597">
        <v>425350</v>
      </c>
      <c r="F15597" t="s">
        <v>1</v>
      </c>
      <c r="G15597" t="s">
        <v>51330</v>
      </c>
      <c r="H15597" t="s">
        <v>51400</v>
      </c>
      <c r="J15597" t="s">
        <v>52715</v>
      </c>
      <c r="P15597" t="s">
        <v>11503</v>
      </c>
      <c r="Y15597" t="s">
        <v>52717</v>
      </c>
    </row>
    <row r="15598" spans="1:25" x14ac:dyDescent="0.25">
      <c r="A15598" t="str">
        <f>"185822676561"</f>
        <v>185822676561</v>
      </c>
      <c r="B15598" t="s">
        <v>538</v>
      </c>
      <c r="C15598" t="s">
        <v>539</v>
      </c>
      <c r="D15598" t="s">
        <v>51582</v>
      </c>
      <c r="F15598" t="s">
        <v>1</v>
      </c>
      <c r="G15598" t="s">
        <v>51330</v>
      </c>
      <c r="H15598" t="s">
        <v>51566</v>
      </c>
      <c r="I15598" t="s">
        <v>52718</v>
      </c>
      <c r="L15598" t="s">
        <v>3631</v>
      </c>
      <c r="M15598" t="s">
        <v>52719</v>
      </c>
      <c r="P15598" t="s">
        <v>20</v>
      </c>
      <c r="Y15598" t="s">
        <v>52720</v>
      </c>
    </row>
    <row r="15599" spans="1:25" x14ac:dyDescent="0.25">
      <c r="A15599" t="str">
        <f>"186078757108"</f>
        <v>186078757108</v>
      </c>
      <c r="B15599" t="s">
        <v>32</v>
      </c>
      <c r="C15599" t="s">
        <v>20137</v>
      </c>
      <c r="D15599" t="s">
        <v>52721</v>
      </c>
      <c r="F15599" t="s">
        <v>1</v>
      </c>
      <c r="G15599" t="s">
        <v>51330</v>
      </c>
      <c r="H15599" t="s">
        <v>52002</v>
      </c>
      <c r="Y15599" t="s">
        <v>52722</v>
      </c>
    </row>
    <row r="15600" spans="1:25" x14ac:dyDescent="0.25">
      <c r="A15600" t="str">
        <f>"186100742582"</f>
        <v>186100742582</v>
      </c>
      <c r="B15600" t="s">
        <v>151</v>
      </c>
      <c r="C15600" t="s">
        <v>4240</v>
      </c>
      <c r="D15600" t="s">
        <v>10304</v>
      </c>
      <c r="E15600">
        <v>425350</v>
      </c>
      <c r="F15600" t="s">
        <v>1</v>
      </c>
      <c r="G15600" t="s">
        <v>51330</v>
      </c>
      <c r="H15600" t="s">
        <v>51511</v>
      </c>
      <c r="Y15600" t="s">
        <v>52386</v>
      </c>
    </row>
    <row r="15601" spans="1:25" x14ac:dyDescent="0.25">
      <c r="A15601" t="str">
        <f>"186191080068"</f>
        <v>186191080068</v>
      </c>
      <c r="B15601" t="s">
        <v>530</v>
      </c>
      <c r="C15601" t="s">
        <v>23950</v>
      </c>
      <c r="D15601" t="s">
        <v>23950</v>
      </c>
      <c r="F15601" t="s">
        <v>1</v>
      </c>
      <c r="G15601" t="s">
        <v>51330</v>
      </c>
      <c r="H15601" t="s">
        <v>52560</v>
      </c>
      <c r="Y15601" t="s">
        <v>52723</v>
      </c>
    </row>
    <row r="15602" spans="1:25" x14ac:dyDescent="0.25">
      <c r="A15602" t="str">
        <f>"186585403234"</f>
        <v>186585403234</v>
      </c>
      <c r="B15602" t="s">
        <v>1152</v>
      </c>
      <c r="C15602" t="s">
        <v>1153</v>
      </c>
      <c r="D15602" t="s">
        <v>10280</v>
      </c>
      <c r="E15602">
        <v>425350</v>
      </c>
      <c r="F15602" t="s">
        <v>1</v>
      </c>
      <c r="G15602" t="s">
        <v>51330</v>
      </c>
      <c r="H15602" t="s">
        <v>52724</v>
      </c>
      <c r="I15602" t="s">
        <v>22092</v>
      </c>
      <c r="M15602" t="s">
        <v>10284</v>
      </c>
      <c r="Q15602" t="s">
        <v>10286</v>
      </c>
      <c r="R15602" t="s">
        <v>10287</v>
      </c>
      <c r="S15602" t="s">
        <v>10288</v>
      </c>
      <c r="T15602" t="s">
        <v>10289</v>
      </c>
      <c r="U15602" t="s">
        <v>10290</v>
      </c>
      <c r="V15602" t="s">
        <v>10291</v>
      </c>
      <c r="Y15602" t="s">
        <v>52725</v>
      </c>
    </row>
    <row r="15603" spans="1:25" x14ac:dyDescent="0.25">
      <c r="A15603" t="str">
        <f>"186614143570"</f>
        <v>186614143570</v>
      </c>
      <c r="B15603" t="s">
        <v>96</v>
      </c>
      <c r="C15603" t="s">
        <v>507</v>
      </c>
      <c r="D15603" t="s">
        <v>52726</v>
      </c>
      <c r="E15603">
        <v>425350</v>
      </c>
      <c r="F15603" t="s">
        <v>1</v>
      </c>
      <c r="G15603" t="s">
        <v>51330</v>
      </c>
      <c r="H15603" t="s">
        <v>51533</v>
      </c>
      <c r="Y15603" t="s">
        <v>52264</v>
      </c>
    </row>
    <row r="15604" spans="1:25" x14ac:dyDescent="0.25">
      <c r="A15604" t="str">
        <f>"187504232306"</f>
        <v>187504232306</v>
      </c>
      <c r="B15604" t="s">
        <v>530</v>
      </c>
      <c r="C15604" t="s">
        <v>23950</v>
      </c>
      <c r="D15604" t="s">
        <v>23950</v>
      </c>
      <c r="F15604" t="s">
        <v>1</v>
      </c>
      <c r="G15604" t="s">
        <v>51330</v>
      </c>
      <c r="H15604" t="s">
        <v>52560</v>
      </c>
      <c r="Y15604" t="s">
        <v>52727</v>
      </c>
    </row>
    <row r="15605" spans="1:25" x14ac:dyDescent="0.25">
      <c r="A15605" t="str">
        <f>"188022449513"</f>
        <v>188022449513</v>
      </c>
      <c r="B15605" t="s">
        <v>930</v>
      </c>
      <c r="C15605" t="s">
        <v>927</v>
      </c>
      <c r="D15605" t="s">
        <v>927</v>
      </c>
      <c r="E15605">
        <v>425350</v>
      </c>
      <c r="F15605" t="s">
        <v>1</v>
      </c>
      <c r="G15605" t="s">
        <v>51330</v>
      </c>
      <c r="H15605" t="s">
        <v>51536</v>
      </c>
      <c r="Y15605" t="s">
        <v>52728</v>
      </c>
    </row>
    <row r="15606" spans="1:25" x14ac:dyDescent="0.25">
      <c r="A15606" t="str">
        <f>"188559836495"</f>
        <v>188559836495</v>
      </c>
      <c r="B15606" t="s">
        <v>176</v>
      </c>
      <c r="C15606" t="s">
        <v>566</v>
      </c>
      <c r="D15606" t="s">
        <v>1297</v>
      </c>
      <c r="F15606" t="s">
        <v>1</v>
      </c>
      <c r="G15606" t="s">
        <v>51330</v>
      </c>
      <c r="H15606" t="s">
        <v>51821</v>
      </c>
      <c r="Y15606" t="s">
        <v>52729</v>
      </c>
    </row>
    <row r="15607" spans="1:25" x14ac:dyDescent="0.25">
      <c r="A15607" t="str">
        <f>"189130763743"</f>
        <v>189130763743</v>
      </c>
      <c r="B15607" t="s">
        <v>530</v>
      </c>
      <c r="C15607" t="s">
        <v>23950</v>
      </c>
      <c r="D15607" t="s">
        <v>23950</v>
      </c>
      <c r="E15607">
        <v>425353</v>
      </c>
      <c r="F15607" t="s">
        <v>1</v>
      </c>
      <c r="G15607" t="s">
        <v>51330</v>
      </c>
      <c r="H15607" t="s">
        <v>52730</v>
      </c>
      <c r="Y15607" t="s">
        <v>52731</v>
      </c>
    </row>
    <row r="15608" spans="1:25" x14ac:dyDescent="0.25">
      <c r="A15608" t="str">
        <f>"189679616693"</f>
        <v>189679616693</v>
      </c>
      <c r="B15608" t="s">
        <v>574</v>
      </c>
      <c r="C15608" t="s">
        <v>646</v>
      </c>
      <c r="D15608" t="s">
        <v>4221</v>
      </c>
      <c r="E15608">
        <v>425353</v>
      </c>
      <c r="F15608" t="s">
        <v>1</v>
      </c>
      <c r="G15608" t="s">
        <v>51330</v>
      </c>
      <c r="H15608" t="s">
        <v>51553</v>
      </c>
      <c r="P15608" t="s">
        <v>1464</v>
      </c>
      <c r="Y15608" t="s">
        <v>52732</v>
      </c>
    </row>
    <row r="15609" spans="1:25" x14ac:dyDescent="0.25">
      <c r="A15609" t="str">
        <f>"190766189688"</f>
        <v>190766189688</v>
      </c>
      <c r="B15609" t="s">
        <v>1061</v>
      </c>
      <c r="C15609" t="s">
        <v>26953</v>
      </c>
      <c r="D15609" t="s">
        <v>44881</v>
      </c>
      <c r="F15609" t="s">
        <v>1</v>
      </c>
      <c r="G15609" t="s">
        <v>51330</v>
      </c>
      <c r="H15609" t="s">
        <v>52733</v>
      </c>
      <c r="Y15609" t="s">
        <v>52734</v>
      </c>
    </row>
    <row r="15610" spans="1:25" x14ac:dyDescent="0.25">
      <c r="A15610" t="str">
        <f>"190947257653"</f>
        <v>190947257653</v>
      </c>
      <c r="B15610" t="s">
        <v>117</v>
      </c>
      <c r="C15610" t="s">
        <v>873</v>
      </c>
      <c r="D15610" t="s">
        <v>873</v>
      </c>
      <c r="F15610" t="s">
        <v>1</v>
      </c>
      <c r="G15610" t="s">
        <v>51330</v>
      </c>
      <c r="H15610" t="s">
        <v>51887</v>
      </c>
      <c r="Y15610" t="s">
        <v>52735</v>
      </c>
    </row>
    <row r="15611" spans="1:25" x14ac:dyDescent="0.25">
      <c r="A15611" t="str">
        <f>"191158315489"</f>
        <v>191158315489</v>
      </c>
      <c r="B15611" t="s">
        <v>2818</v>
      </c>
      <c r="C15611" t="s">
        <v>6466</v>
      </c>
      <c r="D15611" t="s">
        <v>51716</v>
      </c>
      <c r="E15611">
        <v>425353</v>
      </c>
      <c r="F15611" t="s">
        <v>1</v>
      </c>
      <c r="G15611" t="s">
        <v>51330</v>
      </c>
      <c r="H15611" t="s">
        <v>52174</v>
      </c>
      <c r="I15611" t="s">
        <v>51718</v>
      </c>
      <c r="J15611" t="s">
        <v>51719</v>
      </c>
      <c r="L15611" t="s">
        <v>52736</v>
      </c>
      <c r="M15611" t="s">
        <v>52737</v>
      </c>
      <c r="P15611" t="s">
        <v>9</v>
      </c>
      <c r="Q15611" t="s">
        <v>52738</v>
      </c>
      <c r="Y15611" t="s">
        <v>52739</v>
      </c>
    </row>
    <row r="15612" spans="1:25" x14ac:dyDescent="0.25">
      <c r="A15612" t="str">
        <f>"191630441255"</f>
        <v>191630441255</v>
      </c>
      <c r="B15612" t="s">
        <v>160</v>
      </c>
      <c r="C15612" t="s">
        <v>13649</v>
      </c>
      <c r="D15612" t="s">
        <v>52740</v>
      </c>
      <c r="F15612" t="s">
        <v>1</v>
      </c>
      <c r="G15612" t="s">
        <v>51330</v>
      </c>
      <c r="H15612" t="s">
        <v>52741</v>
      </c>
      <c r="Y15612" t="s">
        <v>52742</v>
      </c>
    </row>
    <row r="15613" spans="1:25" x14ac:dyDescent="0.25">
      <c r="A15613" t="str">
        <f>"191685048088"</f>
        <v>191685048088</v>
      </c>
      <c r="B15613" t="s">
        <v>319</v>
      </c>
      <c r="C15613" t="s">
        <v>320</v>
      </c>
      <c r="D15613" t="s">
        <v>52743</v>
      </c>
      <c r="E15613">
        <v>425350</v>
      </c>
      <c r="F15613" t="s">
        <v>1</v>
      </c>
      <c r="G15613" t="s">
        <v>51330</v>
      </c>
      <c r="H15613" t="s">
        <v>51511</v>
      </c>
      <c r="Y15613" t="s">
        <v>52555</v>
      </c>
    </row>
    <row r="15614" spans="1:25" x14ac:dyDescent="0.25">
      <c r="A15614" t="str">
        <f>"192019660464"</f>
        <v>192019660464</v>
      </c>
      <c r="B15614" t="s">
        <v>430</v>
      </c>
      <c r="C15614" t="s">
        <v>431</v>
      </c>
      <c r="D15614" t="s">
        <v>52744</v>
      </c>
      <c r="F15614" t="s">
        <v>1</v>
      </c>
      <c r="G15614" t="s">
        <v>51330</v>
      </c>
      <c r="H15614" t="s">
        <v>51853</v>
      </c>
      <c r="Y15614" t="s">
        <v>52745</v>
      </c>
    </row>
    <row r="15615" spans="1:25" x14ac:dyDescent="0.25">
      <c r="A15615" t="str">
        <f>"192620557345"</f>
        <v>192620557345</v>
      </c>
      <c r="B15615" t="s">
        <v>25</v>
      </c>
      <c r="C15615" t="s">
        <v>59</v>
      </c>
      <c r="D15615" t="s">
        <v>52746</v>
      </c>
      <c r="E15615">
        <v>425350</v>
      </c>
      <c r="F15615" t="s">
        <v>1</v>
      </c>
      <c r="G15615" t="s">
        <v>51330</v>
      </c>
      <c r="H15615" t="s">
        <v>51703</v>
      </c>
      <c r="Y15615" t="s">
        <v>52747</v>
      </c>
    </row>
    <row r="15616" spans="1:25" x14ac:dyDescent="0.25">
      <c r="A15616" t="str">
        <f>"193760129040"</f>
        <v>193760129040</v>
      </c>
      <c r="B15616" t="s">
        <v>204</v>
      </c>
      <c r="C15616" t="s">
        <v>7914</v>
      </c>
      <c r="D15616" t="s">
        <v>52748</v>
      </c>
      <c r="E15616">
        <v>425350</v>
      </c>
      <c r="F15616" t="s">
        <v>1</v>
      </c>
      <c r="G15616" t="s">
        <v>51330</v>
      </c>
      <c r="H15616" t="s">
        <v>51400</v>
      </c>
      <c r="Y15616" t="s">
        <v>52749</v>
      </c>
    </row>
    <row r="15617" spans="1:25" x14ac:dyDescent="0.25">
      <c r="A15617" t="str">
        <f>"193859964943"</f>
        <v>193859964943</v>
      </c>
      <c r="B15617" t="s">
        <v>574</v>
      </c>
      <c r="C15617" t="s">
        <v>646</v>
      </c>
      <c r="D15617" t="s">
        <v>30116</v>
      </c>
      <c r="E15617">
        <v>425350</v>
      </c>
      <c r="F15617" t="s">
        <v>1</v>
      </c>
      <c r="G15617" t="s">
        <v>51330</v>
      </c>
      <c r="H15617" t="s">
        <v>51742</v>
      </c>
      <c r="Y15617" t="s">
        <v>52750</v>
      </c>
    </row>
    <row r="15618" spans="1:25" x14ac:dyDescent="0.25">
      <c r="A15618" t="str">
        <f>"193882899499"</f>
        <v>193882899499</v>
      </c>
      <c r="B15618" t="s">
        <v>530</v>
      </c>
      <c r="C15618" t="s">
        <v>23950</v>
      </c>
      <c r="D15618" t="s">
        <v>23950</v>
      </c>
      <c r="F15618" t="s">
        <v>1</v>
      </c>
      <c r="G15618" t="s">
        <v>51330</v>
      </c>
      <c r="H15618" t="s">
        <v>52035</v>
      </c>
      <c r="Y15618" t="s">
        <v>52751</v>
      </c>
    </row>
    <row r="15619" spans="1:25" x14ac:dyDescent="0.25">
      <c r="A15619" t="str">
        <f>"193982164848"</f>
        <v>193982164848</v>
      </c>
      <c r="B15619" t="s">
        <v>2790</v>
      </c>
      <c r="C15619" t="s">
        <v>3528</v>
      </c>
      <c r="D15619" t="s">
        <v>52752</v>
      </c>
      <c r="F15619" t="s">
        <v>1</v>
      </c>
      <c r="G15619" t="s">
        <v>51330</v>
      </c>
      <c r="H15619" t="s">
        <v>51876</v>
      </c>
      <c r="L15619" t="s">
        <v>52753</v>
      </c>
      <c r="Y15619" t="s">
        <v>52754</v>
      </c>
    </row>
    <row r="15620" spans="1:25" x14ac:dyDescent="0.25">
      <c r="A15620" t="str">
        <f>"194140377923"</f>
        <v>194140377923</v>
      </c>
      <c r="B15620" t="s">
        <v>96</v>
      </c>
      <c r="C15620" t="s">
        <v>659</v>
      </c>
      <c r="D15620" t="s">
        <v>659</v>
      </c>
      <c r="F15620" t="s">
        <v>1</v>
      </c>
      <c r="G15620" t="s">
        <v>51330</v>
      </c>
      <c r="H15620" t="s">
        <v>51821</v>
      </c>
      <c r="Y15620" t="s">
        <v>52755</v>
      </c>
    </row>
    <row r="15621" spans="1:25" x14ac:dyDescent="0.25">
      <c r="A15621" t="str">
        <f>"194734912734"</f>
        <v>194734912734</v>
      </c>
      <c r="B15621" t="s">
        <v>1475</v>
      </c>
      <c r="C15621" t="s">
        <v>4005</v>
      </c>
      <c r="D15621" t="s">
        <v>52756</v>
      </c>
      <c r="F15621" t="s">
        <v>1</v>
      </c>
      <c r="G15621" t="s">
        <v>51330</v>
      </c>
      <c r="H15621" t="s">
        <v>51416</v>
      </c>
      <c r="P15621" t="s">
        <v>2457</v>
      </c>
      <c r="Y15621" t="s">
        <v>52757</v>
      </c>
    </row>
    <row r="15622" spans="1:25" x14ac:dyDescent="0.25">
      <c r="A15622" t="str">
        <f>"194838211511"</f>
        <v>194838211511</v>
      </c>
      <c r="B15622" t="s">
        <v>1573</v>
      </c>
      <c r="C15622" t="s">
        <v>1817</v>
      </c>
      <c r="D15622" t="s">
        <v>52758</v>
      </c>
      <c r="E15622">
        <v>425350</v>
      </c>
      <c r="F15622" t="s">
        <v>1</v>
      </c>
      <c r="G15622" t="s">
        <v>51330</v>
      </c>
      <c r="H15622" t="s">
        <v>51771</v>
      </c>
      <c r="P15622" t="s">
        <v>816</v>
      </c>
      <c r="Y15622" t="s">
        <v>52759</v>
      </c>
    </row>
    <row r="15623" spans="1:25" x14ac:dyDescent="0.25">
      <c r="A15623" t="str">
        <f>"196006877851"</f>
        <v>196006877851</v>
      </c>
      <c r="B15623" t="s">
        <v>88</v>
      </c>
      <c r="C15623" t="s">
        <v>6066</v>
      </c>
      <c r="D15623" t="s">
        <v>34171</v>
      </c>
      <c r="E15623">
        <v>425350</v>
      </c>
      <c r="F15623" t="s">
        <v>1</v>
      </c>
      <c r="G15623" t="s">
        <v>51330</v>
      </c>
      <c r="H15623" t="s">
        <v>51342</v>
      </c>
      <c r="Y15623" t="s">
        <v>52760</v>
      </c>
    </row>
    <row r="15624" spans="1:25" x14ac:dyDescent="0.25">
      <c r="A15624" t="str">
        <f>"196706569691"</f>
        <v>196706569691</v>
      </c>
      <c r="B15624" t="s">
        <v>1046</v>
      </c>
      <c r="C15624" t="s">
        <v>4959</v>
      </c>
      <c r="D15624" t="s">
        <v>52761</v>
      </c>
      <c r="E15624">
        <v>425353</v>
      </c>
      <c r="F15624" t="s">
        <v>1</v>
      </c>
      <c r="G15624" t="s">
        <v>51330</v>
      </c>
      <c r="H15624" t="s">
        <v>52050</v>
      </c>
      <c r="I15624" t="s">
        <v>52762</v>
      </c>
      <c r="P15624" t="s">
        <v>52763</v>
      </c>
      <c r="Y15624" t="s">
        <v>52764</v>
      </c>
    </row>
    <row r="15625" spans="1:25" x14ac:dyDescent="0.25">
      <c r="A15625" t="str">
        <f>"196815781119"</f>
        <v>196815781119</v>
      </c>
      <c r="B15625" t="s">
        <v>408</v>
      </c>
      <c r="C15625" t="s">
        <v>52766</v>
      </c>
      <c r="D15625" t="s">
        <v>52765</v>
      </c>
      <c r="E15625">
        <v>425350</v>
      </c>
      <c r="F15625" t="s">
        <v>1</v>
      </c>
      <c r="G15625" t="s">
        <v>51330</v>
      </c>
      <c r="H15625" t="s">
        <v>51533</v>
      </c>
      <c r="Y15625" t="s">
        <v>52767</v>
      </c>
    </row>
    <row r="15626" spans="1:25" x14ac:dyDescent="0.25">
      <c r="A15626" t="str">
        <f>"197265681179"</f>
        <v>197265681179</v>
      </c>
      <c r="B15626" t="s">
        <v>574</v>
      </c>
      <c r="C15626" t="s">
        <v>646</v>
      </c>
      <c r="D15626" t="s">
        <v>4221</v>
      </c>
      <c r="F15626" t="s">
        <v>1</v>
      </c>
      <c r="G15626" t="s">
        <v>51330</v>
      </c>
      <c r="H15626" t="s">
        <v>52768</v>
      </c>
      <c r="Y15626" t="s">
        <v>52769</v>
      </c>
    </row>
    <row r="15627" spans="1:25" x14ac:dyDescent="0.25">
      <c r="A15627" t="str">
        <f>"197285753487"</f>
        <v>197285753487</v>
      </c>
      <c r="B15627" t="s">
        <v>574</v>
      </c>
      <c r="C15627" t="s">
        <v>646</v>
      </c>
      <c r="D15627" t="s">
        <v>7286</v>
      </c>
      <c r="F15627" t="s">
        <v>1</v>
      </c>
      <c r="G15627" t="s">
        <v>51330</v>
      </c>
      <c r="H15627" t="s">
        <v>52770</v>
      </c>
      <c r="P15627" t="s">
        <v>2457</v>
      </c>
      <c r="Y15627" t="s">
        <v>52771</v>
      </c>
    </row>
    <row r="15628" spans="1:25" x14ac:dyDescent="0.25">
      <c r="A15628" t="str">
        <f>"197351084763"</f>
        <v>197351084763</v>
      </c>
      <c r="B15628" t="s">
        <v>18</v>
      </c>
      <c r="C15628" t="s">
        <v>37848</v>
      </c>
      <c r="D15628" t="s">
        <v>32629</v>
      </c>
      <c r="F15628" t="s">
        <v>1</v>
      </c>
      <c r="G15628" t="s">
        <v>51330</v>
      </c>
      <c r="H15628" t="s">
        <v>52056</v>
      </c>
      <c r="Y15628" t="s">
        <v>51381</v>
      </c>
    </row>
    <row r="15629" spans="1:25" x14ac:dyDescent="0.25">
      <c r="A15629" t="str">
        <f>"197945762651"</f>
        <v>197945762651</v>
      </c>
      <c r="B15629" t="s">
        <v>530</v>
      </c>
      <c r="C15629" t="s">
        <v>23950</v>
      </c>
      <c r="D15629" t="s">
        <v>23950</v>
      </c>
      <c r="F15629" t="s">
        <v>1</v>
      </c>
      <c r="G15629" t="s">
        <v>51330</v>
      </c>
      <c r="H15629" t="s">
        <v>52772</v>
      </c>
      <c r="Y15629" t="s">
        <v>52773</v>
      </c>
    </row>
    <row r="15630" spans="1:25" x14ac:dyDescent="0.25">
      <c r="A15630" t="str">
        <f>"198202377802"</f>
        <v>198202377802</v>
      </c>
      <c r="B15630" t="s">
        <v>456</v>
      </c>
      <c r="C15630" t="s">
        <v>37933</v>
      </c>
      <c r="D15630" t="s">
        <v>37928</v>
      </c>
      <c r="F15630" t="s">
        <v>1</v>
      </c>
      <c r="G15630" t="s">
        <v>51330</v>
      </c>
      <c r="H15630" t="s">
        <v>51991</v>
      </c>
      <c r="I15630" t="s">
        <v>37929</v>
      </c>
      <c r="L15630" t="s">
        <v>37931</v>
      </c>
      <c r="M15630" t="s">
        <v>37932</v>
      </c>
      <c r="P15630" t="s">
        <v>1027</v>
      </c>
      <c r="Q15630" t="s">
        <v>37934</v>
      </c>
      <c r="R15630" t="s">
        <v>37935</v>
      </c>
      <c r="T15630" t="s">
        <v>37936</v>
      </c>
      <c r="V15630" t="s">
        <v>37937</v>
      </c>
      <c r="Y15630" t="s">
        <v>52774</v>
      </c>
    </row>
    <row r="15631" spans="1:25" x14ac:dyDescent="0.25">
      <c r="A15631" t="str">
        <f>"199830780917"</f>
        <v>199830780917</v>
      </c>
      <c r="B15631" t="s">
        <v>25</v>
      </c>
      <c r="C15631" t="s">
        <v>13425</v>
      </c>
      <c r="D15631" t="s">
        <v>52470</v>
      </c>
      <c r="F15631" t="s">
        <v>1</v>
      </c>
      <c r="G15631" t="s">
        <v>51330</v>
      </c>
      <c r="H15631" t="s">
        <v>51386</v>
      </c>
      <c r="Y15631" t="s">
        <v>52775</v>
      </c>
    </row>
    <row r="15632" spans="1:25" x14ac:dyDescent="0.25">
      <c r="A15632" t="str">
        <f>"199846391026"</f>
        <v>199846391026</v>
      </c>
      <c r="B15632" t="s">
        <v>1475</v>
      </c>
      <c r="C15632" t="s">
        <v>1476</v>
      </c>
      <c r="D15632" t="s">
        <v>5385</v>
      </c>
      <c r="E15632">
        <v>425350</v>
      </c>
      <c r="F15632" t="s">
        <v>1</v>
      </c>
      <c r="G15632" t="s">
        <v>51330</v>
      </c>
      <c r="H15632" t="s">
        <v>52177</v>
      </c>
      <c r="Y15632" t="s">
        <v>52776</v>
      </c>
    </row>
    <row r="15633" spans="1:25" x14ac:dyDescent="0.25">
      <c r="A15633" t="str">
        <f>"200786543559"</f>
        <v>200786543559</v>
      </c>
      <c r="B15633" t="s">
        <v>930</v>
      </c>
      <c r="C15633" t="s">
        <v>1096</v>
      </c>
      <c r="D15633" t="s">
        <v>1094</v>
      </c>
      <c r="F15633" t="s">
        <v>1</v>
      </c>
      <c r="G15633" t="s">
        <v>51330</v>
      </c>
      <c r="H15633" t="s">
        <v>52071</v>
      </c>
      <c r="Y15633" t="s">
        <v>52777</v>
      </c>
    </row>
    <row r="15634" spans="1:25" x14ac:dyDescent="0.25">
      <c r="A15634" t="str">
        <f>"200948752025"</f>
        <v>200948752025</v>
      </c>
      <c r="B15634" t="s">
        <v>574</v>
      </c>
      <c r="C15634" t="s">
        <v>14269</v>
      </c>
      <c r="D15634" t="s">
        <v>569</v>
      </c>
      <c r="E15634">
        <v>425350</v>
      </c>
      <c r="F15634" t="s">
        <v>1</v>
      </c>
      <c r="G15634" t="s">
        <v>51330</v>
      </c>
      <c r="H15634" t="s">
        <v>51359</v>
      </c>
      <c r="P15634" t="s">
        <v>216</v>
      </c>
      <c r="Y15634" t="s">
        <v>52778</v>
      </c>
    </row>
    <row r="15635" spans="1:25" x14ac:dyDescent="0.25">
      <c r="A15635" t="str">
        <f>"201715794190"</f>
        <v>201715794190</v>
      </c>
      <c r="B15635" t="s">
        <v>530</v>
      </c>
      <c r="C15635" t="s">
        <v>23950</v>
      </c>
      <c r="D15635" t="s">
        <v>23950</v>
      </c>
      <c r="F15635" t="s">
        <v>1</v>
      </c>
      <c r="G15635" t="s">
        <v>51330</v>
      </c>
      <c r="H15635" t="s">
        <v>52779</v>
      </c>
      <c r="Y15635" t="s">
        <v>52780</v>
      </c>
    </row>
    <row r="15636" spans="1:25" x14ac:dyDescent="0.25">
      <c r="A15636" t="str">
        <f>"201818333009"</f>
        <v>201818333009</v>
      </c>
      <c r="B15636" t="s">
        <v>530</v>
      </c>
      <c r="C15636" t="s">
        <v>23950</v>
      </c>
      <c r="D15636" t="s">
        <v>23950</v>
      </c>
      <c r="F15636" t="s">
        <v>1</v>
      </c>
      <c r="G15636" t="s">
        <v>51330</v>
      </c>
      <c r="H15636" t="s">
        <v>52781</v>
      </c>
      <c r="Y15636" t="s">
        <v>52782</v>
      </c>
    </row>
    <row r="15637" spans="1:25" x14ac:dyDescent="0.25">
      <c r="A15637" t="str">
        <f>"201834727195"</f>
        <v>201834727195</v>
      </c>
      <c r="B15637" t="s">
        <v>1758</v>
      </c>
      <c r="C15637" t="s">
        <v>14769</v>
      </c>
      <c r="D15637" t="s">
        <v>14769</v>
      </c>
      <c r="F15637" t="s">
        <v>1</v>
      </c>
      <c r="G15637" t="s">
        <v>51330</v>
      </c>
      <c r="H15637" t="s">
        <v>52783</v>
      </c>
      <c r="Y15637" t="s">
        <v>52784</v>
      </c>
    </row>
    <row r="15638" spans="1:25" x14ac:dyDescent="0.25">
      <c r="A15638" t="str">
        <f>"202341038738"</f>
        <v>202341038738</v>
      </c>
      <c r="B15638" t="s">
        <v>1611</v>
      </c>
      <c r="C15638" t="s">
        <v>11688</v>
      </c>
      <c r="D15638" t="s">
        <v>52785</v>
      </c>
      <c r="F15638" t="s">
        <v>1</v>
      </c>
      <c r="G15638" t="s">
        <v>51330</v>
      </c>
      <c r="H15638" t="s">
        <v>52314</v>
      </c>
      <c r="Y15638" t="s">
        <v>52632</v>
      </c>
    </row>
    <row r="15639" spans="1:25" x14ac:dyDescent="0.25">
      <c r="A15639" t="str">
        <f>"202578844021"</f>
        <v>202578844021</v>
      </c>
      <c r="B15639" t="s">
        <v>1758</v>
      </c>
      <c r="C15639" t="s">
        <v>8089</v>
      </c>
      <c r="D15639" t="s">
        <v>43244</v>
      </c>
      <c r="E15639">
        <v>425353</v>
      </c>
      <c r="F15639" t="s">
        <v>1</v>
      </c>
      <c r="G15639" t="s">
        <v>51330</v>
      </c>
      <c r="H15639" t="s">
        <v>51837</v>
      </c>
      <c r="Y15639" t="s">
        <v>52786</v>
      </c>
    </row>
    <row r="15640" spans="1:25" x14ac:dyDescent="0.25">
      <c r="A15640" t="str">
        <f>"203197144072"</f>
        <v>203197144072</v>
      </c>
      <c r="B15640" t="s">
        <v>18</v>
      </c>
      <c r="C15640" t="s">
        <v>143</v>
      </c>
      <c r="D15640" t="s">
        <v>52787</v>
      </c>
      <c r="E15640">
        <v>425353</v>
      </c>
      <c r="F15640" t="s">
        <v>1</v>
      </c>
      <c r="G15640" t="s">
        <v>51330</v>
      </c>
      <c r="H15640" t="s">
        <v>51553</v>
      </c>
      <c r="Y15640" t="s">
        <v>52788</v>
      </c>
    </row>
    <row r="15641" spans="1:25" x14ac:dyDescent="0.25">
      <c r="A15641" t="str">
        <f>"203607938819"</f>
        <v>203607938819</v>
      </c>
      <c r="B15641" t="s">
        <v>160</v>
      </c>
      <c r="C15641" t="s">
        <v>4772</v>
      </c>
      <c r="D15641" t="s">
        <v>52789</v>
      </c>
      <c r="E15641">
        <v>425350</v>
      </c>
      <c r="F15641" t="s">
        <v>1</v>
      </c>
      <c r="G15641" t="s">
        <v>51330</v>
      </c>
      <c r="H15641" t="s">
        <v>51511</v>
      </c>
      <c r="Y15641" t="s">
        <v>52226</v>
      </c>
    </row>
    <row r="15642" spans="1:25" x14ac:dyDescent="0.25">
      <c r="A15642" t="str">
        <f>"203797395487"</f>
        <v>203797395487</v>
      </c>
      <c r="B15642" t="s">
        <v>574</v>
      </c>
      <c r="C15642" t="s">
        <v>26901</v>
      </c>
      <c r="D15642" t="s">
        <v>11854</v>
      </c>
      <c r="E15642">
        <v>425350</v>
      </c>
      <c r="F15642" t="s">
        <v>1</v>
      </c>
      <c r="G15642" t="s">
        <v>51330</v>
      </c>
      <c r="H15642" t="s">
        <v>52118</v>
      </c>
      <c r="P15642" t="s">
        <v>27</v>
      </c>
      <c r="Y15642" t="s">
        <v>52790</v>
      </c>
    </row>
    <row r="15643" spans="1:25" x14ac:dyDescent="0.25">
      <c r="A15643" t="str">
        <f>"203907601881"</f>
        <v>203907601881</v>
      </c>
      <c r="B15643" t="s">
        <v>224</v>
      </c>
      <c r="C15643" t="s">
        <v>225</v>
      </c>
      <c r="D15643" t="s">
        <v>225</v>
      </c>
      <c r="F15643" t="s">
        <v>1</v>
      </c>
      <c r="G15643" t="s">
        <v>51330</v>
      </c>
      <c r="H15643" t="s">
        <v>51767</v>
      </c>
      <c r="Y15643" t="s">
        <v>52791</v>
      </c>
    </row>
    <row r="15644" spans="1:25" x14ac:dyDescent="0.25">
      <c r="A15644" t="str">
        <f>"204492248721"</f>
        <v>204492248721</v>
      </c>
      <c r="B15644" t="s">
        <v>530</v>
      </c>
      <c r="C15644" t="s">
        <v>23950</v>
      </c>
      <c r="D15644" t="s">
        <v>23950</v>
      </c>
      <c r="F15644" t="s">
        <v>1</v>
      </c>
      <c r="G15644" t="s">
        <v>51330</v>
      </c>
      <c r="H15644" t="s">
        <v>51844</v>
      </c>
      <c r="Y15644" t="s">
        <v>52792</v>
      </c>
    </row>
    <row r="15645" spans="1:25" x14ac:dyDescent="0.25">
      <c r="A15645" t="str">
        <f>"204642959030"</f>
        <v>204642959030</v>
      </c>
      <c r="B15645" t="s">
        <v>117</v>
      </c>
      <c r="C15645" t="s">
        <v>118</v>
      </c>
      <c r="D15645" t="s">
        <v>52793</v>
      </c>
      <c r="F15645" t="s">
        <v>1</v>
      </c>
      <c r="G15645" t="s">
        <v>51330</v>
      </c>
      <c r="H15645" t="s">
        <v>51767</v>
      </c>
      <c r="Y15645" t="s">
        <v>52794</v>
      </c>
    </row>
    <row r="15646" spans="1:25" x14ac:dyDescent="0.25">
      <c r="A15646" t="str">
        <f>"205562258208"</f>
        <v>205562258208</v>
      </c>
      <c r="B15646" t="s">
        <v>96</v>
      </c>
      <c r="C15646" t="s">
        <v>507</v>
      </c>
      <c r="D15646" t="s">
        <v>17437</v>
      </c>
      <c r="E15646">
        <v>425350</v>
      </c>
      <c r="F15646" t="s">
        <v>1</v>
      </c>
      <c r="G15646" t="s">
        <v>51330</v>
      </c>
      <c r="H15646" t="s">
        <v>51606</v>
      </c>
      <c r="Y15646" t="s">
        <v>52795</v>
      </c>
    </row>
    <row r="15647" spans="1:25" x14ac:dyDescent="0.25">
      <c r="A15647" t="str">
        <f>"205646045347"</f>
        <v>205646045347</v>
      </c>
      <c r="B15647" t="s">
        <v>574</v>
      </c>
      <c r="C15647" t="s">
        <v>952</v>
      </c>
      <c r="D15647" t="s">
        <v>52796</v>
      </c>
      <c r="E15647">
        <v>425350</v>
      </c>
      <c r="F15647" t="s">
        <v>1</v>
      </c>
      <c r="G15647" t="s">
        <v>51330</v>
      </c>
      <c r="H15647" t="s">
        <v>52118</v>
      </c>
      <c r="Y15647" t="s">
        <v>52797</v>
      </c>
    </row>
    <row r="15648" spans="1:25" x14ac:dyDescent="0.25">
      <c r="A15648" t="str">
        <f>"206600287362"</f>
        <v>206600287362</v>
      </c>
      <c r="B15648" t="s">
        <v>1046</v>
      </c>
      <c r="C15648" t="s">
        <v>2695</v>
      </c>
      <c r="D15648" t="s">
        <v>23456</v>
      </c>
      <c r="E15648">
        <v>425353</v>
      </c>
      <c r="F15648" t="s">
        <v>1</v>
      </c>
      <c r="G15648" t="s">
        <v>51330</v>
      </c>
      <c r="H15648" t="s">
        <v>52050</v>
      </c>
      <c r="Y15648" t="s">
        <v>52798</v>
      </c>
    </row>
    <row r="15649" spans="1:25" x14ac:dyDescent="0.25">
      <c r="A15649" t="str">
        <f>"206991972334"</f>
        <v>206991972334</v>
      </c>
      <c r="B15649" t="s">
        <v>574</v>
      </c>
      <c r="C15649" t="s">
        <v>14016</v>
      </c>
      <c r="D15649" t="s">
        <v>52799</v>
      </c>
      <c r="E15649">
        <v>425350</v>
      </c>
      <c r="F15649" t="s">
        <v>1</v>
      </c>
      <c r="G15649" t="s">
        <v>51330</v>
      </c>
      <c r="H15649" t="s">
        <v>52164</v>
      </c>
      <c r="P15649" t="s">
        <v>60</v>
      </c>
      <c r="Y15649" t="s">
        <v>52800</v>
      </c>
    </row>
    <row r="15650" spans="1:25" x14ac:dyDescent="0.25">
      <c r="A15650" t="str">
        <f>"207108396713"</f>
        <v>207108396713</v>
      </c>
      <c r="B15650" t="s">
        <v>290</v>
      </c>
      <c r="C15650" t="s">
        <v>52802</v>
      </c>
      <c r="D15650" t="s">
        <v>11350</v>
      </c>
      <c r="E15650">
        <v>425350</v>
      </c>
      <c r="F15650" t="s">
        <v>1</v>
      </c>
      <c r="G15650" t="s">
        <v>51330</v>
      </c>
      <c r="H15650" t="s">
        <v>51440</v>
      </c>
      <c r="J15650" t="s">
        <v>52801</v>
      </c>
      <c r="P15650" t="s">
        <v>869</v>
      </c>
      <c r="Q15650" t="s">
        <v>52803</v>
      </c>
      <c r="Y15650" t="s">
        <v>51443</v>
      </c>
    </row>
    <row r="15651" spans="1:25" x14ac:dyDescent="0.25">
      <c r="A15651" t="str">
        <f>"207289514874"</f>
        <v>207289514874</v>
      </c>
      <c r="B15651" t="s">
        <v>841</v>
      </c>
      <c r="C15651" t="s">
        <v>52805</v>
      </c>
      <c r="D15651" t="s">
        <v>31126</v>
      </c>
      <c r="F15651" t="s">
        <v>1</v>
      </c>
      <c r="G15651" t="s">
        <v>51330</v>
      </c>
      <c r="H15651" t="s">
        <v>52804</v>
      </c>
      <c r="J15651" t="s">
        <v>52549</v>
      </c>
      <c r="P15651" t="s">
        <v>312</v>
      </c>
      <c r="Q15651" t="s">
        <v>52806</v>
      </c>
      <c r="U15651" t="s">
        <v>52807</v>
      </c>
      <c r="Y15651" t="s">
        <v>52808</v>
      </c>
    </row>
    <row r="15652" spans="1:25" x14ac:dyDescent="0.25">
      <c r="A15652" t="str">
        <f>"207315635416"</f>
        <v>207315635416</v>
      </c>
      <c r="B15652" t="s">
        <v>574</v>
      </c>
      <c r="C15652" t="s">
        <v>646</v>
      </c>
      <c r="D15652" t="s">
        <v>52809</v>
      </c>
      <c r="F15652" t="s">
        <v>1</v>
      </c>
      <c r="G15652" t="s">
        <v>51330</v>
      </c>
      <c r="H15652" t="s">
        <v>51816</v>
      </c>
      <c r="P15652" t="s">
        <v>6764</v>
      </c>
      <c r="Y15652" t="s">
        <v>52810</v>
      </c>
    </row>
    <row r="15653" spans="1:25" x14ac:dyDescent="0.25">
      <c r="A15653" t="str">
        <f>"207564835312"</f>
        <v>207564835312</v>
      </c>
      <c r="B15653" t="s">
        <v>530</v>
      </c>
      <c r="C15653" t="s">
        <v>23950</v>
      </c>
      <c r="D15653" t="s">
        <v>23950</v>
      </c>
      <c r="F15653" t="s">
        <v>1</v>
      </c>
      <c r="G15653" t="s">
        <v>51330</v>
      </c>
      <c r="H15653" t="s">
        <v>52128</v>
      </c>
      <c r="Y15653" t="s">
        <v>52811</v>
      </c>
    </row>
    <row r="15654" spans="1:25" x14ac:dyDescent="0.25">
      <c r="A15654" t="str">
        <f>"208430388047"</f>
        <v>208430388047</v>
      </c>
      <c r="B15654" t="s">
        <v>7312</v>
      </c>
      <c r="C15654" t="s">
        <v>25678</v>
      </c>
      <c r="D15654" t="s">
        <v>52809</v>
      </c>
      <c r="F15654" t="s">
        <v>1</v>
      </c>
      <c r="G15654" t="s">
        <v>51330</v>
      </c>
      <c r="H15654" t="s">
        <v>51816</v>
      </c>
      <c r="P15654" t="s">
        <v>6764</v>
      </c>
      <c r="Y15654" t="s">
        <v>52812</v>
      </c>
    </row>
    <row r="15655" spans="1:25" x14ac:dyDescent="0.25">
      <c r="A15655" t="str">
        <f>"208693360018"</f>
        <v>208693360018</v>
      </c>
      <c r="B15655" t="s">
        <v>2104</v>
      </c>
      <c r="C15655" t="s">
        <v>52817</v>
      </c>
      <c r="D15655" t="s">
        <v>52813</v>
      </c>
      <c r="F15655" t="s">
        <v>1</v>
      </c>
      <c r="G15655" t="s">
        <v>51330</v>
      </c>
      <c r="H15655" t="s">
        <v>52814</v>
      </c>
      <c r="J15655" t="s">
        <v>52815</v>
      </c>
      <c r="L15655" t="s">
        <v>52816</v>
      </c>
      <c r="P15655" t="s">
        <v>330</v>
      </c>
      <c r="Y15655" t="s">
        <v>52818</v>
      </c>
    </row>
    <row r="15656" spans="1:25" x14ac:dyDescent="0.25">
      <c r="A15656" t="str">
        <f>"208782516295"</f>
        <v>208782516295</v>
      </c>
      <c r="B15656" t="s">
        <v>18</v>
      </c>
      <c r="C15656" t="s">
        <v>1419</v>
      </c>
      <c r="D15656" t="s">
        <v>52819</v>
      </c>
      <c r="F15656" t="s">
        <v>1</v>
      </c>
      <c r="G15656" t="s">
        <v>51330</v>
      </c>
      <c r="H15656" t="s">
        <v>51829</v>
      </c>
      <c r="Y15656" t="s">
        <v>52820</v>
      </c>
    </row>
    <row r="15657" spans="1:25" x14ac:dyDescent="0.25">
      <c r="A15657" t="str">
        <f>"209172648735"</f>
        <v>209172648735</v>
      </c>
      <c r="B15657" t="s">
        <v>530</v>
      </c>
      <c r="C15657" t="s">
        <v>23950</v>
      </c>
      <c r="D15657" t="s">
        <v>23950</v>
      </c>
      <c r="F15657" t="s">
        <v>1</v>
      </c>
      <c r="G15657" t="s">
        <v>51330</v>
      </c>
      <c r="H15657" t="s">
        <v>52783</v>
      </c>
      <c r="Y15657" t="s">
        <v>52821</v>
      </c>
    </row>
    <row r="15658" spans="1:25" x14ac:dyDescent="0.25">
      <c r="A15658" t="str">
        <f>"209222277953"</f>
        <v>209222277953</v>
      </c>
      <c r="B15658" t="s">
        <v>530</v>
      </c>
      <c r="C15658" t="s">
        <v>23950</v>
      </c>
      <c r="D15658" t="s">
        <v>23950</v>
      </c>
      <c r="F15658" t="s">
        <v>1</v>
      </c>
      <c r="G15658" t="s">
        <v>51330</v>
      </c>
      <c r="H15658" t="s">
        <v>52822</v>
      </c>
      <c r="Y15658" t="s">
        <v>52823</v>
      </c>
    </row>
    <row r="15659" spans="1:25" x14ac:dyDescent="0.25">
      <c r="A15659" t="str">
        <f>"209262826040"</f>
        <v>209262826040</v>
      </c>
      <c r="B15659" t="s">
        <v>2104</v>
      </c>
      <c r="C15659" t="s">
        <v>13387</v>
      </c>
      <c r="D15659" t="s">
        <v>34531</v>
      </c>
      <c r="E15659">
        <v>425350</v>
      </c>
      <c r="F15659" t="s">
        <v>1</v>
      </c>
      <c r="G15659" t="s">
        <v>51330</v>
      </c>
      <c r="H15659" t="s">
        <v>51946</v>
      </c>
      <c r="P15659" t="s">
        <v>216</v>
      </c>
      <c r="Y15659" t="s">
        <v>52824</v>
      </c>
    </row>
    <row r="15660" spans="1:25" x14ac:dyDescent="0.25">
      <c r="A15660" t="str">
        <f>"210001853678"</f>
        <v>210001853678</v>
      </c>
      <c r="B15660" t="s">
        <v>574</v>
      </c>
      <c r="C15660" t="s">
        <v>36621</v>
      </c>
      <c r="D15660" t="s">
        <v>52825</v>
      </c>
      <c r="F15660" t="s">
        <v>1</v>
      </c>
      <c r="G15660" t="s">
        <v>51330</v>
      </c>
      <c r="H15660" t="s">
        <v>51803</v>
      </c>
      <c r="P15660" t="s">
        <v>2457</v>
      </c>
      <c r="Y15660" t="s">
        <v>52826</v>
      </c>
    </row>
    <row r="15661" spans="1:25" x14ac:dyDescent="0.25">
      <c r="A15661" t="str">
        <f>"210177321352"</f>
        <v>210177321352</v>
      </c>
      <c r="B15661" t="s">
        <v>530</v>
      </c>
      <c r="C15661" t="s">
        <v>23950</v>
      </c>
      <c r="D15661" t="s">
        <v>23950</v>
      </c>
      <c r="F15661" t="s">
        <v>1</v>
      </c>
      <c r="G15661" t="s">
        <v>51330</v>
      </c>
      <c r="H15661" t="s">
        <v>51769</v>
      </c>
      <c r="Y15661" t="s">
        <v>52827</v>
      </c>
    </row>
    <row r="15662" spans="1:25" x14ac:dyDescent="0.25">
      <c r="A15662" t="str">
        <f>"210341238553"</f>
        <v>210341238553</v>
      </c>
      <c r="B15662" t="s">
        <v>574</v>
      </c>
      <c r="C15662" t="s">
        <v>9802</v>
      </c>
      <c r="D15662" t="s">
        <v>52828</v>
      </c>
      <c r="E15662">
        <v>425350</v>
      </c>
      <c r="F15662" t="s">
        <v>1</v>
      </c>
      <c r="G15662" t="s">
        <v>51330</v>
      </c>
      <c r="H15662" t="s">
        <v>51488</v>
      </c>
      <c r="J15662" t="s">
        <v>52829</v>
      </c>
      <c r="P15662" t="s">
        <v>52830</v>
      </c>
      <c r="Q15662" t="s">
        <v>52831</v>
      </c>
      <c r="V15662" t="s">
        <v>52832</v>
      </c>
      <c r="Y15662" t="s">
        <v>52833</v>
      </c>
    </row>
    <row r="15663" spans="1:25" x14ac:dyDescent="0.25">
      <c r="A15663" t="str">
        <f>"210500737826"</f>
        <v>210500737826</v>
      </c>
      <c r="B15663" t="s">
        <v>1552</v>
      </c>
      <c r="C15663" t="s">
        <v>5112</v>
      </c>
      <c r="D15663" t="s">
        <v>18439</v>
      </c>
      <c r="F15663" t="s">
        <v>1</v>
      </c>
      <c r="G15663" t="s">
        <v>51330</v>
      </c>
      <c r="H15663" t="s">
        <v>51767</v>
      </c>
      <c r="Y15663" t="s">
        <v>52834</v>
      </c>
    </row>
    <row r="15664" spans="1:25" x14ac:dyDescent="0.25">
      <c r="A15664" t="str">
        <f>"210985457607"</f>
        <v>210985457607</v>
      </c>
      <c r="B15664" t="s">
        <v>530</v>
      </c>
      <c r="C15664" t="s">
        <v>23950</v>
      </c>
      <c r="D15664" t="s">
        <v>23950</v>
      </c>
      <c r="F15664" t="s">
        <v>1</v>
      </c>
      <c r="G15664" t="s">
        <v>51330</v>
      </c>
      <c r="H15664" t="s">
        <v>51887</v>
      </c>
      <c r="Y15664" t="s">
        <v>52835</v>
      </c>
    </row>
    <row r="15665" spans="1:25" x14ac:dyDescent="0.25">
      <c r="A15665" t="str">
        <f>"211039100362"</f>
        <v>211039100362</v>
      </c>
      <c r="B15665" t="s">
        <v>738</v>
      </c>
      <c r="C15665" t="s">
        <v>739</v>
      </c>
      <c r="D15665" t="s">
        <v>52836</v>
      </c>
      <c r="F15665" t="s">
        <v>1</v>
      </c>
      <c r="G15665" t="s">
        <v>51330</v>
      </c>
      <c r="H15665" t="s">
        <v>51887</v>
      </c>
      <c r="P15665" t="s">
        <v>410</v>
      </c>
      <c r="Y15665" t="s">
        <v>52837</v>
      </c>
    </row>
    <row r="15666" spans="1:25" x14ac:dyDescent="0.25">
      <c r="A15666" t="str">
        <f>"211364287711"</f>
        <v>211364287711</v>
      </c>
      <c r="B15666" t="s">
        <v>530</v>
      </c>
      <c r="C15666" t="s">
        <v>23950</v>
      </c>
      <c r="D15666" t="s">
        <v>23950</v>
      </c>
      <c r="F15666" t="s">
        <v>1</v>
      </c>
      <c r="G15666" t="s">
        <v>51330</v>
      </c>
      <c r="H15666" t="s">
        <v>52045</v>
      </c>
      <c r="Y15666" t="s">
        <v>52838</v>
      </c>
    </row>
    <row r="15667" spans="1:25" x14ac:dyDescent="0.25">
      <c r="A15667" t="str">
        <f>"211612346392"</f>
        <v>211612346392</v>
      </c>
      <c r="B15667" t="s">
        <v>110</v>
      </c>
      <c r="C15667" t="s">
        <v>111</v>
      </c>
      <c r="D15667" t="s">
        <v>52839</v>
      </c>
      <c r="E15667">
        <v>425350</v>
      </c>
      <c r="F15667" t="s">
        <v>1</v>
      </c>
      <c r="G15667" t="s">
        <v>51330</v>
      </c>
      <c r="H15667" t="s">
        <v>51511</v>
      </c>
      <c r="Y15667" t="s">
        <v>51774</v>
      </c>
    </row>
    <row r="15668" spans="1:25" x14ac:dyDescent="0.25">
      <c r="A15668" t="str">
        <f>"211649224185"</f>
        <v>211649224185</v>
      </c>
      <c r="B15668" t="s">
        <v>930</v>
      </c>
      <c r="C15668" t="s">
        <v>52842</v>
      </c>
      <c r="D15668" t="s">
        <v>52840</v>
      </c>
      <c r="F15668" t="s">
        <v>1</v>
      </c>
      <c r="G15668" t="s">
        <v>51330</v>
      </c>
      <c r="H15668" t="s">
        <v>52266</v>
      </c>
      <c r="J15668" t="s">
        <v>52841</v>
      </c>
      <c r="P15668" t="s">
        <v>133</v>
      </c>
      <c r="Y15668" t="s">
        <v>52843</v>
      </c>
    </row>
    <row r="15669" spans="1:25" x14ac:dyDescent="0.25">
      <c r="A15669" t="str">
        <f>"213070972064"</f>
        <v>213070972064</v>
      </c>
      <c r="B15669" t="s">
        <v>348</v>
      </c>
      <c r="C15669" t="s">
        <v>4366</v>
      </c>
      <c r="D15669" t="s">
        <v>348</v>
      </c>
      <c r="E15669">
        <v>425350</v>
      </c>
      <c r="F15669" t="s">
        <v>1</v>
      </c>
      <c r="G15669" t="s">
        <v>51330</v>
      </c>
      <c r="H15669" t="s">
        <v>52177</v>
      </c>
      <c r="Y15669" t="s">
        <v>52844</v>
      </c>
    </row>
    <row r="15670" spans="1:25" x14ac:dyDescent="0.25">
      <c r="A15670" t="str">
        <f>"213098211378"</f>
        <v>213098211378</v>
      </c>
      <c r="B15670" t="s">
        <v>80</v>
      </c>
      <c r="C15670" t="s">
        <v>2071</v>
      </c>
      <c r="D15670" t="s">
        <v>49059</v>
      </c>
      <c r="E15670">
        <v>425350</v>
      </c>
      <c r="F15670" t="s">
        <v>1</v>
      </c>
      <c r="G15670" t="s">
        <v>51330</v>
      </c>
      <c r="H15670" t="s">
        <v>51533</v>
      </c>
      <c r="Y15670" t="s">
        <v>52845</v>
      </c>
    </row>
    <row r="15671" spans="1:25" x14ac:dyDescent="0.25">
      <c r="A15671" t="str">
        <f>"213422487637"</f>
        <v>213422487637</v>
      </c>
      <c r="B15671" t="s">
        <v>574</v>
      </c>
      <c r="C15671" t="s">
        <v>24933</v>
      </c>
      <c r="D15671" t="s">
        <v>52846</v>
      </c>
      <c r="E15671">
        <v>425350</v>
      </c>
      <c r="F15671" t="s">
        <v>1</v>
      </c>
      <c r="G15671" t="s">
        <v>51330</v>
      </c>
      <c r="H15671" t="s">
        <v>52177</v>
      </c>
      <c r="Y15671" t="s">
        <v>52847</v>
      </c>
    </row>
    <row r="15672" spans="1:25" x14ac:dyDescent="0.25">
      <c r="A15672" t="str">
        <f>"213501892392"</f>
        <v>213501892392</v>
      </c>
      <c r="B15672" t="s">
        <v>574</v>
      </c>
      <c r="C15672" t="s">
        <v>646</v>
      </c>
      <c r="D15672" t="s">
        <v>4221</v>
      </c>
      <c r="F15672" t="s">
        <v>1</v>
      </c>
      <c r="G15672" t="s">
        <v>51330</v>
      </c>
      <c r="H15672" t="s">
        <v>52848</v>
      </c>
      <c r="Y15672" t="s">
        <v>52849</v>
      </c>
    </row>
    <row r="15673" spans="1:25" x14ac:dyDescent="0.25">
      <c r="A15673" t="str">
        <f>"213609307920"</f>
        <v>213609307920</v>
      </c>
      <c r="B15673" t="s">
        <v>25</v>
      </c>
      <c r="C15673" t="s">
        <v>15801</v>
      </c>
      <c r="D15673" t="s">
        <v>52850</v>
      </c>
      <c r="E15673">
        <v>425350</v>
      </c>
      <c r="F15673" t="s">
        <v>1</v>
      </c>
      <c r="G15673" t="s">
        <v>51330</v>
      </c>
      <c r="H15673" t="s">
        <v>51511</v>
      </c>
      <c r="Y15673" t="s">
        <v>52075</v>
      </c>
    </row>
    <row r="15674" spans="1:25" x14ac:dyDescent="0.25">
      <c r="A15674" t="str">
        <f>"213940325008"</f>
        <v>213940325008</v>
      </c>
      <c r="B15674" t="s">
        <v>1152</v>
      </c>
      <c r="C15674" t="s">
        <v>1385</v>
      </c>
      <c r="D15674" t="s">
        <v>1385</v>
      </c>
      <c r="F15674" t="s">
        <v>1</v>
      </c>
      <c r="G15674" t="s">
        <v>51330</v>
      </c>
      <c r="H15674" t="s">
        <v>51816</v>
      </c>
      <c r="Y15674" t="s">
        <v>52851</v>
      </c>
    </row>
    <row r="15675" spans="1:25" x14ac:dyDescent="0.25">
      <c r="A15675" t="str">
        <f>"214561933048"</f>
        <v>214561933048</v>
      </c>
      <c r="B15675" t="s">
        <v>96</v>
      </c>
      <c r="C15675" t="s">
        <v>311</v>
      </c>
      <c r="D15675" t="s">
        <v>52852</v>
      </c>
      <c r="E15675">
        <v>425353</v>
      </c>
      <c r="F15675" t="s">
        <v>1</v>
      </c>
      <c r="G15675" t="s">
        <v>51330</v>
      </c>
      <c r="H15675" t="s">
        <v>51837</v>
      </c>
      <c r="Y15675" t="s">
        <v>52853</v>
      </c>
    </row>
    <row r="15676" spans="1:25" x14ac:dyDescent="0.25">
      <c r="A15676" t="str">
        <f>"214826805841"</f>
        <v>214826805841</v>
      </c>
      <c r="B15676" t="s">
        <v>348</v>
      </c>
      <c r="C15676" t="s">
        <v>4366</v>
      </c>
      <c r="D15676" t="s">
        <v>348</v>
      </c>
      <c r="F15676" t="s">
        <v>1</v>
      </c>
      <c r="G15676" t="s">
        <v>51330</v>
      </c>
      <c r="H15676" t="s">
        <v>51976</v>
      </c>
      <c r="Y15676" t="s">
        <v>52854</v>
      </c>
    </row>
    <row r="15677" spans="1:25" x14ac:dyDescent="0.25">
      <c r="A15677" t="str">
        <f>"214991991325"</f>
        <v>214991991325</v>
      </c>
      <c r="B15677" t="s">
        <v>574</v>
      </c>
      <c r="C15677" t="s">
        <v>51965</v>
      </c>
      <c r="D15677" t="s">
        <v>52855</v>
      </c>
      <c r="E15677">
        <v>425350</v>
      </c>
      <c r="F15677" t="s">
        <v>1</v>
      </c>
      <c r="G15677" t="s">
        <v>51330</v>
      </c>
      <c r="H15677" t="s">
        <v>52724</v>
      </c>
      <c r="P15677" t="s">
        <v>2457</v>
      </c>
      <c r="Y15677" t="s">
        <v>52856</v>
      </c>
    </row>
    <row r="15678" spans="1:25" x14ac:dyDescent="0.25">
      <c r="A15678" t="str">
        <f>"215308547131"</f>
        <v>215308547131</v>
      </c>
      <c r="B15678" t="s">
        <v>530</v>
      </c>
      <c r="C15678" t="s">
        <v>23950</v>
      </c>
      <c r="D15678" t="s">
        <v>23950</v>
      </c>
      <c r="E15678">
        <v>425353</v>
      </c>
      <c r="F15678" t="s">
        <v>1</v>
      </c>
      <c r="G15678" t="s">
        <v>51330</v>
      </c>
      <c r="H15678" t="s">
        <v>52050</v>
      </c>
      <c r="Y15678" t="s">
        <v>52857</v>
      </c>
    </row>
    <row r="15679" spans="1:25" x14ac:dyDescent="0.25">
      <c r="A15679" t="str">
        <f>"215766323018"</f>
        <v>215766323018</v>
      </c>
      <c r="B15679" t="s">
        <v>530</v>
      </c>
      <c r="C15679" t="s">
        <v>23950</v>
      </c>
      <c r="D15679" t="s">
        <v>23950</v>
      </c>
      <c r="F15679" t="s">
        <v>1</v>
      </c>
      <c r="G15679" t="s">
        <v>51330</v>
      </c>
      <c r="H15679" t="s">
        <v>52858</v>
      </c>
      <c r="Y15679" t="s">
        <v>52859</v>
      </c>
    </row>
    <row r="15680" spans="1:25" x14ac:dyDescent="0.25">
      <c r="A15680" t="str">
        <f>"216682701999"</f>
        <v>216682701999</v>
      </c>
      <c r="B15680" t="s">
        <v>1611</v>
      </c>
      <c r="C15680" t="s">
        <v>26250</v>
      </c>
      <c r="D15680" t="s">
        <v>52860</v>
      </c>
      <c r="F15680" t="s">
        <v>1</v>
      </c>
      <c r="G15680" t="s">
        <v>51330</v>
      </c>
      <c r="H15680" t="s">
        <v>52314</v>
      </c>
      <c r="P15680" t="s">
        <v>4765</v>
      </c>
      <c r="Y15680" t="s">
        <v>52861</v>
      </c>
    </row>
    <row r="15681" spans="1:25" x14ac:dyDescent="0.25">
      <c r="A15681" t="str">
        <f>"217008591256"</f>
        <v>217008591256</v>
      </c>
      <c r="B15681" t="s">
        <v>530</v>
      </c>
      <c r="C15681" t="s">
        <v>23950</v>
      </c>
      <c r="D15681" t="s">
        <v>23950</v>
      </c>
      <c r="E15681">
        <v>425350</v>
      </c>
      <c r="F15681" t="s">
        <v>1</v>
      </c>
      <c r="G15681" t="s">
        <v>51330</v>
      </c>
      <c r="H15681" t="s">
        <v>51946</v>
      </c>
      <c r="Y15681" t="s">
        <v>52862</v>
      </c>
    </row>
    <row r="15682" spans="1:25" x14ac:dyDescent="0.25">
      <c r="A15682" t="str">
        <f>"217031911350"</f>
        <v>217031911350</v>
      </c>
      <c r="B15682" t="s">
        <v>530</v>
      </c>
      <c r="C15682" t="s">
        <v>23950</v>
      </c>
      <c r="D15682" t="s">
        <v>23950</v>
      </c>
      <c r="F15682" t="s">
        <v>1</v>
      </c>
      <c r="G15682" t="s">
        <v>51330</v>
      </c>
      <c r="H15682" t="s">
        <v>52863</v>
      </c>
      <c r="Y15682" t="s">
        <v>52864</v>
      </c>
    </row>
    <row r="15683" spans="1:25" x14ac:dyDescent="0.25">
      <c r="A15683" t="str">
        <f>"217443736355"</f>
        <v>217443736355</v>
      </c>
      <c r="B15683" t="s">
        <v>334</v>
      </c>
      <c r="C15683" t="s">
        <v>334</v>
      </c>
      <c r="D15683" t="s">
        <v>52865</v>
      </c>
      <c r="F15683" t="s">
        <v>1</v>
      </c>
      <c r="G15683" t="s">
        <v>51330</v>
      </c>
      <c r="H15683" t="s">
        <v>52866</v>
      </c>
      <c r="Y15683" t="s">
        <v>52867</v>
      </c>
    </row>
    <row r="15684" spans="1:25" x14ac:dyDescent="0.25">
      <c r="A15684" t="str">
        <f>"218859287403"</f>
        <v>218859287403</v>
      </c>
      <c r="B15684" t="s">
        <v>530</v>
      </c>
      <c r="C15684" t="s">
        <v>23950</v>
      </c>
      <c r="D15684" t="s">
        <v>23950</v>
      </c>
      <c r="F15684" t="s">
        <v>1</v>
      </c>
      <c r="G15684" t="s">
        <v>51330</v>
      </c>
      <c r="H15684" t="s">
        <v>52868</v>
      </c>
      <c r="Y15684" t="s">
        <v>52869</v>
      </c>
    </row>
    <row r="15685" spans="1:25" x14ac:dyDescent="0.25">
      <c r="A15685" t="str">
        <f>"219065162347"</f>
        <v>219065162347</v>
      </c>
      <c r="B15685" t="s">
        <v>176</v>
      </c>
      <c r="C15685" t="s">
        <v>27547</v>
      </c>
      <c r="D15685" t="s">
        <v>27545</v>
      </c>
      <c r="F15685" t="s">
        <v>1</v>
      </c>
      <c r="G15685" t="s">
        <v>51330</v>
      </c>
      <c r="H15685" t="s">
        <v>52870</v>
      </c>
      <c r="Y15685" t="s">
        <v>52871</v>
      </c>
    </row>
    <row r="15686" spans="1:25" x14ac:dyDescent="0.25">
      <c r="A15686" t="str">
        <f>"219932344319"</f>
        <v>219932344319</v>
      </c>
      <c r="B15686" t="s">
        <v>530</v>
      </c>
      <c r="C15686" t="s">
        <v>23950</v>
      </c>
      <c r="D15686" t="s">
        <v>23950</v>
      </c>
      <c r="F15686" t="s">
        <v>1</v>
      </c>
      <c r="G15686" t="s">
        <v>51330</v>
      </c>
      <c r="H15686" t="s">
        <v>51787</v>
      </c>
      <c r="Y15686" t="s">
        <v>52872</v>
      </c>
    </row>
    <row r="15687" spans="1:25" x14ac:dyDescent="0.25">
      <c r="A15687" t="str">
        <f>"220098225117"</f>
        <v>220098225117</v>
      </c>
      <c r="B15687" t="s">
        <v>519</v>
      </c>
      <c r="C15687" t="s">
        <v>583</v>
      </c>
      <c r="D15687" t="s">
        <v>52873</v>
      </c>
      <c r="E15687">
        <v>425350</v>
      </c>
      <c r="F15687" t="s">
        <v>1</v>
      </c>
      <c r="G15687" t="s">
        <v>51330</v>
      </c>
      <c r="H15687" t="s">
        <v>51488</v>
      </c>
      <c r="Y15687" t="s">
        <v>52874</v>
      </c>
    </row>
    <row r="15688" spans="1:25" x14ac:dyDescent="0.25">
      <c r="A15688" t="str">
        <f>"220236103432"</f>
        <v>220236103432</v>
      </c>
      <c r="B15688" t="s">
        <v>1078</v>
      </c>
      <c r="C15688" t="s">
        <v>25481</v>
      </c>
      <c r="D15688" t="s">
        <v>7229</v>
      </c>
      <c r="E15688">
        <v>425350</v>
      </c>
      <c r="F15688" t="s">
        <v>1</v>
      </c>
      <c r="G15688" t="s">
        <v>51330</v>
      </c>
      <c r="H15688" t="s">
        <v>52120</v>
      </c>
      <c r="Y15688" t="s">
        <v>52875</v>
      </c>
    </row>
    <row r="15689" spans="1:25" x14ac:dyDescent="0.25">
      <c r="A15689" t="str">
        <f>"220452420710"</f>
        <v>220452420710</v>
      </c>
      <c r="B15689" t="s">
        <v>530</v>
      </c>
      <c r="C15689" t="s">
        <v>23950</v>
      </c>
      <c r="D15689" t="s">
        <v>23950</v>
      </c>
      <c r="F15689" t="s">
        <v>1</v>
      </c>
      <c r="G15689" t="s">
        <v>51330</v>
      </c>
      <c r="H15689" t="s">
        <v>51829</v>
      </c>
      <c r="Y15689" t="s">
        <v>52876</v>
      </c>
    </row>
    <row r="15690" spans="1:25" x14ac:dyDescent="0.25">
      <c r="A15690" t="str">
        <f>"221777198689"</f>
        <v>221777198689</v>
      </c>
      <c r="B15690" t="s">
        <v>110</v>
      </c>
      <c r="C15690" t="s">
        <v>111</v>
      </c>
      <c r="D15690" t="s">
        <v>1115</v>
      </c>
      <c r="F15690" t="s">
        <v>1</v>
      </c>
      <c r="G15690" t="s">
        <v>51330</v>
      </c>
      <c r="H15690" t="s">
        <v>51816</v>
      </c>
      <c r="P15690" t="s">
        <v>216</v>
      </c>
      <c r="Y15690" t="s">
        <v>52877</v>
      </c>
    </row>
    <row r="15691" spans="1:25" x14ac:dyDescent="0.25">
      <c r="A15691" t="str">
        <f>"221884498364"</f>
        <v>221884498364</v>
      </c>
      <c r="B15691" t="s">
        <v>18</v>
      </c>
      <c r="C15691" t="s">
        <v>12289</v>
      </c>
      <c r="D15691" t="s">
        <v>52341</v>
      </c>
      <c r="E15691">
        <v>425353</v>
      </c>
      <c r="F15691" t="s">
        <v>1</v>
      </c>
      <c r="G15691" t="s">
        <v>51330</v>
      </c>
      <c r="H15691" t="s">
        <v>51837</v>
      </c>
      <c r="Y15691" t="s">
        <v>52878</v>
      </c>
    </row>
    <row r="15692" spans="1:25" x14ac:dyDescent="0.25">
      <c r="A15692" t="str">
        <f>"221937375689"</f>
        <v>221937375689</v>
      </c>
      <c r="B15692" t="s">
        <v>117</v>
      </c>
      <c r="C15692" t="s">
        <v>6850</v>
      </c>
      <c r="D15692" t="s">
        <v>52879</v>
      </c>
      <c r="E15692">
        <v>425350</v>
      </c>
      <c r="F15692" t="s">
        <v>1</v>
      </c>
      <c r="G15692" t="s">
        <v>51330</v>
      </c>
      <c r="H15692" t="s">
        <v>52581</v>
      </c>
      <c r="I15692" t="s">
        <v>52880</v>
      </c>
      <c r="P15692" t="s">
        <v>330</v>
      </c>
      <c r="Y15692" t="s">
        <v>52881</v>
      </c>
    </row>
    <row r="15693" spans="1:25" x14ac:dyDescent="0.25">
      <c r="A15693" t="str">
        <f>"222081679397"</f>
        <v>222081679397</v>
      </c>
      <c r="B15693" t="s">
        <v>4084</v>
      </c>
      <c r="C15693" t="s">
        <v>7951</v>
      </c>
      <c r="D15693" t="s">
        <v>52882</v>
      </c>
      <c r="E15693">
        <v>425354</v>
      </c>
      <c r="F15693" t="s">
        <v>1</v>
      </c>
      <c r="G15693" t="s">
        <v>51330</v>
      </c>
      <c r="H15693" t="s">
        <v>52883</v>
      </c>
      <c r="P15693" t="s">
        <v>799</v>
      </c>
      <c r="Y15693" t="s">
        <v>52884</v>
      </c>
    </row>
    <row r="15694" spans="1:25" x14ac:dyDescent="0.25">
      <c r="A15694" t="str">
        <f>"222251610005"</f>
        <v>222251610005</v>
      </c>
      <c r="B15694" t="s">
        <v>3008</v>
      </c>
      <c r="C15694" t="s">
        <v>25605</v>
      </c>
      <c r="D15694" t="s">
        <v>27643</v>
      </c>
      <c r="E15694">
        <v>425350</v>
      </c>
      <c r="F15694" t="s">
        <v>1</v>
      </c>
      <c r="G15694" t="s">
        <v>51330</v>
      </c>
      <c r="H15694" t="s">
        <v>51400</v>
      </c>
      <c r="Y15694" t="s">
        <v>52749</v>
      </c>
    </row>
    <row r="15695" spans="1:25" x14ac:dyDescent="0.25">
      <c r="A15695" t="str">
        <f>"223144958841"</f>
        <v>223144958841</v>
      </c>
      <c r="B15695" t="s">
        <v>530</v>
      </c>
      <c r="C15695" t="s">
        <v>23950</v>
      </c>
      <c r="D15695" t="s">
        <v>23950</v>
      </c>
      <c r="F15695" t="s">
        <v>1</v>
      </c>
      <c r="G15695" t="s">
        <v>51330</v>
      </c>
      <c r="H15695" t="s">
        <v>52885</v>
      </c>
      <c r="Y15695" t="s">
        <v>52886</v>
      </c>
    </row>
    <row r="15696" spans="1:25" x14ac:dyDescent="0.25">
      <c r="A15696" t="str">
        <f>"223546905567"</f>
        <v>223546905567</v>
      </c>
      <c r="B15696" t="s">
        <v>1573</v>
      </c>
      <c r="C15696" t="s">
        <v>1817</v>
      </c>
      <c r="D15696" t="s">
        <v>31941</v>
      </c>
      <c r="F15696" t="s">
        <v>1</v>
      </c>
      <c r="G15696" t="s">
        <v>51330</v>
      </c>
      <c r="H15696" t="s">
        <v>51390</v>
      </c>
      <c r="P15696" t="s">
        <v>799</v>
      </c>
      <c r="Y15696" t="s">
        <v>52887</v>
      </c>
    </row>
    <row r="15697" spans="1:25" x14ac:dyDescent="0.25">
      <c r="A15697" t="str">
        <f>"225166020754"</f>
        <v>225166020754</v>
      </c>
      <c r="B15697" t="s">
        <v>530</v>
      </c>
      <c r="C15697" t="s">
        <v>23950</v>
      </c>
      <c r="D15697" t="s">
        <v>23950</v>
      </c>
      <c r="F15697" t="s">
        <v>1</v>
      </c>
      <c r="G15697" t="s">
        <v>51330</v>
      </c>
      <c r="H15697" t="s">
        <v>51518</v>
      </c>
      <c r="Y15697" t="s">
        <v>52888</v>
      </c>
    </row>
    <row r="15698" spans="1:25" x14ac:dyDescent="0.25">
      <c r="A15698" t="str">
        <f>"225594395955"</f>
        <v>225594395955</v>
      </c>
      <c r="B15698" t="s">
        <v>574</v>
      </c>
      <c r="C15698" t="s">
        <v>14016</v>
      </c>
      <c r="D15698" t="s">
        <v>2733</v>
      </c>
      <c r="E15698">
        <v>425350</v>
      </c>
      <c r="F15698" t="s">
        <v>1</v>
      </c>
      <c r="G15698" t="s">
        <v>51330</v>
      </c>
      <c r="H15698" t="s">
        <v>52308</v>
      </c>
      <c r="P15698" t="s">
        <v>11503</v>
      </c>
      <c r="Y15698" t="s">
        <v>52889</v>
      </c>
    </row>
    <row r="15699" spans="1:25" x14ac:dyDescent="0.25">
      <c r="A15699" t="str">
        <f>"225611170823"</f>
        <v>225611170823</v>
      </c>
      <c r="B15699" t="s">
        <v>160</v>
      </c>
      <c r="C15699" t="s">
        <v>1666</v>
      </c>
      <c r="D15699" t="s">
        <v>52890</v>
      </c>
      <c r="F15699" t="s">
        <v>1</v>
      </c>
      <c r="G15699" t="s">
        <v>51330</v>
      </c>
      <c r="H15699" t="s">
        <v>52060</v>
      </c>
      <c r="Y15699" t="s">
        <v>52891</v>
      </c>
    </row>
    <row r="15700" spans="1:25" x14ac:dyDescent="0.25">
      <c r="A15700" t="str">
        <f>"225679495461"</f>
        <v>225679495461</v>
      </c>
      <c r="B15700" t="s">
        <v>25</v>
      </c>
      <c r="C15700" t="s">
        <v>13425</v>
      </c>
      <c r="D15700" t="s">
        <v>52424</v>
      </c>
      <c r="F15700" t="s">
        <v>1</v>
      </c>
      <c r="G15700" t="s">
        <v>51330</v>
      </c>
      <c r="H15700" t="s">
        <v>51801</v>
      </c>
      <c r="Y15700" t="s">
        <v>52892</v>
      </c>
    </row>
    <row r="15701" spans="1:25" x14ac:dyDescent="0.25">
      <c r="A15701" t="str">
        <f>"226108012375"</f>
        <v>226108012375</v>
      </c>
      <c r="B15701" t="s">
        <v>25</v>
      </c>
      <c r="C15701" t="s">
        <v>20320</v>
      </c>
      <c r="D15701" t="s">
        <v>26674</v>
      </c>
      <c r="F15701" t="s">
        <v>1</v>
      </c>
      <c r="G15701" t="s">
        <v>51330</v>
      </c>
      <c r="H15701" t="s">
        <v>51767</v>
      </c>
      <c r="Y15701" t="s">
        <v>52893</v>
      </c>
    </row>
    <row r="15702" spans="1:25" x14ac:dyDescent="0.25">
      <c r="A15702" t="str">
        <f>"226930143153"</f>
        <v>226930143153</v>
      </c>
      <c r="B15702" t="s">
        <v>88</v>
      </c>
      <c r="C15702" t="s">
        <v>6066</v>
      </c>
      <c r="D15702" t="s">
        <v>52894</v>
      </c>
      <c r="E15702">
        <v>425354</v>
      </c>
      <c r="F15702" t="s">
        <v>1</v>
      </c>
      <c r="G15702" t="s">
        <v>51330</v>
      </c>
      <c r="H15702" t="s">
        <v>52895</v>
      </c>
      <c r="Y15702" t="s">
        <v>52896</v>
      </c>
    </row>
    <row r="15703" spans="1:25" x14ac:dyDescent="0.25">
      <c r="A15703" t="str">
        <f>"227507185761"</f>
        <v>227507185761</v>
      </c>
      <c r="B15703" t="s">
        <v>1611</v>
      </c>
      <c r="C15703" t="s">
        <v>51432</v>
      </c>
      <c r="D15703" t="s">
        <v>52897</v>
      </c>
      <c r="F15703" t="s">
        <v>1</v>
      </c>
      <c r="G15703" t="s">
        <v>51330</v>
      </c>
      <c r="H15703" t="s">
        <v>52314</v>
      </c>
      <c r="I15703" t="s">
        <v>52898</v>
      </c>
      <c r="P15703" t="s">
        <v>20</v>
      </c>
      <c r="Y15703" t="s">
        <v>52899</v>
      </c>
    </row>
    <row r="15704" spans="1:25" x14ac:dyDescent="0.25">
      <c r="A15704" t="str">
        <f>"227609084022"</f>
        <v>227609084022</v>
      </c>
      <c r="B15704" t="s">
        <v>348</v>
      </c>
      <c r="C15704" t="s">
        <v>4366</v>
      </c>
      <c r="D15704" t="s">
        <v>348</v>
      </c>
      <c r="F15704" t="s">
        <v>1</v>
      </c>
      <c r="G15704" t="s">
        <v>51330</v>
      </c>
      <c r="H15704" t="s">
        <v>51991</v>
      </c>
      <c r="I15704" t="s">
        <v>52900</v>
      </c>
      <c r="L15704" t="s">
        <v>52901</v>
      </c>
      <c r="M15704" t="s">
        <v>52902</v>
      </c>
      <c r="P15704" t="s">
        <v>6764</v>
      </c>
      <c r="Q15704" t="s">
        <v>52903</v>
      </c>
      <c r="Y15704" t="s">
        <v>52904</v>
      </c>
    </row>
    <row r="15705" spans="1:25" x14ac:dyDescent="0.25">
      <c r="A15705" t="str">
        <f>"228161739513"</f>
        <v>228161739513</v>
      </c>
      <c r="B15705" t="s">
        <v>574</v>
      </c>
      <c r="C15705" t="s">
        <v>646</v>
      </c>
      <c r="D15705" t="s">
        <v>48672</v>
      </c>
      <c r="E15705">
        <v>425350</v>
      </c>
      <c r="F15705" t="s">
        <v>1</v>
      </c>
      <c r="G15705" t="s">
        <v>51330</v>
      </c>
      <c r="H15705" t="s">
        <v>51771</v>
      </c>
      <c r="Y15705" t="s">
        <v>52905</v>
      </c>
    </row>
    <row r="15706" spans="1:25" x14ac:dyDescent="0.25">
      <c r="A15706" t="str">
        <f>"228741678310"</f>
        <v>228741678310</v>
      </c>
      <c r="B15706" t="s">
        <v>3908</v>
      </c>
      <c r="C15706" t="s">
        <v>3918</v>
      </c>
      <c r="D15706" t="s">
        <v>52906</v>
      </c>
      <c r="E15706">
        <v>425354</v>
      </c>
      <c r="F15706" t="s">
        <v>1</v>
      </c>
      <c r="G15706" t="s">
        <v>51330</v>
      </c>
      <c r="H15706" t="s">
        <v>52895</v>
      </c>
      <c r="Y15706" t="s">
        <v>52907</v>
      </c>
    </row>
    <row r="15707" spans="1:25" x14ac:dyDescent="0.25">
      <c r="A15707" t="str">
        <f>"229508413723"</f>
        <v>229508413723</v>
      </c>
      <c r="B15707" t="s">
        <v>2062</v>
      </c>
      <c r="C15707" t="s">
        <v>35989</v>
      </c>
      <c r="D15707" t="s">
        <v>39856</v>
      </c>
      <c r="F15707" t="s">
        <v>1</v>
      </c>
      <c r="G15707" t="s">
        <v>51330</v>
      </c>
      <c r="H15707" t="s">
        <v>51779</v>
      </c>
      <c r="Y15707" t="s">
        <v>52908</v>
      </c>
    </row>
    <row r="15708" spans="1:25" x14ac:dyDescent="0.25">
      <c r="A15708" t="str">
        <f>"229910478644"</f>
        <v>229910478644</v>
      </c>
      <c r="B15708" t="s">
        <v>530</v>
      </c>
      <c r="C15708" t="s">
        <v>23950</v>
      </c>
      <c r="D15708" t="s">
        <v>23950</v>
      </c>
      <c r="F15708" t="s">
        <v>1</v>
      </c>
      <c r="G15708" t="s">
        <v>51330</v>
      </c>
      <c r="H15708" t="s">
        <v>51789</v>
      </c>
      <c r="Y15708" t="s">
        <v>52909</v>
      </c>
    </row>
    <row r="15709" spans="1:25" x14ac:dyDescent="0.25">
      <c r="A15709" t="str">
        <f>"230807088516"</f>
        <v>230807088516</v>
      </c>
      <c r="B15709" t="s">
        <v>176</v>
      </c>
      <c r="C15709" t="s">
        <v>250</v>
      </c>
      <c r="D15709" t="s">
        <v>52910</v>
      </c>
      <c r="E15709">
        <v>425350</v>
      </c>
      <c r="F15709" t="s">
        <v>1</v>
      </c>
      <c r="G15709" t="s">
        <v>51330</v>
      </c>
      <c r="H15709" t="s">
        <v>51511</v>
      </c>
      <c r="Y15709" t="s">
        <v>52911</v>
      </c>
    </row>
    <row r="15710" spans="1:25" x14ac:dyDescent="0.25">
      <c r="A15710" t="str">
        <f>"231597811907"</f>
        <v>231597811907</v>
      </c>
      <c r="B15710" t="s">
        <v>530</v>
      </c>
      <c r="C15710" t="s">
        <v>23950</v>
      </c>
      <c r="D15710" t="s">
        <v>23950</v>
      </c>
      <c r="F15710" t="s">
        <v>1</v>
      </c>
      <c r="G15710" t="s">
        <v>51330</v>
      </c>
      <c r="H15710" t="s">
        <v>52912</v>
      </c>
      <c r="Y15710" t="s">
        <v>52913</v>
      </c>
    </row>
    <row r="15711" spans="1:25" x14ac:dyDescent="0.25">
      <c r="A15711" t="str">
        <f>"231657400600"</f>
        <v>231657400600</v>
      </c>
      <c r="B15711" t="s">
        <v>1343</v>
      </c>
      <c r="C15711" t="s">
        <v>5308</v>
      </c>
      <c r="D15711" t="s">
        <v>52349</v>
      </c>
      <c r="F15711" t="s">
        <v>1</v>
      </c>
      <c r="G15711" t="s">
        <v>51330</v>
      </c>
      <c r="H15711" t="s">
        <v>52350</v>
      </c>
      <c r="Y15711" t="s">
        <v>52914</v>
      </c>
    </row>
    <row r="15712" spans="1:25" x14ac:dyDescent="0.25">
      <c r="A15712" t="str">
        <f>"232772341512"</f>
        <v>232772341512</v>
      </c>
      <c r="B15712" t="s">
        <v>67</v>
      </c>
      <c r="C15712" t="s">
        <v>832</v>
      </c>
      <c r="D15712" t="s">
        <v>1147</v>
      </c>
      <c r="F15712" t="s">
        <v>1</v>
      </c>
      <c r="G15712" t="s">
        <v>51330</v>
      </c>
      <c r="H15712" t="s">
        <v>52546</v>
      </c>
      <c r="Y15712" t="s">
        <v>52915</v>
      </c>
    </row>
    <row r="15713" spans="1:25" x14ac:dyDescent="0.25">
      <c r="A15713" t="str">
        <f>"233054956192"</f>
        <v>233054956192</v>
      </c>
      <c r="B15713" t="s">
        <v>530</v>
      </c>
      <c r="C15713" t="s">
        <v>23950</v>
      </c>
      <c r="D15713" t="s">
        <v>23950</v>
      </c>
      <c r="F15713" t="s">
        <v>1</v>
      </c>
      <c r="G15713" t="s">
        <v>51330</v>
      </c>
      <c r="H15713" t="s">
        <v>51826</v>
      </c>
      <c r="Y15713" t="s">
        <v>52916</v>
      </c>
    </row>
    <row r="15714" spans="1:25" x14ac:dyDescent="0.25">
      <c r="A15714" t="str">
        <f>"233849857456"</f>
        <v>233849857456</v>
      </c>
      <c r="B15714" t="s">
        <v>176</v>
      </c>
      <c r="C15714" t="s">
        <v>27547</v>
      </c>
      <c r="D15714" t="s">
        <v>27545</v>
      </c>
      <c r="F15714" t="s">
        <v>1</v>
      </c>
      <c r="G15714" t="s">
        <v>51330</v>
      </c>
      <c r="H15714" t="s">
        <v>52128</v>
      </c>
      <c r="Y15714" t="s">
        <v>52917</v>
      </c>
    </row>
    <row r="15715" spans="1:25" x14ac:dyDescent="0.25">
      <c r="A15715" t="str">
        <f>"233887768349"</f>
        <v>233887768349</v>
      </c>
      <c r="B15715" t="s">
        <v>574</v>
      </c>
      <c r="C15715" t="s">
        <v>646</v>
      </c>
      <c r="D15715" t="s">
        <v>52918</v>
      </c>
      <c r="E15715">
        <v>425350</v>
      </c>
      <c r="F15715" t="s">
        <v>1</v>
      </c>
      <c r="G15715" t="s">
        <v>51330</v>
      </c>
      <c r="H15715" t="s">
        <v>52919</v>
      </c>
      <c r="Y15715" t="s">
        <v>52920</v>
      </c>
    </row>
    <row r="15716" spans="1:25" x14ac:dyDescent="0.25">
      <c r="A15716" t="str">
        <f>"235570187662"</f>
        <v>235570187662</v>
      </c>
      <c r="B15716" t="s">
        <v>530</v>
      </c>
      <c r="C15716" t="s">
        <v>23950</v>
      </c>
      <c r="D15716" t="s">
        <v>23950</v>
      </c>
      <c r="F15716" t="s">
        <v>1</v>
      </c>
      <c r="G15716" t="s">
        <v>51330</v>
      </c>
      <c r="H15716" t="s">
        <v>52921</v>
      </c>
      <c r="Y15716" t="s">
        <v>52922</v>
      </c>
    </row>
    <row r="15717" spans="1:25" x14ac:dyDescent="0.25">
      <c r="A15717" t="str">
        <f>"236149419602"</f>
        <v>236149419602</v>
      </c>
      <c r="B15717" t="s">
        <v>930</v>
      </c>
      <c r="C15717" t="s">
        <v>927</v>
      </c>
      <c r="D15717" t="s">
        <v>927</v>
      </c>
      <c r="F15717" t="s">
        <v>1</v>
      </c>
      <c r="G15717" t="s">
        <v>51330</v>
      </c>
      <c r="H15717" t="s">
        <v>51390</v>
      </c>
      <c r="Y15717" t="s">
        <v>52923</v>
      </c>
    </row>
    <row r="15718" spans="1:25" x14ac:dyDescent="0.25">
      <c r="A15718" t="str">
        <f>"238987116100"</f>
        <v>238987116100</v>
      </c>
      <c r="B15718" t="s">
        <v>117</v>
      </c>
      <c r="C15718" t="s">
        <v>118</v>
      </c>
      <c r="D15718" t="s">
        <v>52924</v>
      </c>
      <c r="F15718" t="s">
        <v>1</v>
      </c>
      <c r="G15718" t="s">
        <v>51330</v>
      </c>
      <c r="H15718" t="s">
        <v>51876</v>
      </c>
      <c r="Y15718" t="s">
        <v>52925</v>
      </c>
    </row>
    <row r="15719" spans="1:25" x14ac:dyDescent="0.25">
      <c r="A15719" t="str">
        <f>"239143275930"</f>
        <v>239143275930</v>
      </c>
      <c r="B15719" t="s">
        <v>530</v>
      </c>
      <c r="C15719" t="s">
        <v>23950</v>
      </c>
      <c r="D15719" t="s">
        <v>23950</v>
      </c>
      <c r="F15719" t="s">
        <v>1</v>
      </c>
      <c r="G15719" t="s">
        <v>51330</v>
      </c>
      <c r="H15719" t="s">
        <v>51769</v>
      </c>
      <c r="Y15719" t="s">
        <v>52926</v>
      </c>
    </row>
    <row r="15720" spans="1:25" x14ac:dyDescent="0.25">
      <c r="A15720" t="str">
        <f>"239717832965"</f>
        <v>239717832965</v>
      </c>
      <c r="B15720" t="s">
        <v>738</v>
      </c>
      <c r="C15720" t="s">
        <v>739</v>
      </c>
      <c r="D15720" t="s">
        <v>52927</v>
      </c>
      <c r="E15720">
        <v>425350</v>
      </c>
      <c r="F15720" t="s">
        <v>1</v>
      </c>
      <c r="G15720" t="s">
        <v>51330</v>
      </c>
      <c r="H15720" t="s">
        <v>51400</v>
      </c>
      <c r="Y15720" t="s">
        <v>52928</v>
      </c>
    </row>
    <row r="15721" spans="1:25" x14ac:dyDescent="0.25">
      <c r="A15721" t="str">
        <f>"239820095835"</f>
        <v>239820095835</v>
      </c>
      <c r="B15721" t="s">
        <v>530</v>
      </c>
      <c r="C15721" t="s">
        <v>23950</v>
      </c>
      <c r="D15721" t="s">
        <v>23950</v>
      </c>
      <c r="F15721" t="s">
        <v>1</v>
      </c>
      <c r="G15721" t="s">
        <v>51330</v>
      </c>
      <c r="H15721" t="s">
        <v>52929</v>
      </c>
      <c r="Y15721" t="s">
        <v>52930</v>
      </c>
    </row>
    <row r="15722" spans="1:25" x14ac:dyDescent="0.25">
      <c r="A15722" t="str">
        <f>"240500979171"</f>
        <v>240500979171</v>
      </c>
      <c r="B15722" t="s">
        <v>96</v>
      </c>
      <c r="C15722" t="s">
        <v>507</v>
      </c>
      <c r="D15722" t="s">
        <v>13170</v>
      </c>
      <c r="F15722" t="s">
        <v>1</v>
      </c>
      <c r="G15722" t="s">
        <v>51330</v>
      </c>
      <c r="H15722" t="s">
        <v>52931</v>
      </c>
      <c r="Y15722" t="s">
        <v>52932</v>
      </c>
    </row>
    <row r="15723" spans="1:25" x14ac:dyDescent="0.25">
      <c r="A15723" t="str">
        <f>"241156291700"</f>
        <v>241156291700</v>
      </c>
      <c r="B15723" t="s">
        <v>574</v>
      </c>
      <c r="C15723" t="s">
        <v>8884</v>
      </c>
      <c r="D15723" t="s">
        <v>8880</v>
      </c>
      <c r="E15723">
        <v>425350</v>
      </c>
      <c r="F15723" t="s">
        <v>1</v>
      </c>
      <c r="G15723" t="s">
        <v>51330</v>
      </c>
      <c r="H15723" t="s">
        <v>52177</v>
      </c>
      <c r="J15723" t="s">
        <v>52933</v>
      </c>
      <c r="L15723" t="s">
        <v>26240</v>
      </c>
      <c r="M15723" t="s">
        <v>8883</v>
      </c>
      <c r="P15723" t="s">
        <v>7103</v>
      </c>
      <c r="Q15723" t="s">
        <v>8886</v>
      </c>
      <c r="T15723" t="s">
        <v>8887</v>
      </c>
      <c r="V15723" t="s">
        <v>8888</v>
      </c>
      <c r="Y15723" t="s">
        <v>52934</v>
      </c>
    </row>
    <row r="15724" spans="1:25" x14ac:dyDescent="0.25">
      <c r="A15724" t="str">
        <f>"241754106573"</f>
        <v>241754106573</v>
      </c>
      <c r="B15724" t="s">
        <v>117</v>
      </c>
      <c r="C15724" t="s">
        <v>873</v>
      </c>
      <c r="D15724" t="s">
        <v>873</v>
      </c>
      <c r="F15724" t="s">
        <v>1</v>
      </c>
      <c r="G15724" t="s">
        <v>51330</v>
      </c>
      <c r="H15724" t="s">
        <v>51528</v>
      </c>
      <c r="Y15724" t="s">
        <v>52935</v>
      </c>
    </row>
    <row r="15725" spans="1:25" x14ac:dyDescent="0.25">
      <c r="A15725" t="str">
        <f>"242266262697"</f>
        <v>242266262697</v>
      </c>
      <c r="B15725" t="s">
        <v>233</v>
      </c>
      <c r="C15725" t="s">
        <v>14003</v>
      </c>
      <c r="D15725" t="s">
        <v>569</v>
      </c>
      <c r="F15725" t="s">
        <v>1</v>
      </c>
      <c r="G15725" t="s">
        <v>51330</v>
      </c>
      <c r="H15725" t="s">
        <v>52931</v>
      </c>
      <c r="Y15725" t="s">
        <v>52936</v>
      </c>
    </row>
    <row r="15726" spans="1:25" x14ac:dyDescent="0.25">
      <c r="A15726" t="str">
        <f>"242293548107"</f>
        <v>242293548107</v>
      </c>
      <c r="B15726" t="s">
        <v>96</v>
      </c>
      <c r="C15726" t="s">
        <v>695</v>
      </c>
      <c r="D15726" t="s">
        <v>52937</v>
      </c>
      <c r="E15726">
        <v>425350</v>
      </c>
      <c r="F15726" t="s">
        <v>1</v>
      </c>
      <c r="G15726" t="s">
        <v>51330</v>
      </c>
      <c r="H15726" t="s">
        <v>51400</v>
      </c>
      <c r="Y15726" t="s">
        <v>51625</v>
      </c>
    </row>
    <row r="15727" spans="1:25" x14ac:dyDescent="0.25">
      <c r="A15727" t="str">
        <f>"242364417620"</f>
        <v>242364417620</v>
      </c>
      <c r="B15727" t="s">
        <v>530</v>
      </c>
      <c r="C15727" t="s">
        <v>23950</v>
      </c>
      <c r="D15727" t="s">
        <v>23950</v>
      </c>
      <c r="F15727" t="s">
        <v>1</v>
      </c>
      <c r="G15727" t="s">
        <v>51330</v>
      </c>
      <c r="H15727" t="s">
        <v>52938</v>
      </c>
      <c r="Y15727" t="s">
        <v>52939</v>
      </c>
    </row>
    <row r="15728" spans="1:25" x14ac:dyDescent="0.25">
      <c r="A15728" t="str">
        <f>"242413886284"</f>
        <v>242413886284</v>
      </c>
      <c r="B15728" t="s">
        <v>2055</v>
      </c>
      <c r="C15728" t="s">
        <v>48903</v>
      </c>
      <c r="D15728" t="s">
        <v>52940</v>
      </c>
      <c r="E15728">
        <v>425350</v>
      </c>
      <c r="F15728" t="s">
        <v>1</v>
      </c>
      <c r="G15728" t="s">
        <v>51330</v>
      </c>
      <c r="H15728" t="s">
        <v>51511</v>
      </c>
      <c r="J15728" t="s">
        <v>52941</v>
      </c>
      <c r="L15728" t="s">
        <v>52942</v>
      </c>
      <c r="M15728" t="s">
        <v>52943</v>
      </c>
      <c r="P15728" t="s">
        <v>280</v>
      </c>
      <c r="Q15728" t="s">
        <v>52944</v>
      </c>
      <c r="Y15728" t="s">
        <v>51513</v>
      </c>
    </row>
    <row r="15729" spans="1:25" x14ac:dyDescent="0.25">
      <c r="A15729" t="str">
        <f>"243619941037"</f>
        <v>243619941037</v>
      </c>
      <c r="B15729" t="s">
        <v>117</v>
      </c>
      <c r="C15729" t="s">
        <v>873</v>
      </c>
      <c r="D15729" t="s">
        <v>873</v>
      </c>
      <c r="F15729" t="s">
        <v>1</v>
      </c>
      <c r="G15729" t="s">
        <v>51330</v>
      </c>
      <c r="H15729" t="s">
        <v>51801</v>
      </c>
      <c r="Y15729" t="s">
        <v>52945</v>
      </c>
    </row>
    <row r="15730" spans="1:25" x14ac:dyDescent="0.25">
      <c r="A15730" t="str">
        <f>"243981789630"</f>
        <v>243981789630</v>
      </c>
      <c r="B15730" t="s">
        <v>1046</v>
      </c>
      <c r="C15730" t="s">
        <v>52947</v>
      </c>
      <c r="D15730" t="s">
        <v>13911</v>
      </c>
      <c r="E15730">
        <v>425350</v>
      </c>
      <c r="F15730" t="s">
        <v>1</v>
      </c>
      <c r="G15730" t="s">
        <v>51330</v>
      </c>
      <c r="H15730" t="s">
        <v>52647</v>
      </c>
      <c r="I15730" t="s">
        <v>52946</v>
      </c>
      <c r="P15730" t="s">
        <v>689</v>
      </c>
      <c r="Y15730" t="s">
        <v>52948</v>
      </c>
    </row>
    <row r="15731" spans="1:25" x14ac:dyDescent="0.25">
      <c r="A15731" t="str">
        <f>"244263715628"</f>
        <v>244263715628</v>
      </c>
      <c r="B15731" t="s">
        <v>930</v>
      </c>
      <c r="C15731" t="s">
        <v>1096</v>
      </c>
      <c r="D15731" t="s">
        <v>1094</v>
      </c>
      <c r="F15731" t="s">
        <v>1</v>
      </c>
      <c r="G15731" t="s">
        <v>51330</v>
      </c>
      <c r="H15731" t="s">
        <v>51469</v>
      </c>
      <c r="P15731" t="s">
        <v>52588</v>
      </c>
      <c r="Y15731" t="s">
        <v>52949</v>
      </c>
    </row>
    <row r="15732" spans="1:25" x14ac:dyDescent="0.25">
      <c r="A15732" t="str">
        <f>"245154424863"</f>
        <v>245154424863</v>
      </c>
      <c r="B15732" t="s">
        <v>930</v>
      </c>
      <c r="C15732" t="s">
        <v>1096</v>
      </c>
      <c r="D15732" t="s">
        <v>163</v>
      </c>
      <c r="F15732" t="s">
        <v>1</v>
      </c>
      <c r="G15732" t="s">
        <v>51330</v>
      </c>
      <c r="H15732" t="s">
        <v>51767</v>
      </c>
      <c r="Y15732" t="s">
        <v>52950</v>
      </c>
    </row>
    <row r="15733" spans="1:25" x14ac:dyDescent="0.25">
      <c r="A15733" t="str">
        <f>"245578182752"</f>
        <v>245578182752</v>
      </c>
      <c r="B15733" t="s">
        <v>2178</v>
      </c>
      <c r="C15733" t="s">
        <v>2179</v>
      </c>
      <c r="D15733" t="s">
        <v>52951</v>
      </c>
      <c r="F15733" t="s">
        <v>1</v>
      </c>
      <c r="G15733" t="s">
        <v>51330</v>
      </c>
      <c r="H15733" t="s">
        <v>52931</v>
      </c>
      <c r="I15733" t="s">
        <v>52952</v>
      </c>
      <c r="P15733" t="s">
        <v>1160</v>
      </c>
      <c r="Y15733" t="s">
        <v>52953</v>
      </c>
    </row>
    <row r="15734" spans="1:25" x14ac:dyDescent="0.25">
      <c r="A15734" t="str">
        <f>"1000716248"</f>
        <v>1000716248</v>
      </c>
      <c r="B15734" t="s">
        <v>1053</v>
      </c>
      <c r="C15734" t="s">
        <v>52962</v>
      </c>
      <c r="D15734" t="s">
        <v>52954</v>
      </c>
      <c r="E15734">
        <v>425000</v>
      </c>
      <c r="F15734" t="s">
        <v>1</v>
      </c>
      <c r="G15734" t="s">
        <v>52955</v>
      </c>
      <c r="H15734" t="s">
        <v>52956</v>
      </c>
      <c r="I15734" t="s">
        <v>52957</v>
      </c>
      <c r="J15734" t="s">
        <v>52958</v>
      </c>
      <c r="K15734" t="s">
        <v>52959</v>
      </c>
      <c r="L15734" t="s">
        <v>52960</v>
      </c>
      <c r="M15734" t="s">
        <v>52961</v>
      </c>
      <c r="P15734" t="s">
        <v>280</v>
      </c>
      <c r="Y15734" t="s">
        <v>52963</v>
      </c>
    </row>
    <row r="15735" spans="1:25" x14ac:dyDescent="0.25">
      <c r="A15735" t="str">
        <f>"1001587865"</f>
        <v>1001587865</v>
      </c>
      <c r="B15735" t="s">
        <v>2474</v>
      </c>
      <c r="C15735" t="s">
        <v>2475</v>
      </c>
      <c r="D15735" t="s">
        <v>52964</v>
      </c>
      <c r="E15735">
        <v>425005</v>
      </c>
      <c r="F15735" t="s">
        <v>1</v>
      </c>
      <c r="G15735" t="s">
        <v>52955</v>
      </c>
      <c r="H15735" t="s">
        <v>52965</v>
      </c>
      <c r="I15735" t="s">
        <v>52966</v>
      </c>
      <c r="J15735" t="s">
        <v>52967</v>
      </c>
      <c r="L15735" t="s">
        <v>52968</v>
      </c>
      <c r="M15735" t="s">
        <v>52969</v>
      </c>
      <c r="P15735" t="s">
        <v>280</v>
      </c>
      <c r="Y15735" t="s">
        <v>52970</v>
      </c>
    </row>
    <row r="15736" spans="1:25" x14ac:dyDescent="0.25">
      <c r="A15736" t="str">
        <f>"1003175457"</f>
        <v>1003175457</v>
      </c>
      <c r="B15736" t="s">
        <v>18</v>
      </c>
      <c r="C15736" t="s">
        <v>52977</v>
      </c>
      <c r="D15736" t="s">
        <v>52971</v>
      </c>
      <c r="E15736">
        <v>425000</v>
      </c>
      <c r="F15736" t="s">
        <v>1</v>
      </c>
      <c r="G15736" t="s">
        <v>52955</v>
      </c>
      <c r="H15736" t="s">
        <v>52972</v>
      </c>
      <c r="I15736" t="s">
        <v>52973</v>
      </c>
      <c r="J15736" t="s">
        <v>52974</v>
      </c>
      <c r="L15736" t="s">
        <v>52975</v>
      </c>
      <c r="M15736" t="s">
        <v>52976</v>
      </c>
      <c r="P15736" t="s">
        <v>280</v>
      </c>
      <c r="Y15736" t="s">
        <v>52978</v>
      </c>
    </row>
    <row r="15737" spans="1:25" x14ac:dyDescent="0.25">
      <c r="A15737" t="str">
        <f>"1003340116"</f>
        <v>1003340116</v>
      </c>
      <c r="B15737" t="s">
        <v>790</v>
      </c>
      <c r="C15737" t="s">
        <v>52982</v>
      </c>
      <c r="D15737" t="s">
        <v>52979</v>
      </c>
      <c r="E15737">
        <v>425000</v>
      </c>
      <c r="F15737" t="s">
        <v>1</v>
      </c>
      <c r="G15737" t="s">
        <v>52955</v>
      </c>
      <c r="H15737" t="s">
        <v>52980</v>
      </c>
      <c r="J15737" t="s">
        <v>52981</v>
      </c>
      <c r="P15737" t="s">
        <v>27</v>
      </c>
      <c r="Y15737" t="s">
        <v>52983</v>
      </c>
    </row>
    <row r="15738" spans="1:25" x14ac:dyDescent="0.25">
      <c r="A15738" t="str">
        <f>"1004202792"</f>
        <v>1004202792</v>
      </c>
      <c r="B15738" t="s">
        <v>352</v>
      </c>
      <c r="C15738" t="s">
        <v>15594</v>
      </c>
      <c r="D15738" t="s">
        <v>52984</v>
      </c>
      <c r="E15738">
        <v>425000</v>
      </c>
      <c r="F15738" t="s">
        <v>1</v>
      </c>
      <c r="G15738" t="s">
        <v>52955</v>
      </c>
      <c r="H15738" t="s">
        <v>52985</v>
      </c>
      <c r="I15738" t="s">
        <v>52986</v>
      </c>
      <c r="J15738" t="s">
        <v>52987</v>
      </c>
      <c r="K15738" t="s">
        <v>52986</v>
      </c>
      <c r="P15738" t="s">
        <v>20</v>
      </c>
      <c r="Y15738" t="s">
        <v>52988</v>
      </c>
    </row>
    <row r="15739" spans="1:25" x14ac:dyDescent="0.25">
      <c r="A15739" t="str">
        <f>"1005295916"</f>
        <v>1005295916</v>
      </c>
      <c r="B15739" t="s">
        <v>1475</v>
      </c>
      <c r="C15739" t="s">
        <v>1476</v>
      </c>
      <c r="D15739" t="s">
        <v>22369</v>
      </c>
      <c r="F15739" t="s">
        <v>1</v>
      </c>
      <c r="G15739" t="s">
        <v>52955</v>
      </c>
      <c r="H15739" t="s">
        <v>52989</v>
      </c>
      <c r="P15739" t="s">
        <v>52990</v>
      </c>
      <c r="Y15739" t="s">
        <v>52991</v>
      </c>
    </row>
    <row r="15740" spans="1:25" x14ac:dyDescent="0.25">
      <c r="A15740" t="str">
        <f>"1005344381"</f>
        <v>1005344381</v>
      </c>
      <c r="B15740" t="s">
        <v>803</v>
      </c>
      <c r="C15740" t="s">
        <v>2616</v>
      </c>
      <c r="D15740" t="s">
        <v>52992</v>
      </c>
      <c r="E15740">
        <v>425009</v>
      </c>
      <c r="F15740" t="s">
        <v>1</v>
      </c>
      <c r="G15740" t="s">
        <v>52955</v>
      </c>
      <c r="H15740" t="s">
        <v>52993</v>
      </c>
      <c r="J15740" t="s">
        <v>52994</v>
      </c>
      <c r="L15740" t="s">
        <v>52995</v>
      </c>
      <c r="P15740" t="s">
        <v>9</v>
      </c>
      <c r="Y15740" t="s">
        <v>52996</v>
      </c>
    </row>
    <row r="15741" spans="1:25" x14ac:dyDescent="0.25">
      <c r="A15741" t="str">
        <f>"1005593192"</f>
        <v>1005593192</v>
      </c>
      <c r="B15741" t="s">
        <v>456</v>
      </c>
      <c r="C15741" t="s">
        <v>53002</v>
      </c>
      <c r="D15741" t="s">
        <v>52997</v>
      </c>
      <c r="E15741">
        <v>425000</v>
      </c>
      <c r="F15741" t="s">
        <v>1</v>
      </c>
      <c r="G15741" t="s">
        <v>52955</v>
      </c>
      <c r="H15741" t="s">
        <v>52998</v>
      </c>
      <c r="J15741" t="s">
        <v>52999</v>
      </c>
      <c r="L15741" t="s">
        <v>53000</v>
      </c>
      <c r="M15741" t="s">
        <v>53001</v>
      </c>
      <c r="P15741" t="s">
        <v>390</v>
      </c>
      <c r="Y15741" t="s">
        <v>53003</v>
      </c>
    </row>
    <row r="15742" spans="1:25" x14ac:dyDescent="0.25">
      <c r="A15742" t="str">
        <f>"1006040997"</f>
        <v>1006040997</v>
      </c>
      <c r="B15742" t="s">
        <v>1078</v>
      </c>
      <c r="C15742" t="s">
        <v>53008</v>
      </c>
      <c r="D15742" t="s">
        <v>21574</v>
      </c>
      <c r="E15742">
        <v>425003</v>
      </c>
      <c r="F15742" t="s">
        <v>1</v>
      </c>
      <c r="G15742" t="s">
        <v>52955</v>
      </c>
      <c r="H15742" t="s">
        <v>53004</v>
      </c>
      <c r="I15742" t="s">
        <v>53005</v>
      </c>
      <c r="L15742" t="s">
        <v>53006</v>
      </c>
      <c r="M15742" t="s">
        <v>53007</v>
      </c>
      <c r="P15742" t="s">
        <v>280</v>
      </c>
      <c r="Y15742" t="s">
        <v>53009</v>
      </c>
    </row>
    <row r="15743" spans="1:25" x14ac:dyDescent="0.25">
      <c r="A15743" t="str">
        <f>"1010548058"</f>
        <v>1010548058</v>
      </c>
      <c r="B15743" t="s">
        <v>1078</v>
      </c>
      <c r="C15743" t="s">
        <v>53014</v>
      </c>
      <c r="D15743" t="s">
        <v>11181</v>
      </c>
      <c r="E15743">
        <v>425003</v>
      </c>
      <c r="F15743" t="s">
        <v>1</v>
      </c>
      <c r="G15743" t="s">
        <v>52955</v>
      </c>
      <c r="H15743" t="s">
        <v>53010</v>
      </c>
      <c r="I15743" t="s">
        <v>53011</v>
      </c>
      <c r="L15743" t="s">
        <v>53012</v>
      </c>
      <c r="M15743" t="s">
        <v>53013</v>
      </c>
      <c r="P15743" t="s">
        <v>280</v>
      </c>
      <c r="Y15743" t="s">
        <v>53015</v>
      </c>
    </row>
    <row r="15744" spans="1:25" x14ac:dyDescent="0.25">
      <c r="A15744" t="str">
        <f>"1012976424"</f>
        <v>1012976424</v>
      </c>
      <c r="B15744" t="s">
        <v>687</v>
      </c>
      <c r="C15744" t="s">
        <v>7047</v>
      </c>
      <c r="D15744" t="s">
        <v>53016</v>
      </c>
      <c r="E15744">
        <v>425001</v>
      </c>
      <c r="F15744" t="s">
        <v>1</v>
      </c>
      <c r="G15744" t="s">
        <v>52955</v>
      </c>
      <c r="H15744" t="s">
        <v>53017</v>
      </c>
      <c r="I15744" t="s">
        <v>53018</v>
      </c>
      <c r="L15744" t="s">
        <v>53019</v>
      </c>
      <c r="M15744" t="s">
        <v>53020</v>
      </c>
      <c r="P15744" t="s">
        <v>280</v>
      </c>
      <c r="Q15744" t="s">
        <v>53021</v>
      </c>
      <c r="Y15744" t="s">
        <v>53022</v>
      </c>
    </row>
    <row r="15745" spans="1:25" x14ac:dyDescent="0.25">
      <c r="A15745" t="str">
        <f>"1013538221"</f>
        <v>1013538221</v>
      </c>
      <c r="B15745" t="s">
        <v>1544</v>
      </c>
      <c r="C15745" t="s">
        <v>15598</v>
      </c>
      <c r="D15745" t="s">
        <v>53023</v>
      </c>
      <c r="E15745">
        <v>425000</v>
      </c>
      <c r="F15745" t="s">
        <v>1</v>
      </c>
      <c r="G15745" t="s">
        <v>52955</v>
      </c>
      <c r="H15745" t="s">
        <v>53024</v>
      </c>
      <c r="Y15745" t="s">
        <v>53025</v>
      </c>
    </row>
    <row r="15746" spans="1:25" x14ac:dyDescent="0.25">
      <c r="A15746" t="str">
        <f>"1013823338"</f>
        <v>1013823338</v>
      </c>
      <c r="B15746" t="s">
        <v>654</v>
      </c>
      <c r="C15746" t="s">
        <v>1283</v>
      </c>
      <c r="D15746" t="s">
        <v>53026</v>
      </c>
      <c r="E15746">
        <v>425000</v>
      </c>
      <c r="F15746" t="s">
        <v>1</v>
      </c>
      <c r="G15746" t="s">
        <v>52955</v>
      </c>
      <c r="H15746" t="s">
        <v>53027</v>
      </c>
      <c r="I15746" t="s">
        <v>53028</v>
      </c>
      <c r="J15746" t="s">
        <v>53029</v>
      </c>
      <c r="L15746" t="s">
        <v>53030</v>
      </c>
      <c r="M15746" t="s">
        <v>53031</v>
      </c>
      <c r="P15746" t="s">
        <v>280</v>
      </c>
      <c r="V15746" t="s">
        <v>53032</v>
      </c>
      <c r="Y15746" t="s">
        <v>53033</v>
      </c>
    </row>
    <row r="15747" spans="1:25" x14ac:dyDescent="0.25">
      <c r="A15747" t="str">
        <f>"1016950947"</f>
        <v>1016950947</v>
      </c>
      <c r="B15747" t="s">
        <v>176</v>
      </c>
      <c r="C15747" t="s">
        <v>53038</v>
      </c>
      <c r="D15747" t="s">
        <v>53034</v>
      </c>
      <c r="F15747" t="s">
        <v>1</v>
      </c>
      <c r="G15747" t="s">
        <v>52955</v>
      </c>
      <c r="H15747" t="s">
        <v>52989</v>
      </c>
      <c r="I15747" t="s">
        <v>53035</v>
      </c>
      <c r="J15747" t="s">
        <v>53036</v>
      </c>
      <c r="M15747" t="s">
        <v>53037</v>
      </c>
      <c r="P15747" t="s">
        <v>18882</v>
      </c>
      <c r="Y15747" t="s">
        <v>53039</v>
      </c>
    </row>
    <row r="15748" spans="1:25" x14ac:dyDescent="0.25">
      <c r="A15748" t="str">
        <f>"1017002131"</f>
        <v>1017002131</v>
      </c>
      <c r="B15748" t="s">
        <v>160</v>
      </c>
      <c r="C15748" t="s">
        <v>14673</v>
      </c>
      <c r="D15748" t="s">
        <v>18250</v>
      </c>
      <c r="E15748">
        <v>425000</v>
      </c>
      <c r="F15748" t="s">
        <v>1</v>
      </c>
      <c r="G15748" t="s">
        <v>52955</v>
      </c>
      <c r="H15748" t="s">
        <v>53040</v>
      </c>
      <c r="I15748" t="s">
        <v>53041</v>
      </c>
      <c r="L15748" t="s">
        <v>53042</v>
      </c>
      <c r="M15748" t="s">
        <v>53043</v>
      </c>
      <c r="P15748" t="s">
        <v>20</v>
      </c>
      <c r="Y15748" t="s">
        <v>53044</v>
      </c>
    </row>
    <row r="15749" spans="1:25" x14ac:dyDescent="0.25">
      <c r="A15749" t="str">
        <f>"1017514250"</f>
        <v>1017514250</v>
      </c>
      <c r="B15749" t="s">
        <v>188</v>
      </c>
      <c r="C15749" t="s">
        <v>53048</v>
      </c>
      <c r="D15749" t="s">
        <v>7406</v>
      </c>
      <c r="E15749">
        <v>425000</v>
      </c>
      <c r="F15749" t="s">
        <v>1</v>
      </c>
      <c r="G15749" t="s">
        <v>52955</v>
      </c>
      <c r="H15749" t="s">
        <v>53045</v>
      </c>
      <c r="I15749" t="s">
        <v>53046</v>
      </c>
      <c r="L15749" t="s">
        <v>53047</v>
      </c>
      <c r="P15749" t="s">
        <v>280</v>
      </c>
      <c r="Y15749" t="s">
        <v>53049</v>
      </c>
    </row>
    <row r="15750" spans="1:25" x14ac:dyDescent="0.25">
      <c r="A15750" t="str">
        <f>"1018107222"</f>
        <v>1018107222</v>
      </c>
      <c r="B15750" t="s">
        <v>348</v>
      </c>
      <c r="C15750" t="s">
        <v>53054</v>
      </c>
      <c r="D15750" t="s">
        <v>53050</v>
      </c>
      <c r="F15750" t="s">
        <v>1</v>
      </c>
      <c r="G15750" t="s">
        <v>52955</v>
      </c>
      <c r="H15750" t="s">
        <v>53051</v>
      </c>
      <c r="I15750" t="s">
        <v>53052</v>
      </c>
      <c r="M15750" t="s">
        <v>53053</v>
      </c>
      <c r="P15750" t="s">
        <v>280</v>
      </c>
      <c r="Y15750" t="s">
        <v>53055</v>
      </c>
    </row>
    <row r="15751" spans="1:25" x14ac:dyDescent="0.25">
      <c r="A15751" t="str">
        <f>"1020428455"</f>
        <v>1020428455</v>
      </c>
      <c r="B15751" t="s">
        <v>348</v>
      </c>
      <c r="C15751" t="s">
        <v>4366</v>
      </c>
      <c r="D15751" t="s">
        <v>5966</v>
      </c>
      <c r="E15751">
        <v>425001</v>
      </c>
      <c r="F15751" t="s">
        <v>1</v>
      </c>
      <c r="G15751" t="s">
        <v>52955</v>
      </c>
      <c r="H15751" t="s">
        <v>53056</v>
      </c>
      <c r="Y15751" t="s">
        <v>53057</v>
      </c>
    </row>
    <row r="15752" spans="1:25" x14ac:dyDescent="0.25">
      <c r="A15752" t="str">
        <f>"1021501772"</f>
        <v>1021501772</v>
      </c>
      <c r="B15752" t="s">
        <v>319</v>
      </c>
      <c r="C15752" t="s">
        <v>320</v>
      </c>
      <c r="D15752" t="s">
        <v>53058</v>
      </c>
      <c r="E15752">
        <v>425000</v>
      </c>
      <c r="F15752" t="s">
        <v>1</v>
      </c>
      <c r="G15752" t="s">
        <v>52955</v>
      </c>
      <c r="H15752" t="s">
        <v>53059</v>
      </c>
      <c r="I15752" t="s">
        <v>53060</v>
      </c>
      <c r="P15752" t="s">
        <v>410</v>
      </c>
      <c r="Y15752" t="s">
        <v>53061</v>
      </c>
    </row>
    <row r="15753" spans="1:25" x14ac:dyDescent="0.25">
      <c r="A15753" t="str">
        <f>"1021970424"</f>
        <v>1021970424</v>
      </c>
      <c r="B15753" t="s">
        <v>4084</v>
      </c>
      <c r="C15753" t="s">
        <v>23199</v>
      </c>
      <c r="D15753" t="s">
        <v>53062</v>
      </c>
      <c r="F15753" t="s">
        <v>1</v>
      </c>
      <c r="G15753" t="s">
        <v>52955</v>
      </c>
      <c r="H15753" t="s">
        <v>53063</v>
      </c>
      <c r="I15753" t="s">
        <v>53064</v>
      </c>
      <c r="P15753" t="s">
        <v>330</v>
      </c>
      <c r="Y15753" t="s">
        <v>53065</v>
      </c>
    </row>
    <row r="15754" spans="1:25" x14ac:dyDescent="0.25">
      <c r="A15754" t="str">
        <f>"1022843845"</f>
        <v>1022843845</v>
      </c>
      <c r="B15754" t="s">
        <v>2818</v>
      </c>
      <c r="C15754" t="s">
        <v>6466</v>
      </c>
      <c r="D15754" t="s">
        <v>8455</v>
      </c>
      <c r="E15754">
        <v>425000</v>
      </c>
      <c r="F15754" t="s">
        <v>1</v>
      </c>
      <c r="G15754" t="s">
        <v>52955</v>
      </c>
      <c r="H15754" t="s">
        <v>53066</v>
      </c>
      <c r="Y15754" t="s">
        <v>53067</v>
      </c>
    </row>
    <row r="15755" spans="1:25" x14ac:dyDescent="0.25">
      <c r="A15755" t="str">
        <f>"1025682989"</f>
        <v>1025682989</v>
      </c>
      <c r="B15755" t="s">
        <v>1573</v>
      </c>
      <c r="C15755" t="s">
        <v>1574</v>
      </c>
      <c r="D15755" t="s">
        <v>12664</v>
      </c>
      <c r="E15755">
        <v>425000</v>
      </c>
      <c r="F15755" t="s">
        <v>1</v>
      </c>
      <c r="G15755" t="s">
        <v>52955</v>
      </c>
      <c r="H15755" t="s">
        <v>53068</v>
      </c>
      <c r="I15755" t="s">
        <v>53069</v>
      </c>
      <c r="P15755" t="s">
        <v>1433</v>
      </c>
      <c r="Y15755" t="s">
        <v>53070</v>
      </c>
    </row>
    <row r="15756" spans="1:25" x14ac:dyDescent="0.25">
      <c r="A15756" t="str">
        <f>"1025709649"</f>
        <v>1025709649</v>
      </c>
      <c r="B15756" t="s">
        <v>1475</v>
      </c>
      <c r="C15756" t="s">
        <v>1476</v>
      </c>
      <c r="D15756" t="s">
        <v>53071</v>
      </c>
      <c r="F15756" t="s">
        <v>1</v>
      </c>
      <c r="G15756" t="s">
        <v>52955</v>
      </c>
      <c r="H15756" t="s">
        <v>53072</v>
      </c>
      <c r="P15756" t="s">
        <v>133</v>
      </c>
      <c r="Y15756" t="s">
        <v>53073</v>
      </c>
    </row>
    <row r="15757" spans="1:25" x14ac:dyDescent="0.25">
      <c r="A15757" t="str">
        <f>"1026433943"</f>
        <v>1026433943</v>
      </c>
      <c r="B15757" t="s">
        <v>334</v>
      </c>
      <c r="C15757" t="s">
        <v>53078</v>
      </c>
      <c r="D15757" t="s">
        <v>53074</v>
      </c>
      <c r="E15757">
        <v>425000</v>
      </c>
      <c r="F15757" t="s">
        <v>1</v>
      </c>
      <c r="G15757" t="s">
        <v>52955</v>
      </c>
      <c r="H15757" t="s">
        <v>53075</v>
      </c>
      <c r="I15757" t="s">
        <v>53076</v>
      </c>
      <c r="J15757" t="s">
        <v>53077</v>
      </c>
      <c r="P15757" t="s">
        <v>20</v>
      </c>
      <c r="Y15757" t="s">
        <v>53079</v>
      </c>
    </row>
    <row r="15758" spans="1:25" x14ac:dyDescent="0.25">
      <c r="A15758" t="str">
        <f>"1027389445"</f>
        <v>1027389445</v>
      </c>
      <c r="B15758" t="s">
        <v>151</v>
      </c>
      <c r="C15758" t="s">
        <v>2522</v>
      </c>
      <c r="D15758" t="s">
        <v>53080</v>
      </c>
      <c r="E15758">
        <v>425000</v>
      </c>
      <c r="F15758" t="s">
        <v>1</v>
      </c>
      <c r="G15758" t="s">
        <v>52955</v>
      </c>
      <c r="H15758" t="s">
        <v>53081</v>
      </c>
      <c r="I15758" t="s">
        <v>53082</v>
      </c>
      <c r="P15758" t="s">
        <v>12390</v>
      </c>
      <c r="Y15758" t="s">
        <v>53083</v>
      </c>
    </row>
    <row r="15759" spans="1:25" x14ac:dyDescent="0.25">
      <c r="A15759" t="str">
        <f>"1028555943"</f>
        <v>1028555943</v>
      </c>
      <c r="B15759" t="s">
        <v>18</v>
      </c>
      <c r="C15759" t="s">
        <v>53086</v>
      </c>
      <c r="D15759" t="s">
        <v>7507</v>
      </c>
      <c r="F15759" t="s">
        <v>1</v>
      </c>
      <c r="G15759" t="s">
        <v>52955</v>
      </c>
      <c r="H15759" t="s">
        <v>53084</v>
      </c>
      <c r="I15759" t="s">
        <v>53085</v>
      </c>
      <c r="P15759" t="s">
        <v>799</v>
      </c>
      <c r="Y15759" t="s">
        <v>53087</v>
      </c>
    </row>
    <row r="15760" spans="1:25" x14ac:dyDescent="0.25">
      <c r="A15760" t="str">
        <f>"1032114108"</f>
        <v>1032114108</v>
      </c>
      <c r="B15760" t="s">
        <v>687</v>
      </c>
      <c r="C15760" t="s">
        <v>3552</v>
      </c>
      <c r="D15760" t="s">
        <v>53088</v>
      </c>
      <c r="E15760">
        <v>425000</v>
      </c>
      <c r="F15760" t="s">
        <v>1</v>
      </c>
      <c r="G15760" t="s">
        <v>52955</v>
      </c>
      <c r="H15760" t="s">
        <v>53089</v>
      </c>
      <c r="J15760" t="s">
        <v>53090</v>
      </c>
      <c r="P15760" t="s">
        <v>280</v>
      </c>
      <c r="Y15760" t="s">
        <v>53091</v>
      </c>
    </row>
    <row r="15761" spans="1:25" x14ac:dyDescent="0.25">
      <c r="A15761" t="str">
        <f>"1033793109"</f>
        <v>1033793109</v>
      </c>
      <c r="B15761" t="s">
        <v>348</v>
      </c>
      <c r="C15761" t="s">
        <v>53098</v>
      </c>
      <c r="D15761" t="s">
        <v>53092</v>
      </c>
      <c r="E15761">
        <v>425000</v>
      </c>
      <c r="F15761" t="s">
        <v>1</v>
      </c>
      <c r="G15761" t="s">
        <v>52955</v>
      </c>
      <c r="H15761" t="s">
        <v>53093</v>
      </c>
      <c r="I15761" t="s">
        <v>53094</v>
      </c>
      <c r="K15761" t="s">
        <v>53095</v>
      </c>
      <c r="L15761" t="s">
        <v>53096</v>
      </c>
      <c r="M15761" t="s">
        <v>53097</v>
      </c>
      <c r="P15761" t="s">
        <v>20</v>
      </c>
      <c r="Y15761" t="s">
        <v>53099</v>
      </c>
    </row>
    <row r="15762" spans="1:25" x14ac:dyDescent="0.25">
      <c r="A15762" t="str">
        <f>"1035121317"</f>
        <v>1035121317</v>
      </c>
      <c r="B15762" t="s">
        <v>519</v>
      </c>
      <c r="C15762" t="s">
        <v>3954</v>
      </c>
      <c r="D15762" t="s">
        <v>53100</v>
      </c>
      <c r="E15762">
        <v>425000</v>
      </c>
      <c r="F15762" t="s">
        <v>1</v>
      </c>
      <c r="G15762" t="s">
        <v>52955</v>
      </c>
      <c r="H15762" t="s">
        <v>53059</v>
      </c>
      <c r="I15762" t="s">
        <v>53101</v>
      </c>
      <c r="J15762" t="s">
        <v>53102</v>
      </c>
      <c r="M15762" t="s">
        <v>53103</v>
      </c>
      <c r="P15762" t="s">
        <v>11758</v>
      </c>
      <c r="Y15762" t="s">
        <v>53104</v>
      </c>
    </row>
    <row r="15763" spans="1:25" x14ac:dyDescent="0.25">
      <c r="A15763" t="str">
        <f>"1040599875"</f>
        <v>1040599875</v>
      </c>
      <c r="B15763" t="s">
        <v>1152</v>
      </c>
      <c r="C15763" t="s">
        <v>1513</v>
      </c>
      <c r="D15763" t="s">
        <v>1507</v>
      </c>
      <c r="F15763" t="s">
        <v>1</v>
      </c>
      <c r="G15763" t="s">
        <v>52955</v>
      </c>
      <c r="H15763" t="s">
        <v>53105</v>
      </c>
      <c r="I15763" t="s">
        <v>53106</v>
      </c>
      <c r="J15763" t="s">
        <v>53107</v>
      </c>
      <c r="L15763" t="s">
        <v>1511</v>
      </c>
      <c r="M15763" t="s">
        <v>1512</v>
      </c>
      <c r="P15763" t="s">
        <v>4043</v>
      </c>
      <c r="Q15763" t="s">
        <v>1515</v>
      </c>
      <c r="R15763" t="s">
        <v>1516</v>
      </c>
      <c r="Y15763" t="s">
        <v>53108</v>
      </c>
    </row>
    <row r="15764" spans="1:25" x14ac:dyDescent="0.25">
      <c r="A15764" t="str">
        <f>"1040651369"</f>
        <v>1040651369</v>
      </c>
      <c r="B15764" t="s">
        <v>176</v>
      </c>
      <c r="C15764" t="s">
        <v>566</v>
      </c>
      <c r="D15764" t="s">
        <v>53109</v>
      </c>
      <c r="E15764">
        <v>425000</v>
      </c>
      <c r="F15764" t="s">
        <v>1</v>
      </c>
      <c r="G15764" t="s">
        <v>52955</v>
      </c>
      <c r="H15764" t="s">
        <v>52998</v>
      </c>
      <c r="I15764" t="s">
        <v>53110</v>
      </c>
      <c r="M15764" t="s">
        <v>53111</v>
      </c>
      <c r="P15764" t="s">
        <v>330</v>
      </c>
      <c r="Y15764" t="s">
        <v>53112</v>
      </c>
    </row>
    <row r="15765" spans="1:25" x14ac:dyDescent="0.25">
      <c r="A15765" t="str">
        <f>"1042255209"</f>
        <v>1042255209</v>
      </c>
      <c r="B15765" t="s">
        <v>703</v>
      </c>
      <c r="C15765" t="s">
        <v>8018</v>
      </c>
      <c r="D15765" t="s">
        <v>53113</v>
      </c>
      <c r="E15765">
        <v>425000</v>
      </c>
      <c r="F15765" t="s">
        <v>1</v>
      </c>
      <c r="G15765" t="s">
        <v>52955</v>
      </c>
      <c r="H15765" t="s">
        <v>53114</v>
      </c>
      <c r="I15765" t="s">
        <v>53115</v>
      </c>
      <c r="L15765" t="s">
        <v>53116</v>
      </c>
      <c r="P15765" t="s">
        <v>9</v>
      </c>
      <c r="Y15765" t="s">
        <v>53117</v>
      </c>
    </row>
    <row r="15766" spans="1:25" x14ac:dyDescent="0.25">
      <c r="A15766" t="str">
        <f>"1042925342"</f>
        <v>1042925342</v>
      </c>
      <c r="B15766" t="s">
        <v>25</v>
      </c>
      <c r="C15766" t="s">
        <v>53122</v>
      </c>
      <c r="D15766" t="s">
        <v>53118</v>
      </c>
      <c r="E15766">
        <v>425008</v>
      </c>
      <c r="F15766" t="s">
        <v>1</v>
      </c>
      <c r="G15766" t="s">
        <v>52955</v>
      </c>
      <c r="H15766" t="s">
        <v>53119</v>
      </c>
      <c r="I15766" t="s">
        <v>53120</v>
      </c>
      <c r="K15766" t="s">
        <v>53120</v>
      </c>
      <c r="M15766" t="s">
        <v>53121</v>
      </c>
      <c r="P15766" t="s">
        <v>20</v>
      </c>
      <c r="Y15766" t="s">
        <v>53123</v>
      </c>
    </row>
    <row r="15767" spans="1:25" x14ac:dyDescent="0.25">
      <c r="A15767" t="str">
        <f>"1048797178"</f>
        <v>1048797178</v>
      </c>
      <c r="B15767" t="s">
        <v>160</v>
      </c>
      <c r="C15767" t="s">
        <v>1666</v>
      </c>
      <c r="D15767" t="s">
        <v>53124</v>
      </c>
      <c r="E15767">
        <v>425009</v>
      </c>
      <c r="F15767" t="s">
        <v>1</v>
      </c>
      <c r="G15767" t="s">
        <v>52955</v>
      </c>
      <c r="H15767" t="s">
        <v>52993</v>
      </c>
      <c r="I15767" t="s">
        <v>53125</v>
      </c>
      <c r="L15767" t="s">
        <v>53126</v>
      </c>
      <c r="M15767" t="s">
        <v>53127</v>
      </c>
      <c r="P15767" t="s">
        <v>280</v>
      </c>
      <c r="Y15767" t="s">
        <v>53128</v>
      </c>
    </row>
    <row r="15768" spans="1:25" x14ac:dyDescent="0.25">
      <c r="A15768" t="str">
        <f>"1048810321"</f>
        <v>1048810321</v>
      </c>
      <c r="B15768" t="s">
        <v>1053</v>
      </c>
      <c r="C15768" t="s">
        <v>16884</v>
      </c>
      <c r="D15768" t="s">
        <v>53129</v>
      </c>
      <c r="E15768">
        <v>425000</v>
      </c>
      <c r="F15768" t="s">
        <v>1</v>
      </c>
      <c r="G15768" t="s">
        <v>52955</v>
      </c>
      <c r="H15768" t="s">
        <v>53130</v>
      </c>
      <c r="Y15768" t="s">
        <v>53131</v>
      </c>
    </row>
    <row r="15769" spans="1:25" x14ac:dyDescent="0.25">
      <c r="A15769" t="str">
        <f>"1049281410"</f>
        <v>1049281410</v>
      </c>
      <c r="B15769" t="s">
        <v>151</v>
      </c>
      <c r="C15769" t="s">
        <v>4240</v>
      </c>
      <c r="D15769" t="s">
        <v>10304</v>
      </c>
      <c r="E15769">
        <v>425000</v>
      </c>
      <c r="F15769" t="s">
        <v>1</v>
      </c>
      <c r="G15769" t="s">
        <v>52955</v>
      </c>
      <c r="H15769" t="s">
        <v>53132</v>
      </c>
      <c r="P15769" t="s">
        <v>2580</v>
      </c>
      <c r="Y15769" t="s">
        <v>53133</v>
      </c>
    </row>
    <row r="15770" spans="1:25" x14ac:dyDescent="0.25">
      <c r="A15770" t="str">
        <f>"1049857147"</f>
        <v>1049857147</v>
      </c>
      <c r="B15770" t="s">
        <v>1552</v>
      </c>
      <c r="C15770" t="s">
        <v>1553</v>
      </c>
      <c r="D15770" t="s">
        <v>53134</v>
      </c>
      <c r="E15770">
        <v>425000</v>
      </c>
      <c r="F15770" t="s">
        <v>1</v>
      </c>
      <c r="G15770" t="s">
        <v>52955</v>
      </c>
      <c r="H15770" t="s">
        <v>53135</v>
      </c>
      <c r="J15770" t="s">
        <v>53136</v>
      </c>
      <c r="P15770" t="s">
        <v>23576</v>
      </c>
      <c r="Y15770" t="s">
        <v>53137</v>
      </c>
    </row>
    <row r="15771" spans="1:25" x14ac:dyDescent="0.25">
      <c r="A15771" t="str">
        <f>"1052065958"</f>
        <v>1052065958</v>
      </c>
      <c r="B15771" t="s">
        <v>123</v>
      </c>
      <c r="C15771" t="s">
        <v>424</v>
      </c>
      <c r="D15771" t="s">
        <v>53138</v>
      </c>
      <c r="E15771">
        <v>425001</v>
      </c>
      <c r="F15771" t="s">
        <v>1</v>
      </c>
      <c r="G15771" t="s">
        <v>52955</v>
      </c>
      <c r="H15771" t="s">
        <v>53139</v>
      </c>
      <c r="I15771" t="s">
        <v>53140</v>
      </c>
      <c r="L15771" t="s">
        <v>53141</v>
      </c>
      <c r="M15771" t="s">
        <v>53142</v>
      </c>
      <c r="P15771" t="s">
        <v>39889</v>
      </c>
      <c r="Y15771" t="s">
        <v>53143</v>
      </c>
    </row>
    <row r="15772" spans="1:25" x14ac:dyDescent="0.25">
      <c r="A15772" t="str">
        <f>"1052337257"</f>
        <v>1052337257</v>
      </c>
      <c r="B15772" t="s">
        <v>591</v>
      </c>
      <c r="C15772" t="s">
        <v>3660</v>
      </c>
      <c r="D15772" t="s">
        <v>53144</v>
      </c>
      <c r="E15772">
        <v>425000</v>
      </c>
      <c r="F15772" t="s">
        <v>1</v>
      </c>
      <c r="G15772" t="s">
        <v>52955</v>
      </c>
      <c r="H15772" t="s">
        <v>53145</v>
      </c>
      <c r="I15772" t="s">
        <v>53146</v>
      </c>
      <c r="L15772" t="s">
        <v>53147</v>
      </c>
      <c r="M15772" t="s">
        <v>53148</v>
      </c>
      <c r="P15772" t="s">
        <v>20</v>
      </c>
      <c r="Y15772" t="s">
        <v>53149</v>
      </c>
    </row>
    <row r="15773" spans="1:25" x14ac:dyDescent="0.25">
      <c r="A15773" t="str">
        <f>"1054296544"</f>
        <v>1054296544</v>
      </c>
      <c r="B15773" t="s">
        <v>4084</v>
      </c>
      <c r="C15773" t="s">
        <v>53152</v>
      </c>
      <c r="D15773" t="s">
        <v>45077</v>
      </c>
      <c r="E15773">
        <v>425000</v>
      </c>
      <c r="F15773" t="s">
        <v>1</v>
      </c>
      <c r="G15773" t="s">
        <v>52955</v>
      </c>
      <c r="H15773" t="s">
        <v>53150</v>
      </c>
      <c r="I15773" t="s">
        <v>53151</v>
      </c>
      <c r="P15773" t="s">
        <v>216</v>
      </c>
      <c r="Y15773" t="s">
        <v>53153</v>
      </c>
    </row>
    <row r="15774" spans="1:25" x14ac:dyDescent="0.25">
      <c r="A15774" t="str">
        <f>"1054866421"</f>
        <v>1054866421</v>
      </c>
      <c r="B15774" t="s">
        <v>18</v>
      </c>
      <c r="C15774" t="s">
        <v>13796</v>
      </c>
      <c r="D15774" t="s">
        <v>53154</v>
      </c>
      <c r="E15774">
        <v>425011</v>
      </c>
      <c r="F15774" t="s">
        <v>1</v>
      </c>
      <c r="G15774" t="s">
        <v>52955</v>
      </c>
      <c r="H15774" t="s">
        <v>53155</v>
      </c>
      <c r="I15774" t="s">
        <v>53156</v>
      </c>
      <c r="J15774" t="s">
        <v>53157</v>
      </c>
      <c r="P15774" t="s">
        <v>4848</v>
      </c>
      <c r="Y15774" t="s">
        <v>53158</v>
      </c>
    </row>
    <row r="15775" spans="1:25" x14ac:dyDescent="0.25">
      <c r="A15775" t="str">
        <f>"1054897351"</f>
        <v>1054897351</v>
      </c>
      <c r="B15775" t="s">
        <v>1053</v>
      </c>
      <c r="C15775" t="s">
        <v>53160</v>
      </c>
      <c r="D15775" t="s">
        <v>27614</v>
      </c>
      <c r="E15775">
        <v>425000</v>
      </c>
      <c r="F15775" t="s">
        <v>1</v>
      </c>
      <c r="G15775" t="s">
        <v>52955</v>
      </c>
      <c r="H15775" t="s">
        <v>53081</v>
      </c>
      <c r="I15775" t="s">
        <v>53159</v>
      </c>
      <c r="P15775" t="s">
        <v>280</v>
      </c>
      <c r="Y15775" t="s">
        <v>53161</v>
      </c>
    </row>
    <row r="15776" spans="1:25" x14ac:dyDescent="0.25">
      <c r="A15776" t="str">
        <f>"1055520048"</f>
        <v>1055520048</v>
      </c>
      <c r="B15776" t="s">
        <v>123</v>
      </c>
      <c r="C15776" t="s">
        <v>2950</v>
      </c>
      <c r="D15776" t="s">
        <v>53162</v>
      </c>
      <c r="F15776" t="s">
        <v>1</v>
      </c>
      <c r="G15776" t="s">
        <v>52955</v>
      </c>
      <c r="H15776" t="s">
        <v>53163</v>
      </c>
      <c r="I15776" t="s">
        <v>53164</v>
      </c>
      <c r="L15776" t="s">
        <v>53165</v>
      </c>
      <c r="M15776" t="s">
        <v>53166</v>
      </c>
      <c r="P15776" t="s">
        <v>216</v>
      </c>
      <c r="Y15776" t="s">
        <v>53167</v>
      </c>
    </row>
    <row r="15777" spans="1:25" x14ac:dyDescent="0.25">
      <c r="A15777" t="str">
        <f>"1055903908"</f>
        <v>1055903908</v>
      </c>
      <c r="B15777" t="s">
        <v>408</v>
      </c>
      <c r="C15777" t="s">
        <v>409</v>
      </c>
      <c r="D15777" t="s">
        <v>53168</v>
      </c>
      <c r="E15777">
        <v>425000</v>
      </c>
      <c r="F15777" t="s">
        <v>1</v>
      </c>
      <c r="G15777" t="s">
        <v>52955</v>
      </c>
      <c r="H15777" t="s">
        <v>52998</v>
      </c>
      <c r="I15777" t="s">
        <v>53169</v>
      </c>
      <c r="K15777" t="s">
        <v>53170</v>
      </c>
      <c r="P15777" t="s">
        <v>53171</v>
      </c>
      <c r="Y15777" t="s">
        <v>53172</v>
      </c>
    </row>
    <row r="15778" spans="1:25" x14ac:dyDescent="0.25">
      <c r="A15778" t="str">
        <f>"1056783503"</f>
        <v>1056783503</v>
      </c>
      <c r="B15778" t="s">
        <v>151</v>
      </c>
      <c r="C15778" t="s">
        <v>1034</v>
      </c>
      <c r="D15778" t="s">
        <v>53173</v>
      </c>
      <c r="E15778">
        <v>425000</v>
      </c>
      <c r="F15778" t="s">
        <v>1</v>
      </c>
      <c r="G15778" t="s">
        <v>52955</v>
      </c>
      <c r="H15778" t="s">
        <v>53174</v>
      </c>
      <c r="J15778" t="s">
        <v>53175</v>
      </c>
      <c r="P15778" t="s">
        <v>280</v>
      </c>
      <c r="Y15778" t="s">
        <v>53176</v>
      </c>
    </row>
    <row r="15779" spans="1:25" x14ac:dyDescent="0.25">
      <c r="A15779" t="str">
        <f>"1056943077"</f>
        <v>1056943077</v>
      </c>
      <c r="B15779" t="s">
        <v>1053</v>
      </c>
      <c r="C15779" t="s">
        <v>1927</v>
      </c>
      <c r="D15779" t="s">
        <v>53177</v>
      </c>
      <c r="E15779">
        <v>425000</v>
      </c>
      <c r="F15779" t="s">
        <v>1</v>
      </c>
      <c r="G15779" t="s">
        <v>52955</v>
      </c>
      <c r="H15779" t="s">
        <v>53130</v>
      </c>
      <c r="I15779" t="s">
        <v>53178</v>
      </c>
      <c r="L15779" t="s">
        <v>222</v>
      </c>
      <c r="M15779" t="s">
        <v>223</v>
      </c>
      <c r="P15779" t="s">
        <v>53179</v>
      </c>
      <c r="Y15779" t="s">
        <v>53131</v>
      </c>
    </row>
    <row r="15780" spans="1:25" x14ac:dyDescent="0.25">
      <c r="A15780" t="str">
        <f>"1057753879"</f>
        <v>1057753879</v>
      </c>
      <c r="B15780" t="s">
        <v>352</v>
      </c>
      <c r="C15780" t="s">
        <v>9444</v>
      </c>
      <c r="D15780" t="s">
        <v>53180</v>
      </c>
      <c r="E15780">
        <v>425000</v>
      </c>
      <c r="F15780" t="s">
        <v>1</v>
      </c>
      <c r="G15780" t="s">
        <v>52955</v>
      </c>
      <c r="H15780" t="s">
        <v>53181</v>
      </c>
      <c r="I15780" t="s">
        <v>53182</v>
      </c>
      <c r="K15780" t="s">
        <v>53182</v>
      </c>
      <c r="P15780" t="s">
        <v>280</v>
      </c>
      <c r="Y15780" t="s">
        <v>53183</v>
      </c>
    </row>
    <row r="15781" spans="1:25" x14ac:dyDescent="0.25">
      <c r="A15781" t="str">
        <f>"1061478251"</f>
        <v>1061478251</v>
      </c>
      <c r="B15781" t="s">
        <v>3652</v>
      </c>
      <c r="C15781" t="s">
        <v>3685</v>
      </c>
      <c r="D15781" t="s">
        <v>53184</v>
      </c>
      <c r="E15781">
        <v>425001</v>
      </c>
      <c r="F15781" t="s">
        <v>1</v>
      </c>
      <c r="G15781" t="s">
        <v>52955</v>
      </c>
      <c r="H15781" t="s">
        <v>53185</v>
      </c>
      <c r="I15781" t="s">
        <v>53186</v>
      </c>
      <c r="L15781" t="s">
        <v>53187</v>
      </c>
      <c r="M15781" t="s">
        <v>53188</v>
      </c>
      <c r="P15781" t="s">
        <v>280</v>
      </c>
      <c r="Y15781" t="s">
        <v>53189</v>
      </c>
    </row>
    <row r="15782" spans="1:25" x14ac:dyDescent="0.25">
      <c r="A15782" t="str">
        <f>"1061775382"</f>
        <v>1061775382</v>
      </c>
      <c r="B15782" t="s">
        <v>591</v>
      </c>
      <c r="C15782" t="s">
        <v>3660</v>
      </c>
      <c r="D15782" t="s">
        <v>53190</v>
      </c>
      <c r="E15782">
        <v>425000</v>
      </c>
      <c r="F15782" t="s">
        <v>1</v>
      </c>
      <c r="G15782" t="s">
        <v>52955</v>
      </c>
      <c r="H15782" t="s">
        <v>53191</v>
      </c>
      <c r="Y15782" t="s">
        <v>53192</v>
      </c>
    </row>
    <row r="15783" spans="1:25" x14ac:dyDescent="0.25">
      <c r="A15783" t="str">
        <f>"1062901426"</f>
        <v>1062901426</v>
      </c>
      <c r="B15783" t="s">
        <v>319</v>
      </c>
      <c r="C15783" t="s">
        <v>320</v>
      </c>
      <c r="D15783" t="s">
        <v>2733</v>
      </c>
      <c r="E15783">
        <v>425008</v>
      </c>
      <c r="F15783" t="s">
        <v>1</v>
      </c>
      <c r="G15783" t="s">
        <v>52955</v>
      </c>
      <c r="H15783" t="s">
        <v>53193</v>
      </c>
      <c r="J15783" t="s">
        <v>53194</v>
      </c>
      <c r="P15783" t="s">
        <v>410</v>
      </c>
      <c r="Y15783" t="s">
        <v>53195</v>
      </c>
    </row>
    <row r="15784" spans="1:25" x14ac:dyDescent="0.25">
      <c r="A15784" t="str">
        <f>"1063032476"</f>
        <v>1063032476</v>
      </c>
      <c r="B15784" t="s">
        <v>1391</v>
      </c>
      <c r="C15784" t="s">
        <v>1392</v>
      </c>
      <c r="D15784" t="s">
        <v>53196</v>
      </c>
      <c r="E15784">
        <v>425000</v>
      </c>
      <c r="F15784" t="s">
        <v>1</v>
      </c>
      <c r="G15784" t="s">
        <v>52955</v>
      </c>
      <c r="H15784" t="s">
        <v>53132</v>
      </c>
      <c r="Y15784" t="s">
        <v>53197</v>
      </c>
    </row>
    <row r="15785" spans="1:25" x14ac:dyDescent="0.25">
      <c r="A15785" t="str">
        <f>"1065697557"</f>
        <v>1065697557</v>
      </c>
      <c r="B15785" t="s">
        <v>1362</v>
      </c>
      <c r="C15785" t="s">
        <v>15548</v>
      </c>
      <c r="D15785" t="s">
        <v>15543</v>
      </c>
      <c r="F15785" t="s">
        <v>1</v>
      </c>
      <c r="G15785" t="s">
        <v>52955</v>
      </c>
      <c r="H15785" t="s">
        <v>53198</v>
      </c>
      <c r="I15785" t="s">
        <v>53199</v>
      </c>
      <c r="P15785" t="s">
        <v>9840</v>
      </c>
      <c r="Y15785" t="s">
        <v>53200</v>
      </c>
    </row>
    <row r="15786" spans="1:25" x14ac:dyDescent="0.25">
      <c r="A15786" t="str">
        <f>"1068070787"</f>
        <v>1068070787</v>
      </c>
      <c r="B15786" t="s">
        <v>18</v>
      </c>
      <c r="C15786" t="s">
        <v>2295</v>
      </c>
      <c r="D15786" t="s">
        <v>53201</v>
      </c>
      <c r="E15786">
        <v>425000</v>
      </c>
      <c r="F15786" t="s">
        <v>1</v>
      </c>
      <c r="G15786" t="s">
        <v>52955</v>
      </c>
      <c r="H15786" t="s">
        <v>53202</v>
      </c>
      <c r="I15786" t="s">
        <v>53203</v>
      </c>
      <c r="K15786" t="s">
        <v>53204</v>
      </c>
      <c r="M15786" t="s">
        <v>53205</v>
      </c>
      <c r="P15786" t="s">
        <v>2580</v>
      </c>
      <c r="Y15786" t="s">
        <v>53206</v>
      </c>
    </row>
    <row r="15787" spans="1:25" x14ac:dyDescent="0.25">
      <c r="A15787" t="str">
        <f>"1069030158"</f>
        <v>1069030158</v>
      </c>
      <c r="B15787" t="s">
        <v>417</v>
      </c>
      <c r="C15787" t="s">
        <v>418</v>
      </c>
      <c r="D15787" t="s">
        <v>53207</v>
      </c>
      <c r="E15787">
        <v>425000</v>
      </c>
      <c r="F15787" t="s">
        <v>1</v>
      </c>
      <c r="G15787" t="s">
        <v>52955</v>
      </c>
      <c r="H15787" t="s">
        <v>52998</v>
      </c>
      <c r="J15787" t="s">
        <v>53208</v>
      </c>
      <c r="P15787" t="s">
        <v>280</v>
      </c>
      <c r="Y15787" t="s">
        <v>53209</v>
      </c>
    </row>
    <row r="15788" spans="1:25" x14ac:dyDescent="0.25">
      <c r="A15788" t="str">
        <f>"1069601683"</f>
        <v>1069601683</v>
      </c>
      <c r="B15788" t="s">
        <v>18</v>
      </c>
      <c r="C15788" t="s">
        <v>8608</v>
      </c>
      <c r="D15788" t="s">
        <v>53210</v>
      </c>
      <c r="F15788" t="s">
        <v>1</v>
      </c>
      <c r="G15788" t="s">
        <v>52955</v>
      </c>
      <c r="H15788" t="s">
        <v>53211</v>
      </c>
      <c r="I15788" t="s">
        <v>53212</v>
      </c>
      <c r="J15788" t="s">
        <v>53213</v>
      </c>
      <c r="P15788" t="s">
        <v>2050</v>
      </c>
      <c r="Y15788" t="s">
        <v>53214</v>
      </c>
    </row>
    <row r="15789" spans="1:25" x14ac:dyDescent="0.25">
      <c r="A15789" t="str">
        <f>"1069691991"</f>
        <v>1069691991</v>
      </c>
      <c r="B15789" t="s">
        <v>482</v>
      </c>
      <c r="C15789" t="s">
        <v>44989</v>
      </c>
      <c r="D15789" t="s">
        <v>23942</v>
      </c>
      <c r="F15789" t="s">
        <v>1</v>
      </c>
      <c r="G15789" t="s">
        <v>52955</v>
      </c>
      <c r="H15789" t="s">
        <v>53215</v>
      </c>
      <c r="J15789" t="s">
        <v>53216</v>
      </c>
      <c r="P15789" t="s">
        <v>53217</v>
      </c>
      <c r="Y15789" t="s">
        <v>53218</v>
      </c>
    </row>
    <row r="15790" spans="1:25" x14ac:dyDescent="0.25">
      <c r="A15790" t="str">
        <f>"1069954311"</f>
        <v>1069954311</v>
      </c>
      <c r="B15790" t="s">
        <v>687</v>
      </c>
      <c r="C15790" t="s">
        <v>53222</v>
      </c>
      <c r="D15790" t="s">
        <v>53219</v>
      </c>
      <c r="E15790">
        <v>425000</v>
      </c>
      <c r="F15790" t="s">
        <v>1</v>
      </c>
      <c r="G15790" t="s">
        <v>52955</v>
      </c>
      <c r="H15790" t="s">
        <v>53220</v>
      </c>
      <c r="J15790" t="s">
        <v>53221</v>
      </c>
      <c r="P15790" t="s">
        <v>1433</v>
      </c>
      <c r="Y15790" t="s">
        <v>53223</v>
      </c>
    </row>
    <row r="15791" spans="1:25" x14ac:dyDescent="0.25">
      <c r="A15791" t="str">
        <f>"1074189853"</f>
        <v>1074189853</v>
      </c>
      <c r="B15791" t="s">
        <v>348</v>
      </c>
      <c r="C15791" t="s">
        <v>53229</v>
      </c>
      <c r="D15791" t="s">
        <v>53224</v>
      </c>
      <c r="E15791">
        <v>425000</v>
      </c>
      <c r="F15791" t="s">
        <v>1</v>
      </c>
      <c r="G15791" t="s">
        <v>52955</v>
      </c>
      <c r="H15791" t="s">
        <v>53225</v>
      </c>
      <c r="I15791" t="s">
        <v>53226</v>
      </c>
      <c r="L15791" t="s">
        <v>53227</v>
      </c>
      <c r="M15791" t="s">
        <v>53228</v>
      </c>
      <c r="P15791" t="s">
        <v>21948</v>
      </c>
      <c r="Y15791" t="s">
        <v>53230</v>
      </c>
    </row>
    <row r="15792" spans="1:25" x14ac:dyDescent="0.25">
      <c r="A15792" t="str">
        <f>"1078654675"</f>
        <v>1078654675</v>
      </c>
      <c r="B15792" t="s">
        <v>18</v>
      </c>
      <c r="C15792" t="s">
        <v>53236</v>
      </c>
      <c r="D15792" t="s">
        <v>53231</v>
      </c>
      <c r="E15792">
        <v>425001</v>
      </c>
      <c r="F15792" t="s">
        <v>1</v>
      </c>
      <c r="G15792" t="s">
        <v>52955</v>
      </c>
      <c r="H15792" t="s">
        <v>53232</v>
      </c>
      <c r="J15792" t="s">
        <v>53233</v>
      </c>
      <c r="L15792" t="s">
        <v>53234</v>
      </c>
      <c r="M15792" t="s">
        <v>53235</v>
      </c>
      <c r="P15792" t="s">
        <v>20</v>
      </c>
      <c r="Y15792" t="s">
        <v>53237</v>
      </c>
    </row>
    <row r="15793" spans="1:25" x14ac:dyDescent="0.25">
      <c r="A15793" t="str">
        <f>"1083384264"</f>
        <v>1083384264</v>
      </c>
      <c r="B15793" t="s">
        <v>10383</v>
      </c>
      <c r="C15793" t="s">
        <v>16020</v>
      </c>
      <c r="D15793" t="s">
        <v>53238</v>
      </c>
      <c r="E15793">
        <v>425000</v>
      </c>
      <c r="F15793" t="s">
        <v>1</v>
      </c>
      <c r="G15793" t="s">
        <v>52955</v>
      </c>
      <c r="H15793" t="s">
        <v>53239</v>
      </c>
      <c r="I15793" t="s">
        <v>53240</v>
      </c>
      <c r="K15793" t="s">
        <v>53241</v>
      </c>
      <c r="P15793" t="s">
        <v>410</v>
      </c>
      <c r="Y15793" t="s">
        <v>53242</v>
      </c>
    </row>
    <row r="15794" spans="1:25" x14ac:dyDescent="0.25">
      <c r="A15794" t="str">
        <f>"1085325150"</f>
        <v>1085325150</v>
      </c>
      <c r="B15794" t="s">
        <v>738</v>
      </c>
      <c r="C15794" t="s">
        <v>53248</v>
      </c>
      <c r="D15794" t="s">
        <v>1265</v>
      </c>
      <c r="F15794" t="s">
        <v>1</v>
      </c>
      <c r="G15794" t="s">
        <v>52955</v>
      </c>
      <c r="H15794" t="s">
        <v>53243</v>
      </c>
      <c r="I15794" t="s">
        <v>53244</v>
      </c>
      <c r="J15794" t="s">
        <v>53245</v>
      </c>
      <c r="L15794" t="s">
        <v>53246</v>
      </c>
      <c r="M15794" t="s">
        <v>53247</v>
      </c>
      <c r="P15794" t="s">
        <v>53249</v>
      </c>
      <c r="Q15794" t="s">
        <v>53250</v>
      </c>
      <c r="U15794" t="s">
        <v>53251</v>
      </c>
      <c r="V15794" t="s">
        <v>53252</v>
      </c>
      <c r="Y15794" t="s">
        <v>53253</v>
      </c>
    </row>
    <row r="15795" spans="1:25" x14ac:dyDescent="0.25">
      <c r="A15795" t="str">
        <f>"1085844093"</f>
        <v>1085844093</v>
      </c>
      <c r="B15795" t="s">
        <v>3652</v>
      </c>
      <c r="C15795" t="s">
        <v>46372</v>
      </c>
      <c r="D15795" t="s">
        <v>53254</v>
      </c>
      <c r="E15795">
        <v>425000</v>
      </c>
      <c r="F15795" t="s">
        <v>1</v>
      </c>
      <c r="G15795" t="s">
        <v>52955</v>
      </c>
      <c r="H15795" t="s">
        <v>53255</v>
      </c>
      <c r="I15795" t="s">
        <v>53256</v>
      </c>
      <c r="L15795" t="s">
        <v>53257</v>
      </c>
      <c r="M15795" t="s">
        <v>53258</v>
      </c>
      <c r="P15795" t="s">
        <v>280</v>
      </c>
      <c r="Q15795" t="s">
        <v>53259</v>
      </c>
      <c r="Y15795" t="s">
        <v>53260</v>
      </c>
    </row>
    <row r="15796" spans="1:25" x14ac:dyDescent="0.25">
      <c r="A15796" t="str">
        <f>"1087462733"</f>
        <v>1087462733</v>
      </c>
      <c r="B15796" t="s">
        <v>1475</v>
      </c>
      <c r="C15796" t="s">
        <v>53263</v>
      </c>
      <c r="D15796" t="s">
        <v>8455</v>
      </c>
      <c r="F15796" t="s">
        <v>1</v>
      </c>
      <c r="G15796" t="s">
        <v>52955</v>
      </c>
      <c r="H15796" t="s">
        <v>53261</v>
      </c>
      <c r="J15796" t="s">
        <v>53262</v>
      </c>
      <c r="P15796" t="s">
        <v>2050</v>
      </c>
      <c r="Y15796" t="s">
        <v>53264</v>
      </c>
    </row>
    <row r="15797" spans="1:25" x14ac:dyDescent="0.25">
      <c r="A15797" t="str">
        <f>"1090597909"</f>
        <v>1090597909</v>
      </c>
      <c r="B15797" t="s">
        <v>18</v>
      </c>
      <c r="C15797" t="s">
        <v>959</v>
      </c>
      <c r="D15797" t="s">
        <v>53265</v>
      </c>
      <c r="E15797">
        <v>425000</v>
      </c>
      <c r="F15797" t="s">
        <v>1</v>
      </c>
      <c r="G15797" t="s">
        <v>52955</v>
      </c>
      <c r="H15797" t="s">
        <v>53132</v>
      </c>
      <c r="Y15797" t="s">
        <v>53266</v>
      </c>
    </row>
    <row r="15798" spans="1:25" x14ac:dyDescent="0.25">
      <c r="A15798" t="str">
        <f>"1091574514"</f>
        <v>1091574514</v>
      </c>
      <c r="B15798" t="s">
        <v>1182</v>
      </c>
      <c r="C15798" t="s">
        <v>53271</v>
      </c>
      <c r="D15798" t="s">
        <v>53267</v>
      </c>
      <c r="E15798">
        <v>425003</v>
      </c>
      <c r="F15798" t="s">
        <v>1</v>
      </c>
      <c r="G15798" t="s">
        <v>52955</v>
      </c>
      <c r="H15798" t="s">
        <v>53010</v>
      </c>
      <c r="I15798" t="s">
        <v>53268</v>
      </c>
      <c r="L15798" t="s">
        <v>53269</v>
      </c>
      <c r="M15798" t="s">
        <v>53270</v>
      </c>
      <c r="Q15798" t="s">
        <v>53272</v>
      </c>
      <c r="Y15798" t="s">
        <v>53273</v>
      </c>
    </row>
    <row r="15799" spans="1:25" x14ac:dyDescent="0.25">
      <c r="A15799" t="str">
        <f>"1091797405"</f>
        <v>1091797405</v>
      </c>
      <c r="B15799" t="s">
        <v>25</v>
      </c>
      <c r="C15799" t="s">
        <v>1005</v>
      </c>
      <c r="D15799" t="s">
        <v>53274</v>
      </c>
      <c r="F15799" t="s">
        <v>1</v>
      </c>
      <c r="G15799" t="s">
        <v>52955</v>
      </c>
      <c r="H15799" t="s">
        <v>53275</v>
      </c>
      <c r="I15799" t="s">
        <v>53276</v>
      </c>
      <c r="P15799" t="s">
        <v>20</v>
      </c>
      <c r="Y15799" t="s">
        <v>53277</v>
      </c>
    </row>
    <row r="15800" spans="1:25" x14ac:dyDescent="0.25">
      <c r="A15800" t="str">
        <f>"1096174943"</f>
        <v>1096174943</v>
      </c>
      <c r="B15800" t="s">
        <v>1475</v>
      </c>
      <c r="C15800" t="s">
        <v>1476</v>
      </c>
      <c r="D15800" t="s">
        <v>27363</v>
      </c>
      <c r="E15800">
        <v>425000</v>
      </c>
      <c r="F15800" t="s">
        <v>1</v>
      </c>
      <c r="G15800" t="s">
        <v>52955</v>
      </c>
      <c r="H15800" t="s">
        <v>53278</v>
      </c>
      <c r="I15800" t="s">
        <v>53279</v>
      </c>
      <c r="K15800" t="s">
        <v>53280</v>
      </c>
      <c r="L15800" t="s">
        <v>53281</v>
      </c>
      <c r="M15800" t="s">
        <v>53282</v>
      </c>
      <c r="P15800" t="s">
        <v>799</v>
      </c>
      <c r="Y15800" t="s">
        <v>53283</v>
      </c>
    </row>
    <row r="15801" spans="1:25" x14ac:dyDescent="0.25">
      <c r="A15801" t="str">
        <f>"1096789191"</f>
        <v>1096789191</v>
      </c>
      <c r="B15801" t="s">
        <v>803</v>
      </c>
      <c r="C15801" t="s">
        <v>53285</v>
      </c>
      <c r="D15801" t="s">
        <v>4725</v>
      </c>
      <c r="F15801" t="s">
        <v>1</v>
      </c>
      <c r="G15801" t="s">
        <v>52955</v>
      </c>
      <c r="H15801" t="s">
        <v>53284</v>
      </c>
      <c r="Y15801" t="s">
        <v>53286</v>
      </c>
    </row>
    <row r="15802" spans="1:25" x14ac:dyDescent="0.25">
      <c r="A15802" t="str">
        <f>"1101337991"</f>
        <v>1101337991</v>
      </c>
      <c r="B15802" t="s">
        <v>2055</v>
      </c>
      <c r="C15802" t="s">
        <v>2623</v>
      </c>
      <c r="D15802" t="s">
        <v>53287</v>
      </c>
      <c r="F15802" t="s">
        <v>1</v>
      </c>
      <c r="G15802" t="s">
        <v>52955</v>
      </c>
      <c r="H15802" t="s">
        <v>53288</v>
      </c>
      <c r="I15802" t="s">
        <v>53289</v>
      </c>
      <c r="K15802" t="s">
        <v>53290</v>
      </c>
      <c r="L15802" t="s">
        <v>53291</v>
      </c>
      <c r="M15802" t="s">
        <v>53292</v>
      </c>
      <c r="P15802" t="s">
        <v>5575</v>
      </c>
      <c r="Q15802" t="s">
        <v>53293</v>
      </c>
      <c r="Y15802" t="s">
        <v>53294</v>
      </c>
    </row>
    <row r="15803" spans="1:25" x14ac:dyDescent="0.25">
      <c r="A15803" t="str">
        <f>"1101667938"</f>
        <v>1101667938</v>
      </c>
      <c r="B15803" t="s">
        <v>574</v>
      </c>
      <c r="C15803" t="s">
        <v>646</v>
      </c>
      <c r="D15803" t="s">
        <v>50813</v>
      </c>
      <c r="F15803" t="s">
        <v>1</v>
      </c>
      <c r="G15803" t="s">
        <v>52955</v>
      </c>
      <c r="H15803" t="s">
        <v>53295</v>
      </c>
      <c r="I15803" t="s">
        <v>53296</v>
      </c>
      <c r="K15803" t="s">
        <v>53297</v>
      </c>
      <c r="P15803" t="s">
        <v>216</v>
      </c>
      <c r="Y15803" t="s">
        <v>53298</v>
      </c>
    </row>
    <row r="15804" spans="1:25" x14ac:dyDescent="0.25">
      <c r="A15804" t="str">
        <f>"1103907198"</f>
        <v>1103907198</v>
      </c>
      <c r="B15804" t="s">
        <v>3908</v>
      </c>
      <c r="C15804" t="s">
        <v>24003</v>
      </c>
      <c r="D15804" t="s">
        <v>53299</v>
      </c>
      <c r="E15804">
        <v>425009</v>
      </c>
      <c r="F15804" t="s">
        <v>1</v>
      </c>
      <c r="G15804" t="s">
        <v>52955</v>
      </c>
      <c r="H15804" t="s">
        <v>53300</v>
      </c>
      <c r="I15804" t="s">
        <v>53301</v>
      </c>
      <c r="L15804" t="s">
        <v>53302</v>
      </c>
      <c r="M15804" t="s">
        <v>53303</v>
      </c>
      <c r="P15804" t="s">
        <v>1270</v>
      </c>
      <c r="Y15804" t="s">
        <v>53304</v>
      </c>
    </row>
    <row r="15805" spans="1:25" x14ac:dyDescent="0.25">
      <c r="A15805" t="str">
        <f>"1107097699"</f>
        <v>1107097699</v>
      </c>
      <c r="B15805" t="s">
        <v>233</v>
      </c>
      <c r="C15805" t="s">
        <v>42063</v>
      </c>
      <c r="D15805" t="s">
        <v>53305</v>
      </c>
      <c r="F15805" t="s">
        <v>1</v>
      </c>
      <c r="G15805" t="s">
        <v>52955</v>
      </c>
      <c r="H15805" t="s">
        <v>53306</v>
      </c>
      <c r="J15805" t="s">
        <v>53307</v>
      </c>
      <c r="L15805" t="s">
        <v>53308</v>
      </c>
      <c r="M15805" t="s">
        <v>53309</v>
      </c>
      <c r="P15805" t="s">
        <v>390</v>
      </c>
      <c r="Y15805" t="s">
        <v>53310</v>
      </c>
    </row>
    <row r="15806" spans="1:25" x14ac:dyDescent="0.25">
      <c r="A15806" t="str">
        <f>"1109135694"</f>
        <v>1109135694</v>
      </c>
      <c r="B15806" t="s">
        <v>654</v>
      </c>
      <c r="C15806" t="s">
        <v>25469</v>
      </c>
      <c r="D15806" t="s">
        <v>25469</v>
      </c>
      <c r="E15806">
        <v>425000</v>
      </c>
      <c r="F15806" t="s">
        <v>1</v>
      </c>
      <c r="G15806" t="s">
        <v>52955</v>
      </c>
      <c r="H15806" t="s">
        <v>53311</v>
      </c>
      <c r="L15806" t="s">
        <v>53312</v>
      </c>
      <c r="Y15806" t="s">
        <v>53313</v>
      </c>
    </row>
    <row r="15807" spans="1:25" x14ac:dyDescent="0.25">
      <c r="A15807" t="str">
        <f>"1111015015"</f>
        <v>1111015015</v>
      </c>
      <c r="B15807" t="s">
        <v>25664</v>
      </c>
      <c r="C15807" t="s">
        <v>25665</v>
      </c>
      <c r="D15807" t="s">
        <v>53314</v>
      </c>
      <c r="E15807">
        <v>425000</v>
      </c>
      <c r="F15807" t="s">
        <v>1</v>
      </c>
      <c r="G15807" t="s">
        <v>52955</v>
      </c>
      <c r="H15807" t="s">
        <v>53315</v>
      </c>
      <c r="I15807" t="s">
        <v>53316</v>
      </c>
      <c r="L15807" t="s">
        <v>53317</v>
      </c>
      <c r="M15807" t="s">
        <v>53318</v>
      </c>
      <c r="P15807" t="s">
        <v>330</v>
      </c>
      <c r="T15807" t="s">
        <v>6911</v>
      </c>
      <c r="Y15807" t="s">
        <v>53319</v>
      </c>
    </row>
    <row r="15808" spans="1:25" x14ac:dyDescent="0.25">
      <c r="A15808" t="str">
        <f>"1113354995"</f>
        <v>1113354995</v>
      </c>
      <c r="B15808" t="s">
        <v>1729</v>
      </c>
      <c r="C15808" t="s">
        <v>4677</v>
      </c>
      <c r="D15808" t="s">
        <v>53320</v>
      </c>
      <c r="E15808">
        <v>425008</v>
      </c>
      <c r="F15808" t="s">
        <v>1</v>
      </c>
      <c r="G15808" t="s">
        <v>52955</v>
      </c>
      <c r="H15808" t="s">
        <v>53119</v>
      </c>
      <c r="I15808" t="s">
        <v>53321</v>
      </c>
      <c r="L15808" t="s">
        <v>53322</v>
      </c>
      <c r="M15808" t="s">
        <v>53323</v>
      </c>
      <c r="P15808" t="s">
        <v>280</v>
      </c>
      <c r="Y15808" t="s">
        <v>53324</v>
      </c>
    </row>
    <row r="15809" spans="1:25" x14ac:dyDescent="0.25">
      <c r="A15809" t="str">
        <f>"1114237850"</f>
        <v>1114237850</v>
      </c>
      <c r="B15809" t="s">
        <v>18</v>
      </c>
      <c r="C15809" t="s">
        <v>53329</v>
      </c>
      <c r="D15809" t="s">
        <v>53325</v>
      </c>
      <c r="E15809">
        <v>425011</v>
      </c>
      <c r="F15809" t="s">
        <v>1</v>
      </c>
      <c r="G15809" t="s">
        <v>52955</v>
      </c>
      <c r="H15809" t="s">
        <v>53326</v>
      </c>
      <c r="J15809" t="s">
        <v>53327</v>
      </c>
      <c r="L15809" t="s">
        <v>53328</v>
      </c>
      <c r="P15809" t="s">
        <v>27</v>
      </c>
      <c r="Y15809" t="s">
        <v>53330</v>
      </c>
    </row>
    <row r="15810" spans="1:25" x14ac:dyDescent="0.25">
      <c r="A15810" t="str">
        <f>"1120804325"</f>
        <v>1120804325</v>
      </c>
      <c r="B15810" t="s">
        <v>319</v>
      </c>
      <c r="C15810" t="s">
        <v>320</v>
      </c>
      <c r="D15810" t="s">
        <v>2733</v>
      </c>
      <c r="E15810">
        <v>425000</v>
      </c>
      <c r="F15810" t="s">
        <v>1</v>
      </c>
      <c r="G15810" t="s">
        <v>52955</v>
      </c>
      <c r="H15810" t="s">
        <v>53132</v>
      </c>
      <c r="I15810" t="s">
        <v>53331</v>
      </c>
      <c r="P15810" t="s">
        <v>330</v>
      </c>
      <c r="Y15810" t="s">
        <v>53332</v>
      </c>
    </row>
    <row r="15811" spans="1:25" x14ac:dyDescent="0.25">
      <c r="A15811" t="str">
        <f>"1121919814"</f>
        <v>1121919814</v>
      </c>
      <c r="B15811" t="s">
        <v>538</v>
      </c>
      <c r="C15811" t="s">
        <v>539</v>
      </c>
      <c r="D15811" t="s">
        <v>53333</v>
      </c>
      <c r="F15811" t="s">
        <v>1</v>
      </c>
      <c r="G15811" t="s">
        <v>52955</v>
      </c>
      <c r="H15811" t="s">
        <v>53334</v>
      </c>
      <c r="I15811" t="s">
        <v>53335</v>
      </c>
      <c r="K15811" t="s">
        <v>53336</v>
      </c>
      <c r="P15811" t="s">
        <v>20</v>
      </c>
      <c r="Y15811" t="s">
        <v>53337</v>
      </c>
    </row>
    <row r="15812" spans="1:25" x14ac:dyDescent="0.25">
      <c r="A15812" t="str">
        <f>"1123448828"</f>
        <v>1123448828</v>
      </c>
      <c r="B15812" t="s">
        <v>151</v>
      </c>
      <c r="C15812" t="s">
        <v>2522</v>
      </c>
      <c r="D15812" t="s">
        <v>53338</v>
      </c>
      <c r="E15812">
        <v>425000</v>
      </c>
      <c r="F15812" t="s">
        <v>1</v>
      </c>
      <c r="G15812" t="s">
        <v>52955</v>
      </c>
      <c r="H15812" t="s">
        <v>53339</v>
      </c>
      <c r="I15812" t="s">
        <v>53340</v>
      </c>
      <c r="P15812" t="s">
        <v>7288</v>
      </c>
      <c r="Y15812" t="s">
        <v>53341</v>
      </c>
    </row>
    <row r="15813" spans="1:25" x14ac:dyDescent="0.25">
      <c r="A15813" t="str">
        <f>"1123819415"</f>
        <v>1123819415</v>
      </c>
      <c r="B15813" t="s">
        <v>482</v>
      </c>
      <c r="C15813" t="s">
        <v>483</v>
      </c>
      <c r="D15813" t="s">
        <v>53342</v>
      </c>
      <c r="E15813">
        <v>425000</v>
      </c>
      <c r="F15813" t="s">
        <v>1</v>
      </c>
      <c r="G15813" t="s">
        <v>52955</v>
      </c>
      <c r="H15813" t="s">
        <v>53343</v>
      </c>
      <c r="I15813" t="s">
        <v>53344</v>
      </c>
      <c r="J15813" t="s">
        <v>53345</v>
      </c>
      <c r="L15813" t="s">
        <v>53346</v>
      </c>
      <c r="M15813" t="s">
        <v>53347</v>
      </c>
      <c r="P15813" t="s">
        <v>280</v>
      </c>
      <c r="Q15813" t="s">
        <v>53348</v>
      </c>
      <c r="S15813" t="s">
        <v>53349</v>
      </c>
      <c r="T15813" t="s">
        <v>53350</v>
      </c>
      <c r="U15813" t="s">
        <v>53351</v>
      </c>
      <c r="V15813" t="s">
        <v>53352</v>
      </c>
      <c r="Y15813" t="s">
        <v>53353</v>
      </c>
    </row>
    <row r="15814" spans="1:25" x14ac:dyDescent="0.25">
      <c r="A15814" t="str">
        <f>"1129315184"</f>
        <v>1129315184</v>
      </c>
      <c r="B15814" t="s">
        <v>3652</v>
      </c>
      <c r="C15814" t="s">
        <v>14101</v>
      </c>
      <c r="D15814" t="s">
        <v>53354</v>
      </c>
      <c r="F15814" t="s">
        <v>1</v>
      </c>
      <c r="G15814" t="s">
        <v>52955</v>
      </c>
      <c r="H15814" t="s">
        <v>53355</v>
      </c>
      <c r="I15814" t="s">
        <v>53356</v>
      </c>
      <c r="P15814" t="s">
        <v>16507</v>
      </c>
      <c r="Y15814" t="s">
        <v>53357</v>
      </c>
    </row>
    <row r="15815" spans="1:25" x14ac:dyDescent="0.25">
      <c r="A15815" t="str">
        <f>"1130821703"</f>
        <v>1130821703</v>
      </c>
      <c r="B15815" t="s">
        <v>738</v>
      </c>
      <c r="C15815" t="s">
        <v>9900</v>
      </c>
      <c r="D15815" t="s">
        <v>51003</v>
      </c>
      <c r="E15815">
        <v>425000</v>
      </c>
      <c r="F15815" t="s">
        <v>1</v>
      </c>
      <c r="G15815" t="s">
        <v>52955</v>
      </c>
      <c r="H15815" t="s">
        <v>53075</v>
      </c>
      <c r="J15815" t="s">
        <v>53358</v>
      </c>
      <c r="L15815" t="s">
        <v>53359</v>
      </c>
      <c r="P15815" t="s">
        <v>2580</v>
      </c>
      <c r="Q15815" t="s">
        <v>53360</v>
      </c>
      <c r="V15815" t="s">
        <v>53361</v>
      </c>
      <c r="Y15815" t="s">
        <v>53362</v>
      </c>
    </row>
    <row r="15816" spans="1:25" x14ac:dyDescent="0.25">
      <c r="A15816" t="str">
        <f>"1132014378"</f>
        <v>1132014378</v>
      </c>
      <c r="B15816" t="s">
        <v>352</v>
      </c>
      <c r="C15816" t="s">
        <v>353</v>
      </c>
      <c r="D15816" t="s">
        <v>53363</v>
      </c>
      <c r="E15816">
        <v>425011</v>
      </c>
      <c r="F15816" t="s">
        <v>1</v>
      </c>
      <c r="G15816" t="s">
        <v>52955</v>
      </c>
      <c r="H15816" t="s">
        <v>53364</v>
      </c>
      <c r="Y15816" t="s">
        <v>53365</v>
      </c>
    </row>
    <row r="15817" spans="1:25" x14ac:dyDescent="0.25">
      <c r="A15817" t="str">
        <f>"1133747782"</f>
        <v>1133747782</v>
      </c>
      <c r="B15817" t="s">
        <v>18</v>
      </c>
      <c r="C15817" t="s">
        <v>53371</v>
      </c>
      <c r="D15817" t="s">
        <v>53366</v>
      </c>
      <c r="E15817">
        <v>425000</v>
      </c>
      <c r="F15817" t="s">
        <v>1</v>
      </c>
      <c r="G15817" t="s">
        <v>52955</v>
      </c>
      <c r="H15817" t="s">
        <v>53367</v>
      </c>
      <c r="I15817" t="s">
        <v>53368</v>
      </c>
      <c r="L15817" t="s">
        <v>53369</v>
      </c>
      <c r="M15817" t="s">
        <v>53370</v>
      </c>
      <c r="P15817" t="s">
        <v>17373</v>
      </c>
      <c r="Y15817" t="s">
        <v>53372</v>
      </c>
    </row>
    <row r="15818" spans="1:25" x14ac:dyDescent="0.25">
      <c r="A15818" t="str">
        <f>"1134284016"</f>
        <v>1134284016</v>
      </c>
      <c r="B15818" t="s">
        <v>591</v>
      </c>
      <c r="C15818" t="s">
        <v>53378</v>
      </c>
      <c r="D15818" t="s">
        <v>53373</v>
      </c>
      <c r="E15818">
        <v>425001</v>
      </c>
      <c r="F15818" t="s">
        <v>1</v>
      </c>
      <c r="G15818" t="s">
        <v>52955</v>
      </c>
      <c r="H15818" t="s">
        <v>53185</v>
      </c>
      <c r="I15818" t="s">
        <v>53374</v>
      </c>
      <c r="J15818" t="s">
        <v>53375</v>
      </c>
      <c r="L15818" t="s">
        <v>53376</v>
      </c>
      <c r="M15818" t="s">
        <v>53377</v>
      </c>
      <c r="P15818" t="s">
        <v>280</v>
      </c>
      <c r="Y15818" t="s">
        <v>53189</v>
      </c>
    </row>
    <row r="15819" spans="1:25" x14ac:dyDescent="0.25">
      <c r="A15819" t="str">
        <f>"1134892383"</f>
        <v>1134892383</v>
      </c>
      <c r="B15819" t="s">
        <v>2055</v>
      </c>
      <c r="C15819" t="s">
        <v>12243</v>
      </c>
      <c r="D15819" t="s">
        <v>53379</v>
      </c>
      <c r="F15819" t="s">
        <v>1</v>
      </c>
      <c r="G15819" t="s">
        <v>52955</v>
      </c>
      <c r="H15819" t="s">
        <v>53380</v>
      </c>
      <c r="J15819" t="s">
        <v>53381</v>
      </c>
      <c r="L15819" t="s">
        <v>53382</v>
      </c>
      <c r="P15819" t="s">
        <v>1160</v>
      </c>
      <c r="Q15819" t="s">
        <v>53383</v>
      </c>
      <c r="Y15819" t="s">
        <v>53384</v>
      </c>
    </row>
    <row r="15820" spans="1:25" x14ac:dyDescent="0.25">
      <c r="A15820" t="str">
        <f>"1137429422"</f>
        <v>1137429422</v>
      </c>
      <c r="B15820" t="s">
        <v>574</v>
      </c>
      <c r="C15820" t="s">
        <v>8436</v>
      </c>
      <c r="D15820" t="s">
        <v>53385</v>
      </c>
      <c r="E15820">
        <v>425009</v>
      </c>
      <c r="F15820" t="s">
        <v>1</v>
      </c>
      <c r="G15820" t="s">
        <v>52955</v>
      </c>
      <c r="H15820" t="s">
        <v>53386</v>
      </c>
      <c r="I15820" t="s">
        <v>53387</v>
      </c>
      <c r="P15820" t="s">
        <v>647</v>
      </c>
      <c r="Y15820" t="s">
        <v>53388</v>
      </c>
    </row>
    <row r="15821" spans="1:25" x14ac:dyDescent="0.25">
      <c r="A15821" t="str">
        <f>"1137802554"</f>
        <v>1137802554</v>
      </c>
      <c r="B15821" t="s">
        <v>797</v>
      </c>
      <c r="C15821" t="s">
        <v>5123</v>
      </c>
      <c r="D15821" t="s">
        <v>53389</v>
      </c>
      <c r="F15821" t="s">
        <v>1</v>
      </c>
      <c r="G15821" t="s">
        <v>52955</v>
      </c>
      <c r="H15821" t="s">
        <v>53198</v>
      </c>
      <c r="Y15821" t="s">
        <v>53390</v>
      </c>
    </row>
    <row r="15822" spans="1:25" x14ac:dyDescent="0.25">
      <c r="A15822" t="str">
        <f>"1138314234"</f>
        <v>1138314234</v>
      </c>
      <c r="B15822" t="s">
        <v>224</v>
      </c>
      <c r="C15822" t="s">
        <v>4139</v>
      </c>
      <c r="D15822" t="s">
        <v>53391</v>
      </c>
      <c r="E15822">
        <v>425003</v>
      </c>
      <c r="F15822" t="s">
        <v>1</v>
      </c>
      <c r="G15822" t="s">
        <v>52955</v>
      </c>
      <c r="H15822" t="s">
        <v>53392</v>
      </c>
      <c r="J15822" t="s">
        <v>53393</v>
      </c>
      <c r="P15822" t="s">
        <v>280</v>
      </c>
      <c r="Y15822" t="s">
        <v>53394</v>
      </c>
    </row>
    <row r="15823" spans="1:25" x14ac:dyDescent="0.25">
      <c r="A15823" t="str">
        <f>"1139279193"</f>
        <v>1139279193</v>
      </c>
      <c r="B15823" t="s">
        <v>18</v>
      </c>
      <c r="C15823" t="s">
        <v>143</v>
      </c>
      <c r="D15823" t="s">
        <v>53395</v>
      </c>
      <c r="E15823">
        <v>425000</v>
      </c>
      <c r="F15823" t="s">
        <v>1</v>
      </c>
      <c r="G15823" t="s">
        <v>52955</v>
      </c>
      <c r="H15823" t="s">
        <v>53093</v>
      </c>
      <c r="J15823" t="s">
        <v>53396</v>
      </c>
      <c r="P15823" t="s">
        <v>280</v>
      </c>
      <c r="Y15823" t="s">
        <v>53099</v>
      </c>
    </row>
    <row r="15824" spans="1:25" x14ac:dyDescent="0.25">
      <c r="A15824" t="str">
        <f>"1139909766"</f>
        <v>1139909766</v>
      </c>
      <c r="B15824" t="s">
        <v>3008</v>
      </c>
      <c r="C15824" t="s">
        <v>24944</v>
      </c>
      <c r="D15824" t="s">
        <v>53397</v>
      </c>
      <c r="F15824" t="s">
        <v>1</v>
      </c>
      <c r="G15824" t="s">
        <v>52955</v>
      </c>
      <c r="H15824" t="s">
        <v>53398</v>
      </c>
      <c r="I15824" t="s">
        <v>53399</v>
      </c>
      <c r="J15824" t="s">
        <v>53400</v>
      </c>
      <c r="P15824" t="s">
        <v>799</v>
      </c>
      <c r="V15824" t="s">
        <v>53401</v>
      </c>
      <c r="Y15824" t="s">
        <v>53402</v>
      </c>
    </row>
    <row r="15825" spans="1:25" x14ac:dyDescent="0.25">
      <c r="A15825" t="str">
        <f>"1140978976"</f>
        <v>1140978976</v>
      </c>
      <c r="B15825" t="s">
        <v>1475</v>
      </c>
      <c r="C15825" t="s">
        <v>4005</v>
      </c>
      <c r="D15825" t="s">
        <v>53403</v>
      </c>
      <c r="F15825" t="s">
        <v>1</v>
      </c>
      <c r="G15825" t="s">
        <v>52955</v>
      </c>
      <c r="H15825" t="s">
        <v>53404</v>
      </c>
      <c r="P15825" t="s">
        <v>216</v>
      </c>
      <c r="Y15825" t="s">
        <v>53405</v>
      </c>
    </row>
    <row r="15826" spans="1:25" x14ac:dyDescent="0.25">
      <c r="A15826" t="str">
        <f>"1142730160"</f>
        <v>1142730160</v>
      </c>
      <c r="B15826" t="s">
        <v>2818</v>
      </c>
      <c r="C15826" t="s">
        <v>53410</v>
      </c>
      <c r="D15826" t="s">
        <v>53406</v>
      </c>
      <c r="E15826">
        <v>425000</v>
      </c>
      <c r="F15826" t="s">
        <v>1</v>
      </c>
      <c r="G15826" t="s">
        <v>52955</v>
      </c>
      <c r="H15826" t="s">
        <v>53174</v>
      </c>
      <c r="I15826" t="s">
        <v>53407</v>
      </c>
      <c r="L15826" t="s">
        <v>53408</v>
      </c>
      <c r="M15826" t="s">
        <v>53409</v>
      </c>
      <c r="P15826" t="s">
        <v>20</v>
      </c>
      <c r="Y15826" t="s">
        <v>53411</v>
      </c>
    </row>
    <row r="15827" spans="1:25" x14ac:dyDescent="0.25">
      <c r="A15827" t="str">
        <f>"1142762498"</f>
        <v>1142762498</v>
      </c>
      <c r="B15827" t="s">
        <v>687</v>
      </c>
      <c r="C15827" t="s">
        <v>53415</v>
      </c>
      <c r="D15827" t="s">
        <v>53412</v>
      </c>
      <c r="E15827">
        <v>425000</v>
      </c>
      <c r="F15827" t="s">
        <v>1</v>
      </c>
      <c r="G15827" t="s">
        <v>52955</v>
      </c>
      <c r="H15827" t="s">
        <v>53413</v>
      </c>
      <c r="I15827" t="s">
        <v>53414</v>
      </c>
      <c r="P15827" t="s">
        <v>7701</v>
      </c>
      <c r="Y15827" t="s">
        <v>53416</v>
      </c>
    </row>
    <row r="15828" spans="1:25" x14ac:dyDescent="0.25">
      <c r="A15828" t="str">
        <f>"1142804336"</f>
        <v>1142804336</v>
      </c>
      <c r="B15828" t="s">
        <v>352</v>
      </c>
      <c r="C15828" t="s">
        <v>53419</v>
      </c>
      <c r="D15828" t="s">
        <v>8604</v>
      </c>
      <c r="F15828" t="s">
        <v>1</v>
      </c>
      <c r="G15828" t="s">
        <v>52955</v>
      </c>
      <c r="H15828" t="s">
        <v>53417</v>
      </c>
      <c r="J15828" t="s">
        <v>53418</v>
      </c>
      <c r="L15828" t="s">
        <v>8606</v>
      </c>
      <c r="M15828" t="s">
        <v>8607</v>
      </c>
      <c r="P15828" t="s">
        <v>9523</v>
      </c>
      <c r="V15828" t="s">
        <v>53420</v>
      </c>
      <c r="Y15828" t="s">
        <v>53421</v>
      </c>
    </row>
    <row r="15829" spans="1:25" x14ac:dyDescent="0.25">
      <c r="A15829" t="str">
        <f>"1143316886"</f>
        <v>1143316886</v>
      </c>
      <c r="B15829" t="s">
        <v>348</v>
      </c>
      <c r="C15829" t="s">
        <v>53424</v>
      </c>
      <c r="D15829" t="s">
        <v>53422</v>
      </c>
      <c r="E15829">
        <v>425000</v>
      </c>
      <c r="F15829" t="s">
        <v>1</v>
      </c>
      <c r="G15829" t="s">
        <v>52955</v>
      </c>
      <c r="H15829" t="s">
        <v>53093</v>
      </c>
      <c r="J15829" t="s">
        <v>53423</v>
      </c>
      <c r="P15829" t="s">
        <v>280</v>
      </c>
      <c r="Y15829" t="s">
        <v>53099</v>
      </c>
    </row>
    <row r="15830" spans="1:25" x14ac:dyDescent="0.25">
      <c r="A15830" t="str">
        <f>"1143839868"</f>
        <v>1143839868</v>
      </c>
      <c r="B15830" t="s">
        <v>1323</v>
      </c>
      <c r="C15830" t="s">
        <v>1324</v>
      </c>
      <c r="D15830" t="s">
        <v>53425</v>
      </c>
      <c r="E15830">
        <v>425000</v>
      </c>
      <c r="F15830" t="s">
        <v>1</v>
      </c>
      <c r="G15830" t="s">
        <v>52955</v>
      </c>
      <c r="H15830" t="s">
        <v>53426</v>
      </c>
      <c r="I15830" t="s">
        <v>53427</v>
      </c>
      <c r="J15830" t="s">
        <v>53428</v>
      </c>
      <c r="K15830" t="s">
        <v>53429</v>
      </c>
      <c r="L15830" t="s">
        <v>53430</v>
      </c>
      <c r="M15830" t="s">
        <v>53431</v>
      </c>
      <c r="Y15830" t="s">
        <v>53432</v>
      </c>
    </row>
    <row r="15831" spans="1:25" x14ac:dyDescent="0.25">
      <c r="A15831" t="str">
        <f>"1144423845"</f>
        <v>1144423845</v>
      </c>
      <c r="B15831" t="s">
        <v>430</v>
      </c>
      <c r="C15831" t="s">
        <v>16178</v>
      </c>
      <c r="D15831" t="s">
        <v>10135</v>
      </c>
      <c r="E15831">
        <v>425001</v>
      </c>
      <c r="F15831" t="s">
        <v>1</v>
      </c>
      <c r="G15831" t="s">
        <v>52955</v>
      </c>
      <c r="H15831" t="s">
        <v>53433</v>
      </c>
      <c r="Y15831" t="s">
        <v>53434</v>
      </c>
    </row>
    <row r="15832" spans="1:25" x14ac:dyDescent="0.25">
      <c r="A15832" t="str">
        <f>"1145225362"</f>
        <v>1145225362</v>
      </c>
      <c r="B15832" t="s">
        <v>624</v>
      </c>
      <c r="C15832" t="s">
        <v>52125</v>
      </c>
      <c r="D15832" t="s">
        <v>43082</v>
      </c>
      <c r="F15832" t="s">
        <v>1</v>
      </c>
      <c r="G15832" t="s">
        <v>52955</v>
      </c>
      <c r="H15832" t="s">
        <v>53435</v>
      </c>
      <c r="I15832" t="s">
        <v>53436</v>
      </c>
      <c r="P15832" t="s">
        <v>53437</v>
      </c>
      <c r="Y15832" t="s">
        <v>53438</v>
      </c>
    </row>
    <row r="15833" spans="1:25" x14ac:dyDescent="0.25">
      <c r="A15833" t="str">
        <f>"1145227163"</f>
        <v>1145227163</v>
      </c>
      <c r="B15833" t="s">
        <v>1475</v>
      </c>
      <c r="C15833" t="s">
        <v>1476</v>
      </c>
      <c r="D15833" t="s">
        <v>53439</v>
      </c>
      <c r="F15833" t="s">
        <v>1</v>
      </c>
      <c r="G15833" t="s">
        <v>52955</v>
      </c>
      <c r="H15833" t="s">
        <v>53215</v>
      </c>
      <c r="I15833" t="s">
        <v>53440</v>
      </c>
      <c r="P15833" t="s">
        <v>133</v>
      </c>
      <c r="Y15833" t="s">
        <v>53441</v>
      </c>
    </row>
    <row r="15834" spans="1:25" x14ac:dyDescent="0.25">
      <c r="A15834" t="str">
        <f>"1145678013"</f>
        <v>1145678013</v>
      </c>
      <c r="B15834" t="s">
        <v>2178</v>
      </c>
      <c r="C15834" t="s">
        <v>2179</v>
      </c>
      <c r="D15834" t="s">
        <v>53442</v>
      </c>
      <c r="E15834">
        <v>425005</v>
      </c>
      <c r="F15834" t="s">
        <v>1</v>
      </c>
      <c r="G15834" t="s">
        <v>52955</v>
      </c>
      <c r="H15834" t="s">
        <v>53443</v>
      </c>
      <c r="I15834" t="s">
        <v>53444</v>
      </c>
      <c r="P15834" t="s">
        <v>53445</v>
      </c>
      <c r="Y15834" t="s">
        <v>53446</v>
      </c>
    </row>
    <row r="15835" spans="1:25" x14ac:dyDescent="0.25">
      <c r="A15835" t="str">
        <f>"1148786526"</f>
        <v>1148786526</v>
      </c>
      <c r="B15835" t="s">
        <v>1152</v>
      </c>
      <c r="C15835" t="s">
        <v>1153</v>
      </c>
      <c r="D15835" t="s">
        <v>10280</v>
      </c>
      <c r="E15835">
        <v>425000</v>
      </c>
      <c r="F15835" t="s">
        <v>1</v>
      </c>
      <c r="G15835" t="s">
        <v>52955</v>
      </c>
      <c r="H15835" t="s">
        <v>53447</v>
      </c>
      <c r="I15835" t="s">
        <v>22092</v>
      </c>
      <c r="M15835" t="s">
        <v>10284</v>
      </c>
      <c r="Q15835" t="s">
        <v>10286</v>
      </c>
      <c r="R15835" t="s">
        <v>10287</v>
      </c>
      <c r="S15835" t="s">
        <v>10288</v>
      </c>
      <c r="T15835" t="s">
        <v>10289</v>
      </c>
      <c r="U15835" t="s">
        <v>10290</v>
      </c>
      <c r="V15835" t="s">
        <v>10291</v>
      </c>
      <c r="Y15835" t="s">
        <v>53448</v>
      </c>
    </row>
    <row r="15836" spans="1:25" x14ac:dyDescent="0.25">
      <c r="A15836" t="str">
        <f>"1148947268"</f>
        <v>1148947268</v>
      </c>
      <c r="B15836" t="s">
        <v>2178</v>
      </c>
      <c r="C15836" t="s">
        <v>2179</v>
      </c>
      <c r="D15836" t="s">
        <v>15628</v>
      </c>
      <c r="E15836">
        <v>425000</v>
      </c>
      <c r="F15836" t="s">
        <v>1</v>
      </c>
      <c r="G15836" t="s">
        <v>52955</v>
      </c>
      <c r="H15836" t="s">
        <v>53343</v>
      </c>
      <c r="I15836" t="s">
        <v>53449</v>
      </c>
      <c r="P15836" t="s">
        <v>280</v>
      </c>
      <c r="Y15836" t="s">
        <v>53450</v>
      </c>
    </row>
    <row r="15837" spans="1:25" x14ac:dyDescent="0.25">
      <c r="A15837" t="str">
        <f>"1149672643"</f>
        <v>1149672643</v>
      </c>
      <c r="B15837" t="s">
        <v>348</v>
      </c>
      <c r="C15837" t="s">
        <v>49939</v>
      </c>
      <c r="D15837" t="s">
        <v>53092</v>
      </c>
      <c r="E15837">
        <v>425000</v>
      </c>
      <c r="F15837" t="s">
        <v>1</v>
      </c>
      <c r="G15837" t="s">
        <v>52955</v>
      </c>
      <c r="H15837" t="s">
        <v>53451</v>
      </c>
      <c r="I15837" t="s">
        <v>53452</v>
      </c>
      <c r="J15837" t="s">
        <v>53453</v>
      </c>
      <c r="K15837" t="s">
        <v>53095</v>
      </c>
      <c r="L15837" t="s">
        <v>53096</v>
      </c>
      <c r="M15837" t="s">
        <v>53454</v>
      </c>
      <c r="P15837" t="s">
        <v>20</v>
      </c>
      <c r="Y15837" t="s">
        <v>53455</v>
      </c>
    </row>
    <row r="15838" spans="1:25" x14ac:dyDescent="0.25">
      <c r="A15838" t="str">
        <f>"1149824039"</f>
        <v>1149824039</v>
      </c>
      <c r="B15838" t="s">
        <v>469</v>
      </c>
      <c r="C15838" t="s">
        <v>28129</v>
      </c>
      <c r="D15838" t="s">
        <v>53456</v>
      </c>
      <c r="E15838">
        <v>425011</v>
      </c>
      <c r="F15838" t="s">
        <v>1</v>
      </c>
      <c r="G15838" t="s">
        <v>52955</v>
      </c>
      <c r="H15838" t="s">
        <v>53457</v>
      </c>
      <c r="J15838" t="s">
        <v>53458</v>
      </c>
      <c r="P15838" t="s">
        <v>1306</v>
      </c>
      <c r="Y15838" t="s">
        <v>53459</v>
      </c>
    </row>
    <row r="15839" spans="1:25" x14ac:dyDescent="0.25">
      <c r="A15839" t="str">
        <f>"1150069154"</f>
        <v>1150069154</v>
      </c>
      <c r="B15839" t="s">
        <v>151</v>
      </c>
      <c r="C15839" t="s">
        <v>37881</v>
      </c>
      <c r="D15839" t="s">
        <v>1378</v>
      </c>
      <c r="E15839">
        <v>425000</v>
      </c>
      <c r="F15839" t="s">
        <v>1</v>
      </c>
      <c r="G15839" t="s">
        <v>52955</v>
      </c>
      <c r="H15839" t="s">
        <v>53460</v>
      </c>
      <c r="I15839" t="s">
        <v>53461</v>
      </c>
      <c r="P15839" t="s">
        <v>53462</v>
      </c>
      <c r="Y15839" t="s">
        <v>53463</v>
      </c>
    </row>
    <row r="15840" spans="1:25" x14ac:dyDescent="0.25">
      <c r="A15840" t="str">
        <f>"1151857034"</f>
        <v>1151857034</v>
      </c>
      <c r="B15840" t="s">
        <v>978</v>
      </c>
      <c r="C15840" t="s">
        <v>1659</v>
      </c>
      <c r="D15840" t="s">
        <v>53464</v>
      </c>
      <c r="E15840">
        <v>425001</v>
      </c>
      <c r="F15840" t="s">
        <v>1</v>
      </c>
      <c r="G15840" t="s">
        <v>52955</v>
      </c>
      <c r="H15840" t="s">
        <v>53465</v>
      </c>
      <c r="I15840" t="s">
        <v>53466</v>
      </c>
      <c r="J15840" t="s">
        <v>53467</v>
      </c>
      <c r="L15840" t="s">
        <v>53468</v>
      </c>
      <c r="M15840" t="s">
        <v>53469</v>
      </c>
      <c r="P15840" t="s">
        <v>53470</v>
      </c>
      <c r="Q15840" t="s">
        <v>53471</v>
      </c>
      <c r="Y15840" t="s">
        <v>53472</v>
      </c>
    </row>
    <row r="15841" spans="1:25" x14ac:dyDescent="0.25">
      <c r="A15841" t="str">
        <f>"1152115622"</f>
        <v>1152115622</v>
      </c>
      <c r="B15841" t="s">
        <v>123</v>
      </c>
      <c r="C15841" t="s">
        <v>424</v>
      </c>
      <c r="D15841" t="s">
        <v>53473</v>
      </c>
      <c r="F15841" t="s">
        <v>1</v>
      </c>
      <c r="G15841" t="s">
        <v>52955</v>
      </c>
      <c r="H15841" t="s">
        <v>53474</v>
      </c>
      <c r="I15841" t="s">
        <v>53475</v>
      </c>
      <c r="L15841" t="s">
        <v>53476</v>
      </c>
      <c r="M15841" t="s">
        <v>53477</v>
      </c>
      <c r="P15841" t="s">
        <v>39889</v>
      </c>
      <c r="Y15841" t="s">
        <v>53478</v>
      </c>
    </row>
    <row r="15842" spans="1:25" x14ac:dyDescent="0.25">
      <c r="A15842" t="str">
        <f>"1152119354"</f>
        <v>1152119354</v>
      </c>
      <c r="B15842" t="s">
        <v>482</v>
      </c>
      <c r="C15842" t="s">
        <v>6009</v>
      </c>
      <c r="D15842" t="s">
        <v>53479</v>
      </c>
      <c r="E15842">
        <v>425000</v>
      </c>
      <c r="F15842" t="s">
        <v>1</v>
      </c>
      <c r="G15842" t="s">
        <v>52955</v>
      </c>
      <c r="H15842" t="s">
        <v>53093</v>
      </c>
      <c r="I15842" t="s">
        <v>53480</v>
      </c>
      <c r="P15842" t="s">
        <v>280</v>
      </c>
      <c r="Y15842" t="s">
        <v>53099</v>
      </c>
    </row>
    <row r="15843" spans="1:25" x14ac:dyDescent="0.25">
      <c r="A15843" t="str">
        <f>"1152782946"</f>
        <v>1152782946</v>
      </c>
      <c r="B15843" t="s">
        <v>352</v>
      </c>
      <c r="C15843" t="s">
        <v>53485</v>
      </c>
      <c r="D15843" t="s">
        <v>53481</v>
      </c>
      <c r="E15843">
        <v>425000</v>
      </c>
      <c r="F15843" t="s">
        <v>1</v>
      </c>
      <c r="G15843" t="s">
        <v>52955</v>
      </c>
      <c r="H15843" t="s">
        <v>53093</v>
      </c>
      <c r="I15843" t="s">
        <v>53482</v>
      </c>
      <c r="K15843" t="s">
        <v>53483</v>
      </c>
      <c r="L15843" t="s">
        <v>2127</v>
      </c>
      <c r="M15843" t="s">
        <v>53484</v>
      </c>
      <c r="P15843" t="s">
        <v>280</v>
      </c>
      <c r="Y15843" t="s">
        <v>53099</v>
      </c>
    </row>
    <row r="15844" spans="1:25" x14ac:dyDescent="0.25">
      <c r="A15844" t="str">
        <f>"1153744344"</f>
        <v>1153744344</v>
      </c>
      <c r="B15844" t="s">
        <v>1262</v>
      </c>
      <c r="C15844" t="s">
        <v>3214</v>
      </c>
      <c r="D15844" t="s">
        <v>53486</v>
      </c>
      <c r="E15844">
        <v>425005</v>
      </c>
      <c r="F15844" t="s">
        <v>1</v>
      </c>
      <c r="G15844" t="s">
        <v>52955</v>
      </c>
      <c r="H15844" t="s">
        <v>53487</v>
      </c>
      <c r="J15844" t="s">
        <v>53488</v>
      </c>
      <c r="P15844" t="s">
        <v>6315</v>
      </c>
      <c r="Y15844" t="s">
        <v>53489</v>
      </c>
    </row>
    <row r="15845" spans="1:25" x14ac:dyDescent="0.25">
      <c r="A15845" t="str">
        <f>"1154035690"</f>
        <v>1154035690</v>
      </c>
      <c r="B15845" t="s">
        <v>1053</v>
      </c>
      <c r="C15845" t="s">
        <v>53495</v>
      </c>
      <c r="D15845" t="s">
        <v>53490</v>
      </c>
      <c r="E15845">
        <v>425005</v>
      </c>
      <c r="F15845" t="s">
        <v>1</v>
      </c>
      <c r="G15845" t="s">
        <v>52955</v>
      </c>
      <c r="H15845" t="s">
        <v>52965</v>
      </c>
      <c r="I15845" t="s">
        <v>53491</v>
      </c>
      <c r="J15845" t="s">
        <v>53492</v>
      </c>
      <c r="L15845" t="s">
        <v>53493</v>
      </c>
      <c r="M15845" t="s">
        <v>53494</v>
      </c>
      <c r="P15845" t="s">
        <v>280</v>
      </c>
      <c r="Y15845" t="s">
        <v>52970</v>
      </c>
    </row>
    <row r="15846" spans="1:25" x14ac:dyDescent="0.25">
      <c r="A15846" t="str">
        <f>"1154215941"</f>
        <v>1154215941</v>
      </c>
      <c r="B15846" t="s">
        <v>1078</v>
      </c>
      <c r="C15846" t="s">
        <v>25481</v>
      </c>
      <c r="D15846" t="s">
        <v>53496</v>
      </c>
      <c r="E15846">
        <v>425001</v>
      </c>
      <c r="F15846" t="s">
        <v>1</v>
      </c>
      <c r="G15846" t="s">
        <v>52955</v>
      </c>
      <c r="H15846" t="s">
        <v>53497</v>
      </c>
      <c r="J15846" t="s">
        <v>53498</v>
      </c>
      <c r="P15846" t="s">
        <v>1433</v>
      </c>
      <c r="Y15846" t="s">
        <v>53499</v>
      </c>
    </row>
    <row r="15847" spans="1:25" x14ac:dyDescent="0.25">
      <c r="A15847" t="str">
        <f>"1154332301"</f>
        <v>1154332301</v>
      </c>
      <c r="B15847" t="s">
        <v>417</v>
      </c>
      <c r="C15847" t="s">
        <v>6532</v>
      </c>
      <c r="D15847" t="s">
        <v>53500</v>
      </c>
      <c r="E15847">
        <v>425001</v>
      </c>
      <c r="F15847" t="s">
        <v>1</v>
      </c>
      <c r="G15847" t="s">
        <v>52955</v>
      </c>
      <c r="H15847" t="s">
        <v>53501</v>
      </c>
      <c r="I15847" t="s">
        <v>53502</v>
      </c>
      <c r="L15847" t="s">
        <v>53503</v>
      </c>
      <c r="M15847" t="s">
        <v>53504</v>
      </c>
      <c r="P15847" t="s">
        <v>53505</v>
      </c>
      <c r="Y15847" t="s">
        <v>53506</v>
      </c>
    </row>
    <row r="15848" spans="1:25" x14ac:dyDescent="0.25">
      <c r="A15848" t="str">
        <f>"1154390248"</f>
        <v>1154390248</v>
      </c>
      <c r="B15848" t="s">
        <v>738</v>
      </c>
      <c r="C15848" t="s">
        <v>7441</v>
      </c>
      <c r="D15848" t="s">
        <v>32930</v>
      </c>
      <c r="E15848">
        <v>425011</v>
      </c>
      <c r="F15848" t="s">
        <v>1</v>
      </c>
      <c r="G15848" t="s">
        <v>52955</v>
      </c>
      <c r="H15848" t="s">
        <v>53507</v>
      </c>
      <c r="J15848" t="s">
        <v>53508</v>
      </c>
      <c r="P15848" t="s">
        <v>647</v>
      </c>
      <c r="Y15848" t="s">
        <v>53509</v>
      </c>
    </row>
    <row r="15849" spans="1:25" x14ac:dyDescent="0.25">
      <c r="A15849" t="str">
        <f>"1154418322"</f>
        <v>1154418322</v>
      </c>
      <c r="B15849" t="s">
        <v>716</v>
      </c>
      <c r="C15849" t="s">
        <v>20421</v>
      </c>
      <c r="D15849" t="s">
        <v>53510</v>
      </c>
      <c r="E15849">
        <v>425008</v>
      </c>
      <c r="F15849" t="s">
        <v>1</v>
      </c>
      <c r="G15849" t="s">
        <v>52955</v>
      </c>
      <c r="H15849" t="s">
        <v>53193</v>
      </c>
      <c r="J15849" t="s">
        <v>53511</v>
      </c>
      <c r="L15849" t="s">
        <v>53512</v>
      </c>
      <c r="M15849" t="s">
        <v>53513</v>
      </c>
      <c r="P15849" t="s">
        <v>330</v>
      </c>
      <c r="Y15849" t="s">
        <v>53514</v>
      </c>
    </row>
    <row r="15850" spans="1:25" x14ac:dyDescent="0.25">
      <c r="A15850" t="str">
        <f>"1155068341"</f>
        <v>1155068341</v>
      </c>
      <c r="B15850" t="s">
        <v>32</v>
      </c>
      <c r="C15850" t="s">
        <v>182</v>
      </c>
      <c r="D15850" t="s">
        <v>46757</v>
      </c>
      <c r="F15850" t="s">
        <v>1</v>
      </c>
      <c r="G15850" t="s">
        <v>52955</v>
      </c>
      <c r="H15850" t="s">
        <v>53404</v>
      </c>
      <c r="J15850" t="s">
        <v>53515</v>
      </c>
      <c r="P15850" t="s">
        <v>133</v>
      </c>
      <c r="Y15850" t="s">
        <v>53516</v>
      </c>
    </row>
    <row r="15851" spans="1:25" x14ac:dyDescent="0.25">
      <c r="A15851" t="str">
        <f>"1155353938"</f>
        <v>1155353938</v>
      </c>
      <c r="B15851" t="s">
        <v>1493</v>
      </c>
      <c r="C15851" t="s">
        <v>2355</v>
      </c>
      <c r="D15851" t="s">
        <v>37338</v>
      </c>
      <c r="E15851">
        <v>425005</v>
      </c>
      <c r="F15851" t="s">
        <v>1</v>
      </c>
      <c r="G15851" t="s">
        <v>52955</v>
      </c>
      <c r="H15851" t="s">
        <v>52965</v>
      </c>
      <c r="I15851" t="s">
        <v>52966</v>
      </c>
      <c r="L15851" t="s">
        <v>53517</v>
      </c>
      <c r="M15851" t="s">
        <v>53518</v>
      </c>
      <c r="P15851" t="s">
        <v>53519</v>
      </c>
      <c r="Y15851" t="s">
        <v>53520</v>
      </c>
    </row>
    <row r="15852" spans="1:25" x14ac:dyDescent="0.25">
      <c r="A15852" t="str">
        <f>"1155550589"</f>
        <v>1155550589</v>
      </c>
      <c r="B15852" t="s">
        <v>574</v>
      </c>
      <c r="C15852" t="s">
        <v>646</v>
      </c>
      <c r="D15852" t="s">
        <v>646</v>
      </c>
      <c r="E15852">
        <v>425009</v>
      </c>
      <c r="F15852" t="s">
        <v>1</v>
      </c>
      <c r="G15852" t="s">
        <v>52955</v>
      </c>
      <c r="H15852" t="s">
        <v>52993</v>
      </c>
      <c r="I15852" t="s">
        <v>53521</v>
      </c>
      <c r="P15852" t="s">
        <v>216</v>
      </c>
      <c r="Y15852" t="s">
        <v>53522</v>
      </c>
    </row>
    <row r="15853" spans="1:25" x14ac:dyDescent="0.25">
      <c r="A15853" t="str">
        <f>"1155557380"</f>
        <v>1155557380</v>
      </c>
      <c r="B15853" t="s">
        <v>32</v>
      </c>
      <c r="C15853" t="s">
        <v>182</v>
      </c>
      <c r="D15853" t="s">
        <v>13452</v>
      </c>
      <c r="E15853">
        <v>425011</v>
      </c>
      <c r="F15853" t="s">
        <v>1</v>
      </c>
      <c r="G15853" t="s">
        <v>52955</v>
      </c>
      <c r="H15853" t="s">
        <v>53523</v>
      </c>
      <c r="Y15853" t="s">
        <v>53524</v>
      </c>
    </row>
    <row r="15854" spans="1:25" x14ac:dyDescent="0.25">
      <c r="A15854" t="str">
        <f>"1156100337"</f>
        <v>1156100337</v>
      </c>
      <c r="B15854" t="s">
        <v>574</v>
      </c>
      <c r="C15854" t="s">
        <v>646</v>
      </c>
      <c r="D15854" t="s">
        <v>53525</v>
      </c>
      <c r="F15854" t="s">
        <v>1</v>
      </c>
      <c r="G15854" t="s">
        <v>52955</v>
      </c>
      <c r="H15854" t="s">
        <v>53275</v>
      </c>
      <c r="I15854" t="s">
        <v>53526</v>
      </c>
      <c r="P15854" t="s">
        <v>8133</v>
      </c>
      <c r="Y15854" t="s">
        <v>53527</v>
      </c>
    </row>
    <row r="15855" spans="1:25" x14ac:dyDescent="0.25">
      <c r="A15855" t="str">
        <f>"1157430854"</f>
        <v>1157430854</v>
      </c>
      <c r="B15855" t="s">
        <v>716</v>
      </c>
      <c r="C15855" t="s">
        <v>717</v>
      </c>
      <c r="D15855" t="s">
        <v>29327</v>
      </c>
      <c r="E15855">
        <v>425011</v>
      </c>
      <c r="F15855" t="s">
        <v>1</v>
      </c>
      <c r="G15855" t="s">
        <v>52955</v>
      </c>
      <c r="H15855" t="s">
        <v>53528</v>
      </c>
      <c r="I15855" t="s">
        <v>53529</v>
      </c>
      <c r="J15855" t="s">
        <v>53530</v>
      </c>
      <c r="P15855" t="s">
        <v>330</v>
      </c>
      <c r="Y15855" t="s">
        <v>53531</v>
      </c>
    </row>
    <row r="15856" spans="1:25" x14ac:dyDescent="0.25">
      <c r="A15856" t="str">
        <f>"1159443046"</f>
        <v>1159443046</v>
      </c>
      <c r="B15856" t="s">
        <v>18</v>
      </c>
      <c r="C15856" t="s">
        <v>15135</v>
      </c>
      <c r="D15856" t="s">
        <v>53532</v>
      </c>
      <c r="E15856">
        <v>425008</v>
      </c>
      <c r="F15856" t="s">
        <v>1</v>
      </c>
      <c r="G15856" t="s">
        <v>52955</v>
      </c>
      <c r="H15856" t="s">
        <v>53533</v>
      </c>
      <c r="J15856" t="s">
        <v>53534</v>
      </c>
      <c r="P15856" t="s">
        <v>12126</v>
      </c>
      <c r="Y15856" t="s">
        <v>53535</v>
      </c>
    </row>
    <row r="15857" spans="1:25" x14ac:dyDescent="0.25">
      <c r="A15857" t="str">
        <f>"1159553252"</f>
        <v>1159553252</v>
      </c>
      <c r="B15857" t="s">
        <v>151</v>
      </c>
      <c r="C15857" t="s">
        <v>1034</v>
      </c>
      <c r="D15857" t="s">
        <v>33202</v>
      </c>
      <c r="E15857">
        <v>425000</v>
      </c>
      <c r="F15857" t="s">
        <v>1</v>
      </c>
      <c r="G15857" t="s">
        <v>52955</v>
      </c>
      <c r="H15857" t="s">
        <v>53536</v>
      </c>
      <c r="I15857" t="s">
        <v>53537</v>
      </c>
      <c r="J15857" t="s">
        <v>53538</v>
      </c>
      <c r="L15857" t="s">
        <v>53539</v>
      </c>
      <c r="M15857" t="s">
        <v>53540</v>
      </c>
      <c r="P15857" t="s">
        <v>27</v>
      </c>
      <c r="Y15857" t="s">
        <v>53541</v>
      </c>
    </row>
    <row r="15858" spans="1:25" x14ac:dyDescent="0.25">
      <c r="A15858" t="str">
        <f>"1160347851"</f>
        <v>1160347851</v>
      </c>
      <c r="B15858" t="s">
        <v>624</v>
      </c>
      <c r="C15858" t="s">
        <v>16205</v>
      </c>
      <c r="D15858" t="s">
        <v>53542</v>
      </c>
      <c r="E15858">
        <v>425001</v>
      </c>
      <c r="F15858" t="s">
        <v>1</v>
      </c>
      <c r="G15858" t="s">
        <v>52955</v>
      </c>
      <c r="H15858" t="s">
        <v>53017</v>
      </c>
      <c r="J15858" t="s">
        <v>53543</v>
      </c>
      <c r="P15858" t="s">
        <v>280</v>
      </c>
      <c r="Y15858" t="s">
        <v>53544</v>
      </c>
    </row>
    <row r="15859" spans="1:25" x14ac:dyDescent="0.25">
      <c r="A15859" t="str">
        <f>"1162203254"</f>
        <v>1162203254</v>
      </c>
      <c r="B15859" t="s">
        <v>687</v>
      </c>
      <c r="C15859" t="s">
        <v>53546</v>
      </c>
      <c r="D15859" t="s">
        <v>17437</v>
      </c>
      <c r="F15859" t="s">
        <v>1</v>
      </c>
      <c r="G15859" t="s">
        <v>52955</v>
      </c>
      <c r="H15859" t="s">
        <v>53404</v>
      </c>
      <c r="J15859" t="s">
        <v>53545</v>
      </c>
      <c r="P15859" t="s">
        <v>27</v>
      </c>
      <c r="Y15859" t="s">
        <v>53547</v>
      </c>
    </row>
    <row r="15860" spans="1:25" x14ac:dyDescent="0.25">
      <c r="A15860" t="str">
        <f>"1163024821"</f>
        <v>1163024821</v>
      </c>
      <c r="B15860" t="s">
        <v>18</v>
      </c>
      <c r="C15860" t="s">
        <v>1419</v>
      </c>
      <c r="D15860" t="s">
        <v>53548</v>
      </c>
      <c r="E15860">
        <v>425000</v>
      </c>
      <c r="F15860" t="s">
        <v>1</v>
      </c>
      <c r="G15860" t="s">
        <v>52955</v>
      </c>
      <c r="H15860" t="s">
        <v>53549</v>
      </c>
      <c r="J15860" t="s">
        <v>53550</v>
      </c>
      <c r="P15860" t="s">
        <v>53551</v>
      </c>
      <c r="Y15860" t="s">
        <v>53552</v>
      </c>
    </row>
    <row r="15861" spans="1:25" x14ac:dyDescent="0.25">
      <c r="A15861" t="str">
        <f>"1163370064"</f>
        <v>1163370064</v>
      </c>
      <c r="B15861" t="s">
        <v>160</v>
      </c>
      <c r="C15861" t="s">
        <v>1666</v>
      </c>
      <c r="D15861" t="s">
        <v>53553</v>
      </c>
      <c r="E15861">
        <v>425008</v>
      </c>
      <c r="F15861" t="s">
        <v>1</v>
      </c>
      <c r="G15861" t="s">
        <v>52955</v>
      </c>
      <c r="H15861" t="s">
        <v>53554</v>
      </c>
      <c r="I15861" t="s">
        <v>53555</v>
      </c>
      <c r="J15861" t="s">
        <v>53556</v>
      </c>
      <c r="P15861" t="s">
        <v>20</v>
      </c>
      <c r="Y15861" t="s">
        <v>53557</v>
      </c>
    </row>
    <row r="15862" spans="1:25" x14ac:dyDescent="0.25">
      <c r="A15862" t="str">
        <f>"1163910601"</f>
        <v>1163910601</v>
      </c>
      <c r="B15862" t="s">
        <v>3573</v>
      </c>
      <c r="C15862" t="s">
        <v>5251</v>
      </c>
      <c r="D15862" t="s">
        <v>53558</v>
      </c>
      <c r="E15862">
        <v>425003</v>
      </c>
      <c r="F15862" t="s">
        <v>1</v>
      </c>
      <c r="G15862" t="s">
        <v>52955</v>
      </c>
      <c r="H15862" t="s">
        <v>53559</v>
      </c>
      <c r="I15862" t="s">
        <v>53560</v>
      </c>
      <c r="P15862" t="s">
        <v>27</v>
      </c>
      <c r="Y15862" t="s">
        <v>53561</v>
      </c>
    </row>
    <row r="15863" spans="1:25" x14ac:dyDescent="0.25">
      <c r="A15863" t="str">
        <f>"1164411205"</f>
        <v>1164411205</v>
      </c>
      <c r="B15863" t="s">
        <v>1611</v>
      </c>
      <c r="C15863" t="s">
        <v>2214</v>
      </c>
      <c r="D15863" t="s">
        <v>53562</v>
      </c>
      <c r="E15863">
        <v>425000</v>
      </c>
      <c r="F15863" t="s">
        <v>1</v>
      </c>
      <c r="G15863" t="s">
        <v>52955</v>
      </c>
      <c r="H15863" t="s">
        <v>53563</v>
      </c>
      <c r="I15863" t="s">
        <v>53564</v>
      </c>
      <c r="L15863" t="s">
        <v>53503</v>
      </c>
      <c r="M15863" t="s">
        <v>53504</v>
      </c>
      <c r="P15863" t="s">
        <v>8338</v>
      </c>
      <c r="Y15863" t="s">
        <v>53565</v>
      </c>
    </row>
    <row r="15864" spans="1:25" x14ac:dyDescent="0.25">
      <c r="A15864" t="str">
        <f>"1165253677"</f>
        <v>1165253677</v>
      </c>
      <c r="B15864" t="s">
        <v>1152</v>
      </c>
      <c r="C15864" t="s">
        <v>18252</v>
      </c>
      <c r="D15864" t="s">
        <v>53566</v>
      </c>
      <c r="E15864">
        <v>425008</v>
      </c>
      <c r="F15864" t="s">
        <v>1</v>
      </c>
      <c r="G15864" t="s">
        <v>52955</v>
      </c>
      <c r="H15864" t="s">
        <v>53567</v>
      </c>
      <c r="I15864" t="s">
        <v>53568</v>
      </c>
      <c r="L15864" t="s">
        <v>53569</v>
      </c>
      <c r="M15864" t="s">
        <v>53570</v>
      </c>
      <c r="P15864" t="s">
        <v>20</v>
      </c>
      <c r="Y15864" t="s">
        <v>53571</v>
      </c>
    </row>
    <row r="15865" spans="1:25" x14ac:dyDescent="0.25">
      <c r="A15865" t="str">
        <f>"1165963756"</f>
        <v>1165963756</v>
      </c>
      <c r="B15865" t="s">
        <v>18</v>
      </c>
      <c r="C15865" t="s">
        <v>53576</v>
      </c>
      <c r="D15865" t="s">
        <v>53572</v>
      </c>
      <c r="E15865">
        <v>425000</v>
      </c>
      <c r="F15865" t="s">
        <v>1</v>
      </c>
      <c r="G15865" t="s">
        <v>52955</v>
      </c>
      <c r="H15865" t="s">
        <v>53573</v>
      </c>
      <c r="I15865" t="s">
        <v>53574</v>
      </c>
      <c r="J15865" t="s">
        <v>53575</v>
      </c>
      <c r="P15865" t="s">
        <v>29755</v>
      </c>
      <c r="Y15865" t="s">
        <v>53577</v>
      </c>
    </row>
    <row r="15866" spans="1:25" x14ac:dyDescent="0.25">
      <c r="A15866" t="str">
        <f>"1166271108"</f>
        <v>1166271108</v>
      </c>
      <c r="B15866" t="s">
        <v>930</v>
      </c>
      <c r="C15866" t="s">
        <v>53580</v>
      </c>
      <c r="D15866" t="s">
        <v>1094</v>
      </c>
      <c r="E15866">
        <v>425000</v>
      </c>
      <c r="F15866" t="s">
        <v>1</v>
      </c>
      <c r="G15866" t="s">
        <v>52955</v>
      </c>
      <c r="H15866" t="s">
        <v>53578</v>
      </c>
      <c r="J15866" t="s">
        <v>53579</v>
      </c>
      <c r="P15866" t="s">
        <v>3938</v>
      </c>
      <c r="Q15866" t="s">
        <v>53581</v>
      </c>
      <c r="Y15866" t="s">
        <v>53582</v>
      </c>
    </row>
    <row r="15867" spans="1:25" x14ac:dyDescent="0.25">
      <c r="A15867" t="str">
        <f>"1166336648"</f>
        <v>1166336648</v>
      </c>
      <c r="B15867" t="s">
        <v>160</v>
      </c>
      <c r="C15867" t="s">
        <v>1666</v>
      </c>
      <c r="D15867" t="s">
        <v>22</v>
      </c>
      <c r="E15867">
        <v>425008</v>
      </c>
      <c r="F15867" t="s">
        <v>1</v>
      </c>
      <c r="G15867" t="s">
        <v>52955</v>
      </c>
      <c r="H15867" t="s">
        <v>53567</v>
      </c>
      <c r="I15867" t="s">
        <v>53583</v>
      </c>
      <c r="P15867" t="s">
        <v>20</v>
      </c>
      <c r="Y15867" t="s">
        <v>53584</v>
      </c>
    </row>
    <row r="15868" spans="1:25" x14ac:dyDescent="0.25">
      <c r="A15868" t="str">
        <f>"1166631066"</f>
        <v>1166631066</v>
      </c>
      <c r="B15868" t="s">
        <v>3908</v>
      </c>
      <c r="C15868" t="s">
        <v>3909</v>
      </c>
      <c r="D15868" t="s">
        <v>53585</v>
      </c>
      <c r="E15868">
        <v>425009</v>
      </c>
      <c r="F15868" t="s">
        <v>1</v>
      </c>
      <c r="G15868" t="s">
        <v>52955</v>
      </c>
      <c r="H15868" t="s">
        <v>53586</v>
      </c>
      <c r="I15868" t="s">
        <v>53587</v>
      </c>
      <c r="L15868" t="s">
        <v>53588</v>
      </c>
      <c r="M15868" t="s">
        <v>53589</v>
      </c>
      <c r="P15868" t="s">
        <v>53590</v>
      </c>
      <c r="Y15868" t="s">
        <v>53591</v>
      </c>
    </row>
    <row r="15869" spans="1:25" x14ac:dyDescent="0.25">
      <c r="A15869" t="str">
        <f>"1167061923"</f>
        <v>1167061923</v>
      </c>
      <c r="B15869" t="s">
        <v>25</v>
      </c>
      <c r="C15869" t="s">
        <v>53594</v>
      </c>
      <c r="D15869" t="s">
        <v>15332</v>
      </c>
      <c r="F15869" t="s">
        <v>1</v>
      </c>
      <c r="G15869" t="s">
        <v>52955</v>
      </c>
      <c r="H15869" t="s">
        <v>53592</v>
      </c>
      <c r="J15869" t="s">
        <v>53593</v>
      </c>
      <c r="P15869" t="s">
        <v>4459</v>
      </c>
      <c r="Y15869" t="s">
        <v>53595</v>
      </c>
    </row>
    <row r="15870" spans="1:25" x14ac:dyDescent="0.25">
      <c r="A15870" t="str">
        <f>"1168003828"</f>
        <v>1168003828</v>
      </c>
      <c r="B15870" t="s">
        <v>348</v>
      </c>
      <c r="C15870" t="s">
        <v>53599</v>
      </c>
      <c r="D15870" t="s">
        <v>2259</v>
      </c>
      <c r="E15870">
        <v>425000</v>
      </c>
      <c r="F15870" t="s">
        <v>1</v>
      </c>
      <c r="G15870" t="s">
        <v>52955</v>
      </c>
      <c r="H15870" t="s">
        <v>53093</v>
      </c>
      <c r="I15870" t="s">
        <v>53596</v>
      </c>
      <c r="L15870" t="s">
        <v>53597</v>
      </c>
      <c r="M15870" t="s">
        <v>53598</v>
      </c>
      <c r="P15870" t="s">
        <v>280</v>
      </c>
      <c r="Y15870" t="s">
        <v>53099</v>
      </c>
    </row>
    <row r="15871" spans="1:25" x14ac:dyDescent="0.25">
      <c r="A15871" t="str">
        <f>"1168600789"</f>
        <v>1168600789</v>
      </c>
      <c r="B15871" t="s">
        <v>687</v>
      </c>
      <c r="C15871" t="s">
        <v>53603</v>
      </c>
      <c r="D15871" t="s">
        <v>53600</v>
      </c>
      <c r="F15871" t="s">
        <v>1</v>
      </c>
      <c r="G15871" t="s">
        <v>52955</v>
      </c>
      <c r="H15871" t="s">
        <v>53601</v>
      </c>
      <c r="I15871" t="s">
        <v>53602</v>
      </c>
      <c r="P15871" t="s">
        <v>20</v>
      </c>
      <c r="Y15871" t="s">
        <v>53604</v>
      </c>
    </row>
    <row r="15872" spans="1:25" x14ac:dyDescent="0.25">
      <c r="A15872" t="str">
        <f>"1168647570"</f>
        <v>1168647570</v>
      </c>
      <c r="B15872" t="s">
        <v>379</v>
      </c>
      <c r="C15872" t="s">
        <v>53607</v>
      </c>
      <c r="D15872" t="s">
        <v>53605</v>
      </c>
      <c r="F15872" t="s">
        <v>1</v>
      </c>
      <c r="G15872" t="s">
        <v>52955</v>
      </c>
      <c r="H15872" t="s">
        <v>53211</v>
      </c>
      <c r="J15872" t="s">
        <v>53606</v>
      </c>
      <c r="P15872" t="s">
        <v>330</v>
      </c>
      <c r="Y15872" t="s">
        <v>53608</v>
      </c>
    </row>
    <row r="15873" spans="1:25" x14ac:dyDescent="0.25">
      <c r="A15873" t="str">
        <f>"1168657541"</f>
        <v>1168657541</v>
      </c>
      <c r="B15873" t="s">
        <v>430</v>
      </c>
      <c r="C15873" t="s">
        <v>16178</v>
      </c>
      <c r="D15873" t="s">
        <v>53609</v>
      </c>
      <c r="E15873">
        <v>425003</v>
      </c>
      <c r="F15873" t="s">
        <v>1</v>
      </c>
      <c r="G15873" t="s">
        <v>52955</v>
      </c>
      <c r="H15873" t="s">
        <v>53610</v>
      </c>
      <c r="J15873" t="s">
        <v>53611</v>
      </c>
      <c r="P15873" t="s">
        <v>330</v>
      </c>
      <c r="Y15873" t="s">
        <v>53612</v>
      </c>
    </row>
    <row r="15874" spans="1:25" x14ac:dyDescent="0.25">
      <c r="A15874" t="str">
        <f>"1170178506"</f>
        <v>1170178506</v>
      </c>
      <c r="B15874" t="s">
        <v>319</v>
      </c>
      <c r="C15874" t="s">
        <v>30712</v>
      </c>
      <c r="D15874" t="s">
        <v>53613</v>
      </c>
      <c r="E15874">
        <v>425008</v>
      </c>
      <c r="F15874" t="s">
        <v>1</v>
      </c>
      <c r="G15874" t="s">
        <v>52955</v>
      </c>
      <c r="H15874" t="s">
        <v>53614</v>
      </c>
      <c r="J15874" t="s">
        <v>53615</v>
      </c>
      <c r="P15874" t="s">
        <v>340</v>
      </c>
      <c r="Y15874" t="s">
        <v>53616</v>
      </c>
    </row>
    <row r="15875" spans="1:25" x14ac:dyDescent="0.25">
      <c r="A15875" t="str">
        <f>"1170496309"</f>
        <v>1170496309</v>
      </c>
      <c r="B15875" t="s">
        <v>319</v>
      </c>
      <c r="C15875" t="s">
        <v>320</v>
      </c>
      <c r="D15875" t="s">
        <v>2733</v>
      </c>
      <c r="E15875">
        <v>425008</v>
      </c>
      <c r="F15875" t="s">
        <v>1</v>
      </c>
      <c r="G15875" t="s">
        <v>52955</v>
      </c>
      <c r="H15875" t="s">
        <v>53617</v>
      </c>
      <c r="J15875" t="s">
        <v>53618</v>
      </c>
      <c r="P15875" t="s">
        <v>799</v>
      </c>
      <c r="Y15875" t="s">
        <v>53619</v>
      </c>
    </row>
    <row r="15876" spans="1:25" x14ac:dyDescent="0.25">
      <c r="A15876" t="str">
        <f>"1170934251"</f>
        <v>1170934251</v>
      </c>
      <c r="B15876" t="s">
        <v>790</v>
      </c>
      <c r="C15876" t="s">
        <v>2049</v>
      </c>
      <c r="D15876" t="s">
        <v>53620</v>
      </c>
      <c r="E15876">
        <v>425000</v>
      </c>
      <c r="F15876" t="s">
        <v>1</v>
      </c>
      <c r="G15876" t="s">
        <v>52955</v>
      </c>
      <c r="H15876" t="s">
        <v>53093</v>
      </c>
      <c r="J15876" t="s">
        <v>53621</v>
      </c>
      <c r="L15876" t="s">
        <v>53622</v>
      </c>
      <c r="M15876" t="s">
        <v>53623</v>
      </c>
      <c r="P15876" t="s">
        <v>1160</v>
      </c>
      <c r="Y15876" t="s">
        <v>53099</v>
      </c>
    </row>
    <row r="15877" spans="1:25" x14ac:dyDescent="0.25">
      <c r="A15877" t="str">
        <f>"1171236135"</f>
        <v>1171236135</v>
      </c>
      <c r="B15877" t="s">
        <v>2104</v>
      </c>
      <c r="C15877" t="s">
        <v>2105</v>
      </c>
      <c r="D15877" t="s">
        <v>47193</v>
      </c>
      <c r="F15877" t="s">
        <v>1</v>
      </c>
      <c r="G15877" t="s">
        <v>52955</v>
      </c>
      <c r="H15877" t="s">
        <v>53211</v>
      </c>
      <c r="P15877" t="s">
        <v>53624</v>
      </c>
      <c r="Y15877" t="s">
        <v>53625</v>
      </c>
    </row>
    <row r="15878" spans="1:25" x14ac:dyDescent="0.25">
      <c r="A15878" t="str">
        <f>"1172248388"</f>
        <v>1172248388</v>
      </c>
      <c r="B15878" t="s">
        <v>738</v>
      </c>
      <c r="C15878" t="s">
        <v>53629</v>
      </c>
      <c r="D15878" t="s">
        <v>53626</v>
      </c>
      <c r="F15878" t="s">
        <v>1</v>
      </c>
      <c r="G15878" t="s">
        <v>52955</v>
      </c>
      <c r="H15878" t="s">
        <v>53627</v>
      </c>
      <c r="J15878" t="s">
        <v>53628</v>
      </c>
      <c r="P15878" t="s">
        <v>799</v>
      </c>
      <c r="V15878" t="s">
        <v>53630</v>
      </c>
      <c r="Y15878" t="s">
        <v>53631</v>
      </c>
    </row>
    <row r="15879" spans="1:25" x14ac:dyDescent="0.25">
      <c r="A15879" t="str">
        <f>"1172617678"</f>
        <v>1172617678</v>
      </c>
      <c r="B15879" t="s">
        <v>519</v>
      </c>
      <c r="C15879" t="s">
        <v>44737</v>
      </c>
      <c r="D15879" t="s">
        <v>53632</v>
      </c>
      <c r="E15879">
        <v>425000</v>
      </c>
      <c r="F15879" t="s">
        <v>1</v>
      </c>
      <c r="G15879" t="s">
        <v>52955</v>
      </c>
      <c r="H15879" t="s">
        <v>52998</v>
      </c>
      <c r="J15879" t="s">
        <v>53633</v>
      </c>
      <c r="P15879" t="s">
        <v>1027</v>
      </c>
      <c r="Q15879" t="s">
        <v>53634</v>
      </c>
      <c r="Y15879" t="s">
        <v>53635</v>
      </c>
    </row>
    <row r="15880" spans="1:25" x14ac:dyDescent="0.25">
      <c r="A15880" t="str">
        <f>"1173177982"</f>
        <v>1173177982</v>
      </c>
      <c r="B15880" t="s">
        <v>96</v>
      </c>
      <c r="C15880" t="s">
        <v>893</v>
      </c>
      <c r="D15880" t="s">
        <v>53636</v>
      </c>
      <c r="F15880" t="s">
        <v>1</v>
      </c>
      <c r="G15880" t="s">
        <v>52955</v>
      </c>
      <c r="H15880" t="s">
        <v>53072</v>
      </c>
      <c r="P15880" t="s">
        <v>133</v>
      </c>
      <c r="Y15880" t="s">
        <v>53637</v>
      </c>
    </row>
    <row r="15881" spans="1:25" x14ac:dyDescent="0.25">
      <c r="A15881" t="str">
        <f>"1173295955"</f>
        <v>1173295955</v>
      </c>
      <c r="B15881" t="s">
        <v>1493</v>
      </c>
      <c r="C15881" t="s">
        <v>2355</v>
      </c>
      <c r="D15881" t="s">
        <v>53638</v>
      </c>
      <c r="E15881">
        <v>425000</v>
      </c>
      <c r="F15881" t="s">
        <v>1</v>
      </c>
      <c r="G15881" t="s">
        <v>52955</v>
      </c>
      <c r="H15881" t="s">
        <v>53639</v>
      </c>
      <c r="I15881" t="s">
        <v>53640</v>
      </c>
      <c r="J15881" t="s">
        <v>53641</v>
      </c>
      <c r="P15881" t="s">
        <v>280</v>
      </c>
      <c r="Y15881" t="s">
        <v>53642</v>
      </c>
    </row>
    <row r="15882" spans="1:25" x14ac:dyDescent="0.25">
      <c r="A15882" t="str">
        <f>"1173339877"</f>
        <v>1173339877</v>
      </c>
      <c r="B15882" t="s">
        <v>18</v>
      </c>
      <c r="C15882" t="s">
        <v>53648</v>
      </c>
      <c r="D15882" t="s">
        <v>53643</v>
      </c>
      <c r="F15882" t="s">
        <v>1</v>
      </c>
      <c r="G15882" t="s">
        <v>52955</v>
      </c>
      <c r="H15882" t="s">
        <v>53644</v>
      </c>
      <c r="J15882" t="s">
        <v>53645</v>
      </c>
      <c r="L15882" t="s">
        <v>53646</v>
      </c>
      <c r="M15882" t="s">
        <v>53647</v>
      </c>
      <c r="P15882" t="s">
        <v>2457</v>
      </c>
      <c r="Y15882" t="s">
        <v>53649</v>
      </c>
    </row>
    <row r="15883" spans="1:25" x14ac:dyDescent="0.25">
      <c r="A15883" t="str">
        <f>"1173644481"</f>
        <v>1173644481</v>
      </c>
      <c r="B15883" t="s">
        <v>123</v>
      </c>
      <c r="C15883" t="s">
        <v>424</v>
      </c>
      <c r="D15883" t="s">
        <v>53650</v>
      </c>
      <c r="E15883">
        <v>425000</v>
      </c>
      <c r="F15883" t="s">
        <v>1</v>
      </c>
      <c r="G15883" t="s">
        <v>52955</v>
      </c>
      <c r="H15883" t="s">
        <v>53651</v>
      </c>
      <c r="I15883" t="s">
        <v>53652</v>
      </c>
      <c r="L15883" t="s">
        <v>53653</v>
      </c>
      <c r="M15883" t="s">
        <v>53654</v>
      </c>
      <c r="P15883" t="s">
        <v>39889</v>
      </c>
      <c r="Y15883" t="s">
        <v>53655</v>
      </c>
    </row>
    <row r="15884" spans="1:25" x14ac:dyDescent="0.25">
      <c r="A15884" t="str">
        <f>"1173772757"</f>
        <v>1173772757</v>
      </c>
      <c r="B15884" t="s">
        <v>1230</v>
      </c>
      <c r="C15884" t="s">
        <v>2526</v>
      </c>
      <c r="D15884" t="s">
        <v>53656</v>
      </c>
      <c r="F15884" t="s">
        <v>1</v>
      </c>
      <c r="G15884" t="s">
        <v>52955</v>
      </c>
      <c r="H15884" t="s">
        <v>53657</v>
      </c>
      <c r="I15884" t="s">
        <v>53658</v>
      </c>
      <c r="L15884" t="s">
        <v>53659</v>
      </c>
      <c r="M15884" t="s">
        <v>53660</v>
      </c>
      <c r="P15884" t="s">
        <v>20</v>
      </c>
      <c r="Y15884" t="s">
        <v>53661</v>
      </c>
    </row>
    <row r="15885" spans="1:25" x14ac:dyDescent="0.25">
      <c r="A15885" t="str">
        <f>"1174633690"</f>
        <v>1174633690</v>
      </c>
      <c r="B15885" t="s">
        <v>348</v>
      </c>
      <c r="C15885" t="s">
        <v>53054</v>
      </c>
      <c r="D15885" t="s">
        <v>53662</v>
      </c>
      <c r="E15885">
        <v>425000</v>
      </c>
      <c r="F15885" t="s">
        <v>1</v>
      </c>
      <c r="G15885" t="s">
        <v>52955</v>
      </c>
      <c r="H15885" t="s">
        <v>53093</v>
      </c>
      <c r="I15885" t="s">
        <v>53663</v>
      </c>
      <c r="L15885" t="s">
        <v>53664</v>
      </c>
      <c r="M15885" t="s">
        <v>53665</v>
      </c>
      <c r="P15885" t="s">
        <v>280</v>
      </c>
      <c r="Y15885" t="s">
        <v>53099</v>
      </c>
    </row>
    <row r="15886" spans="1:25" x14ac:dyDescent="0.25">
      <c r="A15886" t="str">
        <f>"1175868162"</f>
        <v>1175868162</v>
      </c>
      <c r="B15886" t="s">
        <v>352</v>
      </c>
      <c r="C15886" t="s">
        <v>53669</v>
      </c>
      <c r="D15886" t="s">
        <v>3831</v>
      </c>
      <c r="E15886">
        <v>425000</v>
      </c>
      <c r="F15886" t="s">
        <v>1</v>
      </c>
      <c r="G15886" t="s">
        <v>52955</v>
      </c>
      <c r="H15886" t="s">
        <v>53666</v>
      </c>
      <c r="J15886" t="s">
        <v>53667</v>
      </c>
      <c r="L15886" t="s">
        <v>53668</v>
      </c>
      <c r="P15886" t="s">
        <v>152</v>
      </c>
      <c r="Q15886" t="s">
        <v>53670</v>
      </c>
      <c r="Y15886" t="s">
        <v>53671</v>
      </c>
    </row>
    <row r="15887" spans="1:25" x14ac:dyDescent="0.25">
      <c r="A15887" t="str">
        <f>"1176818983"</f>
        <v>1176818983</v>
      </c>
      <c r="B15887" t="s">
        <v>790</v>
      </c>
      <c r="C15887" t="s">
        <v>53674</v>
      </c>
      <c r="D15887" t="s">
        <v>53672</v>
      </c>
      <c r="F15887" t="s">
        <v>1</v>
      </c>
      <c r="G15887" t="s">
        <v>52955</v>
      </c>
      <c r="H15887" t="s">
        <v>53215</v>
      </c>
      <c r="J15887" t="s">
        <v>53673</v>
      </c>
      <c r="P15887" t="s">
        <v>362</v>
      </c>
      <c r="Y15887" t="s">
        <v>53675</v>
      </c>
    </row>
    <row r="15888" spans="1:25" x14ac:dyDescent="0.25">
      <c r="A15888" t="str">
        <f>"1177059744"</f>
        <v>1177059744</v>
      </c>
      <c r="B15888" t="s">
        <v>2178</v>
      </c>
      <c r="C15888" t="s">
        <v>2179</v>
      </c>
      <c r="D15888" t="s">
        <v>53676</v>
      </c>
      <c r="E15888">
        <v>425008</v>
      </c>
      <c r="F15888" t="s">
        <v>1</v>
      </c>
      <c r="G15888" t="s">
        <v>52955</v>
      </c>
      <c r="H15888" t="s">
        <v>53677</v>
      </c>
      <c r="I15888" t="s">
        <v>53678</v>
      </c>
      <c r="L15888" t="s">
        <v>581</v>
      </c>
      <c r="M15888" t="s">
        <v>53679</v>
      </c>
      <c r="P15888" t="s">
        <v>53680</v>
      </c>
      <c r="Y15888" t="s">
        <v>53681</v>
      </c>
    </row>
    <row r="15889" spans="1:25" x14ac:dyDescent="0.25">
      <c r="A15889" t="str">
        <f>"1177096962"</f>
        <v>1177096962</v>
      </c>
      <c r="B15889" t="s">
        <v>417</v>
      </c>
      <c r="C15889" t="s">
        <v>418</v>
      </c>
      <c r="D15889" t="s">
        <v>53682</v>
      </c>
      <c r="E15889">
        <v>425008</v>
      </c>
      <c r="F15889" t="s">
        <v>1</v>
      </c>
      <c r="G15889" t="s">
        <v>52955</v>
      </c>
      <c r="H15889" t="s">
        <v>53683</v>
      </c>
      <c r="I15889" t="s">
        <v>53684</v>
      </c>
      <c r="J15889" t="s">
        <v>53685</v>
      </c>
      <c r="L15889" t="s">
        <v>53686</v>
      </c>
      <c r="P15889" t="s">
        <v>216</v>
      </c>
      <c r="Y15889" t="s">
        <v>53687</v>
      </c>
    </row>
    <row r="15890" spans="1:25" x14ac:dyDescent="0.25">
      <c r="A15890" t="str">
        <f>"1177819863"</f>
        <v>1177819863</v>
      </c>
      <c r="B15890" t="s">
        <v>3652</v>
      </c>
      <c r="C15890" t="s">
        <v>3685</v>
      </c>
      <c r="D15890" t="s">
        <v>53688</v>
      </c>
      <c r="E15890">
        <v>425000</v>
      </c>
      <c r="F15890" t="s">
        <v>1</v>
      </c>
      <c r="G15890" t="s">
        <v>52955</v>
      </c>
      <c r="H15890" t="s">
        <v>53689</v>
      </c>
      <c r="I15890" t="s">
        <v>53690</v>
      </c>
      <c r="P15890" t="s">
        <v>280</v>
      </c>
      <c r="Y15890" t="s">
        <v>53691</v>
      </c>
    </row>
    <row r="15891" spans="1:25" x14ac:dyDescent="0.25">
      <c r="A15891" t="str">
        <f>"1177876043"</f>
        <v>1177876043</v>
      </c>
      <c r="B15891" t="s">
        <v>430</v>
      </c>
      <c r="C15891" t="s">
        <v>16178</v>
      </c>
      <c r="D15891" t="s">
        <v>53692</v>
      </c>
      <c r="F15891" t="s">
        <v>1</v>
      </c>
      <c r="G15891" t="s">
        <v>52955</v>
      </c>
      <c r="H15891" t="s">
        <v>53334</v>
      </c>
      <c r="L15891" t="s">
        <v>53693</v>
      </c>
      <c r="P15891" t="s">
        <v>216</v>
      </c>
      <c r="Y15891" t="s">
        <v>53694</v>
      </c>
    </row>
    <row r="15892" spans="1:25" x14ac:dyDescent="0.25">
      <c r="A15892" t="str">
        <f>"1178255528"</f>
        <v>1178255528</v>
      </c>
      <c r="B15892" t="s">
        <v>930</v>
      </c>
      <c r="C15892" t="s">
        <v>53700</v>
      </c>
      <c r="D15892" t="s">
        <v>53695</v>
      </c>
      <c r="E15892">
        <v>425009</v>
      </c>
      <c r="F15892" t="s">
        <v>1</v>
      </c>
      <c r="G15892" t="s">
        <v>52955</v>
      </c>
      <c r="H15892" t="s">
        <v>53696</v>
      </c>
      <c r="I15892" t="s">
        <v>53697</v>
      </c>
      <c r="L15892" t="s">
        <v>53698</v>
      </c>
      <c r="M15892" t="s">
        <v>53699</v>
      </c>
      <c r="P15892" t="s">
        <v>23588</v>
      </c>
      <c r="Q15892" t="s">
        <v>53701</v>
      </c>
      <c r="Y15892" t="s">
        <v>53702</v>
      </c>
    </row>
    <row r="15893" spans="1:25" x14ac:dyDescent="0.25">
      <c r="A15893" t="str">
        <f>"1178817563"</f>
        <v>1178817563</v>
      </c>
      <c r="B15893" t="s">
        <v>18</v>
      </c>
      <c r="C15893" t="s">
        <v>1419</v>
      </c>
      <c r="D15893" t="s">
        <v>53703</v>
      </c>
      <c r="E15893">
        <v>425000</v>
      </c>
      <c r="F15893" t="s">
        <v>1</v>
      </c>
      <c r="G15893" t="s">
        <v>52955</v>
      </c>
      <c r="H15893" t="s">
        <v>53704</v>
      </c>
      <c r="I15893" t="s">
        <v>53705</v>
      </c>
      <c r="J15893" t="s">
        <v>53706</v>
      </c>
      <c r="P15893" t="s">
        <v>2580</v>
      </c>
      <c r="Y15893" t="s">
        <v>53707</v>
      </c>
    </row>
    <row r="15894" spans="1:25" x14ac:dyDescent="0.25">
      <c r="A15894" t="str">
        <f>"1178841333"</f>
        <v>1178841333</v>
      </c>
      <c r="B15894" t="s">
        <v>18</v>
      </c>
      <c r="C15894" t="s">
        <v>15135</v>
      </c>
      <c r="D15894" t="s">
        <v>53708</v>
      </c>
      <c r="E15894">
        <v>425000</v>
      </c>
      <c r="F15894" t="s">
        <v>1</v>
      </c>
      <c r="G15894" t="s">
        <v>52955</v>
      </c>
      <c r="H15894" t="s">
        <v>53181</v>
      </c>
      <c r="J15894" t="s">
        <v>53709</v>
      </c>
      <c r="L15894" t="s">
        <v>53710</v>
      </c>
      <c r="M15894" t="s">
        <v>53711</v>
      </c>
      <c r="P15894" t="s">
        <v>280</v>
      </c>
      <c r="Y15894" t="s">
        <v>53712</v>
      </c>
    </row>
    <row r="15895" spans="1:25" x14ac:dyDescent="0.25">
      <c r="A15895" t="str">
        <f>"1179438464"</f>
        <v>1179438464</v>
      </c>
      <c r="B15895" t="s">
        <v>328</v>
      </c>
      <c r="C15895" t="s">
        <v>53717</v>
      </c>
      <c r="D15895" t="s">
        <v>53713</v>
      </c>
      <c r="E15895">
        <v>425001</v>
      </c>
      <c r="F15895" t="s">
        <v>1</v>
      </c>
      <c r="G15895" t="s">
        <v>52955</v>
      </c>
      <c r="H15895" t="s">
        <v>53185</v>
      </c>
      <c r="I15895" t="s">
        <v>53714</v>
      </c>
      <c r="L15895" t="s">
        <v>53715</v>
      </c>
      <c r="M15895" t="s">
        <v>53716</v>
      </c>
      <c r="P15895" t="s">
        <v>280</v>
      </c>
      <c r="Y15895" t="s">
        <v>53189</v>
      </c>
    </row>
    <row r="15896" spans="1:25" x14ac:dyDescent="0.25">
      <c r="A15896" t="str">
        <f>"1179558282"</f>
        <v>1179558282</v>
      </c>
      <c r="B15896" t="s">
        <v>18</v>
      </c>
      <c r="C15896" t="s">
        <v>143</v>
      </c>
      <c r="D15896" t="s">
        <v>53718</v>
      </c>
      <c r="E15896">
        <v>425000</v>
      </c>
      <c r="F15896" t="s">
        <v>1</v>
      </c>
      <c r="G15896" t="s">
        <v>52955</v>
      </c>
      <c r="H15896" t="s">
        <v>53719</v>
      </c>
      <c r="J15896" t="s">
        <v>53720</v>
      </c>
      <c r="P15896" t="s">
        <v>2050</v>
      </c>
      <c r="Y15896" t="s">
        <v>53721</v>
      </c>
    </row>
    <row r="15897" spans="1:25" x14ac:dyDescent="0.25">
      <c r="A15897" t="str">
        <f>"1179894268"</f>
        <v>1179894268</v>
      </c>
      <c r="B15897" t="s">
        <v>1573</v>
      </c>
      <c r="C15897" t="s">
        <v>12316</v>
      </c>
      <c r="D15897" t="s">
        <v>53722</v>
      </c>
      <c r="E15897">
        <v>425011</v>
      </c>
      <c r="F15897" t="s">
        <v>1</v>
      </c>
      <c r="G15897" t="s">
        <v>52955</v>
      </c>
      <c r="H15897" t="s">
        <v>53723</v>
      </c>
      <c r="I15897" t="s">
        <v>53724</v>
      </c>
      <c r="P15897" t="s">
        <v>410</v>
      </c>
      <c r="Q15897" t="s">
        <v>53725</v>
      </c>
      <c r="Y15897" t="s">
        <v>53726</v>
      </c>
    </row>
    <row r="15898" spans="1:25" x14ac:dyDescent="0.25">
      <c r="A15898" t="str">
        <f>"1179944110"</f>
        <v>1179944110</v>
      </c>
      <c r="B15898" t="s">
        <v>1182</v>
      </c>
      <c r="C15898" t="s">
        <v>53729</v>
      </c>
      <c r="D15898" t="s">
        <v>12057</v>
      </c>
      <c r="F15898" t="s">
        <v>1</v>
      </c>
      <c r="G15898" t="s">
        <v>52955</v>
      </c>
      <c r="H15898" t="s">
        <v>53727</v>
      </c>
      <c r="J15898" t="s">
        <v>53728</v>
      </c>
      <c r="P15898" t="s">
        <v>4043</v>
      </c>
      <c r="Y15898" t="s">
        <v>53730</v>
      </c>
    </row>
    <row r="15899" spans="1:25" x14ac:dyDescent="0.25">
      <c r="A15899" t="str">
        <f>"1180535449"</f>
        <v>1180535449</v>
      </c>
      <c r="B15899" t="s">
        <v>703</v>
      </c>
      <c r="C15899" t="s">
        <v>53736</v>
      </c>
      <c r="D15899" t="s">
        <v>53731</v>
      </c>
      <c r="E15899">
        <v>425000</v>
      </c>
      <c r="F15899" t="s">
        <v>1</v>
      </c>
      <c r="G15899" t="s">
        <v>52955</v>
      </c>
      <c r="H15899" t="s">
        <v>53666</v>
      </c>
      <c r="I15899" t="s">
        <v>53732</v>
      </c>
      <c r="K15899" t="s">
        <v>53733</v>
      </c>
      <c r="L15899" t="s">
        <v>53734</v>
      </c>
      <c r="M15899" t="s">
        <v>53735</v>
      </c>
      <c r="P15899" t="s">
        <v>330</v>
      </c>
      <c r="Y15899" t="s">
        <v>53671</v>
      </c>
    </row>
    <row r="15900" spans="1:25" x14ac:dyDescent="0.25">
      <c r="A15900" t="str">
        <f>"1180632416"</f>
        <v>1180632416</v>
      </c>
      <c r="B15900" t="s">
        <v>18</v>
      </c>
      <c r="C15900" t="s">
        <v>53742</v>
      </c>
      <c r="D15900" t="s">
        <v>53737</v>
      </c>
      <c r="E15900">
        <v>425000</v>
      </c>
      <c r="F15900" t="s">
        <v>1</v>
      </c>
      <c r="G15900" t="s">
        <v>52955</v>
      </c>
      <c r="H15900" t="s">
        <v>53066</v>
      </c>
      <c r="I15900" t="s">
        <v>53738</v>
      </c>
      <c r="J15900" t="s">
        <v>53739</v>
      </c>
      <c r="L15900" t="s">
        <v>53740</v>
      </c>
      <c r="M15900" t="s">
        <v>53741</v>
      </c>
      <c r="P15900" t="s">
        <v>584</v>
      </c>
      <c r="Q15900" t="s">
        <v>53743</v>
      </c>
      <c r="Y15900" t="s">
        <v>53744</v>
      </c>
    </row>
    <row r="15901" spans="1:25" x14ac:dyDescent="0.25">
      <c r="A15901" t="str">
        <f>"1181341079"</f>
        <v>1181341079</v>
      </c>
      <c r="B15901" t="s">
        <v>123</v>
      </c>
      <c r="C15901" t="s">
        <v>20251</v>
      </c>
      <c r="D15901" t="s">
        <v>53745</v>
      </c>
      <c r="E15901">
        <v>425001</v>
      </c>
      <c r="F15901" t="s">
        <v>1</v>
      </c>
      <c r="G15901" t="s">
        <v>52955</v>
      </c>
      <c r="H15901" t="s">
        <v>53746</v>
      </c>
      <c r="I15901" t="s">
        <v>53747</v>
      </c>
      <c r="L15901" t="s">
        <v>53748</v>
      </c>
      <c r="M15901" t="s">
        <v>53749</v>
      </c>
      <c r="P15901" t="s">
        <v>35307</v>
      </c>
      <c r="Y15901" t="s">
        <v>53750</v>
      </c>
    </row>
    <row r="15902" spans="1:25" x14ac:dyDescent="0.25">
      <c r="A15902" t="str">
        <f>"1181396271"</f>
        <v>1181396271</v>
      </c>
      <c r="B15902" t="s">
        <v>574</v>
      </c>
      <c r="C15902" t="s">
        <v>646</v>
      </c>
      <c r="D15902" t="s">
        <v>53751</v>
      </c>
      <c r="E15902">
        <v>425000</v>
      </c>
      <c r="F15902" t="s">
        <v>1</v>
      </c>
      <c r="G15902" t="s">
        <v>52955</v>
      </c>
      <c r="H15902" t="s">
        <v>53752</v>
      </c>
      <c r="P15902" t="s">
        <v>7436</v>
      </c>
      <c r="Y15902" t="s">
        <v>53753</v>
      </c>
    </row>
    <row r="15903" spans="1:25" x14ac:dyDescent="0.25">
      <c r="A15903" t="str">
        <f>"1181481316"</f>
        <v>1181481316</v>
      </c>
      <c r="B15903" t="s">
        <v>25</v>
      </c>
      <c r="C15903" t="s">
        <v>53756</v>
      </c>
      <c r="D15903" t="s">
        <v>53754</v>
      </c>
      <c r="E15903">
        <v>425000</v>
      </c>
      <c r="F15903" t="s">
        <v>1</v>
      </c>
      <c r="G15903" t="s">
        <v>52955</v>
      </c>
      <c r="H15903" t="s">
        <v>53311</v>
      </c>
      <c r="J15903" t="s">
        <v>53755</v>
      </c>
      <c r="P15903" t="s">
        <v>2951</v>
      </c>
      <c r="Y15903" t="s">
        <v>53757</v>
      </c>
    </row>
    <row r="15904" spans="1:25" x14ac:dyDescent="0.25">
      <c r="A15904" t="str">
        <f>"1182941893"</f>
        <v>1182941893</v>
      </c>
      <c r="B15904" t="s">
        <v>25</v>
      </c>
      <c r="C15904" t="s">
        <v>59</v>
      </c>
      <c r="D15904" t="s">
        <v>22174</v>
      </c>
      <c r="F15904" t="s">
        <v>1</v>
      </c>
      <c r="G15904" t="s">
        <v>52955</v>
      </c>
      <c r="H15904" t="s">
        <v>53211</v>
      </c>
      <c r="J15904" t="s">
        <v>53758</v>
      </c>
      <c r="P15904" t="s">
        <v>133</v>
      </c>
      <c r="Y15904" t="s">
        <v>53759</v>
      </c>
    </row>
    <row r="15905" spans="1:25" x14ac:dyDescent="0.25">
      <c r="A15905" t="str">
        <f>"1182968522"</f>
        <v>1182968522</v>
      </c>
      <c r="B15905" t="s">
        <v>32</v>
      </c>
      <c r="C15905" t="s">
        <v>5623</v>
      </c>
      <c r="D15905" t="s">
        <v>53760</v>
      </c>
      <c r="E15905">
        <v>425008</v>
      </c>
      <c r="F15905" t="s">
        <v>1</v>
      </c>
      <c r="G15905" t="s">
        <v>52955</v>
      </c>
      <c r="H15905" t="s">
        <v>53761</v>
      </c>
      <c r="J15905" t="s">
        <v>53762</v>
      </c>
      <c r="P15905" t="s">
        <v>133</v>
      </c>
      <c r="Y15905" t="s">
        <v>53763</v>
      </c>
    </row>
    <row r="15906" spans="1:25" x14ac:dyDescent="0.25">
      <c r="A15906" t="str">
        <f>"1183558793"</f>
        <v>1183558793</v>
      </c>
      <c r="B15906" t="s">
        <v>7</v>
      </c>
      <c r="C15906" t="s">
        <v>38017</v>
      </c>
      <c r="D15906" t="s">
        <v>53764</v>
      </c>
      <c r="E15906">
        <v>425000</v>
      </c>
      <c r="F15906" t="s">
        <v>1</v>
      </c>
      <c r="G15906" t="s">
        <v>52955</v>
      </c>
      <c r="H15906" t="s">
        <v>53114</v>
      </c>
      <c r="I15906" t="s">
        <v>53765</v>
      </c>
      <c r="P15906" t="s">
        <v>53766</v>
      </c>
      <c r="Y15906" t="s">
        <v>53767</v>
      </c>
    </row>
    <row r="15907" spans="1:25" x14ac:dyDescent="0.25">
      <c r="A15907" t="str">
        <f>"1184732263"</f>
        <v>1184732263</v>
      </c>
      <c r="B15907" t="s">
        <v>348</v>
      </c>
      <c r="C15907" t="s">
        <v>7354</v>
      </c>
      <c r="D15907" t="s">
        <v>53768</v>
      </c>
      <c r="F15907" t="s">
        <v>1</v>
      </c>
      <c r="G15907" t="s">
        <v>52955</v>
      </c>
      <c r="H15907" t="s">
        <v>53198</v>
      </c>
      <c r="J15907" t="s">
        <v>53769</v>
      </c>
      <c r="P15907" t="s">
        <v>11503</v>
      </c>
      <c r="Q15907" t="s">
        <v>53770</v>
      </c>
      <c r="Y15907" t="s">
        <v>53771</v>
      </c>
    </row>
    <row r="15908" spans="1:25" x14ac:dyDescent="0.25">
      <c r="A15908" t="str">
        <f>"1184756471"</f>
        <v>1184756471</v>
      </c>
      <c r="B15908" t="s">
        <v>290</v>
      </c>
      <c r="C15908" t="s">
        <v>11603</v>
      </c>
      <c r="D15908" t="s">
        <v>53772</v>
      </c>
      <c r="F15908" t="s">
        <v>1</v>
      </c>
      <c r="G15908" t="s">
        <v>52955</v>
      </c>
      <c r="H15908" t="s">
        <v>53435</v>
      </c>
      <c r="I15908" t="s">
        <v>53773</v>
      </c>
      <c r="P15908" t="s">
        <v>3690</v>
      </c>
      <c r="Y15908" t="s">
        <v>53774</v>
      </c>
    </row>
    <row r="15909" spans="1:25" x14ac:dyDescent="0.25">
      <c r="A15909" t="str">
        <f>"1186547550"</f>
        <v>1186547550</v>
      </c>
      <c r="B15909" t="s">
        <v>519</v>
      </c>
      <c r="C15909" t="s">
        <v>53780</v>
      </c>
      <c r="D15909" t="s">
        <v>53775</v>
      </c>
      <c r="E15909">
        <v>425009</v>
      </c>
      <c r="F15909" t="s">
        <v>1</v>
      </c>
      <c r="G15909" t="s">
        <v>52955</v>
      </c>
      <c r="H15909" t="s">
        <v>53776</v>
      </c>
      <c r="I15909" t="s">
        <v>53777</v>
      </c>
      <c r="L15909" t="s">
        <v>53778</v>
      </c>
      <c r="M15909" t="s">
        <v>53779</v>
      </c>
      <c r="P15909" t="s">
        <v>38639</v>
      </c>
      <c r="Y15909" t="s">
        <v>53781</v>
      </c>
    </row>
    <row r="15910" spans="1:25" x14ac:dyDescent="0.25">
      <c r="A15910" t="str">
        <f>"1186759134"</f>
        <v>1186759134</v>
      </c>
      <c r="B15910" t="s">
        <v>176</v>
      </c>
      <c r="C15910" t="s">
        <v>566</v>
      </c>
      <c r="D15910" t="s">
        <v>53782</v>
      </c>
      <c r="E15910">
        <v>425000</v>
      </c>
      <c r="F15910" t="s">
        <v>1</v>
      </c>
      <c r="G15910" t="s">
        <v>52955</v>
      </c>
      <c r="H15910" t="s">
        <v>53783</v>
      </c>
      <c r="I15910" t="s">
        <v>53784</v>
      </c>
      <c r="P15910" t="s">
        <v>330</v>
      </c>
      <c r="Y15910" t="s">
        <v>53785</v>
      </c>
    </row>
    <row r="15911" spans="1:25" x14ac:dyDescent="0.25">
      <c r="A15911" t="str">
        <f>"1186893120"</f>
        <v>1186893120</v>
      </c>
      <c r="B15911" t="s">
        <v>930</v>
      </c>
      <c r="C15911" t="s">
        <v>11882</v>
      </c>
      <c r="D15911" t="s">
        <v>53786</v>
      </c>
      <c r="F15911" t="s">
        <v>1</v>
      </c>
      <c r="G15911" t="s">
        <v>52955</v>
      </c>
      <c r="H15911" t="s">
        <v>53404</v>
      </c>
      <c r="J15911" t="s">
        <v>53787</v>
      </c>
      <c r="P15911" t="s">
        <v>133</v>
      </c>
      <c r="Y15911" t="s">
        <v>53788</v>
      </c>
    </row>
    <row r="15912" spans="1:25" x14ac:dyDescent="0.25">
      <c r="A15912" t="str">
        <f>"1187320082"</f>
        <v>1187320082</v>
      </c>
      <c r="B15912" t="s">
        <v>2178</v>
      </c>
      <c r="C15912" t="s">
        <v>2179</v>
      </c>
      <c r="D15912" t="s">
        <v>53789</v>
      </c>
      <c r="E15912">
        <v>425003</v>
      </c>
      <c r="F15912" t="s">
        <v>1</v>
      </c>
      <c r="G15912" t="s">
        <v>52955</v>
      </c>
      <c r="H15912" t="s">
        <v>53610</v>
      </c>
      <c r="J15912" t="s">
        <v>53790</v>
      </c>
      <c r="P15912" t="s">
        <v>53791</v>
      </c>
      <c r="Y15912" t="s">
        <v>53792</v>
      </c>
    </row>
    <row r="15913" spans="1:25" x14ac:dyDescent="0.25">
      <c r="A15913" t="str">
        <f>"1189827157"</f>
        <v>1189827157</v>
      </c>
      <c r="B15913" t="s">
        <v>7312</v>
      </c>
      <c r="C15913" t="s">
        <v>35535</v>
      </c>
      <c r="D15913" t="s">
        <v>53793</v>
      </c>
      <c r="E15913">
        <v>425008</v>
      </c>
      <c r="F15913" t="s">
        <v>1</v>
      </c>
      <c r="G15913" t="s">
        <v>52955</v>
      </c>
      <c r="H15913" t="s">
        <v>53794</v>
      </c>
      <c r="J15913" t="s">
        <v>53795</v>
      </c>
      <c r="P15913" t="s">
        <v>36261</v>
      </c>
      <c r="Y15913" t="s">
        <v>53796</v>
      </c>
    </row>
    <row r="15914" spans="1:25" x14ac:dyDescent="0.25">
      <c r="A15914" t="str">
        <f>"1191788800"</f>
        <v>1191788800</v>
      </c>
      <c r="B15914" t="s">
        <v>18</v>
      </c>
      <c r="C15914" t="s">
        <v>4522</v>
      </c>
      <c r="D15914" t="s">
        <v>53558</v>
      </c>
      <c r="E15914">
        <v>425000</v>
      </c>
      <c r="F15914" t="s">
        <v>1</v>
      </c>
      <c r="G15914" t="s">
        <v>52955</v>
      </c>
      <c r="H15914" t="s">
        <v>53075</v>
      </c>
      <c r="J15914" t="s">
        <v>53797</v>
      </c>
      <c r="L15914" t="s">
        <v>53798</v>
      </c>
      <c r="P15914" t="s">
        <v>53799</v>
      </c>
      <c r="Y15914" t="s">
        <v>53800</v>
      </c>
    </row>
    <row r="15915" spans="1:25" x14ac:dyDescent="0.25">
      <c r="A15915" t="str">
        <f>"1192746122"</f>
        <v>1192746122</v>
      </c>
      <c r="B15915" t="s">
        <v>574</v>
      </c>
      <c r="C15915" t="s">
        <v>646</v>
      </c>
      <c r="D15915" t="s">
        <v>646</v>
      </c>
      <c r="E15915">
        <v>425001</v>
      </c>
      <c r="F15915" t="s">
        <v>1</v>
      </c>
      <c r="G15915" t="s">
        <v>52955</v>
      </c>
      <c r="H15915" t="s">
        <v>53801</v>
      </c>
      <c r="I15915" t="s">
        <v>53802</v>
      </c>
      <c r="P15915" t="s">
        <v>330</v>
      </c>
      <c r="Y15915" t="s">
        <v>53803</v>
      </c>
    </row>
    <row r="15916" spans="1:25" x14ac:dyDescent="0.25">
      <c r="A15916" t="str">
        <f>"1193399195"</f>
        <v>1193399195</v>
      </c>
      <c r="B15916" t="s">
        <v>1391</v>
      </c>
      <c r="C15916" t="s">
        <v>23730</v>
      </c>
      <c r="D15916" t="s">
        <v>9554</v>
      </c>
      <c r="E15916">
        <v>425000</v>
      </c>
      <c r="F15916" t="s">
        <v>1</v>
      </c>
      <c r="G15916" t="s">
        <v>52955</v>
      </c>
      <c r="H15916" t="s">
        <v>53093</v>
      </c>
      <c r="I15916" t="s">
        <v>53804</v>
      </c>
      <c r="J15916" t="s">
        <v>53805</v>
      </c>
      <c r="P15916" t="s">
        <v>9</v>
      </c>
      <c r="Y15916" t="s">
        <v>53099</v>
      </c>
    </row>
    <row r="15917" spans="1:25" x14ac:dyDescent="0.25">
      <c r="A15917" t="str">
        <f>"1194195061"</f>
        <v>1194195061</v>
      </c>
      <c r="B15917" t="s">
        <v>176</v>
      </c>
      <c r="C15917" t="s">
        <v>53809</v>
      </c>
      <c r="D15917" t="s">
        <v>53806</v>
      </c>
      <c r="E15917">
        <v>425003</v>
      </c>
      <c r="F15917" t="s">
        <v>1</v>
      </c>
      <c r="G15917" t="s">
        <v>52955</v>
      </c>
      <c r="H15917" t="s">
        <v>53807</v>
      </c>
      <c r="J15917" t="s">
        <v>53808</v>
      </c>
      <c r="P15917" t="s">
        <v>1505</v>
      </c>
      <c r="Y15917" t="s">
        <v>53810</v>
      </c>
    </row>
    <row r="15918" spans="1:25" x14ac:dyDescent="0.25">
      <c r="A15918" t="str">
        <f>"1195305016"</f>
        <v>1195305016</v>
      </c>
      <c r="B15918" t="s">
        <v>1053</v>
      </c>
      <c r="C15918" t="s">
        <v>53815</v>
      </c>
      <c r="D15918" t="s">
        <v>17491</v>
      </c>
      <c r="F15918" t="s">
        <v>1</v>
      </c>
      <c r="G15918" t="s">
        <v>52955</v>
      </c>
      <c r="H15918" t="s">
        <v>53811</v>
      </c>
      <c r="J15918" t="s">
        <v>53812</v>
      </c>
      <c r="L15918" t="s">
        <v>53813</v>
      </c>
      <c r="M15918" t="s">
        <v>53814</v>
      </c>
      <c r="P15918" t="s">
        <v>2020</v>
      </c>
      <c r="V15918" t="s">
        <v>53816</v>
      </c>
      <c r="Y15918" t="s">
        <v>53817</v>
      </c>
    </row>
    <row r="15919" spans="1:25" x14ac:dyDescent="0.25">
      <c r="A15919" t="str">
        <f>"1196546437"</f>
        <v>1196546437</v>
      </c>
      <c r="B15919" t="s">
        <v>151</v>
      </c>
      <c r="C15919" t="s">
        <v>1034</v>
      </c>
      <c r="D15919" t="s">
        <v>53818</v>
      </c>
      <c r="E15919">
        <v>425008</v>
      </c>
      <c r="F15919" t="s">
        <v>1</v>
      </c>
      <c r="G15919" t="s">
        <v>52955</v>
      </c>
      <c r="H15919" t="s">
        <v>53567</v>
      </c>
      <c r="J15919" t="s">
        <v>53819</v>
      </c>
      <c r="P15919" t="s">
        <v>27</v>
      </c>
      <c r="Y15919" t="s">
        <v>53820</v>
      </c>
    </row>
    <row r="15920" spans="1:25" x14ac:dyDescent="0.25">
      <c r="A15920" t="str">
        <f>"1197071312"</f>
        <v>1197071312</v>
      </c>
      <c r="B15920" t="s">
        <v>6478</v>
      </c>
      <c r="C15920" t="s">
        <v>9854</v>
      </c>
      <c r="D15920" t="s">
        <v>53821</v>
      </c>
      <c r="E15920">
        <v>425000</v>
      </c>
      <c r="F15920" t="s">
        <v>1</v>
      </c>
      <c r="G15920" t="s">
        <v>52955</v>
      </c>
      <c r="H15920" t="s">
        <v>53822</v>
      </c>
      <c r="I15920" t="s">
        <v>53823</v>
      </c>
      <c r="M15920" t="s">
        <v>53824</v>
      </c>
      <c r="P15920" t="s">
        <v>280</v>
      </c>
      <c r="Y15920" t="s">
        <v>53825</v>
      </c>
    </row>
    <row r="15921" spans="1:25" x14ac:dyDescent="0.25">
      <c r="A15921" t="str">
        <f>"1197170623"</f>
        <v>1197170623</v>
      </c>
      <c r="B15921" t="s">
        <v>123</v>
      </c>
      <c r="C15921" t="s">
        <v>424</v>
      </c>
      <c r="D15921" t="s">
        <v>53826</v>
      </c>
      <c r="F15921" t="s">
        <v>1</v>
      </c>
      <c r="G15921" t="s">
        <v>52955</v>
      </c>
      <c r="H15921" t="s">
        <v>53827</v>
      </c>
      <c r="I15921" t="s">
        <v>53828</v>
      </c>
      <c r="M15921" t="s">
        <v>53829</v>
      </c>
      <c r="P15921" t="s">
        <v>39889</v>
      </c>
      <c r="Y15921" t="s">
        <v>53830</v>
      </c>
    </row>
    <row r="15922" spans="1:25" x14ac:dyDescent="0.25">
      <c r="A15922" t="str">
        <f>"1198616221"</f>
        <v>1198616221</v>
      </c>
      <c r="B15922" t="s">
        <v>319</v>
      </c>
      <c r="C15922" t="s">
        <v>320</v>
      </c>
      <c r="D15922" t="s">
        <v>2733</v>
      </c>
      <c r="E15922">
        <v>425003</v>
      </c>
      <c r="F15922" t="s">
        <v>1</v>
      </c>
      <c r="G15922" t="s">
        <v>52955</v>
      </c>
      <c r="H15922" t="s">
        <v>53559</v>
      </c>
      <c r="I15922" t="s">
        <v>53831</v>
      </c>
      <c r="J15922" t="s">
        <v>53618</v>
      </c>
      <c r="P15922" t="s">
        <v>330</v>
      </c>
      <c r="Y15922" t="s">
        <v>53832</v>
      </c>
    </row>
    <row r="15923" spans="1:25" x14ac:dyDescent="0.25">
      <c r="A15923" t="str">
        <f>"1199234625"</f>
        <v>1199234625</v>
      </c>
      <c r="B15923" t="s">
        <v>151</v>
      </c>
      <c r="C15923" t="s">
        <v>151</v>
      </c>
      <c r="D15923" t="s">
        <v>17172</v>
      </c>
      <c r="E15923">
        <v>425000</v>
      </c>
      <c r="F15923" t="s">
        <v>1</v>
      </c>
      <c r="G15923" t="s">
        <v>52955</v>
      </c>
      <c r="H15923" t="s">
        <v>53833</v>
      </c>
      <c r="J15923" t="s">
        <v>53834</v>
      </c>
      <c r="P15923" t="s">
        <v>2979</v>
      </c>
      <c r="Y15923" t="s">
        <v>53835</v>
      </c>
    </row>
    <row r="15924" spans="1:25" x14ac:dyDescent="0.25">
      <c r="A15924" t="str">
        <f>"1200080983"</f>
        <v>1200080983</v>
      </c>
      <c r="B15924" t="s">
        <v>348</v>
      </c>
      <c r="C15924" t="s">
        <v>53840</v>
      </c>
      <c r="D15924" t="s">
        <v>53836</v>
      </c>
      <c r="E15924">
        <v>425000</v>
      </c>
      <c r="F15924" t="s">
        <v>1</v>
      </c>
      <c r="G15924" t="s">
        <v>52955</v>
      </c>
      <c r="H15924" t="s">
        <v>53093</v>
      </c>
      <c r="I15924" t="s">
        <v>53837</v>
      </c>
      <c r="L15924" t="s">
        <v>53838</v>
      </c>
      <c r="M15924" t="s">
        <v>53839</v>
      </c>
      <c r="P15924" t="s">
        <v>280</v>
      </c>
      <c r="Q15924" t="s">
        <v>53841</v>
      </c>
      <c r="S15924" t="s">
        <v>53842</v>
      </c>
      <c r="T15924" t="s">
        <v>53843</v>
      </c>
      <c r="Y15924" t="s">
        <v>53099</v>
      </c>
    </row>
    <row r="15925" spans="1:25" x14ac:dyDescent="0.25">
      <c r="A15925" t="str">
        <f>"1200506114"</f>
        <v>1200506114</v>
      </c>
      <c r="B15925" t="s">
        <v>25</v>
      </c>
      <c r="C15925" t="s">
        <v>59</v>
      </c>
      <c r="D15925" t="s">
        <v>53844</v>
      </c>
      <c r="E15925">
        <v>425000</v>
      </c>
      <c r="F15925" t="s">
        <v>1</v>
      </c>
      <c r="G15925" t="s">
        <v>52955</v>
      </c>
      <c r="H15925" t="s">
        <v>53639</v>
      </c>
      <c r="I15925" t="s">
        <v>53845</v>
      </c>
      <c r="J15925" t="s">
        <v>53846</v>
      </c>
      <c r="P15925" t="s">
        <v>53847</v>
      </c>
      <c r="Y15925" t="s">
        <v>53848</v>
      </c>
    </row>
    <row r="15926" spans="1:25" x14ac:dyDescent="0.25">
      <c r="A15926" t="str">
        <f>"1201136220"</f>
        <v>1201136220</v>
      </c>
      <c r="B15926" t="s">
        <v>7</v>
      </c>
      <c r="C15926" t="s">
        <v>925</v>
      </c>
      <c r="D15926" t="s">
        <v>53849</v>
      </c>
      <c r="E15926">
        <v>425000</v>
      </c>
      <c r="F15926" t="s">
        <v>1</v>
      </c>
      <c r="G15926" t="s">
        <v>52955</v>
      </c>
      <c r="H15926" t="s">
        <v>52998</v>
      </c>
      <c r="I15926" t="s">
        <v>53850</v>
      </c>
      <c r="P15926" t="s">
        <v>1232</v>
      </c>
      <c r="Y15926" t="s">
        <v>53851</v>
      </c>
    </row>
    <row r="15927" spans="1:25" x14ac:dyDescent="0.25">
      <c r="A15927" t="str">
        <f>"1201838513"</f>
        <v>1201838513</v>
      </c>
      <c r="B15927" t="s">
        <v>1078</v>
      </c>
      <c r="C15927" t="s">
        <v>1079</v>
      </c>
      <c r="D15927" t="s">
        <v>53852</v>
      </c>
      <c r="E15927">
        <v>425000</v>
      </c>
      <c r="F15927" t="s">
        <v>1</v>
      </c>
      <c r="G15927" t="s">
        <v>52955</v>
      </c>
      <c r="H15927" t="s">
        <v>53853</v>
      </c>
      <c r="I15927" t="s">
        <v>53854</v>
      </c>
      <c r="L15927" t="s">
        <v>1076</v>
      </c>
      <c r="M15927" t="s">
        <v>1077</v>
      </c>
      <c r="P15927" t="s">
        <v>133</v>
      </c>
      <c r="Q15927" t="s">
        <v>1081</v>
      </c>
      <c r="V15927" t="s">
        <v>53855</v>
      </c>
      <c r="Y15927" t="s">
        <v>53856</v>
      </c>
    </row>
    <row r="15928" spans="1:25" x14ac:dyDescent="0.25">
      <c r="A15928" t="str">
        <f>"1201888991"</f>
        <v>1201888991</v>
      </c>
      <c r="B15928" t="s">
        <v>430</v>
      </c>
      <c r="C15928" t="s">
        <v>16178</v>
      </c>
      <c r="D15928" t="s">
        <v>26498</v>
      </c>
      <c r="E15928">
        <v>425008</v>
      </c>
      <c r="F15928" t="s">
        <v>1</v>
      </c>
      <c r="G15928" t="s">
        <v>52955</v>
      </c>
      <c r="H15928" t="s">
        <v>53857</v>
      </c>
      <c r="P15928" t="s">
        <v>2050</v>
      </c>
      <c r="Y15928" t="s">
        <v>53858</v>
      </c>
    </row>
    <row r="15929" spans="1:25" x14ac:dyDescent="0.25">
      <c r="A15929" t="str">
        <f>"1202142830"</f>
        <v>1202142830</v>
      </c>
      <c r="B15929" t="s">
        <v>2055</v>
      </c>
      <c r="C15929" t="s">
        <v>53861</v>
      </c>
      <c r="D15929" t="s">
        <v>53859</v>
      </c>
      <c r="E15929">
        <v>425000</v>
      </c>
      <c r="F15929" t="s">
        <v>1</v>
      </c>
      <c r="G15929" t="s">
        <v>52955</v>
      </c>
      <c r="H15929" t="s">
        <v>53339</v>
      </c>
      <c r="I15929" t="s">
        <v>53860</v>
      </c>
      <c r="P15929" t="s">
        <v>53862</v>
      </c>
      <c r="Y15929" t="s">
        <v>53863</v>
      </c>
    </row>
    <row r="15930" spans="1:25" x14ac:dyDescent="0.25">
      <c r="A15930" t="str">
        <f>"1202610422"</f>
        <v>1202610422</v>
      </c>
      <c r="B15930" t="s">
        <v>738</v>
      </c>
      <c r="C15930" t="s">
        <v>739</v>
      </c>
      <c r="D15930" t="s">
        <v>53864</v>
      </c>
      <c r="E15930">
        <v>425000</v>
      </c>
      <c r="F15930" t="s">
        <v>1</v>
      </c>
      <c r="G15930" t="s">
        <v>52955</v>
      </c>
      <c r="H15930" t="s">
        <v>53865</v>
      </c>
      <c r="J15930" t="s">
        <v>53866</v>
      </c>
      <c r="P15930" t="s">
        <v>799</v>
      </c>
      <c r="Y15930" t="s">
        <v>53867</v>
      </c>
    </row>
    <row r="15931" spans="1:25" x14ac:dyDescent="0.25">
      <c r="A15931" t="str">
        <f>"1202941843"</f>
        <v>1202941843</v>
      </c>
      <c r="B15931" t="s">
        <v>3652</v>
      </c>
      <c r="C15931" t="s">
        <v>14101</v>
      </c>
      <c r="D15931" t="s">
        <v>42813</v>
      </c>
      <c r="F15931" t="s">
        <v>1</v>
      </c>
      <c r="G15931" t="s">
        <v>52955</v>
      </c>
      <c r="H15931" t="s">
        <v>53398</v>
      </c>
      <c r="I15931" t="s">
        <v>53868</v>
      </c>
      <c r="P15931" t="s">
        <v>2296</v>
      </c>
      <c r="Y15931" t="s">
        <v>53869</v>
      </c>
    </row>
    <row r="15932" spans="1:25" x14ac:dyDescent="0.25">
      <c r="A15932" t="str">
        <f>"1205290949"</f>
        <v>1205290949</v>
      </c>
      <c r="B15932" t="s">
        <v>348</v>
      </c>
      <c r="C15932" t="s">
        <v>53875</v>
      </c>
      <c r="D15932" t="s">
        <v>53870</v>
      </c>
      <c r="F15932" t="s">
        <v>1</v>
      </c>
      <c r="G15932" t="s">
        <v>52955</v>
      </c>
      <c r="H15932" t="s">
        <v>53871</v>
      </c>
      <c r="I15932" t="s">
        <v>53872</v>
      </c>
      <c r="J15932" t="s">
        <v>53873</v>
      </c>
      <c r="L15932" t="s">
        <v>53874</v>
      </c>
      <c r="P15932" t="s">
        <v>20</v>
      </c>
      <c r="Y15932" t="s">
        <v>53876</v>
      </c>
    </row>
    <row r="15933" spans="1:25" x14ac:dyDescent="0.25">
      <c r="A15933" t="str">
        <f>"1205893189"</f>
        <v>1205893189</v>
      </c>
      <c r="B15933" t="s">
        <v>18</v>
      </c>
      <c r="C15933" t="s">
        <v>13796</v>
      </c>
      <c r="D15933" t="s">
        <v>53877</v>
      </c>
      <c r="E15933">
        <v>425000</v>
      </c>
      <c r="F15933" t="s">
        <v>1</v>
      </c>
      <c r="G15933" t="s">
        <v>52955</v>
      </c>
      <c r="H15933" t="s">
        <v>53878</v>
      </c>
      <c r="J15933" t="s">
        <v>53879</v>
      </c>
      <c r="L15933" t="s">
        <v>53880</v>
      </c>
      <c r="M15933" t="s">
        <v>53881</v>
      </c>
      <c r="P15933" t="s">
        <v>29674</v>
      </c>
      <c r="Q15933" t="s">
        <v>53882</v>
      </c>
      <c r="V15933" t="s">
        <v>53883</v>
      </c>
      <c r="Y15933" t="s">
        <v>53884</v>
      </c>
    </row>
    <row r="15934" spans="1:25" x14ac:dyDescent="0.25">
      <c r="A15934" t="str">
        <f>"1206153715"</f>
        <v>1206153715</v>
      </c>
      <c r="B15934" t="s">
        <v>224</v>
      </c>
      <c r="C15934" t="s">
        <v>53889</v>
      </c>
      <c r="D15934" t="s">
        <v>53885</v>
      </c>
      <c r="F15934" t="s">
        <v>1</v>
      </c>
      <c r="G15934" t="s">
        <v>52955</v>
      </c>
      <c r="H15934" t="s">
        <v>53886</v>
      </c>
      <c r="I15934" t="s">
        <v>53887</v>
      </c>
      <c r="L15934" t="s">
        <v>53888</v>
      </c>
      <c r="P15934" t="s">
        <v>280</v>
      </c>
      <c r="Y15934" t="s">
        <v>53890</v>
      </c>
    </row>
    <row r="15935" spans="1:25" x14ac:dyDescent="0.25">
      <c r="A15935" t="str">
        <f>"1206553466"</f>
        <v>1206553466</v>
      </c>
      <c r="B15935" t="s">
        <v>18</v>
      </c>
      <c r="C15935" t="s">
        <v>53893</v>
      </c>
      <c r="D15935" t="s">
        <v>10532</v>
      </c>
      <c r="E15935">
        <v>425003</v>
      </c>
      <c r="F15935" t="s">
        <v>1</v>
      </c>
      <c r="G15935" t="s">
        <v>52955</v>
      </c>
      <c r="H15935" t="s">
        <v>53891</v>
      </c>
      <c r="I15935" t="s">
        <v>53892</v>
      </c>
      <c r="P15935" t="s">
        <v>152</v>
      </c>
      <c r="Y15935" t="s">
        <v>53894</v>
      </c>
    </row>
    <row r="15936" spans="1:25" x14ac:dyDescent="0.25">
      <c r="A15936" t="str">
        <f>"1206642663"</f>
        <v>1206642663</v>
      </c>
      <c r="B15936" t="s">
        <v>978</v>
      </c>
      <c r="C15936" t="s">
        <v>8067</v>
      </c>
      <c r="D15936" t="s">
        <v>23316</v>
      </c>
      <c r="E15936">
        <v>425000</v>
      </c>
      <c r="F15936" t="s">
        <v>1</v>
      </c>
      <c r="G15936" t="s">
        <v>52955</v>
      </c>
      <c r="H15936" t="s">
        <v>53075</v>
      </c>
      <c r="I15936" t="s">
        <v>53895</v>
      </c>
      <c r="J15936" t="s">
        <v>53896</v>
      </c>
      <c r="L15936" t="s">
        <v>53897</v>
      </c>
      <c r="M15936" t="s">
        <v>53898</v>
      </c>
      <c r="P15936" t="s">
        <v>53899</v>
      </c>
      <c r="Y15936" t="s">
        <v>53079</v>
      </c>
    </row>
    <row r="15937" spans="1:25" x14ac:dyDescent="0.25">
      <c r="A15937" t="str">
        <f>"1207217678"</f>
        <v>1207217678</v>
      </c>
      <c r="B15937" t="s">
        <v>290</v>
      </c>
      <c r="C15937" t="s">
        <v>45819</v>
      </c>
      <c r="D15937" t="s">
        <v>53900</v>
      </c>
      <c r="E15937">
        <v>425000</v>
      </c>
      <c r="F15937" t="s">
        <v>1</v>
      </c>
      <c r="G15937" t="s">
        <v>52955</v>
      </c>
      <c r="H15937" t="s">
        <v>53066</v>
      </c>
      <c r="I15937" t="s">
        <v>53901</v>
      </c>
      <c r="P15937" t="s">
        <v>44184</v>
      </c>
      <c r="Y15937" t="s">
        <v>53902</v>
      </c>
    </row>
    <row r="15938" spans="1:25" x14ac:dyDescent="0.25">
      <c r="A15938" t="str">
        <f>"1207634560"</f>
        <v>1207634560</v>
      </c>
      <c r="B15938" t="s">
        <v>1152</v>
      </c>
      <c r="C15938" t="s">
        <v>20846</v>
      </c>
      <c r="D15938" t="s">
        <v>10554</v>
      </c>
      <c r="E15938">
        <v>425000</v>
      </c>
      <c r="F15938" t="s">
        <v>1</v>
      </c>
      <c r="G15938" t="s">
        <v>52955</v>
      </c>
      <c r="H15938" t="s">
        <v>53903</v>
      </c>
      <c r="I15938" t="s">
        <v>53904</v>
      </c>
      <c r="P15938" t="s">
        <v>260</v>
      </c>
      <c r="Y15938" t="s">
        <v>53905</v>
      </c>
    </row>
    <row r="15939" spans="1:25" x14ac:dyDescent="0.25">
      <c r="A15939" t="str">
        <f>"1207761956"</f>
        <v>1207761956</v>
      </c>
      <c r="B15939" t="s">
        <v>574</v>
      </c>
      <c r="C15939" t="s">
        <v>646</v>
      </c>
      <c r="D15939" t="s">
        <v>53906</v>
      </c>
      <c r="E15939">
        <v>425000</v>
      </c>
      <c r="F15939" t="s">
        <v>1</v>
      </c>
      <c r="G15939" t="s">
        <v>52955</v>
      </c>
      <c r="H15939" t="s">
        <v>53907</v>
      </c>
      <c r="I15939" t="s">
        <v>53908</v>
      </c>
      <c r="P15939" t="s">
        <v>216</v>
      </c>
      <c r="Y15939" t="s">
        <v>53909</v>
      </c>
    </row>
    <row r="15940" spans="1:25" x14ac:dyDescent="0.25">
      <c r="A15940" t="str">
        <f>"1208575104"</f>
        <v>1208575104</v>
      </c>
      <c r="B15940" t="s">
        <v>1475</v>
      </c>
      <c r="C15940" t="s">
        <v>53913</v>
      </c>
      <c r="D15940" t="s">
        <v>53910</v>
      </c>
      <c r="E15940">
        <v>425000</v>
      </c>
      <c r="F15940" t="s">
        <v>1</v>
      </c>
      <c r="G15940" t="s">
        <v>52955</v>
      </c>
      <c r="H15940" t="s">
        <v>53911</v>
      </c>
      <c r="J15940" t="s">
        <v>53912</v>
      </c>
      <c r="P15940" t="s">
        <v>12126</v>
      </c>
      <c r="Y15940" t="s">
        <v>53914</v>
      </c>
    </row>
    <row r="15941" spans="1:25" x14ac:dyDescent="0.25">
      <c r="A15941" t="str">
        <f>"1209145857"</f>
        <v>1209145857</v>
      </c>
      <c r="B15941" t="s">
        <v>1611</v>
      </c>
      <c r="C15941" t="s">
        <v>6872</v>
      </c>
      <c r="D15941" t="s">
        <v>53915</v>
      </c>
      <c r="F15941" t="s">
        <v>1</v>
      </c>
      <c r="G15941" t="s">
        <v>52955</v>
      </c>
      <c r="H15941" t="s">
        <v>53916</v>
      </c>
      <c r="I15941" t="s">
        <v>53917</v>
      </c>
      <c r="M15941" t="s">
        <v>53918</v>
      </c>
      <c r="P15941" t="s">
        <v>4998</v>
      </c>
      <c r="Y15941" t="s">
        <v>53919</v>
      </c>
    </row>
    <row r="15942" spans="1:25" x14ac:dyDescent="0.25">
      <c r="A15942" t="str">
        <f>"1209493114"</f>
        <v>1209493114</v>
      </c>
      <c r="B15942" t="s">
        <v>930</v>
      </c>
      <c r="C15942" t="s">
        <v>2543</v>
      </c>
      <c r="D15942" t="s">
        <v>11470</v>
      </c>
      <c r="E15942">
        <v>425000</v>
      </c>
      <c r="F15942" t="s">
        <v>1</v>
      </c>
      <c r="G15942" t="s">
        <v>52955</v>
      </c>
      <c r="H15942" t="s">
        <v>53920</v>
      </c>
      <c r="J15942" t="s">
        <v>53921</v>
      </c>
      <c r="P15942" t="s">
        <v>60</v>
      </c>
      <c r="Y15942" t="s">
        <v>53922</v>
      </c>
    </row>
    <row r="15943" spans="1:25" x14ac:dyDescent="0.25">
      <c r="A15943" t="str">
        <f>"1209674146"</f>
        <v>1209674146</v>
      </c>
      <c r="B15943" t="s">
        <v>1222</v>
      </c>
      <c r="C15943" t="s">
        <v>2114</v>
      </c>
      <c r="D15943" t="s">
        <v>53923</v>
      </c>
      <c r="E15943">
        <v>425011</v>
      </c>
      <c r="F15943" t="s">
        <v>1</v>
      </c>
      <c r="G15943" t="s">
        <v>52955</v>
      </c>
      <c r="H15943" t="s">
        <v>53155</v>
      </c>
      <c r="J15943" t="s">
        <v>53924</v>
      </c>
      <c r="P15943" t="s">
        <v>53925</v>
      </c>
      <c r="Y15943" t="s">
        <v>53926</v>
      </c>
    </row>
    <row r="15944" spans="1:25" x14ac:dyDescent="0.25">
      <c r="A15944" t="str">
        <f>"1209936712"</f>
        <v>1209936712</v>
      </c>
      <c r="B15944" t="s">
        <v>319</v>
      </c>
      <c r="C15944" t="s">
        <v>320</v>
      </c>
      <c r="D15944" t="s">
        <v>2733</v>
      </c>
      <c r="E15944">
        <v>425011</v>
      </c>
      <c r="F15944" t="s">
        <v>1</v>
      </c>
      <c r="G15944" t="s">
        <v>52955</v>
      </c>
      <c r="H15944" t="s">
        <v>53927</v>
      </c>
      <c r="P15944" t="s">
        <v>216</v>
      </c>
      <c r="Y15944" t="s">
        <v>53928</v>
      </c>
    </row>
    <row r="15945" spans="1:25" x14ac:dyDescent="0.25">
      <c r="A15945" t="str">
        <f>"1211512071"</f>
        <v>1211512071</v>
      </c>
      <c r="B15945" t="s">
        <v>96</v>
      </c>
      <c r="C15945" t="s">
        <v>507</v>
      </c>
      <c r="D15945" t="s">
        <v>8943</v>
      </c>
      <c r="F15945" t="s">
        <v>1</v>
      </c>
      <c r="G15945" t="s">
        <v>52955</v>
      </c>
      <c r="H15945" t="s">
        <v>53072</v>
      </c>
      <c r="J15945" t="s">
        <v>53929</v>
      </c>
      <c r="P15945" t="s">
        <v>133</v>
      </c>
      <c r="Y15945" t="s">
        <v>53930</v>
      </c>
    </row>
    <row r="15946" spans="1:25" x14ac:dyDescent="0.25">
      <c r="A15946" t="str">
        <f>"1211533945"</f>
        <v>1211533945</v>
      </c>
      <c r="B15946" t="s">
        <v>18</v>
      </c>
      <c r="C15946" t="s">
        <v>959</v>
      </c>
      <c r="D15946" t="s">
        <v>53931</v>
      </c>
      <c r="E15946">
        <v>425000</v>
      </c>
      <c r="F15946" t="s">
        <v>1</v>
      </c>
      <c r="G15946" t="s">
        <v>52955</v>
      </c>
      <c r="H15946" t="s">
        <v>53932</v>
      </c>
      <c r="I15946" t="s">
        <v>53933</v>
      </c>
      <c r="J15946" t="s">
        <v>53934</v>
      </c>
      <c r="P15946" t="s">
        <v>20</v>
      </c>
      <c r="Y15946" t="s">
        <v>53905</v>
      </c>
    </row>
    <row r="15947" spans="1:25" x14ac:dyDescent="0.25">
      <c r="A15947" t="str">
        <f>"1212387136"</f>
        <v>1212387136</v>
      </c>
      <c r="B15947" t="s">
        <v>18</v>
      </c>
      <c r="C15947" t="s">
        <v>53938</v>
      </c>
      <c r="D15947" t="s">
        <v>53935</v>
      </c>
      <c r="E15947">
        <v>425000</v>
      </c>
      <c r="F15947" t="s">
        <v>1</v>
      </c>
      <c r="G15947" t="s">
        <v>52955</v>
      </c>
      <c r="H15947" t="s">
        <v>53936</v>
      </c>
      <c r="J15947" t="s">
        <v>53937</v>
      </c>
      <c r="P15947" t="s">
        <v>27</v>
      </c>
      <c r="Y15947" t="s">
        <v>53939</v>
      </c>
    </row>
    <row r="15948" spans="1:25" x14ac:dyDescent="0.25">
      <c r="A15948" t="str">
        <f>"1212547301"</f>
        <v>1212547301</v>
      </c>
      <c r="B15948" t="s">
        <v>462</v>
      </c>
      <c r="C15948" t="s">
        <v>1140</v>
      </c>
      <c r="D15948" t="s">
        <v>53940</v>
      </c>
      <c r="F15948" t="s">
        <v>1</v>
      </c>
      <c r="G15948" t="s">
        <v>52955</v>
      </c>
      <c r="H15948" t="s">
        <v>53941</v>
      </c>
      <c r="I15948" t="s">
        <v>53942</v>
      </c>
      <c r="P15948" t="s">
        <v>11758</v>
      </c>
      <c r="Y15948" t="s">
        <v>53943</v>
      </c>
    </row>
    <row r="15949" spans="1:25" x14ac:dyDescent="0.25">
      <c r="A15949" t="str">
        <f>"1212678058"</f>
        <v>1212678058</v>
      </c>
      <c r="B15949" t="s">
        <v>18</v>
      </c>
      <c r="C15949" t="s">
        <v>53949</v>
      </c>
      <c r="D15949" t="s">
        <v>53944</v>
      </c>
      <c r="E15949">
        <v>425000</v>
      </c>
      <c r="F15949" t="s">
        <v>1</v>
      </c>
      <c r="G15949" t="s">
        <v>52955</v>
      </c>
      <c r="H15949" t="s">
        <v>53114</v>
      </c>
      <c r="I15949" t="s">
        <v>53945</v>
      </c>
      <c r="J15949" t="s">
        <v>53946</v>
      </c>
      <c r="L15949" t="s">
        <v>53947</v>
      </c>
      <c r="M15949" t="s">
        <v>53948</v>
      </c>
      <c r="P15949" t="s">
        <v>3690</v>
      </c>
      <c r="Y15949" t="s">
        <v>53117</v>
      </c>
    </row>
    <row r="15950" spans="1:25" x14ac:dyDescent="0.25">
      <c r="A15950" t="str">
        <f>"1213399611"</f>
        <v>1213399611</v>
      </c>
      <c r="B15950" t="s">
        <v>738</v>
      </c>
      <c r="C15950" t="s">
        <v>3363</v>
      </c>
      <c r="D15950" t="s">
        <v>53950</v>
      </c>
      <c r="E15950">
        <v>425000</v>
      </c>
      <c r="F15950" t="s">
        <v>1</v>
      </c>
      <c r="G15950" t="s">
        <v>52955</v>
      </c>
      <c r="H15950" t="s">
        <v>53951</v>
      </c>
      <c r="J15950" t="s">
        <v>53952</v>
      </c>
      <c r="P15950" t="s">
        <v>1464</v>
      </c>
      <c r="Y15950" t="s">
        <v>53953</v>
      </c>
    </row>
    <row r="15951" spans="1:25" x14ac:dyDescent="0.25">
      <c r="A15951" t="str">
        <f>"1213461788"</f>
        <v>1213461788</v>
      </c>
      <c r="B15951" t="s">
        <v>1078</v>
      </c>
      <c r="C15951" t="s">
        <v>53008</v>
      </c>
      <c r="D15951" t="s">
        <v>53954</v>
      </c>
      <c r="F15951" t="s">
        <v>1</v>
      </c>
      <c r="G15951" t="s">
        <v>52955</v>
      </c>
      <c r="H15951" t="s">
        <v>53955</v>
      </c>
      <c r="I15951" t="s">
        <v>53956</v>
      </c>
      <c r="L15951" t="s">
        <v>53957</v>
      </c>
      <c r="M15951" t="s">
        <v>53958</v>
      </c>
      <c r="P15951" t="s">
        <v>20</v>
      </c>
      <c r="Y15951" t="s">
        <v>53959</v>
      </c>
    </row>
    <row r="15952" spans="1:25" x14ac:dyDescent="0.25">
      <c r="A15952" t="str">
        <f>"1213904331"</f>
        <v>1213904331</v>
      </c>
      <c r="B15952" t="s">
        <v>7312</v>
      </c>
      <c r="C15952" t="s">
        <v>36256</v>
      </c>
      <c r="D15952" t="s">
        <v>53960</v>
      </c>
      <c r="E15952">
        <v>425000</v>
      </c>
      <c r="F15952" t="s">
        <v>1</v>
      </c>
      <c r="G15952" t="s">
        <v>52955</v>
      </c>
      <c r="H15952" t="s">
        <v>53961</v>
      </c>
      <c r="J15952" t="s">
        <v>53962</v>
      </c>
      <c r="L15952" t="s">
        <v>14095</v>
      </c>
      <c r="M15952" t="s">
        <v>53963</v>
      </c>
      <c r="P15952" t="s">
        <v>27</v>
      </c>
      <c r="Q15952" t="s">
        <v>53964</v>
      </c>
      <c r="Y15952" t="s">
        <v>53965</v>
      </c>
    </row>
    <row r="15953" spans="1:25" x14ac:dyDescent="0.25">
      <c r="A15953" t="str">
        <f>"1214024234"</f>
        <v>1214024234</v>
      </c>
      <c r="B15953" t="s">
        <v>1152</v>
      </c>
      <c r="C15953" t="s">
        <v>53968</v>
      </c>
      <c r="D15953" t="s">
        <v>52761</v>
      </c>
      <c r="E15953">
        <v>425005</v>
      </c>
      <c r="F15953" t="s">
        <v>1</v>
      </c>
      <c r="G15953" t="s">
        <v>52955</v>
      </c>
      <c r="H15953" t="s">
        <v>53966</v>
      </c>
      <c r="I15953" t="s">
        <v>53967</v>
      </c>
      <c r="P15953" t="s">
        <v>5396</v>
      </c>
      <c r="Y15953" t="s">
        <v>53969</v>
      </c>
    </row>
    <row r="15954" spans="1:25" x14ac:dyDescent="0.25">
      <c r="A15954" t="str">
        <f>"1214999987"</f>
        <v>1214999987</v>
      </c>
      <c r="B15954" t="s">
        <v>1046</v>
      </c>
      <c r="C15954" t="s">
        <v>53974</v>
      </c>
      <c r="D15954" t="s">
        <v>53970</v>
      </c>
      <c r="E15954">
        <v>425009</v>
      </c>
      <c r="F15954" t="s">
        <v>1</v>
      </c>
      <c r="G15954" t="s">
        <v>52955</v>
      </c>
      <c r="H15954" t="s">
        <v>53696</v>
      </c>
      <c r="I15954" t="s">
        <v>53971</v>
      </c>
      <c r="L15954" t="s">
        <v>53972</v>
      </c>
      <c r="M15954" t="s">
        <v>53973</v>
      </c>
      <c r="P15954" t="s">
        <v>280</v>
      </c>
      <c r="Y15954" t="s">
        <v>53975</v>
      </c>
    </row>
    <row r="15955" spans="1:25" x14ac:dyDescent="0.25">
      <c r="A15955" t="str">
        <f>"1215457558"</f>
        <v>1215457558</v>
      </c>
      <c r="B15955" t="s">
        <v>352</v>
      </c>
      <c r="C15955" t="s">
        <v>25721</v>
      </c>
      <c r="D15955" t="s">
        <v>41703</v>
      </c>
      <c r="E15955">
        <v>425011</v>
      </c>
      <c r="F15955" t="s">
        <v>1</v>
      </c>
      <c r="G15955" t="s">
        <v>52955</v>
      </c>
      <c r="H15955" t="s">
        <v>53976</v>
      </c>
      <c r="I15955" t="s">
        <v>53977</v>
      </c>
      <c r="J15955" t="s">
        <v>53978</v>
      </c>
      <c r="P15955" t="s">
        <v>27</v>
      </c>
      <c r="Y15955" t="s">
        <v>53979</v>
      </c>
    </row>
    <row r="15956" spans="1:25" x14ac:dyDescent="0.25">
      <c r="A15956" t="str">
        <f>"1216658432"</f>
        <v>1216658432</v>
      </c>
      <c r="B15956" t="s">
        <v>348</v>
      </c>
      <c r="C15956" t="s">
        <v>53983</v>
      </c>
      <c r="D15956" t="s">
        <v>53980</v>
      </c>
      <c r="E15956">
        <v>425000</v>
      </c>
      <c r="F15956" t="s">
        <v>1</v>
      </c>
      <c r="G15956" t="s">
        <v>52955</v>
      </c>
      <c r="H15956" t="s">
        <v>53981</v>
      </c>
      <c r="J15956" t="s">
        <v>53982</v>
      </c>
      <c r="P15956" t="s">
        <v>280</v>
      </c>
      <c r="Y15956" t="s">
        <v>53984</v>
      </c>
    </row>
    <row r="15957" spans="1:25" x14ac:dyDescent="0.25">
      <c r="A15957" t="str">
        <f>"1217637275"</f>
        <v>1217637275</v>
      </c>
      <c r="B15957" t="s">
        <v>574</v>
      </c>
      <c r="C15957" t="s">
        <v>646</v>
      </c>
      <c r="D15957" t="s">
        <v>53403</v>
      </c>
      <c r="E15957">
        <v>425001</v>
      </c>
      <c r="F15957" t="s">
        <v>1</v>
      </c>
      <c r="G15957" t="s">
        <v>52955</v>
      </c>
      <c r="H15957" t="s">
        <v>53985</v>
      </c>
      <c r="P15957" t="s">
        <v>3690</v>
      </c>
      <c r="Y15957" t="s">
        <v>53986</v>
      </c>
    </row>
    <row r="15958" spans="1:25" x14ac:dyDescent="0.25">
      <c r="A15958" t="str">
        <f>"1217969233"</f>
        <v>1217969233</v>
      </c>
      <c r="B15958" t="s">
        <v>738</v>
      </c>
      <c r="C15958" t="s">
        <v>3363</v>
      </c>
      <c r="D15958" t="s">
        <v>53987</v>
      </c>
      <c r="E15958">
        <v>425000</v>
      </c>
      <c r="F15958" t="s">
        <v>1</v>
      </c>
      <c r="G15958" t="s">
        <v>52955</v>
      </c>
      <c r="H15958" t="s">
        <v>53988</v>
      </c>
      <c r="J15958" t="s">
        <v>53989</v>
      </c>
      <c r="P15958" t="s">
        <v>11503</v>
      </c>
      <c r="Y15958" t="s">
        <v>53990</v>
      </c>
    </row>
    <row r="15959" spans="1:25" x14ac:dyDescent="0.25">
      <c r="A15959" t="str">
        <f>"1218299846"</f>
        <v>1218299846</v>
      </c>
      <c r="B15959" t="s">
        <v>18</v>
      </c>
      <c r="C15959" t="s">
        <v>5273</v>
      </c>
      <c r="D15959" t="s">
        <v>53991</v>
      </c>
      <c r="E15959">
        <v>425001</v>
      </c>
      <c r="F15959" t="s">
        <v>1</v>
      </c>
      <c r="G15959" t="s">
        <v>52955</v>
      </c>
      <c r="H15959" t="s">
        <v>53992</v>
      </c>
      <c r="I15959" t="s">
        <v>53993</v>
      </c>
      <c r="K15959" t="s">
        <v>53994</v>
      </c>
      <c r="P15959" t="s">
        <v>52990</v>
      </c>
      <c r="Y15959" t="s">
        <v>53995</v>
      </c>
    </row>
    <row r="15960" spans="1:25" x14ac:dyDescent="0.25">
      <c r="A15960" t="str">
        <f>"1218464486"</f>
        <v>1218464486</v>
      </c>
      <c r="B15960" t="s">
        <v>7</v>
      </c>
      <c r="C15960" t="s">
        <v>53998</v>
      </c>
      <c r="D15960" t="s">
        <v>53996</v>
      </c>
      <c r="E15960">
        <v>425000</v>
      </c>
      <c r="F15960" t="s">
        <v>1</v>
      </c>
      <c r="G15960" t="s">
        <v>52955</v>
      </c>
      <c r="H15960" t="s">
        <v>53311</v>
      </c>
      <c r="I15960" t="s">
        <v>53997</v>
      </c>
      <c r="K15960" t="s">
        <v>53997</v>
      </c>
      <c r="P15960" t="s">
        <v>20</v>
      </c>
      <c r="Y15960" t="s">
        <v>53999</v>
      </c>
    </row>
    <row r="15961" spans="1:25" x14ac:dyDescent="0.25">
      <c r="A15961" t="str">
        <f>"1220437630"</f>
        <v>1220437630</v>
      </c>
      <c r="B15961" t="s">
        <v>716</v>
      </c>
      <c r="C15961" t="s">
        <v>717</v>
      </c>
      <c r="D15961" t="s">
        <v>54000</v>
      </c>
      <c r="E15961">
        <v>425001</v>
      </c>
      <c r="F15961" t="s">
        <v>1</v>
      </c>
      <c r="G15961" t="s">
        <v>52955</v>
      </c>
      <c r="H15961" t="s">
        <v>54001</v>
      </c>
      <c r="I15961" t="s">
        <v>54002</v>
      </c>
      <c r="J15961" t="s">
        <v>54003</v>
      </c>
      <c r="P15961" t="s">
        <v>330</v>
      </c>
      <c r="Y15961" t="s">
        <v>54004</v>
      </c>
    </row>
    <row r="15962" spans="1:25" x14ac:dyDescent="0.25">
      <c r="A15962" t="str">
        <f>"1221155202"</f>
        <v>1221155202</v>
      </c>
      <c r="B15962" t="s">
        <v>417</v>
      </c>
      <c r="C15962" t="s">
        <v>418</v>
      </c>
      <c r="D15962" t="s">
        <v>54005</v>
      </c>
      <c r="E15962">
        <v>425001</v>
      </c>
      <c r="F15962" t="s">
        <v>1</v>
      </c>
      <c r="G15962" t="s">
        <v>52955</v>
      </c>
      <c r="H15962" t="s">
        <v>54006</v>
      </c>
      <c r="I15962" t="s">
        <v>54007</v>
      </c>
      <c r="P15962" t="s">
        <v>5396</v>
      </c>
      <c r="Y15962" t="s">
        <v>54008</v>
      </c>
    </row>
    <row r="15963" spans="1:25" x14ac:dyDescent="0.25">
      <c r="A15963" t="str">
        <f>"1221314029"</f>
        <v>1221314029</v>
      </c>
      <c r="B15963" t="s">
        <v>204</v>
      </c>
      <c r="C15963" t="s">
        <v>7914</v>
      </c>
      <c r="D15963" t="s">
        <v>54009</v>
      </c>
      <c r="F15963" t="s">
        <v>1</v>
      </c>
      <c r="G15963" t="s">
        <v>52955</v>
      </c>
      <c r="H15963" t="s">
        <v>53261</v>
      </c>
      <c r="I15963" t="s">
        <v>54010</v>
      </c>
      <c r="L15963" t="s">
        <v>54011</v>
      </c>
      <c r="M15963" t="s">
        <v>54012</v>
      </c>
      <c r="P15963" t="s">
        <v>1027</v>
      </c>
      <c r="Q15963" t="s">
        <v>54013</v>
      </c>
      <c r="T15963" t="s">
        <v>54014</v>
      </c>
      <c r="V15963" t="s">
        <v>54015</v>
      </c>
      <c r="Y15963" t="s">
        <v>54016</v>
      </c>
    </row>
    <row r="15964" spans="1:25" x14ac:dyDescent="0.25">
      <c r="A15964" t="str">
        <f>"1221810138"</f>
        <v>1221810138</v>
      </c>
      <c r="B15964" t="s">
        <v>32</v>
      </c>
      <c r="C15964" t="s">
        <v>5809</v>
      </c>
      <c r="D15964" t="s">
        <v>10532</v>
      </c>
      <c r="F15964" t="s">
        <v>1</v>
      </c>
      <c r="G15964" t="s">
        <v>52955</v>
      </c>
      <c r="H15964" t="s">
        <v>53198</v>
      </c>
      <c r="P15964" t="s">
        <v>390</v>
      </c>
      <c r="Y15964" t="s">
        <v>54017</v>
      </c>
    </row>
    <row r="15965" spans="1:25" x14ac:dyDescent="0.25">
      <c r="A15965" t="str">
        <f>"1221893056"</f>
        <v>1221893056</v>
      </c>
      <c r="B15965" t="s">
        <v>430</v>
      </c>
      <c r="C15965" t="s">
        <v>34485</v>
      </c>
      <c r="D15965" t="s">
        <v>54018</v>
      </c>
      <c r="E15965">
        <v>425011</v>
      </c>
      <c r="F15965" t="s">
        <v>1</v>
      </c>
      <c r="G15965" t="s">
        <v>52955</v>
      </c>
      <c r="H15965" t="s">
        <v>53364</v>
      </c>
      <c r="I15965" t="s">
        <v>54019</v>
      </c>
      <c r="Y15965" t="s">
        <v>54020</v>
      </c>
    </row>
    <row r="15966" spans="1:25" x14ac:dyDescent="0.25">
      <c r="A15966" t="str">
        <f>"1222280194"</f>
        <v>1222280194</v>
      </c>
      <c r="B15966" t="s">
        <v>25</v>
      </c>
      <c r="C15966" t="s">
        <v>54023</v>
      </c>
      <c r="D15966" t="s">
        <v>4269</v>
      </c>
      <c r="E15966">
        <v>425000</v>
      </c>
      <c r="F15966" t="s">
        <v>1</v>
      </c>
      <c r="G15966" t="s">
        <v>52955</v>
      </c>
      <c r="H15966" t="s">
        <v>54021</v>
      </c>
      <c r="J15966" t="s">
        <v>54022</v>
      </c>
      <c r="P15966" t="s">
        <v>2084</v>
      </c>
      <c r="Y15966" t="s">
        <v>54024</v>
      </c>
    </row>
    <row r="15967" spans="1:25" x14ac:dyDescent="0.25">
      <c r="A15967" t="str">
        <f>"1224055851"</f>
        <v>1224055851</v>
      </c>
      <c r="B15967" t="s">
        <v>25</v>
      </c>
      <c r="C15967" t="s">
        <v>59</v>
      </c>
      <c r="D15967" t="s">
        <v>54025</v>
      </c>
      <c r="E15967">
        <v>425000</v>
      </c>
      <c r="F15967" t="s">
        <v>1</v>
      </c>
      <c r="G15967" t="s">
        <v>52955</v>
      </c>
      <c r="H15967" t="s">
        <v>53783</v>
      </c>
      <c r="J15967" t="s">
        <v>54026</v>
      </c>
      <c r="P15967" t="s">
        <v>152</v>
      </c>
      <c r="Y15967" t="s">
        <v>54027</v>
      </c>
    </row>
    <row r="15968" spans="1:25" x14ac:dyDescent="0.25">
      <c r="A15968" t="str">
        <f>"1224169543"</f>
        <v>1224169543</v>
      </c>
      <c r="B15968" t="s">
        <v>290</v>
      </c>
      <c r="C15968" t="s">
        <v>54030</v>
      </c>
      <c r="D15968" t="s">
        <v>54028</v>
      </c>
      <c r="F15968" t="s">
        <v>1</v>
      </c>
      <c r="G15968" t="s">
        <v>52955</v>
      </c>
      <c r="H15968" t="s">
        <v>53398</v>
      </c>
      <c r="I15968" t="s">
        <v>54029</v>
      </c>
      <c r="P15968" t="s">
        <v>54031</v>
      </c>
      <c r="Q15968" t="s">
        <v>54032</v>
      </c>
      <c r="Y15968" t="s">
        <v>54033</v>
      </c>
    </row>
    <row r="15969" spans="1:25" x14ac:dyDescent="0.25">
      <c r="A15969" t="str">
        <f>"1224725839"</f>
        <v>1224725839</v>
      </c>
      <c r="B15969" t="s">
        <v>328</v>
      </c>
      <c r="C15969" t="s">
        <v>1920</v>
      </c>
      <c r="D15969" t="s">
        <v>47146</v>
      </c>
      <c r="E15969">
        <v>425008</v>
      </c>
      <c r="F15969" t="s">
        <v>1</v>
      </c>
      <c r="G15969" t="s">
        <v>52955</v>
      </c>
      <c r="H15969" t="s">
        <v>53533</v>
      </c>
      <c r="I15969" t="s">
        <v>54034</v>
      </c>
      <c r="P15969" t="s">
        <v>20</v>
      </c>
      <c r="Y15969" t="s">
        <v>54035</v>
      </c>
    </row>
    <row r="15970" spans="1:25" x14ac:dyDescent="0.25">
      <c r="A15970" t="str">
        <f>"1225328403"</f>
        <v>1225328403</v>
      </c>
      <c r="B15970" t="s">
        <v>18</v>
      </c>
      <c r="C15970" t="s">
        <v>2593</v>
      </c>
      <c r="D15970" t="s">
        <v>54036</v>
      </c>
      <c r="E15970">
        <v>425000</v>
      </c>
      <c r="F15970" t="s">
        <v>1</v>
      </c>
      <c r="G15970" t="s">
        <v>52955</v>
      </c>
      <c r="H15970" t="s">
        <v>53075</v>
      </c>
      <c r="J15970" t="s">
        <v>54037</v>
      </c>
      <c r="P15970" t="s">
        <v>696</v>
      </c>
      <c r="Y15970" t="s">
        <v>53079</v>
      </c>
    </row>
    <row r="15971" spans="1:25" x14ac:dyDescent="0.25">
      <c r="A15971" t="str">
        <f>"1225585713"</f>
        <v>1225585713</v>
      </c>
      <c r="B15971" t="s">
        <v>80</v>
      </c>
      <c r="C15971" t="s">
        <v>32157</v>
      </c>
      <c r="D15971" t="s">
        <v>54038</v>
      </c>
      <c r="E15971">
        <v>425000</v>
      </c>
      <c r="F15971" t="s">
        <v>1</v>
      </c>
      <c r="G15971" t="s">
        <v>52955</v>
      </c>
      <c r="H15971" t="s">
        <v>53089</v>
      </c>
      <c r="I15971" t="s">
        <v>54039</v>
      </c>
      <c r="L15971" t="s">
        <v>54040</v>
      </c>
      <c r="P15971" t="s">
        <v>20</v>
      </c>
      <c r="Y15971" t="s">
        <v>54041</v>
      </c>
    </row>
    <row r="15972" spans="1:25" x14ac:dyDescent="0.25">
      <c r="A15972" t="str">
        <f>"1225771009"</f>
        <v>1225771009</v>
      </c>
      <c r="B15972" t="s">
        <v>379</v>
      </c>
      <c r="C15972" t="s">
        <v>380</v>
      </c>
      <c r="D15972" t="s">
        <v>8393</v>
      </c>
      <c r="F15972" t="s">
        <v>1</v>
      </c>
      <c r="G15972" t="s">
        <v>52955</v>
      </c>
      <c r="H15972" t="s">
        <v>54042</v>
      </c>
      <c r="I15972" t="s">
        <v>54043</v>
      </c>
      <c r="L15972" t="s">
        <v>8395</v>
      </c>
      <c r="M15972" t="s">
        <v>8396</v>
      </c>
      <c r="P15972" t="s">
        <v>2879</v>
      </c>
      <c r="Q15972" t="s">
        <v>8412</v>
      </c>
      <c r="R15972" t="s">
        <v>8399</v>
      </c>
      <c r="S15972" t="s">
        <v>8400</v>
      </c>
      <c r="T15972" t="s">
        <v>8401</v>
      </c>
      <c r="Y15972" t="s">
        <v>54044</v>
      </c>
    </row>
    <row r="15973" spans="1:25" x14ac:dyDescent="0.25">
      <c r="A15973" t="str">
        <f>"1227736262"</f>
        <v>1227736262</v>
      </c>
      <c r="B15973" t="s">
        <v>123</v>
      </c>
      <c r="C15973" t="s">
        <v>424</v>
      </c>
      <c r="D15973" t="s">
        <v>54045</v>
      </c>
      <c r="F15973" t="s">
        <v>1</v>
      </c>
      <c r="G15973" t="s">
        <v>52955</v>
      </c>
      <c r="H15973" t="s">
        <v>54046</v>
      </c>
      <c r="I15973" t="s">
        <v>54047</v>
      </c>
      <c r="L15973" t="s">
        <v>54048</v>
      </c>
      <c r="M15973" t="s">
        <v>54049</v>
      </c>
      <c r="P15973" t="s">
        <v>39889</v>
      </c>
      <c r="Y15973" t="s">
        <v>54050</v>
      </c>
    </row>
    <row r="15974" spans="1:25" x14ac:dyDescent="0.25">
      <c r="A15974" t="str">
        <f>"1228045273"</f>
        <v>1228045273</v>
      </c>
      <c r="B15974" t="s">
        <v>1061</v>
      </c>
      <c r="C15974" t="s">
        <v>54054</v>
      </c>
      <c r="D15974" t="s">
        <v>54051</v>
      </c>
      <c r="E15974">
        <v>425000</v>
      </c>
      <c r="F15974" t="s">
        <v>1</v>
      </c>
      <c r="G15974" t="s">
        <v>52955</v>
      </c>
      <c r="H15974" t="s">
        <v>54052</v>
      </c>
      <c r="I15974" t="s">
        <v>54053</v>
      </c>
      <c r="P15974" t="s">
        <v>280</v>
      </c>
      <c r="Y15974" t="s">
        <v>54055</v>
      </c>
    </row>
    <row r="15975" spans="1:25" x14ac:dyDescent="0.25">
      <c r="A15975" t="str">
        <f>"1228413070"</f>
        <v>1228413070</v>
      </c>
      <c r="B15975" t="s">
        <v>716</v>
      </c>
      <c r="C15975" t="s">
        <v>717</v>
      </c>
      <c r="D15975" t="s">
        <v>54056</v>
      </c>
      <c r="E15975">
        <v>425001</v>
      </c>
      <c r="F15975" t="s">
        <v>1</v>
      </c>
      <c r="G15975" t="s">
        <v>52955</v>
      </c>
      <c r="H15975" t="s">
        <v>54001</v>
      </c>
      <c r="J15975" t="s">
        <v>54057</v>
      </c>
      <c r="P15975" t="s">
        <v>330</v>
      </c>
      <c r="Y15975" t="s">
        <v>54004</v>
      </c>
    </row>
    <row r="15976" spans="1:25" x14ac:dyDescent="0.25">
      <c r="A15976" t="str">
        <f>"1228745852"</f>
        <v>1228745852</v>
      </c>
      <c r="B15976" t="s">
        <v>160</v>
      </c>
      <c r="C15976" t="s">
        <v>54062</v>
      </c>
      <c r="D15976" t="s">
        <v>54058</v>
      </c>
      <c r="E15976">
        <v>425003</v>
      </c>
      <c r="F15976" t="s">
        <v>1</v>
      </c>
      <c r="G15976" t="s">
        <v>52955</v>
      </c>
      <c r="H15976" t="s">
        <v>54059</v>
      </c>
      <c r="I15976" t="s">
        <v>54060</v>
      </c>
      <c r="L15976" t="s">
        <v>35807</v>
      </c>
      <c r="M15976" t="s">
        <v>54061</v>
      </c>
      <c r="P15976" t="s">
        <v>20</v>
      </c>
      <c r="Y15976" t="s">
        <v>54063</v>
      </c>
    </row>
    <row r="15977" spans="1:25" x14ac:dyDescent="0.25">
      <c r="A15977" t="str">
        <f>"1228881671"</f>
        <v>1228881671</v>
      </c>
      <c r="B15977" t="s">
        <v>519</v>
      </c>
      <c r="C15977" t="s">
        <v>54067</v>
      </c>
      <c r="D15977" t="s">
        <v>54064</v>
      </c>
      <c r="F15977" t="s">
        <v>1</v>
      </c>
      <c r="G15977" t="s">
        <v>52955</v>
      </c>
      <c r="H15977" t="s">
        <v>54065</v>
      </c>
      <c r="I15977" t="s">
        <v>54066</v>
      </c>
      <c r="P15977" t="s">
        <v>5396</v>
      </c>
      <c r="Y15977" t="s">
        <v>54068</v>
      </c>
    </row>
    <row r="15978" spans="1:25" x14ac:dyDescent="0.25">
      <c r="A15978" t="str">
        <f>"1229790954"</f>
        <v>1229790954</v>
      </c>
      <c r="B15978" t="s">
        <v>319</v>
      </c>
      <c r="C15978" t="s">
        <v>320</v>
      </c>
      <c r="D15978" t="s">
        <v>54069</v>
      </c>
      <c r="E15978">
        <v>425000</v>
      </c>
      <c r="F15978" t="s">
        <v>1</v>
      </c>
      <c r="G15978" t="s">
        <v>52955</v>
      </c>
      <c r="H15978" t="s">
        <v>53752</v>
      </c>
      <c r="I15978" t="s">
        <v>54070</v>
      </c>
      <c r="P15978" t="s">
        <v>4006</v>
      </c>
      <c r="Y15978" t="s">
        <v>54071</v>
      </c>
    </row>
    <row r="15979" spans="1:25" x14ac:dyDescent="0.25">
      <c r="A15979" t="str">
        <f>"1230475092"</f>
        <v>1230475092</v>
      </c>
      <c r="B15979" t="s">
        <v>1611</v>
      </c>
      <c r="C15979" t="s">
        <v>2214</v>
      </c>
      <c r="D15979" t="s">
        <v>54072</v>
      </c>
      <c r="E15979">
        <v>425000</v>
      </c>
      <c r="F15979" t="s">
        <v>1</v>
      </c>
      <c r="G15979" t="s">
        <v>52955</v>
      </c>
      <c r="H15979" t="s">
        <v>53822</v>
      </c>
      <c r="I15979" t="s">
        <v>54073</v>
      </c>
      <c r="M15979" t="s">
        <v>54074</v>
      </c>
      <c r="P15979" t="s">
        <v>54075</v>
      </c>
      <c r="Y15979" t="s">
        <v>54076</v>
      </c>
    </row>
    <row r="15980" spans="1:25" x14ac:dyDescent="0.25">
      <c r="A15980" t="str">
        <f>"1230525250"</f>
        <v>1230525250</v>
      </c>
      <c r="B15980" t="s">
        <v>930</v>
      </c>
      <c r="C15980" t="s">
        <v>54079</v>
      </c>
      <c r="D15980" t="s">
        <v>54077</v>
      </c>
      <c r="E15980">
        <v>425003</v>
      </c>
      <c r="F15980" t="s">
        <v>1</v>
      </c>
      <c r="G15980" t="s">
        <v>52955</v>
      </c>
      <c r="H15980" t="s">
        <v>54078</v>
      </c>
      <c r="P15980" t="s">
        <v>2738</v>
      </c>
      <c r="Q15980" t="s">
        <v>54080</v>
      </c>
      <c r="Y15980" t="s">
        <v>54081</v>
      </c>
    </row>
    <row r="15981" spans="1:25" x14ac:dyDescent="0.25">
      <c r="A15981" t="str">
        <f>"1230659032"</f>
        <v>1230659032</v>
      </c>
      <c r="B15981" t="s">
        <v>348</v>
      </c>
      <c r="C15981" t="s">
        <v>53599</v>
      </c>
      <c r="D15981" t="s">
        <v>54082</v>
      </c>
      <c r="F15981" t="s">
        <v>1</v>
      </c>
      <c r="G15981" t="s">
        <v>52955</v>
      </c>
      <c r="H15981" t="s">
        <v>53275</v>
      </c>
      <c r="I15981" t="s">
        <v>54083</v>
      </c>
      <c r="P15981" t="s">
        <v>1232</v>
      </c>
      <c r="Y15981" t="s">
        <v>54084</v>
      </c>
    </row>
    <row r="15982" spans="1:25" x14ac:dyDescent="0.25">
      <c r="A15982" t="str">
        <f>"1231558040"</f>
        <v>1231558040</v>
      </c>
      <c r="B15982" t="s">
        <v>290</v>
      </c>
      <c r="C15982" t="s">
        <v>290</v>
      </c>
      <c r="D15982" t="s">
        <v>29216</v>
      </c>
      <c r="F15982" t="s">
        <v>1</v>
      </c>
      <c r="G15982" t="s">
        <v>52955</v>
      </c>
      <c r="H15982" t="s">
        <v>53198</v>
      </c>
      <c r="I15982" t="s">
        <v>54085</v>
      </c>
      <c r="J15982" t="s">
        <v>54086</v>
      </c>
      <c r="P15982" t="s">
        <v>6653</v>
      </c>
      <c r="Y15982" t="s">
        <v>54087</v>
      </c>
    </row>
    <row r="15983" spans="1:25" x14ac:dyDescent="0.25">
      <c r="A15983" t="str">
        <f>"1232110355"</f>
        <v>1232110355</v>
      </c>
      <c r="B15983" t="s">
        <v>1053</v>
      </c>
      <c r="C15983" t="s">
        <v>54091</v>
      </c>
      <c r="D15983" t="s">
        <v>54088</v>
      </c>
      <c r="E15983">
        <v>425000</v>
      </c>
      <c r="F15983" t="s">
        <v>1</v>
      </c>
      <c r="G15983" t="s">
        <v>52955</v>
      </c>
      <c r="H15983" t="s">
        <v>54089</v>
      </c>
      <c r="I15983" t="s">
        <v>54090</v>
      </c>
      <c r="P15983" t="s">
        <v>54092</v>
      </c>
      <c r="Y15983" t="s">
        <v>54093</v>
      </c>
    </row>
    <row r="15984" spans="1:25" x14ac:dyDescent="0.25">
      <c r="A15984" t="str">
        <f>"1233050209"</f>
        <v>1233050209</v>
      </c>
      <c r="B15984" t="s">
        <v>18</v>
      </c>
      <c r="C15984" t="s">
        <v>45829</v>
      </c>
      <c r="D15984" t="s">
        <v>14077</v>
      </c>
      <c r="F15984" t="s">
        <v>1</v>
      </c>
      <c r="G15984" t="s">
        <v>52955</v>
      </c>
      <c r="H15984" t="s">
        <v>54094</v>
      </c>
      <c r="J15984" t="s">
        <v>54095</v>
      </c>
      <c r="L15984" t="s">
        <v>54096</v>
      </c>
      <c r="M15984" t="s">
        <v>54097</v>
      </c>
      <c r="P15984" t="s">
        <v>20</v>
      </c>
      <c r="Y15984" t="s">
        <v>54098</v>
      </c>
    </row>
    <row r="15985" spans="1:25" x14ac:dyDescent="0.25">
      <c r="A15985" t="str">
        <f>"1233358072"</f>
        <v>1233358072</v>
      </c>
      <c r="B15985" t="s">
        <v>18</v>
      </c>
      <c r="C15985" t="s">
        <v>17274</v>
      </c>
      <c r="D15985" t="s">
        <v>54099</v>
      </c>
      <c r="E15985">
        <v>425008</v>
      </c>
      <c r="F15985" t="s">
        <v>1</v>
      </c>
      <c r="G15985" t="s">
        <v>52955</v>
      </c>
      <c r="H15985" t="s">
        <v>53857</v>
      </c>
      <c r="J15985" t="s">
        <v>54100</v>
      </c>
      <c r="P15985" t="s">
        <v>410</v>
      </c>
      <c r="Y15985" t="s">
        <v>54101</v>
      </c>
    </row>
    <row r="15986" spans="1:25" x14ac:dyDescent="0.25">
      <c r="A15986" t="str">
        <f>"1234406458"</f>
        <v>1234406458</v>
      </c>
      <c r="B15986" t="s">
        <v>123</v>
      </c>
      <c r="C15986" t="s">
        <v>424</v>
      </c>
      <c r="D15986" t="s">
        <v>54102</v>
      </c>
      <c r="E15986">
        <v>425011</v>
      </c>
      <c r="F15986" t="s">
        <v>1</v>
      </c>
      <c r="G15986" t="s">
        <v>52955</v>
      </c>
      <c r="H15986" t="s">
        <v>54103</v>
      </c>
      <c r="I15986" t="s">
        <v>54104</v>
      </c>
      <c r="L15986" t="s">
        <v>53141</v>
      </c>
      <c r="M15986" t="s">
        <v>54105</v>
      </c>
      <c r="P15986" t="s">
        <v>39889</v>
      </c>
      <c r="Y15986" t="s">
        <v>54106</v>
      </c>
    </row>
    <row r="15987" spans="1:25" x14ac:dyDescent="0.25">
      <c r="A15987" t="str">
        <f>"1235804303"</f>
        <v>1235804303</v>
      </c>
      <c r="B15987" t="s">
        <v>1352</v>
      </c>
      <c r="C15987" t="s">
        <v>54109</v>
      </c>
      <c r="D15987" t="s">
        <v>54107</v>
      </c>
      <c r="E15987">
        <v>425000</v>
      </c>
      <c r="F15987" t="s">
        <v>1</v>
      </c>
      <c r="G15987" t="s">
        <v>52955</v>
      </c>
      <c r="H15987" t="s">
        <v>53132</v>
      </c>
      <c r="J15987" t="s">
        <v>54108</v>
      </c>
      <c r="P15987" t="s">
        <v>54110</v>
      </c>
      <c r="Y15987" t="s">
        <v>54111</v>
      </c>
    </row>
    <row r="15988" spans="1:25" x14ac:dyDescent="0.25">
      <c r="A15988" t="str">
        <f>"1236763443"</f>
        <v>1236763443</v>
      </c>
      <c r="B15988" t="s">
        <v>3094</v>
      </c>
      <c r="C15988" t="s">
        <v>3095</v>
      </c>
      <c r="D15988" t="s">
        <v>54112</v>
      </c>
      <c r="E15988">
        <v>425005</v>
      </c>
      <c r="F15988" t="s">
        <v>1</v>
      </c>
      <c r="G15988" t="s">
        <v>52955</v>
      </c>
      <c r="H15988" t="s">
        <v>54113</v>
      </c>
      <c r="I15988" t="s">
        <v>54114</v>
      </c>
      <c r="M15988" t="s">
        <v>54115</v>
      </c>
      <c r="P15988" t="s">
        <v>280</v>
      </c>
      <c r="Y15988" t="s">
        <v>54116</v>
      </c>
    </row>
    <row r="15989" spans="1:25" x14ac:dyDescent="0.25">
      <c r="A15989" t="str">
        <f>"1236942408"</f>
        <v>1236942408</v>
      </c>
      <c r="B15989" t="s">
        <v>1475</v>
      </c>
      <c r="C15989" t="s">
        <v>35395</v>
      </c>
      <c r="D15989" t="s">
        <v>54117</v>
      </c>
      <c r="E15989">
        <v>425011</v>
      </c>
      <c r="F15989" t="s">
        <v>1</v>
      </c>
      <c r="G15989" t="s">
        <v>52955</v>
      </c>
      <c r="H15989" t="s">
        <v>54118</v>
      </c>
      <c r="I15989" t="s">
        <v>54119</v>
      </c>
      <c r="J15989" t="s">
        <v>54120</v>
      </c>
      <c r="P15989" t="s">
        <v>133</v>
      </c>
      <c r="Y15989" t="s">
        <v>54121</v>
      </c>
    </row>
    <row r="15990" spans="1:25" x14ac:dyDescent="0.25">
      <c r="A15990" t="str">
        <f>"1237615904"</f>
        <v>1237615904</v>
      </c>
      <c r="B15990" t="s">
        <v>519</v>
      </c>
      <c r="C15990" t="s">
        <v>54126</v>
      </c>
      <c r="D15990" t="s">
        <v>54122</v>
      </c>
      <c r="F15990" t="s">
        <v>1</v>
      </c>
      <c r="G15990" t="s">
        <v>52955</v>
      </c>
      <c r="H15990" t="s">
        <v>54046</v>
      </c>
      <c r="I15990" t="s">
        <v>54123</v>
      </c>
      <c r="L15990" t="s">
        <v>54124</v>
      </c>
      <c r="M15990" t="s">
        <v>54125</v>
      </c>
      <c r="P15990" t="s">
        <v>20</v>
      </c>
      <c r="Y15990" t="s">
        <v>54127</v>
      </c>
    </row>
    <row r="15991" spans="1:25" x14ac:dyDescent="0.25">
      <c r="A15991" t="str">
        <f>"1238403176"</f>
        <v>1238403176</v>
      </c>
      <c r="B15991" t="s">
        <v>3652</v>
      </c>
      <c r="C15991" t="s">
        <v>3685</v>
      </c>
      <c r="D15991" t="s">
        <v>54128</v>
      </c>
      <c r="E15991">
        <v>425001</v>
      </c>
      <c r="F15991" t="s">
        <v>1</v>
      </c>
      <c r="G15991" t="s">
        <v>52955</v>
      </c>
      <c r="H15991" t="s">
        <v>53185</v>
      </c>
      <c r="I15991" t="s">
        <v>54129</v>
      </c>
      <c r="L15991" t="s">
        <v>597</v>
      </c>
      <c r="M15991" t="s">
        <v>54130</v>
      </c>
      <c r="P15991" t="s">
        <v>280</v>
      </c>
      <c r="Y15991" t="s">
        <v>53189</v>
      </c>
    </row>
    <row r="15992" spans="1:25" x14ac:dyDescent="0.25">
      <c r="A15992" t="str">
        <f>"1238495283"</f>
        <v>1238495283</v>
      </c>
      <c r="B15992" t="s">
        <v>25</v>
      </c>
      <c r="C15992" t="s">
        <v>54132</v>
      </c>
      <c r="D15992" t="s">
        <v>25</v>
      </c>
      <c r="E15992">
        <v>425008</v>
      </c>
      <c r="F15992" t="s">
        <v>1</v>
      </c>
      <c r="G15992" t="s">
        <v>52955</v>
      </c>
      <c r="H15992" t="s">
        <v>53567</v>
      </c>
      <c r="J15992" t="s">
        <v>54131</v>
      </c>
      <c r="P15992" t="s">
        <v>152</v>
      </c>
      <c r="Y15992" t="s">
        <v>54133</v>
      </c>
    </row>
    <row r="15993" spans="1:25" x14ac:dyDescent="0.25">
      <c r="A15993" t="str">
        <f>"1238958347"</f>
        <v>1238958347</v>
      </c>
      <c r="B15993" t="s">
        <v>930</v>
      </c>
      <c r="C15993" t="s">
        <v>54137</v>
      </c>
      <c r="D15993" t="s">
        <v>54134</v>
      </c>
      <c r="E15993">
        <v>425000</v>
      </c>
      <c r="F15993" t="s">
        <v>1</v>
      </c>
      <c r="G15993" t="s">
        <v>52955</v>
      </c>
      <c r="H15993" t="s">
        <v>53093</v>
      </c>
      <c r="I15993" t="s">
        <v>54135</v>
      </c>
      <c r="J15993" t="s">
        <v>54136</v>
      </c>
      <c r="P15993" t="s">
        <v>7390</v>
      </c>
      <c r="Y15993" t="s">
        <v>54138</v>
      </c>
    </row>
    <row r="15994" spans="1:25" x14ac:dyDescent="0.25">
      <c r="A15994" t="str">
        <f>"1239486112"</f>
        <v>1239486112</v>
      </c>
      <c r="B15994" t="s">
        <v>430</v>
      </c>
      <c r="C15994" t="s">
        <v>940</v>
      </c>
      <c r="D15994" t="s">
        <v>54139</v>
      </c>
      <c r="F15994" t="s">
        <v>1</v>
      </c>
      <c r="G15994" t="s">
        <v>52955</v>
      </c>
      <c r="H15994" t="s">
        <v>53404</v>
      </c>
      <c r="J15994" t="s">
        <v>54140</v>
      </c>
      <c r="P15994" t="s">
        <v>27</v>
      </c>
      <c r="Y15994" t="s">
        <v>53547</v>
      </c>
    </row>
    <row r="15995" spans="1:25" x14ac:dyDescent="0.25">
      <c r="A15995" t="str">
        <f>"1240305997"</f>
        <v>1240305997</v>
      </c>
      <c r="B15995" t="s">
        <v>3573</v>
      </c>
      <c r="C15995" t="s">
        <v>3574</v>
      </c>
      <c r="D15995" t="s">
        <v>54141</v>
      </c>
      <c r="E15995">
        <v>425011</v>
      </c>
      <c r="F15995" t="s">
        <v>1</v>
      </c>
      <c r="G15995" t="s">
        <v>52955</v>
      </c>
      <c r="H15995" t="s">
        <v>53976</v>
      </c>
      <c r="I15995" t="s">
        <v>54142</v>
      </c>
      <c r="K15995" t="s">
        <v>54143</v>
      </c>
      <c r="L15995" t="s">
        <v>54144</v>
      </c>
      <c r="P15995" t="s">
        <v>20</v>
      </c>
      <c r="Q15995" t="s">
        <v>54145</v>
      </c>
      <c r="Y15995" t="s">
        <v>54146</v>
      </c>
    </row>
    <row r="15996" spans="1:25" x14ac:dyDescent="0.25">
      <c r="A15996" t="str">
        <f>"1241421059"</f>
        <v>1241421059</v>
      </c>
      <c r="B15996" t="s">
        <v>574</v>
      </c>
      <c r="C15996" t="s">
        <v>646</v>
      </c>
      <c r="D15996" t="s">
        <v>54147</v>
      </c>
      <c r="E15996">
        <v>425001</v>
      </c>
      <c r="F15996" t="s">
        <v>1</v>
      </c>
      <c r="G15996" t="s">
        <v>52955</v>
      </c>
      <c r="H15996" t="s">
        <v>54148</v>
      </c>
      <c r="I15996" t="s">
        <v>53296</v>
      </c>
      <c r="P15996" t="s">
        <v>9840</v>
      </c>
      <c r="Y15996" t="s">
        <v>54149</v>
      </c>
    </row>
    <row r="15997" spans="1:25" x14ac:dyDescent="0.25">
      <c r="A15997" t="str">
        <f>"1241785533"</f>
        <v>1241785533</v>
      </c>
      <c r="B15997" t="s">
        <v>96</v>
      </c>
      <c r="C15997" t="s">
        <v>507</v>
      </c>
      <c r="D15997" t="s">
        <v>8943</v>
      </c>
      <c r="F15997" t="s">
        <v>1</v>
      </c>
      <c r="G15997" t="s">
        <v>52955</v>
      </c>
      <c r="H15997" t="s">
        <v>53198</v>
      </c>
      <c r="P15997" t="s">
        <v>3456</v>
      </c>
      <c r="Y15997" t="s">
        <v>54150</v>
      </c>
    </row>
    <row r="15998" spans="1:25" x14ac:dyDescent="0.25">
      <c r="A15998" t="str">
        <f>"1241795656"</f>
        <v>1241795656</v>
      </c>
      <c r="B15998" t="s">
        <v>32</v>
      </c>
      <c r="C15998" t="s">
        <v>28032</v>
      </c>
      <c r="D15998" t="s">
        <v>54151</v>
      </c>
      <c r="E15998">
        <v>425000</v>
      </c>
      <c r="F15998" t="s">
        <v>1</v>
      </c>
      <c r="G15998" t="s">
        <v>52955</v>
      </c>
      <c r="H15998" t="s">
        <v>54152</v>
      </c>
      <c r="J15998" t="s">
        <v>54153</v>
      </c>
      <c r="P15998" t="s">
        <v>216</v>
      </c>
      <c r="Y15998" t="s">
        <v>54154</v>
      </c>
    </row>
    <row r="15999" spans="1:25" x14ac:dyDescent="0.25">
      <c r="A15999" t="str">
        <f>"1242333075"</f>
        <v>1242333075</v>
      </c>
      <c r="B15999" t="s">
        <v>18</v>
      </c>
      <c r="C15999" t="s">
        <v>54160</v>
      </c>
      <c r="D15999" t="s">
        <v>54155</v>
      </c>
      <c r="F15999" t="s">
        <v>1</v>
      </c>
      <c r="G15999" t="s">
        <v>52955</v>
      </c>
      <c r="H15999" t="s">
        <v>53211</v>
      </c>
      <c r="I15999" t="s">
        <v>54156</v>
      </c>
      <c r="J15999" t="s">
        <v>54157</v>
      </c>
      <c r="L15999" t="s">
        <v>54158</v>
      </c>
      <c r="M15999" t="s">
        <v>54159</v>
      </c>
      <c r="P15999" t="s">
        <v>11801</v>
      </c>
      <c r="Q15999" t="s">
        <v>54161</v>
      </c>
      <c r="Y15999" t="s">
        <v>53759</v>
      </c>
    </row>
    <row r="16000" spans="1:25" x14ac:dyDescent="0.25">
      <c r="A16000" t="str">
        <f>"1242480570"</f>
        <v>1242480570</v>
      </c>
      <c r="B16000" t="s">
        <v>738</v>
      </c>
      <c r="C16000" t="s">
        <v>54164</v>
      </c>
      <c r="D16000" t="s">
        <v>54162</v>
      </c>
      <c r="E16000">
        <v>425008</v>
      </c>
      <c r="F16000" t="s">
        <v>1</v>
      </c>
      <c r="G16000" t="s">
        <v>52955</v>
      </c>
      <c r="H16000" t="s">
        <v>53857</v>
      </c>
      <c r="J16000" t="s">
        <v>54163</v>
      </c>
      <c r="P16000" t="s">
        <v>54165</v>
      </c>
      <c r="Y16000" t="s">
        <v>54166</v>
      </c>
    </row>
    <row r="16001" spans="1:25" x14ac:dyDescent="0.25">
      <c r="A16001" t="str">
        <f>"1243308492"</f>
        <v>1243308492</v>
      </c>
      <c r="B16001" t="s">
        <v>2055</v>
      </c>
      <c r="C16001" t="s">
        <v>2623</v>
      </c>
      <c r="D16001" t="s">
        <v>54167</v>
      </c>
      <c r="E16001">
        <v>425000</v>
      </c>
      <c r="F16001" t="s">
        <v>1</v>
      </c>
      <c r="G16001" t="s">
        <v>52955</v>
      </c>
      <c r="H16001" t="s">
        <v>53093</v>
      </c>
      <c r="I16001" t="s">
        <v>54168</v>
      </c>
      <c r="J16001" t="s">
        <v>54169</v>
      </c>
      <c r="L16001" t="s">
        <v>54170</v>
      </c>
      <c r="M16001" t="s">
        <v>54171</v>
      </c>
      <c r="P16001" t="s">
        <v>390</v>
      </c>
      <c r="Y16001" t="s">
        <v>53099</v>
      </c>
    </row>
    <row r="16002" spans="1:25" x14ac:dyDescent="0.25">
      <c r="A16002" t="str">
        <f>"1243706729"</f>
        <v>1243706729</v>
      </c>
      <c r="B16002" t="s">
        <v>18</v>
      </c>
      <c r="C16002" t="s">
        <v>54174</v>
      </c>
      <c r="D16002" t="s">
        <v>54172</v>
      </c>
      <c r="E16002">
        <v>425000</v>
      </c>
      <c r="F16002" t="s">
        <v>1</v>
      </c>
      <c r="G16002" t="s">
        <v>52955</v>
      </c>
      <c r="H16002" t="s">
        <v>53783</v>
      </c>
      <c r="I16002" t="s">
        <v>54173</v>
      </c>
      <c r="P16002" t="s">
        <v>20089</v>
      </c>
      <c r="Y16002" t="s">
        <v>54175</v>
      </c>
    </row>
    <row r="16003" spans="1:25" x14ac:dyDescent="0.25">
      <c r="A16003" t="str">
        <f>"1244240943"</f>
        <v>1244240943</v>
      </c>
      <c r="B16003" t="s">
        <v>1053</v>
      </c>
      <c r="C16003" t="s">
        <v>54177</v>
      </c>
      <c r="D16003" t="s">
        <v>19484</v>
      </c>
      <c r="E16003">
        <v>425000</v>
      </c>
      <c r="F16003" t="s">
        <v>1</v>
      </c>
      <c r="G16003" t="s">
        <v>52955</v>
      </c>
      <c r="H16003" t="s">
        <v>53174</v>
      </c>
      <c r="I16003" t="s">
        <v>54176</v>
      </c>
      <c r="K16003" t="s">
        <v>54176</v>
      </c>
      <c r="L16003" t="s">
        <v>19486</v>
      </c>
      <c r="M16003" t="s">
        <v>19487</v>
      </c>
      <c r="P16003" t="s">
        <v>20</v>
      </c>
      <c r="Y16003" t="s">
        <v>53176</v>
      </c>
    </row>
    <row r="16004" spans="1:25" x14ac:dyDescent="0.25">
      <c r="A16004" t="str">
        <f>"1245522405"</f>
        <v>1245522405</v>
      </c>
      <c r="B16004" t="s">
        <v>930</v>
      </c>
      <c r="C16004" t="s">
        <v>1096</v>
      </c>
      <c r="D16004" t="s">
        <v>54178</v>
      </c>
      <c r="E16004">
        <v>425000</v>
      </c>
      <c r="F16004" t="s">
        <v>1</v>
      </c>
      <c r="G16004" t="s">
        <v>52955</v>
      </c>
      <c r="H16004" t="s">
        <v>53114</v>
      </c>
      <c r="J16004" t="s">
        <v>54179</v>
      </c>
      <c r="P16004" t="s">
        <v>6400</v>
      </c>
      <c r="Y16004" t="s">
        <v>54180</v>
      </c>
    </row>
    <row r="16005" spans="1:25" x14ac:dyDescent="0.25">
      <c r="A16005" t="str">
        <f>"1245617657"</f>
        <v>1245617657</v>
      </c>
      <c r="B16005" t="s">
        <v>348</v>
      </c>
      <c r="C16005" t="s">
        <v>54183</v>
      </c>
      <c r="D16005" t="s">
        <v>54181</v>
      </c>
      <c r="F16005" t="s">
        <v>1</v>
      </c>
      <c r="G16005" t="s">
        <v>52955</v>
      </c>
      <c r="H16005" t="s">
        <v>53288</v>
      </c>
      <c r="I16005" t="s">
        <v>54182</v>
      </c>
      <c r="P16005" t="s">
        <v>584</v>
      </c>
      <c r="Y16005" t="s">
        <v>54184</v>
      </c>
    </row>
    <row r="16006" spans="1:25" x14ac:dyDescent="0.25">
      <c r="A16006" t="str">
        <f>"1246660535"</f>
        <v>1246660535</v>
      </c>
      <c r="B16006" t="s">
        <v>319</v>
      </c>
      <c r="C16006" t="s">
        <v>320</v>
      </c>
      <c r="D16006" t="s">
        <v>2733</v>
      </c>
      <c r="F16006" t="s">
        <v>1</v>
      </c>
      <c r="G16006" t="s">
        <v>52955</v>
      </c>
      <c r="H16006" t="s">
        <v>54185</v>
      </c>
      <c r="I16006" t="s">
        <v>54186</v>
      </c>
      <c r="J16006" t="s">
        <v>54187</v>
      </c>
      <c r="P16006" t="s">
        <v>330</v>
      </c>
      <c r="Y16006" t="s">
        <v>54188</v>
      </c>
    </row>
    <row r="16007" spans="1:25" x14ac:dyDescent="0.25">
      <c r="A16007" t="str">
        <f>"1247132552"</f>
        <v>1247132552</v>
      </c>
      <c r="B16007" t="s">
        <v>319</v>
      </c>
      <c r="C16007" t="s">
        <v>320</v>
      </c>
      <c r="D16007" t="s">
        <v>54069</v>
      </c>
      <c r="E16007">
        <v>425003</v>
      </c>
      <c r="F16007" t="s">
        <v>1</v>
      </c>
      <c r="G16007" t="s">
        <v>52955</v>
      </c>
      <c r="H16007" t="s">
        <v>54189</v>
      </c>
      <c r="I16007" t="s">
        <v>54190</v>
      </c>
      <c r="P16007" t="s">
        <v>216</v>
      </c>
      <c r="Y16007" t="s">
        <v>54191</v>
      </c>
    </row>
    <row r="16008" spans="1:25" x14ac:dyDescent="0.25">
      <c r="A16008" t="str">
        <f>"1248787103"</f>
        <v>1248787103</v>
      </c>
      <c r="B16008" t="s">
        <v>32</v>
      </c>
      <c r="C16008" t="s">
        <v>40</v>
      </c>
      <c r="D16008" t="s">
        <v>17297</v>
      </c>
      <c r="E16008">
        <v>425003</v>
      </c>
      <c r="F16008" t="s">
        <v>1</v>
      </c>
      <c r="G16008" t="s">
        <v>52955</v>
      </c>
      <c r="H16008" t="s">
        <v>53610</v>
      </c>
      <c r="P16008" t="s">
        <v>54192</v>
      </c>
      <c r="Y16008" t="s">
        <v>54193</v>
      </c>
    </row>
    <row r="16009" spans="1:25" x14ac:dyDescent="0.25">
      <c r="A16009" t="str">
        <f>"1251841295"</f>
        <v>1251841295</v>
      </c>
      <c r="B16009" t="s">
        <v>204</v>
      </c>
      <c r="C16009" t="s">
        <v>54197</v>
      </c>
      <c r="D16009" t="s">
        <v>54194</v>
      </c>
      <c r="E16009">
        <v>425000</v>
      </c>
      <c r="F16009" t="s">
        <v>1</v>
      </c>
      <c r="G16009" t="s">
        <v>52955</v>
      </c>
      <c r="H16009" t="s">
        <v>53066</v>
      </c>
      <c r="I16009" t="s">
        <v>54195</v>
      </c>
      <c r="L16009" t="s">
        <v>33332</v>
      </c>
      <c r="M16009" t="s">
        <v>54196</v>
      </c>
      <c r="P16009" t="s">
        <v>54198</v>
      </c>
      <c r="Y16009" t="s">
        <v>54199</v>
      </c>
    </row>
    <row r="16010" spans="1:25" x14ac:dyDescent="0.25">
      <c r="A16010" t="str">
        <f>"1252466069"</f>
        <v>1252466069</v>
      </c>
      <c r="B16010" t="s">
        <v>13560</v>
      </c>
      <c r="C16010" t="s">
        <v>19433</v>
      </c>
      <c r="D16010" t="s">
        <v>54200</v>
      </c>
      <c r="F16010" t="s">
        <v>1</v>
      </c>
      <c r="G16010" t="s">
        <v>52955</v>
      </c>
      <c r="H16010" t="s">
        <v>54201</v>
      </c>
      <c r="I16010" t="s">
        <v>54202</v>
      </c>
      <c r="P16010" t="s">
        <v>54203</v>
      </c>
      <c r="Y16010" t="s">
        <v>54204</v>
      </c>
    </row>
    <row r="16011" spans="1:25" x14ac:dyDescent="0.25">
      <c r="A16011" t="str">
        <f>"1252513236"</f>
        <v>1252513236</v>
      </c>
      <c r="B16011" t="s">
        <v>18</v>
      </c>
      <c r="C16011" t="s">
        <v>143</v>
      </c>
      <c r="D16011" t="s">
        <v>54205</v>
      </c>
      <c r="E16011">
        <v>425000</v>
      </c>
      <c r="F16011" t="s">
        <v>1</v>
      </c>
      <c r="G16011" t="s">
        <v>52955</v>
      </c>
      <c r="H16011" t="s">
        <v>54206</v>
      </c>
      <c r="J16011" t="s">
        <v>54207</v>
      </c>
      <c r="L16011" t="s">
        <v>54208</v>
      </c>
      <c r="M16011" t="s">
        <v>54209</v>
      </c>
      <c r="P16011" t="s">
        <v>27</v>
      </c>
      <c r="Y16011" t="s">
        <v>54210</v>
      </c>
    </row>
    <row r="16012" spans="1:25" x14ac:dyDescent="0.25">
      <c r="A16012" t="str">
        <f>"1253600255"</f>
        <v>1253600255</v>
      </c>
      <c r="B16012" t="s">
        <v>456</v>
      </c>
      <c r="C16012" t="s">
        <v>54216</v>
      </c>
      <c r="D16012" t="s">
        <v>54211</v>
      </c>
      <c r="E16012">
        <v>425000</v>
      </c>
      <c r="F16012" t="s">
        <v>1</v>
      </c>
      <c r="G16012" t="s">
        <v>52955</v>
      </c>
      <c r="H16012" t="s">
        <v>54212</v>
      </c>
      <c r="J16012" t="s">
        <v>54213</v>
      </c>
      <c r="L16012" t="s">
        <v>54214</v>
      </c>
      <c r="M16012" t="s">
        <v>54215</v>
      </c>
      <c r="P16012" t="s">
        <v>1232</v>
      </c>
      <c r="Y16012" t="s">
        <v>54217</v>
      </c>
    </row>
    <row r="16013" spans="1:25" x14ac:dyDescent="0.25">
      <c r="A16013" t="str">
        <f>"1254767142"</f>
        <v>1254767142</v>
      </c>
      <c r="B16013" t="s">
        <v>25</v>
      </c>
      <c r="C16013" t="s">
        <v>59</v>
      </c>
      <c r="D16013" t="s">
        <v>54218</v>
      </c>
      <c r="E16013">
        <v>425001</v>
      </c>
      <c r="F16013" t="s">
        <v>1</v>
      </c>
      <c r="G16013" t="s">
        <v>52955</v>
      </c>
      <c r="H16013" t="s">
        <v>54219</v>
      </c>
      <c r="Y16013" t="s">
        <v>54220</v>
      </c>
    </row>
    <row r="16014" spans="1:25" x14ac:dyDescent="0.25">
      <c r="A16014" t="str">
        <f>"1254783492"</f>
        <v>1254783492</v>
      </c>
      <c r="B16014" t="s">
        <v>123</v>
      </c>
      <c r="C16014" t="s">
        <v>424</v>
      </c>
      <c r="D16014" t="s">
        <v>54221</v>
      </c>
      <c r="F16014" t="s">
        <v>1</v>
      </c>
      <c r="G16014" t="s">
        <v>52955</v>
      </c>
      <c r="H16014" t="s">
        <v>54222</v>
      </c>
      <c r="I16014" t="s">
        <v>54223</v>
      </c>
      <c r="M16014" t="s">
        <v>54224</v>
      </c>
      <c r="P16014" t="s">
        <v>39889</v>
      </c>
      <c r="Y16014" t="s">
        <v>54225</v>
      </c>
    </row>
    <row r="16015" spans="1:25" x14ac:dyDescent="0.25">
      <c r="A16015" t="str">
        <f>"1255092332"</f>
        <v>1255092332</v>
      </c>
      <c r="B16015" t="s">
        <v>32</v>
      </c>
      <c r="C16015" t="s">
        <v>182</v>
      </c>
      <c r="D16015" t="s">
        <v>16935</v>
      </c>
      <c r="E16015">
        <v>425008</v>
      </c>
      <c r="F16015" t="s">
        <v>1</v>
      </c>
      <c r="G16015" t="s">
        <v>52955</v>
      </c>
      <c r="H16015" t="s">
        <v>53614</v>
      </c>
      <c r="J16015" t="s">
        <v>54226</v>
      </c>
      <c r="P16015" t="s">
        <v>14067</v>
      </c>
      <c r="Y16015" t="s">
        <v>53616</v>
      </c>
    </row>
    <row r="16016" spans="1:25" x14ac:dyDescent="0.25">
      <c r="A16016" t="str">
        <f>"1255752021"</f>
        <v>1255752021</v>
      </c>
      <c r="B16016" t="s">
        <v>96</v>
      </c>
      <c r="C16016" t="s">
        <v>54231</v>
      </c>
      <c r="D16016" t="s">
        <v>54227</v>
      </c>
      <c r="E16016">
        <v>425008</v>
      </c>
      <c r="F16016" t="s">
        <v>1</v>
      </c>
      <c r="G16016" t="s">
        <v>52955</v>
      </c>
      <c r="H16016" t="s">
        <v>53554</v>
      </c>
      <c r="I16016" t="s">
        <v>54228</v>
      </c>
      <c r="J16016" t="s">
        <v>54229</v>
      </c>
      <c r="M16016" t="s">
        <v>54230</v>
      </c>
      <c r="P16016" t="s">
        <v>911</v>
      </c>
      <c r="V16016" t="s">
        <v>54232</v>
      </c>
      <c r="Y16016" t="s">
        <v>54233</v>
      </c>
    </row>
    <row r="16017" spans="1:25" x14ac:dyDescent="0.25">
      <c r="A16017" t="str">
        <f>"1255788692"</f>
        <v>1255788692</v>
      </c>
      <c r="B16017" t="s">
        <v>1222</v>
      </c>
      <c r="C16017" t="s">
        <v>12417</v>
      </c>
      <c r="D16017" t="s">
        <v>54234</v>
      </c>
      <c r="F16017" t="s">
        <v>1</v>
      </c>
      <c r="G16017" t="s">
        <v>52955</v>
      </c>
      <c r="H16017" t="s">
        <v>52989</v>
      </c>
      <c r="J16017" t="s">
        <v>54235</v>
      </c>
      <c r="P16017" t="s">
        <v>458</v>
      </c>
      <c r="Y16017" t="s">
        <v>53039</v>
      </c>
    </row>
    <row r="16018" spans="1:25" x14ac:dyDescent="0.25">
      <c r="A16018" t="str">
        <f>"1256204690"</f>
        <v>1256204690</v>
      </c>
      <c r="B16018" t="s">
        <v>2104</v>
      </c>
      <c r="C16018" t="s">
        <v>13387</v>
      </c>
      <c r="D16018" t="s">
        <v>54236</v>
      </c>
      <c r="E16018">
        <v>425000</v>
      </c>
      <c r="F16018" t="s">
        <v>1</v>
      </c>
      <c r="G16018" t="s">
        <v>52955</v>
      </c>
      <c r="H16018" t="s">
        <v>54021</v>
      </c>
      <c r="I16018" t="s">
        <v>54237</v>
      </c>
      <c r="L16018" t="s">
        <v>54238</v>
      </c>
      <c r="M16018" t="s">
        <v>54239</v>
      </c>
      <c r="P16018" t="s">
        <v>54240</v>
      </c>
      <c r="Y16018" t="s">
        <v>54024</v>
      </c>
    </row>
    <row r="16019" spans="1:25" x14ac:dyDescent="0.25">
      <c r="A16019" t="str">
        <f>"1257876251"</f>
        <v>1257876251</v>
      </c>
      <c r="B16019" t="s">
        <v>123</v>
      </c>
      <c r="C16019" t="s">
        <v>424</v>
      </c>
      <c r="D16019" t="s">
        <v>424</v>
      </c>
      <c r="F16019" t="s">
        <v>1</v>
      </c>
      <c r="G16019" t="s">
        <v>52955</v>
      </c>
      <c r="H16019" t="s">
        <v>54241</v>
      </c>
      <c r="I16019" t="s">
        <v>54242</v>
      </c>
      <c r="L16019" t="s">
        <v>54243</v>
      </c>
      <c r="M16019" t="s">
        <v>54244</v>
      </c>
      <c r="P16019" t="s">
        <v>39889</v>
      </c>
      <c r="Y16019" t="s">
        <v>54245</v>
      </c>
    </row>
    <row r="16020" spans="1:25" x14ac:dyDescent="0.25">
      <c r="A16020" t="str">
        <f>"1258258187"</f>
        <v>1258258187</v>
      </c>
      <c r="B16020" t="s">
        <v>1343</v>
      </c>
      <c r="C16020" t="s">
        <v>1344</v>
      </c>
      <c r="D16020" t="s">
        <v>54246</v>
      </c>
      <c r="E16020">
        <v>425000</v>
      </c>
      <c r="F16020" t="s">
        <v>1</v>
      </c>
      <c r="G16020" t="s">
        <v>52955</v>
      </c>
      <c r="H16020" t="s">
        <v>54206</v>
      </c>
      <c r="J16020" t="s">
        <v>54247</v>
      </c>
      <c r="P16020" t="s">
        <v>133</v>
      </c>
      <c r="Y16020" t="s">
        <v>54248</v>
      </c>
    </row>
    <row r="16021" spans="1:25" x14ac:dyDescent="0.25">
      <c r="A16021" t="str">
        <f>"1259161427"</f>
        <v>1259161427</v>
      </c>
      <c r="B16021" t="s">
        <v>2178</v>
      </c>
      <c r="C16021" t="s">
        <v>2179</v>
      </c>
      <c r="D16021" t="s">
        <v>54249</v>
      </c>
      <c r="E16021">
        <v>425009</v>
      </c>
      <c r="F16021" t="s">
        <v>1</v>
      </c>
      <c r="G16021" t="s">
        <v>52955</v>
      </c>
      <c r="H16021" t="s">
        <v>53696</v>
      </c>
      <c r="I16021" t="s">
        <v>54250</v>
      </c>
      <c r="P16021" t="s">
        <v>54251</v>
      </c>
      <c r="Y16021" t="s">
        <v>54252</v>
      </c>
    </row>
    <row r="16022" spans="1:25" x14ac:dyDescent="0.25">
      <c r="A16022" t="str">
        <f>"1259831343"</f>
        <v>1259831343</v>
      </c>
      <c r="B16022" t="s">
        <v>3700</v>
      </c>
      <c r="C16022" t="s">
        <v>4023</v>
      </c>
      <c r="D16022" t="s">
        <v>54253</v>
      </c>
      <c r="E16022">
        <v>425000</v>
      </c>
      <c r="F16022" t="s">
        <v>1</v>
      </c>
      <c r="G16022" t="s">
        <v>52955</v>
      </c>
      <c r="H16022" t="s">
        <v>54254</v>
      </c>
      <c r="J16022" t="s">
        <v>54255</v>
      </c>
      <c r="P16022" t="s">
        <v>799</v>
      </c>
      <c r="Y16022" t="s">
        <v>54256</v>
      </c>
    </row>
    <row r="16023" spans="1:25" x14ac:dyDescent="0.25">
      <c r="A16023" t="str">
        <f>"1260015925"</f>
        <v>1260015925</v>
      </c>
      <c r="B16023" t="s">
        <v>18</v>
      </c>
      <c r="C16023" t="s">
        <v>25521</v>
      </c>
      <c r="D16023" t="s">
        <v>54257</v>
      </c>
      <c r="E16023">
        <v>425011</v>
      </c>
      <c r="F16023" t="s">
        <v>1</v>
      </c>
      <c r="G16023" t="s">
        <v>52955</v>
      </c>
      <c r="H16023" t="s">
        <v>53507</v>
      </c>
      <c r="J16023" t="s">
        <v>54258</v>
      </c>
      <c r="P16023" t="s">
        <v>20874</v>
      </c>
      <c r="Y16023" t="s">
        <v>54259</v>
      </c>
    </row>
    <row r="16024" spans="1:25" x14ac:dyDescent="0.25">
      <c r="A16024" t="str">
        <f>"1260617589"</f>
        <v>1260617589</v>
      </c>
      <c r="B16024" t="s">
        <v>2818</v>
      </c>
      <c r="C16024" t="s">
        <v>6466</v>
      </c>
      <c r="D16024" t="s">
        <v>54260</v>
      </c>
      <c r="E16024">
        <v>425000</v>
      </c>
      <c r="F16024" t="s">
        <v>1</v>
      </c>
      <c r="G16024" t="s">
        <v>52955</v>
      </c>
      <c r="H16024" t="s">
        <v>54261</v>
      </c>
      <c r="J16024" t="s">
        <v>54262</v>
      </c>
      <c r="L16024" t="s">
        <v>54263</v>
      </c>
      <c r="M16024" t="s">
        <v>54264</v>
      </c>
      <c r="P16024" t="s">
        <v>1597</v>
      </c>
      <c r="Y16024" t="s">
        <v>54265</v>
      </c>
    </row>
    <row r="16025" spans="1:25" x14ac:dyDescent="0.25">
      <c r="A16025" t="str">
        <f>"1260989545"</f>
        <v>1260989545</v>
      </c>
      <c r="B16025" t="s">
        <v>123</v>
      </c>
      <c r="C16025" t="s">
        <v>424</v>
      </c>
      <c r="D16025" t="s">
        <v>54266</v>
      </c>
      <c r="E16025">
        <v>425008</v>
      </c>
      <c r="F16025" t="s">
        <v>1</v>
      </c>
      <c r="G16025" t="s">
        <v>52955</v>
      </c>
      <c r="H16025" t="s">
        <v>54267</v>
      </c>
      <c r="I16025" t="s">
        <v>54268</v>
      </c>
      <c r="L16025" t="s">
        <v>53141</v>
      </c>
      <c r="M16025" t="s">
        <v>54269</v>
      </c>
      <c r="P16025" t="s">
        <v>39889</v>
      </c>
      <c r="Y16025" t="s">
        <v>54270</v>
      </c>
    </row>
    <row r="16026" spans="1:25" x14ac:dyDescent="0.25">
      <c r="A16026" t="str">
        <f>"1261670507"</f>
        <v>1261670507</v>
      </c>
      <c r="B16026" t="s">
        <v>25</v>
      </c>
      <c r="C16026" t="s">
        <v>59</v>
      </c>
      <c r="D16026" t="s">
        <v>54271</v>
      </c>
      <c r="F16026" t="s">
        <v>1</v>
      </c>
      <c r="G16026" t="s">
        <v>52955</v>
      </c>
      <c r="H16026" t="s">
        <v>53404</v>
      </c>
      <c r="J16026" t="s">
        <v>54272</v>
      </c>
      <c r="P16026" t="s">
        <v>7390</v>
      </c>
      <c r="Q16026" t="s">
        <v>54273</v>
      </c>
      <c r="Y16026" t="s">
        <v>53547</v>
      </c>
    </row>
    <row r="16027" spans="1:25" x14ac:dyDescent="0.25">
      <c r="A16027" t="str">
        <f>"1263170382"</f>
        <v>1263170382</v>
      </c>
      <c r="B16027" t="s">
        <v>1046</v>
      </c>
      <c r="C16027" t="s">
        <v>2695</v>
      </c>
      <c r="D16027" t="s">
        <v>53109</v>
      </c>
      <c r="E16027">
        <v>425000</v>
      </c>
      <c r="F16027" t="s">
        <v>1</v>
      </c>
      <c r="G16027" t="s">
        <v>52955</v>
      </c>
      <c r="H16027" t="s">
        <v>52998</v>
      </c>
      <c r="I16027" t="s">
        <v>54274</v>
      </c>
      <c r="J16027" t="s">
        <v>54275</v>
      </c>
      <c r="Y16027" t="s">
        <v>54276</v>
      </c>
    </row>
    <row r="16028" spans="1:25" x14ac:dyDescent="0.25">
      <c r="A16028" t="str">
        <f>"1263195593"</f>
        <v>1263195593</v>
      </c>
      <c r="B16028" t="s">
        <v>2361</v>
      </c>
      <c r="C16028" t="s">
        <v>2361</v>
      </c>
      <c r="D16028" t="s">
        <v>54277</v>
      </c>
      <c r="F16028" t="s">
        <v>1</v>
      </c>
      <c r="G16028" t="s">
        <v>52955</v>
      </c>
      <c r="H16028" t="s">
        <v>53955</v>
      </c>
      <c r="L16028" t="s">
        <v>54278</v>
      </c>
      <c r="P16028" t="s">
        <v>2438</v>
      </c>
      <c r="Q16028" t="s">
        <v>54279</v>
      </c>
      <c r="Y16028" t="s">
        <v>54280</v>
      </c>
    </row>
    <row r="16029" spans="1:25" x14ac:dyDescent="0.25">
      <c r="A16029" t="str">
        <f>"1263474010"</f>
        <v>1263474010</v>
      </c>
      <c r="B16029" t="s">
        <v>319</v>
      </c>
      <c r="C16029" t="s">
        <v>320</v>
      </c>
      <c r="D16029" t="s">
        <v>54281</v>
      </c>
      <c r="E16029">
        <v>425000</v>
      </c>
      <c r="F16029" t="s">
        <v>1</v>
      </c>
      <c r="G16029" t="s">
        <v>52955</v>
      </c>
      <c r="H16029" t="s">
        <v>53752</v>
      </c>
      <c r="P16029" t="s">
        <v>410</v>
      </c>
      <c r="Y16029" t="s">
        <v>54282</v>
      </c>
    </row>
    <row r="16030" spans="1:25" x14ac:dyDescent="0.25">
      <c r="A16030" t="str">
        <f>"1263602352"</f>
        <v>1263602352</v>
      </c>
      <c r="B16030" t="s">
        <v>2055</v>
      </c>
      <c r="C16030" t="s">
        <v>33618</v>
      </c>
      <c r="D16030" t="s">
        <v>11433</v>
      </c>
      <c r="E16030">
        <v>425000</v>
      </c>
      <c r="F16030" t="s">
        <v>1</v>
      </c>
      <c r="G16030" t="s">
        <v>52955</v>
      </c>
      <c r="H16030" t="s">
        <v>53093</v>
      </c>
      <c r="J16030" t="s">
        <v>54283</v>
      </c>
      <c r="L16030" t="s">
        <v>54284</v>
      </c>
      <c r="M16030" t="s">
        <v>54285</v>
      </c>
      <c r="P16030" t="s">
        <v>27</v>
      </c>
      <c r="Y16030" t="s">
        <v>53099</v>
      </c>
    </row>
    <row r="16031" spans="1:25" x14ac:dyDescent="0.25">
      <c r="A16031" t="str">
        <f>"1263750892"</f>
        <v>1263750892</v>
      </c>
      <c r="B16031" t="s">
        <v>1046</v>
      </c>
      <c r="C16031" t="s">
        <v>4959</v>
      </c>
      <c r="D16031" t="s">
        <v>54286</v>
      </c>
      <c r="E16031">
        <v>425001</v>
      </c>
      <c r="F16031" t="s">
        <v>1</v>
      </c>
      <c r="G16031" t="s">
        <v>52955</v>
      </c>
      <c r="H16031" t="s">
        <v>53017</v>
      </c>
      <c r="Y16031" t="s">
        <v>54287</v>
      </c>
    </row>
    <row r="16032" spans="1:25" x14ac:dyDescent="0.25">
      <c r="A16032" t="str">
        <f>"1265369685"</f>
        <v>1265369685</v>
      </c>
      <c r="B16032" t="s">
        <v>2361</v>
      </c>
      <c r="C16032" t="s">
        <v>54292</v>
      </c>
      <c r="D16032" t="s">
        <v>54288</v>
      </c>
      <c r="F16032" t="s">
        <v>1</v>
      </c>
      <c r="G16032" t="s">
        <v>52955</v>
      </c>
      <c r="H16032" t="s">
        <v>54289</v>
      </c>
      <c r="L16032" t="s">
        <v>54290</v>
      </c>
      <c r="M16032" t="s">
        <v>54291</v>
      </c>
      <c r="P16032" t="s">
        <v>27</v>
      </c>
      <c r="Y16032" t="s">
        <v>54293</v>
      </c>
    </row>
    <row r="16033" spans="1:25" x14ac:dyDescent="0.25">
      <c r="A16033" t="str">
        <f>"1266591404"</f>
        <v>1266591404</v>
      </c>
      <c r="B16033" t="s">
        <v>2055</v>
      </c>
      <c r="C16033" t="s">
        <v>2623</v>
      </c>
      <c r="D16033" t="s">
        <v>54294</v>
      </c>
      <c r="E16033">
        <v>425000</v>
      </c>
      <c r="F16033" t="s">
        <v>1</v>
      </c>
      <c r="G16033" t="s">
        <v>52955</v>
      </c>
      <c r="H16033" t="s">
        <v>54295</v>
      </c>
      <c r="I16033" t="s">
        <v>54296</v>
      </c>
      <c r="L16033" t="s">
        <v>54297</v>
      </c>
      <c r="M16033" t="s">
        <v>54298</v>
      </c>
      <c r="P16033" t="s">
        <v>2979</v>
      </c>
      <c r="Y16033" t="s">
        <v>54299</v>
      </c>
    </row>
    <row r="16034" spans="1:25" x14ac:dyDescent="0.25">
      <c r="A16034" t="str">
        <f>"1267022801"</f>
        <v>1267022801</v>
      </c>
      <c r="B16034" t="s">
        <v>348</v>
      </c>
      <c r="C16034" t="s">
        <v>54305</v>
      </c>
      <c r="D16034" t="s">
        <v>54300</v>
      </c>
      <c r="F16034" t="s">
        <v>1</v>
      </c>
      <c r="G16034" t="s">
        <v>52955</v>
      </c>
      <c r="H16034" t="s">
        <v>54301</v>
      </c>
      <c r="J16034" t="s">
        <v>54302</v>
      </c>
      <c r="L16034" t="s">
        <v>54303</v>
      </c>
      <c r="M16034" t="s">
        <v>54304</v>
      </c>
      <c r="P16034" t="s">
        <v>20</v>
      </c>
      <c r="Y16034" t="s">
        <v>54306</v>
      </c>
    </row>
    <row r="16035" spans="1:25" x14ac:dyDescent="0.25">
      <c r="A16035" t="str">
        <f>"1267036458"</f>
        <v>1267036458</v>
      </c>
      <c r="B16035" t="s">
        <v>574</v>
      </c>
      <c r="C16035" t="s">
        <v>8436</v>
      </c>
      <c r="D16035" t="s">
        <v>54307</v>
      </c>
      <c r="E16035">
        <v>425000</v>
      </c>
      <c r="F16035" t="s">
        <v>1</v>
      </c>
      <c r="G16035" t="s">
        <v>52955</v>
      </c>
      <c r="H16035" t="s">
        <v>53339</v>
      </c>
      <c r="I16035" t="s">
        <v>54308</v>
      </c>
      <c r="P16035" t="s">
        <v>216</v>
      </c>
      <c r="Y16035" t="s">
        <v>54309</v>
      </c>
    </row>
    <row r="16036" spans="1:25" x14ac:dyDescent="0.25">
      <c r="A16036" t="str">
        <f>"1268465247"</f>
        <v>1268465247</v>
      </c>
      <c r="B16036" t="s">
        <v>3908</v>
      </c>
      <c r="C16036" t="s">
        <v>3909</v>
      </c>
      <c r="D16036" t="s">
        <v>54310</v>
      </c>
      <c r="E16036">
        <v>425005</v>
      </c>
      <c r="F16036" t="s">
        <v>1</v>
      </c>
      <c r="G16036" t="s">
        <v>52955</v>
      </c>
      <c r="H16036" t="s">
        <v>54311</v>
      </c>
      <c r="I16036" t="s">
        <v>54312</v>
      </c>
      <c r="L16036" t="s">
        <v>53588</v>
      </c>
      <c r="M16036" t="s">
        <v>53589</v>
      </c>
      <c r="P16036" t="s">
        <v>799</v>
      </c>
      <c r="Y16036" t="s">
        <v>54313</v>
      </c>
    </row>
    <row r="16037" spans="1:25" x14ac:dyDescent="0.25">
      <c r="A16037" t="str">
        <f>"1268860054"</f>
        <v>1268860054</v>
      </c>
      <c r="B16037" t="s">
        <v>1611</v>
      </c>
      <c r="C16037" t="s">
        <v>20927</v>
      </c>
      <c r="D16037" t="s">
        <v>20927</v>
      </c>
      <c r="E16037">
        <v>425000</v>
      </c>
      <c r="F16037" t="s">
        <v>1</v>
      </c>
      <c r="G16037" t="s">
        <v>52955</v>
      </c>
      <c r="H16037" t="s">
        <v>53822</v>
      </c>
      <c r="I16037" t="s">
        <v>54314</v>
      </c>
      <c r="P16037" t="s">
        <v>54315</v>
      </c>
      <c r="Y16037" t="s">
        <v>53049</v>
      </c>
    </row>
    <row r="16038" spans="1:25" x14ac:dyDescent="0.25">
      <c r="A16038" t="str">
        <f>"1269082022"</f>
        <v>1269082022</v>
      </c>
      <c r="B16038" t="s">
        <v>18</v>
      </c>
      <c r="C16038" t="s">
        <v>13796</v>
      </c>
      <c r="D16038" t="s">
        <v>16597</v>
      </c>
      <c r="F16038" t="s">
        <v>1</v>
      </c>
      <c r="G16038" t="s">
        <v>52955</v>
      </c>
      <c r="H16038" t="s">
        <v>54316</v>
      </c>
      <c r="M16038" t="s">
        <v>16601</v>
      </c>
      <c r="P16038" t="s">
        <v>11801</v>
      </c>
      <c r="Y16038" t="s">
        <v>54317</v>
      </c>
    </row>
    <row r="16039" spans="1:25" x14ac:dyDescent="0.25">
      <c r="A16039" t="str">
        <f>"1269096393"</f>
        <v>1269096393</v>
      </c>
      <c r="B16039" t="s">
        <v>7312</v>
      </c>
      <c r="C16039" t="s">
        <v>19097</v>
      </c>
      <c r="D16039" t="s">
        <v>54318</v>
      </c>
      <c r="E16039">
        <v>425008</v>
      </c>
      <c r="F16039" t="s">
        <v>1</v>
      </c>
      <c r="G16039" t="s">
        <v>52955</v>
      </c>
      <c r="H16039" t="s">
        <v>53554</v>
      </c>
      <c r="Y16039" t="s">
        <v>54319</v>
      </c>
    </row>
    <row r="16040" spans="1:25" x14ac:dyDescent="0.25">
      <c r="A16040" t="str">
        <f>"1270579800"</f>
        <v>1270579800</v>
      </c>
      <c r="B16040" t="s">
        <v>447</v>
      </c>
      <c r="C16040" t="s">
        <v>6504</v>
      </c>
      <c r="D16040" t="s">
        <v>54320</v>
      </c>
      <c r="F16040" t="s">
        <v>1</v>
      </c>
      <c r="G16040" t="s">
        <v>52955</v>
      </c>
      <c r="H16040" t="s">
        <v>54321</v>
      </c>
      <c r="J16040" t="s">
        <v>54322</v>
      </c>
      <c r="L16040" t="s">
        <v>54323</v>
      </c>
      <c r="M16040" t="s">
        <v>54324</v>
      </c>
      <c r="P16040" t="s">
        <v>152</v>
      </c>
      <c r="Y16040" t="s">
        <v>54325</v>
      </c>
    </row>
    <row r="16041" spans="1:25" x14ac:dyDescent="0.25">
      <c r="A16041" t="str">
        <f>"1270785199"</f>
        <v>1270785199</v>
      </c>
      <c r="B16041" t="s">
        <v>574</v>
      </c>
      <c r="C16041" t="s">
        <v>646</v>
      </c>
      <c r="D16041" t="s">
        <v>50813</v>
      </c>
      <c r="E16041">
        <v>425000</v>
      </c>
      <c r="F16041" t="s">
        <v>1</v>
      </c>
      <c r="G16041" t="s">
        <v>52955</v>
      </c>
      <c r="H16041" t="s">
        <v>54326</v>
      </c>
      <c r="I16041" t="s">
        <v>54327</v>
      </c>
      <c r="P16041" t="s">
        <v>216</v>
      </c>
      <c r="Y16041" t="s">
        <v>54328</v>
      </c>
    </row>
    <row r="16042" spans="1:25" x14ac:dyDescent="0.25">
      <c r="A16042" t="str">
        <f>"1271075290"</f>
        <v>1271075290</v>
      </c>
      <c r="B16042" t="s">
        <v>530</v>
      </c>
      <c r="C16042" t="s">
        <v>54335</v>
      </c>
      <c r="D16042" t="s">
        <v>54329</v>
      </c>
      <c r="E16042">
        <v>425000</v>
      </c>
      <c r="F16042" t="s">
        <v>1</v>
      </c>
      <c r="G16042" t="s">
        <v>52955</v>
      </c>
      <c r="H16042" t="s">
        <v>54330</v>
      </c>
      <c r="I16042" t="s">
        <v>54331</v>
      </c>
      <c r="J16042" t="s">
        <v>54332</v>
      </c>
      <c r="L16042" t="s">
        <v>54333</v>
      </c>
      <c r="M16042" t="s">
        <v>54334</v>
      </c>
      <c r="P16042" t="s">
        <v>152</v>
      </c>
      <c r="Q16042" t="s">
        <v>54336</v>
      </c>
      <c r="Y16042" t="s">
        <v>54337</v>
      </c>
    </row>
    <row r="16043" spans="1:25" x14ac:dyDescent="0.25">
      <c r="A16043" t="str">
        <f>"1271519778"</f>
        <v>1271519778</v>
      </c>
      <c r="B16043" t="s">
        <v>703</v>
      </c>
      <c r="C16043" t="s">
        <v>2129</v>
      </c>
      <c r="D16043" t="s">
        <v>54338</v>
      </c>
      <c r="E16043">
        <v>425000</v>
      </c>
      <c r="F16043" t="s">
        <v>1</v>
      </c>
      <c r="G16043" t="s">
        <v>52955</v>
      </c>
      <c r="H16043" t="s">
        <v>53255</v>
      </c>
      <c r="I16043" t="s">
        <v>54339</v>
      </c>
      <c r="P16043" t="s">
        <v>280</v>
      </c>
      <c r="Y16043" t="s">
        <v>54340</v>
      </c>
    </row>
    <row r="16044" spans="1:25" x14ac:dyDescent="0.25">
      <c r="A16044" t="str">
        <f>"1272079433"</f>
        <v>1272079433</v>
      </c>
      <c r="B16044" t="s">
        <v>1046</v>
      </c>
      <c r="C16044" t="s">
        <v>4959</v>
      </c>
      <c r="D16044" t="s">
        <v>52761</v>
      </c>
      <c r="E16044">
        <v>425009</v>
      </c>
      <c r="F16044" t="s">
        <v>1</v>
      </c>
      <c r="G16044" t="s">
        <v>52955</v>
      </c>
      <c r="H16044" t="s">
        <v>54341</v>
      </c>
      <c r="I16044" t="s">
        <v>54342</v>
      </c>
      <c r="P16044" t="s">
        <v>54343</v>
      </c>
      <c r="Y16044" t="s">
        <v>54344</v>
      </c>
    </row>
    <row r="16045" spans="1:25" x14ac:dyDescent="0.25">
      <c r="A16045" t="str">
        <f>"1272611615"</f>
        <v>1272611615</v>
      </c>
      <c r="B16045" t="s">
        <v>348</v>
      </c>
      <c r="C16045" t="s">
        <v>54346</v>
      </c>
      <c r="D16045" t="s">
        <v>4535</v>
      </c>
      <c r="E16045">
        <v>425000</v>
      </c>
      <c r="F16045" t="s">
        <v>1</v>
      </c>
      <c r="G16045" t="s">
        <v>52955</v>
      </c>
      <c r="H16045" t="s">
        <v>53093</v>
      </c>
      <c r="I16045" t="s">
        <v>54345</v>
      </c>
      <c r="P16045" t="s">
        <v>280</v>
      </c>
      <c r="Y16045" t="s">
        <v>53099</v>
      </c>
    </row>
    <row r="16046" spans="1:25" x14ac:dyDescent="0.25">
      <c r="A16046" t="str">
        <f>"1272899227"</f>
        <v>1272899227</v>
      </c>
      <c r="B16046" t="s">
        <v>25</v>
      </c>
      <c r="C16046" t="s">
        <v>59</v>
      </c>
      <c r="D16046" t="s">
        <v>54347</v>
      </c>
      <c r="F16046" t="s">
        <v>1</v>
      </c>
      <c r="G16046" t="s">
        <v>52955</v>
      </c>
      <c r="H16046" t="s">
        <v>54348</v>
      </c>
      <c r="J16046" t="s">
        <v>54349</v>
      </c>
      <c r="P16046" t="s">
        <v>280</v>
      </c>
      <c r="Y16046" t="s">
        <v>54350</v>
      </c>
    </row>
    <row r="16047" spans="1:25" x14ac:dyDescent="0.25">
      <c r="A16047" t="str">
        <f>"1274524737"</f>
        <v>1274524737</v>
      </c>
      <c r="B16047" t="s">
        <v>703</v>
      </c>
      <c r="C16047" t="s">
        <v>2129</v>
      </c>
      <c r="D16047" t="s">
        <v>2129</v>
      </c>
      <c r="E16047">
        <v>425005</v>
      </c>
      <c r="F16047" t="s">
        <v>1</v>
      </c>
      <c r="G16047" t="s">
        <v>52955</v>
      </c>
      <c r="H16047" t="s">
        <v>54351</v>
      </c>
      <c r="J16047" t="s">
        <v>54352</v>
      </c>
      <c r="P16047" t="s">
        <v>330</v>
      </c>
      <c r="Y16047" t="s">
        <v>54353</v>
      </c>
    </row>
    <row r="16048" spans="1:25" x14ac:dyDescent="0.25">
      <c r="A16048" t="str">
        <f>"1275076174"</f>
        <v>1275076174</v>
      </c>
      <c r="B16048" t="s">
        <v>790</v>
      </c>
      <c r="C16048" t="s">
        <v>54355</v>
      </c>
      <c r="D16048" t="s">
        <v>719</v>
      </c>
      <c r="E16048">
        <v>425001</v>
      </c>
      <c r="F16048" t="s">
        <v>1</v>
      </c>
      <c r="G16048" t="s">
        <v>52955</v>
      </c>
      <c r="H16048" t="s">
        <v>53056</v>
      </c>
      <c r="I16048" t="s">
        <v>54354</v>
      </c>
      <c r="P16048" t="s">
        <v>52990</v>
      </c>
      <c r="Y16048" t="s">
        <v>54356</v>
      </c>
    </row>
    <row r="16049" spans="1:25" x14ac:dyDescent="0.25">
      <c r="A16049" t="str">
        <f>"1276272185"</f>
        <v>1276272185</v>
      </c>
      <c r="B16049" t="s">
        <v>1611</v>
      </c>
      <c r="C16049" t="s">
        <v>6872</v>
      </c>
      <c r="D16049" t="s">
        <v>54357</v>
      </c>
      <c r="E16049">
        <v>425000</v>
      </c>
      <c r="F16049" t="s">
        <v>1</v>
      </c>
      <c r="G16049" t="s">
        <v>52955</v>
      </c>
      <c r="H16049" t="s">
        <v>53563</v>
      </c>
      <c r="I16049" t="s">
        <v>54358</v>
      </c>
      <c r="M16049" t="s">
        <v>54359</v>
      </c>
      <c r="P16049" t="s">
        <v>425</v>
      </c>
      <c r="Y16049" t="s">
        <v>54360</v>
      </c>
    </row>
    <row r="16050" spans="1:25" x14ac:dyDescent="0.25">
      <c r="A16050" t="str">
        <f>"1277437917"</f>
        <v>1277437917</v>
      </c>
      <c r="B16050" t="s">
        <v>1053</v>
      </c>
      <c r="C16050" t="s">
        <v>54364</v>
      </c>
      <c r="D16050" t="s">
        <v>54361</v>
      </c>
      <c r="E16050">
        <v>425000</v>
      </c>
      <c r="F16050" t="s">
        <v>1</v>
      </c>
      <c r="G16050" t="s">
        <v>52955</v>
      </c>
      <c r="H16050" t="s">
        <v>53833</v>
      </c>
      <c r="J16050" t="s">
        <v>54362</v>
      </c>
      <c r="L16050" t="s">
        <v>54363</v>
      </c>
      <c r="P16050" t="s">
        <v>133</v>
      </c>
      <c r="Q16050" t="s">
        <v>54365</v>
      </c>
      <c r="V16050" t="s">
        <v>54366</v>
      </c>
      <c r="Y16050" t="s">
        <v>54367</v>
      </c>
    </row>
    <row r="16051" spans="1:25" x14ac:dyDescent="0.25">
      <c r="A16051" t="str">
        <f>"1278170668"</f>
        <v>1278170668</v>
      </c>
      <c r="B16051" t="s">
        <v>18</v>
      </c>
      <c r="C16051" t="s">
        <v>54372</v>
      </c>
      <c r="D16051" t="s">
        <v>54368</v>
      </c>
      <c r="E16051">
        <v>425000</v>
      </c>
      <c r="F16051" t="s">
        <v>1</v>
      </c>
      <c r="G16051" t="s">
        <v>52955</v>
      </c>
      <c r="H16051" t="s">
        <v>54369</v>
      </c>
      <c r="J16051" t="s">
        <v>54370</v>
      </c>
      <c r="L16051" t="s">
        <v>54371</v>
      </c>
      <c r="P16051" t="s">
        <v>54373</v>
      </c>
      <c r="Y16051" t="s">
        <v>54374</v>
      </c>
    </row>
    <row r="16052" spans="1:25" x14ac:dyDescent="0.25">
      <c r="A16052" t="str">
        <f>"1278529632"</f>
        <v>1278529632</v>
      </c>
      <c r="B16052" t="s">
        <v>25</v>
      </c>
      <c r="C16052" t="s">
        <v>54377</v>
      </c>
      <c r="D16052" t="s">
        <v>54375</v>
      </c>
      <c r="F16052" t="s">
        <v>1</v>
      </c>
      <c r="G16052" t="s">
        <v>52955</v>
      </c>
      <c r="H16052" t="s">
        <v>53592</v>
      </c>
      <c r="J16052" t="s">
        <v>54376</v>
      </c>
      <c r="P16052" t="s">
        <v>20</v>
      </c>
      <c r="Y16052" t="s">
        <v>54378</v>
      </c>
    </row>
    <row r="16053" spans="1:25" x14ac:dyDescent="0.25">
      <c r="A16053" t="str">
        <f>"1280656131"</f>
        <v>1280656131</v>
      </c>
      <c r="B16053" t="s">
        <v>3544</v>
      </c>
      <c r="C16053" t="s">
        <v>11303</v>
      </c>
      <c r="D16053" t="s">
        <v>11181</v>
      </c>
      <c r="E16053">
        <v>425000</v>
      </c>
      <c r="F16053" t="s">
        <v>1</v>
      </c>
      <c r="G16053" t="s">
        <v>52955</v>
      </c>
      <c r="H16053" t="s">
        <v>54379</v>
      </c>
      <c r="I16053" t="s">
        <v>54380</v>
      </c>
      <c r="P16053" t="s">
        <v>27</v>
      </c>
      <c r="Y16053" t="s">
        <v>54381</v>
      </c>
    </row>
    <row r="16054" spans="1:25" x14ac:dyDescent="0.25">
      <c r="A16054" t="str">
        <f>"1281549810"</f>
        <v>1281549810</v>
      </c>
      <c r="B16054" t="s">
        <v>2601</v>
      </c>
      <c r="C16054" t="s">
        <v>5375</v>
      </c>
      <c r="D16054" t="s">
        <v>29626</v>
      </c>
      <c r="E16054">
        <v>425008</v>
      </c>
      <c r="F16054" t="s">
        <v>1</v>
      </c>
      <c r="G16054" t="s">
        <v>52955</v>
      </c>
      <c r="H16054" t="s">
        <v>54382</v>
      </c>
      <c r="J16054" t="s">
        <v>54383</v>
      </c>
      <c r="P16054" t="s">
        <v>54384</v>
      </c>
      <c r="Y16054" t="s">
        <v>54385</v>
      </c>
    </row>
    <row r="16055" spans="1:25" x14ac:dyDescent="0.25">
      <c r="A16055" t="str">
        <f>"1282777986"</f>
        <v>1282777986</v>
      </c>
      <c r="B16055" t="s">
        <v>18</v>
      </c>
      <c r="C16055" t="s">
        <v>5273</v>
      </c>
      <c r="D16055" t="s">
        <v>54386</v>
      </c>
      <c r="E16055">
        <v>425009</v>
      </c>
      <c r="F16055" t="s">
        <v>1</v>
      </c>
      <c r="G16055" t="s">
        <v>52955</v>
      </c>
      <c r="H16055" t="s">
        <v>54387</v>
      </c>
      <c r="J16055" t="s">
        <v>54388</v>
      </c>
      <c r="P16055" t="s">
        <v>280</v>
      </c>
      <c r="Y16055" t="s">
        <v>54389</v>
      </c>
    </row>
    <row r="16056" spans="1:25" x14ac:dyDescent="0.25">
      <c r="A16056" t="str">
        <f>"1283617947"</f>
        <v>1283617947</v>
      </c>
      <c r="B16056" t="s">
        <v>25</v>
      </c>
      <c r="C16056" t="s">
        <v>54392</v>
      </c>
      <c r="D16056" t="s">
        <v>32766</v>
      </c>
      <c r="E16056">
        <v>425008</v>
      </c>
      <c r="F16056" t="s">
        <v>1</v>
      </c>
      <c r="G16056" t="s">
        <v>52955</v>
      </c>
      <c r="H16056" t="s">
        <v>53614</v>
      </c>
      <c r="I16056" t="s">
        <v>54390</v>
      </c>
      <c r="J16056" t="s">
        <v>54391</v>
      </c>
      <c r="P16056" t="s">
        <v>14922</v>
      </c>
      <c r="Y16056" t="s">
        <v>53616</v>
      </c>
    </row>
    <row r="16057" spans="1:25" x14ac:dyDescent="0.25">
      <c r="A16057" t="str">
        <f>"1284210944"</f>
        <v>1284210944</v>
      </c>
      <c r="B16057" t="s">
        <v>18</v>
      </c>
      <c r="C16057" t="s">
        <v>1419</v>
      </c>
      <c r="D16057" t="s">
        <v>54393</v>
      </c>
      <c r="F16057" t="s">
        <v>1</v>
      </c>
      <c r="G16057" t="s">
        <v>52955</v>
      </c>
      <c r="H16057" t="s">
        <v>53243</v>
      </c>
      <c r="I16057" t="s">
        <v>54394</v>
      </c>
      <c r="J16057" t="s">
        <v>54395</v>
      </c>
      <c r="L16057" t="s">
        <v>7859</v>
      </c>
      <c r="P16057" t="s">
        <v>280</v>
      </c>
      <c r="Y16057" t="s">
        <v>54396</v>
      </c>
    </row>
    <row r="16058" spans="1:25" x14ac:dyDescent="0.25">
      <c r="A16058" t="str">
        <f>"1284215040"</f>
        <v>1284215040</v>
      </c>
      <c r="B16058" t="s">
        <v>397</v>
      </c>
      <c r="C16058" t="s">
        <v>22344</v>
      </c>
      <c r="D16058" t="s">
        <v>35098</v>
      </c>
      <c r="E16058">
        <v>425000</v>
      </c>
      <c r="F16058" t="s">
        <v>1</v>
      </c>
      <c r="G16058" t="s">
        <v>52955</v>
      </c>
      <c r="H16058" t="s">
        <v>53114</v>
      </c>
      <c r="I16058" t="s">
        <v>54397</v>
      </c>
      <c r="P16058" t="s">
        <v>11801</v>
      </c>
      <c r="Y16058" t="s">
        <v>53117</v>
      </c>
    </row>
    <row r="16059" spans="1:25" x14ac:dyDescent="0.25">
      <c r="A16059" t="str">
        <f>"1284434781"</f>
        <v>1284434781</v>
      </c>
      <c r="B16059" t="s">
        <v>3094</v>
      </c>
      <c r="C16059" t="s">
        <v>10543</v>
      </c>
      <c r="D16059" t="s">
        <v>54398</v>
      </c>
      <c r="E16059">
        <v>425000</v>
      </c>
      <c r="F16059" t="s">
        <v>1</v>
      </c>
      <c r="G16059" t="s">
        <v>52955</v>
      </c>
      <c r="H16059" t="s">
        <v>54399</v>
      </c>
      <c r="I16059" t="s">
        <v>54400</v>
      </c>
      <c r="L16059" t="s">
        <v>54401</v>
      </c>
      <c r="M16059" t="s">
        <v>54402</v>
      </c>
      <c r="P16059" t="s">
        <v>280</v>
      </c>
      <c r="Y16059" t="s">
        <v>54403</v>
      </c>
    </row>
    <row r="16060" spans="1:25" x14ac:dyDescent="0.25">
      <c r="A16060" t="str">
        <f>"1285907584"</f>
        <v>1285907584</v>
      </c>
      <c r="B16060" t="s">
        <v>930</v>
      </c>
      <c r="C16060" t="s">
        <v>24879</v>
      </c>
      <c r="D16060" t="s">
        <v>10010</v>
      </c>
      <c r="F16060" t="s">
        <v>1</v>
      </c>
      <c r="G16060" t="s">
        <v>52955</v>
      </c>
      <c r="H16060" t="s">
        <v>53404</v>
      </c>
      <c r="J16060" t="s">
        <v>54404</v>
      </c>
      <c r="P16060" t="s">
        <v>3938</v>
      </c>
      <c r="Y16060" t="s">
        <v>54405</v>
      </c>
    </row>
    <row r="16061" spans="1:25" x14ac:dyDescent="0.25">
      <c r="A16061" t="str">
        <f>"1286109413"</f>
        <v>1286109413</v>
      </c>
      <c r="B16061" t="s">
        <v>4495</v>
      </c>
      <c r="C16061" t="s">
        <v>54411</v>
      </c>
      <c r="D16061" t="s">
        <v>54406</v>
      </c>
      <c r="E16061">
        <v>425000</v>
      </c>
      <c r="F16061" t="s">
        <v>1</v>
      </c>
      <c r="G16061" t="s">
        <v>52955</v>
      </c>
      <c r="H16061" t="s">
        <v>53936</v>
      </c>
      <c r="I16061" t="s">
        <v>54407</v>
      </c>
      <c r="J16061" t="s">
        <v>54408</v>
      </c>
      <c r="L16061" t="s">
        <v>54409</v>
      </c>
      <c r="M16061" t="s">
        <v>54410</v>
      </c>
      <c r="P16061" t="s">
        <v>152</v>
      </c>
      <c r="Y16061" t="s">
        <v>53939</v>
      </c>
    </row>
    <row r="16062" spans="1:25" x14ac:dyDescent="0.25">
      <c r="A16062" t="str">
        <f>"1287114726"</f>
        <v>1287114726</v>
      </c>
      <c r="B16062" t="s">
        <v>18</v>
      </c>
      <c r="C16062" t="s">
        <v>54414</v>
      </c>
      <c r="D16062" t="s">
        <v>23541</v>
      </c>
      <c r="E16062">
        <v>425000</v>
      </c>
      <c r="F16062" t="s">
        <v>1</v>
      </c>
      <c r="G16062" t="s">
        <v>52955</v>
      </c>
      <c r="H16062" t="s">
        <v>54412</v>
      </c>
      <c r="J16062" t="s">
        <v>54413</v>
      </c>
      <c r="P16062" t="s">
        <v>799</v>
      </c>
      <c r="Y16062" t="s">
        <v>54415</v>
      </c>
    </row>
    <row r="16063" spans="1:25" x14ac:dyDescent="0.25">
      <c r="A16063" t="str">
        <f>"1287316459"</f>
        <v>1287316459</v>
      </c>
      <c r="B16063" t="s">
        <v>1611</v>
      </c>
      <c r="C16063" t="s">
        <v>25647</v>
      </c>
      <c r="D16063" t="s">
        <v>54416</v>
      </c>
      <c r="F16063" t="s">
        <v>1</v>
      </c>
      <c r="G16063" t="s">
        <v>52955</v>
      </c>
      <c r="H16063" t="s">
        <v>54417</v>
      </c>
      <c r="I16063" t="s">
        <v>54418</v>
      </c>
      <c r="P16063" t="s">
        <v>330</v>
      </c>
      <c r="Y16063" t="s">
        <v>54419</v>
      </c>
    </row>
    <row r="16064" spans="1:25" x14ac:dyDescent="0.25">
      <c r="A16064" t="str">
        <f>"1287591643"</f>
        <v>1287591643</v>
      </c>
      <c r="B16064" t="s">
        <v>3652</v>
      </c>
      <c r="C16064" t="s">
        <v>3685</v>
      </c>
      <c r="D16064" t="s">
        <v>54420</v>
      </c>
      <c r="E16064">
        <v>425000</v>
      </c>
      <c r="F16064" t="s">
        <v>1</v>
      </c>
      <c r="G16064" t="s">
        <v>52955</v>
      </c>
      <c r="H16064" t="s">
        <v>54421</v>
      </c>
      <c r="I16064" t="s">
        <v>54422</v>
      </c>
      <c r="P16064" t="s">
        <v>280</v>
      </c>
      <c r="Y16064" t="s">
        <v>54423</v>
      </c>
    </row>
    <row r="16065" spans="1:25" x14ac:dyDescent="0.25">
      <c r="A16065" t="str">
        <f>"1288369905"</f>
        <v>1288369905</v>
      </c>
      <c r="B16065" t="s">
        <v>18</v>
      </c>
      <c r="C16065" t="s">
        <v>54429</v>
      </c>
      <c r="D16065" t="s">
        <v>54424</v>
      </c>
      <c r="F16065" t="s">
        <v>1</v>
      </c>
      <c r="G16065" t="s">
        <v>52955</v>
      </c>
      <c r="H16065" t="s">
        <v>54425</v>
      </c>
      <c r="I16065" t="s">
        <v>54426</v>
      </c>
      <c r="L16065" t="s">
        <v>54427</v>
      </c>
      <c r="M16065" t="s">
        <v>54428</v>
      </c>
      <c r="P16065" t="s">
        <v>54430</v>
      </c>
      <c r="Y16065" t="s">
        <v>54431</v>
      </c>
    </row>
    <row r="16066" spans="1:25" x14ac:dyDescent="0.25">
      <c r="A16066" t="str">
        <f>"1290498160"</f>
        <v>1290498160</v>
      </c>
      <c r="B16066" t="s">
        <v>348</v>
      </c>
      <c r="C16066" t="s">
        <v>53599</v>
      </c>
      <c r="D16066" t="s">
        <v>54432</v>
      </c>
      <c r="E16066">
        <v>425000</v>
      </c>
      <c r="F16066" t="s">
        <v>1</v>
      </c>
      <c r="G16066" t="s">
        <v>52955</v>
      </c>
      <c r="H16066" t="s">
        <v>53451</v>
      </c>
      <c r="I16066" t="s">
        <v>54433</v>
      </c>
      <c r="L16066" t="s">
        <v>54434</v>
      </c>
      <c r="M16066" t="s">
        <v>54435</v>
      </c>
      <c r="P16066" t="s">
        <v>20</v>
      </c>
      <c r="Y16066" t="s">
        <v>54436</v>
      </c>
    </row>
    <row r="16067" spans="1:25" x14ac:dyDescent="0.25">
      <c r="A16067" t="str">
        <f>"1292261971"</f>
        <v>1292261971</v>
      </c>
      <c r="B16067" t="s">
        <v>1552</v>
      </c>
      <c r="C16067" t="s">
        <v>5112</v>
      </c>
      <c r="D16067" t="s">
        <v>18439</v>
      </c>
      <c r="E16067">
        <v>425000</v>
      </c>
      <c r="F16067" t="s">
        <v>1</v>
      </c>
      <c r="G16067" t="s">
        <v>52955</v>
      </c>
      <c r="H16067" t="s">
        <v>54437</v>
      </c>
      <c r="I16067" t="s">
        <v>54438</v>
      </c>
      <c r="J16067" t="s">
        <v>54439</v>
      </c>
      <c r="M16067" t="s">
        <v>54440</v>
      </c>
      <c r="P16067" t="s">
        <v>60</v>
      </c>
      <c r="Y16067" t="s">
        <v>54441</v>
      </c>
    </row>
    <row r="16068" spans="1:25" x14ac:dyDescent="0.25">
      <c r="A16068" t="str">
        <f>"1293069151"</f>
        <v>1293069151</v>
      </c>
      <c r="B16068" t="s">
        <v>1268</v>
      </c>
      <c r="C16068" t="s">
        <v>1269</v>
      </c>
      <c r="D16068" t="s">
        <v>54442</v>
      </c>
      <c r="F16068" t="s">
        <v>1</v>
      </c>
      <c r="G16068" t="s">
        <v>52955</v>
      </c>
      <c r="H16068" t="s">
        <v>53334</v>
      </c>
      <c r="I16068" t="s">
        <v>54443</v>
      </c>
      <c r="P16068" t="s">
        <v>54444</v>
      </c>
      <c r="Y16068" t="s">
        <v>54445</v>
      </c>
    </row>
    <row r="16069" spans="1:25" x14ac:dyDescent="0.25">
      <c r="A16069" t="str">
        <f>"1293464122"</f>
        <v>1293464122</v>
      </c>
      <c r="B16069" t="s">
        <v>348</v>
      </c>
      <c r="C16069" t="s">
        <v>53599</v>
      </c>
      <c r="D16069" t="s">
        <v>13745</v>
      </c>
      <c r="E16069">
        <v>425000</v>
      </c>
      <c r="F16069" t="s">
        <v>1</v>
      </c>
      <c r="G16069" t="s">
        <v>52955</v>
      </c>
      <c r="H16069" t="s">
        <v>54446</v>
      </c>
      <c r="I16069" t="s">
        <v>54447</v>
      </c>
      <c r="J16069" t="s">
        <v>54448</v>
      </c>
      <c r="L16069" t="s">
        <v>54449</v>
      </c>
      <c r="M16069" t="s">
        <v>54450</v>
      </c>
      <c r="P16069" t="s">
        <v>29674</v>
      </c>
      <c r="Y16069" t="s">
        <v>54451</v>
      </c>
    </row>
    <row r="16070" spans="1:25" x14ac:dyDescent="0.25">
      <c r="A16070" t="str">
        <f>"1296531480"</f>
        <v>1296531480</v>
      </c>
      <c r="B16070" t="s">
        <v>930</v>
      </c>
      <c r="C16070" t="s">
        <v>16474</v>
      </c>
      <c r="D16070" t="s">
        <v>54452</v>
      </c>
      <c r="F16070" t="s">
        <v>1</v>
      </c>
      <c r="G16070" t="s">
        <v>52955</v>
      </c>
      <c r="H16070" t="s">
        <v>54453</v>
      </c>
      <c r="J16070" t="s">
        <v>54454</v>
      </c>
      <c r="P16070" t="s">
        <v>54455</v>
      </c>
      <c r="Y16070" t="s">
        <v>54456</v>
      </c>
    </row>
    <row r="16071" spans="1:25" x14ac:dyDescent="0.25">
      <c r="A16071" t="str">
        <f>"1298129922"</f>
        <v>1298129922</v>
      </c>
      <c r="B16071" t="s">
        <v>7</v>
      </c>
      <c r="C16071" t="s">
        <v>925</v>
      </c>
      <c r="D16071" t="s">
        <v>54457</v>
      </c>
      <c r="E16071">
        <v>425000</v>
      </c>
      <c r="F16071" t="s">
        <v>1</v>
      </c>
      <c r="G16071" t="s">
        <v>52955</v>
      </c>
      <c r="H16071" t="s">
        <v>53068</v>
      </c>
      <c r="I16071" t="s">
        <v>54458</v>
      </c>
      <c r="P16071" t="s">
        <v>11831</v>
      </c>
      <c r="Y16071" t="s">
        <v>54459</v>
      </c>
    </row>
    <row r="16072" spans="1:25" x14ac:dyDescent="0.25">
      <c r="A16072" t="str">
        <f>"1298179292"</f>
        <v>1298179292</v>
      </c>
      <c r="B16072" t="s">
        <v>2818</v>
      </c>
      <c r="C16072" t="s">
        <v>6466</v>
      </c>
      <c r="D16072" t="s">
        <v>54460</v>
      </c>
      <c r="E16072">
        <v>425000</v>
      </c>
      <c r="F16072" t="s">
        <v>1</v>
      </c>
      <c r="G16072" t="s">
        <v>52955</v>
      </c>
      <c r="H16072" t="s">
        <v>53853</v>
      </c>
      <c r="I16072" t="s">
        <v>54461</v>
      </c>
      <c r="J16072" t="s">
        <v>54462</v>
      </c>
      <c r="L16072" t="s">
        <v>54463</v>
      </c>
      <c r="P16072" t="s">
        <v>54464</v>
      </c>
      <c r="Y16072" t="s">
        <v>54465</v>
      </c>
    </row>
    <row r="16073" spans="1:25" x14ac:dyDescent="0.25">
      <c r="A16073" t="str">
        <f>"1299599644"</f>
        <v>1299599644</v>
      </c>
      <c r="B16073" t="s">
        <v>447</v>
      </c>
      <c r="C16073" t="s">
        <v>16100</v>
      </c>
      <c r="D16073" t="s">
        <v>54466</v>
      </c>
      <c r="E16073">
        <v>425000</v>
      </c>
      <c r="F16073" t="s">
        <v>1</v>
      </c>
      <c r="G16073" t="s">
        <v>52955</v>
      </c>
      <c r="H16073" t="s">
        <v>54467</v>
      </c>
      <c r="J16073" t="s">
        <v>54468</v>
      </c>
      <c r="P16073" t="s">
        <v>27</v>
      </c>
      <c r="Y16073" t="s">
        <v>54469</v>
      </c>
    </row>
    <row r="16074" spans="1:25" x14ac:dyDescent="0.25">
      <c r="A16074" t="str">
        <f>"1300255611"</f>
        <v>1300255611</v>
      </c>
      <c r="B16074" t="s">
        <v>790</v>
      </c>
      <c r="C16074" t="s">
        <v>54472</v>
      </c>
      <c r="D16074" t="s">
        <v>54470</v>
      </c>
      <c r="F16074" t="s">
        <v>1</v>
      </c>
      <c r="G16074" t="s">
        <v>52955</v>
      </c>
      <c r="H16074" t="s">
        <v>53727</v>
      </c>
      <c r="J16074" t="s">
        <v>54471</v>
      </c>
      <c r="P16074" t="s">
        <v>1679</v>
      </c>
      <c r="Y16074" t="s">
        <v>54473</v>
      </c>
    </row>
    <row r="16075" spans="1:25" x14ac:dyDescent="0.25">
      <c r="A16075" t="str">
        <f>"1300278867"</f>
        <v>1300278867</v>
      </c>
      <c r="B16075" t="s">
        <v>738</v>
      </c>
      <c r="C16075" t="s">
        <v>739</v>
      </c>
      <c r="D16075" t="s">
        <v>54474</v>
      </c>
      <c r="F16075" t="s">
        <v>1</v>
      </c>
      <c r="G16075" t="s">
        <v>52955</v>
      </c>
      <c r="H16075" t="s">
        <v>54475</v>
      </c>
      <c r="J16075" t="s">
        <v>54476</v>
      </c>
      <c r="P16075" t="s">
        <v>54477</v>
      </c>
      <c r="Y16075" t="s">
        <v>54478</v>
      </c>
    </row>
    <row r="16076" spans="1:25" x14ac:dyDescent="0.25">
      <c r="A16076" t="str">
        <f>"1300354202"</f>
        <v>1300354202</v>
      </c>
      <c r="B16076" t="s">
        <v>978</v>
      </c>
      <c r="C16076" t="s">
        <v>8067</v>
      </c>
      <c r="D16076" t="s">
        <v>54479</v>
      </c>
      <c r="F16076" t="s">
        <v>1</v>
      </c>
      <c r="G16076" t="s">
        <v>52955</v>
      </c>
      <c r="H16076" t="s">
        <v>54480</v>
      </c>
      <c r="J16076" t="s">
        <v>54481</v>
      </c>
      <c r="L16076" t="s">
        <v>54482</v>
      </c>
      <c r="P16076" t="s">
        <v>54483</v>
      </c>
      <c r="Q16076" t="s">
        <v>54484</v>
      </c>
      <c r="V16076" t="s">
        <v>54485</v>
      </c>
      <c r="Y16076" t="s">
        <v>54486</v>
      </c>
    </row>
    <row r="16077" spans="1:25" x14ac:dyDescent="0.25">
      <c r="A16077" t="str">
        <f>"1300371209"</f>
        <v>1300371209</v>
      </c>
      <c r="B16077" t="s">
        <v>1152</v>
      </c>
      <c r="C16077" t="s">
        <v>1159</v>
      </c>
      <c r="D16077" t="s">
        <v>54487</v>
      </c>
      <c r="E16077">
        <v>425003</v>
      </c>
      <c r="F16077" t="s">
        <v>1</v>
      </c>
      <c r="G16077" t="s">
        <v>52955</v>
      </c>
      <c r="H16077" t="s">
        <v>53559</v>
      </c>
      <c r="J16077" t="s">
        <v>54488</v>
      </c>
      <c r="P16077" t="s">
        <v>27</v>
      </c>
      <c r="Y16077" t="s">
        <v>54489</v>
      </c>
    </row>
    <row r="16078" spans="1:25" x14ac:dyDescent="0.25">
      <c r="A16078" t="str">
        <f>"1300992746"</f>
        <v>1300992746</v>
      </c>
      <c r="B16078" t="s">
        <v>7</v>
      </c>
      <c r="C16078" t="s">
        <v>9893</v>
      </c>
      <c r="D16078" t="s">
        <v>54490</v>
      </c>
      <c r="E16078">
        <v>425000</v>
      </c>
      <c r="F16078" t="s">
        <v>1</v>
      </c>
      <c r="G16078" t="s">
        <v>52955</v>
      </c>
      <c r="H16078" t="s">
        <v>53093</v>
      </c>
      <c r="I16078" t="s">
        <v>54491</v>
      </c>
      <c r="P16078" t="s">
        <v>280</v>
      </c>
      <c r="Y16078" t="s">
        <v>53099</v>
      </c>
    </row>
    <row r="16079" spans="1:25" x14ac:dyDescent="0.25">
      <c r="A16079" t="str">
        <f>"1302029339"</f>
        <v>1302029339</v>
      </c>
      <c r="B16079" t="s">
        <v>328</v>
      </c>
      <c r="C16079" t="s">
        <v>1920</v>
      </c>
      <c r="D16079" t="s">
        <v>54492</v>
      </c>
      <c r="E16079">
        <v>425008</v>
      </c>
      <c r="F16079" t="s">
        <v>1</v>
      </c>
      <c r="G16079" t="s">
        <v>52955</v>
      </c>
      <c r="H16079" t="s">
        <v>53533</v>
      </c>
      <c r="I16079" t="s">
        <v>54493</v>
      </c>
      <c r="P16079" t="s">
        <v>280</v>
      </c>
      <c r="Y16079" t="s">
        <v>54494</v>
      </c>
    </row>
    <row r="16080" spans="1:25" x14ac:dyDescent="0.25">
      <c r="A16080" t="str">
        <f>"1302260841"</f>
        <v>1302260841</v>
      </c>
      <c r="B16080" t="s">
        <v>803</v>
      </c>
      <c r="C16080" t="s">
        <v>54498</v>
      </c>
      <c r="D16080" t="s">
        <v>54495</v>
      </c>
      <c r="E16080">
        <v>425000</v>
      </c>
      <c r="F16080" t="s">
        <v>1</v>
      </c>
      <c r="G16080" t="s">
        <v>52955</v>
      </c>
      <c r="H16080" t="s">
        <v>54496</v>
      </c>
      <c r="I16080" t="s">
        <v>54497</v>
      </c>
      <c r="P16080" t="s">
        <v>280</v>
      </c>
      <c r="Y16080" t="s">
        <v>54499</v>
      </c>
    </row>
    <row r="16081" spans="1:25" x14ac:dyDescent="0.25">
      <c r="A16081" t="str">
        <f>"1303505665"</f>
        <v>1303505665</v>
      </c>
      <c r="B16081" t="s">
        <v>18</v>
      </c>
      <c r="C16081" t="s">
        <v>12289</v>
      </c>
      <c r="D16081" t="s">
        <v>17866</v>
      </c>
      <c r="E16081">
        <v>425003</v>
      </c>
      <c r="F16081" t="s">
        <v>1</v>
      </c>
      <c r="G16081" t="s">
        <v>52955</v>
      </c>
      <c r="H16081" t="s">
        <v>54500</v>
      </c>
      <c r="J16081" t="s">
        <v>54501</v>
      </c>
      <c r="P16081" t="s">
        <v>54502</v>
      </c>
      <c r="Y16081" t="s">
        <v>54503</v>
      </c>
    </row>
    <row r="16082" spans="1:25" x14ac:dyDescent="0.25">
      <c r="A16082" t="str">
        <f>"1303569922"</f>
        <v>1303569922</v>
      </c>
      <c r="B16082" t="s">
        <v>703</v>
      </c>
      <c r="C16082" t="s">
        <v>2129</v>
      </c>
      <c r="D16082" t="s">
        <v>10670</v>
      </c>
      <c r="E16082">
        <v>425011</v>
      </c>
      <c r="F16082" t="s">
        <v>1</v>
      </c>
      <c r="G16082" t="s">
        <v>52955</v>
      </c>
      <c r="H16082" t="s">
        <v>54504</v>
      </c>
      <c r="J16082" t="s">
        <v>54505</v>
      </c>
      <c r="P16082" t="s">
        <v>330</v>
      </c>
      <c r="Y16082" t="s">
        <v>54506</v>
      </c>
    </row>
    <row r="16083" spans="1:25" x14ac:dyDescent="0.25">
      <c r="A16083" t="str">
        <f>"1304164871"</f>
        <v>1304164871</v>
      </c>
      <c r="B16083" t="s">
        <v>803</v>
      </c>
      <c r="C16083" t="s">
        <v>54512</v>
      </c>
      <c r="D16083" t="s">
        <v>54507</v>
      </c>
      <c r="E16083">
        <v>425003</v>
      </c>
      <c r="F16083" t="s">
        <v>1</v>
      </c>
      <c r="G16083" t="s">
        <v>52955</v>
      </c>
      <c r="H16083" t="s">
        <v>54508</v>
      </c>
      <c r="J16083" t="s">
        <v>54509</v>
      </c>
      <c r="L16083" t="s">
        <v>54510</v>
      </c>
      <c r="M16083" t="s">
        <v>54511</v>
      </c>
      <c r="P16083" t="s">
        <v>869</v>
      </c>
      <c r="Y16083" t="s">
        <v>54513</v>
      </c>
    </row>
    <row r="16084" spans="1:25" x14ac:dyDescent="0.25">
      <c r="A16084" t="str">
        <f>"1304255007"</f>
        <v>1304255007</v>
      </c>
      <c r="B16084" t="s">
        <v>1552</v>
      </c>
      <c r="C16084" t="s">
        <v>1962</v>
      </c>
      <c r="D16084" t="s">
        <v>54514</v>
      </c>
      <c r="F16084" t="s">
        <v>1</v>
      </c>
      <c r="G16084" t="s">
        <v>52955</v>
      </c>
      <c r="H16084" t="s">
        <v>54515</v>
      </c>
      <c r="J16084" t="s">
        <v>54516</v>
      </c>
      <c r="P16084" t="s">
        <v>1071</v>
      </c>
      <c r="Y16084" t="s">
        <v>54517</v>
      </c>
    </row>
    <row r="16085" spans="1:25" x14ac:dyDescent="0.25">
      <c r="A16085" t="str">
        <f>"1304798083"</f>
        <v>1304798083</v>
      </c>
      <c r="B16085" t="s">
        <v>284</v>
      </c>
      <c r="C16085" t="s">
        <v>54522</v>
      </c>
      <c r="D16085" t="s">
        <v>54518</v>
      </c>
      <c r="E16085">
        <v>425011</v>
      </c>
      <c r="F16085" t="s">
        <v>1</v>
      </c>
      <c r="G16085" t="s">
        <v>52955</v>
      </c>
      <c r="H16085" t="s">
        <v>53155</v>
      </c>
      <c r="J16085" t="s">
        <v>54519</v>
      </c>
      <c r="L16085" t="s">
        <v>54520</v>
      </c>
      <c r="M16085" t="s">
        <v>54521</v>
      </c>
      <c r="P16085" t="s">
        <v>280</v>
      </c>
      <c r="Y16085" t="s">
        <v>54523</v>
      </c>
    </row>
    <row r="16086" spans="1:25" x14ac:dyDescent="0.25">
      <c r="A16086" t="str">
        <f>"1307528597"</f>
        <v>1307528597</v>
      </c>
      <c r="B16086" t="s">
        <v>160</v>
      </c>
      <c r="C16086" t="s">
        <v>9976</v>
      </c>
      <c r="D16086" t="s">
        <v>54524</v>
      </c>
      <c r="E16086">
        <v>425009</v>
      </c>
      <c r="F16086" t="s">
        <v>1</v>
      </c>
      <c r="G16086" t="s">
        <v>52955</v>
      </c>
      <c r="H16086" t="s">
        <v>52993</v>
      </c>
      <c r="J16086" t="s">
        <v>54525</v>
      </c>
      <c r="P16086" t="s">
        <v>27</v>
      </c>
      <c r="Y16086" t="s">
        <v>52996</v>
      </c>
    </row>
    <row r="16087" spans="1:25" x14ac:dyDescent="0.25">
      <c r="A16087" t="str">
        <f>"1307713584"</f>
        <v>1307713584</v>
      </c>
      <c r="B16087" t="s">
        <v>4084</v>
      </c>
      <c r="C16087" t="s">
        <v>53152</v>
      </c>
      <c r="D16087" t="s">
        <v>54526</v>
      </c>
      <c r="E16087">
        <v>425000</v>
      </c>
      <c r="F16087" t="s">
        <v>1</v>
      </c>
      <c r="G16087" t="s">
        <v>52955</v>
      </c>
      <c r="H16087" t="s">
        <v>54527</v>
      </c>
      <c r="I16087" t="s">
        <v>54528</v>
      </c>
      <c r="L16087" t="s">
        <v>54529</v>
      </c>
      <c r="M16087" t="s">
        <v>54530</v>
      </c>
      <c r="P16087" t="s">
        <v>410</v>
      </c>
      <c r="Q16087" t="s">
        <v>54531</v>
      </c>
      <c r="Y16087" t="s">
        <v>54532</v>
      </c>
    </row>
    <row r="16088" spans="1:25" x14ac:dyDescent="0.25">
      <c r="A16088" t="str">
        <f>"1309021874"</f>
        <v>1309021874</v>
      </c>
      <c r="B16088" t="s">
        <v>3652</v>
      </c>
      <c r="C16088" t="s">
        <v>41122</v>
      </c>
      <c r="D16088" t="s">
        <v>54533</v>
      </c>
      <c r="E16088">
        <v>425005</v>
      </c>
      <c r="F16088" t="s">
        <v>1</v>
      </c>
      <c r="G16088" t="s">
        <v>52955</v>
      </c>
      <c r="H16088" t="s">
        <v>53487</v>
      </c>
      <c r="J16088" t="s">
        <v>54534</v>
      </c>
      <c r="M16088" t="s">
        <v>54535</v>
      </c>
      <c r="P16088" t="s">
        <v>280</v>
      </c>
      <c r="Y16088" t="s">
        <v>53489</v>
      </c>
    </row>
    <row r="16089" spans="1:25" x14ac:dyDescent="0.25">
      <c r="A16089" t="str">
        <f>"1311064650"</f>
        <v>1311064650</v>
      </c>
      <c r="B16089" t="s">
        <v>790</v>
      </c>
      <c r="C16089" t="s">
        <v>25438</v>
      </c>
      <c r="D16089" t="s">
        <v>54536</v>
      </c>
      <c r="E16089">
        <v>425008</v>
      </c>
      <c r="F16089" t="s">
        <v>1</v>
      </c>
      <c r="G16089" t="s">
        <v>52955</v>
      </c>
      <c r="H16089" t="s">
        <v>53554</v>
      </c>
      <c r="J16089" t="s">
        <v>54537</v>
      </c>
      <c r="P16089" t="s">
        <v>390</v>
      </c>
      <c r="Y16089" t="s">
        <v>54538</v>
      </c>
    </row>
    <row r="16090" spans="1:25" x14ac:dyDescent="0.25">
      <c r="A16090" t="str">
        <f>"1311186250"</f>
        <v>1311186250</v>
      </c>
      <c r="B16090" t="s">
        <v>624</v>
      </c>
      <c r="C16090" t="s">
        <v>2640</v>
      </c>
      <c r="D16090" t="s">
        <v>54539</v>
      </c>
      <c r="F16090" t="s">
        <v>1</v>
      </c>
      <c r="G16090" t="s">
        <v>52955</v>
      </c>
      <c r="H16090" t="s">
        <v>54321</v>
      </c>
      <c r="I16090" t="s">
        <v>54540</v>
      </c>
      <c r="P16090" t="s">
        <v>27</v>
      </c>
      <c r="Y16090" t="s">
        <v>54541</v>
      </c>
    </row>
    <row r="16091" spans="1:25" x14ac:dyDescent="0.25">
      <c r="A16091" t="str">
        <f>"1311891748"</f>
        <v>1311891748</v>
      </c>
      <c r="B16091" t="s">
        <v>1222</v>
      </c>
      <c r="C16091" t="s">
        <v>2114</v>
      </c>
      <c r="D16091" t="s">
        <v>54542</v>
      </c>
      <c r="F16091" t="s">
        <v>1</v>
      </c>
      <c r="G16091" t="s">
        <v>52955</v>
      </c>
      <c r="H16091" t="s">
        <v>53198</v>
      </c>
      <c r="J16091" t="s">
        <v>54543</v>
      </c>
      <c r="P16091" t="s">
        <v>54544</v>
      </c>
      <c r="Q16091" t="s">
        <v>54545</v>
      </c>
      <c r="Y16091" t="s">
        <v>54546</v>
      </c>
    </row>
    <row r="16092" spans="1:25" x14ac:dyDescent="0.25">
      <c r="A16092" t="str">
        <f>"1313749136"</f>
        <v>1313749136</v>
      </c>
      <c r="B16092" t="s">
        <v>574</v>
      </c>
      <c r="C16092" t="s">
        <v>646</v>
      </c>
      <c r="D16092" t="s">
        <v>39242</v>
      </c>
      <c r="E16092">
        <v>425003</v>
      </c>
      <c r="F16092" t="s">
        <v>1</v>
      </c>
      <c r="G16092" t="s">
        <v>52955</v>
      </c>
      <c r="H16092" t="s">
        <v>54547</v>
      </c>
      <c r="I16092" t="s">
        <v>54548</v>
      </c>
      <c r="P16092" t="s">
        <v>647</v>
      </c>
      <c r="Y16092" t="s">
        <v>54549</v>
      </c>
    </row>
    <row r="16093" spans="1:25" x14ac:dyDescent="0.25">
      <c r="A16093" t="str">
        <f>"1314130418"</f>
        <v>1314130418</v>
      </c>
      <c r="B16093" t="s">
        <v>18</v>
      </c>
      <c r="C16093" t="s">
        <v>54552</v>
      </c>
      <c r="D16093" t="s">
        <v>54550</v>
      </c>
      <c r="E16093">
        <v>425000</v>
      </c>
      <c r="F16093" t="s">
        <v>1</v>
      </c>
      <c r="G16093" t="s">
        <v>52955</v>
      </c>
      <c r="H16093" t="s">
        <v>54369</v>
      </c>
      <c r="I16093" t="s">
        <v>54551</v>
      </c>
      <c r="P16093" t="s">
        <v>12126</v>
      </c>
      <c r="Y16093" t="s">
        <v>54553</v>
      </c>
    </row>
    <row r="16094" spans="1:25" x14ac:dyDescent="0.25">
      <c r="A16094" t="str">
        <f>"1314382650"</f>
        <v>1314382650</v>
      </c>
      <c r="B16094" t="s">
        <v>1352</v>
      </c>
      <c r="C16094" t="s">
        <v>1353</v>
      </c>
      <c r="D16094" t="s">
        <v>30332</v>
      </c>
      <c r="E16094">
        <v>425008</v>
      </c>
      <c r="F16094" t="s">
        <v>1</v>
      </c>
      <c r="G16094" t="s">
        <v>52955</v>
      </c>
      <c r="H16094" t="s">
        <v>53554</v>
      </c>
      <c r="J16094" t="s">
        <v>54554</v>
      </c>
      <c r="P16094" t="s">
        <v>2050</v>
      </c>
      <c r="Y16094" t="s">
        <v>54555</v>
      </c>
    </row>
    <row r="16095" spans="1:25" x14ac:dyDescent="0.25">
      <c r="A16095" t="str">
        <f>"1316806874"</f>
        <v>1316806874</v>
      </c>
      <c r="B16095" t="s">
        <v>10986</v>
      </c>
      <c r="C16095" t="s">
        <v>10987</v>
      </c>
      <c r="D16095" t="s">
        <v>54556</v>
      </c>
      <c r="E16095">
        <v>425000</v>
      </c>
      <c r="F16095" t="s">
        <v>1</v>
      </c>
      <c r="G16095" t="s">
        <v>52955</v>
      </c>
      <c r="H16095" t="s">
        <v>54557</v>
      </c>
      <c r="I16095" t="s">
        <v>54558</v>
      </c>
      <c r="P16095" t="s">
        <v>280</v>
      </c>
      <c r="Y16095" t="s">
        <v>54559</v>
      </c>
    </row>
    <row r="16096" spans="1:25" x14ac:dyDescent="0.25">
      <c r="A16096" t="str">
        <f>"1320266880"</f>
        <v>1320266880</v>
      </c>
      <c r="B16096" t="s">
        <v>151</v>
      </c>
      <c r="C16096" t="s">
        <v>1034</v>
      </c>
      <c r="D16096" t="s">
        <v>54560</v>
      </c>
      <c r="E16096">
        <v>425009</v>
      </c>
      <c r="F16096" t="s">
        <v>1</v>
      </c>
      <c r="G16096" t="s">
        <v>52955</v>
      </c>
      <c r="H16096" t="s">
        <v>54561</v>
      </c>
      <c r="J16096" t="s">
        <v>54562</v>
      </c>
      <c r="P16096" t="s">
        <v>152</v>
      </c>
      <c r="Y16096" t="s">
        <v>54563</v>
      </c>
    </row>
    <row r="16097" spans="1:25" x14ac:dyDescent="0.25">
      <c r="A16097" t="str">
        <f>"1320394266"</f>
        <v>1320394266</v>
      </c>
      <c r="B16097" t="s">
        <v>430</v>
      </c>
      <c r="C16097" t="s">
        <v>54566</v>
      </c>
      <c r="D16097" t="s">
        <v>54564</v>
      </c>
      <c r="F16097" t="s">
        <v>1</v>
      </c>
      <c r="G16097" t="s">
        <v>52955</v>
      </c>
      <c r="H16097" t="s">
        <v>53072</v>
      </c>
      <c r="J16097" t="s">
        <v>54565</v>
      </c>
      <c r="P16097" t="s">
        <v>13227</v>
      </c>
      <c r="Y16097" t="s">
        <v>54567</v>
      </c>
    </row>
    <row r="16098" spans="1:25" x14ac:dyDescent="0.25">
      <c r="A16098" t="str">
        <f>"1320586356"</f>
        <v>1320586356</v>
      </c>
      <c r="B16098" t="s">
        <v>224</v>
      </c>
      <c r="C16098" t="s">
        <v>4931</v>
      </c>
      <c r="D16098" t="s">
        <v>54568</v>
      </c>
      <c r="E16098">
        <v>425009</v>
      </c>
      <c r="F16098" t="s">
        <v>1</v>
      </c>
      <c r="G16098" t="s">
        <v>52955</v>
      </c>
      <c r="H16098" t="s">
        <v>54569</v>
      </c>
      <c r="I16098" t="s">
        <v>54570</v>
      </c>
      <c r="L16098" t="s">
        <v>54571</v>
      </c>
      <c r="M16098" t="s">
        <v>54572</v>
      </c>
      <c r="P16098" t="s">
        <v>27</v>
      </c>
      <c r="Y16098" t="s">
        <v>54573</v>
      </c>
    </row>
    <row r="16099" spans="1:25" x14ac:dyDescent="0.25">
      <c r="A16099" t="str">
        <f>"1321593792"</f>
        <v>1321593792</v>
      </c>
      <c r="B16099" t="s">
        <v>1475</v>
      </c>
      <c r="C16099" t="s">
        <v>1476</v>
      </c>
      <c r="D16099" t="s">
        <v>6246</v>
      </c>
      <c r="F16099" t="s">
        <v>1</v>
      </c>
      <c r="G16099" t="s">
        <v>52955</v>
      </c>
      <c r="H16099" t="s">
        <v>54574</v>
      </c>
      <c r="J16099" t="s">
        <v>54575</v>
      </c>
      <c r="P16099" t="s">
        <v>410</v>
      </c>
      <c r="Y16099" t="s">
        <v>54576</v>
      </c>
    </row>
    <row r="16100" spans="1:25" x14ac:dyDescent="0.25">
      <c r="A16100" t="str">
        <f>"1322803702"</f>
        <v>1322803702</v>
      </c>
      <c r="B16100" t="s">
        <v>1078</v>
      </c>
      <c r="C16100" t="s">
        <v>21069</v>
      </c>
      <c r="D16100" t="s">
        <v>7229</v>
      </c>
      <c r="F16100" t="s">
        <v>1</v>
      </c>
      <c r="G16100" t="s">
        <v>52955</v>
      </c>
      <c r="H16100" t="s">
        <v>53871</v>
      </c>
      <c r="I16100" t="s">
        <v>54577</v>
      </c>
      <c r="L16100" t="s">
        <v>54578</v>
      </c>
      <c r="M16100" t="s">
        <v>54579</v>
      </c>
      <c r="P16100" t="s">
        <v>20</v>
      </c>
      <c r="Y16100" t="s">
        <v>54580</v>
      </c>
    </row>
    <row r="16101" spans="1:25" x14ac:dyDescent="0.25">
      <c r="A16101" t="str">
        <f>"1322976096"</f>
        <v>1322976096</v>
      </c>
      <c r="B16101" t="s">
        <v>1222</v>
      </c>
      <c r="C16101" t="s">
        <v>54585</v>
      </c>
      <c r="D16101" t="s">
        <v>54581</v>
      </c>
      <c r="E16101">
        <v>425000</v>
      </c>
      <c r="F16101" t="s">
        <v>1</v>
      </c>
      <c r="G16101" t="s">
        <v>52955</v>
      </c>
      <c r="H16101" t="s">
        <v>54582</v>
      </c>
      <c r="J16101" t="s">
        <v>54583</v>
      </c>
      <c r="L16101" t="s">
        <v>54584</v>
      </c>
      <c r="P16101" t="s">
        <v>133</v>
      </c>
      <c r="Q16101" t="s">
        <v>54586</v>
      </c>
      <c r="V16101" t="s">
        <v>54587</v>
      </c>
      <c r="Y16101" t="s">
        <v>54588</v>
      </c>
    </row>
    <row r="16102" spans="1:25" x14ac:dyDescent="0.25">
      <c r="A16102" t="str">
        <f>"1324029383"</f>
        <v>1324029383</v>
      </c>
      <c r="B16102" t="s">
        <v>1078</v>
      </c>
      <c r="C16102" t="s">
        <v>22198</v>
      </c>
      <c r="D16102" t="s">
        <v>5120</v>
      </c>
      <c r="F16102" t="s">
        <v>1</v>
      </c>
      <c r="G16102" t="s">
        <v>52955</v>
      </c>
      <c r="H16102" t="s">
        <v>54589</v>
      </c>
      <c r="P16102" t="s">
        <v>27</v>
      </c>
      <c r="Q16102" t="s">
        <v>54590</v>
      </c>
      <c r="Y16102" t="s">
        <v>54591</v>
      </c>
    </row>
    <row r="16103" spans="1:25" x14ac:dyDescent="0.25">
      <c r="A16103" t="str">
        <f>"1325112733"</f>
        <v>1325112733</v>
      </c>
      <c r="B16103" t="s">
        <v>160</v>
      </c>
      <c r="C16103" t="s">
        <v>9976</v>
      </c>
      <c r="D16103" t="s">
        <v>54592</v>
      </c>
      <c r="E16103">
        <v>425011</v>
      </c>
      <c r="F16103" t="s">
        <v>1</v>
      </c>
      <c r="G16103" t="s">
        <v>52955</v>
      </c>
      <c r="H16103" t="s">
        <v>54593</v>
      </c>
      <c r="I16103" t="s">
        <v>54594</v>
      </c>
      <c r="P16103" t="s">
        <v>280</v>
      </c>
      <c r="Y16103" t="s">
        <v>54595</v>
      </c>
    </row>
    <row r="16104" spans="1:25" x14ac:dyDescent="0.25">
      <c r="A16104" t="str">
        <f>"1327113124"</f>
        <v>1327113124</v>
      </c>
      <c r="B16104" t="s">
        <v>669</v>
      </c>
      <c r="C16104" t="s">
        <v>54601</v>
      </c>
      <c r="D16104" t="s">
        <v>54596</v>
      </c>
      <c r="E16104">
        <v>425000</v>
      </c>
      <c r="F16104" t="s">
        <v>1</v>
      </c>
      <c r="G16104" t="s">
        <v>52955</v>
      </c>
      <c r="H16104" t="s">
        <v>54597</v>
      </c>
      <c r="I16104" t="s">
        <v>54598</v>
      </c>
      <c r="L16104" t="s">
        <v>54599</v>
      </c>
      <c r="M16104" t="s">
        <v>54600</v>
      </c>
      <c r="P16104" t="s">
        <v>280</v>
      </c>
      <c r="Y16104" t="s">
        <v>54602</v>
      </c>
    </row>
    <row r="16105" spans="1:25" x14ac:dyDescent="0.25">
      <c r="A16105" t="str">
        <f>"1327618905"</f>
        <v>1327618905</v>
      </c>
      <c r="B16105" t="s">
        <v>4084</v>
      </c>
      <c r="C16105" t="s">
        <v>7951</v>
      </c>
      <c r="D16105" t="s">
        <v>54603</v>
      </c>
      <c r="E16105">
        <v>425000</v>
      </c>
      <c r="F16105" t="s">
        <v>1</v>
      </c>
      <c r="G16105" t="s">
        <v>52955</v>
      </c>
      <c r="H16105" t="s">
        <v>54604</v>
      </c>
      <c r="Y16105" t="s">
        <v>54605</v>
      </c>
    </row>
    <row r="16106" spans="1:25" x14ac:dyDescent="0.25">
      <c r="A16106" t="str">
        <f>"1327880883"</f>
        <v>1327880883</v>
      </c>
      <c r="B16106" t="s">
        <v>1053</v>
      </c>
      <c r="C16106" t="s">
        <v>1927</v>
      </c>
      <c r="D16106" t="s">
        <v>54606</v>
      </c>
      <c r="E16106">
        <v>425000</v>
      </c>
      <c r="F16106" t="s">
        <v>1</v>
      </c>
      <c r="G16106" t="s">
        <v>52955</v>
      </c>
      <c r="H16106" t="s">
        <v>53181</v>
      </c>
      <c r="I16106" t="s">
        <v>54607</v>
      </c>
      <c r="P16106" t="s">
        <v>280</v>
      </c>
      <c r="Y16106" t="s">
        <v>53183</v>
      </c>
    </row>
    <row r="16107" spans="1:25" x14ac:dyDescent="0.25">
      <c r="A16107" t="str">
        <f>"1328068898"</f>
        <v>1328068898</v>
      </c>
      <c r="B16107" t="s">
        <v>5443</v>
      </c>
      <c r="C16107" t="s">
        <v>23902</v>
      </c>
      <c r="D16107" t="s">
        <v>13619</v>
      </c>
      <c r="E16107">
        <v>425000</v>
      </c>
      <c r="F16107" t="s">
        <v>1</v>
      </c>
      <c r="G16107" t="s">
        <v>52955</v>
      </c>
      <c r="H16107" t="s">
        <v>53066</v>
      </c>
      <c r="J16107" t="s">
        <v>54608</v>
      </c>
      <c r="P16107" t="s">
        <v>362</v>
      </c>
      <c r="Y16107" t="s">
        <v>54609</v>
      </c>
    </row>
    <row r="16108" spans="1:25" x14ac:dyDescent="0.25">
      <c r="A16108" t="str">
        <f>"1328111999"</f>
        <v>1328111999</v>
      </c>
      <c r="B16108" t="s">
        <v>18</v>
      </c>
      <c r="C16108" t="s">
        <v>54613</v>
      </c>
      <c r="D16108" t="s">
        <v>54610</v>
      </c>
      <c r="E16108">
        <v>425000</v>
      </c>
      <c r="F16108" t="s">
        <v>1</v>
      </c>
      <c r="G16108" t="s">
        <v>52955</v>
      </c>
      <c r="H16108" t="s">
        <v>54611</v>
      </c>
      <c r="I16108" t="s">
        <v>54612</v>
      </c>
      <c r="L16108" t="s">
        <v>41671</v>
      </c>
      <c r="M16108" t="s">
        <v>41672</v>
      </c>
      <c r="P16108" t="s">
        <v>27</v>
      </c>
      <c r="Y16108" t="s">
        <v>54614</v>
      </c>
    </row>
    <row r="16109" spans="1:25" x14ac:dyDescent="0.25">
      <c r="A16109" t="str">
        <f>"1328745904"</f>
        <v>1328745904</v>
      </c>
      <c r="B16109" t="s">
        <v>388</v>
      </c>
      <c r="C16109" t="s">
        <v>54618</v>
      </c>
      <c r="D16109" t="s">
        <v>54615</v>
      </c>
      <c r="E16109">
        <v>425000</v>
      </c>
      <c r="F16109" t="s">
        <v>1</v>
      </c>
      <c r="G16109" t="s">
        <v>52955</v>
      </c>
      <c r="H16109" t="s">
        <v>54616</v>
      </c>
      <c r="I16109" t="s">
        <v>54617</v>
      </c>
      <c r="P16109" t="s">
        <v>20</v>
      </c>
      <c r="Y16109" t="s">
        <v>54619</v>
      </c>
    </row>
    <row r="16110" spans="1:25" x14ac:dyDescent="0.25">
      <c r="A16110" t="str">
        <f>"1328984192"</f>
        <v>1328984192</v>
      </c>
      <c r="B16110" t="s">
        <v>1573</v>
      </c>
      <c r="C16110" t="s">
        <v>54623</v>
      </c>
      <c r="D16110" t="s">
        <v>7032</v>
      </c>
      <c r="E16110">
        <v>425005</v>
      </c>
      <c r="F16110" t="s">
        <v>1</v>
      </c>
      <c r="G16110" t="s">
        <v>52955</v>
      </c>
      <c r="H16110" t="s">
        <v>54620</v>
      </c>
      <c r="I16110" t="s">
        <v>54621</v>
      </c>
      <c r="J16110" t="s">
        <v>54622</v>
      </c>
      <c r="K16110" t="s">
        <v>54621</v>
      </c>
      <c r="P16110" t="s">
        <v>5396</v>
      </c>
      <c r="Y16110" t="s">
        <v>54624</v>
      </c>
    </row>
    <row r="16111" spans="1:25" x14ac:dyDescent="0.25">
      <c r="A16111" t="str">
        <f>"1329371733"</f>
        <v>1329371733</v>
      </c>
      <c r="B16111" t="s">
        <v>123</v>
      </c>
      <c r="C16111" t="s">
        <v>424</v>
      </c>
      <c r="D16111" t="s">
        <v>54625</v>
      </c>
      <c r="E16111">
        <v>425009</v>
      </c>
      <c r="F16111" t="s">
        <v>1</v>
      </c>
      <c r="G16111" t="s">
        <v>52955</v>
      </c>
      <c r="H16111" t="s">
        <v>54626</v>
      </c>
      <c r="I16111" t="s">
        <v>54627</v>
      </c>
      <c r="L16111" t="s">
        <v>54628</v>
      </c>
      <c r="M16111" t="s">
        <v>54629</v>
      </c>
      <c r="P16111" t="s">
        <v>39889</v>
      </c>
      <c r="Y16111" t="s">
        <v>54630</v>
      </c>
    </row>
    <row r="16112" spans="1:25" x14ac:dyDescent="0.25">
      <c r="A16112" t="str">
        <f>"1329622792"</f>
        <v>1329622792</v>
      </c>
      <c r="B16112" t="s">
        <v>3094</v>
      </c>
      <c r="C16112" t="s">
        <v>3095</v>
      </c>
      <c r="D16112" t="s">
        <v>54631</v>
      </c>
      <c r="E16112">
        <v>425009</v>
      </c>
      <c r="F16112" t="s">
        <v>1</v>
      </c>
      <c r="G16112" t="s">
        <v>52955</v>
      </c>
      <c r="H16112" t="s">
        <v>54632</v>
      </c>
      <c r="I16112" t="s">
        <v>54633</v>
      </c>
      <c r="L16112" t="s">
        <v>54634</v>
      </c>
      <c r="M16112" t="s">
        <v>54635</v>
      </c>
      <c r="P16112" t="s">
        <v>6236</v>
      </c>
      <c r="Y16112" t="s">
        <v>54636</v>
      </c>
    </row>
    <row r="16113" spans="1:25" x14ac:dyDescent="0.25">
      <c r="A16113" t="str">
        <f>"1330282299"</f>
        <v>1330282299</v>
      </c>
      <c r="B16113" t="s">
        <v>25</v>
      </c>
      <c r="C16113" t="s">
        <v>54637</v>
      </c>
      <c r="D16113" t="s">
        <v>29863</v>
      </c>
      <c r="E16113">
        <v>425000</v>
      </c>
      <c r="F16113" t="s">
        <v>1</v>
      </c>
      <c r="G16113" t="s">
        <v>52955</v>
      </c>
      <c r="H16113" t="s">
        <v>53093</v>
      </c>
      <c r="Y16113" t="s">
        <v>54638</v>
      </c>
    </row>
    <row r="16114" spans="1:25" x14ac:dyDescent="0.25">
      <c r="A16114" t="str">
        <f>"1330511671"</f>
        <v>1330511671</v>
      </c>
      <c r="B16114" t="s">
        <v>430</v>
      </c>
      <c r="C16114" t="s">
        <v>54643</v>
      </c>
      <c r="D16114" t="s">
        <v>54639</v>
      </c>
      <c r="E16114">
        <v>425000</v>
      </c>
      <c r="F16114" t="s">
        <v>1</v>
      </c>
      <c r="G16114" t="s">
        <v>52955</v>
      </c>
      <c r="H16114" t="s">
        <v>53783</v>
      </c>
      <c r="I16114" t="s">
        <v>54640</v>
      </c>
      <c r="J16114" t="s">
        <v>54641</v>
      </c>
      <c r="L16114" t="s">
        <v>54642</v>
      </c>
      <c r="P16114" t="s">
        <v>54644</v>
      </c>
      <c r="Q16114" t="s">
        <v>54645</v>
      </c>
      <c r="V16114" t="s">
        <v>54646</v>
      </c>
      <c r="Y16114" t="s">
        <v>54647</v>
      </c>
    </row>
    <row r="16115" spans="1:25" x14ac:dyDescent="0.25">
      <c r="A16115" t="str">
        <f>"1330697332"</f>
        <v>1330697332</v>
      </c>
      <c r="B16115" t="s">
        <v>3094</v>
      </c>
      <c r="C16115" t="s">
        <v>7527</v>
      </c>
      <c r="D16115" t="s">
        <v>54648</v>
      </c>
      <c r="E16115">
        <v>425003</v>
      </c>
      <c r="F16115" t="s">
        <v>1</v>
      </c>
      <c r="G16115" t="s">
        <v>52955</v>
      </c>
      <c r="H16115" t="s">
        <v>54649</v>
      </c>
      <c r="I16115" t="s">
        <v>54650</v>
      </c>
      <c r="L16115" t="s">
        <v>54651</v>
      </c>
      <c r="M16115" t="s">
        <v>54652</v>
      </c>
      <c r="P16115" t="s">
        <v>42017</v>
      </c>
      <c r="Y16115" t="s">
        <v>54653</v>
      </c>
    </row>
    <row r="16116" spans="1:25" x14ac:dyDescent="0.25">
      <c r="A16116" t="str">
        <f>"1331505500"</f>
        <v>1331505500</v>
      </c>
      <c r="B16116" t="s">
        <v>669</v>
      </c>
      <c r="C16116" t="s">
        <v>54656</v>
      </c>
      <c r="D16116" t="s">
        <v>54654</v>
      </c>
      <c r="E16116">
        <v>425000</v>
      </c>
      <c r="F16116" t="s">
        <v>1</v>
      </c>
      <c r="G16116" t="s">
        <v>52955</v>
      </c>
      <c r="H16116" t="s">
        <v>53093</v>
      </c>
      <c r="I16116" t="s">
        <v>54655</v>
      </c>
      <c r="P16116" t="s">
        <v>280</v>
      </c>
      <c r="Y16116" t="s">
        <v>53099</v>
      </c>
    </row>
    <row r="16117" spans="1:25" x14ac:dyDescent="0.25">
      <c r="A16117" t="str">
        <f>"1331570490"</f>
        <v>1331570490</v>
      </c>
      <c r="B16117" t="s">
        <v>96</v>
      </c>
      <c r="C16117" t="s">
        <v>54658</v>
      </c>
      <c r="D16117" t="s">
        <v>28716</v>
      </c>
      <c r="E16117">
        <v>425000</v>
      </c>
      <c r="F16117" t="s">
        <v>1</v>
      </c>
      <c r="G16117" t="s">
        <v>52955</v>
      </c>
      <c r="H16117" t="s">
        <v>53911</v>
      </c>
      <c r="J16117" t="s">
        <v>54657</v>
      </c>
      <c r="P16117" t="s">
        <v>54659</v>
      </c>
      <c r="Y16117" t="s">
        <v>54660</v>
      </c>
    </row>
    <row r="16118" spans="1:25" x14ac:dyDescent="0.25">
      <c r="A16118" t="str">
        <f>"1332585893"</f>
        <v>1332585893</v>
      </c>
      <c r="B16118" t="s">
        <v>18</v>
      </c>
      <c r="C16118" t="s">
        <v>54663</v>
      </c>
      <c r="D16118" t="s">
        <v>6596</v>
      </c>
      <c r="E16118">
        <v>425001</v>
      </c>
      <c r="F16118" t="s">
        <v>1</v>
      </c>
      <c r="G16118" t="s">
        <v>52955</v>
      </c>
      <c r="H16118" t="s">
        <v>53465</v>
      </c>
      <c r="I16118" t="s">
        <v>54661</v>
      </c>
      <c r="J16118" t="s">
        <v>54662</v>
      </c>
      <c r="P16118" t="s">
        <v>390</v>
      </c>
      <c r="Y16118" t="s">
        <v>53472</v>
      </c>
    </row>
    <row r="16119" spans="1:25" x14ac:dyDescent="0.25">
      <c r="A16119" t="str">
        <f>"1332755473"</f>
        <v>1332755473</v>
      </c>
      <c r="B16119" t="s">
        <v>1078</v>
      </c>
      <c r="C16119" t="s">
        <v>1079</v>
      </c>
      <c r="D16119" t="s">
        <v>54664</v>
      </c>
      <c r="E16119">
        <v>425011</v>
      </c>
      <c r="F16119" t="s">
        <v>1</v>
      </c>
      <c r="G16119" t="s">
        <v>52955</v>
      </c>
      <c r="H16119" t="s">
        <v>53155</v>
      </c>
      <c r="I16119" t="s">
        <v>54665</v>
      </c>
      <c r="L16119" t="s">
        <v>54666</v>
      </c>
      <c r="M16119" t="s">
        <v>54667</v>
      </c>
      <c r="P16119" t="s">
        <v>15510</v>
      </c>
      <c r="Q16119" t="s">
        <v>54668</v>
      </c>
      <c r="Y16119" t="s">
        <v>54669</v>
      </c>
    </row>
    <row r="16120" spans="1:25" x14ac:dyDescent="0.25">
      <c r="A16120" t="str">
        <f>"1333071846"</f>
        <v>1333071846</v>
      </c>
      <c r="B16120" t="s">
        <v>574</v>
      </c>
      <c r="C16120" t="s">
        <v>646</v>
      </c>
      <c r="D16120" t="s">
        <v>54670</v>
      </c>
      <c r="F16120" t="s">
        <v>1</v>
      </c>
      <c r="G16120" t="s">
        <v>52955</v>
      </c>
      <c r="H16120" t="s">
        <v>53435</v>
      </c>
      <c r="I16120" t="s">
        <v>54671</v>
      </c>
      <c r="P16120" t="s">
        <v>3690</v>
      </c>
      <c r="Y16120" t="s">
        <v>54672</v>
      </c>
    </row>
    <row r="16121" spans="1:25" x14ac:dyDescent="0.25">
      <c r="A16121" t="str">
        <f>"1333306636"</f>
        <v>1333306636</v>
      </c>
      <c r="B16121" t="s">
        <v>530</v>
      </c>
      <c r="C16121" t="s">
        <v>531</v>
      </c>
      <c r="D16121" t="s">
        <v>54673</v>
      </c>
      <c r="F16121" t="s">
        <v>1</v>
      </c>
      <c r="G16121" t="s">
        <v>52955</v>
      </c>
      <c r="H16121" t="s">
        <v>54674</v>
      </c>
      <c r="I16121" t="s">
        <v>54675</v>
      </c>
      <c r="P16121" t="s">
        <v>20</v>
      </c>
      <c r="Y16121" t="s">
        <v>54676</v>
      </c>
    </row>
    <row r="16122" spans="1:25" x14ac:dyDescent="0.25">
      <c r="A16122" t="str">
        <f>"1333935600"</f>
        <v>1333935600</v>
      </c>
      <c r="B16122" t="s">
        <v>703</v>
      </c>
      <c r="C16122" t="s">
        <v>10967</v>
      </c>
      <c r="D16122" t="s">
        <v>54677</v>
      </c>
      <c r="F16122" t="s">
        <v>1</v>
      </c>
      <c r="G16122" t="s">
        <v>52955</v>
      </c>
      <c r="H16122" t="s">
        <v>54678</v>
      </c>
      <c r="J16122" t="s">
        <v>54679</v>
      </c>
      <c r="P16122" t="s">
        <v>21202</v>
      </c>
      <c r="Y16122" t="s">
        <v>54680</v>
      </c>
    </row>
    <row r="16123" spans="1:25" x14ac:dyDescent="0.25">
      <c r="A16123" t="str">
        <f>"1334275607"</f>
        <v>1334275607</v>
      </c>
      <c r="B16123" t="s">
        <v>1078</v>
      </c>
      <c r="C16123" t="s">
        <v>54686</v>
      </c>
      <c r="D16123" t="s">
        <v>53496</v>
      </c>
      <c r="F16123" t="s">
        <v>1</v>
      </c>
      <c r="G16123" t="s">
        <v>52955</v>
      </c>
      <c r="H16123" t="s">
        <v>54681</v>
      </c>
      <c r="I16123" t="s">
        <v>54682</v>
      </c>
      <c r="J16123" t="s">
        <v>54683</v>
      </c>
      <c r="L16123" t="s">
        <v>54684</v>
      </c>
      <c r="M16123" t="s">
        <v>54685</v>
      </c>
      <c r="P16123" t="s">
        <v>54687</v>
      </c>
      <c r="Q16123" t="s">
        <v>54688</v>
      </c>
      <c r="V16123" t="s">
        <v>54689</v>
      </c>
      <c r="Y16123" t="s">
        <v>54690</v>
      </c>
    </row>
    <row r="16124" spans="1:25" x14ac:dyDescent="0.25">
      <c r="A16124" t="str">
        <f>"1335846110"</f>
        <v>1335846110</v>
      </c>
      <c r="B16124" t="s">
        <v>530</v>
      </c>
      <c r="C16124" t="s">
        <v>5046</v>
      </c>
      <c r="D16124" t="s">
        <v>26890</v>
      </c>
      <c r="E16124">
        <v>425000</v>
      </c>
      <c r="F16124" t="s">
        <v>1</v>
      </c>
      <c r="G16124" t="s">
        <v>52955</v>
      </c>
      <c r="H16124" t="s">
        <v>54421</v>
      </c>
      <c r="I16124" t="s">
        <v>54691</v>
      </c>
      <c r="P16124" t="s">
        <v>27</v>
      </c>
      <c r="Y16124" t="s">
        <v>54423</v>
      </c>
    </row>
    <row r="16125" spans="1:25" x14ac:dyDescent="0.25">
      <c r="A16125" t="str">
        <f>"1336595710"</f>
        <v>1336595710</v>
      </c>
      <c r="B16125" t="s">
        <v>18</v>
      </c>
      <c r="C16125" t="s">
        <v>54693</v>
      </c>
      <c r="D16125" t="s">
        <v>54692</v>
      </c>
      <c r="F16125" t="s">
        <v>1</v>
      </c>
      <c r="G16125" t="s">
        <v>52955</v>
      </c>
      <c r="H16125" t="s">
        <v>53211</v>
      </c>
      <c r="I16125" t="s">
        <v>54156</v>
      </c>
      <c r="P16125" t="s">
        <v>11801</v>
      </c>
      <c r="Y16125" t="s">
        <v>53759</v>
      </c>
    </row>
    <row r="16126" spans="1:25" x14ac:dyDescent="0.25">
      <c r="A16126" t="str">
        <f>"1337392444"</f>
        <v>1337392444</v>
      </c>
      <c r="B16126" t="s">
        <v>538</v>
      </c>
      <c r="C16126" t="s">
        <v>539</v>
      </c>
      <c r="D16126" t="s">
        <v>11791</v>
      </c>
      <c r="E16126">
        <v>425000</v>
      </c>
      <c r="F16126" t="s">
        <v>1</v>
      </c>
      <c r="G16126" t="s">
        <v>52955</v>
      </c>
      <c r="H16126" t="s">
        <v>53343</v>
      </c>
      <c r="I16126" t="s">
        <v>54694</v>
      </c>
      <c r="P16126" t="s">
        <v>5396</v>
      </c>
      <c r="Y16126" t="s">
        <v>54695</v>
      </c>
    </row>
    <row r="16127" spans="1:25" x14ac:dyDescent="0.25">
      <c r="A16127" t="str">
        <f>"1338601923"</f>
        <v>1338601923</v>
      </c>
      <c r="B16127" t="s">
        <v>96</v>
      </c>
      <c r="C16127" t="s">
        <v>507</v>
      </c>
      <c r="D16127" t="s">
        <v>30193</v>
      </c>
      <c r="E16127">
        <v>425011</v>
      </c>
      <c r="F16127" t="s">
        <v>1</v>
      </c>
      <c r="G16127" t="s">
        <v>52955</v>
      </c>
      <c r="H16127" t="s">
        <v>53976</v>
      </c>
      <c r="I16127" t="s">
        <v>54696</v>
      </c>
      <c r="P16127" t="s">
        <v>133</v>
      </c>
      <c r="Y16127" t="s">
        <v>54697</v>
      </c>
    </row>
    <row r="16128" spans="1:25" x14ac:dyDescent="0.25">
      <c r="A16128" t="str">
        <f>"1339185084"</f>
        <v>1339185084</v>
      </c>
      <c r="B16128" t="s">
        <v>2372</v>
      </c>
      <c r="C16128" t="s">
        <v>10683</v>
      </c>
      <c r="D16128" t="s">
        <v>54698</v>
      </c>
      <c r="F16128" t="s">
        <v>1</v>
      </c>
      <c r="G16128" t="s">
        <v>52955</v>
      </c>
      <c r="H16128" t="s">
        <v>53163</v>
      </c>
      <c r="J16128" t="s">
        <v>54699</v>
      </c>
      <c r="P16128" t="s">
        <v>10285</v>
      </c>
      <c r="Y16128" t="s">
        <v>54700</v>
      </c>
    </row>
    <row r="16129" spans="1:25" x14ac:dyDescent="0.25">
      <c r="A16129" t="str">
        <f>"1339213593"</f>
        <v>1339213593</v>
      </c>
      <c r="B16129" t="s">
        <v>319</v>
      </c>
      <c r="C16129" t="s">
        <v>320</v>
      </c>
      <c r="D16129" t="s">
        <v>320</v>
      </c>
      <c r="E16129">
        <v>425000</v>
      </c>
      <c r="F16129" t="s">
        <v>1</v>
      </c>
      <c r="G16129" t="s">
        <v>52955</v>
      </c>
      <c r="H16129" t="s">
        <v>54701</v>
      </c>
      <c r="J16129" t="s">
        <v>54702</v>
      </c>
      <c r="P16129" t="s">
        <v>216</v>
      </c>
      <c r="Y16129" t="s">
        <v>54703</v>
      </c>
    </row>
    <row r="16130" spans="1:25" x14ac:dyDescent="0.25">
      <c r="A16130" t="str">
        <f>"1339524955"</f>
        <v>1339524955</v>
      </c>
      <c r="B16130" t="s">
        <v>3094</v>
      </c>
      <c r="C16130" t="s">
        <v>6522</v>
      </c>
      <c r="D16130" t="s">
        <v>54704</v>
      </c>
      <c r="E16130">
        <v>425008</v>
      </c>
      <c r="F16130" t="s">
        <v>1</v>
      </c>
      <c r="G16130" t="s">
        <v>52955</v>
      </c>
      <c r="H16130" t="s">
        <v>54705</v>
      </c>
      <c r="I16130" t="s">
        <v>54706</v>
      </c>
      <c r="L16130" t="s">
        <v>54707</v>
      </c>
      <c r="M16130" t="s">
        <v>54708</v>
      </c>
      <c r="P16130" t="s">
        <v>54709</v>
      </c>
      <c r="Y16130" t="s">
        <v>54710</v>
      </c>
    </row>
    <row r="16131" spans="1:25" x14ac:dyDescent="0.25">
      <c r="A16131" t="str">
        <f>"1342008748"</f>
        <v>1342008748</v>
      </c>
      <c r="B16131" t="s">
        <v>1475</v>
      </c>
      <c r="C16131" t="s">
        <v>53913</v>
      </c>
      <c r="D16131" t="s">
        <v>51811</v>
      </c>
      <c r="E16131">
        <v>425000</v>
      </c>
      <c r="F16131" t="s">
        <v>1</v>
      </c>
      <c r="G16131" t="s">
        <v>52955</v>
      </c>
      <c r="H16131" t="s">
        <v>54711</v>
      </c>
      <c r="I16131" t="s">
        <v>54712</v>
      </c>
      <c r="P16131" t="s">
        <v>54659</v>
      </c>
      <c r="Y16131" t="s">
        <v>54713</v>
      </c>
    </row>
    <row r="16132" spans="1:25" x14ac:dyDescent="0.25">
      <c r="A16132" t="str">
        <f>"1342961481"</f>
        <v>1342961481</v>
      </c>
      <c r="B16132" t="s">
        <v>2818</v>
      </c>
      <c r="C16132" t="s">
        <v>6466</v>
      </c>
      <c r="D16132" t="s">
        <v>8455</v>
      </c>
      <c r="E16132">
        <v>425000</v>
      </c>
      <c r="F16132" t="s">
        <v>1</v>
      </c>
      <c r="G16132" t="s">
        <v>52955</v>
      </c>
      <c r="H16132" t="s">
        <v>53951</v>
      </c>
      <c r="I16132" t="s">
        <v>54714</v>
      </c>
      <c r="J16132" t="s">
        <v>54715</v>
      </c>
      <c r="L16132" t="s">
        <v>54716</v>
      </c>
      <c r="M16132" t="s">
        <v>54717</v>
      </c>
      <c r="P16132" t="s">
        <v>1232</v>
      </c>
      <c r="Q16132" t="s">
        <v>54718</v>
      </c>
      <c r="Y16132" t="s">
        <v>54719</v>
      </c>
    </row>
    <row r="16133" spans="1:25" x14ac:dyDescent="0.25">
      <c r="A16133" t="str">
        <f>"1343141147"</f>
        <v>1343141147</v>
      </c>
      <c r="B16133" t="s">
        <v>703</v>
      </c>
      <c r="C16133" t="s">
        <v>10967</v>
      </c>
      <c r="D16133" t="s">
        <v>54720</v>
      </c>
      <c r="E16133">
        <v>425003</v>
      </c>
      <c r="F16133" t="s">
        <v>1</v>
      </c>
      <c r="G16133" t="s">
        <v>52955</v>
      </c>
      <c r="H16133" t="s">
        <v>53559</v>
      </c>
      <c r="J16133" t="s">
        <v>54721</v>
      </c>
      <c r="P16133" t="s">
        <v>340</v>
      </c>
      <c r="Y16133" t="s">
        <v>54489</v>
      </c>
    </row>
    <row r="16134" spans="1:25" x14ac:dyDescent="0.25">
      <c r="A16134" t="str">
        <f>"1344444649"</f>
        <v>1344444649</v>
      </c>
      <c r="B16134" t="s">
        <v>1152</v>
      </c>
      <c r="C16134" t="s">
        <v>54724</v>
      </c>
      <c r="D16134" t="s">
        <v>54722</v>
      </c>
      <c r="E16134">
        <v>425000</v>
      </c>
      <c r="F16134" t="s">
        <v>1</v>
      </c>
      <c r="G16134" t="s">
        <v>52955</v>
      </c>
      <c r="H16134" t="s">
        <v>53066</v>
      </c>
      <c r="J16134" t="s">
        <v>54723</v>
      </c>
      <c r="P16134" t="s">
        <v>280</v>
      </c>
      <c r="Y16134" t="s">
        <v>54725</v>
      </c>
    </row>
    <row r="16135" spans="1:25" x14ac:dyDescent="0.25">
      <c r="A16135" t="str">
        <f>"1345042204"</f>
        <v>1345042204</v>
      </c>
      <c r="B16135" t="s">
        <v>284</v>
      </c>
      <c r="C16135" t="s">
        <v>54731</v>
      </c>
      <c r="D16135" t="s">
        <v>54726</v>
      </c>
      <c r="F16135" t="s">
        <v>1</v>
      </c>
      <c r="G16135" t="s">
        <v>52955</v>
      </c>
      <c r="H16135" t="s">
        <v>53275</v>
      </c>
      <c r="I16135" t="s">
        <v>54727</v>
      </c>
      <c r="J16135" t="s">
        <v>54728</v>
      </c>
      <c r="L16135" t="s">
        <v>54729</v>
      </c>
      <c r="M16135" t="s">
        <v>54730</v>
      </c>
      <c r="P16135" t="s">
        <v>27</v>
      </c>
      <c r="Y16135" t="s">
        <v>54732</v>
      </c>
    </row>
    <row r="16136" spans="1:25" x14ac:dyDescent="0.25">
      <c r="A16136" t="str">
        <f>"1346283445"</f>
        <v>1346283445</v>
      </c>
      <c r="B16136" t="s">
        <v>32</v>
      </c>
      <c r="C16136" t="s">
        <v>777</v>
      </c>
      <c r="D16136" t="s">
        <v>54733</v>
      </c>
      <c r="E16136">
        <v>425009</v>
      </c>
      <c r="F16136" t="s">
        <v>1</v>
      </c>
      <c r="G16136" t="s">
        <v>52955</v>
      </c>
      <c r="H16136" t="s">
        <v>53696</v>
      </c>
      <c r="J16136" t="s">
        <v>54734</v>
      </c>
      <c r="P16136" t="s">
        <v>1433</v>
      </c>
      <c r="Y16136" t="s">
        <v>54735</v>
      </c>
    </row>
    <row r="16137" spans="1:25" x14ac:dyDescent="0.25">
      <c r="A16137" t="str">
        <f>"1349211239"</f>
        <v>1349211239</v>
      </c>
      <c r="B16137" t="s">
        <v>1611</v>
      </c>
      <c r="C16137" t="s">
        <v>14879</v>
      </c>
      <c r="D16137" t="s">
        <v>54736</v>
      </c>
      <c r="E16137">
        <v>425009</v>
      </c>
      <c r="F16137" t="s">
        <v>1</v>
      </c>
      <c r="G16137" t="s">
        <v>52955</v>
      </c>
      <c r="H16137" t="s">
        <v>52993</v>
      </c>
      <c r="I16137" t="s">
        <v>54737</v>
      </c>
      <c r="M16137" t="s">
        <v>54738</v>
      </c>
      <c r="P16137" t="s">
        <v>21202</v>
      </c>
      <c r="Y16137" t="s">
        <v>52996</v>
      </c>
    </row>
    <row r="16138" spans="1:25" x14ac:dyDescent="0.25">
      <c r="A16138" t="str">
        <f>"1350247255"</f>
        <v>1350247255</v>
      </c>
      <c r="B16138" t="s">
        <v>352</v>
      </c>
      <c r="C16138" t="s">
        <v>54741</v>
      </c>
      <c r="D16138" t="s">
        <v>54739</v>
      </c>
      <c r="F16138" t="s">
        <v>1</v>
      </c>
      <c r="G16138" t="s">
        <v>52955</v>
      </c>
      <c r="H16138" t="s">
        <v>53592</v>
      </c>
      <c r="I16138" t="s">
        <v>54740</v>
      </c>
      <c r="P16138" t="s">
        <v>280</v>
      </c>
      <c r="Y16138" t="s">
        <v>54742</v>
      </c>
    </row>
    <row r="16139" spans="1:25" x14ac:dyDescent="0.25">
      <c r="A16139" t="str">
        <f>"1350374357"</f>
        <v>1350374357</v>
      </c>
      <c r="B16139" t="s">
        <v>18</v>
      </c>
      <c r="C16139" t="s">
        <v>54746</v>
      </c>
      <c r="D16139" t="s">
        <v>54743</v>
      </c>
      <c r="F16139" t="s">
        <v>1</v>
      </c>
      <c r="G16139" t="s">
        <v>52955</v>
      </c>
      <c r="H16139" t="s">
        <v>53355</v>
      </c>
      <c r="I16139" t="s">
        <v>54744</v>
      </c>
      <c r="L16139" t="s">
        <v>2127</v>
      </c>
      <c r="M16139" t="s">
        <v>54745</v>
      </c>
      <c r="P16139" t="s">
        <v>152</v>
      </c>
      <c r="Y16139" t="s">
        <v>53357</v>
      </c>
    </row>
    <row r="16140" spans="1:25" x14ac:dyDescent="0.25">
      <c r="A16140" t="str">
        <f>"1350941479"</f>
        <v>1350941479</v>
      </c>
      <c r="B16140" t="s">
        <v>18</v>
      </c>
      <c r="C16140" t="s">
        <v>54749</v>
      </c>
      <c r="D16140" t="s">
        <v>54747</v>
      </c>
      <c r="F16140" t="s">
        <v>1</v>
      </c>
      <c r="G16140" t="s">
        <v>52955</v>
      </c>
      <c r="H16140" t="s">
        <v>53275</v>
      </c>
      <c r="J16140" t="s">
        <v>54748</v>
      </c>
      <c r="P16140" t="s">
        <v>6236</v>
      </c>
      <c r="Y16140" t="s">
        <v>54084</v>
      </c>
    </row>
    <row r="16141" spans="1:25" x14ac:dyDescent="0.25">
      <c r="A16141" t="str">
        <f>"1351236401"</f>
        <v>1351236401</v>
      </c>
      <c r="B16141" t="s">
        <v>1053</v>
      </c>
      <c r="C16141" t="s">
        <v>54752</v>
      </c>
      <c r="D16141" t="s">
        <v>54750</v>
      </c>
      <c r="E16141">
        <v>425005</v>
      </c>
      <c r="F16141" t="s">
        <v>1</v>
      </c>
      <c r="G16141" t="s">
        <v>52955</v>
      </c>
      <c r="H16141" t="s">
        <v>54351</v>
      </c>
      <c r="J16141" t="s">
        <v>54751</v>
      </c>
      <c r="P16141" t="s">
        <v>280</v>
      </c>
      <c r="Y16141" t="s">
        <v>54353</v>
      </c>
    </row>
    <row r="16142" spans="1:25" x14ac:dyDescent="0.25">
      <c r="A16142" t="str">
        <f>"1352412111"</f>
        <v>1352412111</v>
      </c>
      <c r="B16142" t="s">
        <v>1391</v>
      </c>
      <c r="C16142" t="s">
        <v>23730</v>
      </c>
      <c r="D16142" t="s">
        <v>54753</v>
      </c>
      <c r="F16142" t="s">
        <v>1</v>
      </c>
      <c r="G16142" t="s">
        <v>52955</v>
      </c>
      <c r="H16142" t="s">
        <v>53404</v>
      </c>
      <c r="J16142" t="s">
        <v>54754</v>
      </c>
      <c r="P16142" t="s">
        <v>27</v>
      </c>
      <c r="Y16142" t="s">
        <v>53547</v>
      </c>
    </row>
    <row r="16143" spans="1:25" x14ac:dyDescent="0.25">
      <c r="A16143" t="str">
        <f>"1353772273"</f>
        <v>1353772273</v>
      </c>
      <c r="B16143" t="s">
        <v>7</v>
      </c>
      <c r="C16143" t="s">
        <v>9893</v>
      </c>
      <c r="D16143" t="s">
        <v>54755</v>
      </c>
      <c r="E16143">
        <v>425009</v>
      </c>
      <c r="F16143" t="s">
        <v>1</v>
      </c>
      <c r="G16143" t="s">
        <v>52955</v>
      </c>
      <c r="H16143" t="s">
        <v>54756</v>
      </c>
      <c r="J16143" t="s">
        <v>54757</v>
      </c>
      <c r="P16143" t="s">
        <v>1306</v>
      </c>
      <c r="Y16143" t="s">
        <v>54758</v>
      </c>
    </row>
    <row r="16144" spans="1:25" x14ac:dyDescent="0.25">
      <c r="A16144" t="str">
        <f>"1353984720"</f>
        <v>1353984720</v>
      </c>
      <c r="B16144" t="s">
        <v>2846</v>
      </c>
      <c r="C16144" t="s">
        <v>22835</v>
      </c>
      <c r="D16144" t="s">
        <v>54759</v>
      </c>
      <c r="E16144">
        <v>425011</v>
      </c>
      <c r="F16144" t="s">
        <v>1</v>
      </c>
      <c r="G16144" t="s">
        <v>52955</v>
      </c>
      <c r="H16144" t="s">
        <v>53507</v>
      </c>
      <c r="J16144" t="s">
        <v>54760</v>
      </c>
      <c r="L16144" t="s">
        <v>54761</v>
      </c>
      <c r="Q16144" t="s">
        <v>54762</v>
      </c>
      <c r="Y16144" t="s">
        <v>54763</v>
      </c>
    </row>
    <row r="16145" spans="1:25" x14ac:dyDescent="0.25">
      <c r="A16145" t="str">
        <f>"1355312492"</f>
        <v>1355312492</v>
      </c>
      <c r="B16145" t="s">
        <v>738</v>
      </c>
      <c r="C16145" t="s">
        <v>739</v>
      </c>
      <c r="D16145" t="s">
        <v>10010</v>
      </c>
      <c r="F16145" t="s">
        <v>1</v>
      </c>
      <c r="G16145" t="s">
        <v>52955</v>
      </c>
      <c r="H16145" t="s">
        <v>54574</v>
      </c>
      <c r="J16145" t="s">
        <v>54764</v>
      </c>
      <c r="P16145" t="s">
        <v>3814</v>
      </c>
      <c r="Y16145" t="s">
        <v>54765</v>
      </c>
    </row>
    <row r="16146" spans="1:25" x14ac:dyDescent="0.25">
      <c r="A16146" t="str">
        <f>"1356823562"</f>
        <v>1356823562</v>
      </c>
      <c r="B16146" t="s">
        <v>430</v>
      </c>
      <c r="C16146" t="s">
        <v>50834</v>
      </c>
      <c r="D16146" t="s">
        <v>54766</v>
      </c>
      <c r="F16146" t="s">
        <v>1</v>
      </c>
      <c r="G16146" t="s">
        <v>52955</v>
      </c>
      <c r="H16146" t="s">
        <v>54767</v>
      </c>
      <c r="J16146" t="s">
        <v>54768</v>
      </c>
      <c r="P16146" t="s">
        <v>2457</v>
      </c>
      <c r="Q16146" t="s">
        <v>54769</v>
      </c>
      <c r="Y16146" t="s">
        <v>54770</v>
      </c>
    </row>
    <row r="16147" spans="1:25" x14ac:dyDescent="0.25">
      <c r="A16147" t="str">
        <f>"1356978078"</f>
        <v>1356978078</v>
      </c>
      <c r="B16147" t="s">
        <v>1611</v>
      </c>
      <c r="C16147" t="s">
        <v>6872</v>
      </c>
      <c r="D16147" t="s">
        <v>54771</v>
      </c>
      <c r="E16147">
        <v>425000</v>
      </c>
      <c r="F16147" t="s">
        <v>1</v>
      </c>
      <c r="G16147" t="s">
        <v>52955</v>
      </c>
      <c r="H16147" t="s">
        <v>54772</v>
      </c>
      <c r="I16147" t="s">
        <v>54773</v>
      </c>
      <c r="M16147" t="s">
        <v>54774</v>
      </c>
      <c r="P16147" t="s">
        <v>5396</v>
      </c>
      <c r="Y16147" t="s">
        <v>54775</v>
      </c>
    </row>
    <row r="16148" spans="1:25" x14ac:dyDescent="0.25">
      <c r="A16148" t="str">
        <f>"1358571417"</f>
        <v>1358571417</v>
      </c>
      <c r="B16148" t="s">
        <v>18</v>
      </c>
      <c r="C16148" t="s">
        <v>54778</v>
      </c>
      <c r="D16148" t="s">
        <v>54776</v>
      </c>
      <c r="E16148">
        <v>425000</v>
      </c>
      <c r="F16148" t="s">
        <v>1</v>
      </c>
      <c r="G16148" t="s">
        <v>52955</v>
      </c>
      <c r="H16148" t="s">
        <v>53093</v>
      </c>
      <c r="I16148" t="s">
        <v>54777</v>
      </c>
      <c r="P16148" t="s">
        <v>280</v>
      </c>
      <c r="Y16148" t="s">
        <v>53099</v>
      </c>
    </row>
    <row r="16149" spans="1:25" x14ac:dyDescent="0.25">
      <c r="A16149" t="str">
        <f>"1359370330"</f>
        <v>1359370330</v>
      </c>
      <c r="B16149" t="s">
        <v>96</v>
      </c>
      <c r="C16149" t="s">
        <v>22202</v>
      </c>
      <c r="D16149" t="s">
        <v>54779</v>
      </c>
      <c r="E16149">
        <v>425000</v>
      </c>
      <c r="F16149" t="s">
        <v>1</v>
      </c>
      <c r="G16149" t="s">
        <v>52955</v>
      </c>
      <c r="H16149" t="s">
        <v>54780</v>
      </c>
      <c r="J16149" t="s">
        <v>54781</v>
      </c>
      <c r="P16149" t="s">
        <v>133</v>
      </c>
      <c r="Y16149" t="s">
        <v>54782</v>
      </c>
    </row>
    <row r="16150" spans="1:25" x14ac:dyDescent="0.25">
      <c r="A16150" t="str">
        <f>"1359811516"</f>
        <v>1359811516</v>
      </c>
      <c r="B16150" t="s">
        <v>1053</v>
      </c>
      <c r="C16150" t="s">
        <v>1927</v>
      </c>
      <c r="D16150" t="s">
        <v>54783</v>
      </c>
      <c r="F16150" t="s">
        <v>1</v>
      </c>
      <c r="G16150" t="s">
        <v>52955</v>
      </c>
      <c r="H16150" t="s">
        <v>53592</v>
      </c>
      <c r="J16150" t="s">
        <v>54784</v>
      </c>
      <c r="P16150" t="s">
        <v>280</v>
      </c>
      <c r="Y16150" t="s">
        <v>54742</v>
      </c>
    </row>
    <row r="16151" spans="1:25" x14ac:dyDescent="0.25">
      <c r="A16151" t="str">
        <f>"1360124005"</f>
        <v>1360124005</v>
      </c>
      <c r="B16151" t="s">
        <v>160</v>
      </c>
      <c r="C16151" t="s">
        <v>1666</v>
      </c>
      <c r="D16151" t="s">
        <v>54785</v>
      </c>
      <c r="E16151">
        <v>425009</v>
      </c>
      <c r="F16151" t="s">
        <v>1</v>
      </c>
      <c r="G16151" t="s">
        <v>52955</v>
      </c>
      <c r="H16151" t="s">
        <v>53696</v>
      </c>
      <c r="I16151" t="s">
        <v>54786</v>
      </c>
      <c r="P16151" t="s">
        <v>280</v>
      </c>
      <c r="Y16151" t="s">
        <v>54787</v>
      </c>
    </row>
    <row r="16152" spans="1:25" x14ac:dyDescent="0.25">
      <c r="A16152" t="str">
        <f>"1361667314"</f>
        <v>1361667314</v>
      </c>
      <c r="B16152" t="s">
        <v>160</v>
      </c>
      <c r="C16152" t="s">
        <v>9976</v>
      </c>
      <c r="D16152" t="s">
        <v>54788</v>
      </c>
      <c r="E16152">
        <v>425001</v>
      </c>
      <c r="F16152" t="s">
        <v>1</v>
      </c>
      <c r="G16152" t="s">
        <v>52955</v>
      </c>
      <c r="H16152" t="s">
        <v>54789</v>
      </c>
      <c r="J16152" t="s">
        <v>54790</v>
      </c>
      <c r="P16152" t="s">
        <v>27</v>
      </c>
      <c r="Y16152" t="s">
        <v>54791</v>
      </c>
    </row>
    <row r="16153" spans="1:25" x14ac:dyDescent="0.25">
      <c r="A16153" t="str">
        <f>"1362070441"</f>
        <v>1362070441</v>
      </c>
      <c r="B16153" t="s">
        <v>25</v>
      </c>
      <c r="C16153" t="s">
        <v>15801</v>
      </c>
      <c r="D16153" t="s">
        <v>54792</v>
      </c>
      <c r="F16153" t="s">
        <v>1</v>
      </c>
      <c r="G16153" t="s">
        <v>52955</v>
      </c>
      <c r="H16153" t="s">
        <v>53404</v>
      </c>
      <c r="I16153" t="s">
        <v>54793</v>
      </c>
      <c r="J16153" t="s">
        <v>54794</v>
      </c>
      <c r="P16153" t="s">
        <v>280</v>
      </c>
      <c r="Y16153" t="s">
        <v>53547</v>
      </c>
    </row>
    <row r="16154" spans="1:25" x14ac:dyDescent="0.25">
      <c r="A16154" t="str">
        <f>"1362308757"</f>
        <v>1362308757</v>
      </c>
      <c r="B16154" t="s">
        <v>352</v>
      </c>
      <c r="C16154" t="s">
        <v>54799</v>
      </c>
      <c r="D16154" t="s">
        <v>54795</v>
      </c>
      <c r="F16154" t="s">
        <v>1</v>
      </c>
      <c r="G16154" t="s">
        <v>52955</v>
      </c>
      <c r="H16154" t="s">
        <v>53404</v>
      </c>
      <c r="J16154" t="s">
        <v>54796</v>
      </c>
      <c r="L16154" t="s">
        <v>54797</v>
      </c>
      <c r="M16154" t="s">
        <v>54798</v>
      </c>
      <c r="P16154" t="s">
        <v>6764</v>
      </c>
      <c r="Y16154" t="s">
        <v>53547</v>
      </c>
    </row>
    <row r="16155" spans="1:25" x14ac:dyDescent="0.25">
      <c r="A16155" t="str">
        <f>"1363500715"</f>
        <v>1363500715</v>
      </c>
      <c r="B16155" t="s">
        <v>18</v>
      </c>
      <c r="C16155" t="s">
        <v>143</v>
      </c>
      <c r="D16155" t="s">
        <v>54800</v>
      </c>
      <c r="F16155" t="s">
        <v>1</v>
      </c>
      <c r="G16155" t="s">
        <v>52955</v>
      </c>
      <c r="H16155" t="s">
        <v>54801</v>
      </c>
      <c r="J16155" t="s">
        <v>54802</v>
      </c>
      <c r="L16155" t="s">
        <v>54803</v>
      </c>
      <c r="M16155" t="s">
        <v>54804</v>
      </c>
      <c r="P16155" t="s">
        <v>133</v>
      </c>
      <c r="Q16155" t="s">
        <v>54805</v>
      </c>
      <c r="Y16155" t="s">
        <v>54806</v>
      </c>
    </row>
    <row r="16156" spans="1:25" x14ac:dyDescent="0.25">
      <c r="A16156" t="str">
        <f>"1364471742"</f>
        <v>1364471742</v>
      </c>
      <c r="B16156" t="s">
        <v>430</v>
      </c>
      <c r="C16156" t="s">
        <v>16178</v>
      </c>
      <c r="D16156" t="s">
        <v>54807</v>
      </c>
      <c r="F16156" t="s">
        <v>1</v>
      </c>
      <c r="G16156" t="s">
        <v>52955</v>
      </c>
      <c r="H16156" t="s">
        <v>53417</v>
      </c>
      <c r="Y16156" t="s">
        <v>54808</v>
      </c>
    </row>
    <row r="16157" spans="1:25" x14ac:dyDescent="0.25">
      <c r="A16157" t="str">
        <f>"1364747625"</f>
        <v>1364747625</v>
      </c>
      <c r="B16157" t="s">
        <v>738</v>
      </c>
      <c r="C16157" t="s">
        <v>739</v>
      </c>
      <c r="D16157" t="s">
        <v>22658</v>
      </c>
      <c r="E16157">
        <v>425003</v>
      </c>
      <c r="F16157" t="s">
        <v>1</v>
      </c>
      <c r="G16157" t="s">
        <v>52955</v>
      </c>
      <c r="H16157" t="s">
        <v>53392</v>
      </c>
      <c r="J16157" t="s">
        <v>54809</v>
      </c>
      <c r="P16157" t="s">
        <v>2580</v>
      </c>
      <c r="Y16157" t="s">
        <v>54810</v>
      </c>
    </row>
    <row r="16158" spans="1:25" x14ac:dyDescent="0.25">
      <c r="A16158" t="str">
        <f>"1365074428"</f>
        <v>1365074428</v>
      </c>
      <c r="B16158" t="s">
        <v>379</v>
      </c>
      <c r="C16158" t="s">
        <v>766</v>
      </c>
      <c r="D16158" t="s">
        <v>18769</v>
      </c>
      <c r="E16158">
        <v>425000</v>
      </c>
      <c r="F16158" t="s">
        <v>1</v>
      </c>
      <c r="G16158" t="s">
        <v>52955</v>
      </c>
      <c r="H16158" t="s">
        <v>53132</v>
      </c>
      <c r="J16158" t="s">
        <v>54811</v>
      </c>
      <c r="L16158" t="s">
        <v>18772</v>
      </c>
      <c r="M16158" t="s">
        <v>18773</v>
      </c>
      <c r="P16158" t="s">
        <v>9</v>
      </c>
      <c r="Q16158" t="s">
        <v>18774</v>
      </c>
      <c r="Y16158" t="s">
        <v>54812</v>
      </c>
    </row>
    <row r="16159" spans="1:25" x14ac:dyDescent="0.25">
      <c r="A16159" t="str">
        <f>"1366184959"</f>
        <v>1366184959</v>
      </c>
      <c r="B16159" t="s">
        <v>348</v>
      </c>
      <c r="C16159" t="s">
        <v>54816</v>
      </c>
      <c r="D16159" t="s">
        <v>54813</v>
      </c>
      <c r="E16159">
        <v>425005</v>
      </c>
      <c r="F16159" t="s">
        <v>1</v>
      </c>
      <c r="G16159" t="s">
        <v>52955</v>
      </c>
      <c r="H16159" t="s">
        <v>54814</v>
      </c>
      <c r="I16159" t="s">
        <v>54815</v>
      </c>
      <c r="P16159" t="s">
        <v>280</v>
      </c>
      <c r="Y16159" t="s">
        <v>54817</v>
      </c>
    </row>
    <row r="16160" spans="1:25" x14ac:dyDescent="0.25">
      <c r="A16160" t="str">
        <f>"1366286952"</f>
        <v>1366286952</v>
      </c>
      <c r="B16160" t="s">
        <v>160</v>
      </c>
      <c r="C16160" t="s">
        <v>1666</v>
      </c>
      <c r="D16160" t="s">
        <v>54818</v>
      </c>
      <c r="E16160">
        <v>425005</v>
      </c>
      <c r="F16160" t="s">
        <v>1</v>
      </c>
      <c r="G16160" t="s">
        <v>52955</v>
      </c>
      <c r="H16160" t="s">
        <v>53443</v>
      </c>
      <c r="I16160" t="s">
        <v>54819</v>
      </c>
      <c r="P16160" t="s">
        <v>20</v>
      </c>
      <c r="Y16160" t="s">
        <v>53446</v>
      </c>
    </row>
    <row r="16161" spans="1:25" x14ac:dyDescent="0.25">
      <c r="A16161" t="str">
        <f>"1366830066"</f>
        <v>1366830066</v>
      </c>
      <c r="B16161" t="s">
        <v>1262</v>
      </c>
      <c r="C16161" t="s">
        <v>3214</v>
      </c>
      <c r="D16161" t="s">
        <v>54820</v>
      </c>
      <c r="E16161">
        <v>425000</v>
      </c>
      <c r="F16161" t="s">
        <v>1</v>
      </c>
      <c r="G16161" t="s">
        <v>52955</v>
      </c>
      <c r="H16161" t="s">
        <v>54821</v>
      </c>
      <c r="P16161" t="s">
        <v>280</v>
      </c>
      <c r="Y16161" t="s">
        <v>54822</v>
      </c>
    </row>
    <row r="16162" spans="1:25" x14ac:dyDescent="0.25">
      <c r="A16162" t="str">
        <f>"1367492194"</f>
        <v>1367492194</v>
      </c>
      <c r="B16162" t="s">
        <v>348</v>
      </c>
      <c r="C16162" t="s">
        <v>4366</v>
      </c>
      <c r="D16162" t="s">
        <v>54823</v>
      </c>
      <c r="E16162">
        <v>425009</v>
      </c>
      <c r="F16162" t="s">
        <v>1</v>
      </c>
      <c r="G16162" t="s">
        <v>52955</v>
      </c>
      <c r="H16162" t="s">
        <v>54824</v>
      </c>
      <c r="I16162" t="s">
        <v>54825</v>
      </c>
      <c r="P16162" t="s">
        <v>1464</v>
      </c>
      <c r="Y16162" t="s">
        <v>54826</v>
      </c>
    </row>
    <row r="16163" spans="1:25" x14ac:dyDescent="0.25">
      <c r="A16163" t="str">
        <f>"1367727641"</f>
        <v>1367727641</v>
      </c>
      <c r="B16163" t="s">
        <v>18</v>
      </c>
      <c r="C16163" t="s">
        <v>12269</v>
      </c>
      <c r="D16163" t="s">
        <v>54827</v>
      </c>
      <c r="E16163">
        <v>425000</v>
      </c>
      <c r="F16163" t="s">
        <v>1</v>
      </c>
      <c r="G16163" t="s">
        <v>52955</v>
      </c>
      <c r="H16163" t="s">
        <v>53093</v>
      </c>
      <c r="I16163" t="s">
        <v>54828</v>
      </c>
      <c r="L16163" t="s">
        <v>54829</v>
      </c>
      <c r="M16163" t="s">
        <v>54830</v>
      </c>
      <c r="P16163" t="s">
        <v>4043</v>
      </c>
      <c r="Y16163" t="s">
        <v>53099</v>
      </c>
    </row>
    <row r="16164" spans="1:25" x14ac:dyDescent="0.25">
      <c r="A16164" t="str">
        <f>"1368277691"</f>
        <v>1368277691</v>
      </c>
      <c r="B16164" t="s">
        <v>80</v>
      </c>
      <c r="C16164" t="s">
        <v>11414</v>
      </c>
      <c r="D16164" t="s">
        <v>54831</v>
      </c>
      <c r="E16164">
        <v>425000</v>
      </c>
      <c r="F16164" t="s">
        <v>1</v>
      </c>
      <c r="G16164" t="s">
        <v>52955</v>
      </c>
      <c r="H16164" t="s">
        <v>54832</v>
      </c>
      <c r="I16164" t="s">
        <v>54833</v>
      </c>
      <c r="P16164" t="s">
        <v>20</v>
      </c>
      <c r="Y16164" t="s">
        <v>54834</v>
      </c>
    </row>
    <row r="16165" spans="1:25" x14ac:dyDescent="0.25">
      <c r="A16165" t="str">
        <f>"1368820869"</f>
        <v>1368820869</v>
      </c>
      <c r="B16165" t="s">
        <v>2055</v>
      </c>
      <c r="C16165" t="s">
        <v>2623</v>
      </c>
      <c r="D16165" t="s">
        <v>54835</v>
      </c>
      <c r="E16165">
        <v>425000</v>
      </c>
      <c r="F16165" t="s">
        <v>1</v>
      </c>
      <c r="G16165" t="s">
        <v>52955</v>
      </c>
      <c r="H16165" t="s">
        <v>52972</v>
      </c>
      <c r="J16165" t="s">
        <v>54836</v>
      </c>
      <c r="P16165" t="s">
        <v>390</v>
      </c>
      <c r="Y16165" t="s">
        <v>54837</v>
      </c>
    </row>
    <row r="16166" spans="1:25" x14ac:dyDescent="0.25">
      <c r="A16166" t="str">
        <f>"1370208401"</f>
        <v>1370208401</v>
      </c>
      <c r="B16166" t="s">
        <v>553</v>
      </c>
      <c r="C16166" t="s">
        <v>554</v>
      </c>
      <c r="D16166" t="s">
        <v>3831</v>
      </c>
      <c r="E16166">
        <v>425000</v>
      </c>
      <c r="F16166" t="s">
        <v>1</v>
      </c>
      <c r="G16166" t="s">
        <v>52955</v>
      </c>
      <c r="H16166" t="s">
        <v>53639</v>
      </c>
      <c r="I16166" t="s">
        <v>54838</v>
      </c>
      <c r="J16166" t="s">
        <v>53667</v>
      </c>
      <c r="P16166" t="s">
        <v>152</v>
      </c>
      <c r="Y16166" t="s">
        <v>53642</v>
      </c>
    </row>
    <row r="16167" spans="1:25" x14ac:dyDescent="0.25">
      <c r="A16167" t="str">
        <f>"1370977741"</f>
        <v>1370977741</v>
      </c>
      <c r="B16167" t="s">
        <v>25</v>
      </c>
      <c r="C16167" t="s">
        <v>59</v>
      </c>
      <c r="D16167" t="s">
        <v>43030</v>
      </c>
      <c r="E16167">
        <v>425003</v>
      </c>
      <c r="F16167" t="s">
        <v>1</v>
      </c>
      <c r="G16167" t="s">
        <v>52955</v>
      </c>
      <c r="H16167" t="s">
        <v>54189</v>
      </c>
      <c r="J16167" t="s">
        <v>54839</v>
      </c>
      <c r="P16167" t="s">
        <v>27</v>
      </c>
      <c r="Y16167" t="s">
        <v>54840</v>
      </c>
    </row>
    <row r="16168" spans="1:25" x14ac:dyDescent="0.25">
      <c r="A16168" t="str">
        <f>"1371239335"</f>
        <v>1371239335</v>
      </c>
      <c r="B16168" t="s">
        <v>703</v>
      </c>
      <c r="C16168" t="s">
        <v>26126</v>
      </c>
      <c r="D16168" t="s">
        <v>54841</v>
      </c>
      <c r="E16168">
        <v>425011</v>
      </c>
      <c r="F16168" t="s">
        <v>1</v>
      </c>
      <c r="G16168" t="s">
        <v>52955</v>
      </c>
      <c r="H16168" t="s">
        <v>54842</v>
      </c>
      <c r="J16168" t="s">
        <v>54843</v>
      </c>
      <c r="P16168" t="s">
        <v>330</v>
      </c>
      <c r="Q16168" t="s">
        <v>54844</v>
      </c>
      <c r="Y16168" t="s">
        <v>54845</v>
      </c>
    </row>
    <row r="16169" spans="1:25" x14ac:dyDescent="0.25">
      <c r="A16169" t="str">
        <f>"1374347889"</f>
        <v>1374347889</v>
      </c>
      <c r="B16169" t="s">
        <v>18</v>
      </c>
      <c r="C16169" t="s">
        <v>143</v>
      </c>
      <c r="D16169" t="s">
        <v>54846</v>
      </c>
      <c r="F16169" t="s">
        <v>1</v>
      </c>
      <c r="G16169" t="s">
        <v>52955</v>
      </c>
      <c r="H16169" t="s">
        <v>54847</v>
      </c>
      <c r="J16169" t="s">
        <v>54848</v>
      </c>
      <c r="P16169" t="s">
        <v>29643</v>
      </c>
      <c r="Y16169" t="s">
        <v>54849</v>
      </c>
    </row>
    <row r="16170" spans="1:25" x14ac:dyDescent="0.25">
      <c r="A16170" t="str">
        <f>"1375260887"</f>
        <v>1375260887</v>
      </c>
      <c r="B16170" t="s">
        <v>348</v>
      </c>
      <c r="C16170" t="s">
        <v>4366</v>
      </c>
      <c r="D16170" t="s">
        <v>54850</v>
      </c>
      <c r="F16170" t="s">
        <v>1</v>
      </c>
      <c r="G16170" t="s">
        <v>52955</v>
      </c>
      <c r="H16170" t="s">
        <v>54042</v>
      </c>
      <c r="I16170" t="s">
        <v>54851</v>
      </c>
      <c r="L16170" t="s">
        <v>8684</v>
      </c>
      <c r="M16170" t="s">
        <v>9149</v>
      </c>
      <c r="P16170" t="s">
        <v>54198</v>
      </c>
      <c r="Y16170" t="s">
        <v>54852</v>
      </c>
    </row>
    <row r="16171" spans="1:25" x14ac:dyDescent="0.25">
      <c r="A16171" t="str">
        <f>"1375308643"</f>
        <v>1375308643</v>
      </c>
      <c r="B16171" t="s">
        <v>151</v>
      </c>
      <c r="C16171" t="s">
        <v>1034</v>
      </c>
      <c r="D16171" t="s">
        <v>10304</v>
      </c>
      <c r="E16171">
        <v>425011</v>
      </c>
      <c r="F16171" t="s">
        <v>1</v>
      </c>
      <c r="G16171" t="s">
        <v>52955</v>
      </c>
      <c r="H16171" t="s">
        <v>53155</v>
      </c>
      <c r="I16171" t="s">
        <v>54853</v>
      </c>
      <c r="J16171" t="s">
        <v>54854</v>
      </c>
      <c r="P16171" t="s">
        <v>3313</v>
      </c>
      <c r="Y16171" t="s">
        <v>54855</v>
      </c>
    </row>
    <row r="16172" spans="1:25" x14ac:dyDescent="0.25">
      <c r="A16172" t="str">
        <f>"1375855879"</f>
        <v>1375855879</v>
      </c>
      <c r="B16172" t="s">
        <v>224</v>
      </c>
      <c r="C16172" t="s">
        <v>54860</v>
      </c>
      <c r="D16172" t="s">
        <v>54856</v>
      </c>
      <c r="E16172">
        <v>425000</v>
      </c>
      <c r="F16172" t="s">
        <v>1</v>
      </c>
      <c r="G16172" t="s">
        <v>52955</v>
      </c>
      <c r="H16172" t="s">
        <v>53093</v>
      </c>
      <c r="I16172" t="s">
        <v>54857</v>
      </c>
      <c r="L16172" t="s">
        <v>54858</v>
      </c>
      <c r="M16172" t="s">
        <v>54859</v>
      </c>
      <c r="P16172" t="s">
        <v>280</v>
      </c>
      <c r="Y16172" t="s">
        <v>53099</v>
      </c>
    </row>
    <row r="16173" spans="1:25" x14ac:dyDescent="0.25">
      <c r="A16173" t="str">
        <f>"1378841990"</f>
        <v>1378841990</v>
      </c>
      <c r="B16173" t="s">
        <v>18</v>
      </c>
      <c r="C16173" t="s">
        <v>12269</v>
      </c>
      <c r="D16173" t="s">
        <v>26032</v>
      </c>
      <c r="F16173" t="s">
        <v>1</v>
      </c>
      <c r="G16173" t="s">
        <v>52955</v>
      </c>
      <c r="H16173" t="s">
        <v>54861</v>
      </c>
      <c r="I16173" t="s">
        <v>54862</v>
      </c>
      <c r="P16173" t="s">
        <v>27</v>
      </c>
      <c r="Y16173" t="s">
        <v>54863</v>
      </c>
    </row>
    <row r="16174" spans="1:25" x14ac:dyDescent="0.25">
      <c r="A16174" t="str">
        <f>"1379265235"</f>
        <v>1379265235</v>
      </c>
      <c r="B16174" t="s">
        <v>1078</v>
      </c>
      <c r="C16174" t="s">
        <v>54866</v>
      </c>
      <c r="D16174" t="s">
        <v>54864</v>
      </c>
      <c r="F16174" t="s">
        <v>1</v>
      </c>
      <c r="G16174" t="s">
        <v>52955</v>
      </c>
      <c r="H16174" t="s">
        <v>52989</v>
      </c>
      <c r="J16174" t="s">
        <v>54865</v>
      </c>
      <c r="P16174" t="s">
        <v>11801</v>
      </c>
      <c r="Y16174" t="s">
        <v>54867</v>
      </c>
    </row>
    <row r="16175" spans="1:25" x14ac:dyDescent="0.25">
      <c r="A16175" t="str">
        <f>"1380394919"</f>
        <v>1380394919</v>
      </c>
      <c r="B16175" t="s">
        <v>284</v>
      </c>
      <c r="C16175" t="s">
        <v>2462</v>
      </c>
      <c r="D16175" t="s">
        <v>12211</v>
      </c>
      <c r="E16175">
        <v>425008</v>
      </c>
      <c r="F16175" t="s">
        <v>1</v>
      </c>
      <c r="G16175" t="s">
        <v>52955</v>
      </c>
      <c r="H16175" t="s">
        <v>54868</v>
      </c>
      <c r="I16175" t="s">
        <v>20051</v>
      </c>
      <c r="P16175" t="s">
        <v>330</v>
      </c>
      <c r="Y16175" t="s">
        <v>54869</v>
      </c>
    </row>
    <row r="16176" spans="1:25" x14ac:dyDescent="0.25">
      <c r="A16176" t="str">
        <f>"1380826833"</f>
        <v>1380826833</v>
      </c>
      <c r="B16176" t="s">
        <v>160</v>
      </c>
      <c r="C16176" t="s">
        <v>1666</v>
      </c>
      <c r="D16176" t="s">
        <v>54870</v>
      </c>
      <c r="E16176">
        <v>425000</v>
      </c>
      <c r="F16176" t="s">
        <v>1</v>
      </c>
      <c r="G16176" t="s">
        <v>52955</v>
      </c>
      <c r="H16176" t="s">
        <v>53181</v>
      </c>
      <c r="I16176" t="s">
        <v>54871</v>
      </c>
      <c r="L16176" t="s">
        <v>54872</v>
      </c>
      <c r="P16176" t="s">
        <v>280</v>
      </c>
      <c r="Y16176" t="s">
        <v>54873</v>
      </c>
    </row>
    <row r="16177" spans="1:25" x14ac:dyDescent="0.25">
      <c r="A16177" t="str">
        <f>"1381861028"</f>
        <v>1381861028</v>
      </c>
      <c r="B16177" t="s">
        <v>290</v>
      </c>
      <c r="C16177" t="s">
        <v>290</v>
      </c>
      <c r="D16177" t="s">
        <v>5005</v>
      </c>
      <c r="E16177">
        <v>425001</v>
      </c>
      <c r="F16177" t="s">
        <v>1</v>
      </c>
      <c r="G16177" t="s">
        <v>52955</v>
      </c>
      <c r="H16177" t="s">
        <v>54874</v>
      </c>
      <c r="I16177" t="s">
        <v>54875</v>
      </c>
      <c r="P16177" t="s">
        <v>1760</v>
      </c>
      <c r="Y16177" t="s">
        <v>54876</v>
      </c>
    </row>
    <row r="16178" spans="1:25" x14ac:dyDescent="0.25">
      <c r="A16178" t="str">
        <f>"1383040227"</f>
        <v>1383040227</v>
      </c>
      <c r="B16178" t="s">
        <v>25</v>
      </c>
      <c r="C16178" t="s">
        <v>1005</v>
      </c>
      <c r="D16178" t="s">
        <v>1005</v>
      </c>
      <c r="E16178">
        <v>425001</v>
      </c>
      <c r="F16178" t="s">
        <v>1</v>
      </c>
      <c r="G16178" t="s">
        <v>52955</v>
      </c>
      <c r="H16178" t="s">
        <v>53185</v>
      </c>
      <c r="I16178" t="s">
        <v>54877</v>
      </c>
      <c r="P16178" t="s">
        <v>20</v>
      </c>
      <c r="Y16178" t="s">
        <v>53189</v>
      </c>
    </row>
    <row r="16179" spans="1:25" x14ac:dyDescent="0.25">
      <c r="A16179" t="str">
        <f>"1383699250"</f>
        <v>1383699250</v>
      </c>
      <c r="B16179" t="s">
        <v>151</v>
      </c>
      <c r="C16179" t="s">
        <v>2522</v>
      </c>
      <c r="D16179" t="s">
        <v>54878</v>
      </c>
      <c r="E16179">
        <v>425000</v>
      </c>
      <c r="F16179" t="s">
        <v>1</v>
      </c>
      <c r="G16179" t="s">
        <v>52955</v>
      </c>
      <c r="H16179" t="s">
        <v>53068</v>
      </c>
      <c r="I16179" t="s">
        <v>54879</v>
      </c>
      <c r="P16179" t="s">
        <v>21948</v>
      </c>
      <c r="Y16179" t="s">
        <v>54880</v>
      </c>
    </row>
    <row r="16180" spans="1:25" x14ac:dyDescent="0.25">
      <c r="A16180" t="str">
        <f>"1385358571"</f>
        <v>1385358571</v>
      </c>
      <c r="B16180" t="s">
        <v>388</v>
      </c>
      <c r="C16180" t="s">
        <v>9224</v>
      </c>
      <c r="D16180" t="s">
        <v>54881</v>
      </c>
      <c r="E16180">
        <v>425008</v>
      </c>
      <c r="F16180" t="s">
        <v>1</v>
      </c>
      <c r="G16180" t="s">
        <v>52955</v>
      </c>
      <c r="H16180" t="s">
        <v>53554</v>
      </c>
      <c r="J16180" t="s">
        <v>54882</v>
      </c>
      <c r="P16180" t="s">
        <v>4247</v>
      </c>
      <c r="Y16180" t="s">
        <v>54319</v>
      </c>
    </row>
    <row r="16181" spans="1:25" x14ac:dyDescent="0.25">
      <c r="A16181" t="str">
        <f>"1385673180"</f>
        <v>1385673180</v>
      </c>
      <c r="B16181" t="s">
        <v>1046</v>
      </c>
      <c r="C16181" t="s">
        <v>54886</v>
      </c>
      <c r="D16181" t="s">
        <v>54883</v>
      </c>
      <c r="F16181" t="s">
        <v>1</v>
      </c>
      <c r="G16181" t="s">
        <v>52955</v>
      </c>
      <c r="H16181" t="s">
        <v>53163</v>
      </c>
      <c r="I16181" t="s">
        <v>54884</v>
      </c>
      <c r="J16181" t="s">
        <v>54885</v>
      </c>
      <c r="P16181" t="s">
        <v>44499</v>
      </c>
      <c r="Q16181" t="s">
        <v>54887</v>
      </c>
      <c r="V16181" t="s">
        <v>54888</v>
      </c>
      <c r="Y16181" t="s">
        <v>54700</v>
      </c>
    </row>
    <row r="16182" spans="1:25" x14ac:dyDescent="0.25">
      <c r="A16182" t="str">
        <f>"1386451651"</f>
        <v>1386451651</v>
      </c>
      <c r="B16182" t="s">
        <v>348</v>
      </c>
      <c r="C16182" t="s">
        <v>12325</v>
      </c>
      <c r="D16182" t="s">
        <v>54889</v>
      </c>
      <c r="F16182" t="s">
        <v>1</v>
      </c>
      <c r="G16182" t="s">
        <v>52955</v>
      </c>
      <c r="H16182" t="s">
        <v>53198</v>
      </c>
      <c r="J16182" t="s">
        <v>54890</v>
      </c>
      <c r="P16182" t="s">
        <v>1433</v>
      </c>
      <c r="Y16182" t="s">
        <v>54891</v>
      </c>
    </row>
    <row r="16183" spans="1:25" x14ac:dyDescent="0.25">
      <c r="A16183" t="str">
        <f>"1387099978"</f>
        <v>1387099978</v>
      </c>
      <c r="B16183" t="s">
        <v>462</v>
      </c>
      <c r="C16183" t="s">
        <v>51073</v>
      </c>
      <c r="D16183" t="s">
        <v>54892</v>
      </c>
      <c r="E16183">
        <v>425000</v>
      </c>
      <c r="F16183" t="s">
        <v>1</v>
      </c>
      <c r="G16183" t="s">
        <v>52955</v>
      </c>
      <c r="H16183" t="s">
        <v>53639</v>
      </c>
      <c r="I16183" t="s">
        <v>54893</v>
      </c>
      <c r="J16183" t="s">
        <v>54894</v>
      </c>
      <c r="L16183" t="s">
        <v>54895</v>
      </c>
      <c r="M16183" t="s">
        <v>54896</v>
      </c>
      <c r="P16183" t="s">
        <v>9</v>
      </c>
      <c r="Q16183" t="s">
        <v>54897</v>
      </c>
      <c r="Y16183" t="s">
        <v>53642</v>
      </c>
    </row>
    <row r="16184" spans="1:25" x14ac:dyDescent="0.25">
      <c r="A16184" t="str">
        <f>"1387181960"</f>
        <v>1387181960</v>
      </c>
      <c r="B16184" t="s">
        <v>1611</v>
      </c>
      <c r="C16184" t="s">
        <v>54903</v>
      </c>
      <c r="D16184" t="s">
        <v>54898</v>
      </c>
      <c r="F16184" t="s">
        <v>1</v>
      </c>
      <c r="G16184" t="s">
        <v>52955</v>
      </c>
      <c r="H16184" t="s">
        <v>54899</v>
      </c>
      <c r="I16184" t="s">
        <v>54900</v>
      </c>
      <c r="L16184" t="s">
        <v>54901</v>
      </c>
      <c r="M16184" t="s">
        <v>54902</v>
      </c>
      <c r="P16184" t="s">
        <v>330</v>
      </c>
      <c r="Q16184" t="s">
        <v>54904</v>
      </c>
      <c r="Y16184" t="s">
        <v>54905</v>
      </c>
    </row>
    <row r="16185" spans="1:25" x14ac:dyDescent="0.25">
      <c r="A16185" t="str">
        <f>"1388611534"</f>
        <v>1388611534</v>
      </c>
      <c r="B16185" t="s">
        <v>803</v>
      </c>
      <c r="C16185" t="s">
        <v>29318</v>
      </c>
      <c r="D16185" t="s">
        <v>43439</v>
      </c>
      <c r="E16185">
        <v>425000</v>
      </c>
      <c r="F16185" t="s">
        <v>1</v>
      </c>
      <c r="G16185" t="s">
        <v>52955</v>
      </c>
      <c r="H16185" t="s">
        <v>53911</v>
      </c>
      <c r="J16185" t="s">
        <v>53912</v>
      </c>
      <c r="P16185" t="s">
        <v>54659</v>
      </c>
      <c r="Y16185" t="s">
        <v>54660</v>
      </c>
    </row>
    <row r="16186" spans="1:25" x14ac:dyDescent="0.25">
      <c r="A16186" t="str">
        <f>"1388654957"</f>
        <v>1388654957</v>
      </c>
      <c r="B16186" t="s">
        <v>1758</v>
      </c>
      <c r="C16186" t="s">
        <v>2276</v>
      </c>
      <c r="D16186" t="s">
        <v>54906</v>
      </c>
      <c r="E16186">
        <v>425000</v>
      </c>
      <c r="F16186" t="s">
        <v>1</v>
      </c>
      <c r="G16186" t="s">
        <v>52955</v>
      </c>
      <c r="H16186" t="s">
        <v>54907</v>
      </c>
      <c r="I16186" t="s">
        <v>54908</v>
      </c>
      <c r="L16186" t="s">
        <v>10318</v>
      </c>
      <c r="P16186" t="s">
        <v>54909</v>
      </c>
      <c r="Y16186" t="s">
        <v>54910</v>
      </c>
    </row>
    <row r="16187" spans="1:25" x14ac:dyDescent="0.25">
      <c r="A16187" t="str">
        <f>"1388754568"</f>
        <v>1388754568</v>
      </c>
      <c r="B16187" t="s">
        <v>738</v>
      </c>
      <c r="C16187" t="s">
        <v>54913</v>
      </c>
      <c r="D16187" t="s">
        <v>54911</v>
      </c>
      <c r="E16187">
        <v>425000</v>
      </c>
      <c r="F16187" t="s">
        <v>1</v>
      </c>
      <c r="G16187" t="s">
        <v>52955</v>
      </c>
      <c r="H16187" t="s">
        <v>53093</v>
      </c>
      <c r="I16187" t="s">
        <v>54912</v>
      </c>
      <c r="P16187" t="s">
        <v>11503</v>
      </c>
      <c r="Y16187" t="s">
        <v>53099</v>
      </c>
    </row>
    <row r="16188" spans="1:25" x14ac:dyDescent="0.25">
      <c r="A16188" t="str">
        <f>"1389219537"</f>
        <v>1389219537</v>
      </c>
      <c r="B16188" t="s">
        <v>348</v>
      </c>
      <c r="C16188" t="s">
        <v>4366</v>
      </c>
      <c r="D16188" t="s">
        <v>54914</v>
      </c>
      <c r="E16188">
        <v>425000</v>
      </c>
      <c r="F16188" t="s">
        <v>1</v>
      </c>
      <c r="G16188" t="s">
        <v>52955</v>
      </c>
      <c r="H16188" t="s">
        <v>54915</v>
      </c>
      <c r="I16188" t="s">
        <v>54916</v>
      </c>
      <c r="L16188" t="s">
        <v>54917</v>
      </c>
      <c r="M16188" t="s">
        <v>54918</v>
      </c>
      <c r="P16188" t="s">
        <v>1404</v>
      </c>
      <c r="Q16188" t="s">
        <v>54919</v>
      </c>
      <c r="T16188" t="s">
        <v>54920</v>
      </c>
      <c r="Y16188" t="s">
        <v>54921</v>
      </c>
    </row>
    <row r="16189" spans="1:25" x14ac:dyDescent="0.25">
      <c r="A16189" t="str">
        <f>"1391439862"</f>
        <v>1391439862</v>
      </c>
      <c r="B16189" t="s">
        <v>1846</v>
      </c>
      <c r="C16189" t="s">
        <v>3758</v>
      </c>
      <c r="D16189" t="s">
        <v>54922</v>
      </c>
      <c r="F16189" t="s">
        <v>1</v>
      </c>
      <c r="G16189" t="s">
        <v>52955</v>
      </c>
      <c r="H16189" t="s">
        <v>54923</v>
      </c>
      <c r="I16189" t="s">
        <v>54924</v>
      </c>
      <c r="P16189" t="s">
        <v>280</v>
      </c>
      <c r="Y16189" t="s">
        <v>54925</v>
      </c>
    </row>
    <row r="16190" spans="1:25" x14ac:dyDescent="0.25">
      <c r="A16190" t="str">
        <f>"1391495748"</f>
        <v>1391495748</v>
      </c>
      <c r="B16190" t="s">
        <v>482</v>
      </c>
      <c r="C16190" t="s">
        <v>45242</v>
      </c>
      <c r="D16190" t="s">
        <v>54926</v>
      </c>
      <c r="E16190">
        <v>425009</v>
      </c>
      <c r="F16190" t="s">
        <v>1</v>
      </c>
      <c r="G16190" t="s">
        <v>52955</v>
      </c>
      <c r="H16190" t="s">
        <v>54569</v>
      </c>
      <c r="J16190" t="s">
        <v>54927</v>
      </c>
      <c r="P16190" t="s">
        <v>280</v>
      </c>
      <c r="Y16190" t="s">
        <v>54573</v>
      </c>
    </row>
    <row r="16191" spans="1:25" x14ac:dyDescent="0.25">
      <c r="A16191" t="str">
        <f>"1392013467"</f>
        <v>1392013467</v>
      </c>
      <c r="B16191" t="s">
        <v>462</v>
      </c>
      <c r="C16191" t="s">
        <v>3988</v>
      </c>
      <c r="D16191" t="s">
        <v>15276</v>
      </c>
      <c r="E16191">
        <v>425000</v>
      </c>
      <c r="F16191" t="s">
        <v>1</v>
      </c>
      <c r="G16191" t="s">
        <v>52955</v>
      </c>
      <c r="H16191" t="s">
        <v>52998</v>
      </c>
      <c r="I16191" t="s">
        <v>54928</v>
      </c>
      <c r="J16191" t="s">
        <v>54929</v>
      </c>
      <c r="L16191" t="s">
        <v>15279</v>
      </c>
      <c r="M16191" t="s">
        <v>50439</v>
      </c>
      <c r="P16191" t="s">
        <v>696</v>
      </c>
      <c r="Q16191" t="s">
        <v>50440</v>
      </c>
      <c r="Y16191" t="s">
        <v>54930</v>
      </c>
    </row>
    <row r="16192" spans="1:25" x14ac:dyDescent="0.25">
      <c r="A16192" t="str">
        <f>"1392316337"</f>
        <v>1392316337</v>
      </c>
      <c r="B16192" t="s">
        <v>654</v>
      </c>
      <c r="C16192" t="s">
        <v>54936</v>
      </c>
      <c r="D16192" t="s">
        <v>54931</v>
      </c>
      <c r="E16192">
        <v>425000</v>
      </c>
      <c r="F16192" t="s">
        <v>1</v>
      </c>
      <c r="G16192" t="s">
        <v>52955</v>
      </c>
      <c r="H16192" t="s">
        <v>54932</v>
      </c>
      <c r="J16192" t="s">
        <v>54933</v>
      </c>
      <c r="L16192" t="s">
        <v>54934</v>
      </c>
      <c r="M16192" t="s">
        <v>54935</v>
      </c>
      <c r="P16192" t="s">
        <v>27</v>
      </c>
      <c r="V16192" t="s">
        <v>54937</v>
      </c>
      <c r="Y16192" t="s">
        <v>54938</v>
      </c>
    </row>
    <row r="16193" spans="1:25" x14ac:dyDescent="0.25">
      <c r="A16193" t="str">
        <f>"1392343683"</f>
        <v>1392343683</v>
      </c>
      <c r="B16193" t="s">
        <v>7</v>
      </c>
      <c r="C16193" t="s">
        <v>38017</v>
      </c>
      <c r="D16193" t="s">
        <v>54939</v>
      </c>
      <c r="E16193">
        <v>425008</v>
      </c>
      <c r="F16193" t="s">
        <v>1</v>
      </c>
      <c r="G16193" t="s">
        <v>52955</v>
      </c>
      <c r="H16193" t="s">
        <v>53677</v>
      </c>
      <c r="J16193" t="s">
        <v>54940</v>
      </c>
      <c r="P16193" t="s">
        <v>280</v>
      </c>
      <c r="Y16193" t="s">
        <v>54941</v>
      </c>
    </row>
    <row r="16194" spans="1:25" x14ac:dyDescent="0.25">
      <c r="A16194" t="str">
        <f>"1392450979"</f>
        <v>1392450979</v>
      </c>
      <c r="B16194" t="s">
        <v>408</v>
      </c>
      <c r="C16194" t="s">
        <v>4591</v>
      </c>
      <c r="D16194" t="s">
        <v>54942</v>
      </c>
      <c r="E16194">
        <v>425000</v>
      </c>
      <c r="F16194" t="s">
        <v>1</v>
      </c>
      <c r="G16194" t="s">
        <v>52955</v>
      </c>
      <c r="H16194" t="s">
        <v>53066</v>
      </c>
      <c r="I16194" t="s">
        <v>54943</v>
      </c>
      <c r="P16194" t="s">
        <v>54944</v>
      </c>
      <c r="Y16194" t="s">
        <v>54725</v>
      </c>
    </row>
    <row r="16195" spans="1:25" x14ac:dyDescent="0.25">
      <c r="A16195" t="str">
        <f>"1394913560"</f>
        <v>1394913560</v>
      </c>
      <c r="B16195" t="s">
        <v>640</v>
      </c>
      <c r="C16195" t="s">
        <v>54947</v>
      </c>
      <c r="D16195" t="s">
        <v>53299</v>
      </c>
      <c r="F16195" t="s">
        <v>1</v>
      </c>
      <c r="G16195" t="s">
        <v>52955</v>
      </c>
      <c r="H16195" t="s">
        <v>54945</v>
      </c>
      <c r="I16195" t="s">
        <v>54946</v>
      </c>
      <c r="L16195" t="s">
        <v>53302</v>
      </c>
      <c r="M16195" t="s">
        <v>53303</v>
      </c>
      <c r="P16195" t="s">
        <v>1270</v>
      </c>
      <c r="Y16195" t="s">
        <v>54948</v>
      </c>
    </row>
    <row r="16196" spans="1:25" x14ac:dyDescent="0.25">
      <c r="A16196" t="str">
        <f>"1395483260"</f>
        <v>1395483260</v>
      </c>
      <c r="B16196" t="s">
        <v>151</v>
      </c>
      <c r="C16196" t="s">
        <v>151</v>
      </c>
      <c r="D16196" t="s">
        <v>54949</v>
      </c>
      <c r="E16196">
        <v>425011</v>
      </c>
      <c r="F16196" t="s">
        <v>1</v>
      </c>
      <c r="G16196" t="s">
        <v>52955</v>
      </c>
      <c r="H16196" t="s">
        <v>53155</v>
      </c>
      <c r="I16196" t="s">
        <v>54950</v>
      </c>
      <c r="J16196" t="s">
        <v>54951</v>
      </c>
      <c r="L16196" t="s">
        <v>54952</v>
      </c>
      <c r="M16196" t="s">
        <v>54953</v>
      </c>
      <c r="P16196" t="s">
        <v>44483</v>
      </c>
      <c r="Y16196" t="s">
        <v>54523</v>
      </c>
    </row>
    <row r="16197" spans="1:25" x14ac:dyDescent="0.25">
      <c r="A16197" t="str">
        <f>"1396085143"</f>
        <v>1396085143</v>
      </c>
      <c r="B16197" t="s">
        <v>348</v>
      </c>
      <c r="C16197" t="s">
        <v>54959</v>
      </c>
      <c r="D16197" t="s">
        <v>54954</v>
      </c>
      <c r="F16197" t="s">
        <v>1</v>
      </c>
      <c r="G16197" t="s">
        <v>52955</v>
      </c>
      <c r="H16197" t="s">
        <v>54316</v>
      </c>
      <c r="I16197" t="s">
        <v>54955</v>
      </c>
      <c r="J16197" t="s">
        <v>54956</v>
      </c>
      <c r="L16197" t="s">
        <v>54957</v>
      </c>
      <c r="M16197" t="s">
        <v>54958</v>
      </c>
      <c r="P16197" t="s">
        <v>280</v>
      </c>
      <c r="Y16197" t="s">
        <v>54960</v>
      </c>
    </row>
    <row r="16198" spans="1:25" x14ac:dyDescent="0.25">
      <c r="A16198" t="str">
        <f>"1396752894"</f>
        <v>1396752894</v>
      </c>
      <c r="B16198" t="s">
        <v>738</v>
      </c>
      <c r="C16198" t="s">
        <v>54962</v>
      </c>
      <c r="D16198" t="s">
        <v>2578</v>
      </c>
      <c r="E16198">
        <v>425000</v>
      </c>
      <c r="F16198" t="s">
        <v>1</v>
      </c>
      <c r="G16198" t="s">
        <v>52955</v>
      </c>
      <c r="H16198" t="s">
        <v>53066</v>
      </c>
      <c r="J16198" t="s">
        <v>54961</v>
      </c>
      <c r="P16198" t="s">
        <v>5483</v>
      </c>
      <c r="Y16198" t="s">
        <v>54725</v>
      </c>
    </row>
    <row r="16199" spans="1:25" x14ac:dyDescent="0.25">
      <c r="A16199" t="str">
        <f>"1397946722"</f>
        <v>1397946722</v>
      </c>
      <c r="B16199" t="s">
        <v>233</v>
      </c>
      <c r="C16199" t="s">
        <v>42063</v>
      </c>
      <c r="D16199" t="s">
        <v>54963</v>
      </c>
      <c r="E16199">
        <v>425011</v>
      </c>
      <c r="F16199" t="s">
        <v>1</v>
      </c>
      <c r="G16199" t="s">
        <v>52955</v>
      </c>
      <c r="H16199" t="s">
        <v>53523</v>
      </c>
      <c r="J16199" t="s">
        <v>54964</v>
      </c>
      <c r="P16199" t="s">
        <v>280</v>
      </c>
      <c r="Y16199" t="s">
        <v>54965</v>
      </c>
    </row>
    <row r="16200" spans="1:25" x14ac:dyDescent="0.25">
      <c r="A16200" t="str">
        <f>"1398438665"</f>
        <v>1398438665</v>
      </c>
      <c r="B16200" t="s">
        <v>224</v>
      </c>
      <c r="C16200" t="s">
        <v>4139</v>
      </c>
      <c r="D16200" t="s">
        <v>54966</v>
      </c>
      <c r="E16200">
        <v>425000</v>
      </c>
      <c r="F16200" t="s">
        <v>1</v>
      </c>
      <c r="G16200" t="s">
        <v>52955</v>
      </c>
      <c r="H16200" t="s">
        <v>53093</v>
      </c>
      <c r="J16200" t="s">
        <v>54967</v>
      </c>
      <c r="L16200" t="s">
        <v>54968</v>
      </c>
      <c r="P16200" t="s">
        <v>390</v>
      </c>
      <c r="Y16200" t="s">
        <v>53099</v>
      </c>
    </row>
    <row r="16201" spans="1:25" x14ac:dyDescent="0.25">
      <c r="A16201" t="str">
        <f>"1399845315"</f>
        <v>1399845315</v>
      </c>
      <c r="B16201" t="s">
        <v>32</v>
      </c>
      <c r="C16201" t="s">
        <v>29861</v>
      </c>
      <c r="D16201" t="s">
        <v>47232</v>
      </c>
      <c r="E16201">
        <v>425000</v>
      </c>
      <c r="F16201" t="s">
        <v>1</v>
      </c>
      <c r="G16201" t="s">
        <v>52955</v>
      </c>
      <c r="H16201" t="s">
        <v>53311</v>
      </c>
      <c r="J16201" t="s">
        <v>54969</v>
      </c>
      <c r="P16201" t="s">
        <v>2050</v>
      </c>
      <c r="Y16201" t="s">
        <v>54970</v>
      </c>
    </row>
    <row r="16202" spans="1:25" x14ac:dyDescent="0.25">
      <c r="A16202" t="str">
        <f>"1400944652"</f>
        <v>1400944652</v>
      </c>
      <c r="B16202" t="s">
        <v>388</v>
      </c>
      <c r="C16202" t="s">
        <v>7194</v>
      </c>
      <c r="D16202" t="s">
        <v>54971</v>
      </c>
      <c r="E16202">
        <v>425000</v>
      </c>
      <c r="F16202" t="s">
        <v>1</v>
      </c>
      <c r="G16202" t="s">
        <v>52955</v>
      </c>
      <c r="H16202" t="s">
        <v>53093</v>
      </c>
      <c r="J16202" t="s">
        <v>54972</v>
      </c>
      <c r="P16202" t="s">
        <v>330</v>
      </c>
      <c r="Y16202" t="s">
        <v>53099</v>
      </c>
    </row>
    <row r="16203" spans="1:25" x14ac:dyDescent="0.25">
      <c r="A16203" t="str">
        <f>"1401845923"</f>
        <v>1401845923</v>
      </c>
      <c r="B16203" t="s">
        <v>790</v>
      </c>
      <c r="C16203" t="s">
        <v>54977</v>
      </c>
      <c r="D16203" t="s">
        <v>54973</v>
      </c>
      <c r="F16203" t="s">
        <v>1</v>
      </c>
      <c r="G16203" t="s">
        <v>52955</v>
      </c>
      <c r="H16203" t="s">
        <v>53198</v>
      </c>
      <c r="I16203" t="s">
        <v>54974</v>
      </c>
      <c r="J16203" t="s">
        <v>54975</v>
      </c>
      <c r="L16203" t="s">
        <v>54976</v>
      </c>
      <c r="P16203" t="s">
        <v>133</v>
      </c>
      <c r="V16203" t="s">
        <v>54978</v>
      </c>
      <c r="Y16203" t="s">
        <v>54979</v>
      </c>
    </row>
    <row r="16204" spans="1:25" x14ac:dyDescent="0.25">
      <c r="A16204" t="str">
        <f>"1402093263"</f>
        <v>1402093263</v>
      </c>
      <c r="B16204" t="s">
        <v>18</v>
      </c>
      <c r="C16204" t="s">
        <v>54984</v>
      </c>
      <c r="D16204" t="s">
        <v>54980</v>
      </c>
      <c r="E16204">
        <v>425000</v>
      </c>
      <c r="F16204" t="s">
        <v>1</v>
      </c>
      <c r="G16204" t="s">
        <v>52955</v>
      </c>
      <c r="H16204" t="s">
        <v>52998</v>
      </c>
      <c r="J16204" t="s">
        <v>54981</v>
      </c>
      <c r="L16204" t="s">
        <v>54982</v>
      </c>
      <c r="M16204" t="s">
        <v>54983</v>
      </c>
      <c r="P16204" t="s">
        <v>647</v>
      </c>
      <c r="Q16204" t="s">
        <v>54985</v>
      </c>
      <c r="Y16204" t="s">
        <v>54986</v>
      </c>
    </row>
    <row r="16205" spans="1:25" x14ac:dyDescent="0.25">
      <c r="A16205" t="str">
        <f>"1402213877"</f>
        <v>1402213877</v>
      </c>
      <c r="B16205" t="s">
        <v>1493</v>
      </c>
      <c r="C16205" t="s">
        <v>3486</v>
      </c>
      <c r="D16205" t="s">
        <v>54987</v>
      </c>
      <c r="E16205">
        <v>425005</v>
      </c>
      <c r="F16205" t="s">
        <v>1</v>
      </c>
      <c r="G16205" t="s">
        <v>52955</v>
      </c>
      <c r="H16205" t="s">
        <v>54988</v>
      </c>
      <c r="I16205" t="s">
        <v>54989</v>
      </c>
      <c r="P16205" t="s">
        <v>987</v>
      </c>
      <c r="Y16205" t="s">
        <v>54990</v>
      </c>
    </row>
    <row r="16206" spans="1:25" x14ac:dyDescent="0.25">
      <c r="A16206" t="str">
        <f>"1402579186"</f>
        <v>1402579186</v>
      </c>
      <c r="B16206" t="s">
        <v>2178</v>
      </c>
      <c r="C16206" t="s">
        <v>2179</v>
      </c>
      <c r="D16206" t="s">
        <v>54991</v>
      </c>
      <c r="E16206">
        <v>425001</v>
      </c>
      <c r="F16206" t="s">
        <v>1</v>
      </c>
      <c r="G16206" t="s">
        <v>52955</v>
      </c>
      <c r="H16206" t="s">
        <v>54992</v>
      </c>
      <c r="I16206" t="s">
        <v>54993</v>
      </c>
      <c r="P16206" t="s">
        <v>54994</v>
      </c>
      <c r="Y16206" t="s">
        <v>54995</v>
      </c>
    </row>
    <row r="16207" spans="1:25" x14ac:dyDescent="0.25">
      <c r="A16207" t="str">
        <f>"1402942548"</f>
        <v>1402942548</v>
      </c>
      <c r="B16207" t="s">
        <v>574</v>
      </c>
      <c r="C16207" t="s">
        <v>51965</v>
      </c>
      <c r="D16207" t="s">
        <v>12664</v>
      </c>
      <c r="E16207">
        <v>425011</v>
      </c>
      <c r="F16207" t="s">
        <v>1</v>
      </c>
      <c r="G16207" t="s">
        <v>52955</v>
      </c>
      <c r="H16207" t="s">
        <v>54996</v>
      </c>
      <c r="I16207" t="s">
        <v>54997</v>
      </c>
      <c r="P16207" t="s">
        <v>216</v>
      </c>
      <c r="Y16207" t="s">
        <v>54998</v>
      </c>
    </row>
    <row r="16208" spans="1:25" x14ac:dyDescent="0.25">
      <c r="A16208" t="str">
        <f>"1404293438"</f>
        <v>1404293438</v>
      </c>
      <c r="B16208" t="s">
        <v>18</v>
      </c>
      <c r="C16208" t="s">
        <v>55001</v>
      </c>
      <c r="D16208" t="s">
        <v>54999</v>
      </c>
      <c r="F16208" t="s">
        <v>1</v>
      </c>
      <c r="G16208" t="s">
        <v>52955</v>
      </c>
      <c r="H16208" t="s">
        <v>53284</v>
      </c>
      <c r="J16208" t="s">
        <v>55000</v>
      </c>
      <c r="P16208" t="s">
        <v>280</v>
      </c>
      <c r="Y16208" t="s">
        <v>55002</v>
      </c>
    </row>
    <row r="16209" spans="1:25" x14ac:dyDescent="0.25">
      <c r="A16209" t="str">
        <f>"1420810970"</f>
        <v>1420810970</v>
      </c>
      <c r="B16209" t="s">
        <v>1758</v>
      </c>
      <c r="C16209" t="s">
        <v>36526</v>
      </c>
      <c r="D16209" t="s">
        <v>55003</v>
      </c>
      <c r="E16209">
        <v>425009</v>
      </c>
      <c r="F16209" t="s">
        <v>1</v>
      </c>
      <c r="G16209" t="s">
        <v>52955</v>
      </c>
      <c r="H16209" t="s">
        <v>53696</v>
      </c>
      <c r="J16209" t="s">
        <v>55004</v>
      </c>
      <c r="P16209" t="s">
        <v>10698</v>
      </c>
      <c r="Q16209" t="s">
        <v>55005</v>
      </c>
      <c r="Y16209" t="s">
        <v>55006</v>
      </c>
    </row>
    <row r="16210" spans="1:25" x14ac:dyDescent="0.25">
      <c r="A16210" t="str">
        <f>"1422370251"</f>
        <v>1422370251</v>
      </c>
      <c r="B16210" t="s">
        <v>151</v>
      </c>
      <c r="C16210" t="s">
        <v>1034</v>
      </c>
      <c r="D16210" t="s">
        <v>55007</v>
      </c>
      <c r="E16210">
        <v>425000</v>
      </c>
      <c r="F16210" t="s">
        <v>1</v>
      </c>
      <c r="G16210" t="s">
        <v>52955</v>
      </c>
      <c r="H16210" t="s">
        <v>53639</v>
      </c>
      <c r="J16210" t="s">
        <v>55008</v>
      </c>
      <c r="P16210" t="s">
        <v>152</v>
      </c>
      <c r="Y16210" t="s">
        <v>55009</v>
      </c>
    </row>
    <row r="16211" spans="1:25" x14ac:dyDescent="0.25">
      <c r="A16211" t="str">
        <f>"1430296396"</f>
        <v>1430296396</v>
      </c>
      <c r="B16211" t="s">
        <v>151</v>
      </c>
      <c r="C16211" t="s">
        <v>151</v>
      </c>
      <c r="D16211" t="s">
        <v>17927</v>
      </c>
      <c r="F16211" t="s">
        <v>1</v>
      </c>
      <c r="G16211" t="s">
        <v>52955</v>
      </c>
      <c r="H16211" t="s">
        <v>53404</v>
      </c>
      <c r="J16211" t="s">
        <v>55010</v>
      </c>
      <c r="P16211" t="s">
        <v>689</v>
      </c>
      <c r="Y16211" t="s">
        <v>55011</v>
      </c>
    </row>
    <row r="16212" spans="1:25" x14ac:dyDescent="0.25">
      <c r="A16212" t="str">
        <f>"1445881554"</f>
        <v>1445881554</v>
      </c>
      <c r="B16212" t="s">
        <v>151</v>
      </c>
      <c r="C16212" t="s">
        <v>151</v>
      </c>
      <c r="D16212" t="s">
        <v>55012</v>
      </c>
      <c r="E16212">
        <v>425000</v>
      </c>
      <c r="F16212" t="s">
        <v>1</v>
      </c>
      <c r="G16212" t="s">
        <v>52955</v>
      </c>
      <c r="H16212" t="s">
        <v>55013</v>
      </c>
      <c r="J16212" t="s">
        <v>55014</v>
      </c>
      <c r="P16212" t="s">
        <v>2280</v>
      </c>
      <c r="Y16212" t="s">
        <v>55015</v>
      </c>
    </row>
    <row r="16213" spans="1:25" x14ac:dyDescent="0.25">
      <c r="A16213" t="str">
        <f>"1456666021"</f>
        <v>1456666021</v>
      </c>
      <c r="B16213" t="s">
        <v>151</v>
      </c>
      <c r="C16213" t="s">
        <v>151</v>
      </c>
      <c r="D16213" t="s">
        <v>55016</v>
      </c>
      <c r="E16213">
        <v>425009</v>
      </c>
      <c r="F16213" t="s">
        <v>1</v>
      </c>
      <c r="G16213" t="s">
        <v>52955</v>
      </c>
      <c r="H16213" t="s">
        <v>55017</v>
      </c>
      <c r="J16213" t="s">
        <v>55018</v>
      </c>
      <c r="P16213" t="s">
        <v>27</v>
      </c>
      <c r="Y16213" t="s">
        <v>55019</v>
      </c>
    </row>
    <row r="16214" spans="1:25" x14ac:dyDescent="0.25">
      <c r="A16214" t="str">
        <f>"1466820859"</f>
        <v>1466820859</v>
      </c>
      <c r="B16214" t="s">
        <v>790</v>
      </c>
      <c r="C16214" t="s">
        <v>25438</v>
      </c>
      <c r="D16214" t="s">
        <v>55020</v>
      </c>
      <c r="E16214">
        <v>425000</v>
      </c>
      <c r="F16214" t="s">
        <v>1</v>
      </c>
      <c r="G16214" t="s">
        <v>52955</v>
      </c>
      <c r="H16214" t="s">
        <v>55021</v>
      </c>
      <c r="I16214" t="s">
        <v>55022</v>
      </c>
      <c r="J16214" t="s">
        <v>55023</v>
      </c>
      <c r="P16214" t="s">
        <v>2050</v>
      </c>
      <c r="Y16214" t="s">
        <v>55024</v>
      </c>
    </row>
    <row r="16215" spans="1:25" x14ac:dyDescent="0.25">
      <c r="A16215" t="str">
        <f>"1468240935"</f>
        <v>1468240935</v>
      </c>
      <c r="B16215" t="s">
        <v>7312</v>
      </c>
      <c r="C16215" t="s">
        <v>21136</v>
      </c>
      <c r="D16215" t="s">
        <v>37537</v>
      </c>
      <c r="E16215">
        <v>425011</v>
      </c>
      <c r="F16215" t="s">
        <v>1</v>
      </c>
      <c r="G16215" t="s">
        <v>52955</v>
      </c>
      <c r="H16215" t="s">
        <v>55025</v>
      </c>
      <c r="P16215" t="s">
        <v>3690</v>
      </c>
      <c r="Y16215" t="s">
        <v>55026</v>
      </c>
    </row>
    <row r="16216" spans="1:25" x14ac:dyDescent="0.25">
      <c r="A16216" t="str">
        <f>"1488763092"</f>
        <v>1488763092</v>
      </c>
      <c r="B16216" t="s">
        <v>348</v>
      </c>
      <c r="C16216" t="s">
        <v>55032</v>
      </c>
      <c r="D16216" t="s">
        <v>50653</v>
      </c>
      <c r="E16216">
        <v>425000</v>
      </c>
      <c r="F16216" t="s">
        <v>1</v>
      </c>
      <c r="G16216" t="s">
        <v>52955</v>
      </c>
      <c r="H16216" t="s">
        <v>55027</v>
      </c>
      <c r="I16216" t="s">
        <v>55028</v>
      </c>
      <c r="J16216" t="s">
        <v>55029</v>
      </c>
      <c r="L16216" t="s">
        <v>55030</v>
      </c>
      <c r="M16216" t="s">
        <v>55031</v>
      </c>
      <c r="P16216" t="s">
        <v>330</v>
      </c>
      <c r="Y16216" t="s">
        <v>55033</v>
      </c>
    </row>
    <row r="16217" spans="1:25" x14ac:dyDescent="0.25">
      <c r="A16217" t="str">
        <f>"1498971733"</f>
        <v>1498971733</v>
      </c>
      <c r="B16217" t="s">
        <v>1053</v>
      </c>
      <c r="C16217" t="s">
        <v>16884</v>
      </c>
      <c r="D16217" t="s">
        <v>55034</v>
      </c>
      <c r="E16217">
        <v>425000</v>
      </c>
      <c r="F16217" t="s">
        <v>1</v>
      </c>
      <c r="G16217" t="s">
        <v>52955</v>
      </c>
      <c r="H16217" t="s">
        <v>55035</v>
      </c>
      <c r="I16217" t="s">
        <v>55036</v>
      </c>
      <c r="L16217" t="s">
        <v>19920</v>
      </c>
      <c r="M16217" t="s">
        <v>19921</v>
      </c>
      <c r="P16217" t="s">
        <v>280</v>
      </c>
      <c r="Y16217" t="s">
        <v>55037</v>
      </c>
    </row>
    <row r="16218" spans="1:25" x14ac:dyDescent="0.25">
      <c r="A16218" t="str">
        <f>"1502537085"</f>
        <v>1502537085</v>
      </c>
      <c r="B16218" t="s">
        <v>151</v>
      </c>
      <c r="C16218" t="s">
        <v>1034</v>
      </c>
      <c r="D16218" t="s">
        <v>55038</v>
      </c>
      <c r="E16218">
        <v>425009</v>
      </c>
      <c r="F16218" t="s">
        <v>1</v>
      </c>
      <c r="G16218" t="s">
        <v>52955</v>
      </c>
      <c r="H16218" t="s">
        <v>55039</v>
      </c>
      <c r="J16218" t="s">
        <v>55040</v>
      </c>
      <c r="P16218" t="s">
        <v>280</v>
      </c>
      <c r="Y16218" t="s">
        <v>55041</v>
      </c>
    </row>
    <row r="16219" spans="1:25" x14ac:dyDescent="0.25">
      <c r="A16219" t="str">
        <f>"1527554283"</f>
        <v>1527554283</v>
      </c>
      <c r="B16219" t="s">
        <v>1152</v>
      </c>
      <c r="C16219" t="s">
        <v>1153</v>
      </c>
      <c r="D16219" t="s">
        <v>10280</v>
      </c>
      <c r="E16219">
        <v>425009</v>
      </c>
      <c r="F16219" t="s">
        <v>1</v>
      </c>
      <c r="G16219" t="s">
        <v>52955</v>
      </c>
      <c r="H16219" t="s">
        <v>55042</v>
      </c>
      <c r="I16219" t="s">
        <v>22092</v>
      </c>
      <c r="M16219" t="s">
        <v>10284</v>
      </c>
      <c r="Q16219" t="s">
        <v>10286</v>
      </c>
      <c r="R16219" t="s">
        <v>10287</v>
      </c>
      <c r="S16219" t="s">
        <v>10288</v>
      </c>
      <c r="T16219" t="s">
        <v>10289</v>
      </c>
      <c r="U16219" t="s">
        <v>10290</v>
      </c>
      <c r="V16219" t="s">
        <v>10291</v>
      </c>
      <c r="Y16219" t="s">
        <v>55043</v>
      </c>
    </row>
    <row r="16220" spans="1:25" x14ac:dyDescent="0.25">
      <c r="A16220" t="str">
        <f>"1532522752"</f>
        <v>1532522752</v>
      </c>
      <c r="B16220" t="s">
        <v>930</v>
      </c>
      <c r="C16220" t="s">
        <v>1096</v>
      </c>
      <c r="D16220" t="s">
        <v>55044</v>
      </c>
      <c r="F16220" t="s">
        <v>1</v>
      </c>
      <c r="G16220" t="s">
        <v>52955</v>
      </c>
      <c r="H16220" t="s">
        <v>54861</v>
      </c>
      <c r="Y16220" t="s">
        <v>55045</v>
      </c>
    </row>
    <row r="16221" spans="1:25" x14ac:dyDescent="0.25">
      <c r="A16221" t="str">
        <f>"1544524417"</f>
        <v>1544524417</v>
      </c>
      <c r="B16221" t="s">
        <v>123</v>
      </c>
      <c r="C16221" t="s">
        <v>424</v>
      </c>
      <c r="D16221" t="s">
        <v>55046</v>
      </c>
      <c r="F16221" t="s">
        <v>1</v>
      </c>
      <c r="G16221" t="s">
        <v>52955</v>
      </c>
      <c r="H16221" t="s">
        <v>55047</v>
      </c>
      <c r="I16221" t="s">
        <v>55048</v>
      </c>
      <c r="L16221" t="s">
        <v>55049</v>
      </c>
      <c r="M16221" t="s">
        <v>55050</v>
      </c>
      <c r="P16221" t="s">
        <v>39889</v>
      </c>
      <c r="Y16221" t="s">
        <v>55051</v>
      </c>
    </row>
    <row r="16222" spans="1:25" x14ac:dyDescent="0.25">
      <c r="A16222" t="str">
        <f>"1547440000"</f>
        <v>1547440000</v>
      </c>
      <c r="B16222" t="s">
        <v>3094</v>
      </c>
      <c r="C16222" t="s">
        <v>3095</v>
      </c>
      <c r="D16222" t="s">
        <v>55052</v>
      </c>
      <c r="E16222">
        <v>425001</v>
      </c>
      <c r="F16222" t="s">
        <v>1</v>
      </c>
      <c r="G16222" t="s">
        <v>52955</v>
      </c>
      <c r="H16222" t="s">
        <v>55053</v>
      </c>
      <c r="I16222" t="s">
        <v>55054</v>
      </c>
      <c r="L16222" t="s">
        <v>55055</v>
      </c>
      <c r="M16222" t="s">
        <v>55056</v>
      </c>
      <c r="Y16222" t="s">
        <v>55057</v>
      </c>
    </row>
    <row r="16223" spans="1:25" x14ac:dyDescent="0.25">
      <c r="A16223" t="str">
        <f>"1553937924"</f>
        <v>1553937924</v>
      </c>
      <c r="B16223" t="s">
        <v>123</v>
      </c>
      <c r="C16223" t="s">
        <v>424</v>
      </c>
      <c r="D16223" t="s">
        <v>55058</v>
      </c>
      <c r="F16223" t="s">
        <v>1</v>
      </c>
      <c r="G16223" t="s">
        <v>52955</v>
      </c>
      <c r="H16223" t="s">
        <v>55059</v>
      </c>
      <c r="I16223" t="s">
        <v>55060</v>
      </c>
      <c r="L16223" t="s">
        <v>53476</v>
      </c>
      <c r="M16223" t="s">
        <v>55061</v>
      </c>
      <c r="P16223" t="s">
        <v>39889</v>
      </c>
      <c r="Y16223" t="s">
        <v>55062</v>
      </c>
    </row>
    <row r="16224" spans="1:25" x14ac:dyDescent="0.25">
      <c r="A16224" t="str">
        <f>"1565145550"</f>
        <v>1565145550</v>
      </c>
      <c r="B16224" t="s">
        <v>123</v>
      </c>
      <c r="C16224" t="s">
        <v>424</v>
      </c>
      <c r="D16224" t="s">
        <v>55063</v>
      </c>
      <c r="E16224">
        <v>425001</v>
      </c>
      <c r="F16224" t="s">
        <v>1</v>
      </c>
      <c r="G16224" t="s">
        <v>52955</v>
      </c>
      <c r="H16224" t="s">
        <v>55064</v>
      </c>
      <c r="I16224" t="s">
        <v>55065</v>
      </c>
      <c r="M16224" t="s">
        <v>55066</v>
      </c>
      <c r="P16224" t="s">
        <v>39889</v>
      </c>
      <c r="Y16224" t="s">
        <v>55067</v>
      </c>
    </row>
    <row r="16225" spans="1:25" x14ac:dyDescent="0.25">
      <c r="A16225" t="str">
        <f>"1590366480"</f>
        <v>1590366480</v>
      </c>
      <c r="B16225" t="s">
        <v>3094</v>
      </c>
      <c r="C16225" t="s">
        <v>3095</v>
      </c>
      <c r="D16225" t="s">
        <v>55068</v>
      </c>
      <c r="F16225" t="s">
        <v>1</v>
      </c>
      <c r="G16225" t="s">
        <v>52955</v>
      </c>
      <c r="H16225" t="s">
        <v>55069</v>
      </c>
      <c r="I16225" t="s">
        <v>55070</v>
      </c>
      <c r="L16225" t="s">
        <v>55071</v>
      </c>
      <c r="M16225" t="s">
        <v>55072</v>
      </c>
      <c r="P16225" t="s">
        <v>6315</v>
      </c>
      <c r="Y16225" t="s">
        <v>55073</v>
      </c>
    </row>
    <row r="16226" spans="1:25" x14ac:dyDescent="0.25">
      <c r="A16226" t="str">
        <f>"1599438354"</f>
        <v>1599438354</v>
      </c>
      <c r="B16226" t="s">
        <v>3094</v>
      </c>
      <c r="C16226" t="s">
        <v>3095</v>
      </c>
      <c r="D16226" t="s">
        <v>55074</v>
      </c>
      <c r="E16226">
        <v>425009</v>
      </c>
      <c r="F16226" t="s">
        <v>1</v>
      </c>
      <c r="G16226" t="s">
        <v>52955</v>
      </c>
      <c r="H16226" t="s">
        <v>55075</v>
      </c>
      <c r="I16226" t="s">
        <v>55076</v>
      </c>
      <c r="L16226" t="s">
        <v>55077</v>
      </c>
      <c r="M16226" t="s">
        <v>55078</v>
      </c>
      <c r="P16226" t="s">
        <v>584</v>
      </c>
      <c r="Y16226" t="s">
        <v>55079</v>
      </c>
    </row>
    <row r="16227" spans="1:25" x14ac:dyDescent="0.25">
      <c r="A16227" t="str">
        <f>"1600297151"</f>
        <v>1600297151</v>
      </c>
      <c r="B16227" t="s">
        <v>18</v>
      </c>
      <c r="C16227" t="s">
        <v>2295</v>
      </c>
      <c r="D16227" t="s">
        <v>55080</v>
      </c>
      <c r="E16227">
        <v>425000</v>
      </c>
      <c r="F16227" t="s">
        <v>1</v>
      </c>
      <c r="G16227" t="s">
        <v>52955</v>
      </c>
      <c r="H16227" t="s">
        <v>53093</v>
      </c>
      <c r="J16227" t="s">
        <v>55081</v>
      </c>
      <c r="P16227" t="s">
        <v>152</v>
      </c>
      <c r="Y16227" t="s">
        <v>53099</v>
      </c>
    </row>
    <row r="16228" spans="1:25" x14ac:dyDescent="0.25">
      <c r="A16228" t="str">
        <f>"1607777428"</f>
        <v>1607777428</v>
      </c>
      <c r="B16228" t="s">
        <v>188</v>
      </c>
      <c r="C16228" t="s">
        <v>55085</v>
      </c>
      <c r="D16228" t="s">
        <v>55082</v>
      </c>
      <c r="E16228">
        <v>425001</v>
      </c>
      <c r="F16228" t="s">
        <v>1</v>
      </c>
      <c r="G16228" t="s">
        <v>52955</v>
      </c>
      <c r="H16228" t="s">
        <v>53185</v>
      </c>
      <c r="I16228" t="s">
        <v>55083</v>
      </c>
      <c r="L16228" t="s">
        <v>55084</v>
      </c>
      <c r="P16228" t="s">
        <v>21202</v>
      </c>
      <c r="Y16228" t="s">
        <v>53189</v>
      </c>
    </row>
    <row r="16229" spans="1:25" x14ac:dyDescent="0.25">
      <c r="A16229" t="str">
        <f>"1610237830"</f>
        <v>1610237830</v>
      </c>
      <c r="B16229" t="s">
        <v>123</v>
      </c>
      <c r="C16229" t="s">
        <v>424</v>
      </c>
      <c r="D16229" t="s">
        <v>55086</v>
      </c>
      <c r="F16229" t="s">
        <v>1</v>
      </c>
      <c r="G16229" t="s">
        <v>52955</v>
      </c>
      <c r="H16229" t="s">
        <v>55087</v>
      </c>
      <c r="I16229" t="s">
        <v>55088</v>
      </c>
      <c r="L16229" t="s">
        <v>55089</v>
      </c>
      <c r="M16229" t="s">
        <v>55090</v>
      </c>
      <c r="P16229" t="s">
        <v>39889</v>
      </c>
      <c r="Y16229" t="s">
        <v>55091</v>
      </c>
    </row>
    <row r="16230" spans="1:25" x14ac:dyDescent="0.25">
      <c r="A16230" t="str">
        <f>"1618240572"</f>
        <v>1618240572</v>
      </c>
      <c r="B16230" t="s">
        <v>123</v>
      </c>
      <c r="C16230" t="s">
        <v>424</v>
      </c>
      <c r="D16230" t="s">
        <v>55092</v>
      </c>
      <c r="E16230">
        <v>425000</v>
      </c>
      <c r="F16230" t="s">
        <v>1</v>
      </c>
      <c r="G16230" t="s">
        <v>52955</v>
      </c>
      <c r="H16230" t="s">
        <v>55093</v>
      </c>
      <c r="I16230" t="s">
        <v>55094</v>
      </c>
      <c r="L16230" t="s">
        <v>55095</v>
      </c>
      <c r="M16230" t="s">
        <v>55096</v>
      </c>
      <c r="P16230" t="s">
        <v>39889</v>
      </c>
      <c r="Y16230" t="s">
        <v>55097</v>
      </c>
    </row>
    <row r="16231" spans="1:25" x14ac:dyDescent="0.25">
      <c r="A16231" t="str">
        <f>"1622094400"</f>
        <v>1622094400</v>
      </c>
      <c r="B16231" t="s">
        <v>123</v>
      </c>
      <c r="C16231" t="s">
        <v>424</v>
      </c>
      <c r="D16231" t="s">
        <v>55098</v>
      </c>
      <c r="E16231">
        <v>425005</v>
      </c>
      <c r="F16231" t="s">
        <v>1</v>
      </c>
      <c r="G16231" t="s">
        <v>52955</v>
      </c>
      <c r="H16231" t="s">
        <v>55099</v>
      </c>
      <c r="I16231" t="s">
        <v>55100</v>
      </c>
      <c r="L16231" t="s">
        <v>55101</v>
      </c>
      <c r="M16231" t="s">
        <v>55102</v>
      </c>
      <c r="P16231" t="s">
        <v>39889</v>
      </c>
      <c r="Y16231" t="s">
        <v>55103</v>
      </c>
    </row>
    <row r="16232" spans="1:25" x14ac:dyDescent="0.25">
      <c r="A16232" t="str">
        <f>"1631216436"</f>
        <v>1631216436</v>
      </c>
      <c r="B16232" t="s">
        <v>123</v>
      </c>
      <c r="C16232" t="s">
        <v>424</v>
      </c>
      <c r="D16232" t="s">
        <v>55104</v>
      </c>
      <c r="E16232">
        <v>425005</v>
      </c>
      <c r="F16232" t="s">
        <v>1</v>
      </c>
      <c r="G16232" t="s">
        <v>52955</v>
      </c>
      <c r="H16232" t="s">
        <v>55105</v>
      </c>
      <c r="I16232" t="s">
        <v>55106</v>
      </c>
      <c r="L16232" t="s">
        <v>53141</v>
      </c>
      <c r="M16232" t="s">
        <v>55107</v>
      </c>
      <c r="P16232" t="s">
        <v>39889</v>
      </c>
      <c r="Y16232" t="s">
        <v>55108</v>
      </c>
    </row>
    <row r="16233" spans="1:25" x14ac:dyDescent="0.25">
      <c r="A16233" t="str">
        <f>"1648046594"</f>
        <v>1648046594</v>
      </c>
      <c r="B16233" t="s">
        <v>3908</v>
      </c>
      <c r="C16233" t="s">
        <v>55111</v>
      </c>
      <c r="D16233" t="s">
        <v>55109</v>
      </c>
      <c r="E16233">
        <v>425008</v>
      </c>
      <c r="F16233" t="s">
        <v>1</v>
      </c>
      <c r="G16233" t="s">
        <v>52955</v>
      </c>
      <c r="H16233" t="s">
        <v>54868</v>
      </c>
      <c r="I16233" t="s">
        <v>55110</v>
      </c>
      <c r="L16233" t="s">
        <v>53588</v>
      </c>
      <c r="M16233" t="s">
        <v>53589</v>
      </c>
      <c r="P16233" t="s">
        <v>2084</v>
      </c>
      <c r="Q16233" t="s">
        <v>55112</v>
      </c>
      <c r="Y16233" t="s">
        <v>55113</v>
      </c>
    </row>
    <row r="16234" spans="1:25" x14ac:dyDescent="0.25">
      <c r="A16234" t="str">
        <f>"1650350837"</f>
        <v>1650350837</v>
      </c>
      <c r="B16234" t="s">
        <v>574</v>
      </c>
      <c r="C16234" t="s">
        <v>14603</v>
      </c>
      <c r="D16234" t="s">
        <v>55114</v>
      </c>
      <c r="E16234">
        <v>425000</v>
      </c>
      <c r="F16234" t="s">
        <v>1</v>
      </c>
      <c r="G16234" t="s">
        <v>52955</v>
      </c>
      <c r="H16234" t="s">
        <v>55115</v>
      </c>
      <c r="J16234" t="s">
        <v>55116</v>
      </c>
      <c r="P16234" t="s">
        <v>1642</v>
      </c>
      <c r="Y16234" t="s">
        <v>55117</v>
      </c>
    </row>
    <row r="16235" spans="1:25" x14ac:dyDescent="0.25">
      <c r="A16235" t="str">
        <f>"1658780641"</f>
        <v>1658780641</v>
      </c>
      <c r="B16235" t="s">
        <v>25</v>
      </c>
      <c r="C16235" t="s">
        <v>55120</v>
      </c>
      <c r="D16235" t="s">
        <v>55118</v>
      </c>
      <c r="E16235">
        <v>425011</v>
      </c>
      <c r="F16235" t="s">
        <v>1</v>
      </c>
      <c r="G16235" t="s">
        <v>52955</v>
      </c>
      <c r="H16235" t="s">
        <v>53155</v>
      </c>
      <c r="J16235" t="s">
        <v>55119</v>
      </c>
      <c r="P16235" t="s">
        <v>1232</v>
      </c>
      <c r="Y16235" t="s">
        <v>54523</v>
      </c>
    </row>
    <row r="16236" spans="1:25" x14ac:dyDescent="0.25">
      <c r="A16236" t="str">
        <f>"1668391221"</f>
        <v>1668391221</v>
      </c>
      <c r="B16236" t="s">
        <v>3094</v>
      </c>
      <c r="C16236" t="s">
        <v>3095</v>
      </c>
      <c r="D16236" t="s">
        <v>55121</v>
      </c>
      <c r="F16236" t="s">
        <v>1</v>
      </c>
      <c r="G16236" t="s">
        <v>52955</v>
      </c>
      <c r="H16236" t="s">
        <v>55122</v>
      </c>
      <c r="I16236" t="s">
        <v>55123</v>
      </c>
      <c r="L16236" t="s">
        <v>55124</v>
      </c>
      <c r="M16236" t="s">
        <v>55125</v>
      </c>
      <c r="P16236" t="s">
        <v>280</v>
      </c>
      <c r="Y16236" t="s">
        <v>55126</v>
      </c>
    </row>
    <row r="16237" spans="1:25" x14ac:dyDescent="0.25">
      <c r="A16237" t="str">
        <f>"1673336154"</f>
        <v>1673336154</v>
      </c>
      <c r="B16237" t="s">
        <v>930</v>
      </c>
      <c r="C16237" t="s">
        <v>11882</v>
      </c>
      <c r="D16237" t="s">
        <v>55127</v>
      </c>
      <c r="F16237" t="s">
        <v>1</v>
      </c>
      <c r="G16237" t="s">
        <v>52955</v>
      </c>
      <c r="H16237" t="s">
        <v>55128</v>
      </c>
      <c r="J16237" t="s">
        <v>55129</v>
      </c>
      <c r="P16237" t="s">
        <v>410</v>
      </c>
      <c r="Y16237" t="s">
        <v>55130</v>
      </c>
    </row>
    <row r="16238" spans="1:25" x14ac:dyDescent="0.25">
      <c r="A16238" t="str">
        <f>"1675530038"</f>
        <v>1675530038</v>
      </c>
      <c r="B16238" t="s">
        <v>18</v>
      </c>
      <c r="C16238" t="s">
        <v>17943</v>
      </c>
      <c r="D16238" t="s">
        <v>11743</v>
      </c>
      <c r="F16238" t="s">
        <v>1</v>
      </c>
      <c r="G16238" t="s">
        <v>52955</v>
      </c>
      <c r="H16238" t="s">
        <v>55131</v>
      </c>
      <c r="Y16238" t="s">
        <v>55132</v>
      </c>
    </row>
    <row r="16239" spans="1:25" x14ac:dyDescent="0.25">
      <c r="A16239" t="str">
        <f>"1675640836"</f>
        <v>1675640836</v>
      </c>
      <c r="B16239" t="s">
        <v>930</v>
      </c>
      <c r="C16239" t="s">
        <v>55136</v>
      </c>
      <c r="D16239" t="s">
        <v>55133</v>
      </c>
      <c r="E16239">
        <v>425000</v>
      </c>
      <c r="F16239" t="s">
        <v>1</v>
      </c>
      <c r="G16239" t="s">
        <v>52955</v>
      </c>
      <c r="H16239" t="s">
        <v>53114</v>
      </c>
      <c r="J16239" t="s">
        <v>55134</v>
      </c>
      <c r="L16239" t="s">
        <v>55135</v>
      </c>
      <c r="P16239" t="s">
        <v>11415</v>
      </c>
      <c r="Q16239" t="s">
        <v>55137</v>
      </c>
      <c r="Y16239" t="s">
        <v>53117</v>
      </c>
    </row>
    <row r="16240" spans="1:25" x14ac:dyDescent="0.25">
      <c r="A16240" t="str">
        <f>"1675836647"</f>
        <v>1675836647</v>
      </c>
      <c r="B16240" t="s">
        <v>123</v>
      </c>
      <c r="C16240" t="s">
        <v>731</v>
      </c>
      <c r="D16240" t="s">
        <v>55138</v>
      </c>
      <c r="F16240" t="s">
        <v>1</v>
      </c>
      <c r="G16240" t="s">
        <v>52955</v>
      </c>
      <c r="H16240" t="s">
        <v>55139</v>
      </c>
      <c r="I16240" t="s">
        <v>55140</v>
      </c>
      <c r="L16240" t="s">
        <v>55141</v>
      </c>
      <c r="M16240" t="s">
        <v>55142</v>
      </c>
      <c r="P16240" t="s">
        <v>39889</v>
      </c>
      <c r="Y16240" t="s">
        <v>55143</v>
      </c>
    </row>
    <row r="16241" spans="1:25" x14ac:dyDescent="0.25">
      <c r="A16241" t="str">
        <f>"1676664466"</f>
        <v>1676664466</v>
      </c>
      <c r="B16241" t="s">
        <v>88</v>
      </c>
      <c r="C16241" t="s">
        <v>55145</v>
      </c>
      <c r="D16241" t="s">
        <v>1344</v>
      </c>
      <c r="E16241">
        <v>425005</v>
      </c>
      <c r="F16241" t="s">
        <v>1</v>
      </c>
      <c r="G16241" t="s">
        <v>52955</v>
      </c>
      <c r="H16241" t="s">
        <v>55144</v>
      </c>
      <c r="Y16241" t="s">
        <v>55146</v>
      </c>
    </row>
    <row r="16242" spans="1:25" x14ac:dyDescent="0.25">
      <c r="A16242" t="str">
        <f>"1677811312"</f>
        <v>1677811312</v>
      </c>
      <c r="B16242" t="s">
        <v>430</v>
      </c>
      <c r="C16242" t="s">
        <v>612</v>
      </c>
      <c r="D16242" t="s">
        <v>55147</v>
      </c>
      <c r="E16242">
        <v>425005</v>
      </c>
      <c r="F16242" t="s">
        <v>1</v>
      </c>
      <c r="G16242" t="s">
        <v>52955</v>
      </c>
      <c r="H16242" t="s">
        <v>55148</v>
      </c>
      <c r="P16242" t="s">
        <v>799</v>
      </c>
      <c r="Y16242" t="s">
        <v>55149</v>
      </c>
    </row>
    <row r="16243" spans="1:25" x14ac:dyDescent="0.25">
      <c r="A16243" t="str">
        <f>"1678593345"</f>
        <v>1678593345</v>
      </c>
      <c r="B16243" t="s">
        <v>32</v>
      </c>
      <c r="C16243" t="s">
        <v>40</v>
      </c>
      <c r="D16243" t="s">
        <v>1594</v>
      </c>
      <c r="E16243">
        <v>425000</v>
      </c>
      <c r="F16243" t="s">
        <v>1</v>
      </c>
      <c r="G16243" t="s">
        <v>52955</v>
      </c>
      <c r="H16243" t="s">
        <v>54152</v>
      </c>
      <c r="P16243" t="s">
        <v>2050</v>
      </c>
      <c r="Y16243" t="s">
        <v>55150</v>
      </c>
    </row>
    <row r="16244" spans="1:25" x14ac:dyDescent="0.25">
      <c r="A16244" t="str">
        <f>"1678645586"</f>
        <v>1678645586</v>
      </c>
      <c r="B16244" t="s">
        <v>654</v>
      </c>
      <c r="C16244" t="s">
        <v>11963</v>
      </c>
      <c r="D16244" t="s">
        <v>55151</v>
      </c>
      <c r="E16244">
        <v>425000</v>
      </c>
      <c r="F16244" t="s">
        <v>1</v>
      </c>
      <c r="G16244" t="s">
        <v>52955</v>
      </c>
      <c r="H16244" t="s">
        <v>53093</v>
      </c>
      <c r="I16244" t="s">
        <v>55152</v>
      </c>
      <c r="J16244" t="s">
        <v>55153</v>
      </c>
      <c r="L16244" t="s">
        <v>55154</v>
      </c>
      <c r="P16244" t="s">
        <v>152</v>
      </c>
      <c r="Y16244" t="s">
        <v>53099</v>
      </c>
    </row>
    <row r="16245" spans="1:25" x14ac:dyDescent="0.25">
      <c r="A16245" t="str">
        <f>"1678721911"</f>
        <v>1678721911</v>
      </c>
      <c r="B16245" t="s">
        <v>7312</v>
      </c>
      <c r="C16245" t="s">
        <v>21136</v>
      </c>
      <c r="D16245" t="s">
        <v>55155</v>
      </c>
      <c r="E16245">
        <v>425008</v>
      </c>
      <c r="F16245" t="s">
        <v>1</v>
      </c>
      <c r="G16245" t="s">
        <v>52955</v>
      </c>
      <c r="H16245" t="s">
        <v>55156</v>
      </c>
      <c r="Y16245" t="s">
        <v>55157</v>
      </c>
    </row>
    <row r="16246" spans="1:25" x14ac:dyDescent="0.25">
      <c r="A16246" t="str">
        <f>"1678935587"</f>
        <v>1678935587</v>
      </c>
      <c r="B16246" t="s">
        <v>319</v>
      </c>
      <c r="C16246" t="s">
        <v>320</v>
      </c>
      <c r="D16246" t="s">
        <v>54069</v>
      </c>
      <c r="E16246">
        <v>425008</v>
      </c>
      <c r="F16246" t="s">
        <v>1</v>
      </c>
      <c r="G16246" t="s">
        <v>52955</v>
      </c>
      <c r="H16246" t="s">
        <v>55158</v>
      </c>
      <c r="I16246" t="s">
        <v>55159</v>
      </c>
      <c r="P16246" t="s">
        <v>9820</v>
      </c>
      <c r="Y16246" t="s">
        <v>55160</v>
      </c>
    </row>
    <row r="16247" spans="1:25" x14ac:dyDescent="0.25">
      <c r="A16247" t="str">
        <f>"1679904374"</f>
        <v>1679904374</v>
      </c>
      <c r="B16247" t="s">
        <v>1617</v>
      </c>
      <c r="C16247" t="s">
        <v>21001</v>
      </c>
      <c r="D16247" t="s">
        <v>20999</v>
      </c>
      <c r="E16247">
        <v>425009</v>
      </c>
      <c r="F16247" t="s">
        <v>1</v>
      </c>
      <c r="G16247" t="s">
        <v>52955</v>
      </c>
      <c r="H16247" t="s">
        <v>54824</v>
      </c>
      <c r="P16247" t="s">
        <v>55161</v>
      </c>
      <c r="Y16247" t="s">
        <v>55162</v>
      </c>
    </row>
    <row r="16248" spans="1:25" x14ac:dyDescent="0.25">
      <c r="A16248" t="str">
        <f>"1680653070"</f>
        <v>1680653070</v>
      </c>
      <c r="B16248" t="s">
        <v>96</v>
      </c>
      <c r="C16248" t="s">
        <v>7071</v>
      </c>
      <c r="D16248" t="s">
        <v>55163</v>
      </c>
      <c r="F16248" t="s">
        <v>1</v>
      </c>
      <c r="G16248" t="s">
        <v>52955</v>
      </c>
      <c r="H16248" t="s">
        <v>54574</v>
      </c>
      <c r="P16248" t="s">
        <v>1404</v>
      </c>
      <c r="Y16248" t="s">
        <v>55164</v>
      </c>
    </row>
    <row r="16249" spans="1:25" x14ac:dyDescent="0.25">
      <c r="A16249" t="str">
        <f>"1680688078"</f>
        <v>1680688078</v>
      </c>
      <c r="B16249" t="s">
        <v>1611</v>
      </c>
      <c r="C16249" t="s">
        <v>3218</v>
      </c>
      <c r="D16249" t="s">
        <v>3218</v>
      </c>
      <c r="E16249">
        <v>425000</v>
      </c>
      <c r="F16249" t="s">
        <v>1</v>
      </c>
      <c r="G16249" t="s">
        <v>52955</v>
      </c>
      <c r="H16249" t="s">
        <v>55165</v>
      </c>
      <c r="P16249" t="s">
        <v>55166</v>
      </c>
      <c r="Y16249" t="s">
        <v>55167</v>
      </c>
    </row>
    <row r="16250" spans="1:25" x14ac:dyDescent="0.25">
      <c r="A16250" t="str">
        <f>"1681334689"</f>
        <v>1681334689</v>
      </c>
      <c r="B16250" t="s">
        <v>1493</v>
      </c>
      <c r="C16250" t="s">
        <v>2355</v>
      </c>
      <c r="D16250" t="s">
        <v>2355</v>
      </c>
      <c r="E16250">
        <v>425009</v>
      </c>
      <c r="F16250" t="s">
        <v>1</v>
      </c>
      <c r="G16250" t="s">
        <v>52955</v>
      </c>
      <c r="H16250" t="s">
        <v>54824</v>
      </c>
      <c r="J16250" t="s">
        <v>55168</v>
      </c>
      <c r="P16250" t="s">
        <v>280</v>
      </c>
      <c r="Y16250" t="s">
        <v>55169</v>
      </c>
    </row>
    <row r="16251" spans="1:25" x14ac:dyDescent="0.25">
      <c r="A16251" t="str">
        <f>"1682622867"</f>
        <v>1682622867</v>
      </c>
      <c r="B16251" t="s">
        <v>3200</v>
      </c>
      <c r="C16251" t="s">
        <v>55172</v>
      </c>
      <c r="D16251" t="s">
        <v>55170</v>
      </c>
      <c r="F16251" t="s">
        <v>1</v>
      </c>
      <c r="G16251" t="s">
        <v>52955</v>
      </c>
      <c r="H16251" t="s">
        <v>55171</v>
      </c>
      <c r="P16251" t="s">
        <v>55173</v>
      </c>
      <c r="Y16251" t="s">
        <v>55174</v>
      </c>
    </row>
    <row r="16252" spans="1:25" x14ac:dyDescent="0.25">
      <c r="A16252" t="str">
        <f>"1683310871"</f>
        <v>1683310871</v>
      </c>
      <c r="B16252" t="s">
        <v>1343</v>
      </c>
      <c r="C16252" t="s">
        <v>1344</v>
      </c>
      <c r="D16252" t="s">
        <v>1344</v>
      </c>
      <c r="E16252">
        <v>425000</v>
      </c>
      <c r="F16252" t="s">
        <v>1</v>
      </c>
      <c r="G16252" t="s">
        <v>52955</v>
      </c>
      <c r="H16252" t="s">
        <v>53719</v>
      </c>
      <c r="P16252" t="s">
        <v>133</v>
      </c>
      <c r="Y16252" t="s">
        <v>55175</v>
      </c>
    </row>
    <row r="16253" spans="1:25" x14ac:dyDescent="0.25">
      <c r="A16253" t="str">
        <f>"1683678675"</f>
        <v>1683678675</v>
      </c>
      <c r="B16253" t="s">
        <v>32</v>
      </c>
      <c r="C16253" t="s">
        <v>40</v>
      </c>
      <c r="D16253" t="s">
        <v>55176</v>
      </c>
      <c r="E16253">
        <v>425008</v>
      </c>
      <c r="F16253" t="s">
        <v>1</v>
      </c>
      <c r="G16253" t="s">
        <v>52955</v>
      </c>
      <c r="H16253" t="s">
        <v>53614</v>
      </c>
      <c r="P16253" t="s">
        <v>2050</v>
      </c>
      <c r="Y16253" t="s">
        <v>55177</v>
      </c>
    </row>
    <row r="16254" spans="1:25" x14ac:dyDescent="0.25">
      <c r="A16254" t="str">
        <f>"1684507535"</f>
        <v>1684507535</v>
      </c>
      <c r="B16254" t="s">
        <v>530</v>
      </c>
      <c r="C16254" t="s">
        <v>5046</v>
      </c>
      <c r="D16254" t="s">
        <v>55178</v>
      </c>
      <c r="E16254">
        <v>425000</v>
      </c>
      <c r="F16254" t="s">
        <v>1</v>
      </c>
      <c r="G16254" t="s">
        <v>52955</v>
      </c>
      <c r="H16254" t="s">
        <v>55179</v>
      </c>
      <c r="I16254" t="s">
        <v>55180</v>
      </c>
      <c r="J16254" t="s">
        <v>55181</v>
      </c>
      <c r="P16254" t="s">
        <v>3938</v>
      </c>
      <c r="Y16254" t="s">
        <v>55182</v>
      </c>
    </row>
    <row r="16255" spans="1:25" x14ac:dyDescent="0.25">
      <c r="A16255" t="str">
        <f>"1684605745"</f>
        <v>1684605745</v>
      </c>
      <c r="B16255" t="s">
        <v>1343</v>
      </c>
      <c r="C16255" t="s">
        <v>1344</v>
      </c>
      <c r="D16255" t="s">
        <v>1344</v>
      </c>
      <c r="E16255">
        <v>425008</v>
      </c>
      <c r="F16255" t="s">
        <v>1</v>
      </c>
      <c r="G16255" t="s">
        <v>52955</v>
      </c>
      <c r="H16255" t="s">
        <v>55156</v>
      </c>
      <c r="P16255" t="s">
        <v>312</v>
      </c>
      <c r="Y16255" t="s">
        <v>55157</v>
      </c>
    </row>
    <row r="16256" spans="1:25" x14ac:dyDescent="0.25">
      <c r="A16256" t="str">
        <f>"1684981181"</f>
        <v>1684981181</v>
      </c>
      <c r="B16256" t="s">
        <v>319</v>
      </c>
      <c r="C16256" t="s">
        <v>320</v>
      </c>
      <c r="D16256" t="s">
        <v>54069</v>
      </c>
      <c r="E16256">
        <v>425000</v>
      </c>
      <c r="F16256" t="s">
        <v>1</v>
      </c>
      <c r="G16256" t="s">
        <v>52955</v>
      </c>
      <c r="H16256" t="s">
        <v>55183</v>
      </c>
      <c r="P16256" t="s">
        <v>9820</v>
      </c>
      <c r="Y16256" t="s">
        <v>55184</v>
      </c>
    </row>
    <row r="16257" spans="1:25" x14ac:dyDescent="0.25">
      <c r="A16257" t="str">
        <f>"1685445818"</f>
        <v>1685445818</v>
      </c>
      <c r="B16257" t="s">
        <v>32</v>
      </c>
      <c r="C16257" t="s">
        <v>40</v>
      </c>
      <c r="D16257" t="s">
        <v>27136</v>
      </c>
      <c r="E16257">
        <v>425008</v>
      </c>
      <c r="F16257" t="s">
        <v>1</v>
      </c>
      <c r="G16257" t="s">
        <v>52955</v>
      </c>
      <c r="H16257" t="s">
        <v>53554</v>
      </c>
      <c r="P16257" t="s">
        <v>133</v>
      </c>
      <c r="Y16257" t="s">
        <v>55185</v>
      </c>
    </row>
    <row r="16258" spans="1:25" x14ac:dyDescent="0.25">
      <c r="A16258" t="str">
        <f>"1685466746"</f>
        <v>1685466746</v>
      </c>
      <c r="B16258" t="s">
        <v>574</v>
      </c>
      <c r="C16258" t="s">
        <v>646</v>
      </c>
      <c r="D16258" t="s">
        <v>27085</v>
      </c>
      <c r="F16258" t="s">
        <v>1</v>
      </c>
      <c r="G16258" t="s">
        <v>52955</v>
      </c>
      <c r="H16258" t="s">
        <v>55186</v>
      </c>
      <c r="P16258" t="s">
        <v>55187</v>
      </c>
      <c r="Y16258" t="s">
        <v>55188</v>
      </c>
    </row>
    <row r="16259" spans="1:25" x14ac:dyDescent="0.25">
      <c r="A16259" t="str">
        <f>"1685872894"</f>
        <v>1685872894</v>
      </c>
      <c r="B16259" t="s">
        <v>88</v>
      </c>
      <c r="C16259" t="s">
        <v>6066</v>
      </c>
      <c r="D16259" t="s">
        <v>55189</v>
      </c>
      <c r="F16259" t="s">
        <v>1</v>
      </c>
      <c r="G16259" t="s">
        <v>52955</v>
      </c>
      <c r="H16259" t="s">
        <v>53072</v>
      </c>
      <c r="Y16259" t="s">
        <v>55190</v>
      </c>
    </row>
    <row r="16260" spans="1:25" x14ac:dyDescent="0.25">
      <c r="A16260" t="str">
        <f>"1686185638"</f>
        <v>1686185638</v>
      </c>
      <c r="B16260" t="s">
        <v>2104</v>
      </c>
      <c r="C16260" t="s">
        <v>25543</v>
      </c>
      <c r="D16260" t="s">
        <v>55191</v>
      </c>
      <c r="F16260" t="s">
        <v>1</v>
      </c>
      <c r="G16260" t="s">
        <v>52955</v>
      </c>
      <c r="H16260" t="s">
        <v>55192</v>
      </c>
      <c r="I16260" t="s">
        <v>55193</v>
      </c>
      <c r="L16260" t="s">
        <v>55194</v>
      </c>
      <c r="M16260" t="s">
        <v>55195</v>
      </c>
      <c r="P16260" t="s">
        <v>55196</v>
      </c>
      <c r="Y16260" t="s">
        <v>55197</v>
      </c>
    </row>
    <row r="16261" spans="1:25" x14ac:dyDescent="0.25">
      <c r="A16261" t="str">
        <f>"1686470328"</f>
        <v>1686470328</v>
      </c>
      <c r="B16261" t="s">
        <v>1152</v>
      </c>
      <c r="C16261" t="s">
        <v>30396</v>
      </c>
      <c r="D16261" t="s">
        <v>55198</v>
      </c>
      <c r="F16261" t="s">
        <v>1</v>
      </c>
      <c r="G16261" t="s">
        <v>52955</v>
      </c>
      <c r="H16261" t="s">
        <v>55199</v>
      </c>
      <c r="J16261" t="s">
        <v>55200</v>
      </c>
      <c r="L16261" t="s">
        <v>55201</v>
      </c>
      <c r="M16261" t="s">
        <v>55202</v>
      </c>
      <c r="P16261" t="s">
        <v>216</v>
      </c>
      <c r="Q16261" t="s">
        <v>55203</v>
      </c>
      <c r="Y16261" t="s">
        <v>53671</v>
      </c>
    </row>
    <row r="16262" spans="1:25" x14ac:dyDescent="0.25">
      <c r="A16262" t="str">
        <f>"1687489913"</f>
        <v>1687489913</v>
      </c>
      <c r="B16262" t="s">
        <v>930</v>
      </c>
      <c r="C16262" t="s">
        <v>10263</v>
      </c>
      <c r="D16262" t="s">
        <v>55204</v>
      </c>
      <c r="E16262">
        <v>425009</v>
      </c>
      <c r="F16262" t="s">
        <v>1</v>
      </c>
      <c r="G16262" t="s">
        <v>52955</v>
      </c>
      <c r="H16262" t="s">
        <v>55205</v>
      </c>
      <c r="P16262" t="s">
        <v>2738</v>
      </c>
      <c r="Y16262" t="s">
        <v>55206</v>
      </c>
    </row>
    <row r="16263" spans="1:25" x14ac:dyDescent="0.25">
      <c r="A16263" t="str">
        <f>"1687710665"</f>
        <v>1687710665</v>
      </c>
      <c r="B16263" t="s">
        <v>1573</v>
      </c>
      <c r="C16263" t="s">
        <v>24508</v>
      </c>
      <c r="D16263" t="s">
        <v>26498</v>
      </c>
      <c r="E16263">
        <v>425008</v>
      </c>
      <c r="F16263" t="s">
        <v>1</v>
      </c>
      <c r="G16263" t="s">
        <v>52955</v>
      </c>
      <c r="H16263" t="s">
        <v>53533</v>
      </c>
      <c r="P16263" t="s">
        <v>2050</v>
      </c>
      <c r="Y16263" t="s">
        <v>55207</v>
      </c>
    </row>
    <row r="16264" spans="1:25" x14ac:dyDescent="0.25">
      <c r="A16264" t="str">
        <f>"1688952459"</f>
        <v>1688952459</v>
      </c>
      <c r="B16264" t="s">
        <v>1544</v>
      </c>
      <c r="C16264" t="s">
        <v>15598</v>
      </c>
      <c r="D16264" t="s">
        <v>25268</v>
      </c>
      <c r="F16264" t="s">
        <v>1</v>
      </c>
      <c r="G16264" t="s">
        <v>52955</v>
      </c>
      <c r="H16264" t="s">
        <v>53295</v>
      </c>
      <c r="P16264" t="s">
        <v>330</v>
      </c>
      <c r="Y16264" t="s">
        <v>55208</v>
      </c>
    </row>
    <row r="16265" spans="1:25" x14ac:dyDescent="0.25">
      <c r="A16265" t="str">
        <f>"1689452220"</f>
        <v>1689452220</v>
      </c>
      <c r="B16265" t="s">
        <v>96</v>
      </c>
      <c r="C16265" t="s">
        <v>2285</v>
      </c>
      <c r="D16265" t="s">
        <v>2285</v>
      </c>
      <c r="E16265">
        <v>425000</v>
      </c>
      <c r="F16265" t="s">
        <v>1</v>
      </c>
      <c r="G16265" t="s">
        <v>52955</v>
      </c>
      <c r="H16265" t="s">
        <v>54206</v>
      </c>
      <c r="Y16265" t="s">
        <v>55209</v>
      </c>
    </row>
    <row r="16266" spans="1:25" x14ac:dyDescent="0.25">
      <c r="A16266" t="str">
        <f>"1690044149"</f>
        <v>1690044149</v>
      </c>
      <c r="B16266" t="s">
        <v>469</v>
      </c>
      <c r="C16266" t="s">
        <v>24886</v>
      </c>
      <c r="D16266" t="s">
        <v>55210</v>
      </c>
      <c r="E16266">
        <v>425000</v>
      </c>
      <c r="F16266" t="s">
        <v>1</v>
      </c>
      <c r="G16266" t="s">
        <v>52955</v>
      </c>
      <c r="H16266" t="s">
        <v>53951</v>
      </c>
      <c r="P16266" t="s">
        <v>45139</v>
      </c>
      <c r="Q16266" t="s">
        <v>55211</v>
      </c>
      <c r="Y16266" t="s">
        <v>55212</v>
      </c>
    </row>
    <row r="16267" spans="1:25" x14ac:dyDescent="0.25">
      <c r="A16267" t="str">
        <f>"1690263415"</f>
        <v>1690263415</v>
      </c>
      <c r="B16267" t="s">
        <v>1343</v>
      </c>
      <c r="C16267" t="s">
        <v>13544</v>
      </c>
      <c r="D16267" t="s">
        <v>55213</v>
      </c>
      <c r="F16267" t="s">
        <v>1</v>
      </c>
      <c r="G16267" t="s">
        <v>52955</v>
      </c>
      <c r="H16267" t="s">
        <v>54185</v>
      </c>
      <c r="P16267" t="s">
        <v>2050</v>
      </c>
      <c r="Y16267" t="s">
        <v>55214</v>
      </c>
    </row>
    <row r="16268" spans="1:25" x14ac:dyDescent="0.25">
      <c r="A16268" t="str">
        <f>"1690458869"</f>
        <v>1690458869</v>
      </c>
      <c r="B16268" t="s">
        <v>131</v>
      </c>
      <c r="C16268" t="s">
        <v>3866</v>
      </c>
      <c r="D16268" t="s">
        <v>29851</v>
      </c>
      <c r="F16268" t="s">
        <v>1</v>
      </c>
      <c r="G16268" t="s">
        <v>52955</v>
      </c>
      <c r="H16268" t="s">
        <v>52989</v>
      </c>
      <c r="I16268" t="s">
        <v>55215</v>
      </c>
      <c r="J16268" t="s">
        <v>55216</v>
      </c>
      <c r="L16268" t="s">
        <v>52498</v>
      </c>
      <c r="M16268" t="s">
        <v>55217</v>
      </c>
      <c r="P16268" t="s">
        <v>29853</v>
      </c>
      <c r="Q16268" t="s">
        <v>55218</v>
      </c>
      <c r="V16268" t="s">
        <v>55219</v>
      </c>
      <c r="Y16268" t="s">
        <v>55220</v>
      </c>
    </row>
    <row r="16269" spans="1:25" x14ac:dyDescent="0.25">
      <c r="A16269" t="str">
        <f>"1691714474"</f>
        <v>1691714474</v>
      </c>
      <c r="B16269" t="s">
        <v>3094</v>
      </c>
      <c r="C16269" t="s">
        <v>3095</v>
      </c>
      <c r="D16269" t="s">
        <v>55221</v>
      </c>
      <c r="F16269" t="s">
        <v>1</v>
      </c>
      <c r="G16269" t="s">
        <v>52955</v>
      </c>
      <c r="H16269" t="s">
        <v>55222</v>
      </c>
      <c r="I16269" t="s">
        <v>55223</v>
      </c>
      <c r="L16269" t="s">
        <v>55224</v>
      </c>
      <c r="M16269" t="s">
        <v>55225</v>
      </c>
      <c r="P16269" t="s">
        <v>55226</v>
      </c>
      <c r="Y16269" t="s">
        <v>55227</v>
      </c>
    </row>
    <row r="16270" spans="1:25" x14ac:dyDescent="0.25">
      <c r="A16270" t="str">
        <f>"1692502263"</f>
        <v>1692502263</v>
      </c>
      <c r="B16270" t="s">
        <v>96</v>
      </c>
      <c r="C16270" t="s">
        <v>20281</v>
      </c>
      <c r="D16270" t="s">
        <v>893</v>
      </c>
      <c r="E16270">
        <v>425009</v>
      </c>
      <c r="F16270" t="s">
        <v>1</v>
      </c>
      <c r="G16270" t="s">
        <v>52955</v>
      </c>
      <c r="H16270" t="s">
        <v>55228</v>
      </c>
      <c r="P16270" t="s">
        <v>2050</v>
      </c>
      <c r="Y16270" t="s">
        <v>55229</v>
      </c>
    </row>
    <row r="16271" spans="1:25" x14ac:dyDescent="0.25">
      <c r="A16271" t="str">
        <f>"1693977240"</f>
        <v>1693977240</v>
      </c>
      <c r="B16271" t="s">
        <v>1343</v>
      </c>
      <c r="C16271" t="s">
        <v>17333</v>
      </c>
      <c r="D16271" t="s">
        <v>55230</v>
      </c>
      <c r="F16271" t="s">
        <v>1</v>
      </c>
      <c r="G16271" t="s">
        <v>52955</v>
      </c>
      <c r="H16271" t="s">
        <v>53261</v>
      </c>
      <c r="P16271" t="s">
        <v>9840</v>
      </c>
      <c r="Y16271" t="s">
        <v>55231</v>
      </c>
    </row>
    <row r="16272" spans="1:25" x14ac:dyDescent="0.25">
      <c r="A16272" t="str">
        <f>"1694381648"</f>
        <v>1694381648</v>
      </c>
      <c r="B16272" t="s">
        <v>574</v>
      </c>
      <c r="C16272" t="s">
        <v>646</v>
      </c>
      <c r="D16272" t="s">
        <v>9579</v>
      </c>
      <c r="F16272" t="s">
        <v>1</v>
      </c>
      <c r="G16272" t="s">
        <v>52955</v>
      </c>
      <c r="H16272" t="s">
        <v>55232</v>
      </c>
      <c r="J16272" t="s">
        <v>55233</v>
      </c>
      <c r="P16272" t="s">
        <v>2457</v>
      </c>
      <c r="Y16272" t="s">
        <v>55234</v>
      </c>
    </row>
    <row r="16273" spans="1:25" x14ac:dyDescent="0.25">
      <c r="A16273" t="str">
        <f>"1694601265"</f>
        <v>1694601265</v>
      </c>
      <c r="B16273" t="s">
        <v>3200</v>
      </c>
      <c r="C16273" t="s">
        <v>18948</v>
      </c>
      <c r="D16273" t="s">
        <v>18948</v>
      </c>
      <c r="E16273">
        <v>425008</v>
      </c>
      <c r="F16273" t="s">
        <v>1</v>
      </c>
      <c r="G16273" t="s">
        <v>52955</v>
      </c>
      <c r="H16273" t="s">
        <v>55156</v>
      </c>
      <c r="Y16273" t="s">
        <v>55157</v>
      </c>
    </row>
    <row r="16274" spans="1:25" x14ac:dyDescent="0.25">
      <c r="A16274" t="str">
        <f>"1695095690"</f>
        <v>1695095690</v>
      </c>
      <c r="B16274" t="s">
        <v>430</v>
      </c>
      <c r="C16274" t="s">
        <v>16178</v>
      </c>
      <c r="D16274" t="s">
        <v>55235</v>
      </c>
      <c r="E16274">
        <v>425009</v>
      </c>
      <c r="F16274" t="s">
        <v>1</v>
      </c>
      <c r="G16274" t="s">
        <v>52955</v>
      </c>
      <c r="H16274" t="s">
        <v>53696</v>
      </c>
      <c r="P16274" t="s">
        <v>330</v>
      </c>
      <c r="Y16274" t="s">
        <v>55236</v>
      </c>
    </row>
    <row r="16275" spans="1:25" x14ac:dyDescent="0.25">
      <c r="A16275" t="str">
        <f>"1695463295"</f>
        <v>1695463295</v>
      </c>
      <c r="B16275" t="s">
        <v>117</v>
      </c>
      <c r="C16275" t="s">
        <v>6850</v>
      </c>
      <c r="D16275" t="s">
        <v>55237</v>
      </c>
      <c r="F16275" t="s">
        <v>1</v>
      </c>
      <c r="G16275" t="s">
        <v>52955</v>
      </c>
      <c r="H16275" t="s">
        <v>55238</v>
      </c>
      <c r="L16275" t="s">
        <v>55239</v>
      </c>
      <c r="P16275" t="s">
        <v>330</v>
      </c>
      <c r="Y16275" t="s">
        <v>55240</v>
      </c>
    </row>
    <row r="16276" spans="1:25" x14ac:dyDescent="0.25">
      <c r="A16276" t="str">
        <f>"1695683113"</f>
        <v>1695683113</v>
      </c>
      <c r="B16276" t="s">
        <v>3700</v>
      </c>
      <c r="C16276" t="s">
        <v>4023</v>
      </c>
      <c r="D16276" t="s">
        <v>55241</v>
      </c>
      <c r="E16276">
        <v>425000</v>
      </c>
      <c r="F16276" t="s">
        <v>1</v>
      </c>
      <c r="G16276" t="s">
        <v>52955</v>
      </c>
      <c r="H16276" t="s">
        <v>53911</v>
      </c>
      <c r="Y16276" t="s">
        <v>55242</v>
      </c>
    </row>
    <row r="16277" spans="1:25" x14ac:dyDescent="0.25">
      <c r="A16277" t="str">
        <f>"1696123092"</f>
        <v>1696123092</v>
      </c>
      <c r="B16277" t="s">
        <v>117</v>
      </c>
      <c r="C16277" t="s">
        <v>873</v>
      </c>
      <c r="D16277" t="s">
        <v>870</v>
      </c>
      <c r="F16277" t="s">
        <v>1</v>
      </c>
      <c r="G16277" t="s">
        <v>52955</v>
      </c>
      <c r="H16277" t="s">
        <v>55243</v>
      </c>
      <c r="P16277" t="s">
        <v>330</v>
      </c>
      <c r="Y16277" t="s">
        <v>55244</v>
      </c>
    </row>
    <row r="16278" spans="1:25" x14ac:dyDescent="0.25">
      <c r="A16278" t="str">
        <f>"1696347348"</f>
        <v>1696347348</v>
      </c>
      <c r="B16278" t="s">
        <v>1222</v>
      </c>
      <c r="C16278" t="s">
        <v>12417</v>
      </c>
      <c r="D16278" t="s">
        <v>55245</v>
      </c>
      <c r="E16278">
        <v>425009</v>
      </c>
      <c r="F16278" t="s">
        <v>1</v>
      </c>
      <c r="G16278" t="s">
        <v>52955</v>
      </c>
      <c r="H16278" t="s">
        <v>54824</v>
      </c>
      <c r="J16278" t="s">
        <v>55246</v>
      </c>
      <c r="P16278" t="s">
        <v>7390</v>
      </c>
      <c r="Y16278" t="s">
        <v>55247</v>
      </c>
    </row>
    <row r="16279" spans="1:25" x14ac:dyDescent="0.25">
      <c r="A16279" t="str">
        <f>"1696644250"</f>
        <v>1696644250</v>
      </c>
      <c r="B16279" t="s">
        <v>1352</v>
      </c>
      <c r="C16279" t="s">
        <v>1353</v>
      </c>
      <c r="D16279" t="s">
        <v>55248</v>
      </c>
      <c r="F16279" t="s">
        <v>1</v>
      </c>
      <c r="G16279" t="s">
        <v>52955</v>
      </c>
      <c r="H16279" t="s">
        <v>53215</v>
      </c>
      <c r="Y16279" t="s">
        <v>55249</v>
      </c>
    </row>
    <row r="16280" spans="1:25" x14ac:dyDescent="0.25">
      <c r="A16280" t="str">
        <f>"1696724805"</f>
        <v>1696724805</v>
      </c>
      <c r="B16280" t="s">
        <v>290</v>
      </c>
      <c r="C16280" t="s">
        <v>16376</v>
      </c>
      <c r="D16280" t="s">
        <v>55250</v>
      </c>
      <c r="E16280">
        <v>425000</v>
      </c>
      <c r="F16280" t="s">
        <v>1</v>
      </c>
      <c r="G16280" t="s">
        <v>52955</v>
      </c>
      <c r="H16280" t="s">
        <v>55251</v>
      </c>
      <c r="J16280" t="s">
        <v>55252</v>
      </c>
      <c r="P16280" t="s">
        <v>55253</v>
      </c>
      <c r="Y16280" t="s">
        <v>55254</v>
      </c>
    </row>
    <row r="16281" spans="1:25" x14ac:dyDescent="0.25">
      <c r="A16281" t="str">
        <f>"1696911729"</f>
        <v>1696911729</v>
      </c>
      <c r="B16281" t="s">
        <v>574</v>
      </c>
      <c r="C16281" t="s">
        <v>646</v>
      </c>
      <c r="D16281" t="s">
        <v>55255</v>
      </c>
      <c r="E16281">
        <v>425011</v>
      </c>
      <c r="F16281" t="s">
        <v>1</v>
      </c>
      <c r="G16281" t="s">
        <v>52955</v>
      </c>
      <c r="H16281" t="s">
        <v>53457</v>
      </c>
      <c r="P16281" t="s">
        <v>216</v>
      </c>
      <c r="Y16281" t="s">
        <v>55256</v>
      </c>
    </row>
    <row r="16282" spans="1:25" x14ac:dyDescent="0.25">
      <c r="A16282" t="str">
        <f>"1697396634"</f>
        <v>1697396634</v>
      </c>
      <c r="B16282" t="s">
        <v>96</v>
      </c>
      <c r="C16282" t="s">
        <v>2285</v>
      </c>
      <c r="D16282" t="s">
        <v>2285</v>
      </c>
      <c r="E16282">
        <v>425000</v>
      </c>
      <c r="F16282" t="s">
        <v>1</v>
      </c>
      <c r="G16282" t="s">
        <v>52955</v>
      </c>
      <c r="H16282" t="s">
        <v>55257</v>
      </c>
      <c r="Y16282" t="s">
        <v>55258</v>
      </c>
    </row>
    <row r="16283" spans="1:25" x14ac:dyDescent="0.25">
      <c r="A16283" t="str">
        <f>"1699616724"</f>
        <v>1699616724</v>
      </c>
      <c r="B16283" t="s">
        <v>88</v>
      </c>
      <c r="C16283" t="s">
        <v>51603</v>
      </c>
      <c r="D16283" t="s">
        <v>4445</v>
      </c>
      <c r="F16283" t="s">
        <v>1</v>
      </c>
      <c r="G16283" t="s">
        <v>52955</v>
      </c>
      <c r="H16283" t="s">
        <v>55259</v>
      </c>
      <c r="P16283" t="s">
        <v>55260</v>
      </c>
      <c r="Y16283" t="s">
        <v>55261</v>
      </c>
    </row>
    <row r="16284" spans="1:25" x14ac:dyDescent="0.25">
      <c r="A16284" t="str">
        <f>"1699653326"</f>
        <v>1699653326</v>
      </c>
      <c r="B16284" t="s">
        <v>32</v>
      </c>
      <c r="C16284" t="s">
        <v>40</v>
      </c>
      <c r="D16284" t="s">
        <v>55262</v>
      </c>
      <c r="E16284">
        <v>425011</v>
      </c>
      <c r="F16284" t="s">
        <v>1</v>
      </c>
      <c r="G16284" t="s">
        <v>52955</v>
      </c>
      <c r="H16284" t="s">
        <v>53927</v>
      </c>
      <c r="Y16284" t="s">
        <v>55263</v>
      </c>
    </row>
    <row r="16285" spans="1:25" x14ac:dyDescent="0.25">
      <c r="A16285" t="str">
        <f>"1700028567"</f>
        <v>1700028567</v>
      </c>
      <c r="B16285" t="s">
        <v>1152</v>
      </c>
      <c r="C16285" t="s">
        <v>1385</v>
      </c>
      <c r="D16285" t="s">
        <v>1385</v>
      </c>
      <c r="E16285">
        <v>425009</v>
      </c>
      <c r="F16285" t="s">
        <v>1</v>
      </c>
      <c r="G16285" t="s">
        <v>52955</v>
      </c>
      <c r="H16285" t="s">
        <v>53696</v>
      </c>
      <c r="P16285" t="s">
        <v>799</v>
      </c>
      <c r="Y16285" t="s">
        <v>55264</v>
      </c>
    </row>
    <row r="16286" spans="1:25" x14ac:dyDescent="0.25">
      <c r="A16286" t="str">
        <f>"1700231017"</f>
        <v>1700231017</v>
      </c>
      <c r="B16286" t="s">
        <v>654</v>
      </c>
      <c r="C16286" t="s">
        <v>1283</v>
      </c>
      <c r="D16286" t="s">
        <v>11963</v>
      </c>
      <c r="E16286">
        <v>425000</v>
      </c>
      <c r="F16286" t="s">
        <v>1</v>
      </c>
      <c r="G16286" t="s">
        <v>52955</v>
      </c>
      <c r="H16286" t="s">
        <v>53460</v>
      </c>
      <c r="J16286" t="s">
        <v>55265</v>
      </c>
      <c r="P16286" t="s">
        <v>12788</v>
      </c>
      <c r="Y16286" t="s">
        <v>55266</v>
      </c>
    </row>
    <row r="16287" spans="1:25" x14ac:dyDescent="0.25">
      <c r="A16287" t="str">
        <f>"1701057305"</f>
        <v>1701057305</v>
      </c>
      <c r="B16287" t="s">
        <v>574</v>
      </c>
      <c r="C16287" t="s">
        <v>646</v>
      </c>
      <c r="D16287" t="s">
        <v>4221</v>
      </c>
      <c r="E16287">
        <v>425009</v>
      </c>
      <c r="F16287" t="s">
        <v>1</v>
      </c>
      <c r="G16287" t="s">
        <v>52955</v>
      </c>
      <c r="H16287" t="s">
        <v>55267</v>
      </c>
      <c r="P16287" t="s">
        <v>330</v>
      </c>
      <c r="Y16287" t="s">
        <v>55268</v>
      </c>
    </row>
    <row r="16288" spans="1:25" x14ac:dyDescent="0.25">
      <c r="A16288" t="str">
        <f>"1701415632"</f>
        <v>1701415632</v>
      </c>
      <c r="B16288" t="s">
        <v>96</v>
      </c>
      <c r="C16288" t="s">
        <v>893</v>
      </c>
      <c r="D16288" t="s">
        <v>55269</v>
      </c>
      <c r="E16288">
        <v>425000</v>
      </c>
      <c r="F16288" t="s">
        <v>1</v>
      </c>
      <c r="G16288" t="s">
        <v>52955</v>
      </c>
      <c r="H16288" t="s">
        <v>54206</v>
      </c>
      <c r="P16288" t="s">
        <v>133</v>
      </c>
      <c r="Y16288" t="s">
        <v>55209</v>
      </c>
    </row>
    <row r="16289" spans="1:25" x14ac:dyDescent="0.25">
      <c r="A16289" t="str">
        <f>"1702903977"</f>
        <v>1702903977</v>
      </c>
      <c r="B16289" t="s">
        <v>574</v>
      </c>
      <c r="C16289" t="s">
        <v>646</v>
      </c>
      <c r="D16289" t="s">
        <v>55270</v>
      </c>
      <c r="E16289">
        <v>425000</v>
      </c>
      <c r="F16289" t="s">
        <v>1</v>
      </c>
      <c r="G16289" t="s">
        <v>52955</v>
      </c>
      <c r="H16289" t="s">
        <v>54254</v>
      </c>
      <c r="P16289" t="s">
        <v>2457</v>
      </c>
      <c r="Y16289" t="s">
        <v>55271</v>
      </c>
    </row>
    <row r="16290" spans="1:25" x14ac:dyDescent="0.25">
      <c r="A16290" t="str">
        <f>"1703850976"</f>
        <v>1703850976</v>
      </c>
      <c r="B16290" t="s">
        <v>96</v>
      </c>
      <c r="C16290" t="s">
        <v>893</v>
      </c>
      <c r="D16290" t="s">
        <v>23170</v>
      </c>
      <c r="E16290">
        <v>425000</v>
      </c>
      <c r="F16290" t="s">
        <v>1</v>
      </c>
      <c r="G16290" t="s">
        <v>52955</v>
      </c>
      <c r="H16290" t="s">
        <v>53059</v>
      </c>
      <c r="P16290" t="s">
        <v>133</v>
      </c>
      <c r="Y16290" t="s">
        <v>55272</v>
      </c>
    </row>
    <row r="16291" spans="1:25" x14ac:dyDescent="0.25">
      <c r="A16291" t="str">
        <f>"1703923030"</f>
        <v>1703923030</v>
      </c>
      <c r="B16291" t="s">
        <v>1573</v>
      </c>
      <c r="C16291" t="s">
        <v>1753</v>
      </c>
      <c r="D16291" t="s">
        <v>41958</v>
      </c>
      <c r="E16291">
        <v>425009</v>
      </c>
      <c r="F16291" t="s">
        <v>1</v>
      </c>
      <c r="G16291" t="s">
        <v>52955</v>
      </c>
      <c r="H16291" t="s">
        <v>55273</v>
      </c>
      <c r="P16291" t="s">
        <v>216</v>
      </c>
      <c r="Y16291" t="s">
        <v>55274</v>
      </c>
    </row>
    <row r="16292" spans="1:25" x14ac:dyDescent="0.25">
      <c r="A16292" t="str">
        <f>"1707689483"</f>
        <v>1707689483</v>
      </c>
      <c r="B16292" t="s">
        <v>18</v>
      </c>
      <c r="C16292" t="s">
        <v>15177</v>
      </c>
      <c r="D16292" t="s">
        <v>53708</v>
      </c>
      <c r="E16292">
        <v>425000</v>
      </c>
      <c r="F16292" t="s">
        <v>1</v>
      </c>
      <c r="G16292" t="s">
        <v>52955</v>
      </c>
      <c r="H16292" t="s">
        <v>53202</v>
      </c>
      <c r="J16292" t="s">
        <v>55275</v>
      </c>
      <c r="M16292" t="s">
        <v>53711</v>
      </c>
      <c r="P16292" t="s">
        <v>799</v>
      </c>
      <c r="Y16292" t="s">
        <v>55276</v>
      </c>
    </row>
    <row r="16293" spans="1:25" x14ac:dyDescent="0.25">
      <c r="A16293" t="str">
        <f>"1707900919"</f>
        <v>1707900919</v>
      </c>
      <c r="B16293" t="s">
        <v>738</v>
      </c>
      <c r="C16293" t="s">
        <v>739</v>
      </c>
      <c r="D16293" t="s">
        <v>55277</v>
      </c>
      <c r="F16293" t="s">
        <v>1</v>
      </c>
      <c r="G16293" t="s">
        <v>52955</v>
      </c>
      <c r="H16293" t="s">
        <v>53417</v>
      </c>
      <c r="J16293" t="s">
        <v>55278</v>
      </c>
      <c r="P16293" t="s">
        <v>1160</v>
      </c>
      <c r="Y16293" t="s">
        <v>55279</v>
      </c>
    </row>
    <row r="16294" spans="1:25" x14ac:dyDescent="0.25">
      <c r="A16294" t="str">
        <f>"1708257311"</f>
        <v>1708257311</v>
      </c>
      <c r="B16294" t="s">
        <v>32</v>
      </c>
      <c r="C16294" t="s">
        <v>40</v>
      </c>
      <c r="D16294" t="s">
        <v>40</v>
      </c>
      <c r="E16294">
        <v>425005</v>
      </c>
      <c r="F16294" t="s">
        <v>1</v>
      </c>
      <c r="G16294" t="s">
        <v>52955</v>
      </c>
      <c r="H16294" t="s">
        <v>55280</v>
      </c>
      <c r="P16294" t="s">
        <v>2050</v>
      </c>
      <c r="Y16294" t="s">
        <v>55281</v>
      </c>
    </row>
    <row r="16295" spans="1:25" x14ac:dyDescent="0.25">
      <c r="A16295" t="str">
        <f>"1708272086"</f>
        <v>1708272086</v>
      </c>
      <c r="B16295" t="s">
        <v>1222</v>
      </c>
      <c r="C16295" t="s">
        <v>4795</v>
      </c>
      <c r="D16295" t="s">
        <v>54542</v>
      </c>
      <c r="E16295">
        <v>425000</v>
      </c>
      <c r="F16295" t="s">
        <v>1</v>
      </c>
      <c r="G16295" t="s">
        <v>52955</v>
      </c>
      <c r="H16295" t="s">
        <v>53536</v>
      </c>
      <c r="J16295" t="s">
        <v>54543</v>
      </c>
      <c r="P16295" t="s">
        <v>27</v>
      </c>
      <c r="Y16295" t="s">
        <v>53541</v>
      </c>
    </row>
    <row r="16296" spans="1:25" x14ac:dyDescent="0.25">
      <c r="A16296" t="str">
        <f>"1709828050"</f>
        <v>1709828050</v>
      </c>
      <c r="B16296" t="s">
        <v>574</v>
      </c>
      <c r="C16296" t="s">
        <v>646</v>
      </c>
      <c r="D16296" t="s">
        <v>4221</v>
      </c>
      <c r="E16296">
        <v>425009</v>
      </c>
      <c r="F16296" t="s">
        <v>1</v>
      </c>
      <c r="G16296" t="s">
        <v>52955</v>
      </c>
      <c r="H16296" t="s">
        <v>55282</v>
      </c>
      <c r="P16296" t="s">
        <v>55283</v>
      </c>
      <c r="Y16296" t="s">
        <v>55284</v>
      </c>
    </row>
    <row r="16297" spans="1:25" x14ac:dyDescent="0.25">
      <c r="A16297" t="str">
        <f>"1709883964"</f>
        <v>1709883964</v>
      </c>
      <c r="B16297" t="s">
        <v>703</v>
      </c>
      <c r="C16297" t="s">
        <v>42244</v>
      </c>
      <c r="D16297" t="s">
        <v>55285</v>
      </c>
      <c r="E16297">
        <v>425001</v>
      </c>
      <c r="F16297" t="s">
        <v>1</v>
      </c>
      <c r="G16297" t="s">
        <v>52955</v>
      </c>
      <c r="H16297" t="s">
        <v>55286</v>
      </c>
      <c r="J16297" t="s">
        <v>55287</v>
      </c>
      <c r="P16297" t="s">
        <v>4831</v>
      </c>
      <c r="Q16297" t="s">
        <v>55288</v>
      </c>
      <c r="Y16297" t="s">
        <v>55289</v>
      </c>
    </row>
    <row r="16298" spans="1:25" x14ac:dyDescent="0.25">
      <c r="A16298" t="str">
        <f>"1710193246"</f>
        <v>1710193246</v>
      </c>
      <c r="B16298" t="s">
        <v>1475</v>
      </c>
      <c r="C16298" t="s">
        <v>55291</v>
      </c>
      <c r="D16298" t="s">
        <v>55290</v>
      </c>
      <c r="E16298">
        <v>425008</v>
      </c>
      <c r="F16298" t="s">
        <v>1</v>
      </c>
      <c r="G16298" t="s">
        <v>52955</v>
      </c>
      <c r="H16298" t="s">
        <v>53554</v>
      </c>
      <c r="P16298" t="s">
        <v>2050</v>
      </c>
      <c r="Y16298" t="s">
        <v>55185</v>
      </c>
    </row>
    <row r="16299" spans="1:25" x14ac:dyDescent="0.25">
      <c r="A16299" t="str">
        <f>"1711418050"</f>
        <v>1711418050</v>
      </c>
      <c r="B16299" t="s">
        <v>1222</v>
      </c>
      <c r="C16299" t="s">
        <v>2114</v>
      </c>
      <c r="D16299" t="s">
        <v>55292</v>
      </c>
      <c r="E16299">
        <v>425008</v>
      </c>
      <c r="F16299" t="s">
        <v>1</v>
      </c>
      <c r="G16299" t="s">
        <v>52955</v>
      </c>
      <c r="H16299" t="s">
        <v>55156</v>
      </c>
      <c r="Y16299" t="s">
        <v>55157</v>
      </c>
    </row>
    <row r="16300" spans="1:25" x14ac:dyDescent="0.25">
      <c r="A16300" t="str">
        <f>"1711433714"</f>
        <v>1711433714</v>
      </c>
      <c r="B16300" t="s">
        <v>243</v>
      </c>
      <c r="C16300" t="s">
        <v>259</v>
      </c>
      <c r="D16300" t="s">
        <v>55293</v>
      </c>
      <c r="E16300">
        <v>425000</v>
      </c>
      <c r="F16300" t="s">
        <v>1</v>
      </c>
      <c r="G16300" t="s">
        <v>52955</v>
      </c>
      <c r="H16300" t="s">
        <v>55294</v>
      </c>
      <c r="J16300" t="s">
        <v>55295</v>
      </c>
      <c r="P16300" t="s">
        <v>27</v>
      </c>
      <c r="Y16300" t="s">
        <v>55296</v>
      </c>
    </row>
    <row r="16301" spans="1:25" x14ac:dyDescent="0.25">
      <c r="A16301" t="str">
        <f>"1712020751"</f>
        <v>1712020751</v>
      </c>
      <c r="B16301" t="s">
        <v>574</v>
      </c>
      <c r="C16301" t="s">
        <v>646</v>
      </c>
      <c r="D16301" t="s">
        <v>55297</v>
      </c>
      <c r="F16301" t="s">
        <v>1</v>
      </c>
      <c r="G16301" t="s">
        <v>52955</v>
      </c>
      <c r="H16301" t="s">
        <v>55298</v>
      </c>
      <c r="P16301" t="s">
        <v>60</v>
      </c>
      <c r="Y16301" t="s">
        <v>55299</v>
      </c>
    </row>
    <row r="16302" spans="1:25" x14ac:dyDescent="0.25">
      <c r="A16302" t="str">
        <f>"1712056570"</f>
        <v>1712056570</v>
      </c>
      <c r="B16302" t="s">
        <v>204</v>
      </c>
      <c r="C16302" t="s">
        <v>23348</v>
      </c>
      <c r="D16302" t="s">
        <v>55300</v>
      </c>
      <c r="E16302">
        <v>425011</v>
      </c>
      <c r="F16302" t="s">
        <v>1</v>
      </c>
      <c r="G16302" t="s">
        <v>52955</v>
      </c>
      <c r="H16302" t="s">
        <v>53457</v>
      </c>
      <c r="P16302" t="s">
        <v>2731</v>
      </c>
      <c r="Y16302" t="s">
        <v>55301</v>
      </c>
    </row>
    <row r="16303" spans="1:25" x14ac:dyDescent="0.25">
      <c r="A16303" t="str">
        <f>"1712114729"</f>
        <v>1712114729</v>
      </c>
      <c r="B16303" t="s">
        <v>32</v>
      </c>
      <c r="C16303" t="s">
        <v>33995</v>
      </c>
      <c r="D16303" t="s">
        <v>55302</v>
      </c>
      <c r="E16303">
        <v>425005</v>
      </c>
      <c r="F16303" t="s">
        <v>1</v>
      </c>
      <c r="G16303" t="s">
        <v>52955</v>
      </c>
      <c r="H16303" t="s">
        <v>55303</v>
      </c>
      <c r="J16303" t="s">
        <v>55304</v>
      </c>
      <c r="P16303" t="s">
        <v>2050</v>
      </c>
      <c r="Y16303" t="s">
        <v>55305</v>
      </c>
    </row>
    <row r="16304" spans="1:25" x14ac:dyDescent="0.25">
      <c r="A16304" t="str">
        <f>"1712167748"</f>
        <v>1712167748</v>
      </c>
      <c r="B16304" t="s">
        <v>654</v>
      </c>
      <c r="C16304" t="s">
        <v>55308</v>
      </c>
      <c r="D16304" t="s">
        <v>55306</v>
      </c>
      <c r="F16304" t="s">
        <v>1</v>
      </c>
      <c r="G16304" t="s">
        <v>52955</v>
      </c>
      <c r="H16304" t="s">
        <v>53072</v>
      </c>
      <c r="J16304" t="s">
        <v>55307</v>
      </c>
      <c r="P16304" t="s">
        <v>55309</v>
      </c>
      <c r="V16304" t="s">
        <v>55310</v>
      </c>
      <c r="Y16304" t="s">
        <v>55311</v>
      </c>
    </row>
    <row r="16305" spans="1:25" x14ac:dyDescent="0.25">
      <c r="A16305" t="str">
        <f>"1712747044"</f>
        <v>1712747044</v>
      </c>
      <c r="B16305" t="s">
        <v>1343</v>
      </c>
      <c r="C16305" t="s">
        <v>5308</v>
      </c>
      <c r="D16305" t="s">
        <v>55312</v>
      </c>
      <c r="F16305" t="s">
        <v>1</v>
      </c>
      <c r="G16305" t="s">
        <v>52955</v>
      </c>
      <c r="H16305" t="s">
        <v>53198</v>
      </c>
      <c r="Y16305" t="s">
        <v>55313</v>
      </c>
    </row>
    <row r="16306" spans="1:25" x14ac:dyDescent="0.25">
      <c r="A16306" t="str">
        <f>"1712760027"</f>
        <v>1712760027</v>
      </c>
      <c r="B16306" t="s">
        <v>574</v>
      </c>
      <c r="C16306" t="s">
        <v>14652</v>
      </c>
      <c r="D16306" t="s">
        <v>14652</v>
      </c>
      <c r="F16306" t="s">
        <v>1</v>
      </c>
      <c r="G16306" t="s">
        <v>52955</v>
      </c>
      <c r="H16306" t="s">
        <v>53072</v>
      </c>
      <c r="Y16306" t="s">
        <v>55314</v>
      </c>
    </row>
    <row r="16307" spans="1:25" x14ac:dyDescent="0.25">
      <c r="A16307" t="str">
        <f>"1712847206"</f>
        <v>1712847206</v>
      </c>
      <c r="B16307" t="s">
        <v>4084</v>
      </c>
      <c r="C16307" t="s">
        <v>7951</v>
      </c>
      <c r="D16307" t="s">
        <v>55315</v>
      </c>
      <c r="F16307" t="s">
        <v>1</v>
      </c>
      <c r="G16307" t="s">
        <v>52955</v>
      </c>
      <c r="H16307" t="s">
        <v>55316</v>
      </c>
      <c r="Y16307" t="s">
        <v>55317</v>
      </c>
    </row>
    <row r="16308" spans="1:25" x14ac:dyDescent="0.25">
      <c r="A16308" t="str">
        <f>"1713068357"</f>
        <v>1713068357</v>
      </c>
      <c r="B16308" t="s">
        <v>888</v>
      </c>
      <c r="C16308" t="s">
        <v>55322</v>
      </c>
      <c r="D16308" t="s">
        <v>55318</v>
      </c>
      <c r="E16308">
        <v>425000</v>
      </c>
      <c r="F16308" t="s">
        <v>1</v>
      </c>
      <c r="G16308" t="s">
        <v>52955</v>
      </c>
      <c r="H16308" t="s">
        <v>54261</v>
      </c>
      <c r="J16308" t="s">
        <v>55319</v>
      </c>
      <c r="L16308" t="s">
        <v>55320</v>
      </c>
      <c r="M16308" t="s">
        <v>55321</v>
      </c>
      <c r="P16308" t="s">
        <v>55323</v>
      </c>
      <c r="Y16308" t="s">
        <v>55324</v>
      </c>
    </row>
    <row r="16309" spans="1:25" x14ac:dyDescent="0.25">
      <c r="A16309" t="str">
        <f>"1713240520"</f>
        <v>1713240520</v>
      </c>
      <c r="B16309" t="s">
        <v>2846</v>
      </c>
      <c r="C16309" t="s">
        <v>16956</v>
      </c>
      <c r="D16309" t="s">
        <v>55325</v>
      </c>
      <c r="F16309" t="s">
        <v>1</v>
      </c>
      <c r="G16309" t="s">
        <v>52955</v>
      </c>
      <c r="H16309" t="s">
        <v>53198</v>
      </c>
      <c r="J16309" t="s">
        <v>55326</v>
      </c>
      <c r="L16309" t="s">
        <v>55327</v>
      </c>
      <c r="P16309" t="s">
        <v>28828</v>
      </c>
      <c r="Q16309" t="s">
        <v>55328</v>
      </c>
      <c r="Y16309" t="s">
        <v>55329</v>
      </c>
    </row>
    <row r="16310" spans="1:25" x14ac:dyDescent="0.25">
      <c r="A16310" t="str">
        <f>"1715378625"</f>
        <v>1715378625</v>
      </c>
      <c r="B16310" t="s">
        <v>2818</v>
      </c>
      <c r="C16310" t="s">
        <v>6466</v>
      </c>
      <c r="D16310" t="s">
        <v>55330</v>
      </c>
      <c r="E16310">
        <v>425000</v>
      </c>
      <c r="F16310" t="s">
        <v>1</v>
      </c>
      <c r="G16310" t="s">
        <v>52955</v>
      </c>
      <c r="H16310" t="s">
        <v>54932</v>
      </c>
      <c r="Y16310" t="s">
        <v>54938</v>
      </c>
    </row>
    <row r="16311" spans="1:25" x14ac:dyDescent="0.25">
      <c r="A16311" t="str">
        <f>"1715573849"</f>
        <v>1715573849</v>
      </c>
      <c r="B16311" t="s">
        <v>18</v>
      </c>
      <c r="C16311" t="s">
        <v>55336</v>
      </c>
      <c r="D16311" t="s">
        <v>55331</v>
      </c>
      <c r="E16311">
        <v>425011</v>
      </c>
      <c r="F16311" t="s">
        <v>1</v>
      </c>
      <c r="G16311" t="s">
        <v>52955</v>
      </c>
      <c r="H16311" t="s">
        <v>53927</v>
      </c>
      <c r="I16311" t="s">
        <v>55332</v>
      </c>
      <c r="J16311" t="s">
        <v>55333</v>
      </c>
      <c r="L16311" t="s">
        <v>55334</v>
      </c>
      <c r="M16311" t="s">
        <v>55335</v>
      </c>
      <c r="P16311" t="s">
        <v>55337</v>
      </c>
      <c r="Q16311" t="s">
        <v>55338</v>
      </c>
      <c r="T16311" t="s">
        <v>55339</v>
      </c>
      <c r="U16311" t="s">
        <v>55340</v>
      </c>
      <c r="V16311" t="s">
        <v>55341</v>
      </c>
      <c r="Y16311" t="s">
        <v>55342</v>
      </c>
    </row>
    <row r="16312" spans="1:25" x14ac:dyDescent="0.25">
      <c r="A16312" t="str">
        <f>"1715827268"</f>
        <v>1715827268</v>
      </c>
      <c r="B16312" t="s">
        <v>319</v>
      </c>
      <c r="C16312" t="s">
        <v>320</v>
      </c>
      <c r="D16312" t="s">
        <v>54069</v>
      </c>
      <c r="E16312">
        <v>425001</v>
      </c>
      <c r="F16312" t="s">
        <v>1</v>
      </c>
      <c r="G16312" t="s">
        <v>52955</v>
      </c>
      <c r="H16312" t="s">
        <v>55343</v>
      </c>
      <c r="I16312" t="s">
        <v>55344</v>
      </c>
      <c r="P16312" t="s">
        <v>330</v>
      </c>
      <c r="Y16312" t="s">
        <v>55345</v>
      </c>
    </row>
    <row r="16313" spans="1:25" x14ac:dyDescent="0.25">
      <c r="A16313" t="str">
        <f>"1715914526"</f>
        <v>1715914526</v>
      </c>
      <c r="B16313" t="s">
        <v>591</v>
      </c>
      <c r="C16313" t="s">
        <v>7358</v>
      </c>
      <c r="D16313" t="s">
        <v>55346</v>
      </c>
      <c r="E16313">
        <v>425001</v>
      </c>
      <c r="F16313" t="s">
        <v>1</v>
      </c>
      <c r="G16313" t="s">
        <v>52955</v>
      </c>
      <c r="H16313" t="s">
        <v>53185</v>
      </c>
      <c r="J16313" t="s">
        <v>55347</v>
      </c>
      <c r="L16313" t="s">
        <v>55348</v>
      </c>
      <c r="P16313" t="s">
        <v>133</v>
      </c>
      <c r="Y16313" t="s">
        <v>55349</v>
      </c>
    </row>
    <row r="16314" spans="1:25" x14ac:dyDescent="0.25">
      <c r="A16314" t="str">
        <f>"1717137895"</f>
        <v>1717137895</v>
      </c>
      <c r="B16314" t="s">
        <v>32</v>
      </c>
      <c r="C16314" t="s">
        <v>182</v>
      </c>
      <c r="D16314" t="s">
        <v>55350</v>
      </c>
      <c r="E16314">
        <v>425000</v>
      </c>
      <c r="F16314" t="s">
        <v>1</v>
      </c>
      <c r="G16314" t="s">
        <v>52955</v>
      </c>
      <c r="H16314" t="s">
        <v>55351</v>
      </c>
      <c r="Y16314" t="s">
        <v>55352</v>
      </c>
    </row>
    <row r="16315" spans="1:25" x14ac:dyDescent="0.25">
      <c r="A16315" t="str">
        <f>"1717428638"</f>
        <v>1717428638</v>
      </c>
      <c r="B16315" t="s">
        <v>96</v>
      </c>
      <c r="C16315" t="s">
        <v>2285</v>
      </c>
      <c r="D16315" t="s">
        <v>2285</v>
      </c>
      <c r="E16315">
        <v>425000</v>
      </c>
      <c r="F16315" t="s">
        <v>1</v>
      </c>
      <c r="G16315" t="s">
        <v>52955</v>
      </c>
      <c r="H16315" t="s">
        <v>53719</v>
      </c>
      <c r="Y16315" t="s">
        <v>55353</v>
      </c>
    </row>
    <row r="16316" spans="1:25" x14ac:dyDescent="0.25">
      <c r="A16316" t="str">
        <f>"1718028231"</f>
        <v>1718028231</v>
      </c>
      <c r="B16316" t="s">
        <v>1152</v>
      </c>
      <c r="C16316" t="s">
        <v>4926</v>
      </c>
      <c r="D16316" t="s">
        <v>11216</v>
      </c>
      <c r="E16316">
        <v>425000</v>
      </c>
      <c r="F16316" t="s">
        <v>1</v>
      </c>
      <c r="G16316" t="s">
        <v>52955</v>
      </c>
      <c r="H16316" t="s">
        <v>53066</v>
      </c>
      <c r="P16316" t="s">
        <v>20</v>
      </c>
      <c r="Y16316" t="s">
        <v>55354</v>
      </c>
    </row>
    <row r="16317" spans="1:25" x14ac:dyDescent="0.25">
      <c r="A16317" t="str">
        <f>"1718810710"</f>
        <v>1718810710</v>
      </c>
      <c r="B16317" t="s">
        <v>1758</v>
      </c>
      <c r="C16317" t="s">
        <v>8089</v>
      </c>
      <c r="D16317" t="s">
        <v>8089</v>
      </c>
      <c r="E16317">
        <v>425011</v>
      </c>
      <c r="F16317" t="s">
        <v>1</v>
      </c>
      <c r="G16317" t="s">
        <v>52955</v>
      </c>
      <c r="H16317" t="s">
        <v>53155</v>
      </c>
      <c r="P16317" t="s">
        <v>13702</v>
      </c>
      <c r="Y16317" t="s">
        <v>55355</v>
      </c>
    </row>
    <row r="16318" spans="1:25" x14ac:dyDescent="0.25">
      <c r="A16318" t="str">
        <f>"1718952083"</f>
        <v>1718952083</v>
      </c>
      <c r="B16318" t="s">
        <v>32</v>
      </c>
      <c r="C16318" t="s">
        <v>777</v>
      </c>
      <c r="D16318" t="s">
        <v>55356</v>
      </c>
      <c r="E16318">
        <v>425009</v>
      </c>
      <c r="F16318" t="s">
        <v>1</v>
      </c>
      <c r="G16318" t="s">
        <v>52955</v>
      </c>
      <c r="H16318" t="s">
        <v>54824</v>
      </c>
      <c r="P16318" t="s">
        <v>1464</v>
      </c>
      <c r="Y16318" t="s">
        <v>55357</v>
      </c>
    </row>
    <row r="16319" spans="1:25" x14ac:dyDescent="0.25">
      <c r="A16319" t="str">
        <f>"1719098583"</f>
        <v>1719098583</v>
      </c>
      <c r="B16319" t="s">
        <v>574</v>
      </c>
      <c r="C16319" t="s">
        <v>646</v>
      </c>
      <c r="D16319" t="s">
        <v>4221</v>
      </c>
      <c r="E16319">
        <v>425001</v>
      </c>
      <c r="F16319" t="s">
        <v>1</v>
      </c>
      <c r="G16319" t="s">
        <v>52955</v>
      </c>
      <c r="H16319" t="s">
        <v>55358</v>
      </c>
      <c r="P16319" t="s">
        <v>55359</v>
      </c>
      <c r="Y16319" t="s">
        <v>55360</v>
      </c>
    </row>
    <row r="16320" spans="1:25" x14ac:dyDescent="0.25">
      <c r="A16320" t="str">
        <f>"1719805860"</f>
        <v>1719805860</v>
      </c>
      <c r="B16320" t="s">
        <v>1343</v>
      </c>
      <c r="C16320" t="s">
        <v>13544</v>
      </c>
      <c r="D16320" t="s">
        <v>55361</v>
      </c>
      <c r="F16320" t="s">
        <v>1</v>
      </c>
      <c r="G16320" t="s">
        <v>52955</v>
      </c>
      <c r="H16320" t="s">
        <v>55362</v>
      </c>
      <c r="P16320" t="s">
        <v>55260</v>
      </c>
      <c r="Y16320" t="s">
        <v>55363</v>
      </c>
    </row>
    <row r="16321" spans="1:25" x14ac:dyDescent="0.25">
      <c r="A16321" t="str">
        <f>"1720201502"</f>
        <v>1720201502</v>
      </c>
      <c r="B16321" t="s">
        <v>1182</v>
      </c>
      <c r="C16321" t="s">
        <v>55365</v>
      </c>
      <c r="D16321" t="s">
        <v>55364</v>
      </c>
      <c r="E16321">
        <v>425000</v>
      </c>
      <c r="F16321" t="s">
        <v>1</v>
      </c>
      <c r="G16321" t="s">
        <v>52955</v>
      </c>
      <c r="H16321" t="s">
        <v>54369</v>
      </c>
      <c r="P16321" t="s">
        <v>799</v>
      </c>
      <c r="Y16321" t="s">
        <v>55366</v>
      </c>
    </row>
    <row r="16322" spans="1:25" x14ac:dyDescent="0.25">
      <c r="A16322" t="str">
        <f>"1720443529"</f>
        <v>1720443529</v>
      </c>
      <c r="B16322" t="s">
        <v>25</v>
      </c>
      <c r="C16322" t="s">
        <v>5632</v>
      </c>
      <c r="D16322" t="s">
        <v>55367</v>
      </c>
      <c r="F16322" t="s">
        <v>1</v>
      </c>
      <c r="G16322" t="s">
        <v>52955</v>
      </c>
      <c r="H16322" t="s">
        <v>53355</v>
      </c>
      <c r="I16322" t="s">
        <v>55368</v>
      </c>
      <c r="J16322" t="s">
        <v>55369</v>
      </c>
      <c r="P16322" t="s">
        <v>27</v>
      </c>
      <c r="Y16322" t="s">
        <v>53357</v>
      </c>
    </row>
    <row r="16323" spans="1:25" x14ac:dyDescent="0.25">
      <c r="A16323" t="str">
        <f>"1720618691"</f>
        <v>1720618691</v>
      </c>
      <c r="B16323" t="s">
        <v>2104</v>
      </c>
      <c r="C16323" t="s">
        <v>2105</v>
      </c>
      <c r="D16323" t="s">
        <v>55370</v>
      </c>
      <c r="E16323">
        <v>425009</v>
      </c>
      <c r="F16323" t="s">
        <v>1</v>
      </c>
      <c r="G16323" t="s">
        <v>52955</v>
      </c>
      <c r="H16323" t="s">
        <v>55371</v>
      </c>
      <c r="J16323" t="s">
        <v>55372</v>
      </c>
      <c r="P16323" t="s">
        <v>1642</v>
      </c>
      <c r="Y16323" t="s">
        <v>55373</v>
      </c>
    </row>
    <row r="16324" spans="1:25" x14ac:dyDescent="0.25">
      <c r="A16324" t="str">
        <f>"1721231007"</f>
        <v>1721231007</v>
      </c>
      <c r="B16324" t="s">
        <v>2178</v>
      </c>
      <c r="C16324" t="s">
        <v>2179</v>
      </c>
      <c r="D16324" t="s">
        <v>55374</v>
      </c>
      <c r="E16324">
        <v>425000</v>
      </c>
      <c r="F16324" t="s">
        <v>1</v>
      </c>
      <c r="G16324" t="s">
        <v>52955</v>
      </c>
      <c r="H16324" t="s">
        <v>55375</v>
      </c>
      <c r="Y16324" t="s">
        <v>55376</v>
      </c>
    </row>
    <row r="16325" spans="1:25" x14ac:dyDescent="0.25">
      <c r="A16325" t="str">
        <f>"1721332897"</f>
        <v>1721332897</v>
      </c>
      <c r="B16325" t="s">
        <v>1152</v>
      </c>
      <c r="C16325" t="s">
        <v>1153</v>
      </c>
      <c r="D16325" t="s">
        <v>24071</v>
      </c>
      <c r="E16325">
        <v>425000</v>
      </c>
      <c r="F16325" t="s">
        <v>1</v>
      </c>
      <c r="G16325" t="s">
        <v>52955</v>
      </c>
      <c r="H16325" t="s">
        <v>53903</v>
      </c>
      <c r="P16325" t="s">
        <v>410</v>
      </c>
      <c r="Y16325" t="s">
        <v>55377</v>
      </c>
    </row>
    <row r="16326" spans="1:25" x14ac:dyDescent="0.25">
      <c r="A16326" t="str">
        <f>"1721789971"</f>
        <v>1721789971</v>
      </c>
      <c r="B16326" t="s">
        <v>1078</v>
      </c>
      <c r="C16326" t="s">
        <v>26548</v>
      </c>
      <c r="D16326" t="s">
        <v>55378</v>
      </c>
      <c r="F16326" t="s">
        <v>1</v>
      </c>
      <c r="G16326" t="s">
        <v>52955</v>
      </c>
      <c r="H16326" t="s">
        <v>55379</v>
      </c>
      <c r="P16326" t="s">
        <v>2050</v>
      </c>
      <c r="Y16326" t="s">
        <v>55164</v>
      </c>
    </row>
    <row r="16327" spans="1:25" x14ac:dyDescent="0.25">
      <c r="A16327" t="str">
        <f>"1721865660"</f>
        <v>1721865660</v>
      </c>
      <c r="B16327" t="s">
        <v>1046</v>
      </c>
      <c r="C16327" t="s">
        <v>3808</v>
      </c>
      <c r="D16327" t="s">
        <v>55380</v>
      </c>
      <c r="E16327">
        <v>425000</v>
      </c>
      <c r="F16327" t="s">
        <v>1</v>
      </c>
      <c r="G16327" t="s">
        <v>52955</v>
      </c>
      <c r="H16327" t="s">
        <v>55381</v>
      </c>
      <c r="P16327" t="s">
        <v>55382</v>
      </c>
      <c r="Y16327" t="s">
        <v>55383</v>
      </c>
    </row>
    <row r="16328" spans="1:25" x14ac:dyDescent="0.25">
      <c r="A16328" t="str">
        <f>"1723625245"</f>
        <v>1723625245</v>
      </c>
      <c r="B16328" t="s">
        <v>379</v>
      </c>
      <c r="C16328" t="s">
        <v>4852</v>
      </c>
      <c r="D16328" t="s">
        <v>55384</v>
      </c>
      <c r="F16328" t="s">
        <v>1</v>
      </c>
      <c r="G16328" t="s">
        <v>52955</v>
      </c>
      <c r="H16328" t="s">
        <v>55385</v>
      </c>
      <c r="P16328" t="s">
        <v>330</v>
      </c>
      <c r="Y16328" t="s">
        <v>55386</v>
      </c>
    </row>
    <row r="16329" spans="1:25" x14ac:dyDescent="0.25">
      <c r="A16329" t="str">
        <f>"1724092013"</f>
        <v>1724092013</v>
      </c>
      <c r="B16329" t="s">
        <v>1475</v>
      </c>
      <c r="C16329" t="s">
        <v>1476</v>
      </c>
      <c r="D16329" t="s">
        <v>55387</v>
      </c>
      <c r="F16329" t="s">
        <v>1</v>
      </c>
      <c r="G16329" t="s">
        <v>52955</v>
      </c>
      <c r="H16329" t="s">
        <v>55362</v>
      </c>
      <c r="I16329" t="s">
        <v>55388</v>
      </c>
      <c r="P16329" t="s">
        <v>55260</v>
      </c>
      <c r="Y16329" t="s">
        <v>55389</v>
      </c>
    </row>
    <row r="16330" spans="1:25" x14ac:dyDescent="0.25">
      <c r="A16330" t="str">
        <f>"1724122627"</f>
        <v>1724122627</v>
      </c>
      <c r="B16330" t="s">
        <v>1343</v>
      </c>
      <c r="C16330" t="s">
        <v>10464</v>
      </c>
      <c r="D16330" t="s">
        <v>7296</v>
      </c>
      <c r="E16330">
        <v>425009</v>
      </c>
      <c r="F16330" t="s">
        <v>1</v>
      </c>
      <c r="G16330" t="s">
        <v>52955</v>
      </c>
      <c r="H16330" t="s">
        <v>55390</v>
      </c>
      <c r="P16330" t="s">
        <v>11415</v>
      </c>
      <c r="Y16330" t="s">
        <v>55391</v>
      </c>
    </row>
    <row r="16331" spans="1:25" x14ac:dyDescent="0.25">
      <c r="A16331" t="str">
        <f>"1724482222"</f>
        <v>1724482222</v>
      </c>
      <c r="B16331" t="s">
        <v>1152</v>
      </c>
      <c r="C16331" t="s">
        <v>1385</v>
      </c>
      <c r="D16331" t="s">
        <v>55392</v>
      </c>
      <c r="F16331" t="s">
        <v>1</v>
      </c>
      <c r="G16331" t="s">
        <v>52955</v>
      </c>
      <c r="H16331" t="s">
        <v>55393</v>
      </c>
      <c r="P16331" t="s">
        <v>55394</v>
      </c>
      <c r="Y16331" t="s">
        <v>55395</v>
      </c>
    </row>
    <row r="16332" spans="1:25" x14ac:dyDescent="0.25">
      <c r="A16332" t="str">
        <f>"1724628561"</f>
        <v>1724628561</v>
      </c>
      <c r="B16332" t="s">
        <v>224</v>
      </c>
      <c r="C16332" t="s">
        <v>55399</v>
      </c>
      <c r="D16332" t="s">
        <v>6461</v>
      </c>
      <c r="E16332">
        <v>425000</v>
      </c>
      <c r="F16332" t="s">
        <v>1</v>
      </c>
      <c r="G16332" t="s">
        <v>52955</v>
      </c>
      <c r="H16332" t="s">
        <v>53132</v>
      </c>
      <c r="I16332" t="s">
        <v>55396</v>
      </c>
      <c r="L16332" t="s">
        <v>55397</v>
      </c>
      <c r="M16332" t="s">
        <v>55398</v>
      </c>
      <c r="P16332" t="s">
        <v>280</v>
      </c>
      <c r="Y16332" t="s">
        <v>55400</v>
      </c>
    </row>
    <row r="16333" spans="1:25" x14ac:dyDescent="0.25">
      <c r="A16333" t="str">
        <f>"1725191557"</f>
        <v>1725191557</v>
      </c>
      <c r="B16333" t="s">
        <v>96</v>
      </c>
      <c r="C16333" t="s">
        <v>893</v>
      </c>
      <c r="D16333" t="s">
        <v>51855</v>
      </c>
      <c r="E16333">
        <v>425008</v>
      </c>
      <c r="F16333" t="s">
        <v>1</v>
      </c>
      <c r="G16333" t="s">
        <v>52955</v>
      </c>
      <c r="H16333" t="s">
        <v>53857</v>
      </c>
      <c r="P16333" t="s">
        <v>2050</v>
      </c>
      <c r="Y16333" t="s">
        <v>55401</v>
      </c>
    </row>
    <row r="16334" spans="1:25" x14ac:dyDescent="0.25">
      <c r="A16334" t="str">
        <f>"1725428322"</f>
        <v>1725428322</v>
      </c>
      <c r="B16334" t="s">
        <v>1152</v>
      </c>
      <c r="C16334" t="s">
        <v>2222</v>
      </c>
      <c r="D16334" t="s">
        <v>52726</v>
      </c>
      <c r="E16334">
        <v>425009</v>
      </c>
      <c r="F16334" t="s">
        <v>1</v>
      </c>
      <c r="G16334" t="s">
        <v>52955</v>
      </c>
      <c r="H16334" t="s">
        <v>54824</v>
      </c>
      <c r="J16334" t="s">
        <v>55402</v>
      </c>
      <c r="P16334" t="s">
        <v>340</v>
      </c>
      <c r="Y16334" t="s">
        <v>55403</v>
      </c>
    </row>
    <row r="16335" spans="1:25" x14ac:dyDescent="0.25">
      <c r="A16335" t="str">
        <f>"1725452930"</f>
        <v>1725452930</v>
      </c>
      <c r="B16335" t="s">
        <v>96</v>
      </c>
      <c r="C16335" t="s">
        <v>20353</v>
      </c>
      <c r="D16335" t="s">
        <v>44839</v>
      </c>
      <c r="F16335" t="s">
        <v>1</v>
      </c>
      <c r="G16335" t="s">
        <v>52955</v>
      </c>
      <c r="H16335" t="s">
        <v>53198</v>
      </c>
      <c r="Y16335" t="s">
        <v>55404</v>
      </c>
    </row>
    <row r="16336" spans="1:25" x14ac:dyDescent="0.25">
      <c r="A16336" t="str">
        <f>"1726093310"</f>
        <v>1726093310</v>
      </c>
      <c r="B16336" t="s">
        <v>417</v>
      </c>
      <c r="C16336" t="s">
        <v>6532</v>
      </c>
      <c r="D16336" t="s">
        <v>55405</v>
      </c>
      <c r="E16336">
        <v>425000</v>
      </c>
      <c r="F16336" t="s">
        <v>1</v>
      </c>
      <c r="G16336" t="s">
        <v>52955</v>
      </c>
      <c r="H16336" t="s">
        <v>54772</v>
      </c>
      <c r="I16336" t="s">
        <v>54773</v>
      </c>
      <c r="M16336" t="s">
        <v>55406</v>
      </c>
      <c r="P16336" t="s">
        <v>280</v>
      </c>
      <c r="Y16336" t="s">
        <v>55407</v>
      </c>
    </row>
    <row r="16337" spans="1:25" x14ac:dyDescent="0.25">
      <c r="A16337" t="str">
        <f>"1726684770"</f>
        <v>1726684770</v>
      </c>
      <c r="B16337" t="s">
        <v>96</v>
      </c>
      <c r="C16337" t="s">
        <v>893</v>
      </c>
      <c r="D16337" t="s">
        <v>13260</v>
      </c>
      <c r="E16337">
        <v>425000</v>
      </c>
      <c r="F16337" t="s">
        <v>1</v>
      </c>
      <c r="G16337" t="s">
        <v>52955</v>
      </c>
      <c r="H16337" t="s">
        <v>53075</v>
      </c>
      <c r="Y16337" t="s">
        <v>55408</v>
      </c>
    </row>
    <row r="16338" spans="1:25" x14ac:dyDescent="0.25">
      <c r="A16338" t="str">
        <f>"1727656352"</f>
        <v>1727656352</v>
      </c>
      <c r="B16338" t="s">
        <v>3008</v>
      </c>
      <c r="C16338" t="s">
        <v>55410</v>
      </c>
      <c r="D16338" t="s">
        <v>42038</v>
      </c>
      <c r="E16338">
        <v>425000</v>
      </c>
      <c r="F16338" t="s">
        <v>1</v>
      </c>
      <c r="G16338" t="s">
        <v>52955</v>
      </c>
      <c r="H16338" t="s">
        <v>55409</v>
      </c>
      <c r="Y16338" t="s">
        <v>55411</v>
      </c>
    </row>
    <row r="16339" spans="1:25" x14ac:dyDescent="0.25">
      <c r="A16339" t="str">
        <f>"1727823984"</f>
        <v>1727823984</v>
      </c>
      <c r="B16339" t="s">
        <v>1617</v>
      </c>
      <c r="C16339" t="s">
        <v>21001</v>
      </c>
      <c r="D16339" t="s">
        <v>20999</v>
      </c>
      <c r="F16339" t="s">
        <v>1</v>
      </c>
      <c r="G16339" t="s">
        <v>52955</v>
      </c>
      <c r="H16339" t="s">
        <v>55186</v>
      </c>
      <c r="Y16339" t="s">
        <v>55412</v>
      </c>
    </row>
    <row r="16340" spans="1:25" x14ac:dyDescent="0.25">
      <c r="A16340" t="str">
        <f>"1728261616"</f>
        <v>1728261616</v>
      </c>
      <c r="B16340" t="s">
        <v>716</v>
      </c>
      <c r="C16340" t="s">
        <v>13188</v>
      </c>
      <c r="D16340" t="s">
        <v>55413</v>
      </c>
      <c r="E16340">
        <v>425003</v>
      </c>
      <c r="F16340" t="s">
        <v>1</v>
      </c>
      <c r="G16340" t="s">
        <v>52955</v>
      </c>
      <c r="H16340" t="s">
        <v>55414</v>
      </c>
      <c r="J16340" t="s">
        <v>55415</v>
      </c>
      <c r="P16340" t="s">
        <v>330</v>
      </c>
      <c r="Y16340" t="s">
        <v>55416</v>
      </c>
    </row>
    <row r="16341" spans="1:25" x14ac:dyDescent="0.25">
      <c r="A16341" t="str">
        <f>"1728517396"</f>
        <v>1728517396</v>
      </c>
      <c r="B16341" t="s">
        <v>319</v>
      </c>
      <c r="C16341" t="s">
        <v>320</v>
      </c>
      <c r="D16341" t="s">
        <v>54281</v>
      </c>
      <c r="E16341">
        <v>425008</v>
      </c>
      <c r="F16341" t="s">
        <v>1</v>
      </c>
      <c r="G16341" t="s">
        <v>52955</v>
      </c>
      <c r="H16341" t="s">
        <v>55417</v>
      </c>
      <c r="I16341" t="s">
        <v>55418</v>
      </c>
      <c r="P16341" t="s">
        <v>410</v>
      </c>
      <c r="Y16341" t="s">
        <v>55419</v>
      </c>
    </row>
    <row r="16342" spans="1:25" x14ac:dyDescent="0.25">
      <c r="A16342" t="str">
        <f>"1729330125"</f>
        <v>1729330125</v>
      </c>
      <c r="B16342" t="s">
        <v>96</v>
      </c>
      <c r="C16342" t="s">
        <v>7071</v>
      </c>
      <c r="D16342" t="s">
        <v>893</v>
      </c>
      <c r="E16342">
        <v>425008</v>
      </c>
      <c r="F16342" t="s">
        <v>1</v>
      </c>
      <c r="G16342" t="s">
        <v>52955</v>
      </c>
      <c r="H16342" t="s">
        <v>55156</v>
      </c>
      <c r="Y16342" t="s">
        <v>55157</v>
      </c>
    </row>
    <row r="16343" spans="1:25" x14ac:dyDescent="0.25">
      <c r="A16343" t="str">
        <f>"1729944069"</f>
        <v>1729944069</v>
      </c>
      <c r="B16343" t="s">
        <v>2818</v>
      </c>
      <c r="C16343" t="s">
        <v>6466</v>
      </c>
      <c r="D16343" t="s">
        <v>55420</v>
      </c>
      <c r="F16343" t="s">
        <v>1</v>
      </c>
      <c r="G16343" t="s">
        <v>52955</v>
      </c>
      <c r="H16343" t="s">
        <v>53334</v>
      </c>
      <c r="J16343" t="s">
        <v>55421</v>
      </c>
      <c r="L16343" t="s">
        <v>54263</v>
      </c>
      <c r="M16343" t="s">
        <v>54264</v>
      </c>
      <c r="P16343" t="s">
        <v>55422</v>
      </c>
      <c r="Y16343" t="s">
        <v>55423</v>
      </c>
    </row>
    <row r="16344" spans="1:25" x14ac:dyDescent="0.25">
      <c r="A16344" t="str">
        <f>"1730963068"</f>
        <v>1730963068</v>
      </c>
      <c r="B16344" t="s">
        <v>574</v>
      </c>
      <c r="C16344" t="s">
        <v>646</v>
      </c>
      <c r="D16344" t="s">
        <v>55424</v>
      </c>
      <c r="E16344">
        <v>425009</v>
      </c>
      <c r="F16344" t="s">
        <v>1</v>
      </c>
      <c r="G16344" t="s">
        <v>52955</v>
      </c>
      <c r="H16344" t="s">
        <v>53696</v>
      </c>
      <c r="P16344" t="s">
        <v>1464</v>
      </c>
      <c r="Y16344" t="s">
        <v>55425</v>
      </c>
    </row>
    <row r="16345" spans="1:25" x14ac:dyDescent="0.25">
      <c r="A16345" t="str">
        <f>"1731878004"</f>
        <v>1731878004</v>
      </c>
      <c r="B16345" t="s">
        <v>888</v>
      </c>
      <c r="C16345" t="s">
        <v>888</v>
      </c>
      <c r="D16345" t="s">
        <v>55426</v>
      </c>
      <c r="E16345">
        <v>425000</v>
      </c>
      <c r="F16345" t="s">
        <v>1</v>
      </c>
      <c r="G16345" t="s">
        <v>52955</v>
      </c>
      <c r="H16345" t="s">
        <v>55427</v>
      </c>
      <c r="I16345" t="s">
        <v>55428</v>
      </c>
      <c r="J16345" t="s">
        <v>55429</v>
      </c>
      <c r="L16345" t="s">
        <v>55430</v>
      </c>
      <c r="M16345" t="s">
        <v>55431</v>
      </c>
      <c r="P16345" t="s">
        <v>330</v>
      </c>
      <c r="Q16345" t="s">
        <v>55432</v>
      </c>
      <c r="Y16345" t="s">
        <v>55433</v>
      </c>
    </row>
    <row r="16346" spans="1:25" x14ac:dyDescent="0.25">
      <c r="A16346" t="str">
        <f>"1732051291"</f>
        <v>1732051291</v>
      </c>
      <c r="B16346" t="s">
        <v>348</v>
      </c>
      <c r="C16346" t="s">
        <v>4366</v>
      </c>
      <c r="D16346" t="s">
        <v>22096</v>
      </c>
      <c r="E16346">
        <v>425009</v>
      </c>
      <c r="F16346" t="s">
        <v>1</v>
      </c>
      <c r="G16346" t="s">
        <v>52955</v>
      </c>
      <c r="H16346" t="s">
        <v>55434</v>
      </c>
      <c r="P16346" t="s">
        <v>133</v>
      </c>
      <c r="Y16346" t="s">
        <v>55435</v>
      </c>
    </row>
    <row r="16347" spans="1:25" x14ac:dyDescent="0.25">
      <c r="A16347" t="str">
        <f>"1732316462"</f>
        <v>1732316462</v>
      </c>
      <c r="B16347" t="s">
        <v>930</v>
      </c>
      <c r="C16347" t="s">
        <v>10263</v>
      </c>
      <c r="D16347" t="s">
        <v>4445</v>
      </c>
      <c r="E16347">
        <v>425009</v>
      </c>
      <c r="F16347" t="s">
        <v>1</v>
      </c>
      <c r="G16347" t="s">
        <v>52955</v>
      </c>
      <c r="H16347" t="s">
        <v>55436</v>
      </c>
      <c r="J16347" t="s">
        <v>55437</v>
      </c>
      <c r="P16347" t="s">
        <v>2457</v>
      </c>
      <c r="Q16347" t="s">
        <v>55438</v>
      </c>
      <c r="Y16347" t="s">
        <v>55439</v>
      </c>
    </row>
    <row r="16348" spans="1:25" x14ac:dyDescent="0.25">
      <c r="A16348" t="str">
        <f>"1732946702"</f>
        <v>1732946702</v>
      </c>
      <c r="B16348" t="s">
        <v>348</v>
      </c>
      <c r="C16348" t="s">
        <v>55445</v>
      </c>
      <c r="D16348" t="s">
        <v>55440</v>
      </c>
      <c r="E16348">
        <v>425001</v>
      </c>
      <c r="F16348" t="s">
        <v>1</v>
      </c>
      <c r="G16348" t="s">
        <v>52955</v>
      </c>
      <c r="H16348" t="s">
        <v>53185</v>
      </c>
      <c r="I16348" t="s">
        <v>55441</v>
      </c>
      <c r="J16348" t="s">
        <v>55442</v>
      </c>
      <c r="L16348" t="s">
        <v>55443</v>
      </c>
      <c r="M16348" t="s">
        <v>55444</v>
      </c>
      <c r="P16348" t="s">
        <v>280</v>
      </c>
      <c r="Y16348" t="s">
        <v>55446</v>
      </c>
    </row>
    <row r="16349" spans="1:25" x14ac:dyDescent="0.25">
      <c r="A16349" t="str">
        <f>"1733127101"</f>
        <v>1733127101</v>
      </c>
      <c r="B16349" t="s">
        <v>574</v>
      </c>
      <c r="C16349" t="s">
        <v>646</v>
      </c>
      <c r="D16349" t="s">
        <v>55447</v>
      </c>
      <c r="E16349">
        <v>425009</v>
      </c>
      <c r="F16349" t="s">
        <v>1</v>
      </c>
      <c r="G16349" t="s">
        <v>52955</v>
      </c>
      <c r="H16349" t="s">
        <v>54569</v>
      </c>
      <c r="Y16349" t="s">
        <v>55448</v>
      </c>
    </row>
    <row r="16350" spans="1:25" x14ac:dyDescent="0.25">
      <c r="A16350" t="str">
        <f>"1734625352"</f>
        <v>1734625352</v>
      </c>
      <c r="B16350" t="s">
        <v>88</v>
      </c>
      <c r="C16350" t="s">
        <v>6066</v>
      </c>
      <c r="D16350" t="s">
        <v>6066</v>
      </c>
      <c r="F16350" t="s">
        <v>1</v>
      </c>
      <c r="G16350" t="s">
        <v>52955</v>
      </c>
      <c r="H16350" t="s">
        <v>53261</v>
      </c>
      <c r="P16350" t="s">
        <v>2050</v>
      </c>
      <c r="Y16350" t="s">
        <v>55231</v>
      </c>
    </row>
    <row r="16351" spans="1:25" x14ac:dyDescent="0.25">
      <c r="A16351" t="str">
        <f>"1736281646"</f>
        <v>1736281646</v>
      </c>
      <c r="B16351" t="s">
        <v>2104</v>
      </c>
      <c r="C16351" t="s">
        <v>2105</v>
      </c>
      <c r="D16351" t="s">
        <v>25304</v>
      </c>
      <c r="E16351">
        <v>425011</v>
      </c>
      <c r="F16351" t="s">
        <v>1</v>
      </c>
      <c r="G16351" t="s">
        <v>52955</v>
      </c>
      <c r="H16351" t="s">
        <v>53507</v>
      </c>
      <c r="P16351" t="s">
        <v>55449</v>
      </c>
      <c r="Y16351" t="s">
        <v>55450</v>
      </c>
    </row>
    <row r="16352" spans="1:25" x14ac:dyDescent="0.25">
      <c r="A16352" t="str">
        <f>"1736326815"</f>
        <v>1736326815</v>
      </c>
      <c r="B16352" t="s">
        <v>574</v>
      </c>
      <c r="C16352" t="s">
        <v>9802</v>
      </c>
      <c r="D16352" t="s">
        <v>55451</v>
      </c>
      <c r="F16352" t="s">
        <v>1</v>
      </c>
      <c r="G16352" t="s">
        <v>52955</v>
      </c>
      <c r="H16352" t="s">
        <v>55385</v>
      </c>
      <c r="Y16352" t="s">
        <v>55386</v>
      </c>
    </row>
    <row r="16353" spans="1:25" x14ac:dyDescent="0.25">
      <c r="A16353" t="str">
        <f>"1736356735"</f>
        <v>1736356735</v>
      </c>
      <c r="B16353" t="s">
        <v>96</v>
      </c>
      <c r="C16353" t="s">
        <v>893</v>
      </c>
      <c r="D16353" t="s">
        <v>893</v>
      </c>
      <c r="F16353" t="s">
        <v>1</v>
      </c>
      <c r="G16353" t="s">
        <v>52955</v>
      </c>
      <c r="H16353" t="s">
        <v>53261</v>
      </c>
      <c r="P16353" t="s">
        <v>2050</v>
      </c>
      <c r="Y16353" t="s">
        <v>55231</v>
      </c>
    </row>
    <row r="16354" spans="1:25" x14ac:dyDescent="0.25">
      <c r="A16354" t="str">
        <f>"1736615910"</f>
        <v>1736615910</v>
      </c>
      <c r="B16354" t="s">
        <v>96</v>
      </c>
      <c r="C16354" t="s">
        <v>893</v>
      </c>
      <c r="D16354" t="s">
        <v>28838</v>
      </c>
      <c r="F16354" t="s">
        <v>1</v>
      </c>
      <c r="G16354" t="s">
        <v>52955</v>
      </c>
      <c r="H16354" t="s">
        <v>53072</v>
      </c>
      <c r="Y16354" t="s">
        <v>55452</v>
      </c>
    </row>
    <row r="16355" spans="1:25" x14ac:dyDescent="0.25">
      <c r="A16355" t="str">
        <f>"1736676504"</f>
        <v>1736676504</v>
      </c>
      <c r="B16355" t="s">
        <v>348</v>
      </c>
      <c r="C16355" t="s">
        <v>9150</v>
      </c>
      <c r="D16355" t="s">
        <v>55453</v>
      </c>
      <c r="E16355">
        <v>425000</v>
      </c>
      <c r="F16355" t="s">
        <v>1</v>
      </c>
      <c r="G16355" t="s">
        <v>52955</v>
      </c>
      <c r="H16355" t="s">
        <v>53689</v>
      </c>
      <c r="I16355" t="s">
        <v>55454</v>
      </c>
      <c r="J16355" t="s">
        <v>55455</v>
      </c>
      <c r="P16355" t="s">
        <v>280</v>
      </c>
      <c r="Y16355" t="s">
        <v>55456</v>
      </c>
    </row>
    <row r="16356" spans="1:25" x14ac:dyDescent="0.25">
      <c r="A16356" t="str">
        <f>"1737223877"</f>
        <v>1737223877</v>
      </c>
      <c r="B16356" t="s">
        <v>1573</v>
      </c>
      <c r="C16356" t="s">
        <v>31523</v>
      </c>
      <c r="D16356" t="s">
        <v>55457</v>
      </c>
      <c r="E16356">
        <v>425009</v>
      </c>
      <c r="F16356" t="s">
        <v>1</v>
      </c>
      <c r="G16356" t="s">
        <v>52955</v>
      </c>
      <c r="H16356" t="s">
        <v>55228</v>
      </c>
      <c r="P16356" t="s">
        <v>410</v>
      </c>
      <c r="Y16356" t="s">
        <v>55458</v>
      </c>
    </row>
    <row r="16357" spans="1:25" x14ac:dyDescent="0.25">
      <c r="A16357" t="str">
        <f>"1737699567"</f>
        <v>1737699567</v>
      </c>
      <c r="B16357" t="s">
        <v>1343</v>
      </c>
      <c r="C16357" t="s">
        <v>5984</v>
      </c>
      <c r="D16357" t="s">
        <v>19976</v>
      </c>
      <c r="E16357">
        <v>425009</v>
      </c>
      <c r="F16357" t="s">
        <v>1</v>
      </c>
      <c r="G16357" t="s">
        <v>52955</v>
      </c>
      <c r="H16357" t="s">
        <v>55390</v>
      </c>
      <c r="P16357" t="s">
        <v>410</v>
      </c>
      <c r="Y16357" t="s">
        <v>55459</v>
      </c>
    </row>
    <row r="16358" spans="1:25" x14ac:dyDescent="0.25">
      <c r="A16358" t="str">
        <f>"1739264239"</f>
        <v>1739264239</v>
      </c>
      <c r="B16358" t="s">
        <v>96</v>
      </c>
      <c r="C16358" t="s">
        <v>311</v>
      </c>
      <c r="D16358" t="s">
        <v>311</v>
      </c>
      <c r="E16358">
        <v>425000</v>
      </c>
      <c r="F16358" t="s">
        <v>1</v>
      </c>
      <c r="G16358" t="s">
        <v>52955</v>
      </c>
      <c r="H16358" t="s">
        <v>54206</v>
      </c>
      <c r="Y16358" t="s">
        <v>55209</v>
      </c>
    </row>
    <row r="16359" spans="1:25" x14ac:dyDescent="0.25">
      <c r="A16359" t="str">
        <f>"1740206743"</f>
        <v>1740206743</v>
      </c>
      <c r="B16359" t="s">
        <v>290</v>
      </c>
      <c r="C16359" t="s">
        <v>290</v>
      </c>
      <c r="D16359" t="s">
        <v>55460</v>
      </c>
      <c r="E16359">
        <v>425000</v>
      </c>
      <c r="F16359" t="s">
        <v>1</v>
      </c>
      <c r="G16359" t="s">
        <v>52955</v>
      </c>
      <c r="H16359" t="s">
        <v>55461</v>
      </c>
      <c r="P16359" t="s">
        <v>4006</v>
      </c>
      <c r="Y16359" t="s">
        <v>55462</v>
      </c>
    </row>
    <row r="16360" spans="1:25" x14ac:dyDescent="0.25">
      <c r="A16360" t="str">
        <f>"1740256489"</f>
        <v>1740256489</v>
      </c>
      <c r="B16360" t="s">
        <v>1152</v>
      </c>
      <c r="C16360" t="s">
        <v>55464</v>
      </c>
      <c r="D16360" t="s">
        <v>36367</v>
      </c>
      <c r="E16360">
        <v>425011</v>
      </c>
      <c r="F16360" t="s">
        <v>1</v>
      </c>
      <c r="G16360" t="s">
        <v>52955</v>
      </c>
      <c r="H16360" t="s">
        <v>53927</v>
      </c>
      <c r="I16360" t="s">
        <v>55463</v>
      </c>
      <c r="P16360" t="s">
        <v>260</v>
      </c>
      <c r="Y16360" t="s">
        <v>55465</v>
      </c>
    </row>
    <row r="16361" spans="1:25" x14ac:dyDescent="0.25">
      <c r="A16361" t="str">
        <f>"1740393728"</f>
        <v>1740393728</v>
      </c>
      <c r="B16361" t="s">
        <v>1573</v>
      </c>
      <c r="C16361" t="s">
        <v>3282</v>
      </c>
      <c r="D16361" t="s">
        <v>55466</v>
      </c>
      <c r="E16361">
        <v>425000</v>
      </c>
      <c r="F16361" t="s">
        <v>1</v>
      </c>
      <c r="G16361" t="s">
        <v>52955</v>
      </c>
      <c r="H16361" t="s">
        <v>55461</v>
      </c>
      <c r="P16361" t="s">
        <v>55394</v>
      </c>
      <c r="Y16361" t="s">
        <v>55467</v>
      </c>
    </row>
    <row r="16362" spans="1:25" x14ac:dyDescent="0.25">
      <c r="A16362" t="str">
        <f>"1740824577"</f>
        <v>1740824577</v>
      </c>
      <c r="B16362" t="s">
        <v>96</v>
      </c>
      <c r="C16362" t="s">
        <v>8479</v>
      </c>
      <c r="D16362" t="s">
        <v>8479</v>
      </c>
      <c r="E16362">
        <v>425008</v>
      </c>
      <c r="F16362" t="s">
        <v>1</v>
      </c>
      <c r="G16362" t="s">
        <v>52955</v>
      </c>
      <c r="H16362" t="s">
        <v>55156</v>
      </c>
      <c r="Y16362" t="s">
        <v>55157</v>
      </c>
    </row>
    <row r="16363" spans="1:25" x14ac:dyDescent="0.25">
      <c r="A16363" t="str">
        <f>"1741302347"</f>
        <v>1741302347</v>
      </c>
      <c r="B16363" t="s">
        <v>6478</v>
      </c>
      <c r="C16363" t="s">
        <v>9854</v>
      </c>
      <c r="D16363" t="s">
        <v>55468</v>
      </c>
      <c r="E16363">
        <v>425003</v>
      </c>
      <c r="F16363" t="s">
        <v>1</v>
      </c>
      <c r="G16363" t="s">
        <v>52955</v>
      </c>
      <c r="H16363" t="s">
        <v>54649</v>
      </c>
      <c r="I16363" t="s">
        <v>55469</v>
      </c>
      <c r="L16363" t="s">
        <v>54040</v>
      </c>
      <c r="M16363" t="s">
        <v>55470</v>
      </c>
      <c r="P16363" t="s">
        <v>280</v>
      </c>
      <c r="Y16363" t="s">
        <v>55471</v>
      </c>
    </row>
    <row r="16364" spans="1:25" x14ac:dyDescent="0.25">
      <c r="A16364" t="str">
        <f>"1742192254"</f>
        <v>1742192254</v>
      </c>
      <c r="B16364" t="s">
        <v>4084</v>
      </c>
      <c r="C16364" t="s">
        <v>4085</v>
      </c>
      <c r="D16364" t="s">
        <v>55472</v>
      </c>
      <c r="E16364">
        <v>425005</v>
      </c>
      <c r="F16364" t="s">
        <v>1</v>
      </c>
      <c r="G16364" t="s">
        <v>52955</v>
      </c>
      <c r="H16364" t="s">
        <v>55473</v>
      </c>
      <c r="L16364" t="s">
        <v>55474</v>
      </c>
      <c r="M16364" t="s">
        <v>55475</v>
      </c>
      <c r="Y16364" t="s">
        <v>55476</v>
      </c>
    </row>
    <row r="16365" spans="1:25" x14ac:dyDescent="0.25">
      <c r="A16365" t="str">
        <f>"1742668709"</f>
        <v>1742668709</v>
      </c>
      <c r="B16365" t="s">
        <v>32</v>
      </c>
      <c r="C16365" t="s">
        <v>40</v>
      </c>
      <c r="D16365" t="s">
        <v>44003</v>
      </c>
      <c r="E16365">
        <v>425011</v>
      </c>
      <c r="F16365" t="s">
        <v>1</v>
      </c>
      <c r="G16365" t="s">
        <v>52955</v>
      </c>
      <c r="H16365" t="s">
        <v>55477</v>
      </c>
      <c r="P16365" t="s">
        <v>2050</v>
      </c>
      <c r="Y16365" t="s">
        <v>55478</v>
      </c>
    </row>
    <row r="16366" spans="1:25" x14ac:dyDescent="0.25">
      <c r="A16366" t="str">
        <f>"1743580676"</f>
        <v>1743580676</v>
      </c>
      <c r="B16366" t="s">
        <v>574</v>
      </c>
      <c r="C16366" t="s">
        <v>646</v>
      </c>
      <c r="D16366" t="s">
        <v>55479</v>
      </c>
      <c r="F16366" t="s">
        <v>1</v>
      </c>
      <c r="G16366" t="s">
        <v>52955</v>
      </c>
      <c r="H16366" t="s">
        <v>53404</v>
      </c>
      <c r="Y16366" t="s">
        <v>55480</v>
      </c>
    </row>
    <row r="16367" spans="1:25" x14ac:dyDescent="0.25">
      <c r="A16367" t="str">
        <f>"1744113739"</f>
        <v>1744113739</v>
      </c>
      <c r="B16367" t="s">
        <v>319</v>
      </c>
      <c r="C16367" t="s">
        <v>320</v>
      </c>
      <c r="D16367" t="s">
        <v>314</v>
      </c>
      <c r="E16367">
        <v>425000</v>
      </c>
      <c r="F16367" t="s">
        <v>1</v>
      </c>
      <c r="G16367" t="s">
        <v>52955</v>
      </c>
      <c r="H16367" t="s">
        <v>53202</v>
      </c>
      <c r="I16367" t="s">
        <v>55481</v>
      </c>
      <c r="L16367" t="s">
        <v>2559</v>
      </c>
      <c r="M16367" t="s">
        <v>55482</v>
      </c>
      <c r="P16367" t="s">
        <v>55483</v>
      </c>
      <c r="Y16367" t="s">
        <v>55484</v>
      </c>
    </row>
    <row r="16368" spans="1:25" x14ac:dyDescent="0.25">
      <c r="A16368" t="str">
        <f>"1744319790"</f>
        <v>1744319790</v>
      </c>
      <c r="B16368" t="s">
        <v>1268</v>
      </c>
      <c r="C16368" t="s">
        <v>1269</v>
      </c>
      <c r="D16368" t="s">
        <v>1269</v>
      </c>
      <c r="E16368">
        <v>425000</v>
      </c>
      <c r="F16368" t="s">
        <v>1</v>
      </c>
      <c r="G16368" t="s">
        <v>52955</v>
      </c>
      <c r="H16368" t="s">
        <v>52998</v>
      </c>
      <c r="Y16368" t="s">
        <v>55485</v>
      </c>
    </row>
    <row r="16369" spans="1:25" x14ac:dyDescent="0.25">
      <c r="A16369" t="str">
        <f>"1744569941"</f>
        <v>1744569941</v>
      </c>
      <c r="B16369" t="s">
        <v>930</v>
      </c>
      <c r="C16369" t="s">
        <v>927</v>
      </c>
      <c r="D16369" t="s">
        <v>927</v>
      </c>
      <c r="E16369">
        <v>425005</v>
      </c>
      <c r="F16369" t="s">
        <v>1</v>
      </c>
      <c r="G16369" t="s">
        <v>52955</v>
      </c>
      <c r="H16369" t="s">
        <v>53966</v>
      </c>
      <c r="J16369" t="s">
        <v>55486</v>
      </c>
      <c r="P16369" t="s">
        <v>799</v>
      </c>
      <c r="Y16369" t="s">
        <v>55487</v>
      </c>
    </row>
    <row r="16370" spans="1:25" x14ac:dyDescent="0.25">
      <c r="A16370" t="str">
        <f>"1744741555"</f>
        <v>1744741555</v>
      </c>
      <c r="B16370" t="s">
        <v>160</v>
      </c>
      <c r="C16370" t="s">
        <v>9032</v>
      </c>
      <c r="D16370" t="s">
        <v>9028</v>
      </c>
      <c r="E16370">
        <v>425000</v>
      </c>
      <c r="F16370" t="s">
        <v>1</v>
      </c>
      <c r="G16370" t="s">
        <v>52955</v>
      </c>
      <c r="H16370" t="s">
        <v>55488</v>
      </c>
      <c r="I16370" t="s">
        <v>55489</v>
      </c>
      <c r="P16370" t="s">
        <v>20</v>
      </c>
      <c r="Y16370" t="s">
        <v>55490</v>
      </c>
    </row>
    <row r="16371" spans="1:25" x14ac:dyDescent="0.25">
      <c r="A16371" t="str">
        <f>"1744917071"</f>
        <v>1744917071</v>
      </c>
      <c r="B16371" t="s">
        <v>25</v>
      </c>
      <c r="C16371" t="s">
        <v>59</v>
      </c>
      <c r="D16371" t="s">
        <v>55491</v>
      </c>
      <c r="F16371" t="s">
        <v>1</v>
      </c>
      <c r="G16371" t="s">
        <v>52955</v>
      </c>
      <c r="H16371" t="s">
        <v>53404</v>
      </c>
      <c r="J16371" t="s">
        <v>55492</v>
      </c>
      <c r="P16371" t="s">
        <v>152</v>
      </c>
      <c r="Y16371" t="s">
        <v>53547</v>
      </c>
    </row>
    <row r="16372" spans="1:25" x14ac:dyDescent="0.25">
      <c r="A16372" t="str">
        <f>"1745893119"</f>
        <v>1745893119</v>
      </c>
      <c r="B16372" t="s">
        <v>1617</v>
      </c>
      <c r="C16372" t="s">
        <v>21001</v>
      </c>
      <c r="D16372" t="s">
        <v>21001</v>
      </c>
      <c r="F16372" t="s">
        <v>1</v>
      </c>
      <c r="G16372" t="s">
        <v>52955</v>
      </c>
      <c r="H16372" t="s">
        <v>53198</v>
      </c>
      <c r="P16372" t="s">
        <v>799</v>
      </c>
      <c r="Y16372" t="s">
        <v>55404</v>
      </c>
    </row>
    <row r="16373" spans="1:25" x14ac:dyDescent="0.25">
      <c r="A16373" t="str">
        <f>"1746098033"</f>
        <v>1746098033</v>
      </c>
      <c r="B16373" t="s">
        <v>417</v>
      </c>
      <c r="C16373" t="s">
        <v>418</v>
      </c>
      <c r="D16373" t="s">
        <v>55493</v>
      </c>
      <c r="E16373">
        <v>425008</v>
      </c>
      <c r="F16373" t="s">
        <v>1</v>
      </c>
      <c r="G16373" t="s">
        <v>52955</v>
      </c>
      <c r="H16373" t="s">
        <v>53554</v>
      </c>
      <c r="J16373" t="s">
        <v>55494</v>
      </c>
      <c r="P16373" t="s">
        <v>410</v>
      </c>
      <c r="Y16373" t="s">
        <v>55495</v>
      </c>
    </row>
    <row r="16374" spans="1:25" x14ac:dyDescent="0.25">
      <c r="A16374" t="str">
        <f>"1746690800"</f>
        <v>1746690800</v>
      </c>
      <c r="B16374" t="s">
        <v>930</v>
      </c>
      <c r="C16374" t="s">
        <v>55497</v>
      </c>
      <c r="D16374" t="s">
        <v>35267</v>
      </c>
      <c r="E16374">
        <v>425000</v>
      </c>
      <c r="F16374" t="s">
        <v>1</v>
      </c>
      <c r="G16374" t="s">
        <v>52955</v>
      </c>
      <c r="H16374" t="s">
        <v>53413</v>
      </c>
      <c r="J16374" t="s">
        <v>55496</v>
      </c>
      <c r="P16374" t="s">
        <v>216</v>
      </c>
      <c r="Y16374" t="s">
        <v>55498</v>
      </c>
    </row>
    <row r="16375" spans="1:25" x14ac:dyDescent="0.25">
      <c r="A16375" t="str">
        <f>"1746846934"</f>
        <v>1746846934</v>
      </c>
      <c r="B16375" t="s">
        <v>348</v>
      </c>
      <c r="C16375" t="s">
        <v>21775</v>
      </c>
      <c r="D16375" t="s">
        <v>21775</v>
      </c>
      <c r="E16375">
        <v>425008</v>
      </c>
      <c r="F16375" t="s">
        <v>1</v>
      </c>
      <c r="G16375" t="s">
        <v>52955</v>
      </c>
      <c r="H16375" t="s">
        <v>55499</v>
      </c>
      <c r="I16375" t="s">
        <v>55500</v>
      </c>
      <c r="P16375" t="s">
        <v>52990</v>
      </c>
      <c r="Y16375" t="s">
        <v>55501</v>
      </c>
    </row>
    <row r="16376" spans="1:25" x14ac:dyDescent="0.25">
      <c r="A16376" t="str">
        <f>"1747178228"</f>
        <v>1747178228</v>
      </c>
      <c r="B16376" t="s">
        <v>3652</v>
      </c>
      <c r="C16376" t="s">
        <v>3685</v>
      </c>
      <c r="D16376" t="s">
        <v>55502</v>
      </c>
      <c r="E16376">
        <v>425000</v>
      </c>
      <c r="F16376" t="s">
        <v>1</v>
      </c>
      <c r="G16376" t="s">
        <v>52955</v>
      </c>
      <c r="H16376" t="s">
        <v>53093</v>
      </c>
      <c r="I16376" t="s">
        <v>55503</v>
      </c>
      <c r="M16376" t="s">
        <v>55504</v>
      </c>
      <c r="P16376" t="s">
        <v>584</v>
      </c>
      <c r="Y16376" t="s">
        <v>53099</v>
      </c>
    </row>
    <row r="16377" spans="1:25" x14ac:dyDescent="0.25">
      <c r="A16377" t="str">
        <f>"1747368034"</f>
        <v>1747368034</v>
      </c>
      <c r="B16377" t="s">
        <v>25</v>
      </c>
      <c r="C16377" t="s">
        <v>15801</v>
      </c>
      <c r="D16377" t="s">
        <v>55505</v>
      </c>
      <c r="E16377">
        <v>425000</v>
      </c>
      <c r="F16377" t="s">
        <v>1</v>
      </c>
      <c r="G16377" t="s">
        <v>52955</v>
      </c>
      <c r="H16377" t="s">
        <v>53639</v>
      </c>
      <c r="I16377" t="s">
        <v>55506</v>
      </c>
      <c r="P16377" t="s">
        <v>869</v>
      </c>
      <c r="Y16377" t="s">
        <v>53642</v>
      </c>
    </row>
    <row r="16378" spans="1:25" x14ac:dyDescent="0.25">
      <c r="A16378" t="str">
        <f>"1747939047"</f>
        <v>1747939047</v>
      </c>
      <c r="B16378" t="s">
        <v>18</v>
      </c>
      <c r="C16378" t="s">
        <v>55511</v>
      </c>
      <c r="D16378" t="s">
        <v>55507</v>
      </c>
      <c r="F16378" t="s">
        <v>1</v>
      </c>
      <c r="G16378" t="s">
        <v>52955</v>
      </c>
      <c r="H16378" t="s">
        <v>53644</v>
      </c>
      <c r="J16378" t="s">
        <v>55508</v>
      </c>
      <c r="L16378" t="s">
        <v>55509</v>
      </c>
      <c r="M16378" t="s">
        <v>55510</v>
      </c>
      <c r="P16378" t="s">
        <v>55512</v>
      </c>
      <c r="Y16378" t="s">
        <v>54299</v>
      </c>
    </row>
    <row r="16379" spans="1:25" x14ac:dyDescent="0.25">
      <c r="A16379" t="str">
        <f>"1748116587"</f>
        <v>1748116587</v>
      </c>
      <c r="B16379" t="s">
        <v>430</v>
      </c>
      <c r="C16379" t="s">
        <v>50834</v>
      </c>
      <c r="D16379" t="s">
        <v>55513</v>
      </c>
      <c r="F16379" t="s">
        <v>1</v>
      </c>
      <c r="G16379" t="s">
        <v>52955</v>
      </c>
      <c r="H16379" t="s">
        <v>55514</v>
      </c>
      <c r="I16379" t="s">
        <v>54640</v>
      </c>
      <c r="J16379" t="s">
        <v>55515</v>
      </c>
      <c r="P16379" t="s">
        <v>2050</v>
      </c>
      <c r="Y16379" t="s">
        <v>55516</v>
      </c>
    </row>
    <row r="16380" spans="1:25" x14ac:dyDescent="0.25">
      <c r="A16380" t="str">
        <f>"1748579880"</f>
        <v>1748579880</v>
      </c>
      <c r="B16380" t="s">
        <v>96</v>
      </c>
      <c r="C16380" t="s">
        <v>507</v>
      </c>
      <c r="D16380" t="s">
        <v>55517</v>
      </c>
      <c r="F16380" t="s">
        <v>1</v>
      </c>
      <c r="G16380" t="s">
        <v>52955</v>
      </c>
      <c r="H16380" t="s">
        <v>54185</v>
      </c>
      <c r="P16380" t="s">
        <v>2050</v>
      </c>
      <c r="Y16380" t="s">
        <v>55214</v>
      </c>
    </row>
    <row r="16381" spans="1:25" x14ac:dyDescent="0.25">
      <c r="A16381" t="str">
        <f>"1748921144"</f>
        <v>1748921144</v>
      </c>
      <c r="B16381" t="s">
        <v>18</v>
      </c>
      <c r="C16381" t="s">
        <v>12289</v>
      </c>
      <c r="D16381" t="s">
        <v>52193</v>
      </c>
      <c r="F16381" t="s">
        <v>1</v>
      </c>
      <c r="G16381" t="s">
        <v>52955</v>
      </c>
      <c r="H16381" t="s">
        <v>55518</v>
      </c>
      <c r="Y16381" t="s">
        <v>55519</v>
      </c>
    </row>
    <row r="16382" spans="1:25" x14ac:dyDescent="0.25">
      <c r="A16382" t="str">
        <f>"1749020183"</f>
        <v>1749020183</v>
      </c>
      <c r="B16382" t="s">
        <v>96</v>
      </c>
      <c r="C16382" t="s">
        <v>3621</v>
      </c>
      <c r="D16382" t="s">
        <v>26416</v>
      </c>
      <c r="F16382" t="s">
        <v>1</v>
      </c>
      <c r="G16382" t="s">
        <v>52955</v>
      </c>
      <c r="H16382" t="s">
        <v>55520</v>
      </c>
      <c r="P16382" t="s">
        <v>1027</v>
      </c>
      <c r="Y16382" t="s">
        <v>55521</v>
      </c>
    </row>
    <row r="16383" spans="1:25" x14ac:dyDescent="0.25">
      <c r="A16383" t="str">
        <f>"1750003958"</f>
        <v>1750003958</v>
      </c>
      <c r="B16383" t="s">
        <v>80</v>
      </c>
      <c r="C16383" t="s">
        <v>10516</v>
      </c>
      <c r="D16383" t="s">
        <v>55522</v>
      </c>
      <c r="E16383">
        <v>425011</v>
      </c>
      <c r="F16383" t="s">
        <v>1</v>
      </c>
      <c r="G16383" t="s">
        <v>52955</v>
      </c>
      <c r="H16383" t="s">
        <v>53927</v>
      </c>
      <c r="Y16383" t="s">
        <v>55523</v>
      </c>
    </row>
    <row r="16384" spans="1:25" x14ac:dyDescent="0.25">
      <c r="A16384" t="str">
        <f>"1750152833"</f>
        <v>1750152833</v>
      </c>
      <c r="B16384" t="s">
        <v>1078</v>
      </c>
      <c r="C16384" t="s">
        <v>25481</v>
      </c>
      <c r="D16384" t="s">
        <v>7229</v>
      </c>
      <c r="F16384" t="s">
        <v>1</v>
      </c>
      <c r="G16384" t="s">
        <v>52955</v>
      </c>
      <c r="H16384" t="s">
        <v>54185</v>
      </c>
      <c r="P16384" t="s">
        <v>362</v>
      </c>
      <c r="Y16384" t="s">
        <v>55214</v>
      </c>
    </row>
    <row r="16385" spans="1:25" x14ac:dyDescent="0.25">
      <c r="A16385" t="str">
        <f>"1750487950"</f>
        <v>1750487950</v>
      </c>
      <c r="B16385" t="s">
        <v>96</v>
      </c>
      <c r="C16385" t="s">
        <v>7071</v>
      </c>
      <c r="D16385" t="s">
        <v>55524</v>
      </c>
      <c r="E16385">
        <v>425011</v>
      </c>
      <c r="F16385" t="s">
        <v>1</v>
      </c>
      <c r="G16385" t="s">
        <v>52955</v>
      </c>
      <c r="H16385" t="s">
        <v>55477</v>
      </c>
      <c r="P16385" t="s">
        <v>55525</v>
      </c>
      <c r="Y16385" t="s">
        <v>55526</v>
      </c>
    </row>
    <row r="16386" spans="1:25" x14ac:dyDescent="0.25">
      <c r="A16386" t="str">
        <f>"1751463105"</f>
        <v>1751463105</v>
      </c>
      <c r="B16386" t="s">
        <v>1573</v>
      </c>
      <c r="C16386" t="s">
        <v>1817</v>
      </c>
      <c r="D16386" t="s">
        <v>12664</v>
      </c>
      <c r="E16386">
        <v>425005</v>
      </c>
      <c r="F16386" t="s">
        <v>1</v>
      </c>
      <c r="G16386" t="s">
        <v>52955</v>
      </c>
      <c r="H16386" t="s">
        <v>55473</v>
      </c>
      <c r="P16386" t="s">
        <v>696</v>
      </c>
      <c r="Y16386" t="s">
        <v>55527</v>
      </c>
    </row>
    <row r="16387" spans="1:25" x14ac:dyDescent="0.25">
      <c r="A16387" t="str">
        <f>"1751754607"</f>
        <v>1751754607</v>
      </c>
      <c r="B16387" t="s">
        <v>738</v>
      </c>
      <c r="C16387" t="s">
        <v>55531</v>
      </c>
      <c r="D16387" t="s">
        <v>55528</v>
      </c>
      <c r="E16387">
        <v>425000</v>
      </c>
      <c r="F16387" t="s">
        <v>1</v>
      </c>
      <c r="G16387" t="s">
        <v>52955</v>
      </c>
      <c r="H16387" t="s">
        <v>55529</v>
      </c>
      <c r="I16387" t="s">
        <v>54912</v>
      </c>
      <c r="J16387" t="s">
        <v>55530</v>
      </c>
      <c r="P16387" t="s">
        <v>3393</v>
      </c>
      <c r="Y16387" t="s">
        <v>55532</v>
      </c>
    </row>
    <row r="16388" spans="1:25" x14ac:dyDescent="0.25">
      <c r="A16388" t="str">
        <f>"1751952141"</f>
        <v>1751952141</v>
      </c>
      <c r="B16388" t="s">
        <v>96</v>
      </c>
      <c r="C16388" t="s">
        <v>7071</v>
      </c>
      <c r="D16388" t="s">
        <v>22096</v>
      </c>
      <c r="E16388">
        <v>425011</v>
      </c>
      <c r="F16388" t="s">
        <v>1</v>
      </c>
      <c r="G16388" t="s">
        <v>52955</v>
      </c>
      <c r="H16388" t="s">
        <v>53507</v>
      </c>
      <c r="P16388" t="s">
        <v>133</v>
      </c>
      <c r="Y16388" t="s">
        <v>55533</v>
      </c>
    </row>
    <row r="16389" spans="1:25" x14ac:dyDescent="0.25">
      <c r="A16389" t="str">
        <f>"1752227456"</f>
        <v>1752227456</v>
      </c>
      <c r="B16389" t="s">
        <v>574</v>
      </c>
      <c r="C16389" t="s">
        <v>10644</v>
      </c>
      <c r="D16389" t="s">
        <v>55534</v>
      </c>
      <c r="F16389" t="s">
        <v>1</v>
      </c>
      <c r="G16389" t="s">
        <v>52955</v>
      </c>
      <c r="H16389" t="s">
        <v>55535</v>
      </c>
      <c r="P16389" t="s">
        <v>330</v>
      </c>
      <c r="Y16389" t="s">
        <v>55536</v>
      </c>
    </row>
    <row r="16390" spans="1:25" x14ac:dyDescent="0.25">
      <c r="A16390" t="str">
        <f>"1753284008"</f>
        <v>1753284008</v>
      </c>
      <c r="B16390" t="s">
        <v>1493</v>
      </c>
      <c r="C16390" t="s">
        <v>2355</v>
      </c>
      <c r="D16390" t="s">
        <v>55537</v>
      </c>
      <c r="E16390">
        <v>425000</v>
      </c>
      <c r="F16390" t="s">
        <v>1</v>
      </c>
      <c r="G16390" t="s">
        <v>52955</v>
      </c>
      <c r="H16390" t="s">
        <v>53460</v>
      </c>
      <c r="J16390" t="s">
        <v>55538</v>
      </c>
      <c r="P16390" t="s">
        <v>280</v>
      </c>
      <c r="Y16390" t="s">
        <v>53463</v>
      </c>
    </row>
    <row r="16391" spans="1:25" x14ac:dyDescent="0.25">
      <c r="A16391" t="str">
        <f>"1753883076"</f>
        <v>1753883076</v>
      </c>
      <c r="B16391" t="s">
        <v>1262</v>
      </c>
      <c r="C16391" t="s">
        <v>1263</v>
      </c>
      <c r="D16391" t="s">
        <v>55539</v>
      </c>
      <c r="E16391">
        <v>425000</v>
      </c>
      <c r="F16391" t="s">
        <v>1</v>
      </c>
      <c r="G16391" t="s">
        <v>52955</v>
      </c>
      <c r="H16391" t="s">
        <v>54821</v>
      </c>
      <c r="I16391" t="s">
        <v>55540</v>
      </c>
      <c r="J16391" t="s">
        <v>55541</v>
      </c>
      <c r="L16391" t="s">
        <v>55542</v>
      </c>
      <c r="M16391" t="s">
        <v>55543</v>
      </c>
      <c r="P16391" t="s">
        <v>280</v>
      </c>
      <c r="Y16391" t="s">
        <v>55544</v>
      </c>
    </row>
    <row r="16392" spans="1:25" x14ac:dyDescent="0.25">
      <c r="A16392" t="str">
        <f>"1754805630"</f>
        <v>1754805630</v>
      </c>
      <c r="B16392" t="s">
        <v>32</v>
      </c>
      <c r="C16392" t="s">
        <v>40</v>
      </c>
      <c r="D16392" t="s">
        <v>18885</v>
      </c>
      <c r="E16392">
        <v>425011</v>
      </c>
      <c r="F16392" t="s">
        <v>1</v>
      </c>
      <c r="G16392" t="s">
        <v>52955</v>
      </c>
      <c r="H16392" t="s">
        <v>55545</v>
      </c>
      <c r="Y16392" t="s">
        <v>55546</v>
      </c>
    </row>
    <row r="16393" spans="1:25" x14ac:dyDescent="0.25">
      <c r="A16393" t="str">
        <f>"1755381464"</f>
        <v>1755381464</v>
      </c>
      <c r="B16393" t="s">
        <v>574</v>
      </c>
      <c r="C16393" t="s">
        <v>14603</v>
      </c>
      <c r="D16393" t="s">
        <v>55114</v>
      </c>
      <c r="E16393">
        <v>425008</v>
      </c>
      <c r="F16393" t="s">
        <v>1</v>
      </c>
      <c r="G16393" t="s">
        <v>52955</v>
      </c>
      <c r="H16393" t="s">
        <v>54382</v>
      </c>
      <c r="J16393" t="s">
        <v>55372</v>
      </c>
      <c r="L16393" t="s">
        <v>16920</v>
      </c>
      <c r="M16393" t="s">
        <v>55547</v>
      </c>
      <c r="P16393" t="s">
        <v>1642</v>
      </c>
      <c r="Q16393" t="s">
        <v>55548</v>
      </c>
      <c r="Y16393" t="s">
        <v>55549</v>
      </c>
    </row>
    <row r="16394" spans="1:25" x14ac:dyDescent="0.25">
      <c r="A16394" t="str">
        <f>"1756428039"</f>
        <v>1756428039</v>
      </c>
      <c r="B16394" t="s">
        <v>1352</v>
      </c>
      <c r="C16394" t="s">
        <v>1353</v>
      </c>
      <c r="D16394" t="s">
        <v>55550</v>
      </c>
      <c r="E16394">
        <v>425000</v>
      </c>
      <c r="F16394" t="s">
        <v>1</v>
      </c>
      <c r="G16394" t="s">
        <v>52955</v>
      </c>
      <c r="H16394" t="s">
        <v>55257</v>
      </c>
      <c r="P16394" t="s">
        <v>55551</v>
      </c>
      <c r="Y16394" t="s">
        <v>55258</v>
      </c>
    </row>
    <row r="16395" spans="1:25" x14ac:dyDescent="0.25">
      <c r="A16395" t="str">
        <f>"1756463430"</f>
        <v>1756463430</v>
      </c>
      <c r="B16395" t="s">
        <v>96</v>
      </c>
      <c r="C16395" t="s">
        <v>5155</v>
      </c>
      <c r="D16395" t="s">
        <v>55552</v>
      </c>
      <c r="F16395" t="s">
        <v>1</v>
      </c>
      <c r="G16395" t="s">
        <v>52955</v>
      </c>
      <c r="H16395" t="s">
        <v>53072</v>
      </c>
      <c r="P16395" t="s">
        <v>19360</v>
      </c>
      <c r="Y16395" t="s">
        <v>55314</v>
      </c>
    </row>
    <row r="16396" spans="1:25" x14ac:dyDescent="0.25">
      <c r="A16396" t="str">
        <f>"1756661935"</f>
        <v>1756661935</v>
      </c>
      <c r="B16396" t="s">
        <v>1475</v>
      </c>
      <c r="C16396" t="s">
        <v>21539</v>
      </c>
      <c r="D16396" t="s">
        <v>32349</v>
      </c>
      <c r="E16396">
        <v>425000</v>
      </c>
      <c r="F16396" t="s">
        <v>1</v>
      </c>
      <c r="G16396" t="s">
        <v>52955</v>
      </c>
      <c r="H16396" t="s">
        <v>54369</v>
      </c>
      <c r="P16396" t="s">
        <v>799</v>
      </c>
      <c r="Y16396" t="s">
        <v>55553</v>
      </c>
    </row>
    <row r="16397" spans="1:25" x14ac:dyDescent="0.25">
      <c r="A16397" t="str">
        <f>"1757424632"</f>
        <v>1757424632</v>
      </c>
      <c r="B16397" t="s">
        <v>1182</v>
      </c>
      <c r="C16397" t="s">
        <v>33074</v>
      </c>
      <c r="D16397" t="s">
        <v>55554</v>
      </c>
      <c r="E16397">
        <v>425000</v>
      </c>
      <c r="F16397" t="s">
        <v>1</v>
      </c>
      <c r="G16397" t="s">
        <v>52955</v>
      </c>
      <c r="H16397" t="s">
        <v>53132</v>
      </c>
      <c r="J16397" t="s">
        <v>55555</v>
      </c>
      <c r="L16397" t="s">
        <v>55556</v>
      </c>
      <c r="M16397" t="s">
        <v>55557</v>
      </c>
      <c r="P16397" t="s">
        <v>280</v>
      </c>
      <c r="Y16397" t="s">
        <v>55400</v>
      </c>
    </row>
    <row r="16398" spans="1:25" x14ac:dyDescent="0.25">
      <c r="A16398" t="str">
        <f>"1758430665"</f>
        <v>1758430665</v>
      </c>
      <c r="B16398" t="s">
        <v>1152</v>
      </c>
      <c r="C16398" t="s">
        <v>1385</v>
      </c>
      <c r="D16398" t="s">
        <v>28279</v>
      </c>
      <c r="E16398">
        <v>425000</v>
      </c>
      <c r="F16398" t="s">
        <v>1</v>
      </c>
      <c r="G16398" t="s">
        <v>52955</v>
      </c>
      <c r="H16398" t="s">
        <v>54206</v>
      </c>
      <c r="Y16398" t="s">
        <v>55558</v>
      </c>
    </row>
    <row r="16399" spans="1:25" x14ac:dyDescent="0.25">
      <c r="A16399" t="str">
        <f>"1758753590"</f>
        <v>1758753590</v>
      </c>
      <c r="B16399" t="s">
        <v>96</v>
      </c>
      <c r="C16399" t="s">
        <v>893</v>
      </c>
      <c r="D16399" t="s">
        <v>55559</v>
      </c>
      <c r="F16399" t="s">
        <v>1</v>
      </c>
      <c r="G16399" t="s">
        <v>52955</v>
      </c>
      <c r="H16399" t="s">
        <v>54923</v>
      </c>
      <c r="P16399" t="s">
        <v>362</v>
      </c>
      <c r="Y16399" t="s">
        <v>55560</v>
      </c>
    </row>
    <row r="16400" spans="1:25" x14ac:dyDescent="0.25">
      <c r="A16400" t="str">
        <f>"1759425841"</f>
        <v>1759425841</v>
      </c>
      <c r="B16400" t="s">
        <v>1343</v>
      </c>
      <c r="C16400" t="s">
        <v>1344</v>
      </c>
      <c r="D16400" t="s">
        <v>1344</v>
      </c>
      <c r="E16400">
        <v>425000</v>
      </c>
      <c r="F16400" t="s">
        <v>1</v>
      </c>
      <c r="G16400" t="s">
        <v>52955</v>
      </c>
      <c r="H16400" t="s">
        <v>55115</v>
      </c>
      <c r="Y16400" t="s">
        <v>55561</v>
      </c>
    </row>
    <row r="16401" spans="1:25" x14ac:dyDescent="0.25">
      <c r="A16401" t="str">
        <f>"1759633271"</f>
        <v>1759633271</v>
      </c>
      <c r="B16401" t="s">
        <v>1573</v>
      </c>
      <c r="C16401" t="s">
        <v>1817</v>
      </c>
      <c r="D16401" t="s">
        <v>44251</v>
      </c>
      <c r="F16401" t="s">
        <v>1</v>
      </c>
      <c r="G16401" t="s">
        <v>52955</v>
      </c>
      <c r="H16401" t="s">
        <v>53404</v>
      </c>
      <c r="P16401" t="s">
        <v>216</v>
      </c>
      <c r="Y16401" t="s">
        <v>55562</v>
      </c>
    </row>
    <row r="16402" spans="1:25" x14ac:dyDescent="0.25">
      <c r="A16402" t="str">
        <f>"1760009159"</f>
        <v>1760009159</v>
      </c>
      <c r="B16402" t="s">
        <v>290</v>
      </c>
      <c r="C16402" t="s">
        <v>290</v>
      </c>
      <c r="D16402" t="s">
        <v>22369</v>
      </c>
      <c r="F16402" t="s">
        <v>1</v>
      </c>
      <c r="G16402" t="s">
        <v>52955</v>
      </c>
      <c r="H16402" t="s">
        <v>52989</v>
      </c>
      <c r="Y16402" t="s">
        <v>55563</v>
      </c>
    </row>
    <row r="16403" spans="1:25" x14ac:dyDescent="0.25">
      <c r="A16403" t="str">
        <f>"1760262403"</f>
        <v>1760262403</v>
      </c>
      <c r="B16403" t="s">
        <v>797</v>
      </c>
      <c r="C16403" t="s">
        <v>5123</v>
      </c>
      <c r="D16403" t="s">
        <v>797</v>
      </c>
      <c r="F16403" t="s">
        <v>1</v>
      </c>
      <c r="G16403" t="s">
        <v>52955</v>
      </c>
      <c r="H16403" t="s">
        <v>55362</v>
      </c>
      <c r="P16403" t="s">
        <v>799</v>
      </c>
      <c r="Y16403" t="s">
        <v>55564</v>
      </c>
    </row>
    <row r="16404" spans="1:25" x14ac:dyDescent="0.25">
      <c r="A16404" t="str">
        <f>"1761060547"</f>
        <v>1761060547</v>
      </c>
      <c r="B16404" t="s">
        <v>591</v>
      </c>
      <c r="C16404" t="s">
        <v>1904</v>
      </c>
      <c r="D16404" t="s">
        <v>1904</v>
      </c>
      <c r="E16404">
        <v>425000</v>
      </c>
      <c r="F16404" t="s">
        <v>1</v>
      </c>
      <c r="G16404" t="s">
        <v>52955</v>
      </c>
      <c r="H16404" t="s">
        <v>53719</v>
      </c>
      <c r="Y16404" t="s">
        <v>55175</v>
      </c>
    </row>
    <row r="16405" spans="1:25" x14ac:dyDescent="0.25">
      <c r="A16405" t="str">
        <f>"1761960320"</f>
        <v>1761960320</v>
      </c>
      <c r="B16405" t="s">
        <v>32</v>
      </c>
      <c r="C16405" t="s">
        <v>55567</v>
      </c>
      <c r="D16405" t="s">
        <v>40876</v>
      </c>
      <c r="E16405">
        <v>425011</v>
      </c>
      <c r="F16405" t="s">
        <v>1</v>
      </c>
      <c r="G16405" t="s">
        <v>52955</v>
      </c>
      <c r="H16405" t="s">
        <v>55565</v>
      </c>
      <c r="J16405" t="s">
        <v>55566</v>
      </c>
      <c r="Y16405" t="s">
        <v>55568</v>
      </c>
    </row>
    <row r="16406" spans="1:25" x14ac:dyDescent="0.25">
      <c r="A16406" t="str">
        <f>"1762651365"</f>
        <v>1762651365</v>
      </c>
      <c r="B16406" t="s">
        <v>1544</v>
      </c>
      <c r="C16406" t="s">
        <v>15598</v>
      </c>
      <c r="D16406" t="s">
        <v>55569</v>
      </c>
      <c r="F16406" t="s">
        <v>1</v>
      </c>
      <c r="G16406" t="s">
        <v>52955</v>
      </c>
      <c r="H16406" t="s">
        <v>55570</v>
      </c>
      <c r="Y16406" t="s">
        <v>55571</v>
      </c>
    </row>
    <row r="16407" spans="1:25" x14ac:dyDescent="0.25">
      <c r="A16407" t="str">
        <f>"1763094522"</f>
        <v>1763094522</v>
      </c>
      <c r="B16407" t="s">
        <v>32</v>
      </c>
      <c r="C16407" t="s">
        <v>40</v>
      </c>
      <c r="D16407" t="s">
        <v>55572</v>
      </c>
      <c r="E16407">
        <v>425011</v>
      </c>
      <c r="F16407" t="s">
        <v>1</v>
      </c>
      <c r="G16407" t="s">
        <v>52955</v>
      </c>
      <c r="H16407" t="s">
        <v>53155</v>
      </c>
      <c r="P16407" t="s">
        <v>133</v>
      </c>
      <c r="Y16407" t="s">
        <v>55573</v>
      </c>
    </row>
    <row r="16408" spans="1:25" x14ac:dyDescent="0.25">
      <c r="A16408" t="str">
        <f>"1763817442"</f>
        <v>1763817442</v>
      </c>
      <c r="B16408" t="s">
        <v>1475</v>
      </c>
      <c r="C16408" t="s">
        <v>55291</v>
      </c>
      <c r="D16408" t="s">
        <v>10260</v>
      </c>
      <c r="E16408">
        <v>425000</v>
      </c>
      <c r="F16408" t="s">
        <v>1</v>
      </c>
      <c r="G16408" t="s">
        <v>52955</v>
      </c>
      <c r="H16408" t="s">
        <v>54206</v>
      </c>
      <c r="P16408" t="s">
        <v>133</v>
      </c>
      <c r="Y16408" t="s">
        <v>55574</v>
      </c>
    </row>
    <row r="16409" spans="1:25" x14ac:dyDescent="0.25">
      <c r="A16409" t="str">
        <f>"1764092197"</f>
        <v>1764092197</v>
      </c>
      <c r="B16409" t="s">
        <v>574</v>
      </c>
      <c r="C16409" t="s">
        <v>646</v>
      </c>
      <c r="D16409" t="s">
        <v>14804</v>
      </c>
      <c r="E16409">
        <v>425011</v>
      </c>
      <c r="F16409" t="s">
        <v>1</v>
      </c>
      <c r="G16409" t="s">
        <v>52955</v>
      </c>
      <c r="H16409" t="s">
        <v>55575</v>
      </c>
      <c r="P16409" t="s">
        <v>1505</v>
      </c>
      <c r="Y16409" t="s">
        <v>55576</v>
      </c>
    </row>
    <row r="16410" spans="1:25" x14ac:dyDescent="0.25">
      <c r="A16410" t="str">
        <f>"1764109325"</f>
        <v>1764109325</v>
      </c>
      <c r="B16410" t="s">
        <v>654</v>
      </c>
      <c r="C16410" t="s">
        <v>14448</v>
      </c>
      <c r="D16410" t="s">
        <v>14448</v>
      </c>
      <c r="E16410">
        <v>425000</v>
      </c>
      <c r="F16410" t="s">
        <v>1</v>
      </c>
      <c r="G16410" t="s">
        <v>52955</v>
      </c>
      <c r="H16410" t="s">
        <v>53719</v>
      </c>
      <c r="Y16410" t="s">
        <v>55175</v>
      </c>
    </row>
    <row r="16411" spans="1:25" x14ac:dyDescent="0.25">
      <c r="A16411" t="str">
        <f>"1764580872"</f>
        <v>1764580872</v>
      </c>
      <c r="B16411" t="s">
        <v>930</v>
      </c>
      <c r="C16411" t="s">
        <v>927</v>
      </c>
      <c r="D16411" t="s">
        <v>927</v>
      </c>
      <c r="F16411" t="s">
        <v>1</v>
      </c>
      <c r="G16411" t="s">
        <v>52955</v>
      </c>
      <c r="H16411" t="s">
        <v>55243</v>
      </c>
      <c r="P16411" t="s">
        <v>799</v>
      </c>
      <c r="Y16411" t="s">
        <v>55577</v>
      </c>
    </row>
    <row r="16412" spans="1:25" x14ac:dyDescent="0.25">
      <c r="A16412" t="str">
        <f>"1764581349"</f>
        <v>1764581349</v>
      </c>
      <c r="B16412" t="s">
        <v>4084</v>
      </c>
      <c r="C16412" t="s">
        <v>28282</v>
      </c>
      <c r="D16412" t="s">
        <v>55578</v>
      </c>
      <c r="E16412">
        <v>425000</v>
      </c>
      <c r="F16412" t="s">
        <v>1</v>
      </c>
      <c r="G16412" t="s">
        <v>52955</v>
      </c>
      <c r="H16412" t="s">
        <v>55579</v>
      </c>
      <c r="Y16412" t="s">
        <v>55580</v>
      </c>
    </row>
    <row r="16413" spans="1:25" x14ac:dyDescent="0.25">
      <c r="A16413" t="str">
        <f>"1765211495"</f>
        <v>1765211495</v>
      </c>
      <c r="B16413" t="s">
        <v>519</v>
      </c>
      <c r="C16413" t="s">
        <v>55583</v>
      </c>
      <c r="D16413" t="s">
        <v>55581</v>
      </c>
      <c r="E16413">
        <v>425000</v>
      </c>
      <c r="F16413" t="s">
        <v>1</v>
      </c>
      <c r="G16413" t="s">
        <v>52955</v>
      </c>
      <c r="H16413" t="s">
        <v>55251</v>
      </c>
      <c r="I16413" t="s">
        <v>55582</v>
      </c>
      <c r="P16413" t="s">
        <v>55584</v>
      </c>
      <c r="Q16413" t="s">
        <v>55585</v>
      </c>
      <c r="V16413" t="s">
        <v>55586</v>
      </c>
      <c r="Y16413" t="s">
        <v>55587</v>
      </c>
    </row>
    <row r="16414" spans="1:25" x14ac:dyDescent="0.25">
      <c r="A16414" t="str">
        <f>"1766007389"</f>
        <v>1766007389</v>
      </c>
      <c r="B16414" t="s">
        <v>1617</v>
      </c>
      <c r="C16414" t="s">
        <v>21001</v>
      </c>
      <c r="D16414" t="s">
        <v>20999</v>
      </c>
      <c r="E16414">
        <v>425000</v>
      </c>
      <c r="F16414" t="s">
        <v>1</v>
      </c>
      <c r="G16414" t="s">
        <v>52955</v>
      </c>
      <c r="H16414" t="s">
        <v>53132</v>
      </c>
      <c r="P16414" t="s">
        <v>30381</v>
      </c>
      <c r="Y16414" t="s">
        <v>55588</v>
      </c>
    </row>
    <row r="16415" spans="1:25" x14ac:dyDescent="0.25">
      <c r="A16415" t="str">
        <f>"1766011590"</f>
        <v>1766011590</v>
      </c>
      <c r="B16415" t="s">
        <v>319</v>
      </c>
      <c r="C16415" t="s">
        <v>320</v>
      </c>
      <c r="D16415" t="s">
        <v>54069</v>
      </c>
      <c r="E16415">
        <v>425005</v>
      </c>
      <c r="F16415" t="s">
        <v>1</v>
      </c>
      <c r="G16415" t="s">
        <v>52955</v>
      </c>
      <c r="H16415" t="s">
        <v>55589</v>
      </c>
      <c r="I16415" t="s">
        <v>55590</v>
      </c>
      <c r="P16415" t="s">
        <v>8361</v>
      </c>
      <c r="Y16415" t="s">
        <v>55591</v>
      </c>
    </row>
    <row r="16416" spans="1:25" x14ac:dyDescent="0.25">
      <c r="A16416" t="str">
        <f>"1766643077"</f>
        <v>1766643077</v>
      </c>
      <c r="B16416" t="s">
        <v>32</v>
      </c>
      <c r="C16416" t="s">
        <v>40</v>
      </c>
      <c r="D16416" t="s">
        <v>55592</v>
      </c>
      <c r="E16416">
        <v>425000</v>
      </c>
      <c r="F16416" t="s">
        <v>1</v>
      </c>
      <c r="G16416" t="s">
        <v>52955</v>
      </c>
      <c r="H16416" t="s">
        <v>53719</v>
      </c>
      <c r="P16416" t="s">
        <v>133</v>
      </c>
      <c r="Y16416" t="s">
        <v>55175</v>
      </c>
    </row>
    <row r="16417" spans="1:25" x14ac:dyDescent="0.25">
      <c r="A16417" t="str">
        <f>"1767496293"</f>
        <v>1767496293</v>
      </c>
      <c r="B16417" t="s">
        <v>1729</v>
      </c>
      <c r="C16417" t="s">
        <v>55596</v>
      </c>
      <c r="D16417" t="s">
        <v>55593</v>
      </c>
      <c r="F16417" t="s">
        <v>1</v>
      </c>
      <c r="G16417" t="s">
        <v>52955</v>
      </c>
      <c r="H16417" t="s">
        <v>55594</v>
      </c>
      <c r="I16417" t="s">
        <v>55595</v>
      </c>
      <c r="P16417" t="s">
        <v>6400</v>
      </c>
      <c r="Y16417" t="s">
        <v>55597</v>
      </c>
    </row>
    <row r="16418" spans="1:25" x14ac:dyDescent="0.25">
      <c r="A16418" t="str">
        <f>"1767835154"</f>
        <v>1767835154</v>
      </c>
      <c r="B16418" t="s">
        <v>7312</v>
      </c>
      <c r="C16418" t="s">
        <v>21136</v>
      </c>
      <c r="D16418" t="s">
        <v>55155</v>
      </c>
      <c r="F16418" t="s">
        <v>1</v>
      </c>
      <c r="G16418" t="s">
        <v>52955</v>
      </c>
      <c r="H16418" t="s">
        <v>52989</v>
      </c>
      <c r="Y16418" t="s">
        <v>55598</v>
      </c>
    </row>
    <row r="16419" spans="1:25" x14ac:dyDescent="0.25">
      <c r="A16419" t="str">
        <f>"1768641974"</f>
        <v>1768641974</v>
      </c>
      <c r="B16419" t="s">
        <v>96</v>
      </c>
      <c r="C16419" t="s">
        <v>7071</v>
      </c>
      <c r="D16419" t="s">
        <v>22096</v>
      </c>
      <c r="E16419">
        <v>425000</v>
      </c>
      <c r="F16419" t="s">
        <v>1</v>
      </c>
      <c r="G16419" t="s">
        <v>52955</v>
      </c>
      <c r="H16419" t="s">
        <v>53704</v>
      </c>
      <c r="P16419" t="s">
        <v>1404</v>
      </c>
      <c r="Y16419" t="s">
        <v>55599</v>
      </c>
    </row>
    <row r="16420" spans="1:25" x14ac:dyDescent="0.25">
      <c r="A16420" t="str">
        <f>"1768751089"</f>
        <v>1768751089</v>
      </c>
      <c r="B16420" t="s">
        <v>348</v>
      </c>
      <c r="C16420" t="s">
        <v>55603</v>
      </c>
      <c r="D16420" t="s">
        <v>55600</v>
      </c>
      <c r="F16420" t="s">
        <v>1</v>
      </c>
      <c r="G16420" t="s">
        <v>52955</v>
      </c>
      <c r="H16420" t="s">
        <v>55601</v>
      </c>
      <c r="I16420" t="s">
        <v>55602</v>
      </c>
      <c r="P16420" t="s">
        <v>55604</v>
      </c>
      <c r="Y16420" t="s">
        <v>54863</v>
      </c>
    </row>
    <row r="16421" spans="1:25" x14ac:dyDescent="0.25">
      <c r="A16421" t="str">
        <f>"1769154330"</f>
        <v>1769154330</v>
      </c>
      <c r="B16421" t="s">
        <v>1352</v>
      </c>
      <c r="C16421" t="s">
        <v>1353</v>
      </c>
      <c r="D16421" t="s">
        <v>1353</v>
      </c>
      <c r="E16421">
        <v>425000</v>
      </c>
      <c r="F16421" t="s">
        <v>1</v>
      </c>
      <c r="G16421" t="s">
        <v>52955</v>
      </c>
      <c r="H16421" t="s">
        <v>53719</v>
      </c>
      <c r="Y16421" t="s">
        <v>55175</v>
      </c>
    </row>
    <row r="16422" spans="1:25" x14ac:dyDescent="0.25">
      <c r="A16422" t="str">
        <f>"1770237928"</f>
        <v>1770237928</v>
      </c>
      <c r="B16422" t="s">
        <v>96</v>
      </c>
      <c r="C16422" t="s">
        <v>55606</v>
      </c>
      <c r="D16422" t="s">
        <v>55605</v>
      </c>
      <c r="F16422" t="s">
        <v>1</v>
      </c>
      <c r="G16422" t="s">
        <v>52955</v>
      </c>
      <c r="H16422" t="s">
        <v>53198</v>
      </c>
      <c r="P16422" t="s">
        <v>3456</v>
      </c>
      <c r="Y16422" t="s">
        <v>55404</v>
      </c>
    </row>
    <row r="16423" spans="1:25" x14ac:dyDescent="0.25">
      <c r="A16423" t="str">
        <f>"1770375103"</f>
        <v>1770375103</v>
      </c>
      <c r="B16423" t="s">
        <v>96</v>
      </c>
      <c r="C16423" t="s">
        <v>8479</v>
      </c>
      <c r="D16423" t="s">
        <v>55607</v>
      </c>
      <c r="F16423" t="s">
        <v>1</v>
      </c>
      <c r="G16423" t="s">
        <v>52955</v>
      </c>
      <c r="H16423" t="s">
        <v>55608</v>
      </c>
      <c r="P16423" t="s">
        <v>2079</v>
      </c>
      <c r="Y16423" t="s">
        <v>55609</v>
      </c>
    </row>
    <row r="16424" spans="1:25" x14ac:dyDescent="0.25">
      <c r="A16424" t="str">
        <f>"1770568649"</f>
        <v>1770568649</v>
      </c>
      <c r="B16424" t="s">
        <v>96</v>
      </c>
      <c r="C16424" t="s">
        <v>893</v>
      </c>
      <c r="D16424" t="s">
        <v>13619</v>
      </c>
      <c r="F16424" t="s">
        <v>1</v>
      </c>
      <c r="G16424" t="s">
        <v>52955</v>
      </c>
      <c r="H16424" t="s">
        <v>53198</v>
      </c>
      <c r="P16424" t="s">
        <v>3456</v>
      </c>
      <c r="Y16424" t="s">
        <v>55404</v>
      </c>
    </row>
    <row r="16425" spans="1:25" x14ac:dyDescent="0.25">
      <c r="A16425" t="str">
        <f>"1770887595"</f>
        <v>1770887595</v>
      </c>
      <c r="B16425" t="s">
        <v>430</v>
      </c>
      <c r="C16425" t="s">
        <v>612</v>
      </c>
      <c r="D16425" t="s">
        <v>55610</v>
      </c>
      <c r="E16425">
        <v>425005</v>
      </c>
      <c r="F16425" t="s">
        <v>1</v>
      </c>
      <c r="G16425" t="s">
        <v>52955</v>
      </c>
      <c r="H16425" t="s">
        <v>55148</v>
      </c>
      <c r="J16425" t="s">
        <v>55611</v>
      </c>
      <c r="P16425" t="s">
        <v>330</v>
      </c>
      <c r="Y16425" t="s">
        <v>55612</v>
      </c>
    </row>
    <row r="16426" spans="1:25" x14ac:dyDescent="0.25">
      <c r="A16426" t="str">
        <f>"1771520355"</f>
        <v>1771520355</v>
      </c>
      <c r="B16426" t="s">
        <v>1053</v>
      </c>
      <c r="C16426" t="s">
        <v>39136</v>
      </c>
      <c r="D16426" t="s">
        <v>55613</v>
      </c>
      <c r="E16426">
        <v>425000</v>
      </c>
      <c r="F16426" t="s">
        <v>1</v>
      </c>
      <c r="G16426" t="s">
        <v>52955</v>
      </c>
      <c r="H16426" t="s">
        <v>55614</v>
      </c>
      <c r="J16426" t="s">
        <v>55615</v>
      </c>
      <c r="P16426" t="s">
        <v>280</v>
      </c>
      <c r="Y16426" t="s">
        <v>54299</v>
      </c>
    </row>
    <row r="16427" spans="1:25" x14ac:dyDescent="0.25">
      <c r="A16427" t="str">
        <f>"1771643818"</f>
        <v>1771643818</v>
      </c>
      <c r="B16427" t="s">
        <v>1573</v>
      </c>
      <c r="C16427" t="s">
        <v>1817</v>
      </c>
      <c r="D16427" t="s">
        <v>1815</v>
      </c>
      <c r="E16427">
        <v>425000</v>
      </c>
      <c r="F16427" t="s">
        <v>1</v>
      </c>
      <c r="G16427" t="s">
        <v>52955</v>
      </c>
      <c r="H16427" t="s">
        <v>54254</v>
      </c>
      <c r="P16427" t="s">
        <v>799</v>
      </c>
      <c r="Y16427" t="s">
        <v>55616</v>
      </c>
    </row>
    <row r="16428" spans="1:25" x14ac:dyDescent="0.25">
      <c r="A16428" t="str">
        <f>"1772175148"</f>
        <v>1772175148</v>
      </c>
      <c r="B16428" t="s">
        <v>3700</v>
      </c>
      <c r="C16428" t="s">
        <v>4023</v>
      </c>
      <c r="D16428" t="s">
        <v>55617</v>
      </c>
      <c r="E16428">
        <v>425001</v>
      </c>
      <c r="F16428" t="s">
        <v>1</v>
      </c>
      <c r="G16428" t="s">
        <v>52955</v>
      </c>
      <c r="H16428" t="s">
        <v>55343</v>
      </c>
      <c r="P16428" t="s">
        <v>55618</v>
      </c>
      <c r="Y16428" t="s">
        <v>55619</v>
      </c>
    </row>
    <row r="16429" spans="1:25" x14ac:dyDescent="0.25">
      <c r="A16429" t="str">
        <f>"1772229349"</f>
        <v>1772229349</v>
      </c>
      <c r="B16429" t="s">
        <v>18</v>
      </c>
      <c r="C16429" t="s">
        <v>3386</v>
      </c>
      <c r="D16429" t="s">
        <v>55620</v>
      </c>
      <c r="E16429">
        <v>425011</v>
      </c>
      <c r="F16429" t="s">
        <v>1</v>
      </c>
      <c r="G16429" t="s">
        <v>52955</v>
      </c>
      <c r="H16429" t="s">
        <v>55621</v>
      </c>
      <c r="J16429" t="s">
        <v>55622</v>
      </c>
      <c r="P16429" t="s">
        <v>330</v>
      </c>
      <c r="Y16429" t="s">
        <v>55623</v>
      </c>
    </row>
    <row r="16430" spans="1:25" x14ac:dyDescent="0.25">
      <c r="A16430" t="str">
        <f>"1772792522"</f>
        <v>1772792522</v>
      </c>
      <c r="B16430" t="s">
        <v>1152</v>
      </c>
      <c r="C16430" t="s">
        <v>1385</v>
      </c>
      <c r="D16430" t="s">
        <v>1385</v>
      </c>
      <c r="E16430">
        <v>425001</v>
      </c>
      <c r="F16430" t="s">
        <v>1</v>
      </c>
      <c r="G16430" t="s">
        <v>52955</v>
      </c>
      <c r="H16430" t="s">
        <v>53433</v>
      </c>
      <c r="P16430" t="s">
        <v>55624</v>
      </c>
      <c r="Y16430" t="s">
        <v>55625</v>
      </c>
    </row>
    <row r="16431" spans="1:25" x14ac:dyDescent="0.25">
      <c r="A16431" t="str">
        <f>"1773212411"</f>
        <v>1773212411</v>
      </c>
      <c r="B16431" t="s">
        <v>1152</v>
      </c>
      <c r="C16431" t="s">
        <v>1385</v>
      </c>
      <c r="D16431" t="s">
        <v>1385</v>
      </c>
      <c r="F16431" t="s">
        <v>1</v>
      </c>
      <c r="G16431" t="s">
        <v>52955</v>
      </c>
      <c r="H16431" t="s">
        <v>53404</v>
      </c>
      <c r="P16431" t="s">
        <v>133</v>
      </c>
      <c r="Y16431" t="s">
        <v>55480</v>
      </c>
    </row>
    <row r="16432" spans="1:25" x14ac:dyDescent="0.25">
      <c r="A16432" t="str">
        <f>"1773279740"</f>
        <v>1773279740</v>
      </c>
      <c r="B16432" t="s">
        <v>2055</v>
      </c>
      <c r="C16432" t="s">
        <v>12243</v>
      </c>
      <c r="D16432" t="s">
        <v>53109</v>
      </c>
      <c r="F16432" t="s">
        <v>1</v>
      </c>
      <c r="G16432" t="s">
        <v>52955</v>
      </c>
      <c r="H16432" t="s">
        <v>55626</v>
      </c>
      <c r="I16432" t="s">
        <v>55627</v>
      </c>
      <c r="L16432" t="s">
        <v>55628</v>
      </c>
      <c r="M16432" t="s">
        <v>55629</v>
      </c>
      <c r="P16432" t="s">
        <v>55630</v>
      </c>
      <c r="Y16432" t="s">
        <v>55631</v>
      </c>
    </row>
    <row r="16433" spans="1:25" x14ac:dyDescent="0.25">
      <c r="A16433" t="str">
        <f>"1773452283"</f>
        <v>1773452283</v>
      </c>
      <c r="B16433" t="s">
        <v>96</v>
      </c>
      <c r="C16433" t="s">
        <v>24441</v>
      </c>
      <c r="D16433" t="s">
        <v>24441</v>
      </c>
      <c r="E16433">
        <v>425008</v>
      </c>
      <c r="F16433" t="s">
        <v>1</v>
      </c>
      <c r="G16433" t="s">
        <v>52955</v>
      </c>
      <c r="H16433" t="s">
        <v>55156</v>
      </c>
      <c r="Y16433" t="s">
        <v>55157</v>
      </c>
    </row>
    <row r="16434" spans="1:25" x14ac:dyDescent="0.25">
      <c r="A16434" t="str">
        <f>"1773734769"</f>
        <v>1773734769</v>
      </c>
      <c r="B16434" t="s">
        <v>397</v>
      </c>
      <c r="C16434" t="s">
        <v>55636</v>
      </c>
      <c r="D16434" t="s">
        <v>55632</v>
      </c>
      <c r="E16434">
        <v>425000</v>
      </c>
      <c r="F16434" t="s">
        <v>1</v>
      </c>
      <c r="G16434" t="s">
        <v>52955</v>
      </c>
      <c r="H16434" t="s">
        <v>52998</v>
      </c>
      <c r="J16434" t="s">
        <v>55633</v>
      </c>
      <c r="L16434" t="s">
        <v>55634</v>
      </c>
      <c r="M16434" t="s">
        <v>55635</v>
      </c>
      <c r="P16434" t="s">
        <v>312</v>
      </c>
      <c r="Q16434" t="s">
        <v>55637</v>
      </c>
      <c r="R16434" t="s">
        <v>55638</v>
      </c>
      <c r="S16434" t="s">
        <v>55639</v>
      </c>
      <c r="T16434" t="s">
        <v>55640</v>
      </c>
      <c r="V16434" t="s">
        <v>55641</v>
      </c>
      <c r="Y16434" t="s">
        <v>53003</v>
      </c>
    </row>
    <row r="16435" spans="1:25" x14ac:dyDescent="0.25">
      <c r="A16435" t="str">
        <f>"1774454449"</f>
        <v>1774454449</v>
      </c>
      <c r="B16435" t="s">
        <v>348</v>
      </c>
      <c r="C16435" t="s">
        <v>55646</v>
      </c>
      <c r="D16435" t="s">
        <v>55642</v>
      </c>
      <c r="E16435">
        <v>425000</v>
      </c>
      <c r="F16435" t="s">
        <v>1</v>
      </c>
      <c r="G16435" t="s">
        <v>52955</v>
      </c>
      <c r="H16435" t="s">
        <v>53093</v>
      </c>
      <c r="I16435" t="s">
        <v>55643</v>
      </c>
      <c r="J16435" t="s">
        <v>55644</v>
      </c>
      <c r="M16435" t="s">
        <v>55645</v>
      </c>
      <c r="P16435" t="s">
        <v>1035</v>
      </c>
      <c r="Y16435" t="s">
        <v>53099</v>
      </c>
    </row>
    <row r="16436" spans="1:25" x14ac:dyDescent="0.25">
      <c r="A16436" t="str">
        <f>"1774786261"</f>
        <v>1774786261</v>
      </c>
      <c r="B16436" t="s">
        <v>930</v>
      </c>
      <c r="C16436" t="s">
        <v>37050</v>
      </c>
      <c r="D16436" t="s">
        <v>55647</v>
      </c>
      <c r="F16436" t="s">
        <v>1</v>
      </c>
      <c r="G16436" t="s">
        <v>52955</v>
      </c>
      <c r="H16436" t="s">
        <v>55648</v>
      </c>
      <c r="P16436" t="s">
        <v>14531</v>
      </c>
      <c r="Y16436" t="s">
        <v>55649</v>
      </c>
    </row>
    <row r="16437" spans="1:25" x14ac:dyDescent="0.25">
      <c r="A16437" t="str">
        <f>"1775298136"</f>
        <v>1775298136</v>
      </c>
      <c r="B16437" t="s">
        <v>738</v>
      </c>
      <c r="C16437" t="s">
        <v>739</v>
      </c>
      <c r="D16437" t="s">
        <v>55650</v>
      </c>
      <c r="E16437">
        <v>425000</v>
      </c>
      <c r="F16437" t="s">
        <v>1</v>
      </c>
      <c r="G16437" t="s">
        <v>52955</v>
      </c>
      <c r="H16437" t="s">
        <v>53220</v>
      </c>
      <c r="P16437" t="s">
        <v>7390</v>
      </c>
      <c r="Y16437" t="s">
        <v>55651</v>
      </c>
    </row>
    <row r="16438" spans="1:25" x14ac:dyDescent="0.25">
      <c r="A16438" t="str">
        <f>"1776296077"</f>
        <v>1776296077</v>
      </c>
      <c r="B16438" t="s">
        <v>574</v>
      </c>
      <c r="C16438" t="s">
        <v>646</v>
      </c>
      <c r="D16438" t="s">
        <v>43811</v>
      </c>
      <c r="E16438">
        <v>425009</v>
      </c>
      <c r="F16438" t="s">
        <v>1</v>
      </c>
      <c r="G16438" t="s">
        <v>52955</v>
      </c>
      <c r="H16438" t="s">
        <v>55652</v>
      </c>
      <c r="P16438" t="s">
        <v>7436</v>
      </c>
      <c r="Y16438" t="s">
        <v>55653</v>
      </c>
    </row>
    <row r="16439" spans="1:25" x14ac:dyDescent="0.25">
      <c r="A16439" t="str">
        <f>"1776476850"</f>
        <v>1776476850</v>
      </c>
      <c r="B16439" t="s">
        <v>930</v>
      </c>
      <c r="C16439" t="s">
        <v>10263</v>
      </c>
      <c r="D16439" t="s">
        <v>55654</v>
      </c>
      <c r="E16439">
        <v>425005</v>
      </c>
      <c r="F16439" t="s">
        <v>1</v>
      </c>
      <c r="G16439" t="s">
        <v>52955</v>
      </c>
      <c r="H16439" t="s">
        <v>55655</v>
      </c>
      <c r="J16439" t="s">
        <v>55656</v>
      </c>
      <c r="P16439" t="s">
        <v>216</v>
      </c>
      <c r="Q16439" t="s">
        <v>55657</v>
      </c>
      <c r="Y16439" t="s">
        <v>55658</v>
      </c>
    </row>
    <row r="16440" spans="1:25" x14ac:dyDescent="0.25">
      <c r="A16440" t="str">
        <f>"1777044014"</f>
        <v>1777044014</v>
      </c>
      <c r="B16440" t="s">
        <v>96</v>
      </c>
      <c r="C16440" t="s">
        <v>659</v>
      </c>
      <c r="D16440" t="s">
        <v>55659</v>
      </c>
      <c r="F16440" t="s">
        <v>1</v>
      </c>
      <c r="G16440" t="s">
        <v>52955</v>
      </c>
      <c r="H16440" t="s">
        <v>53072</v>
      </c>
      <c r="Y16440" t="s">
        <v>55314</v>
      </c>
    </row>
    <row r="16441" spans="1:25" x14ac:dyDescent="0.25">
      <c r="A16441" t="str">
        <f>"1777498317"</f>
        <v>1777498317</v>
      </c>
      <c r="B16441" t="s">
        <v>1343</v>
      </c>
      <c r="C16441" t="s">
        <v>13544</v>
      </c>
      <c r="D16441" t="s">
        <v>26865</v>
      </c>
      <c r="F16441" t="s">
        <v>1</v>
      </c>
      <c r="G16441" t="s">
        <v>52955</v>
      </c>
      <c r="H16441" t="s">
        <v>52989</v>
      </c>
      <c r="P16441" t="s">
        <v>133</v>
      </c>
      <c r="Y16441" t="s">
        <v>55598</v>
      </c>
    </row>
    <row r="16442" spans="1:25" x14ac:dyDescent="0.25">
      <c r="A16442" t="str">
        <f>"1778187565"</f>
        <v>1778187565</v>
      </c>
      <c r="B16442" t="s">
        <v>574</v>
      </c>
      <c r="C16442" t="s">
        <v>646</v>
      </c>
      <c r="D16442" t="s">
        <v>55660</v>
      </c>
      <c r="E16442">
        <v>425000</v>
      </c>
      <c r="F16442" t="s">
        <v>1</v>
      </c>
      <c r="G16442" t="s">
        <v>52955</v>
      </c>
      <c r="H16442" t="s">
        <v>54254</v>
      </c>
      <c r="P16442" t="s">
        <v>7436</v>
      </c>
      <c r="Y16442" t="s">
        <v>55661</v>
      </c>
    </row>
    <row r="16443" spans="1:25" x14ac:dyDescent="0.25">
      <c r="A16443" t="str">
        <f>"1778731219"</f>
        <v>1778731219</v>
      </c>
      <c r="B16443" t="s">
        <v>18</v>
      </c>
      <c r="C16443" t="s">
        <v>55662</v>
      </c>
      <c r="D16443" t="s">
        <v>28195</v>
      </c>
      <c r="E16443">
        <v>425008</v>
      </c>
      <c r="F16443" t="s">
        <v>1</v>
      </c>
      <c r="G16443" t="s">
        <v>52955</v>
      </c>
      <c r="H16443" t="s">
        <v>53554</v>
      </c>
      <c r="Y16443" t="s">
        <v>55185</v>
      </c>
    </row>
    <row r="16444" spans="1:25" x14ac:dyDescent="0.25">
      <c r="A16444" t="str">
        <f>"1779031527"</f>
        <v>1779031527</v>
      </c>
      <c r="B16444" t="s">
        <v>574</v>
      </c>
      <c r="C16444" t="s">
        <v>646</v>
      </c>
      <c r="D16444" t="s">
        <v>55447</v>
      </c>
      <c r="E16444">
        <v>425009</v>
      </c>
      <c r="F16444" t="s">
        <v>1</v>
      </c>
      <c r="G16444" t="s">
        <v>52955</v>
      </c>
      <c r="H16444" t="s">
        <v>55663</v>
      </c>
      <c r="P16444" t="s">
        <v>2457</v>
      </c>
      <c r="Y16444" t="s">
        <v>55664</v>
      </c>
    </row>
    <row r="16445" spans="1:25" x14ac:dyDescent="0.25">
      <c r="A16445" t="str">
        <f>"1780577212"</f>
        <v>1780577212</v>
      </c>
      <c r="B16445" t="s">
        <v>738</v>
      </c>
      <c r="C16445" t="s">
        <v>3363</v>
      </c>
      <c r="D16445" t="s">
        <v>55665</v>
      </c>
      <c r="E16445">
        <v>425001</v>
      </c>
      <c r="F16445" t="s">
        <v>1</v>
      </c>
      <c r="G16445" t="s">
        <v>52955</v>
      </c>
      <c r="H16445" t="s">
        <v>53465</v>
      </c>
      <c r="J16445" t="s">
        <v>55666</v>
      </c>
      <c r="P16445" t="s">
        <v>11503</v>
      </c>
      <c r="Y16445" t="s">
        <v>55667</v>
      </c>
    </row>
    <row r="16446" spans="1:25" x14ac:dyDescent="0.25">
      <c r="A16446" t="str">
        <f>"1782035418"</f>
        <v>1782035418</v>
      </c>
      <c r="B16446" t="s">
        <v>96</v>
      </c>
      <c r="C16446" t="s">
        <v>2285</v>
      </c>
      <c r="D16446" t="s">
        <v>55668</v>
      </c>
      <c r="F16446" t="s">
        <v>1</v>
      </c>
      <c r="G16446" t="s">
        <v>52955</v>
      </c>
      <c r="H16446" t="s">
        <v>54185</v>
      </c>
      <c r="P16446" t="s">
        <v>2050</v>
      </c>
      <c r="Y16446" t="s">
        <v>55214</v>
      </c>
    </row>
    <row r="16447" spans="1:25" x14ac:dyDescent="0.25">
      <c r="A16447" t="str">
        <f>"1782450213"</f>
        <v>1782450213</v>
      </c>
      <c r="B16447" t="s">
        <v>1152</v>
      </c>
      <c r="C16447" t="s">
        <v>4682</v>
      </c>
      <c r="D16447" t="s">
        <v>25385</v>
      </c>
      <c r="F16447" t="s">
        <v>1</v>
      </c>
      <c r="G16447" t="s">
        <v>52955</v>
      </c>
      <c r="H16447" t="s">
        <v>55669</v>
      </c>
      <c r="P16447" t="s">
        <v>2738</v>
      </c>
      <c r="Y16447" t="s">
        <v>55670</v>
      </c>
    </row>
    <row r="16448" spans="1:25" x14ac:dyDescent="0.25">
      <c r="A16448" t="str">
        <f>"1782483106"</f>
        <v>1782483106</v>
      </c>
      <c r="B16448" t="s">
        <v>1475</v>
      </c>
      <c r="C16448" t="s">
        <v>21539</v>
      </c>
      <c r="D16448" t="s">
        <v>55671</v>
      </c>
      <c r="E16448">
        <v>425000</v>
      </c>
      <c r="F16448" t="s">
        <v>1</v>
      </c>
      <c r="G16448" t="s">
        <v>52955</v>
      </c>
      <c r="H16448" t="s">
        <v>55115</v>
      </c>
      <c r="P16448" t="s">
        <v>2731</v>
      </c>
      <c r="Y16448" t="s">
        <v>55561</v>
      </c>
    </row>
    <row r="16449" spans="1:25" x14ac:dyDescent="0.25">
      <c r="A16449" t="str">
        <f>"1783777876"</f>
        <v>1783777876</v>
      </c>
      <c r="B16449" t="s">
        <v>738</v>
      </c>
      <c r="C16449" t="s">
        <v>739</v>
      </c>
      <c r="D16449" t="s">
        <v>55672</v>
      </c>
      <c r="E16449">
        <v>425000</v>
      </c>
      <c r="F16449" t="s">
        <v>1</v>
      </c>
      <c r="G16449" t="s">
        <v>52955</v>
      </c>
      <c r="H16449" t="s">
        <v>55673</v>
      </c>
      <c r="J16449" t="s">
        <v>55674</v>
      </c>
      <c r="L16449" t="s">
        <v>55675</v>
      </c>
      <c r="Y16449" t="s">
        <v>55676</v>
      </c>
    </row>
    <row r="16450" spans="1:25" x14ac:dyDescent="0.25">
      <c r="A16450" t="str">
        <f>"1783824068"</f>
        <v>1783824068</v>
      </c>
      <c r="B16450" t="s">
        <v>1343</v>
      </c>
      <c r="C16450" t="s">
        <v>1344</v>
      </c>
      <c r="D16450" t="s">
        <v>55677</v>
      </c>
      <c r="F16450" t="s">
        <v>1</v>
      </c>
      <c r="G16450" t="s">
        <v>52955</v>
      </c>
      <c r="H16450" t="s">
        <v>52989</v>
      </c>
      <c r="P16450" t="s">
        <v>52990</v>
      </c>
      <c r="Y16450" t="s">
        <v>55598</v>
      </c>
    </row>
    <row r="16451" spans="1:25" x14ac:dyDescent="0.25">
      <c r="A16451" t="str">
        <f>"1783900951"</f>
        <v>1783900951</v>
      </c>
      <c r="B16451" t="s">
        <v>32</v>
      </c>
      <c r="C16451" t="s">
        <v>40</v>
      </c>
      <c r="D16451" t="s">
        <v>40</v>
      </c>
      <c r="E16451">
        <v>425005</v>
      </c>
      <c r="F16451" t="s">
        <v>1</v>
      </c>
      <c r="G16451" t="s">
        <v>52955</v>
      </c>
      <c r="H16451" t="s">
        <v>55678</v>
      </c>
      <c r="P16451" t="s">
        <v>2050</v>
      </c>
      <c r="Y16451" t="s">
        <v>55679</v>
      </c>
    </row>
    <row r="16452" spans="1:25" x14ac:dyDescent="0.25">
      <c r="A16452" t="str">
        <f>"1784176779"</f>
        <v>1784176779</v>
      </c>
      <c r="B16452" t="s">
        <v>96</v>
      </c>
      <c r="C16452" t="s">
        <v>893</v>
      </c>
      <c r="D16452" t="s">
        <v>55680</v>
      </c>
      <c r="F16452" t="s">
        <v>1</v>
      </c>
      <c r="G16452" t="s">
        <v>52955</v>
      </c>
      <c r="H16452" t="s">
        <v>53198</v>
      </c>
      <c r="P16452" t="s">
        <v>2050</v>
      </c>
      <c r="Y16452" t="s">
        <v>55404</v>
      </c>
    </row>
    <row r="16453" spans="1:25" x14ac:dyDescent="0.25">
      <c r="A16453" t="str">
        <f>"1784551209"</f>
        <v>1784551209</v>
      </c>
      <c r="B16453" t="s">
        <v>96</v>
      </c>
      <c r="C16453" t="s">
        <v>24441</v>
      </c>
      <c r="D16453" t="s">
        <v>24441</v>
      </c>
      <c r="E16453">
        <v>425000</v>
      </c>
      <c r="F16453" t="s">
        <v>1</v>
      </c>
      <c r="G16453" t="s">
        <v>52955</v>
      </c>
      <c r="H16453" t="s">
        <v>54206</v>
      </c>
      <c r="P16453" t="s">
        <v>133</v>
      </c>
      <c r="Y16453" t="s">
        <v>55209</v>
      </c>
    </row>
    <row r="16454" spans="1:25" x14ac:dyDescent="0.25">
      <c r="A16454" t="str">
        <f>"1785636492"</f>
        <v>1785636492</v>
      </c>
      <c r="B16454" t="s">
        <v>18</v>
      </c>
      <c r="C16454" t="s">
        <v>55682</v>
      </c>
      <c r="D16454" t="s">
        <v>55681</v>
      </c>
      <c r="E16454">
        <v>425008</v>
      </c>
      <c r="F16454" t="s">
        <v>1</v>
      </c>
      <c r="G16454" t="s">
        <v>52955</v>
      </c>
      <c r="H16454" t="s">
        <v>53533</v>
      </c>
      <c r="P16454" t="s">
        <v>799</v>
      </c>
      <c r="Y16454" t="s">
        <v>55683</v>
      </c>
    </row>
    <row r="16455" spans="1:25" x14ac:dyDescent="0.25">
      <c r="A16455" t="str">
        <f>"1786906029"</f>
        <v>1786906029</v>
      </c>
      <c r="B16455" t="s">
        <v>574</v>
      </c>
      <c r="C16455" t="s">
        <v>646</v>
      </c>
      <c r="D16455" t="s">
        <v>55684</v>
      </c>
      <c r="E16455">
        <v>425000</v>
      </c>
      <c r="F16455" t="s">
        <v>1</v>
      </c>
      <c r="G16455" t="s">
        <v>52955</v>
      </c>
      <c r="H16455" t="s">
        <v>55461</v>
      </c>
      <c r="P16455" t="s">
        <v>280</v>
      </c>
      <c r="Y16455" t="s">
        <v>55685</v>
      </c>
    </row>
    <row r="16456" spans="1:25" x14ac:dyDescent="0.25">
      <c r="A16456" t="str">
        <f>"1786937190"</f>
        <v>1786937190</v>
      </c>
      <c r="B16456" t="s">
        <v>1152</v>
      </c>
      <c r="C16456" t="s">
        <v>2319</v>
      </c>
      <c r="D16456" t="s">
        <v>2319</v>
      </c>
      <c r="F16456" t="s">
        <v>1</v>
      </c>
      <c r="G16456" t="s">
        <v>52955</v>
      </c>
      <c r="H16456" t="s">
        <v>53198</v>
      </c>
      <c r="J16456" t="s">
        <v>55686</v>
      </c>
      <c r="P16456" t="s">
        <v>18882</v>
      </c>
      <c r="Y16456" t="s">
        <v>55687</v>
      </c>
    </row>
    <row r="16457" spans="1:25" x14ac:dyDescent="0.25">
      <c r="A16457" t="str">
        <f>"1787901858"</f>
        <v>1787901858</v>
      </c>
      <c r="B16457" t="s">
        <v>888</v>
      </c>
      <c r="C16457" t="s">
        <v>43940</v>
      </c>
      <c r="D16457" t="s">
        <v>55688</v>
      </c>
      <c r="E16457">
        <v>425009</v>
      </c>
      <c r="F16457" t="s">
        <v>1</v>
      </c>
      <c r="G16457" t="s">
        <v>52955</v>
      </c>
      <c r="H16457" t="s">
        <v>55039</v>
      </c>
      <c r="I16457" t="s">
        <v>55689</v>
      </c>
      <c r="P16457" t="s">
        <v>280</v>
      </c>
      <c r="Y16457" t="s">
        <v>55690</v>
      </c>
    </row>
    <row r="16458" spans="1:25" x14ac:dyDescent="0.25">
      <c r="A16458" t="str">
        <f>"1788599558"</f>
        <v>1788599558</v>
      </c>
      <c r="B16458" t="s">
        <v>1573</v>
      </c>
      <c r="C16458" t="s">
        <v>55691</v>
      </c>
      <c r="D16458" t="s">
        <v>18948</v>
      </c>
      <c r="E16458">
        <v>425000</v>
      </c>
      <c r="F16458" t="s">
        <v>1</v>
      </c>
      <c r="G16458" t="s">
        <v>52955</v>
      </c>
      <c r="H16458" t="s">
        <v>53911</v>
      </c>
      <c r="P16458" t="s">
        <v>12126</v>
      </c>
      <c r="Y16458" t="s">
        <v>55692</v>
      </c>
    </row>
    <row r="16459" spans="1:25" x14ac:dyDescent="0.25">
      <c r="A16459" t="str">
        <f>"1788910306"</f>
        <v>1788910306</v>
      </c>
      <c r="B16459" t="s">
        <v>32</v>
      </c>
      <c r="C16459" t="s">
        <v>40</v>
      </c>
      <c r="D16459" t="s">
        <v>55693</v>
      </c>
      <c r="E16459">
        <v>425009</v>
      </c>
      <c r="F16459" t="s">
        <v>1</v>
      </c>
      <c r="G16459" t="s">
        <v>52955</v>
      </c>
      <c r="H16459" t="s">
        <v>55694</v>
      </c>
      <c r="P16459" t="s">
        <v>2050</v>
      </c>
      <c r="Y16459" t="s">
        <v>55695</v>
      </c>
    </row>
    <row r="16460" spans="1:25" x14ac:dyDescent="0.25">
      <c r="A16460" t="str">
        <f>"1788995809"</f>
        <v>1788995809</v>
      </c>
      <c r="B16460" t="s">
        <v>790</v>
      </c>
      <c r="C16460" t="s">
        <v>25438</v>
      </c>
      <c r="D16460" t="s">
        <v>55696</v>
      </c>
      <c r="F16460" t="s">
        <v>1</v>
      </c>
      <c r="G16460" t="s">
        <v>52955</v>
      </c>
      <c r="H16460" t="s">
        <v>53198</v>
      </c>
      <c r="J16460" t="s">
        <v>55697</v>
      </c>
      <c r="P16460" t="s">
        <v>2457</v>
      </c>
      <c r="Q16460" t="s">
        <v>55698</v>
      </c>
      <c r="Y16460" t="s">
        <v>55699</v>
      </c>
    </row>
    <row r="16461" spans="1:25" x14ac:dyDescent="0.25">
      <c r="A16461" t="str">
        <f>"1789406002"</f>
        <v>1789406002</v>
      </c>
      <c r="B16461" t="s">
        <v>1617</v>
      </c>
      <c r="C16461" t="s">
        <v>21001</v>
      </c>
      <c r="D16461" t="s">
        <v>21001</v>
      </c>
      <c r="F16461" t="s">
        <v>1</v>
      </c>
      <c r="G16461" t="s">
        <v>52955</v>
      </c>
      <c r="H16461" t="s">
        <v>55700</v>
      </c>
      <c r="Y16461" t="s">
        <v>55701</v>
      </c>
    </row>
    <row r="16462" spans="1:25" x14ac:dyDescent="0.25">
      <c r="A16462" t="str">
        <f>"1790119471"</f>
        <v>1790119471</v>
      </c>
      <c r="B16462" t="s">
        <v>348</v>
      </c>
      <c r="C16462" t="s">
        <v>55704</v>
      </c>
      <c r="D16462" t="s">
        <v>5728</v>
      </c>
      <c r="E16462">
        <v>425008</v>
      </c>
      <c r="F16462" t="s">
        <v>1</v>
      </c>
      <c r="G16462" t="s">
        <v>52955</v>
      </c>
      <c r="H16462" t="s">
        <v>53554</v>
      </c>
      <c r="J16462" t="s">
        <v>54882</v>
      </c>
      <c r="L16462" t="s">
        <v>55702</v>
      </c>
      <c r="M16462" t="s">
        <v>55703</v>
      </c>
      <c r="P16462" t="s">
        <v>362</v>
      </c>
      <c r="Q16462" t="s">
        <v>55705</v>
      </c>
      <c r="R16462" t="s">
        <v>55706</v>
      </c>
      <c r="V16462" t="s">
        <v>55707</v>
      </c>
      <c r="Y16462" t="s">
        <v>54319</v>
      </c>
    </row>
    <row r="16463" spans="1:25" x14ac:dyDescent="0.25">
      <c r="A16463" t="str">
        <f>"1792004809"</f>
        <v>1792004809</v>
      </c>
      <c r="B16463" t="s">
        <v>1573</v>
      </c>
      <c r="C16463" t="s">
        <v>1817</v>
      </c>
      <c r="D16463" t="s">
        <v>12664</v>
      </c>
      <c r="E16463">
        <v>425000</v>
      </c>
      <c r="F16463" t="s">
        <v>1</v>
      </c>
      <c r="G16463" t="s">
        <v>52955</v>
      </c>
      <c r="H16463" t="s">
        <v>55708</v>
      </c>
      <c r="Y16463" t="s">
        <v>55709</v>
      </c>
    </row>
    <row r="16464" spans="1:25" x14ac:dyDescent="0.25">
      <c r="A16464" t="str">
        <f>"1792713319"</f>
        <v>1792713319</v>
      </c>
      <c r="B16464" t="s">
        <v>574</v>
      </c>
      <c r="C16464" t="s">
        <v>646</v>
      </c>
      <c r="D16464" t="s">
        <v>55710</v>
      </c>
      <c r="E16464">
        <v>425000</v>
      </c>
      <c r="F16464" t="s">
        <v>1</v>
      </c>
      <c r="G16464" t="s">
        <v>52955</v>
      </c>
      <c r="H16464" t="s">
        <v>53719</v>
      </c>
      <c r="P16464" t="s">
        <v>60</v>
      </c>
      <c r="Y16464" t="s">
        <v>55711</v>
      </c>
    </row>
    <row r="16465" spans="1:25" x14ac:dyDescent="0.25">
      <c r="A16465" t="str">
        <f>"1792819966"</f>
        <v>1792819966</v>
      </c>
      <c r="B16465" t="s">
        <v>1152</v>
      </c>
      <c r="C16465" t="s">
        <v>2319</v>
      </c>
      <c r="D16465" t="s">
        <v>2319</v>
      </c>
      <c r="E16465">
        <v>425008</v>
      </c>
      <c r="F16465" t="s">
        <v>1</v>
      </c>
      <c r="G16465" t="s">
        <v>52955</v>
      </c>
      <c r="H16465" t="s">
        <v>53554</v>
      </c>
      <c r="Y16465" t="s">
        <v>55185</v>
      </c>
    </row>
    <row r="16466" spans="1:25" x14ac:dyDescent="0.25">
      <c r="A16466" t="str">
        <f>"1794412251"</f>
        <v>1794412251</v>
      </c>
      <c r="B16466" t="s">
        <v>841</v>
      </c>
      <c r="C16466" t="s">
        <v>11986</v>
      </c>
      <c r="D16466" t="s">
        <v>55712</v>
      </c>
      <c r="F16466" t="s">
        <v>1</v>
      </c>
      <c r="G16466" t="s">
        <v>52955</v>
      </c>
      <c r="H16466" t="s">
        <v>53404</v>
      </c>
      <c r="P16466" t="s">
        <v>55713</v>
      </c>
      <c r="Y16466" t="s">
        <v>55714</v>
      </c>
    </row>
    <row r="16467" spans="1:25" x14ac:dyDescent="0.25">
      <c r="A16467" t="str">
        <f>"1795820669"</f>
        <v>1795820669</v>
      </c>
      <c r="B16467" t="s">
        <v>319</v>
      </c>
      <c r="C16467" t="s">
        <v>320</v>
      </c>
      <c r="D16467" t="s">
        <v>31025</v>
      </c>
      <c r="E16467">
        <v>425011</v>
      </c>
      <c r="F16467" t="s">
        <v>1</v>
      </c>
      <c r="G16467" t="s">
        <v>52955</v>
      </c>
      <c r="H16467" t="s">
        <v>53507</v>
      </c>
      <c r="I16467" t="s">
        <v>55715</v>
      </c>
      <c r="P16467" t="s">
        <v>216</v>
      </c>
      <c r="Y16467" t="s">
        <v>55716</v>
      </c>
    </row>
    <row r="16468" spans="1:25" x14ac:dyDescent="0.25">
      <c r="A16468" t="str">
        <f>"1796365475"</f>
        <v>1796365475</v>
      </c>
      <c r="B16468" t="s">
        <v>716</v>
      </c>
      <c r="C16468" t="s">
        <v>13188</v>
      </c>
      <c r="D16468" t="s">
        <v>55717</v>
      </c>
      <c r="E16468">
        <v>425011</v>
      </c>
      <c r="F16468" t="s">
        <v>1</v>
      </c>
      <c r="G16468" t="s">
        <v>52955</v>
      </c>
      <c r="H16468" t="s">
        <v>53528</v>
      </c>
      <c r="J16468" t="s">
        <v>55718</v>
      </c>
      <c r="P16468" t="s">
        <v>330</v>
      </c>
      <c r="Y16468" t="s">
        <v>53531</v>
      </c>
    </row>
    <row r="16469" spans="1:25" x14ac:dyDescent="0.25">
      <c r="A16469" t="str">
        <f>"1796748568"</f>
        <v>1796748568</v>
      </c>
      <c r="B16469" t="s">
        <v>1544</v>
      </c>
      <c r="C16469" t="s">
        <v>7974</v>
      </c>
      <c r="D16469" t="s">
        <v>52319</v>
      </c>
      <c r="F16469" t="s">
        <v>1</v>
      </c>
      <c r="G16469" t="s">
        <v>52955</v>
      </c>
      <c r="H16469" t="s">
        <v>55719</v>
      </c>
      <c r="P16469" t="s">
        <v>29865</v>
      </c>
      <c r="Y16469" t="s">
        <v>55720</v>
      </c>
    </row>
    <row r="16470" spans="1:25" x14ac:dyDescent="0.25">
      <c r="A16470" t="str">
        <f>"1796879198"</f>
        <v>1796879198</v>
      </c>
      <c r="B16470" t="s">
        <v>25</v>
      </c>
      <c r="C16470" t="s">
        <v>13425</v>
      </c>
      <c r="D16470" t="s">
        <v>55721</v>
      </c>
      <c r="E16470">
        <v>425000</v>
      </c>
      <c r="F16470" t="s">
        <v>1</v>
      </c>
      <c r="G16470" t="s">
        <v>52955</v>
      </c>
      <c r="H16470" t="s">
        <v>53639</v>
      </c>
      <c r="Y16470" t="s">
        <v>55722</v>
      </c>
    </row>
    <row r="16471" spans="1:25" x14ac:dyDescent="0.25">
      <c r="A16471" t="str">
        <f>"1797039187"</f>
        <v>1797039187</v>
      </c>
      <c r="B16471" t="s">
        <v>96</v>
      </c>
      <c r="C16471" t="s">
        <v>24441</v>
      </c>
      <c r="D16471" t="s">
        <v>29469</v>
      </c>
      <c r="F16471" t="s">
        <v>1</v>
      </c>
      <c r="G16471" t="s">
        <v>52955</v>
      </c>
      <c r="H16471" t="s">
        <v>53261</v>
      </c>
      <c r="P16471" t="s">
        <v>2050</v>
      </c>
      <c r="Y16471" t="s">
        <v>55231</v>
      </c>
    </row>
    <row r="16472" spans="1:25" x14ac:dyDescent="0.25">
      <c r="A16472" t="str">
        <f>"1798118327"</f>
        <v>1798118327</v>
      </c>
      <c r="B16472" t="s">
        <v>469</v>
      </c>
      <c r="C16472" t="s">
        <v>470</v>
      </c>
      <c r="D16472" t="s">
        <v>55723</v>
      </c>
      <c r="F16472" t="s">
        <v>1</v>
      </c>
      <c r="G16472" t="s">
        <v>52955</v>
      </c>
      <c r="H16472" t="s">
        <v>55724</v>
      </c>
      <c r="P16472" t="s">
        <v>55725</v>
      </c>
      <c r="Y16472" t="s">
        <v>55726</v>
      </c>
    </row>
    <row r="16473" spans="1:25" x14ac:dyDescent="0.25">
      <c r="A16473" t="str">
        <f>"1798372812"</f>
        <v>1798372812</v>
      </c>
      <c r="B16473" t="s">
        <v>319</v>
      </c>
      <c r="C16473" t="s">
        <v>320</v>
      </c>
      <c r="D16473" t="s">
        <v>10276</v>
      </c>
      <c r="E16473">
        <v>425000</v>
      </c>
      <c r="F16473" t="s">
        <v>1</v>
      </c>
      <c r="G16473" t="s">
        <v>52955</v>
      </c>
      <c r="H16473" t="s">
        <v>53752</v>
      </c>
      <c r="P16473" t="s">
        <v>4006</v>
      </c>
      <c r="Y16473" t="s">
        <v>55727</v>
      </c>
    </row>
    <row r="16474" spans="1:25" x14ac:dyDescent="0.25">
      <c r="A16474" t="str">
        <f>"1798484536"</f>
        <v>1798484536</v>
      </c>
      <c r="B16474" t="s">
        <v>7</v>
      </c>
      <c r="C16474" t="s">
        <v>42631</v>
      </c>
      <c r="D16474" t="s">
        <v>55728</v>
      </c>
      <c r="E16474">
        <v>425009</v>
      </c>
      <c r="F16474" t="s">
        <v>1</v>
      </c>
      <c r="G16474" t="s">
        <v>52955</v>
      </c>
      <c r="H16474" t="s">
        <v>55729</v>
      </c>
      <c r="J16474" t="s">
        <v>55730</v>
      </c>
      <c r="M16474" t="s">
        <v>55731</v>
      </c>
      <c r="P16474" t="s">
        <v>27</v>
      </c>
      <c r="T16474" t="s">
        <v>55732</v>
      </c>
      <c r="Y16474" t="s">
        <v>55733</v>
      </c>
    </row>
    <row r="16475" spans="1:25" x14ac:dyDescent="0.25">
      <c r="A16475" t="str">
        <f>"1799761852"</f>
        <v>1799761852</v>
      </c>
      <c r="B16475" t="s">
        <v>1152</v>
      </c>
      <c r="C16475" t="s">
        <v>1385</v>
      </c>
      <c r="D16475" t="s">
        <v>1385</v>
      </c>
      <c r="E16475">
        <v>425000</v>
      </c>
      <c r="F16475" t="s">
        <v>1</v>
      </c>
      <c r="G16475" t="s">
        <v>52955</v>
      </c>
      <c r="H16475" t="s">
        <v>53066</v>
      </c>
      <c r="P16475" t="s">
        <v>20</v>
      </c>
      <c r="Y16475" t="s">
        <v>55354</v>
      </c>
    </row>
    <row r="16476" spans="1:25" x14ac:dyDescent="0.25">
      <c r="A16476" t="str">
        <f>"1800531320"</f>
        <v>1800531320</v>
      </c>
      <c r="B16476" t="s">
        <v>348</v>
      </c>
      <c r="C16476" t="s">
        <v>4366</v>
      </c>
      <c r="D16476" t="s">
        <v>55734</v>
      </c>
      <c r="E16476">
        <v>425000</v>
      </c>
      <c r="F16476" t="s">
        <v>1</v>
      </c>
      <c r="G16476" t="s">
        <v>52955</v>
      </c>
      <c r="H16476" t="s">
        <v>55735</v>
      </c>
      <c r="I16476" t="s">
        <v>55736</v>
      </c>
      <c r="Y16476" t="s">
        <v>55737</v>
      </c>
    </row>
    <row r="16477" spans="1:25" x14ac:dyDescent="0.25">
      <c r="A16477" t="str">
        <f>"1800604494"</f>
        <v>1800604494</v>
      </c>
      <c r="B16477" t="s">
        <v>574</v>
      </c>
      <c r="C16477" t="s">
        <v>646</v>
      </c>
      <c r="D16477" t="s">
        <v>3182</v>
      </c>
      <c r="E16477">
        <v>425001</v>
      </c>
      <c r="F16477" t="s">
        <v>1</v>
      </c>
      <c r="G16477" t="s">
        <v>52955</v>
      </c>
      <c r="H16477" t="s">
        <v>55343</v>
      </c>
      <c r="P16477" t="s">
        <v>55738</v>
      </c>
      <c r="Y16477" t="s">
        <v>55739</v>
      </c>
    </row>
    <row r="16478" spans="1:25" x14ac:dyDescent="0.25">
      <c r="A16478" t="str">
        <f>"1801650806"</f>
        <v>1801650806</v>
      </c>
      <c r="B16478" t="s">
        <v>2055</v>
      </c>
      <c r="C16478" t="s">
        <v>2623</v>
      </c>
      <c r="D16478" t="s">
        <v>55740</v>
      </c>
      <c r="E16478">
        <v>425000</v>
      </c>
      <c r="F16478" t="s">
        <v>1</v>
      </c>
      <c r="G16478" t="s">
        <v>52955</v>
      </c>
      <c r="H16478" t="s">
        <v>55741</v>
      </c>
      <c r="I16478" t="s">
        <v>55742</v>
      </c>
      <c r="J16478" t="s">
        <v>55743</v>
      </c>
      <c r="L16478" t="s">
        <v>55744</v>
      </c>
      <c r="M16478" t="s">
        <v>55745</v>
      </c>
      <c r="P16478" t="s">
        <v>27</v>
      </c>
      <c r="Y16478" t="s">
        <v>55746</v>
      </c>
    </row>
    <row r="16479" spans="1:25" x14ac:dyDescent="0.25">
      <c r="A16479" t="str">
        <f>"1801689488"</f>
        <v>1801689488</v>
      </c>
      <c r="B16479" t="s">
        <v>1343</v>
      </c>
      <c r="C16479" t="s">
        <v>1344</v>
      </c>
      <c r="D16479" t="s">
        <v>22553</v>
      </c>
      <c r="E16479">
        <v>425000</v>
      </c>
      <c r="F16479" t="s">
        <v>1</v>
      </c>
      <c r="G16479" t="s">
        <v>52955</v>
      </c>
      <c r="H16479" t="s">
        <v>53704</v>
      </c>
      <c r="P16479" t="s">
        <v>2050</v>
      </c>
      <c r="Y16479" t="s">
        <v>55747</v>
      </c>
    </row>
    <row r="16480" spans="1:25" x14ac:dyDescent="0.25">
      <c r="A16480" t="str">
        <f>"1802160052"</f>
        <v>1802160052</v>
      </c>
      <c r="B16480" t="s">
        <v>574</v>
      </c>
      <c r="C16480" t="s">
        <v>646</v>
      </c>
      <c r="D16480" t="s">
        <v>55748</v>
      </c>
      <c r="E16480">
        <v>425005</v>
      </c>
      <c r="F16480" t="s">
        <v>1</v>
      </c>
      <c r="G16480" t="s">
        <v>52955</v>
      </c>
      <c r="H16480" t="s">
        <v>55749</v>
      </c>
      <c r="P16480" t="s">
        <v>330</v>
      </c>
      <c r="Y16480" t="s">
        <v>55750</v>
      </c>
    </row>
    <row r="16481" spans="1:25" x14ac:dyDescent="0.25">
      <c r="A16481" t="str">
        <f>"1802254933"</f>
        <v>1802254933</v>
      </c>
      <c r="B16481" t="s">
        <v>96</v>
      </c>
      <c r="C16481" t="s">
        <v>25084</v>
      </c>
      <c r="D16481" t="s">
        <v>2285</v>
      </c>
      <c r="E16481">
        <v>425001</v>
      </c>
      <c r="F16481" t="s">
        <v>1</v>
      </c>
      <c r="G16481" t="s">
        <v>52955</v>
      </c>
      <c r="H16481" t="s">
        <v>53433</v>
      </c>
      <c r="P16481" t="s">
        <v>216</v>
      </c>
      <c r="Y16481" t="s">
        <v>55751</v>
      </c>
    </row>
    <row r="16482" spans="1:25" x14ac:dyDescent="0.25">
      <c r="A16482" t="str">
        <f>"1802657792"</f>
        <v>1802657792</v>
      </c>
      <c r="B16482" t="s">
        <v>930</v>
      </c>
      <c r="C16482" t="s">
        <v>927</v>
      </c>
      <c r="D16482" t="s">
        <v>927</v>
      </c>
      <c r="F16482" t="s">
        <v>1</v>
      </c>
      <c r="G16482" t="s">
        <v>52955</v>
      </c>
      <c r="H16482" t="s">
        <v>54316</v>
      </c>
      <c r="Y16482" t="s">
        <v>55752</v>
      </c>
    </row>
    <row r="16483" spans="1:25" x14ac:dyDescent="0.25">
      <c r="A16483" t="str">
        <f>"1803267876"</f>
        <v>1803267876</v>
      </c>
      <c r="B16483" t="s">
        <v>1573</v>
      </c>
      <c r="C16483" t="s">
        <v>1817</v>
      </c>
      <c r="D16483" t="s">
        <v>55753</v>
      </c>
      <c r="E16483">
        <v>425008</v>
      </c>
      <c r="F16483" t="s">
        <v>1</v>
      </c>
      <c r="G16483" t="s">
        <v>52955</v>
      </c>
      <c r="H16483" t="s">
        <v>55156</v>
      </c>
      <c r="P16483" t="s">
        <v>34916</v>
      </c>
      <c r="Y16483" t="s">
        <v>55157</v>
      </c>
    </row>
    <row r="16484" spans="1:25" x14ac:dyDescent="0.25">
      <c r="A16484" t="str">
        <f>"1803328500"</f>
        <v>1803328500</v>
      </c>
      <c r="B16484" t="s">
        <v>574</v>
      </c>
      <c r="C16484" t="s">
        <v>37753</v>
      </c>
      <c r="D16484" t="s">
        <v>55754</v>
      </c>
      <c r="F16484" t="s">
        <v>1</v>
      </c>
      <c r="G16484" t="s">
        <v>52955</v>
      </c>
      <c r="H16484" t="s">
        <v>55608</v>
      </c>
      <c r="P16484" t="s">
        <v>216</v>
      </c>
      <c r="Y16484" t="s">
        <v>55755</v>
      </c>
    </row>
    <row r="16485" spans="1:25" x14ac:dyDescent="0.25">
      <c r="A16485" t="str">
        <f>"1803357097"</f>
        <v>1803357097</v>
      </c>
      <c r="B16485" t="s">
        <v>574</v>
      </c>
      <c r="C16485" t="s">
        <v>646</v>
      </c>
      <c r="D16485" t="s">
        <v>23495</v>
      </c>
      <c r="E16485">
        <v>425009</v>
      </c>
      <c r="F16485" t="s">
        <v>1</v>
      </c>
      <c r="G16485" t="s">
        <v>52955</v>
      </c>
      <c r="H16485" t="s">
        <v>55039</v>
      </c>
      <c r="P16485" t="s">
        <v>7436</v>
      </c>
      <c r="Y16485" t="s">
        <v>55756</v>
      </c>
    </row>
    <row r="16486" spans="1:25" x14ac:dyDescent="0.25">
      <c r="A16486" t="str">
        <f>"1804093501"</f>
        <v>1804093501</v>
      </c>
      <c r="B16486" t="s">
        <v>716</v>
      </c>
      <c r="C16486" t="s">
        <v>717</v>
      </c>
      <c r="D16486" t="s">
        <v>55757</v>
      </c>
      <c r="E16486">
        <v>425003</v>
      </c>
      <c r="F16486" t="s">
        <v>1</v>
      </c>
      <c r="G16486" t="s">
        <v>52955</v>
      </c>
      <c r="H16486" t="s">
        <v>53610</v>
      </c>
      <c r="J16486" t="s">
        <v>55758</v>
      </c>
      <c r="P16486" t="s">
        <v>330</v>
      </c>
      <c r="Y16486" t="s">
        <v>55759</v>
      </c>
    </row>
    <row r="16487" spans="1:25" x14ac:dyDescent="0.25">
      <c r="A16487" t="str">
        <f>"1804522168"</f>
        <v>1804522168</v>
      </c>
      <c r="B16487" t="s">
        <v>482</v>
      </c>
      <c r="C16487" t="s">
        <v>55763</v>
      </c>
      <c r="D16487" t="s">
        <v>55760</v>
      </c>
      <c r="F16487" t="s">
        <v>1</v>
      </c>
      <c r="G16487" t="s">
        <v>52955</v>
      </c>
      <c r="H16487" t="s">
        <v>55761</v>
      </c>
      <c r="J16487" t="s">
        <v>55762</v>
      </c>
      <c r="P16487" t="s">
        <v>799</v>
      </c>
      <c r="Y16487" t="s">
        <v>55764</v>
      </c>
    </row>
    <row r="16488" spans="1:25" x14ac:dyDescent="0.25">
      <c r="A16488" t="str">
        <f>"1804635870"</f>
        <v>1804635870</v>
      </c>
      <c r="B16488" t="s">
        <v>96</v>
      </c>
      <c r="C16488" t="s">
        <v>893</v>
      </c>
      <c r="D16488" t="s">
        <v>55765</v>
      </c>
      <c r="E16488">
        <v>425000</v>
      </c>
      <c r="F16488" t="s">
        <v>1</v>
      </c>
      <c r="G16488" t="s">
        <v>52955</v>
      </c>
      <c r="H16488" t="s">
        <v>55115</v>
      </c>
      <c r="P16488" t="s">
        <v>2731</v>
      </c>
      <c r="Y16488" t="s">
        <v>55561</v>
      </c>
    </row>
    <row r="16489" spans="1:25" x14ac:dyDescent="0.25">
      <c r="A16489" t="str">
        <f>"1804777408"</f>
        <v>1804777408</v>
      </c>
      <c r="B16489" t="s">
        <v>519</v>
      </c>
      <c r="C16489" t="s">
        <v>12412</v>
      </c>
      <c r="D16489" t="s">
        <v>55766</v>
      </c>
      <c r="E16489">
        <v>425000</v>
      </c>
      <c r="F16489" t="s">
        <v>1</v>
      </c>
      <c r="G16489" t="s">
        <v>52955</v>
      </c>
      <c r="H16489" t="s">
        <v>55767</v>
      </c>
      <c r="J16489" t="s">
        <v>55768</v>
      </c>
      <c r="P16489" t="s">
        <v>330</v>
      </c>
      <c r="Y16489" t="s">
        <v>55769</v>
      </c>
    </row>
    <row r="16490" spans="1:25" x14ac:dyDescent="0.25">
      <c r="A16490" t="str">
        <f>"1804979766"</f>
        <v>1804979766</v>
      </c>
      <c r="B16490" t="s">
        <v>797</v>
      </c>
      <c r="C16490" t="s">
        <v>5123</v>
      </c>
      <c r="D16490" t="s">
        <v>7539</v>
      </c>
      <c r="E16490">
        <v>425009</v>
      </c>
      <c r="F16490" t="s">
        <v>1</v>
      </c>
      <c r="G16490" t="s">
        <v>52955</v>
      </c>
      <c r="H16490" t="s">
        <v>53696</v>
      </c>
      <c r="I16490" t="s">
        <v>55770</v>
      </c>
      <c r="P16490" t="s">
        <v>2050</v>
      </c>
      <c r="Y16490" t="s">
        <v>55771</v>
      </c>
    </row>
    <row r="16491" spans="1:25" x14ac:dyDescent="0.25">
      <c r="A16491" t="str">
        <f>"1805522923"</f>
        <v>1805522923</v>
      </c>
      <c r="B16491" t="s">
        <v>574</v>
      </c>
      <c r="C16491" t="s">
        <v>646</v>
      </c>
      <c r="D16491" t="s">
        <v>4221</v>
      </c>
      <c r="E16491">
        <v>425005</v>
      </c>
      <c r="F16491" t="s">
        <v>1</v>
      </c>
      <c r="G16491" t="s">
        <v>52955</v>
      </c>
      <c r="H16491" t="s">
        <v>55772</v>
      </c>
      <c r="P16491" t="s">
        <v>410</v>
      </c>
      <c r="Y16491" t="s">
        <v>55773</v>
      </c>
    </row>
    <row r="16492" spans="1:25" x14ac:dyDescent="0.25">
      <c r="A16492" t="str">
        <f>"1805860354"</f>
        <v>1805860354</v>
      </c>
      <c r="B16492" t="s">
        <v>7312</v>
      </c>
      <c r="C16492" t="s">
        <v>55775</v>
      </c>
      <c r="D16492" t="s">
        <v>3882</v>
      </c>
      <c r="F16492" t="s">
        <v>1</v>
      </c>
      <c r="G16492" t="s">
        <v>52955</v>
      </c>
      <c r="H16492" t="s">
        <v>53871</v>
      </c>
      <c r="J16492" t="s">
        <v>55774</v>
      </c>
      <c r="L16492" t="s">
        <v>21059</v>
      </c>
      <c r="P16492" t="s">
        <v>390</v>
      </c>
      <c r="Q16492" t="s">
        <v>55776</v>
      </c>
      <c r="S16492" t="s">
        <v>55777</v>
      </c>
      <c r="T16492" t="s">
        <v>55778</v>
      </c>
      <c r="Y16492" t="s">
        <v>53876</v>
      </c>
    </row>
    <row r="16493" spans="1:25" x14ac:dyDescent="0.25">
      <c r="A16493" t="str">
        <f>"1806453930"</f>
        <v>1806453930</v>
      </c>
      <c r="B16493" t="s">
        <v>1544</v>
      </c>
      <c r="C16493" t="s">
        <v>15598</v>
      </c>
      <c r="D16493" t="s">
        <v>55779</v>
      </c>
      <c r="E16493">
        <v>425011</v>
      </c>
      <c r="F16493" t="s">
        <v>1</v>
      </c>
      <c r="G16493" t="s">
        <v>52955</v>
      </c>
      <c r="H16493" t="s">
        <v>55780</v>
      </c>
      <c r="P16493" t="s">
        <v>60</v>
      </c>
      <c r="Y16493" t="s">
        <v>55781</v>
      </c>
    </row>
    <row r="16494" spans="1:25" x14ac:dyDescent="0.25">
      <c r="A16494" t="str">
        <f>"1806473267"</f>
        <v>1806473267</v>
      </c>
      <c r="B16494" t="s">
        <v>1343</v>
      </c>
      <c r="C16494" t="s">
        <v>13544</v>
      </c>
      <c r="D16494" t="s">
        <v>13544</v>
      </c>
      <c r="E16494">
        <v>425000</v>
      </c>
      <c r="F16494" t="s">
        <v>1</v>
      </c>
      <c r="G16494" t="s">
        <v>52955</v>
      </c>
      <c r="H16494" t="s">
        <v>54206</v>
      </c>
      <c r="Y16494" t="s">
        <v>55209</v>
      </c>
    </row>
    <row r="16495" spans="1:25" x14ac:dyDescent="0.25">
      <c r="A16495" t="str">
        <f>"1806712109"</f>
        <v>1806712109</v>
      </c>
      <c r="B16495" t="s">
        <v>1352</v>
      </c>
      <c r="C16495" t="s">
        <v>1353</v>
      </c>
      <c r="D16495" t="s">
        <v>3871</v>
      </c>
      <c r="E16495">
        <v>425000</v>
      </c>
      <c r="F16495" t="s">
        <v>1</v>
      </c>
      <c r="G16495" t="s">
        <v>52955</v>
      </c>
      <c r="H16495" t="s">
        <v>54206</v>
      </c>
      <c r="J16495" t="s">
        <v>55782</v>
      </c>
      <c r="P16495" t="s">
        <v>133</v>
      </c>
      <c r="Y16495" t="s">
        <v>55783</v>
      </c>
    </row>
    <row r="16496" spans="1:25" x14ac:dyDescent="0.25">
      <c r="A16496" t="str">
        <f>"1807902657"</f>
        <v>1807902657</v>
      </c>
      <c r="B16496" t="s">
        <v>96</v>
      </c>
      <c r="C16496" t="s">
        <v>893</v>
      </c>
      <c r="D16496" t="s">
        <v>27797</v>
      </c>
      <c r="F16496" t="s">
        <v>1</v>
      </c>
      <c r="G16496" t="s">
        <v>52955</v>
      </c>
      <c r="H16496" t="s">
        <v>55784</v>
      </c>
      <c r="Y16496" t="s">
        <v>55785</v>
      </c>
    </row>
    <row r="16497" spans="1:25" x14ac:dyDescent="0.25">
      <c r="A16497" t="str">
        <f>"1808273483"</f>
        <v>1808273483</v>
      </c>
      <c r="B16497" t="s">
        <v>1475</v>
      </c>
      <c r="C16497" t="s">
        <v>1476</v>
      </c>
      <c r="D16497" t="s">
        <v>1476</v>
      </c>
      <c r="F16497" t="s">
        <v>1</v>
      </c>
      <c r="G16497" t="s">
        <v>52955</v>
      </c>
      <c r="H16497" t="s">
        <v>53404</v>
      </c>
      <c r="P16497" t="s">
        <v>55786</v>
      </c>
      <c r="Y16497" t="s">
        <v>55787</v>
      </c>
    </row>
    <row r="16498" spans="1:25" x14ac:dyDescent="0.25">
      <c r="A16498" t="str">
        <f>"1808902725"</f>
        <v>1808902725</v>
      </c>
      <c r="B16498" t="s">
        <v>1343</v>
      </c>
      <c r="C16498" t="s">
        <v>5308</v>
      </c>
      <c r="D16498" t="s">
        <v>55788</v>
      </c>
      <c r="F16498" t="s">
        <v>1</v>
      </c>
      <c r="G16498" t="s">
        <v>52955</v>
      </c>
      <c r="H16498" t="s">
        <v>53404</v>
      </c>
      <c r="P16498" t="s">
        <v>52990</v>
      </c>
      <c r="Y16498" t="s">
        <v>55789</v>
      </c>
    </row>
    <row r="16499" spans="1:25" x14ac:dyDescent="0.25">
      <c r="A16499" t="str">
        <f>"1808939462"</f>
        <v>1808939462</v>
      </c>
      <c r="B16499" t="s">
        <v>96</v>
      </c>
      <c r="C16499" t="s">
        <v>7071</v>
      </c>
      <c r="D16499" t="s">
        <v>55790</v>
      </c>
      <c r="E16499">
        <v>425001</v>
      </c>
      <c r="F16499" t="s">
        <v>1</v>
      </c>
      <c r="G16499" t="s">
        <v>52955</v>
      </c>
      <c r="H16499" t="s">
        <v>55791</v>
      </c>
      <c r="P16499" t="s">
        <v>362</v>
      </c>
      <c r="Y16499" t="s">
        <v>55792</v>
      </c>
    </row>
    <row r="16500" spans="1:25" x14ac:dyDescent="0.25">
      <c r="A16500" t="str">
        <f>"1809046198"</f>
        <v>1809046198</v>
      </c>
      <c r="B16500" t="s">
        <v>32</v>
      </c>
      <c r="C16500" t="s">
        <v>5623</v>
      </c>
      <c r="D16500" t="s">
        <v>29167</v>
      </c>
      <c r="E16500">
        <v>425001</v>
      </c>
      <c r="F16500" t="s">
        <v>1</v>
      </c>
      <c r="G16500" t="s">
        <v>52955</v>
      </c>
      <c r="H16500" t="s">
        <v>55791</v>
      </c>
      <c r="P16500" t="s">
        <v>816</v>
      </c>
      <c r="Y16500" t="s">
        <v>55793</v>
      </c>
    </row>
    <row r="16501" spans="1:25" x14ac:dyDescent="0.25">
      <c r="A16501" t="str">
        <f>"1809691979"</f>
        <v>1809691979</v>
      </c>
      <c r="B16501" t="s">
        <v>32</v>
      </c>
      <c r="C16501" t="s">
        <v>40</v>
      </c>
      <c r="D16501" t="s">
        <v>55794</v>
      </c>
      <c r="F16501" t="s">
        <v>1</v>
      </c>
      <c r="G16501" t="s">
        <v>52955</v>
      </c>
      <c r="H16501" t="s">
        <v>55795</v>
      </c>
      <c r="P16501" t="s">
        <v>312</v>
      </c>
      <c r="Y16501" t="s">
        <v>55796</v>
      </c>
    </row>
    <row r="16502" spans="1:25" x14ac:dyDescent="0.25">
      <c r="A16502" t="str">
        <f>"1811536566"</f>
        <v>1811536566</v>
      </c>
      <c r="B16502" t="s">
        <v>1152</v>
      </c>
      <c r="C16502" t="s">
        <v>55799</v>
      </c>
      <c r="D16502" t="s">
        <v>12083</v>
      </c>
      <c r="F16502" t="s">
        <v>1</v>
      </c>
      <c r="G16502" t="s">
        <v>52955</v>
      </c>
      <c r="H16502" t="s">
        <v>53404</v>
      </c>
      <c r="J16502" t="s">
        <v>55797</v>
      </c>
      <c r="L16502" t="s">
        <v>55798</v>
      </c>
      <c r="P16502" t="s">
        <v>11090</v>
      </c>
      <c r="Q16502" t="s">
        <v>55800</v>
      </c>
      <c r="Y16502" t="s">
        <v>55801</v>
      </c>
    </row>
    <row r="16503" spans="1:25" x14ac:dyDescent="0.25">
      <c r="A16503" t="str">
        <f>"1818278134"</f>
        <v>1818278134</v>
      </c>
      <c r="B16503" t="s">
        <v>67</v>
      </c>
      <c r="C16503" t="s">
        <v>269</v>
      </c>
      <c r="D16503" t="s">
        <v>55802</v>
      </c>
      <c r="E16503">
        <v>425000</v>
      </c>
      <c r="F16503" t="s">
        <v>1</v>
      </c>
      <c r="G16503" t="s">
        <v>52955</v>
      </c>
      <c r="H16503" t="s">
        <v>52956</v>
      </c>
      <c r="P16503" t="s">
        <v>9</v>
      </c>
      <c r="Y16503" t="s">
        <v>55803</v>
      </c>
    </row>
    <row r="16504" spans="1:25" x14ac:dyDescent="0.25">
      <c r="A16504" t="str">
        <f>"1820019061"</f>
        <v>1820019061</v>
      </c>
      <c r="B16504" t="s">
        <v>24124</v>
      </c>
      <c r="C16504" t="s">
        <v>36327</v>
      </c>
      <c r="D16504" t="s">
        <v>55804</v>
      </c>
      <c r="E16504">
        <v>425001</v>
      </c>
      <c r="F16504" t="s">
        <v>1</v>
      </c>
      <c r="G16504" t="s">
        <v>52955</v>
      </c>
      <c r="H16504" t="s">
        <v>53465</v>
      </c>
      <c r="J16504" t="s">
        <v>55805</v>
      </c>
      <c r="P16504" t="s">
        <v>27</v>
      </c>
      <c r="Y16504" t="s">
        <v>55806</v>
      </c>
    </row>
    <row r="16505" spans="1:25" x14ac:dyDescent="0.25">
      <c r="A16505" t="str">
        <f>"1826806390"</f>
        <v>1826806390</v>
      </c>
      <c r="B16505" t="s">
        <v>1262</v>
      </c>
      <c r="C16505" t="s">
        <v>55810</v>
      </c>
      <c r="D16505" t="s">
        <v>55807</v>
      </c>
      <c r="F16505" t="s">
        <v>1</v>
      </c>
      <c r="G16505" t="s">
        <v>52955</v>
      </c>
      <c r="H16505" t="s">
        <v>55808</v>
      </c>
      <c r="J16505" t="s">
        <v>55809</v>
      </c>
      <c r="P16505" t="s">
        <v>799</v>
      </c>
      <c r="Y16505" t="s">
        <v>55811</v>
      </c>
    </row>
    <row r="16506" spans="1:25" x14ac:dyDescent="0.25">
      <c r="A16506" t="str">
        <f>"1832263801"</f>
        <v>1832263801</v>
      </c>
      <c r="B16506" t="s">
        <v>654</v>
      </c>
      <c r="C16506" t="s">
        <v>2195</v>
      </c>
      <c r="D16506" t="s">
        <v>55812</v>
      </c>
      <c r="E16506">
        <v>425000</v>
      </c>
      <c r="F16506" t="s">
        <v>1</v>
      </c>
      <c r="G16506" t="s">
        <v>52955</v>
      </c>
      <c r="H16506" t="s">
        <v>53752</v>
      </c>
      <c r="P16506" t="s">
        <v>330</v>
      </c>
      <c r="Y16506" t="s">
        <v>54282</v>
      </c>
    </row>
    <row r="16507" spans="1:25" x14ac:dyDescent="0.25">
      <c r="A16507" t="str">
        <f>"1833093085"</f>
        <v>1833093085</v>
      </c>
      <c r="B16507" t="s">
        <v>96</v>
      </c>
      <c r="C16507" t="s">
        <v>19281</v>
      </c>
      <c r="D16507" t="s">
        <v>55813</v>
      </c>
      <c r="E16507">
        <v>425008</v>
      </c>
      <c r="F16507" t="s">
        <v>1</v>
      </c>
      <c r="G16507" t="s">
        <v>52955</v>
      </c>
      <c r="H16507" t="s">
        <v>53617</v>
      </c>
      <c r="P16507" t="s">
        <v>605</v>
      </c>
      <c r="Y16507" t="s">
        <v>55814</v>
      </c>
    </row>
    <row r="16508" spans="1:25" x14ac:dyDescent="0.25">
      <c r="A16508" t="str">
        <f>"1835457902"</f>
        <v>1835457902</v>
      </c>
      <c r="B16508" t="s">
        <v>96</v>
      </c>
      <c r="C16508" t="s">
        <v>893</v>
      </c>
      <c r="D16508" t="s">
        <v>893</v>
      </c>
      <c r="F16508" t="s">
        <v>1</v>
      </c>
      <c r="G16508" t="s">
        <v>52955</v>
      </c>
      <c r="H16508" t="s">
        <v>54042</v>
      </c>
      <c r="Y16508" t="s">
        <v>55815</v>
      </c>
    </row>
    <row r="16509" spans="1:25" x14ac:dyDescent="0.25">
      <c r="A16509" t="str">
        <f>"1851926731"</f>
        <v>1851926731</v>
      </c>
      <c r="B16509" t="s">
        <v>574</v>
      </c>
      <c r="C16509" t="s">
        <v>952</v>
      </c>
      <c r="D16509" t="s">
        <v>55816</v>
      </c>
      <c r="F16509" t="s">
        <v>1</v>
      </c>
      <c r="G16509" t="s">
        <v>52955</v>
      </c>
      <c r="H16509" t="s">
        <v>55724</v>
      </c>
      <c r="P16509" t="s">
        <v>9840</v>
      </c>
      <c r="Y16509" t="s">
        <v>55817</v>
      </c>
    </row>
    <row r="16510" spans="1:25" x14ac:dyDescent="0.25">
      <c r="A16510" t="str">
        <f>"1864847537"</f>
        <v>1864847537</v>
      </c>
      <c r="B16510" t="s">
        <v>1343</v>
      </c>
      <c r="C16510" t="s">
        <v>1344</v>
      </c>
      <c r="D16510" t="s">
        <v>55818</v>
      </c>
      <c r="E16510">
        <v>425009</v>
      </c>
      <c r="F16510" t="s">
        <v>1</v>
      </c>
      <c r="G16510" t="s">
        <v>52955</v>
      </c>
      <c r="H16510" t="s">
        <v>55273</v>
      </c>
      <c r="J16510" t="s">
        <v>55819</v>
      </c>
      <c r="P16510" t="s">
        <v>2050</v>
      </c>
      <c r="Y16510" t="s">
        <v>55820</v>
      </c>
    </row>
    <row r="16511" spans="1:25" x14ac:dyDescent="0.25">
      <c r="A16511" t="str">
        <f>"1867952022"</f>
        <v>1867952022</v>
      </c>
      <c r="B16511" t="s">
        <v>48</v>
      </c>
      <c r="C16511" t="s">
        <v>16070</v>
      </c>
      <c r="D16511" t="s">
        <v>55821</v>
      </c>
      <c r="E16511">
        <v>425009</v>
      </c>
      <c r="F16511" t="s">
        <v>1</v>
      </c>
      <c r="G16511" t="s">
        <v>52955</v>
      </c>
      <c r="H16511" t="s">
        <v>53696</v>
      </c>
      <c r="J16511" t="s">
        <v>55822</v>
      </c>
      <c r="P16511" t="s">
        <v>55823</v>
      </c>
      <c r="Q16511" t="s">
        <v>55824</v>
      </c>
      <c r="V16511" t="s">
        <v>55825</v>
      </c>
      <c r="Y16511" t="s">
        <v>54787</v>
      </c>
    </row>
    <row r="16512" spans="1:25" x14ac:dyDescent="0.25">
      <c r="A16512" t="str">
        <f>"1871412106"</f>
        <v>1871412106</v>
      </c>
      <c r="B16512" t="s">
        <v>482</v>
      </c>
      <c r="C16512" t="s">
        <v>55830</v>
      </c>
      <c r="D16512" t="s">
        <v>55826</v>
      </c>
      <c r="F16512" t="s">
        <v>1</v>
      </c>
      <c r="G16512" t="s">
        <v>52955</v>
      </c>
      <c r="H16512" t="s">
        <v>55795</v>
      </c>
      <c r="I16512" t="s">
        <v>55827</v>
      </c>
      <c r="J16512" t="s">
        <v>55828</v>
      </c>
      <c r="M16512" t="s">
        <v>55829</v>
      </c>
      <c r="P16512" t="s">
        <v>6764</v>
      </c>
      <c r="Q16512" t="s">
        <v>55831</v>
      </c>
      <c r="Y16512" t="s">
        <v>55832</v>
      </c>
    </row>
    <row r="16513" spans="1:25" x14ac:dyDescent="0.25">
      <c r="A16513" t="str">
        <f>"1881942243"</f>
        <v>1881942243</v>
      </c>
      <c r="B16513" t="s">
        <v>18</v>
      </c>
      <c r="C16513" t="s">
        <v>13796</v>
      </c>
      <c r="D16513" t="s">
        <v>55833</v>
      </c>
      <c r="F16513" t="s">
        <v>1</v>
      </c>
      <c r="G16513" t="s">
        <v>52955</v>
      </c>
      <c r="H16513" t="s">
        <v>53198</v>
      </c>
      <c r="J16513" t="s">
        <v>55834</v>
      </c>
      <c r="P16513" t="s">
        <v>1433</v>
      </c>
      <c r="Q16513" t="s">
        <v>55835</v>
      </c>
      <c r="Y16513" t="s">
        <v>55836</v>
      </c>
    </row>
    <row r="16514" spans="1:25" x14ac:dyDescent="0.25">
      <c r="A16514" t="str">
        <f>"1896733456"</f>
        <v>1896733456</v>
      </c>
      <c r="B16514" t="s">
        <v>32</v>
      </c>
      <c r="C16514" t="s">
        <v>55837</v>
      </c>
      <c r="D16514" t="s">
        <v>31854</v>
      </c>
      <c r="E16514">
        <v>425003</v>
      </c>
      <c r="F16514" t="s">
        <v>1</v>
      </c>
      <c r="G16514" t="s">
        <v>52955</v>
      </c>
      <c r="H16514" t="s">
        <v>53559</v>
      </c>
      <c r="P16514" t="s">
        <v>2050</v>
      </c>
      <c r="Y16514" t="s">
        <v>55838</v>
      </c>
    </row>
    <row r="16515" spans="1:25" x14ac:dyDescent="0.25">
      <c r="A16515" t="str">
        <f>"1897840890"</f>
        <v>1897840890</v>
      </c>
      <c r="B16515" t="s">
        <v>738</v>
      </c>
      <c r="C16515" t="s">
        <v>55841</v>
      </c>
      <c r="D16515" t="s">
        <v>43240</v>
      </c>
      <c r="E16515">
        <v>425000</v>
      </c>
      <c r="F16515" t="s">
        <v>1</v>
      </c>
      <c r="G16515" t="s">
        <v>52955</v>
      </c>
      <c r="H16515" t="s">
        <v>55529</v>
      </c>
      <c r="J16515" t="s">
        <v>55839</v>
      </c>
      <c r="L16515" t="s">
        <v>33332</v>
      </c>
      <c r="M16515" t="s">
        <v>55840</v>
      </c>
      <c r="P16515" t="s">
        <v>3393</v>
      </c>
      <c r="Q16515" t="s">
        <v>55842</v>
      </c>
      <c r="Y16515" t="s">
        <v>55843</v>
      </c>
    </row>
    <row r="16516" spans="1:25" x14ac:dyDescent="0.25">
      <c r="A16516" t="str">
        <f>"1899594361"</f>
        <v>1899594361</v>
      </c>
      <c r="B16516" t="s">
        <v>18</v>
      </c>
      <c r="C16516" t="s">
        <v>55845</v>
      </c>
      <c r="D16516" t="s">
        <v>225</v>
      </c>
      <c r="F16516" t="s">
        <v>1</v>
      </c>
      <c r="G16516" t="s">
        <v>52955</v>
      </c>
      <c r="H16516" t="s">
        <v>53404</v>
      </c>
      <c r="I16516" t="s">
        <v>55844</v>
      </c>
      <c r="P16516" t="s">
        <v>6764</v>
      </c>
      <c r="Y16516" t="s">
        <v>53547</v>
      </c>
    </row>
    <row r="16517" spans="1:25" x14ac:dyDescent="0.25">
      <c r="A16517" t="str">
        <f>"1900249203"</f>
        <v>1900249203</v>
      </c>
      <c r="B16517" t="s">
        <v>530</v>
      </c>
      <c r="C16517" t="s">
        <v>531</v>
      </c>
      <c r="D16517" t="s">
        <v>24653</v>
      </c>
      <c r="F16517" t="s">
        <v>1</v>
      </c>
      <c r="G16517" t="s">
        <v>52955</v>
      </c>
      <c r="H16517" t="s">
        <v>55846</v>
      </c>
      <c r="I16517" t="s">
        <v>55847</v>
      </c>
      <c r="J16517" t="s">
        <v>24655</v>
      </c>
      <c r="P16517" t="s">
        <v>540</v>
      </c>
      <c r="Y16517" t="s">
        <v>55848</v>
      </c>
    </row>
    <row r="16518" spans="1:25" x14ac:dyDescent="0.25">
      <c r="A16518" t="str">
        <f>"1901385700"</f>
        <v>1901385700</v>
      </c>
      <c r="B16518" t="s">
        <v>482</v>
      </c>
      <c r="C16518" t="s">
        <v>6009</v>
      </c>
      <c r="D16518" t="s">
        <v>55849</v>
      </c>
      <c r="E16518">
        <v>425000</v>
      </c>
      <c r="F16518" t="s">
        <v>1</v>
      </c>
      <c r="G16518" t="s">
        <v>52955</v>
      </c>
      <c r="H16518" t="s">
        <v>53093</v>
      </c>
      <c r="J16518" t="s">
        <v>55850</v>
      </c>
      <c r="P16518" t="s">
        <v>280</v>
      </c>
      <c r="Y16518" t="s">
        <v>53099</v>
      </c>
    </row>
    <row r="16519" spans="1:25" x14ac:dyDescent="0.25">
      <c r="A16519" t="str">
        <f>"1901435522"</f>
        <v>1901435522</v>
      </c>
      <c r="B16519" t="s">
        <v>290</v>
      </c>
      <c r="C16519" t="s">
        <v>291</v>
      </c>
      <c r="D16519" t="s">
        <v>6265</v>
      </c>
      <c r="E16519">
        <v>425001</v>
      </c>
      <c r="F16519" t="s">
        <v>1</v>
      </c>
      <c r="G16519" t="s">
        <v>52955</v>
      </c>
      <c r="H16519" t="s">
        <v>54874</v>
      </c>
      <c r="I16519" t="s">
        <v>54875</v>
      </c>
      <c r="P16519" t="s">
        <v>9840</v>
      </c>
      <c r="Y16519" t="s">
        <v>55851</v>
      </c>
    </row>
    <row r="16520" spans="1:25" x14ac:dyDescent="0.25">
      <c r="A16520" t="str">
        <f>"1906261489"</f>
        <v>1906261489</v>
      </c>
      <c r="B16520" t="s">
        <v>96</v>
      </c>
      <c r="C16520" t="s">
        <v>893</v>
      </c>
      <c r="D16520" t="s">
        <v>55852</v>
      </c>
      <c r="F16520" t="s">
        <v>1</v>
      </c>
      <c r="G16520" t="s">
        <v>52955</v>
      </c>
      <c r="H16520" t="s">
        <v>55761</v>
      </c>
      <c r="P16520" t="s">
        <v>133</v>
      </c>
      <c r="Y16520" t="s">
        <v>55853</v>
      </c>
    </row>
    <row r="16521" spans="1:25" x14ac:dyDescent="0.25">
      <c r="A16521" t="str">
        <f>"1907089100"</f>
        <v>1907089100</v>
      </c>
      <c r="B16521" t="s">
        <v>290</v>
      </c>
      <c r="C16521" t="s">
        <v>290</v>
      </c>
      <c r="D16521" t="s">
        <v>32629</v>
      </c>
      <c r="F16521" t="s">
        <v>1</v>
      </c>
      <c r="G16521" t="s">
        <v>52955</v>
      </c>
      <c r="H16521" t="s">
        <v>55854</v>
      </c>
      <c r="J16521" t="s">
        <v>55855</v>
      </c>
      <c r="Y16521" t="s">
        <v>55856</v>
      </c>
    </row>
    <row r="16522" spans="1:25" x14ac:dyDescent="0.25">
      <c r="A16522" t="str">
        <f>"1908371469"</f>
        <v>1908371469</v>
      </c>
      <c r="B16522" t="s">
        <v>716</v>
      </c>
      <c r="C16522" t="s">
        <v>717</v>
      </c>
      <c r="D16522" t="s">
        <v>55857</v>
      </c>
      <c r="F16522" t="s">
        <v>1</v>
      </c>
      <c r="G16522" t="s">
        <v>52955</v>
      </c>
      <c r="H16522" t="s">
        <v>55858</v>
      </c>
      <c r="I16522" t="s">
        <v>55859</v>
      </c>
      <c r="J16522" t="s">
        <v>55860</v>
      </c>
      <c r="P16522" t="s">
        <v>330</v>
      </c>
      <c r="Y16522" t="s">
        <v>55861</v>
      </c>
    </row>
    <row r="16523" spans="1:25" x14ac:dyDescent="0.25">
      <c r="A16523" t="str">
        <f>"1933154858"</f>
        <v>1933154858</v>
      </c>
      <c r="B16523" t="s">
        <v>574</v>
      </c>
      <c r="C16523" t="s">
        <v>646</v>
      </c>
      <c r="D16523" t="s">
        <v>646</v>
      </c>
      <c r="F16523" t="s">
        <v>1</v>
      </c>
      <c r="G16523" t="s">
        <v>52955</v>
      </c>
      <c r="H16523" t="s">
        <v>55316</v>
      </c>
      <c r="P16523" t="s">
        <v>216</v>
      </c>
      <c r="Y16523" t="s">
        <v>55862</v>
      </c>
    </row>
    <row r="16524" spans="1:25" x14ac:dyDescent="0.25">
      <c r="A16524" t="str">
        <f>"1933329069"</f>
        <v>1933329069</v>
      </c>
      <c r="B16524" t="s">
        <v>32</v>
      </c>
      <c r="C16524" t="s">
        <v>40</v>
      </c>
      <c r="D16524" t="s">
        <v>31437</v>
      </c>
      <c r="E16524">
        <v>425008</v>
      </c>
      <c r="F16524" t="s">
        <v>1</v>
      </c>
      <c r="G16524" t="s">
        <v>52955</v>
      </c>
      <c r="H16524" t="s">
        <v>53794</v>
      </c>
      <c r="P16524" t="s">
        <v>816</v>
      </c>
      <c r="Y16524" t="s">
        <v>55863</v>
      </c>
    </row>
    <row r="16525" spans="1:25" x14ac:dyDescent="0.25">
      <c r="A16525" t="str">
        <f>"1935925811"</f>
        <v>1935925811</v>
      </c>
      <c r="B16525" t="s">
        <v>3573</v>
      </c>
      <c r="C16525" t="s">
        <v>3644</v>
      </c>
      <c r="D16525" t="s">
        <v>4269</v>
      </c>
      <c r="E16525">
        <v>425005</v>
      </c>
      <c r="F16525" t="s">
        <v>1</v>
      </c>
      <c r="G16525" t="s">
        <v>52955</v>
      </c>
      <c r="H16525" t="s">
        <v>55864</v>
      </c>
      <c r="J16525" t="s">
        <v>55865</v>
      </c>
      <c r="P16525" t="s">
        <v>27</v>
      </c>
      <c r="Y16525" t="s">
        <v>55866</v>
      </c>
    </row>
    <row r="16526" spans="1:25" x14ac:dyDescent="0.25">
      <c r="A16526" t="str">
        <f>"1938461256"</f>
        <v>1938461256</v>
      </c>
      <c r="B16526" t="s">
        <v>397</v>
      </c>
      <c r="C16526" t="s">
        <v>55636</v>
      </c>
      <c r="D16526" t="s">
        <v>55867</v>
      </c>
      <c r="E16526">
        <v>425000</v>
      </c>
      <c r="F16526" t="s">
        <v>1</v>
      </c>
      <c r="G16526" t="s">
        <v>52955</v>
      </c>
      <c r="H16526" t="s">
        <v>54369</v>
      </c>
      <c r="I16526" t="s">
        <v>55868</v>
      </c>
      <c r="P16526" t="s">
        <v>2050</v>
      </c>
      <c r="Y16526" t="s">
        <v>55869</v>
      </c>
    </row>
    <row r="16527" spans="1:25" x14ac:dyDescent="0.25">
      <c r="A16527" t="str">
        <f>"2181207068"</f>
        <v>2181207068</v>
      </c>
      <c r="B16527" t="s">
        <v>574</v>
      </c>
      <c r="C16527" t="s">
        <v>646</v>
      </c>
      <c r="D16527" t="s">
        <v>4221</v>
      </c>
      <c r="E16527">
        <v>425003</v>
      </c>
      <c r="F16527" t="s">
        <v>1</v>
      </c>
      <c r="G16527" t="s">
        <v>52955</v>
      </c>
      <c r="H16527" t="s">
        <v>55870</v>
      </c>
      <c r="Y16527" t="s">
        <v>55871</v>
      </c>
    </row>
    <row r="16528" spans="1:25" x14ac:dyDescent="0.25">
      <c r="A16528" t="str">
        <f>"2333675556"</f>
        <v>2333675556</v>
      </c>
      <c r="B16528" t="s">
        <v>3094</v>
      </c>
      <c r="C16528" t="s">
        <v>3095</v>
      </c>
      <c r="D16528" t="s">
        <v>55872</v>
      </c>
      <c r="E16528">
        <v>425005</v>
      </c>
      <c r="F16528" t="s">
        <v>1</v>
      </c>
      <c r="G16528" t="s">
        <v>52955</v>
      </c>
      <c r="H16528" t="s">
        <v>55873</v>
      </c>
      <c r="Y16528" t="s">
        <v>55874</v>
      </c>
    </row>
    <row r="16529" spans="1:25" x14ac:dyDescent="0.25">
      <c r="A16529" t="str">
        <f>"2349711898"</f>
        <v>2349711898</v>
      </c>
      <c r="B16529" t="s">
        <v>96</v>
      </c>
      <c r="C16529" t="s">
        <v>3621</v>
      </c>
      <c r="D16529" t="s">
        <v>26416</v>
      </c>
      <c r="E16529">
        <v>425000</v>
      </c>
      <c r="F16529" t="s">
        <v>1</v>
      </c>
      <c r="G16529" t="s">
        <v>52955</v>
      </c>
      <c r="H16529" t="s">
        <v>53911</v>
      </c>
      <c r="J16529" t="s">
        <v>54657</v>
      </c>
      <c r="P16529" t="s">
        <v>54659</v>
      </c>
      <c r="Y16529" t="s">
        <v>55875</v>
      </c>
    </row>
    <row r="16530" spans="1:25" x14ac:dyDescent="0.25">
      <c r="A16530" t="str">
        <f>"2559330103"</f>
        <v>2559330103</v>
      </c>
      <c r="B16530" t="s">
        <v>319</v>
      </c>
      <c r="C16530" t="s">
        <v>320</v>
      </c>
      <c r="D16530" t="s">
        <v>2733</v>
      </c>
      <c r="F16530" t="s">
        <v>1</v>
      </c>
      <c r="G16530" t="s">
        <v>52955</v>
      </c>
      <c r="H16530" t="s">
        <v>55784</v>
      </c>
      <c r="Y16530" t="s">
        <v>55876</v>
      </c>
    </row>
    <row r="16531" spans="1:25" x14ac:dyDescent="0.25">
      <c r="A16531" t="str">
        <f>"2583525659"</f>
        <v>2583525659</v>
      </c>
      <c r="B16531" t="s">
        <v>3652</v>
      </c>
      <c r="C16531" t="s">
        <v>3685</v>
      </c>
      <c r="D16531" t="s">
        <v>55877</v>
      </c>
      <c r="F16531" t="s">
        <v>1</v>
      </c>
      <c r="G16531" t="s">
        <v>52955</v>
      </c>
      <c r="H16531" t="s">
        <v>55878</v>
      </c>
      <c r="Y16531" t="s">
        <v>55879</v>
      </c>
    </row>
    <row r="16532" spans="1:25" x14ac:dyDescent="0.25">
      <c r="A16532" t="str">
        <f>"2967428338"</f>
        <v>2967428338</v>
      </c>
      <c r="B16532" t="s">
        <v>10383</v>
      </c>
      <c r="C16532" t="s">
        <v>24146</v>
      </c>
      <c r="D16532" t="s">
        <v>24146</v>
      </c>
      <c r="E16532">
        <v>425000</v>
      </c>
      <c r="F16532" t="s">
        <v>1</v>
      </c>
      <c r="G16532" t="s">
        <v>52955</v>
      </c>
      <c r="H16532" t="s">
        <v>53068</v>
      </c>
      <c r="Y16532" t="s">
        <v>55880</v>
      </c>
    </row>
    <row r="16533" spans="1:25" x14ac:dyDescent="0.25">
      <c r="A16533" t="str">
        <f>"3097763601"</f>
        <v>3097763601</v>
      </c>
      <c r="B16533" t="s">
        <v>738</v>
      </c>
      <c r="C16533" t="s">
        <v>739</v>
      </c>
      <c r="D16533" t="s">
        <v>55881</v>
      </c>
      <c r="E16533">
        <v>425000</v>
      </c>
      <c r="F16533" t="s">
        <v>1</v>
      </c>
      <c r="G16533" t="s">
        <v>52955</v>
      </c>
      <c r="H16533" t="s">
        <v>53024</v>
      </c>
      <c r="Y16533" t="s">
        <v>55882</v>
      </c>
    </row>
    <row r="16534" spans="1:25" x14ac:dyDescent="0.25">
      <c r="A16534" t="str">
        <f>"3277293998"</f>
        <v>3277293998</v>
      </c>
      <c r="B16534" t="s">
        <v>25</v>
      </c>
      <c r="C16534" t="s">
        <v>59</v>
      </c>
      <c r="D16534" t="s">
        <v>55883</v>
      </c>
      <c r="E16534">
        <v>425008</v>
      </c>
      <c r="F16534" t="s">
        <v>1</v>
      </c>
      <c r="G16534" t="s">
        <v>52955</v>
      </c>
      <c r="H16534" t="s">
        <v>55884</v>
      </c>
      <c r="Y16534" t="s">
        <v>55885</v>
      </c>
    </row>
    <row r="16535" spans="1:25" x14ac:dyDescent="0.25">
      <c r="A16535" t="str">
        <f>"3310018091"</f>
        <v>3310018091</v>
      </c>
      <c r="B16535" t="s">
        <v>430</v>
      </c>
      <c r="C16535" t="s">
        <v>17210</v>
      </c>
      <c r="D16535" t="s">
        <v>55886</v>
      </c>
      <c r="E16535">
        <v>425000</v>
      </c>
      <c r="F16535" t="s">
        <v>1</v>
      </c>
      <c r="G16535" t="s">
        <v>52955</v>
      </c>
      <c r="H16535" t="s">
        <v>55887</v>
      </c>
      <c r="J16535" t="s">
        <v>55888</v>
      </c>
      <c r="P16535" t="s">
        <v>60</v>
      </c>
      <c r="Y16535" t="s">
        <v>55889</v>
      </c>
    </row>
    <row r="16536" spans="1:25" x14ac:dyDescent="0.25">
      <c r="A16536" t="str">
        <f>"3394373298"</f>
        <v>3394373298</v>
      </c>
      <c r="B16536" t="s">
        <v>530</v>
      </c>
      <c r="C16536" t="s">
        <v>23950</v>
      </c>
      <c r="D16536" t="s">
        <v>23950</v>
      </c>
      <c r="E16536">
        <v>425005</v>
      </c>
      <c r="F16536" t="s">
        <v>1</v>
      </c>
      <c r="G16536" t="s">
        <v>52955</v>
      </c>
      <c r="H16536" t="s">
        <v>55864</v>
      </c>
      <c r="Y16536" t="s">
        <v>55890</v>
      </c>
    </row>
    <row r="16537" spans="1:25" x14ac:dyDescent="0.25">
      <c r="A16537" t="str">
        <f>"3647846017"</f>
        <v>3647846017</v>
      </c>
      <c r="B16537" t="s">
        <v>96</v>
      </c>
      <c r="C16537" t="s">
        <v>55893</v>
      </c>
      <c r="D16537" t="s">
        <v>55891</v>
      </c>
      <c r="F16537" t="s">
        <v>1</v>
      </c>
      <c r="G16537" t="s">
        <v>52955</v>
      </c>
      <c r="H16537" t="s">
        <v>53435</v>
      </c>
      <c r="J16537" t="s">
        <v>55892</v>
      </c>
      <c r="P16537" t="s">
        <v>55894</v>
      </c>
      <c r="Y16537" t="s">
        <v>54849</v>
      </c>
    </row>
    <row r="16538" spans="1:25" x14ac:dyDescent="0.25">
      <c r="A16538" t="str">
        <f>"4494003588"</f>
        <v>4494003588</v>
      </c>
      <c r="B16538" t="s">
        <v>408</v>
      </c>
      <c r="C16538" t="s">
        <v>39372</v>
      </c>
      <c r="D16538" t="s">
        <v>55895</v>
      </c>
      <c r="F16538" t="s">
        <v>1</v>
      </c>
      <c r="G16538" t="s">
        <v>52955</v>
      </c>
      <c r="H16538" t="s">
        <v>53417</v>
      </c>
      <c r="I16538" t="s">
        <v>55896</v>
      </c>
      <c r="J16538" t="s">
        <v>55897</v>
      </c>
      <c r="P16538" t="s">
        <v>2658</v>
      </c>
      <c r="Q16538" t="s">
        <v>55898</v>
      </c>
      <c r="V16538" t="s">
        <v>55899</v>
      </c>
      <c r="Y16538" t="s">
        <v>55900</v>
      </c>
    </row>
    <row r="16539" spans="1:25" x14ac:dyDescent="0.25">
      <c r="A16539" t="str">
        <f>"4792544319"</f>
        <v>4792544319</v>
      </c>
      <c r="B16539" t="s">
        <v>233</v>
      </c>
      <c r="C16539" t="s">
        <v>55901</v>
      </c>
      <c r="D16539" t="s">
        <v>55901</v>
      </c>
      <c r="F16539" t="s">
        <v>1</v>
      </c>
      <c r="G16539" t="s">
        <v>52955</v>
      </c>
      <c r="H16539" t="s">
        <v>53243</v>
      </c>
      <c r="Y16539" t="s">
        <v>55902</v>
      </c>
    </row>
    <row r="16540" spans="1:25" x14ac:dyDescent="0.25">
      <c r="A16540" t="str">
        <f>"4871473809"</f>
        <v>4871473809</v>
      </c>
      <c r="B16540" t="s">
        <v>1046</v>
      </c>
      <c r="C16540" t="s">
        <v>22946</v>
      </c>
      <c r="D16540" t="s">
        <v>22946</v>
      </c>
      <c r="F16540" t="s">
        <v>1</v>
      </c>
      <c r="G16540" t="s">
        <v>52955</v>
      </c>
      <c r="H16540" t="s">
        <v>55903</v>
      </c>
      <c r="Y16540" t="s">
        <v>55904</v>
      </c>
    </row>
    <row r="16541" spans="1:25" x14ac:dyDescent="0.25">
      <c r="A16541" t="str">
        <f>"4939157119"</f>
        <v>4939157119</v>
      </c>
      <c r="B16541" t="s">
        <v>574</v>
      </c>
      <c r="C16541" t="s">
        <v>9802</v>
      </c>
      <c r="D16541" t="s">
        <v>55905</v>
      </c>
      <c r="E16541">
        <v>425000</v>
      </c>
      <c r="F16541" t="s">
        <v>1</v>
      </c>
      <c r="G16541" t="s">
        <v>52955</v>
      </c>
      <c r="H16541" t="s">
        <v>53907</v>
      </c>
      <c r="Y16541" t="s">
        <v>55906</v>
      </c>
    </row>
    <row r="16542" spans="1:25" x14ac:dyDescent="0.25">
      <c r="A16542" t="str">
        <f>"5055283294"</f>
        <v>5055283294</v>
      </c>
      <c r="B16542" t="s">
        <v>1061</v>
      </c>
      <c r="C16542" t="s">
        <v>25591</v>
      </c>
      <c r="D16542" t="s">
        <v>55907</v>
      </c>
      <c r="F16542" t="s">
        <v>1</v>
      </c>
      <c r="G16542" t="s">
        <v>52955</v>
      </c>
      <c r="H16542" t="s">
        <v>55908</v>
      </c>
      <c r="Y16542" t="s">
        <v>55909</v>
      </c>
    </row>
    <row r="16543" spans="1:25" x14ac:dyDescent="0.25">
      <c r="A16543" t="str">
        <f>"5330763534"</f>
        <v>5330763534</v>
      </c>
      <c r="B16543" t="s">
        <v>1552</v>
      </c>
      <c r="C16543" t="s">
        <v>1552</v>
      </c>
      <c r="D16543" t="s">
        <v>55910</v>
      </c>
      <c r="E16543">
        <v>425005</v>
      </c>
      <c r="F16543" t="s">
        <v>1</v>
      </c>
      <c r="G16543" t="s">
        <v>52955</v>
      </c>
      <c r="H16543" t="s">
        <v>53443</v>
      </c>
      <c r="J16543" t="s">
        <v>55911</v>
      </c>
      <c r="L16543" t="s">
        <v>55912</v>
      </c>
      <c r="M16543" t="s">
        <v>55913</v>
      </c>
      <c r="P16543" t="s">
        <v>2738</v>
      </c>
      <c r="Y16543" t="s">
        <v>55914</v>
      </c>
    </row>
    <row r="16544" spans="1:25" x14ac:dyDescent="0.25">
      <c r="A16544" t="str">
        <f>"5540640795"</f>
        <v>5540640795</v>
      </c>
      <c r="B16544" t="s">
        <v>1343</v>
      </c>
      <c r="C16544" t="s">
        <v>24870</v>
      </c>
      <c r="D16544" t="s">
        <v>38341</v>
      </c>
      <c r="E16544">
        <v>425011</v>
      </c>
      <c r="F16544" t="s">
        <v>1</v>
      </c>
      <c r="G16544" t="s">
        <v>52955</v>
      </c>
      <c r="H16544" t="s">
        <v>54118</v>
      </c>
      <c r="I16544" t="s">
        <v>55915</v>
      </c>
      <c r="P16544" t="s">
        <v>2731</v>
      </c>
      <c r="Y16544" t="s">
        <v>55916</v>
      </c>
    </row>
    <row r="16545" spans="1:25" x14ac:dyDescent="0.25">
      <c r="A16545" t="str">
        <f>"5624463096"</f>
        <v>5624463096</v>
      </c>
      <c r="B16545" t="s">
        <v>687</v>
      </c>
      <c r="C16545" t="s">
        <v>55918</v>
      </c>
      <c r="D16545" t="s">
        <v>55917</v>
      </c>
      <c r="F16545" t="s">
        <v>1</v>
      </c>
      <c r="G16545" t="s">
        <v>52955</v>
      </c>
      <c r="H16545" t="s">
        <v>53398</v>
      </c>
      <c r="Y16545" t="s">
        <v>55919</v>
      </c>
    </row>
    <row r="16546" spans="1:25" x14ac:dyDescent="0.25">
      <c r="A16546" t="str">
        <f>"5723805914"</f>
        <v>5723805914</v>
      </c>
      <c r="B16546" t="s">
        <v>1046</v>
      </c>
      <c r="C16546" t="s">
        <v>14832</v>
      </c>
      <c r="D16546" t="s">
        <v>55920</v>
      </c>
      <c r="E16546">
        <v>425009</v>
      </c>
      <c r="F16546" t="s">
        <v>1</v>
      </c>
      <c r="G16546" t="s">
        <v>52955</v>
      </c>
      <c r="H16546" t="s">
        <v>55921</v>
      </c>
      <c r="Y16546" t="s">
        <v>55922</v>
      </c>
    </row>
    <row r="16547" spans="1:25" x14ac:dyDescent="0.25">
      <c r="A16547" t="str">
        <f>"5883641326"</f>
        <v>5883641326</v>
      </c>
      <c r="B16547" t="s">
        <v>8011</v>
      </c>
      <c r="C16547" t="s">
        <v>55924</v>
      </c>
      <c r="D16547" t="s">
        <v>55923</v>
      </c>
      <c r="E16547">
        <v>425003</v>
      </c>
      <c r="F16547" t="s">
        <v>1</v>
      </c>
      <c r="G16547" t="s">
        <v>52955</v>
      </c>
      <c r="H16547" t="s">
        <v>53559</v>
      </c>
      <c r="Y16547" t="s">
        <v>55925</v>
      </c>
    </row>
    <row r="16548" spans="1:25" x14ac:dyDescent="0.25">
      <c r="A16548" t="str">
        <f>"5898771373"</f>
        <v>5898771373</v>
      </c>
      <c r="B16548" t="s">
        <v>930</v>
      </c>
      <c r="C16548" t="s">
        <v>927</v>
      </c>
      <c r="D16548" t="s">
        <v>927</v>
      </c>
      <c r="F16548" t="s">
        <v>1</v>
      </c>
      <c r="G16548" t="s">
        <v>52955</v>
      </c>
      <c r="H16548" t="s">
        <v>55926</v>
      </c>
      <c r="P16548" t="s">
        <v>2050</v>
      </c>
      <c r="Y16548" t="s">
        <v>55927</v>
      </c>
    </row>
    <row r="16549" spans="1:25" x14ac:dyDescent="0.25">
      <c r="A16549" t="str">
        <f>"5919780895"</f>
        <v>5919780895</v>
      </c>
      <c r="B16549" t="s">
        <v>96</v>
      </c>
      <c r="C16549" t="s">
        <v>7071</v>
      </c>
      <c r="D16549" t="s">
        <v>9628</v>
      </c>
      <c r="F16549" t="s">
        <v>1</v>
      </c>
      <c r="G16549" t="s">
        <v>52955</v>
      </c>
      <c r="H16549" t="s">
        <v>55928</v>
      </c>
      <c r="Y16549" t="s">
        <v>55929</v>
      </c>
    </row>
    <row r="16550" spans="1:25" x14ac:dyDescent="0.25">
      <c r="A16550" t="str">
        <f>"6117181015"</f>
        <v>6117181015</v>
      </c>
      <c r="B16550" t="s">
        <v>18</v>
      </c>
      <c r="C16550" t="s">
        <v>959</v>
      </c>
      <c r="D16550" t="s">
        <v>55930</v>
      </c>
      <c r="F16550" t="s">
        <v>1</v>
      </c>
      <c r="G16550" t="s">
        <v>52955</v>
      </c>
      <c r="H16550" t="s">
        <v>55928</v>
      </c>
      <c r="Y16550" t="s">
        <v>55931</v>
      </c>
    </row>
    <row r="16551" spans="1:25" x14ac:dyDescent="0.25">
      <c r="A16551" t="str">
        <f>"6253778243"</f>
        <v>6253778243</v>
      </c>
      <c r="B16551" t="s">
        <v>574</v>
      </c>
      <c r="C16551" t="s">
        <v>646</v>
      </c>
      <c r="D16551" t="s">
        <v>4221</v>
      </c>
      <c r="F16551" t="s">
        <v>1</v>
      </c>
      <c r="G16551" t="s">
        <v>52955</v>
      </c>
      <c r="H16551" t="s">
        <v>55932</v>
      </c>
      <c r="Y16551" t="s">
        <v>55933</v>
      </c>
    </row>
    <row r="16552" spans="1:25" x14ac:dyDescent="0.25">
      <c r="A16552" t="str">
        <f>"6305577993"</f>
        <v>6305577993</v>
      </c>
      <c r="B16552" t="s">
        <v>930</v>
      </c>
      <c r="C16552" t="s">
        <v>10263</v>
      </c>
      <c r="D16552" t="s">
        <v>10263</v>
      </c>
      <c r="E16552">
        <v>425000</v>
      </c>
      <c r="F16552" t="s">
        <v>1</v>
      </c>
      <c r="G16552" t="s">
        <v>52955</v>
      </c>
      <c r="H16552" t="s">
        <v>53024</v>
      </c>
      <c r="Y16552" t="s">
        <v>55934</v>
      </c>
    </row>
    <row r="16553" spans="1:25" x14ac:dyDescent="0.25">
      <c r="A16553" t="str">
        <f>"6439047248"</f>
        <v>6439047248</v>
      </c>
      <c r="B16553" t="s">
        <v>1046</v>
      </c>
      <c r="C16553" t="s">
        <v>22946</v>
      </c>
      <c r="D16553" t="s">
        <v>22946</v>
      </c>
      <c r="E16553">
        <v>425000</v>
      </c>
      <c r="F16553" t="s">
        <v>1</v>
      </c>
      <c r="G16553" t="s">
        <v>52955</v>
      </c>
      <c r="H16553" t="s">
        <v>55935</v>
      </c>
      <c r="Y16553" t="s">
        <v>55936</v>
      </c>
    </row>
    <row r="16554" spans="1:25" x14ac:dyDescent="0.25">
      <c r="A16554" t="str">
        <f>"6811561390"</f>
        <v>6811561390</v>
      </c>
      <c r="B16554" t="s">
        <v>348</v>
      </c>
      <c r="C16554" t="s">
        <v>50197</v>
      </c>
      <c r="D16554" t="s">
        <v>55937</v>
      </c>
      <c r="E16554">
        <v>425000</v>
      </c>
      <c r="F16554" t="s">
        <v>1</v>
      </c>
      <c r="G16554" t="s">
        <v>52955</v>
      </c>
      <c r="H16554" t="s">
        <v>53114</v>
      </c>
      <c r="I16554" t="s">
        <v>55938</v>
      </c>
      <c r="J16554" t="s">
        <v>55939</v>
      </c>
      <c r="M16554" t="s">
        <v>55940</v>
      </c>
      <c r="P16554" t="s">
        <v>60</v>
      </c>
      <c r="Q16554" t="s">
        <v>55941</v>
      </c>
      <c r="Y16554" t="s">
        <v>53117</v>
      </c>
    </row>
    <row r="16555" spans="1:25" x14ac:dyDescent="0.25">
      <c r="A16555" t="str">
        <f>"7041639530"</f>
        <v>7041639530</v>
      </c>
      <c r="B16555" t="s">
        <v>978</v>
      </c>
      <c r="C16555" t="s">
        <v>1659</v>
      </c>
      <c r="D16555" t="s">
        <v>5023</v>
      </c>
      <c r="E16555">
        <v>425000</v>
      </c>
      <c r="F16555" t="s">
        <v>1</v>
      </c>
      <c r="G16555" t="s">
        <v>52955</v>
      </c>
      <c r="H16555" t="s">
        <v>55942</v>
      </c>
      <c r="L16555" t="s">
        <v>19408</v>
      </c>
      <c r="M16555" t="s">
        <v>19409</v>
      </c>
      <c r="Y16555" t="s">
        <v>55943</v>
      </c>
    </row>
    <row r="16556" spans="1:25" x14ac:dyDescent="0.25">
      <c r="A16556" t="str">
        <f>"7200916221"</f>
        <v>7200916221</v>
      </c>
      <c r="B16556" t="s">
        <v>18</v>
      </c>
      <c r="C16556" t="s">
        <v>32583</v>
      </c>
      <c r="D16556" t="s">
        <v>143</v>
      </c>
      <c r="E16556">
        <v>425000</v>
      </c>
      <c r="F16556" t="s">
        <v>1</v>
      </c>
      <c r="G16556" t="s">
        <v>52955</v>
      </c>
      <c r="H16556" t="s">
        <v>52985</v>
      </c>
      <c r="I16556" t="s">
        <v>55944</v>
      </c>
      <c r="J16556" t="s">
        <v>55508</v>
      </c>
      <c r="M16556" t="s">
        <v>55945</v>
      </c>
      <c r="P16556" t="s">
        <v>55946</v>
      </c>
      <c r="Y16556" t="s">
        <v>55947</v>
      </c>
    </row>
    <row r="16557" spans="1:25" x14ac:dyDescent="0.25">
      <c r="A16557" t="str">
        <f>"7232727870"</f>
        <v>7232727870</v>
      </c>
      <c r="B16557" t="s">
        <v>469</v>
      </c>
      <c r="C16557" t="s">
        <v>16193</v>
      </c>
      <c r="D16557" t="s">
        <v>55948</v>
      </c>
      <c r="E16557">
        <v>425000</v>
      </c>
      <c r="F16557" t="s">
        <v>1</v>
      </c>
      <c r="G16557" t="s">
        <v>52955</v>
      </c>
      <c r="H16557" t="s">
        <v>53093</v>
      </c>
      <c r="J16557" t="s">
        <v>55949</v>
      </c>
      <c r="L16557" t="s">
        <v>55950</v>
      </c>
      <c r="P16557" t="s">
        <v>14945</v>
      </c>
      <c r="Q16557" t="s">
        <v>55951</v>
      </c>
      <c r="Y16557" t="s">
        <v>53099</v>
      </c>
    </row>
    <row r="16558" spans="1:25" x14ac:dyDescent="0.25">
      <c r="A16558" t="str">
        <f>"7495518874"</f>
        <v>7495518874</v>
      </c>
      <c r="B16558" t="s">
        <v>18</v>
      </c>
      <c r="C16558" t="s">
        <v>12289</v>
      </c>
      <c r="D16558" t="s">
        <v>36431</v>
      </c>
      <c r="E16558">
        <v>425000</v>
      </c>
      <c r="F16558" t="s">
        <v>1</v>
      </c>
      <c r="G16558" t="s">
        <v>52955</v>
      </c>
      <c r="H16558" t="s">
        <v>55952</v>
      </c>
      <c r="P16558" t="s">
        <v>27</v>
      </c>
      <c r="Y16558" t="s">
        <v>55953</v>
      </c>
    </row>
    <row r="16559" spans="1:25" x14ac:dyDescent="0.25">
      <c r="A16559" t="str">
        <f>"7771491197"</f>
        <v>7771491197</v>
      </c>
      <c r="B16559" t="s">
        <v>117</v>
      </c>
      <c r="C16559" t="s">
        <v>873</v>
      </c>
      <c r="D16559" t="s">
        <v>873</v>
      </c>
      <c r="F16559" t="s">
        <v>1</v>
      </c>
      <c r="G16559" t="s">
        <v>52955</v>
      </c>
      <c r="H16559" t="s">
        <v>55379</v>
      </c>
      <c r="Y16559" t="s">
        <v>55954</v>
      </c>
    </row>
    <row r="16560" spans="1:25" x14ac:dyDescent="0.25">
      <c r="A16560" t="str">
        <f>"8230221468"</f>
        <v>8230221468</v>
      </c>
      <c r="B16560" t="s">
        <v>32</v>
      </c>
      <c r="C16560" t="s">
        <v>38211</v>
      </c>
      <c r="D16560" t="s">
        <v>55955</v>
      </c>
      <c r="E16560">
        <v>425001</v>
      </c>
      <c r="F16560" t="s">
        <v>1</v>
      </c>
      <c r="G16560" t="s">
        <v>52955</v>
      </c>
      <c r="H16560" t="s">
        <v>53465</v>
      </c>
      <c r="Y16560" t="s">
        <v>53472</v>
      </c>
    </row>
    <row r="16561" spans="1:25" x14ac:dyDescent="0.25">
      <c r="A16561" t="str">
        <f>"8246239371"</f>
        <v>8246239371</v>
      </c>
      <c r="B16561" t="s">
        <v>96</v>
      </c>
      <c r="C16561" t="s">
        <v>38310</v>
      </c>
      <c r="D16561" t="s">
        <v>55956</v>
      </c>
      <c r="E16561">
        <v>425000</v>
      </c>
      <c r="F16561" t="s">
        <v>1</v>
      </c>
      <c r="G16561" t="s">
        <v>52955</v>
      </c>
      <c r="H16561" t="s">
        <v>54254</v>
      </c>
      <c r="Y16561" t="s">
        <v>55957</v>
      </c>
    </row>
    <row r="16562" spans="1:25" x14ac:dyDescent="0.25">
      <c r="A16562" t="str">
        <f>"8269663447"</f>
        <v>8269663447</v>
      </c>
      <c r="B16562" t="s">
        <v>18</v>
      </c>
      <c r="C16562" t="s">
        <v>25242</v>
      </c>
      <c r="D16562" t="s">
        <v>36666</v>
      </c>
      <c r="F16562" t="s">
        <v>1</v>
      </c>
      <c r="G16562" t="s">
        <v>52955</v>
      </c>
      <c r="H16562" t="s">
        <v>53261</v>
      </c>
      <c r="I16562" t="s">
        <v>55958</v>
      </c>
      <c r="J16562" t="s">
        <v>55959</v>
      </c>
      <c r="L16562" t="s">
        <v>55960</v>
      </c>
      <c r="M16562" t="s">
        <v>55961</v>
      </c>
      <c r="P16562" t="s">
        <v>55962</v>
      </c>
      <c r="Q16562" t="s">
        <v>55963</v>
      </c>
      <c r="T16562" t="s">
        <v>55964</v>
      </c>
      <c r="V16562" t="s">
        <v>55965</v>
      </c>
      <c r="Y16562" t="s">
        <v>55966</v>
      </c>
    </row>
    <row r="16563" spans="1:25" x14ac:dyDescent="0.25">
      <c r="A16563" t="str">
        <f>"8297410978"</f>
        <v>8297410978</v>
      </c>
      <c r="B16563" t="s">
        <v>151</v>
      </c>
      <c r="C16563" t="s">
        <v>151</v>
      </c>
      <c r="D16563" t="s">
        <v>55967</v>
      </c>
      <c r="E16563">
        <v>425000</v>
      </c>
      <c r="F16563" t="s">
        <v>1</v>
      </c>
      <c r="G16563" t="s">
        <v>52955</v>
      </c>
      <c r="H16563" t="s">
        <v>53311</v>
      </c>
      <c r="Y16563" t="s">
        <v>55968</v>
      </c>
    </row>
    <row r="16564" spans="1:25" x14ac:dyDescent="0.25">
      <c r="A16564" t="str">
        <f>"8636068995"</f>
        <v>8636068995</v>
      </c>
      <c r="B16564" t="s">
        <v>687</v>
      </c>
      <c r="C16564" t="s">
        <v>36897</v>
      </c>
      <c r="D16564" t="s">
        <v>4680</v>
      </c>
      <c r="E16564">
        <v>425000</v>
      </c>
      <c r="F16564" t="s">
        <v>1</v>
      </c>
      <c r="G16564" t="s">
        <v>52955</v>
      </c>
      <c r="H16564" t="s">
        <v>53783</v>
      </c>
      <c r="Y16564" t="s">
        <v>55969</v>
      </c>
    </row>
    <row r="16565" spans="1:25" x14ac:dyDescent="0.25">
      <c r="A16565" t="str">
        <f>"8665920461"</f>
        <v>8665920461</v>
      </c>
      <c r="B16565" t="s">
        <v>1617</v>
      </c>
      <c r="C16565" t="s">
        <v>1618</v>
      </c>
      <c r="D16565" t="s">
        <v>55970</v>
      </c>
      <c r="F16565" t="s">
        <v>1</v>
      </c>
      <c r="G16565" t="s">
        <v>52955</v>
      </c>
      <c r="H16565" t="s">
        <v>53198</v>
      </c>
      <c r="Y16565" t="s">
        <v>55971</v>
      </c>
    </row>
    <row r="16566" spans="1:25" x14ac:dyDescent="0.25">
      <c r="A16566" t="str">
        <f>"8723894670"</f>
        <v>8723894670</v>
      </c>
      <c r="B16566" t="s">
        <v>284</v>
      </c>
      <c r="C16566" t="s">
        <v>37806</v>
      </c>
      <c r="D16566" t="s">
        <v>55972</v>
      </c>
      <c r="F16566" t="s">
        <v>1</v>
      </c>
      <c r="G16566" t="s">
        <v>52955</v>
      </c>
      <c r="H16566" t="s">
        <v>55903</v>
      </c>
      <c r="Y16566" t="s">
        <v>55973</v>
      </c>
    </row>
    <row r="16567" spans="1:25" x14ac:dyDescent="0.25">
      <c r="A16567" t="str">
        <f>"8808222277"</f>
        <v>8808222277</v>
      </c>
      <c r="B16567" t="s">
        <v>530</v>
      </c>
      <c r="C16567" t="s">
        <v>23950</v>
      </c>
      <c r="D16567" t="s">
        <v>23950</v>
      </c>
      <c r="F16567" t="s">
        <v>1</v>
      </c>
      <c r="G16567" t="s">
        <v>52955</v>
      </c>
      <c r="H16567" t="s">
        <v>55974</v>
      </c>
      <c r="Y16567" t="s">
        <v>55975</v>
      </c>
    </row>
    <row r="16568" spans="1:25" x14ac:dyDescent="0.25">
      <c r="A16568" t="str">
        <f>"9240146760"</f>
        <v>9240146760</v>
      </c>
      <c r="B16568" t="s">
        <v>96</v>
      </c>
      <c r="C16568" t="s">
        <v>893</v>
      </c>
      <c r="D16568" t="s">
        <v>55976</v>
      </c>
      <c r="F16568" t="s">
        <v>1</v>
      </c>
      <c r="G16568" t="s">
        <v>52955</v>
      </c>
      <c r="H16568" t="s">
        <v>53198</v>
      </c>
      <c r="Y16568" t="s">
        <v>55977</v>
      </c>
    </row>
    <row r="16569" spans="1:25" x14ac:dyDescent="0.25">
      <c r="A16569" t="str">
        <f>"9258380392"</f>
        <v>9258380392</v>
      </c>
      <c r="B16569" t="s">
        <v>930</v>
      </c>
      <c r="C16569" t="s">
        <v>10263</v>
      </c>
      <c r="D16569" t="s">
        <v>10263</v>
      </c>
      <c r="E16569">
        <v>425000</v>
      </c>
      <c r="F16569" t="s">
        <v>1</v>
      </c>
      <c r="G16569" t="s">
        <v>52955</v>
      </c>
      <c r="H16569" t="s">
        <v>53578</v>
      </c>
      <c r="Y16569" t="s">
        <v>55978</v>
      </c>
    </row>
    <row r="16570" spans="1:25" x14ac:dyDescent="0.25">
      <c r="A16570" t="str">
        <f>"9282777935"</f>
        <v>9282777935</v>
      </c>
      <c r="B16570" t="s">
        <v>797</v>
      </c>
      <c r="C16570" t="s">
        <v>5123</v>
      </c>
      <c r="D16570" t="s">
        <v>51294</v>
      </c>
      <c r="F16570" t="s">
        <v>1</v>
      </c>
      <c r="G16570" t="s">
        <v>52955</v>
      </c>
      <c r="H16570" t="s">
        <v>54316</v>
      </c>
      <c r="Y16570" t="s">
        <v>55979</v>
      </c>
    </row>
    <row r="16571" spans="1:25" x14ac:dyDescent="0.25">
      <c r="A16571" t="str">
        <f>"9573026106"</f>
        <v>9573026106</v>
      </c>
      <c r="B16571" t="s">
        <v>110</v>
      </c>
      <c r="C16571" t="s">
        <v>38056</v>
      </c>
      <c r="D16571" t="s">
        <v>38056</v>
      </c>
      <c r="E16571">
        <v>425000</v>
      </c>
      <c r="F16571" t="s">
        <v>1</v>
      </c>
      <c r="G16571" t="s">
        <v>52955</v>
      </c>
      <c r="H16571" t="s">
        <v>54206</v>
      </c>
      <c r="J16571" t="s">
        <v>55980</v>
      </c>
      <c r="P16571" t="s">
        <v>16507</v>
      </c>
      <c r="Y16571" t="s">
        <v>55783</v>
      </c>
    </row>
    <row r="16572" spans="1:25" x14ac:dyDescent="0.25">
      <c r="A16572" t="str">
        <f>"9588625752"</f>
        <v>9588625752</v>
      </c>
      <c r="B16572" t="s">
        <v>290</v>
      </c>
      <c r="C16572" t="s">
        <v>55984</v>
      </c>
      <c r="D16572" t="s">
        <v>55981</v>
      </c>
      <c r="E16572">
        <v>425000</v>
      </c>
      <c r="F16572" t="s">
        <v>1</v>
      </c>
      <c r="G16572" t="s">
        <v>52955</v>
      </c>
      <c r="H16572" t="s">
        <v>55982</v>
      </c>
      <c r="J16572" t="s">
        <v>55983</v>
      </c>
      <c r="P16572" t="s">
        <v>9840</v>
      </c>
      <c r="Y16572" t="s">
        <v>55985</v>
      </c>
    </row>
    <row r="16573" spans="1:25" x14ac:dyDescent="0.25">
      <c r="A16573" t="str">
        <f>"9716698073"</f>
        <v>9716698073</v>
      </c>
      <c r="B16573" t="s">
        <v>456</v>
      </c>
      <c r="C16573" t="s">
        <v>55988</v>
      </c>
      <c r="D16573" t="s">
        <v>48491</v>
      </c>
      <c r="E16573">
        <v>425000</v>
      </c>
      <c r="F16573" t="s">
        <v>1</v>
      </c>
      <c r="G16573" t="s">
        <v>52955</v>
      </c>
      <c r="H16573" t="s">
        <v>55986</v>
      </c>
      <c r="I16573" t="s">
        <v>48492</v>
      </c>
      <c r="L16573" t="s">
        <v>48493</v>
      </c>
      <c r="M16573" t="s">
        <v>55987</v>
      </c>
      <c r="P16573" t="s">
        <v>4126</v>
      </c>
      <c r="Y16573" t="s">
        <v>55989</v>
      </c>
    </row>
    <row r="16574" spans="1:25" x14ac:dyDescent="0.25">
      <c r="A16574" t="str">
        <f>"9767958448"</f>
        <v>9767958448</v>
      </c>
      <c r="B16574" t="s">
        <v>2601</v>
      </c>
      <c r="C16574" t="s">
        <v>55991</v>
      </c>
      <c r="D16574" t="s">
        <v>55990</v>
      </c>
      <c r="E16574">
        <v>425008</v>
      </c>
      <c r="F16574" t="s">
        <v>1</v>
      </c>
      <c r="G16574" t="s">
        <v>52955</v>
      </c>
      <c r="H16574" t="s">
        <v>53617</v>
      </c>
      <c r="Y16574" t="s">
        <v>55814</v>
      </c>
    </row>
    <row r="16575" spans="1:25" x14ac:dyDescent="0.25">
      <c r="A16575" t="str">
        <f>"9817993674"</f>
        <v>9817993674</v>
      </c>
      <c r="B16575" t="s">
        <v>574</v>
      </c>
      <c r="C16575" t="s">
        <v>646</v>
      </c>
      <c r="D16575" t="s">
        <v>4221</v>
      </c>
      <c r="F16575" t="s">
        <v>1</v>
      </c>
      <c r="G16575" t="s">
        <v>52955</v>
      </c>
      <c r="H16575" t="s">
        <v>55992</v>
      </c>
      <c r="Y16575" t="s">
        <v>55993</v>
      </c>
    </row>
    <row r="16576" spans="1:25" x14ac:dyDescent="0.25">
      <c r="A16576" t="str">
        <f>"9870787315"</f>
        <v>9870787315</v>
      </c>
      <c r="B16576" t="s">
        <v>290</v>
      </c>
      <c r="C16576" t="s">
        <v>45819</v>
      </c>
      <c r="D16576" t="s">
        <v>55994</v>
      </c>
      <c r="F16576" t="s">
        <v>1</v>
      </c>
      <c r="G16576" t="s">
        <v>52955</v>
      </c>
      <c r="H16576" t="s">
        <v>55995</v>
      </c>
      <c r="P16576" t="s">
        <v>29865</v>
      </c>
      <c r="Y16576" t="s">
        <v>55996</v>
      </c>
    </row>
    <row r="16577" spans="1:25" x14ac:dyDescent="0.25">
      <c r="A16577" t="str">
        <f>"10371159713"</f>
        <v>10371159713</v>
      </c>
      <c r="B16577" t="s">
        <v>1152</v>
      </c>
      <c r="C16577" t="s">
        <v>1153</v>
      </c>
      <c r="D16577" t="s">
        <v>10280</v>
      </c>
      <c r="E16577">
        <v>425011</v>
      </c>
      <c r="F16577" t="s">
        <v>1</v>
      </c>
      <c r="G16577" t="s">
        <v>52955</v>
      </c>
      <c r="H16577" t="s">
        <v>53507</v>
      </c>
      <c r="I16577" t="s">
        <v>22092</v>
      </c>
      <c r="M16577" t="s">
        <v>10284</v>
      </c>
      <c r="Q16577" t="s">
        <v>10286</v>
      </c>
      <c r="R16577" t="s">
        <v>10287</v>
      </c>
      <c r="S16577" t="s">
        <v>10288</v>
      </c>
      <c r="T16577" t="s">
        <v>10289</v>
      </c>
      <c r="U16577" t="s">
        <v>10290</v>
      </c>
      <c r="V16577" t="s">
        <v>10291</v>
      </c>
      <c r="Y16577" t="s">
        <v>55997</v>
      </c>
    </row>
    <row r="16578" spans="1:25" x14ac:dyDescent="0.25">
      <c r="A16578" t="str">
        <f>"10708739086"</f>
        <v>10708739086</v>
      </c>
      <c r="B16578" t="s">
        <v>96</v>
      </c>
      <c r="C16578" t="s">
        <v>893</v>
      </c>
      <c r="D16578" t="s">
        <v>34075</v>
      </c>
      <c r="E16578">
        <v>425000</v>
      </c>
      <c r="F16578" t="s">
        <v>1</v>
      </c>
      <c r="G16578" t="s">
        <v>52955</v>
      </c>
      <c r="H16578" t="s">
        <v>54206</v>
      </c>
      <c r="Y16578" t="s">
        <v>55998</v>
      </c>
    </row>
    <row r="16579" spans="1:25" x14ac:dyDescent="0.25">
      <c r="A16579" t="str">
        <f>"10973187231"</f>
        <v>10973187231</v>
      </c>
      <c r="B16579" t="s">
        <v>1152</v>
      </c>
      <c r="C16579" t="s">
        <v>8449</v>
      </c>
      <c r="D16579" t="s">
        <v>55999</v>
      </c>
      <c r="F16579" t="s">
        <v>1</v>
      </c>
      <c r="G16579" t="s">
        <v>52955</v>
      </c>
      <c r="H16579" t="s">
        <v>53198</v>
      </c>
      <c r="Y16579" t="s">
        <v>56000</v>
      </c>
    </row>
    <row r="16580" spans="1:25" x14ac:dyDescent="0.25">
      <c r="A16580" t="str">
        <f>"11046370094"</f>
        <v>11046370094</v>
      </c>
      <c r="B16580" t="s">
        <v>1046</v>
      </c>
      <c r="C16580" t="s">
        <v>22946</v>
      </c>
      <c r="D16580" t="s">
        <v>22946</v>
      </c>
      <c r="F16580" t="s">
        <v>1</v>
      </c>
      <c r="G16580" t="s">
        <v>52955</v>
      </c>
      <c r="H16580" t="s">
        <v>55974</v>
      </c>
      <c r="Y16580" t="s">
        <v>56001</v>
      </c>
    </row>
    <row r="16581" spans="1:25" x14ac:dyDescent="0.25">
      <c r="A16581" t="str">
        <f>"11540177776"</f>
        <v>11540177776</v>
      </c>
      <c r="B16581" t="s">
        <v>687</v>
      </c>
      <c r="C16581" t="s">
        <v>7047</v>
      </c>
      <c r="D16581" t="s">
        <v>56002</v>
      </c>
      <c r="F16581" t="s">
        <v>1</v>
      </c>
      <c r="G16581" t="s">
        <v>52955</v>
      </c>
      <c r="H16581" t="s">
        <v>53727</v>
      </c>
      <c r="Y16581" t="s">
        <v>56003</v>
      </c>
    </row>
    <row r="16582" spans="1:25" x14ac:dyDescent="0.25">
      <c r="A16582" t="str">
        <f>"11661058276"</f>
        <v>11661058276</v>
      </c>
      <c r="B16582" t="s">
        <v>18</v>
      </c>
      <c r="C16582" t="s">
        <v>12289</v>
      </c>
      <c r="D16582" t="s">
        <v>52193</v>
      </c>
      <c r="F16582" t="s">
        <v>1</v>
      </c>
      <c r="G16582" t="s">
        <v>52955</v>
      </c>
      <c r="H16582" t="s">
        <v>54923</v>
      </c>
      <c r="Y16582" t="s">
        <v>56004</v>
      </c>
    </row>
    <row r="16583" spans="1:25" x14ac:dyDescent="0.25">
      <c r="A16583" t="str">
        <f>"11681785540"</f>
        <v>11681785540</v>
      </c>
      <c r="B16583" t="s">
        <v>67</v>
      </c>
      <c r="C16583" t="s">
        <v>269</v>
      </c>
      <c r="D16583" t="s">
        <v>11679</v>
      </c>
      <c r="F16583" t="s">
        <v>1</v>
      </c>
      <c r="G16583" t="s">
        <v>52955</v>
      </c>
      <c r="H16583" t="s">
        <v>53404</v>
      </c>
      <c r="Y16583" t="s">
        <v>56005</v>
      </c>
    </row>
    <row r="16584" spans="1:25" x14ac:dyDescent="0.25">
      <c r="A16584" t="str">
        <f>"11791985025"</f>
        <v>11791985025</v>
      </c>
      <c r="B16584" t="s">
        <v>1046</v>
      </c>
      <c r="C16584" t="s">
        <v>22946</v>
      </c>
      <c r="D16584" t="s">
        <v>22946</v>
      </c>
      <c r="E16584">
        <v>425000</v>
      </c>
      <c r="F16584" t="s">
        <v>1</v>
      </c>
      <c r="G16584" t="s">
        <v>52955</v>
      </c>
      <c r="H16584" t="s">
        <v>56006</v>
      </c>
      <c r="Y16584" t="s">
        <v>56007</v>
      </c>
    </row>
    <row r="16585" spans="1:25" x14ac:dyDescent="0.25">
      <c r="A16585" t="str">
        <f>"12074232761"</f>
        <v>12074232761</v>
      </c>
      <c r="B16585" t="s">
        <v>18</v>
      </c>
      <c r="C16585" t="s">
        <v>959</v>
      </c>
      <c r="D16585" t="s">
        <v>9268</v>
      </c>
      <c r="F16585" t="s">
        <v>1</v>
      </c>
      <c r="G16585" t="s">
        <v>52955</v>
      </c>
      <c r="H16585" t="s">
        <v>56008</v>
      </c>
      <c r="Y16585" t="s">
        <v>56009</v>
      </c>
    </row>
    <row r="16586" spans="1:25" x14ac:dyDescent="0.25">
      <c r="A16586" t="str">
        <f>"12398558597"</f>
        <v>12398558597</v>
      </c>
      <c r="B16586" t="s">
        <v>18</v>
      </c>
      <c r="C16586" t="s">
        <v>56011</v>
      </c>
      <c r="D16586" t="s">
        <v>4397</v>
      </c>
      <c r="E16586">
        <v>425000</v>
      </c>
      <c r="F16586" t="s">
        <v>1</v>
      </c>
      <c r="G16586" t="s">
        <v>52955</v>
      </c>
      <c r="H16586" t="s">
        <v>56010</v>
      </c>
      <c r="I16586" t="s">
        <v>55944</v>
      </c>
      <c r="J16586" t="s">
        <v>55508</v>
      </c>
      <c r="L16586" t="s">
        <v>55509</v>
      </c>
      <c r="M16586" t="s">
        <v>55510</v>
      </c>
      <c r="P16586" t="s">
        <v>56012</v>
      </c>
      <c r="Y16586" t="s">
        <v>55869</v>
      </c>
    </row>
    <row r="16587" spans="1:25" x14ac:dyDescent="0.25">
      <c r="A16587" t="str">
        <f>"12779862646"</f>
        <v>12779862646</v>
      </c>
      <c r="B16587" t="s">
        <v>687</v>
      </c>
      <c r="C16587" t="s">
        <v>56014</v>
      </c>
      <c r="D16587" t="s">
        <v>53708</v>
      </c>
      <c r="E16587">
        <v>425000</v>
      </c>
      <c r="F16587" t="s">
        <v>1</v>
      </c>
      <c r="G16587" t="s">
        <v>52955</v>
      </c>
      <c r="H16587" t="s">
        <v>56013</v>
      </c>
      <c r="M16587" t="s">
        <v>53711</v>
      </c>
      <c r="Y16587" t="s">
        <v>56015</v>
      </c>
    </row>
    <row r="16588" spans="1:25" x14ac:dyDescent="0.25">
      <c r="A16588" t="str">
        <f>"12943116956"</f>
        <v>12943116956</v>
      </c>
      <c r="B16588" t="s">
        <v>430</v>
      </c>
      <c r="C16588" t="s">
        <v>16178</v>
      </c>
      <c r="D16588" t="s">
        <v>56016</v>
      </c>
      <c r="E16588">
        <v>425000</v>
      </c>
      <c r="F16588" t="s">
        <v>1</v>
      </c>
      <c r="G16588" t="s">
        <v>52955</v>
      </c>
      <c r="H16588" t="s">
        <v>56017</v>
      </c>
      <c r="Y16588" t="s">
        <v>56018</v>
      </c>
    </row>
    <row r="16589" spans="1:25" x14ac:dyDescent="0.25">
      <c r="A16589" t="str">
        <f>"13015315119"</f>
        <v>13015315119</v>
      </c>
      <c r="B16589" t="s">
        <v>1152</v>
      </c>
      <c r="C16589" t="s">
        <v>1153</v>
      </c>
      <c r="D16589" t="s">
        <v>10280</v>
      </c>
      <c r="E16589">
        <v>425011</v>
      </c>
      <c r="F16589" t="s">
        <v>1</v>
      </c>
      <c r="G16589" t="s">
        <v>52955</v>
      </c>
      <c r="H16589" t="s">
        <v>53976</v>
      </c>
      <c r="I16589" t="s">
        <v>22092</v>
      </c>
      <c r="M16589" t="s">
        <v>10284</v>
      </c>
      <c r="Q16589" t="s">
        <v>10286</v>
      </c>
      <c r="R16589" t="s">
        <v>10287</v>
      </c>
      <c r="S16589" t="s">
        <v>10288</v>
      </c>
      <c r="T16589" t="s">
        <v>10289</v>
      </c>
      <c r="U16589" t="s">
        <v>10290</v>
      </c>
      <c r="V16589" t="s">
        <v>10291</v>
      </c>
      <c r="Y16589" t="s">
        <v>56019</v>
      </c>
    </row>
    <row r="16590" spans="1:25" x14ac:dyDescent="0.25">
      <c r="A16590" t="str">
        <f>"13097508397"</f>
        <v>13097508397</v>
      </c>
      <c r="B16590" t="s">
        <v>96</v>
      </c>
      <c r="C16590" t="s">
        <v>893</v>
      </c>
      <c r="D16590" t="s">
        <v>3426</v>
      </c>
      <c r="E16590">
        <v>425000</v>
      </c>
      <c r="F16590" t="s">
        <v>1</v>
      </c>
      <c r="G16590" t="s">
        <v>52955</v>
      </c>
      <c r="H16590" t="s">
        <v>54582</v>
      </c>
      <c r="Y16590" t="s">
        <v>56020</v>
      </c>
    </row>
    <row r="16591" spans="1:25" x14ac:dyDescent="0.25">
      <c r="A16591" t="str">
        <f>"13177482100"</f>
        <v>13177482100</v>
      </c>
      <c r="B16591" t="s">
        <v>2104</v>
      </c>
      <c r="C16591" t="s">
        <v>56022</v>
      </c>
      <c r="D16591" t="s">
        <v>56021</v>
      </c>
      <c r="F16591" t="s">
        <v>1</v>
      </c>
      <c r="G16591" t="s">
        <v>52955</v>
      </c>
      <c r="H16591" t="s">
        <v>54574</v>
      </c>
      <c r="Y16591" t="s">
        <v>56023</v>
      </c>
    </row>
    <row r="16592" spans="1:25" x14ac:dyDescent="0.25">
      <c r="A16592" t="str">
        <f>"13283692580"</f>
        <v>13283692580</v>
      </c>
      <c r="B16592" t="s">
        <v>574</v>
      </c>
      <c r="C16592" t="s">
        <v>646</v>
      </c>
      <c r="D16592" t="s">
        <v>4221</v>
      </c>
      <c r="F16592" t="s">
        <v>1</v>
      </c>
      <c r="G16592" t="s">
        <v>52955</v>
      </c>
      <c r="H16592" t="s">
        <v>56024</v>
      </c>
      <c r="Y16592" t="s">
        <v>56025</v>
      </c>
    </row>
    <row r="16593" spans="1:25" x14ac:dyDescent="0.25">
      <c r="A16593" t="str">
        <f>"13339577890"</f>
        <v>13339577890</v>
      </c>
      <c r="B16593" t="s">
        <v>1475</v>
      </c>
      <c r="C16593" t="s">
        <v>56027</v>
      </c>
      <c r="D16593" t="s">
        <v>27687</v>
      </c>
      <c r="F16593" t="s">
        <v>1</v>
      </c>
      <c r="G16593" t="s">
        <v>52955</v>
      </c>
      <c r="H16593" t="s">
        <v>56026</v>
      </c>
      <c r="P16593" t="s">
        <v>98</v>
      </c>
      <c r="Y16593" t="s">
        <v>56028</v>
      </c>
    </row>
    <row r="16594" spans="1:25" x14ac:dyDescent="0.25">
      <c r="A16594" t="str">
        <f>"13349863132"</f>
        <v>13349863132</v>
      </c>
      <c r="B16594" t="s">
        <v>430</v>
      </c>
      <c r="C16594" t="s">
        <v>11849</v>
      </c>
      <c r="D16594" t="s">
        <v>56029</v>
      </c>
      <c r="E16594">
        <v>425011</v>
      </c>
      <c r="F16594" t="s">
        <v>1</v>
      </c>
      <c r="G16594" t="s">
        <v>52955</v>
      </c>
      <c r="H16594" t="s">
        <v>53155</v>
      </c>
      <c r="J16594" t="s">
        <v>56030</v>
      </c>
      <c r="L16594" t="s">
        <v>56031</v>
      </c>
      <c r="P16594" t="s">
        <v>330</v>
      </c>
      <c r="Q16594" t="s">
        <v>56032</v>
      </c>
      <c r="Y16594" t="s">
        <v>56033</v>
      </c>
    </row>
    <row r="16595" spans="1:25" x14ac:dyDescent="0.25">
      <c r="A16595" t="str">
        <f>"13536962520"</f>
        <v>13536962520</v>
      </c>
      <c r="B16595" t="s">
        <v>3908</v>
      </c>
      <c r="C16595" t="s">
        <v>10425</v>
      </c>
      <c r="D16595" t="s">
        <v>56034</v>
      </c>
      <c r="F16595" t="s">
        <v>1</v>
      </c>
      <c r="G16595" t="s">
        <v>52955</v>
      </c>
      <c r="H16595" t="s">
        <v>55594</v>
      </c>
      <c r="Y16595" t="s">
        <v>56035</v>
      </c>
    </row>
    <row r="16596" spans="1:25" x14ac:dyDescent="0.25">
      <c r="A16596" t="str">
        <f>"13642443677"</f>
        <v>13642443677</v>
      </c>
      <c r="B16596" t="s">
        <v>319</v>
      </c>
      <c r="C16596" t="s">
        <v>320</v>
      </c>
      <c r="D16596" t="s">
        <v>2733</v>
      </c>
      <c r="E16596">
        <v>425011</v>
      </c>
      <c r="F16596" t="s">
        <v>1</v>
      </c>
      <c r="G16596" t="s">
        <v>52955</v>
      </c>
      <c r="H16596" t="s">
        <v>54593</v>
      </c>
      <c r="I16596" t="s">
        <v>53831</v>
      </c>
      <c r="J16596" t="s">
        <v>56036</v>
      </c>
      <c r="P16596" t="s">
        <v>216</v>
      </c>
      <c r="Y16596" t="s">
        <v>56037</v>
      </c>
    </row>
    <row r="16597" spans="1:25" x14ac:dyDescent="0.25">
      <c r="A16597" t="str">
        <f>"13729513430"</f>
        <v>13729513430</v>
      </c>
      <c r="B16597" t="s">
        <v>7</v>
      </c>
      <c r="C16597" t="s">
        <v>15083</v>
      </c>
      <c r="D16597" t="s">
        <v>35510</v>
      </c>
      <c r="E16597">
        <v>425003</v>
      </c>
      <c r="F16597" t="s">
        <v>1</v>
      </c>
      <c r="G16597" t="s">
        <v>52955</v>
      </c>
      <c r="H16597" t="s">
        <v>53891</v>
      </c>
      <c r="Y16597" t="s">
        <v>56038</v>
      </c>
    </row>
    <row r="16598" spans="1:25" x14ac:dyDescent="0.25">
      <c r="A16598" t="str">
        <f>"13772058319"</f>
        <v>13772058319</v>
      </c>
      <c r="B16598" t="s">
        <v>2601</v>
      </c>
      <c r="C16598" t="s">
        <v>41989</v>
      </c>
      <c r="D16598" t="s">
        <v>56039</v>
      </c>
      <c r="E16598">
        <v>425011</v>
      </c>
      <c r="F16598" t="s">
        <v>1</v>
      </c>
      <c r="G16598" t="s">
        <v>52955</v>
      </c>
      <c r="H16598" t="s">
        <v>53507</v>
      </c>
      <c r="I16598" t="s">
        <v>56040</v>
      </c>
      <c r="M16598" t="s">
        <v>56041</v>
      </c>
      <c r="Y16598" t="s">
        <v>54763</v>
      </c>
    </row>
    <row r="16599" spans="1:25" x14ac:dyDescent="0.25">
      <c r="A16599" t="str">
        <f>"14436470446"</f>
        <v>14436470446</v>
      </c>
      <c r="B16599" t="s">
        <v>10383</v>
      </c>
      <c r="C16599" t="s">
        <v>24146</v>
      </c>
      <c r="D16599" t="s">
        <v>24146</v>
      </c>
      <c r="F16599" t="s">
        <v>1</v>
      </c>
      <c r="G16599" t="s">
        <v>52955</v>
      </c>
      <c r="H16599" t="s">
        <v>55854</v>
      </c>
      <c r="Y16599" t="s">
        <v>56042</v>
      </c>
    </row>
    <row r="16600" spans="1:25" x14ac:dyDescent="0.25">
      <c r="A16600" t="str">
        <f>"14524222105"</f>
        <v>14524222105</v>
      </c>
      <c r="B16600" t="s">
        <v>3700</v>
      </c>
      <c r="C16600" t="s">
        <v>5593</v>
      </c>
      <c r="D16600" t="s">
        <v>48296</v>
      </c>
      <c r="E16600">
        <v>425001</v>
      </c>
      <c r="F16600" t="s">
        <v>1</v>
      </c>
      <c r="G16600" t="s">
        <v>52955</v>
      </c>
      <c r="H16600" t="s">
        <v>53465</v>
      </c>
      <c r="J16600" t="s">
        <v>56043</v>
      </c>
      <c r="P16600" t="s">
        <v>12126</v>
      </c>
      <c r="Y16600" t="s">
        <v>56044</v>
      </c>
    </row>
    <row r="16601" spans="1:25" x14ac:dyDescent="0.25">
      <c r="A16601" t="str">
        <f>"14727362262"</f>
        <v>14727362262</v>
      </c>
      <c r="B16601" t="s">
        <v>738</v>
      </c>
      <c r="C16601" t="s">
        <v>32344</v>
      </c>
      <c r="D16601" t="s">
        <v>56045</v>
      </c>
      <c r="F16601" t="s">
        <v>1</v>
      </c>
      <c r="G16601" t="s">
        <v>52955</v>
      </c>
      <c r="H16601" t="s">
        <v>54475</v>
      </c>
      <c r="J16601" t="s">
        <v>56046</v>
      </c>
      <c r="P16601" t="s">
        <v>1464</v>
      </c>
      <c r="Y16601" t="s">
        <v>56047</v>
      </c>
    </row>
    <row r="16602" spans="1:25" x14ac:dyDescent="0.25">
      <c r="A16602" t="str">
        <f>"14815536632"</f>
        <v>14815536632</v>
      </c>
      <c r="B16602" t="s">
        <v>574</v>
      </c>
      <c r="C16602" t="s">
        <v>646</v>
      </c>
      <c r="D16602" t="s">
        <v>56048</v>
      </c>
      <c r="E16602">
        <v>425000</v>
      </c>
      <c r="F16602" t="s">
        <v>1</v>
      </c>
      <c r="G16602" t="s">
        <v>52955</v>
      </c>
      <c r="H16602" t="s">
        <v>56049</v>
      </c>
      <c r="Y16602" t="s">
        <v>56050</v>
      </c>
    </row>
    <row r="16603" spans="1:25" x14ac:dyDescent="0.25">
      <c r="A16603" t="str">
        <f>"15036195839"</f>
        <v>15036195839</v>
      </c>
      <c r="B16603" t="s">
        <v>574</v>
      </c>
      <c r="C16603" t="s">
        <v>14269</v>
      </c>
      <c r="D16603" t="s">
        <v>56051</v>
      </c>
      <c r="E16603">
        <v>425008</v>
      </c>
      <c r="F16603" t="s">
        <v>1</v>
      </c>
      <c r="G16603" t="s">
        <v>52955</v>
      </c>
      <c r="H16603" t="s">
        <v>53554</v>
      </c>
      <c r="Y16603" t="s">
        <v>56052</v>
      </c>
    </row>
    <row r="16604" spans="1:25" x14ac:dyDescent="0.25">
      <c r="A16604" t="str">
        <f>"15100330874"</f>
        <v>15100330874</v>
      </c>
      <c r="B16604" t="s">
        <v>348</v>
      </c>
      <c r="C16604" t="s">
        <v>9150</v>
      </c>
      <c r="D16604" t="s">
        <v>56053</v>
      </c>
      <c r="E16604">
        <v>425011</v>
      </c>
      <c r="F16604" t="s">
        <v>1</v>
      </c>
      <c r="G16604" t="s">
        <v>52955</v>
      </c>
      <c r="H16604" t="s">
        <v>54118</v>
      </c>
      <c r="Y16604" t="s">
        <v>56054</v>
      </c>
    </row>
    <row r="16605" spans="1:25" x14ac:dyDescent="0.25">
      <c r="A16605" t="str">
        <f>"15274930978"</f>
        <v>15274930978</v>
      </c>
      <c r="B16605" t="s">
        <v>160</v>
      </c>
      <c r="C16605" t="s">
        <v>1666</v>
      </c>
      <c r="D16605" t="s">
        <v>56055</v>
      </c>
      <c r="E16605">
        <v>425005</v>
      </c>
      <c r="F16605" t="s">
        <v>1</v>
      </c>
      <c r="G16605" t="s">
        <v>52955</v>
      </c>
      <c r="H16605" t="s">
        <v>53443</v>
      </c>
      <c r="I16605" t="s">
        <v>56056</v>
      </c>
      <c r="P16605" t="s">
        <v>20</v>
      </c>
      <c r="Y16605" t="s">
        <v>53446</v>
      </c>
    </row>
    <row r="16606" spans="1:25" x14ac:dyDescent="0.25">
      <c r="A16606" t="str">
        <f>"15350861807"</f>
        <v>15350861807</v>
      </c>
      <c r="B16606" t="s">
        <v>8011</v>
      </c>
      <c r="C16606" t="s">
        <v>24988</v>
      </c>
      <c r="D16606" t="s">
        <v>24987</v>
      </c>
      <c r="E16606">
        <v>425008</v>
      </c>
      <c r="F16606" t="s">
        <v>1</v>
      </c>
      <c r="G16606" t="s">
        <v>52955</v>
      </c>
      <c r="H16606" t="s">
        <v>56057</v>
      </c>
      <c r="P16606" t="s">
        <v>11503</v>
      </c>
      <c r="Y16606" t="s">
        <v>56058</v>
      </c>
    </row>
    <row r="16607" spans="1:25" x14ac:dyDescent="0.25">
      <c r="A16607" t="str">
        <f>"15677240197"</f>
        <v>15677240197</v>
      </c>
      <c r="B16607" t="s">
        <v>96</v>
      </c>
      <c r="C16607" t="s">
        <v>2285</v>
      </c>
      <c r="D16607" t="s">
        <v>41408</v>
      </c>
      <c r="F16607" t="s">
        <v>1</v>
      </c>
      <c r="G16607" t="s">
        <v>52955</v>
      </c>
      <c r="H16607" t="s">
        <v>55608</v>
      </c>
      <c r="Y16607" t="s">
        <v>56059</v>
      </c>
    </row>
    <row r="16608" spans="1:25" x14ac:dyDescent="0.25">
      <c r="A16608" t="str">
        <f>"15685337833"</f>
        <v>15685337833</v>
      </c>
      <c r="B16608" t="s">
        <v>888</v>
      </c>
      <c r="C16608" t="s">
        <v>1947</v>
      </c>
      <c r="D16608" t="s">
        <v>56060</v>
      </c>
      <c r="F16608" t="s">
        <v>1</v>
      </c>
      <c r="G16608" t="s">
        <v>52955</v>
      </c>
      <c r="H16608" t="s">
        <v>53404</v>
      </c>
      <c r="J16608" t="s">
        <v>56061</v>
      </c>
      <c r="P16608" t="s">
        <v>216</v>
      </c>
      <c r="Y16608" t="s">
        <v>53547</v>
      </c>
    </row>
    <row r="16609" spans="1:25" x14ac:dyDescent="0.25">
      <c r="A16609" t="str">
        <f>"15898570515"</f>
        <v>15898570515</v>
      </c>
      <c r="B16609" t="s">
        <v>1758</v>
      </c>
      <c r="C16609" t="s">
        <v>8089</v>
      </c>
      <c r="D16609" t="s">
        <v>56062</v>
      </c>
      <c r="E16609">
        <v>425008</v>
      </c>
      <c r="F16609" t="s">
        <v>1</v>
      </c>
      <c r="G16609" t="s">
        <v>52955</v>
      </c>
      <c r="H16609" t="s">
        <v>56057</v>
      </c>
      <c r="Y16609" t="s">
        <v>56063</v>
      </c>
    </row>
    <row r="16610" spans="1:25" x14ac:dyDescent="0.25">
      <c r="A16610" t="str">
        <f>"16283329923"</f>
        <v>16283329923</v>
      </c>
      <c r="B16610" t="s">
        <v>1152</v>
      </c>
      <c r="C16610" t="s">
        <v>1385</v>
      </c>
      <c r="D16610" t="s">
        <v>1385</v>
      </c>
      <c r="F16610" t="s">
        <v>1</v>
      </c>
      <c r="G16610" t="s">
        <v>52955</v>
      </c>
      <c r="H16610" t="s">
        <v>53198</v>
      </c>
      <c r="J16610" t="s">
        <v>56064</v>
      </c>
      <c r="P16610" t="s">
        <v>56065</v>
      </c>
      <c r="Y16610" t="s">
        <v>56066</v>
      </c>
    </row>
    <row r="16611" spans="1:25" x14ac:dyDescent="0.25">
      <c r="A16611" t="str">
        <f>"16577486850"</f>
        <v>16577486850</v>
      </c>
      <c r="B16611" t="s">
        <v>654</v>
      </c>
      <c r="C16611" t="s">
        <v>12850</v>
      </c>
      <c r="D16611" t="s">
        <v>56067</v>
      </c>
      <c r="E16611">
        <v>425000</v>
      </c>
      <c r="F16611" t="s">
        <v>1</v>
      </c>
      <c r="G16611" t="s">
        <v>52955</v>
      </c>
      <c r="H16611" t="s">
        <v>53075</v>
      </c>
      <c r="J16611" t="s">
        <v>56068</v>
      </c>
      <c r="L16611" t="s">
        <v>56069</v>
      </c>
      <c r="M16611" t="s">
        <v>56070</v>
      </c>
      <c r="P16611" t="s">
        <v>9</v>
      </c>
      <c r="Q16611" t="s">
        <v>56071</v>
      </c>
      <c r="T16611" t="s">
        <v>56072</v>
      </c>
      <c r="Y16611" t="s">
        <v>56073</v>
      </c>
    </row>
    <row r="16612" spans="1:25" x14ac:dyDescent="0.25">
      <c r="A16612" t="str">
        <f>"16879682444"</f>
        <v>16879682444</v>
      </c>
      <c r="B16612" t="s">
        <v>530</v>
      </c>
      <c r="C16612" t="s">
        <v>5046</v>
      </c>
      <c r="D16612" t="s">
        <v>54673</v>
      </c>
      <c r="E16612">
        <v>425008</v>
      </c>
      <c r="F16612" t="s">
        <v>1</v>
      </c>
      <c r="G16612" t="s">
        <v>52955</v>
      </c>
      <c r="H16612" t="s">
        <v>56074</v>
      </c>
      <c r="Y16612" t="s">
        <v>56075</v>
      </c>
    </row>
    <row r="16613" spans="1:25" x14ac:dyDescent="0.25">
      <c r="A16613" t="str">
        <f>"16905688939"</f>
        <v>16905688939</v>
      </c>
      <c r="B16613" t="s">
        <v>18</v>
      </c>
      <c r="C16613" t="s">
        <v>31834</v>
      </c>
      <c r="D16613" t="s">
        <v>2011</v>
      </c>
      <c r="E16613">
        <v>425000</v>
      </c>
      <c r="F16613" t="s">
        <v>1</v>
      </c>
      <c r="G16613" t="s">
        <v>52955</v>
      </c>
      <c r="H16613" t="s">
        <v>53911</v>
      </c>
      <c r="Y16613" t="s">
        <v>54660</v>
      </c>
    </row>
    <row r="16614" spans="1:25" x14ac:dyDescent="0.25">
      <c r="A16614" t="str">
        <f>"17038135532"</f>
        <v>17038135532</v>
      </c>
      <c r="B16614" t="s">
        <v>1352</v>
      </c>
      <c r="C16614" t="s">
        <v>56077</v>
      </c>
      <c r="D16614" t="s">
        <v>56076</v>
      </c>
      <c r="F16614" t="s">
        <v>1</v>
      </c>
      <c r="G16614" t="s">
        <v>52955</v>
      </c>
      <c r="H16614" t="s">
        <v>53198</v>
      </c>
      <c r="Y16614" t="s">
        <v>55699</v>
      </c>
    </row>
    <row r="16615" spans="1:25" x14ac:dyDescent="0.25">
      <c r="A16615" t="str">
        <f>"17460659471"</f>
        <v>17460659471</v>
      </c>
      <c r="B16615" t="s">
        <v>1046</v>
      </c>
      <c r="C16615" t="s">
        <v>22946</v>
      </c>
      <c r="D16615" t="s">
        <v>22946</v>
      </c>
      <c r="E16615">
        <v>425000</v>
      </c>
      <c r="F16615" t="s">
        <v>1</v>
      </c>
      <c r="G16615" t="s">
        <v>52955</v>
      </c>
      <c r="H16615" t="s">
        <v>56006</v>
      </c>
      <c r="Y16615" t="s">
        <v>56078</v>
      </c>
    </row>
    <row r="16616" spans="1:25" x14ac:dyDescent="0.25">
      <c r="A16616" t="str">
        <f>"17876005454"</f>
        <v>17876005454</v>
      </c>
      <c r="B16616" t="s">
        <v>96</v>
      </c>
      <c r="C16616" t="s">
        <v>893</v>
      </c>
      <c r="D16616" t="s">
        <v>56079</v>
      </c>
      <c r="F16616" t="s">
        <v>1</v>
      </c>
      <c r="G16616" t="s">
        <v>52955</v>
      </c>
      <c r="H16616" t="s">
        <v>53072</v>
      </c>
      <c r="Y16616" t="s">
        <v>56080</v>
      </c>
    </row>
    <row r="16617" spans="1:25" x14ac:dyDescent="0.25">
      <c r="A16617" t="str">
        <f>"18091190253"</f>
        <v>18091190253</v>
      </c>
      <c r="B16617" t="s">
        <v>1152</v>
      </c>
      <c r="C16617" t="s">
        <v>56081</v>
      </c>
      <c r="D16617" t="s">
        <v>27705</v>
      </c>
      <c r="F16617" t="s">
        <v>1</v>
      </c>
      <c r="G16617" t="s">
        <v>52955</v>
      </c>
      <c r="H16617" t="s">
        <v>52989</v>
      </c>
      <c r="Y16617" t="s">
        <v>53039</v>
      </c>
    </row>
    <row r="16618" spans="1:25" x14ac:dyDescent="0.25">
      <c r="A16618" t="str">
        <f>"18713957321"</f>
        <v>18713957321</v>
      </c>
      <c r="B16618" t="s">
        <v>797</v>
      </c>
      <c r="C16618" t="s">
        <v>5123</v>
      </c>
      <c r="D16618" t="s">
        <v>26779</v>
      </c>
      <c r="F16618" t="s">
        <v>1</v>
      </c>
      <c r="G16618" t="s">
        <v>52955</v>
      </c>
      <c r="H16618" t="s">
        <v>55520</v>
      </c>
      <c r="Y16618" t="s">
        <v>56082</v>
      </c>
    </row>
    <row r="16619" spans="1:25" x14ac:dyDescent="0.25">
      <c r="A16619" t="str">
        <f>"18783443257"</f>
        <v>18783443257</v>
      </c>
      <c r="B16619" t="s">
        <v>1046</v>
      </c>
      <c r="C16619" t="s">
        <v>22946</v>
      </c>
      <c r="D16619" t="s">
        <v>56083</v>
      </c>
      <c r="E16619">
        <v>425000</v>
      </c>
      <c r="F16619" t="s">
        <v>1</v>
      </c>
      <c r="G16619" t="s">
        <v>52955</v>
      </c>
      <c r="H16619" t="s">
        <v>53066</v>
      </c>
      <c r="Y16619" t="s">
        <v>56084</v>
      </c>
    </row>
    <row r="16620" spans="1:25" x14ac:dyDescent="0.25">
      <c r="A16620" t="str">
        <f>"19009072285"</f>
        <v>19009072285</v>
      </c>
      <c r="B16620" t="s">
        <v>930</v>
      </c>
      <c r="C16620" t="s">
        <v>10263</v>
      </c>
      <c r="D16620" t="s">
        <v>21753</v>
      </c>
      <c r="F16620" t="s">
        <v>1</v>
      </c>
      <c r="G16620" t="s">
        <v>52955</v>
      </c>
      <c r="H16620" t="s">
        <v>56085</v>
      </c>
      <c r="J16620" t="s">
        <v>56086</v>
      </c>
      <c r="P16620" t="s">
        <v>410</v>
      </c>
      <c r="Y16620" t="s">
        <v>56087</v>
      </c>
    </row>
    <row r="16621" spans="1:25" x14ac:dyDescent="0.25">
      <c r="A16621" t="str">
        <f>"19030502634"</f>
        <v>19030502634</v>
      </c>
      <c r="B16621" t="s">
        <v>88</v>
      </c>
      <c r="C16621" t="s">
        <v>89</v>
      </c>
      <c r="D16621" t="s">
        <v>12763</v>
      </c>
      <c r="F16621" t="s">
        <v>1</v>
      </c>
      <c r="G16621" t="s">
        <v>52955</v>
      </c>
      <c r="H16621" t="s">
        <v>53072</v>
      </c>
      <c r="Y16621" t="s">
        <v>56088</v>
      </c>
    </row>
    <row r="16622" spans="1:25" x14ac:dyDescent="0.25">
      <c r="A16622" t="str">
        <f>"19093512596"</f>
        <v>19093512596</v>
      </c>
      <c r="B16622" t="s">
        <v>204</v>
      </c>
      <c r="C16622" t="s">
        <v>56090</v>
      </c>
      <c r="D16622" t="s">
        <v>56089</v>
      </c>
      <c r="E16622">
        <v>425009</v>
      </c>
      <c r="F16622" t="s">
        <v>1</v>
      </c>
      <c r="G16622" t="s">
        <v>52955</v>
      </c>
      <c r="H16622" t="s">
        <v>55921</v>
      </c>
      <c r="Y16622" t="s">
        <v>56091</v>
      </c>
    </row>
    <row r="16623" spans="1:25" x14ac:dyDescent="0.25">
      <c r="A16623" t="str">
        <f>"19517857080"</f>
        <v>19517857080</v>
      </c>
      <c r="B16623" t="s">
        <v>687</v>
      </c>
      <c r="C16623" t="s">
        <v>56095</v>
      </c>
      <c r="D16623" t="s">
        <v>56092</v>
      </c>
      <c r="E16623">
        <v>425000</v>
      </c>
      <c r="F16623" t="s">
        <v>1</v>
      </c>
      <c r="G16623" t="s">
        <v>52955</v>
      </c>
      <c r="H16623" t="s">
        <v>56093</v>
      </c>
      <c r="J16623" t="s">
        <v>56094</v>
      </c>
      <c r="P16623" t="s">
        <v>410</v>
      </c>
      <c r="Y16623" t="s">
        <v>56096</v>
      </c>
    </row>
    <row r="16624" spans="1:25" x14ac:dyDescent="0.25">
      <c r="A16624" t="str">
        <f>"20072121774"</f>
        <v>20072121774</v>
      </c>
      <c r="B16624" t="s">
        <v>430</v>
      </c>
      <c r="C16624" t="s">
        <v>16178</v>
      </c>
      <c r="D16624" t="s">
        <v>56097</v>
      </c>
      <c r="F16624" t="s">
        <v>1</v>
      </c>
      <c r="G16624" t="s">
        <v>52955</v>
      </c>
      <c r="H16624" t="s">
        <v>56098</v>
      </c>
      <c r="P16624" t="s">
        <v>330</v>
      </c>
      <c r="Y16624" t="s">
        <v>56099</v>
      </c>
    </row>
    <row r="16625" spans="1:25" x14ac:dyDescent="0.25">
      <c r="A16625" t="str">
        <f>"21098812955"</f>
        <v>21098812955</v>
      </c>
      <c r="B16625" t="s">
        <v>790</v>
      </c>
      <c r="C16625" t="s">
        <v>5283</v>
      </c>
      <c r="D16625" t="s">
        <v>56100</v>
      </c>
      <c r="E16625">
        <v>425009</v>
      </c>
      <c r="F16625" t="s">
        <v>1</v>
      </c>
      <c r="G16625" t="s">
        <v>52955</v>
      </c>
      <c r="H16625" t="s">
        <v>53696</v>
      </c>
      <c r="J16625" t="s">
        <v>56101</v>
      </c>
      <c r="Q16625" t="s">
        <v>56102</v>
      </c>
      <c r="Y16625" t="s">
        <v>54787</v>
      </c>
    </row>
    <row r="16626" spans="1:25" x14ac:dyDescent="0.25">
      <c r="A16626" t="str">
        <f>"21167165589"</f>
        <v>21167165589</v>
      </c>
      <c r="B16626" t="s">
        <v>738</v>
      </c>
      <c r="C16626" t="s">
        <v>739</v>
      </c>
      <c r="D16626" t="s">
        <v>739</v>
      </c>
      <c r="F16626" t="s">
        <v>1</v>
      </c>
      <c r="G16626" t="s">
        <v>52955</v>
      </c>
      <c r="H16626" t="s">
        <v>56103</v>
      </c>
      <c r="Y16626" t="s">
        <v>56104</v>
      </c>
    </row>
    <row r="16627" spans="1:25" x14ac:dyDescent="0.25">
      <c r="A16627" t="str">
        <f>"21936410348"</f>
        <v>21936410348</v>
      </c>
      <c r="B16627" t="s">
        <v>1046</v>
      </c>
      <c r="C16627" t="s">
        <v>22946</v>
      </c>
      <c r="D16627" t="s">
        <v>22946</v>
      </c>
      <c r="F16627" t="s">
        <v>1</v>
      </c>
      <c r="G16627" t="s">
        <v>52955</v>
      </c>
      <c r="H16627" t="s">
        <v>55854</v>
      </c>
      <c r="Y16627" t="s">
        <v>56105</v>
      </c>
    </row>
    <row r="16628" spans="1:25" x14ac:dyDescent="0.25">
      <c r="A16628" t="str">
        <f>"22022152670"</f>
        <v>22022152670</v>
      </c>
      <c r="B16628" t="s">
        <v>574</v>
      </c>
      <c r="C16628" t="s">
        <v>646</v>
      </c>
      <c r="D16628" t="s">
        <v>1589</v>
      </c>
      <c r="E16628">
        <v>425000</v>
      </c>
      <c r="F16628" t="s">
        <v>1</v>
      </c>
      <c r="G16628" t="s">
        <v>52955</v>
      </c>
      <c r="H16628" t="s">
        <v>56106</v>
      </c>
      <c r="P16628" t="s">
        <v>2457</v>
      </c>
      <c r="Y16628" t="s">
        <v>56107</v>
      </c>
    </row>
    <row r="16629" spans="1:25" x14ac:dyDescent="0.25">
      <c r="A16629" t="str">
        <f>"22329904721"</f>
        <v>22329904721</v>
      </c>
      <c r="B16629" t="s">
        <v>348</v>
      </c>
      <c r="C16629" t="s">
        <v>4366</v>
      </c>
      <c r="D16629" t="s">
        <v>56108</v>
      </c>
      <c r="E16629">
        <v>425000</v>
      </c>
      <c r="F16629" t="s">
        <v>1</v>
      </c>
      <c r="G16629" t="s">
        <v>52955</v>
      </c>
      <c r="H16629" t="s">
        <v>54582</v>
      </c>
      <c r="Y16629" t="s">
        <v>56109</v>
      </c>
    </row>
    <row r="16630" spans="1:25" x14ac:dyDescent="0.25">
      <c r="A16630" t="str">
        <f>"22358321502"</f>
        <v>22358321502</v>
      </c>
      <c r="B16630" t="s">
        <v>290</v>
      </c>
      <c r="C16630" t="s">
        <v>16376</v>
      </c>
      <c r="D16630" t="s">
        <v>56110</v>
      </c>
      <c r="F16630" t="s">
        <v>1</v>
      </c>
      <c r="G16630" t="s">
        <v>52955</v>
      </c>
      <c r="H16630" t="s">
        <v>56111</v>
      </c>
      <c r="J16630" t="s">
        <v>56112</v>
      </c>
      <c r="P16630" t="s">
        <v>45139</v>
      </c>
      <c r="Q16630" t="s">
        <v>56113</v>
      </c>
      <c r="Y16630" t="s">
        <v>56114</v>
      </c>
    </row>
    <row r="16631" spans="1:25" x14ac:dyDescent="0.25">
      <c r="A16631" t="str">
        <f>"22626367710"</f>
        <v>22626367710</v>
      </c>
      <c r="B16631" t="s">
        <v>96</v>
      </c>
      <c r="C16631" t="s">
        <v>8808</v>
      </c>
      <c r="D16631" t="s">
        <v>56115</v>
      </c>
      <c r="F16631" t="s">
        <v>1</v>
      </c>
      <c r="G16631" t="s">
        <v>52955</v>
      </c>
      <c r="H16631" t="s">
        <v>53072</v>
      </c>
      <c r="Y16631" t="s">
        <v>56116</v>
      </c>
    </row>
    <row r="16632" spans="1:25" x14ac:dyDescent="0.25">
      <c r="A16632" t="str">
        <f>"22886285284"</f>
        <v>22886285284</v>
      </c>
      <c r="B16632" t="s">
        <v>1573</v>
      </c>
      <c r="C16632" t="s">
        <v>56119</v>
      </c>
      <c r="D16632" t="s">
        <v>36582</v>
      </c>
      <c r="F16632" t="s">
        <v>1</v>
      </c>
      <c r="G16632" t="s">
        <v>52955</v>
      </c>
      <c r="H16632" t="s">
        <v>56117</v>
      </c>
      <c r="I16632" t="s">
        <v>1570</v>
      </c>
      <c r="L16632" t="s">
        <v>36583</v>
      </c>
      <c r="M16632" t="s">
        <v>56118</v>
      </c>
      <c r="P16632" t="s">
        <v>410</v>
      </c>
      <c r="Q16632" t="s">
        <v>1575</v>
      </c>
      <c r="R16632" t="s">
        <v>1576</v>
      </c>
      <c r="T16632" t="s">
        <v>1577</v>
      </c>
      <c r="V16632" t="s">
        <v>1578</v>
      </c>
      <c r="Y16632" t="s">
        <v>56120</v>
      </c>
    </row>
    <row r="16633" spans="1:25" x14ac:dyDescent="0.25">
      <c r="A16633" t="str">
        <f>"23165158101"</f>
        <v>23165158101</v>
      </c>
      <c r="B16633" t="s">
        <v>738</v>
      </c>
      <c r="C16633" t="s">
        <v>739</v>
      </c>
      <c r="D16633" t="s">
        <v>41103</v>
      </c>
      <c r="E16633">
        <v>425001</v>
      </c>
      <c r="F16633" t="s">
        <v>1</v>
      </c>
      <c r="G16633" t="s">
        <v>52955</v>
      </c>
      <c r="H16633" t="s">
        <v>56121</v>
      </c>
      <c r="P16633" t="s">
        <v>1464</v>
      </c>
      <c r="Y16633" t="s">
        <v>56122</v>
      </c>
    </row>
    <row r="16634" spans="1:25" x14ac:dyDescent="0.25">
      <c r="A16634" t="str">
        <f>"23189641051"</f>
        <v>23189641051</v>
      </c>
      <c r="B16634" t="s">
        <v>224</v>
      </c>
      <c r="C16634" t="s">
        <v>56127</v>
      </c>
      <c r="D16634" t="s">
        <v>56123</v>
      </c>
      <c r="E16634">
        <v>425008</v>
      </c>
      <c r="F16634" t="s">
        <v>1</v>
      </c>
      <c r="G16634" t="s">
        <v>52955</v>
      </c>
      <c r="H16634" t="s">
        <v>53614</v>
      </c>
      <c r="J16634" t="s">
        <v>56124</v>
      </c>
      <c r="L16634" t="s">
        <v>56125</v>
      </c>
      <c r="M16634" t="s">
        <v>56126</v>
      </c>
      <c r="Y16634" t="s">
        <v>53616</v>
      </c>
    </row>
    <row r="16635" spans="1:25" x14ac:dyDescent="0.25">
      <c r="A16635" t="str">
        <f>"23276444192"</f>
        <v>23276444192</v>
      </c>
      <c r="B16635" t="s">
        <v>430</v>
      </c>
      <c r="C16635" t="s">
        <v>8739</v>
      </c>
      <c r="D16635" t="s">
        <v>56128</v>
      </c>
      <c r="E16635">
        <v>425000</v>
      </c>
      <c r="F16635" t="s">
        <v>1</v>
      </c>
      <c r="G16635" t="s">
        <v>52955</v>
      </c>
      <c r="H16635" t="s">
        <v>53536</v>
      </c>
      <c r="Y16635" t="s">
        <v>56129</v>
      </c>
    </row>
    <row r="16636" spans="1:25" x14ac:dyDescent="0.25">
      <c r="A16636" t="str">
        <f>"23390586588"</f>
        <v>23390586588</v>
      </c>
      <c r="B16636" t="s">
        <v>1152</v>
      </c>
      <c r="C16636" t="s">
        <v>1153</v>
      </c>
      <c r="D16636" t="s">
        <v>56130</v>
      </c>
      <c r="F16636" t="s">
        <v>1</v>
      </c>
      <c r="G16636" t="s">
        <v>52955</v>
      </c>
      <c r="H16636" t="s">
        <v>52989</v>
      </c>
      <c r="I16636" t="s">
        <v>56131</v>
      </c>
      <c r="L16636" t="s">
        <v>56132</v>
      </c>
      <c r="M16636" t="s">
        <v>56133</v>
      </c>
      <c r="P16636" t="s">
        <v>3333</v>
      </c>
      <c r="Q16636" t="s">
        <v>56134</v>
      </c>
      <c r="R16636" t="s">
        <v>56135</v>
      </c>
      <c r="S16636" t="s">
        <v>56136</v>
      </c>
      <c r="T16636" t="s">
        <v>56137</v>
      </c>
      <c r="V16636" t="s">
        <v>56138</v>
      </c>
      <c r="Y16636" t="s">
        <v>53039</v>
      </c>
    </row>
    <row r="16637" spans="1:25" x14ac:dyDescent="0.25">
      <c r="A16637" t="str">
        <f>"23543972519"</f>
        <v>23543972519</v>
      </c>
      <c r="B16637" t="s">
        <v>233</v>
      </c>
      <c r="C16637" t="s">
        <v>14003</v>
      </c>
      <c r="D16637" t="s">
        <v>56139</v>
      </c>
      <c r="E16637">
        <v>425000</v>
      </c>
      <c r="F16637" t="s">
        <v>1</v>
      </c>
      <c r="G16637" t="s">
        <v>52955</v>
      </c>
      <c r="H16637" t="s">
        <v>55708</v>
      </c>
      <c r="Y16637" t="s">
        <v>56140</v>
      </c>
    </row>
    <row r="16638" spans="1:25" x14ac:dyDescent="0.25">
      <c r="A16638" t="str">
        <f>"23575669496"</f>
        <v>23575669496</v>
      </c>
      <c r="B16638" t="s">
        <v>319</v>
      </c>
      <c r="C16638" t="s">
        <v>56144</v>
      </c>
      <c r="D16638" t="s">
        <v>56141</v>
      </c>
      <c r="E16638">
        <v>425000</v>
      </c>
      <c r="F16638" t="s">
        <v>1</v>
      </c>
      <c r="G16638" t="s">
        <v>52955</v>
      </c>
      <c r="H16638" t="s">
        <v>55251</v>
      </c>
      <c r="J16638" t="s">
        <v>56142</v>
      </c>
      <c r="L16638" t="s">
        <v>56143</v>
      </c>
      <c r="Q16638" t="s">
        <v>56145</v>
      </c>
      <c r="Y16638" t="s">
        <v>56146</v>
      </c>
    </row>
    <row r="16639" spans="1:25" x14ac:dyDescent="0.25">
      <c r="A16639" t="str">
        <f>"23823147813"</f>
        <v>23823147813</v>
      </c>
      <c r="B16639" t="s">
        <v>1078</v>
      </c>
      <c r="C16639" t="s">
        <v>25481</v>
      </c>
      <c r="D16639" t="s">
        <v>7229</v>
      </c>
      <c r="E16639">
        <v>425003</v>
      </c>
      <c r="F16639" t="s">
        <v>1</v>
      </c>
      <c r="G16639" t="s">
        <v>52955</v>
      </c>
      <c r="H16639" t="s">
        <v>53610</v>
      </c>
      <c r="Y16639" t="s">
        <v>56147</v>
      </c>
    </row>
    <row r="16640" spans="1:25" x14ac:dyDescent="0.25">
      <c r="A16640" t="str">
        <f>"23961047659"</f>
        <v>23961047659</v>
      </c>
      <c r="B16640" t="s">
        <v>530</v>
      </c>
      <c r="C16640" t="s">
        <v>23950</v>
      </c>
      <c r="D16640" t="s">
        <v>23950</v>
      </c>
      <c r="E16640">
        <v>425000</v>
      </c>
      <c r="F16640" t="s">
        <v>1</v>
      </c>
      <c r="G16640" t="s">
        <v>52955</v>
      </c>
      <c r="H16640" t="s">
        <v>56148</v>
      </c>
      <c r="Y16640" t="s">
        <v>56149</v>
      </c>
    </row>
    <row r="16641" spans="1:25" x14ac:dyDescent="0.25">
      <c r="A16641" t="str">
        <f>"24332460085"</f>
        <v>24332460085</v>
      </c>
      <c r="B16641" t="s">
        <v>797</v>
      </c>
      <c r="C16641" t="s">
        <v>5123</v>
      </c>
      <c r="D16641" t="s">
        <v>56150</v>
      </c>
      <c r="E16641">
        <v>425000</v>
      </c>
      <c r="F16641" t="s">
        <v>1</v>
      </c>
      <c r="G16641" t="s">
        <v>52955</v>
      </c>
      <c r="H16641" t="s">
        <v>53783</v>
      </c>
      <c r="Y16641" t="s">
        <v>56151</v>
      </c>
    </row>
    <row r="16642" spans="1:25" x14ac:dyDescent="0.25">
      <c r="A16642" t="str">
        <f>"24416342552"</f>
        <v>24416342552</v>
      </c>
      <c r="B16642" t="s">
        <v>18</v>
      </c>
      <c r="C16642" t="s">
        <v>56152</v>
      </c>
      <c r="D16642" t="s">
        <v>35510</v>
      </c>
      <c r="E16642">
        <v>425000</v>
      </c>
      <c r="F16642" t="s">
        <v>1</v>
      </c>
      <c r="G16642" t="s">
        <v>52955</v>
      </c>
      <c r="H16642" t="s">
        <v>53278</v>
      </c>
      <c r="Y16642" t="s">
        <v>56153</v>
      </c>
    </row>
    <row r="16643" spans="1:25" x14ac:dyDescent="0.25">
      <c r="A16643" t="str">
        <f>"24704719110"</f>
        <v>24704719110</v>
      </c>
      <c r="B16643" t="s">
        <v>574</v>
      </c>
      <c r="C16643" t="s">
        <v>646</v>
      </c>
      <c r="D16643" t="s">
        <v>8880</v>
      </c>
      <c r="F16643" t="s">
        <v>1</v>
      </c>
      <c r="G16643" t="s">
        <v>52955</v>
      </c>
      <c r="H16643" t="s">
        <v>55928</v>
      </c>
      <c r="Y16643" t="s">
        <v>56154</v>
      </c>
    </row>
    <row r="16644" spans="1:25" x14ac:dyDescent="0.25">
      <c r="A16644" t="str">
        <f>"24923806599"</f>
        <v>24923806599</v>
      </c>
      <c r="B16644" t="s">
        <v>88</v>
      </c>
      <c r="C16644" t="s">
        <v>6066</v>
      </c>
      <c r="D16644" t="s">
        <v>56155</v>
      </c>
      <c r="E16644">
        <v>425000</v>
      </c>
      <c r="F16644" t="s">
        <v>1</v>
      </c>
      <c r="G16644" t="s">
        <v>52955</v>
      </c>
      <c r="H16644" t="s">
        <v>53783</v>
      </c>
      <c r="Y16644" t="s">
        <v>56156</v>
      </c>
    </row>
    <row r="16645" spans="1:25" x14ac:dyDescent="0.25">
      <c r="A16645" t="str">
        <f>"24963259784"</f>
        <v>24963259784</v>
      </c>
      <c r="B16645" t="s">
        <v>18</v>
      </c>
      <c r="C16645" t="s">
        <v>4522</v>
      </c>
      <c r="D16645" t="s">
        <v>56157</v>
      </c>
      <c r="E16645">
        <v>425009</v>
      </c>
      <c r="F16645" t="s">
        <v>1</v>
      </c>
      <c r="G16645" t="s">
        <v>52955</v>
      </c>
      <c r="H16645" t="s">
        <v>55434</v>
      </c>
      <c r="P16645" t="s">
        <v>45514</v>
      </c>
      <c r="Y16645" t="s">
        <v>56158</v>
      </c>
    </row>
    <row r="16646" spans="1:25" x14ac:dyDescent="0.25">
      <c r="A16646" t="str">
        <f>"24982623899"</f>
        <v>24982623899</v>
      </c>
      <c r="B16646" t="s">
        <v>930</v>
      </c>
      <c r="C16646" t="s">
        <v>56161</v>
      </c>
      <c r="D16646" t="s">
        <v>56159</v>
      </c>
      <c r="F16646" t="s">
        <v>1</v>
      </c>
      <c r="G16646" t="s">
        <v>52955</v>
      </c>
      <c r="H16646" t="s">
        <v>55926</v>
      </c>
      <c r="J16646" t="s">
        <v>56160</v>
      </c>
      <c r="P16646" t="s">
        <v>2050</v>
      </c>
      <c r="Y16646" t="s">
        <v>56162</v>
      </c>
    </row>
    <row r="16647" spans="1:25" x14ac:dyDescent="0.25">
      <c r="A16647" t="str">
        <f>"25066779955"</f>
        <v>25066779955</v>
      </c>
      <c r="B16647" t="s">
        <v>2790</v>
      </c>
      <c r="C16647" t="s">
        <v>3528</v>
      </c>
      <c r="D16647" t="s">
        <v>56163</v>
      </c>
      <c r="E16647">
        <v>425000</v>
      </c>
      <c r="F16647" t="s">
        <v>1</v>
      </c>
      <c r="G16647" t="s">
        <v>52955</v>
      </c>
      <c r="H16647" t="s">
        <v>53704</v>
      </c>
      <c r="Y16647" t="s">
        <v>56164</v>
      </c>
    </row>
    <row r="16648" spans="1:25" x14ac:dyDescent="0.25">
      <c r="A16648" t="str">
        <f>"25404572465"</f>
        <v>25404572465</v>
      </c>
      <c r="B16648" t="s">
        <v>160</v>
      </c>
      <c r="C16648" t="s">
        <v>1666</v>
      </c>
      <c r="D16648" t="s">
        <v>56165</v>
      </c>
      <c r="E16648">
        <v>425011</v>
      </c>
      <c r="F16648" t="s">
        <v>1</v>
      </c>
      <c r="G16648" t="s">
        <v>52955</v>
      </c>
      <c r="H16648" t="s">
        <v>56166</v>
      </c>
      <c r="Y16648" t="s">
        <v>56167</v>
      </c>
    </row>
    <row r="16649" spans="1:25" x14ac:dyDescent="0.25">
      <c r="A16649" t="str">
        <f>"25529226677"</f>
        <v>25529226677</v>
      </c>
      <c r="B16649" t="s">
        <v>2474</v>
      </c>
      <c r="C16649" t="s">
        <v>2475</v>
      </c>
      <c r="D16649" t="s">
        <v>56168</v>
      </c>
      <c r="E16649">
        <v>425000</v>
      </c>
      <c r="F16649" t="s">
        <v>1</v>
      </c>
      <c r="G16649" t="s">
        <v>52955</v>
      </c>
      <c r="H16649" t="s">
        <v>53081</v>
      </c>
      <c r="I16649" t="s">
        <v>56169</v>
      </c>
      <c r="Y16649" t="s">
        <v>56170</v>
      </c>
    </row>
    <row r="16650" spans="1:25" x14ac:dyDescent="0.25">
      <c r="A16650" t="str">
        <f>"25585101075"</f>
        <v>25585101075</v>
      </c>
      <c r="B16650" t="s">
        <v>290</v>
      </c>
      <c r="C16650" t="s">
        <v>290</v>
      </c>
      <c r="D16650" t="s">
        <v>56171</v>
      </c>
      <c r="F16650" t="s">
        <v>1</v>
      </c>
      <c r="G16650" t="s">
        <v>52955</v>
      </c>
      <c r="H16650" t="s">
        <v>53355</v>
      </c>
      <c r="J16650" t="s">
        <v>56172</v>
      </c>
      <c r="L16650" t="s">
        <v>56173</v>
      </c>
      <c r="P16650" t="s">
        <v>330</v>
      </c>
      <c r="Q16650" t="s">
        <v>56174</v>
      </c>
      <c r="Y16650" t="s">
        <v>53357</v>
      </c>
    </row>
    <row r="16651" spans="1:25" x14ac:dyDescent="0.25">
      <c r="A16651" t="str">
        <f>"25600969313"</f>
        <v>25600969313</v>
      </c>
      <c r="B16651" t="s">
        <v>456</v>
      </c>
      <c r="C16651" t="s">
        <v>23372</v>
      </c>
      <c r="D16651" t="s">
        <v>56175</v>
      </c>
      <c r="E16651">
        <v>425000</v>
      </c>
      <c r="F16651" t="s">
        <v>1</v>
      </c>
      <c r="G16651" t="s">
        <v>52955</v>
      </c>
      <c r="H16651" t="s">
        <v>53068</v>
      </c>
      <c r="I16651" t="s">
        <v>56176</v>
      </c>
      <c r="L16651" t="s">
        <v>56177</v>
      </c>
      <c r="M16651" t="s">
        <v>56178</v>
      </c>
      <c r="P16651" t="s">
        <v>2951</v>
      </c>
      <c r="Q16651" t="s">
        <v>56179</v>
      </c>
      <c r="R16651" t="s">
        <v>56180</v>
      </c>
      <c r="T16651" t="s">
        <v>56181</v>
      </c>
      <c r="U16651" t="s">
        <v>56182</v>
      </c>
      <c r="V16651" t="s">
        <v>56183</v>
      </c>
      <c r="Y16651" t="s">
        <v>56184</v>
      </c>
    </row>
    <row r="16652" spans="1:25" x14ac:dyDescent="0.25">
      <c r="A16652" t="str">
        <f>"25817091832"</f>
        <v>25817091832</v>
      </c>
      <c r="B16652" t="s">
        <v>841</v>
      </c>
      <c r="C16652" t="s">
        <v>56185</v>
      </c>
      <c r="D16652" t="s">
        <v>11224</v>
      </c>
      <c r="E16652">
        <v>425009</v>
      </c>
      <c r="F16652" t="s">
        <v>1</v>
      </c>
      <c r="G16652" t="s">
        <v>52955</v>
      </c>
      <c r="H16652" t="s">
        <v>55390</v>
      </c>
      <c r="P16652" t="s">
        <v>362</v>
      </c>
      <c r="Y16652" t="s">
        <v>56186</v>
      </c>
    </row>
    <row r="16653" spans="1:25" x14ac:dyDescent="0.25">
      <c r="A16653" t="str">
        <f>"25853389761"</f>
        <v>25853389761</v>
      </c>
      <c r="B16653" t="s">
        <v>10383</v>
      </c>
      <c r="C16653" t="s">
        <v>24146</v>
      </c>
      <c r="D16653" t="s">
        <v>24146</v>
      </c>
      <c r="F16653" t="s">
        <v>1</v>
      </c>
      <c r="G16653" t="s">
        <v>52955</v>
      </c>
      <c r="H16653" t="s">
        <v>55243</v>
      </c>
      <c r="Y16653" t="s">
        <v>56187</v>
      </c>
    </row>
    <row r="16654" spans="1:25" x14ac:dyDescent="0.25">
      <c r="A16654" t="str">
        <f>"25906545331"</f>
        <v>25906545331</v>
      </c>
      <c r="B16654" t="s">
        <v>18</v>
      </c>
      <c r="C16654" t="s">
        <v>4522</v>
      </c>
      <c r="D16654" t="s">
        <v>47428</v>
      </c>
      <c r="F16654" t="s">
        <v>1</v>
      </c>
      <c r="G16654" t="s">
        <v>52955</v>
      </c>
      <c r="H16654" t="s">
        <v>53211</v>
      </c>
      <c r="Y16654" t="s">
        <v>56188</v>
      </c>
    </row>
    <row r="16655" spans="1:25" x14ac:dyDescent="0.25">
      <c r="A16655" t="str">
        <f>"25967781987"</f>
        <v>25967781987</v>
      </c>
      <c r="B16655" t="s">
        <v>930</v>
      </c>
      <c r="C16655" t="s">
        <v>927</v>
      </c>
      <c r="D16655" t="s">
        <v>56189</v>
      </c>
      <c r="F16655" t="s">
        <v>1</v>
      </c>
      <c r="G16655" t="s">
        <v>52955</v>
      </c>
      <c r="H16655" t="s">
        <v>53211</v>
      </c>
      <c r="J16655" t="s">
        <v>56190</v>
      </c>
      <c r="P16655" t="s">
        <v>410</v>
      </c>
      <c r="Y16655" t="s">
        <v>53759</v>
      </c>
    </row>
    <row r="16656" spans="1:25" x14ac:dyDescent="0.25">
      <c r="A16656" t="str">
        <f>"26030495266"</f>
        <v>26030495266</v>
      </c>
      <c r="B16656" t="s">
        <v>117</v>
      </c>
      <c r="C16656" t="s">
        <v>873</v>
      </c>
      <c r="D16656" t="s">
        <v>873</v>
      </c>
      <c r="E16656">
        <v>425000</v>
      </c>
      <c r="F16656" t="s">
        <v>1</v>
      </c>
      <c r="G16656" t="s">
        <v>52955</v>
      </c>
      <c r="H16656" t="s">
        <v>54780</v>
      </c>
      <c r="Y16656" t="s">
        <v>56191</v>
      </c>
    </row>
    <row r="16657" spans="1:25" x14ac:dyDescent="0.25">
      <c r="A16657" t="str">
        <f>"26109995785"</f>
        <v>26109995785</v>
      </c>
      <c r="B16657" t="s">
        <v>110</v>
      </c>
      <c r="C16657" t="s">
        <v>111</v>
      </c>
      <c r="D16657" t="s">
        <v>56192</v>
      </c>
      <c r="F16657" t="s">
        <v>1</v>
      </c>
      <c r="G16657" t="s">
        <v>52955</v>
      </c>
      <c r="H16657" t="s">
        <v>55928</v>
      </c>
      <c r="J16657" t="s">
        <v>56193</v>
      </c>
      <c r="P16657" t="s">
        <v>2050</v>
      </c>
      <c r="V16657" t="s">
        <v>56194</v>
      </c>
      <c r="Y16657" t="s">
        <v>55931</v>
      </c>
    </row>
    <row r="16658" spans="1:25" x14ac:dyDescent="0.25">
      <c r="A16658" t="str">
        <f>"26189480556"</f>
        <v>26189480556</v>
      </c>
      <c r="B16658" t="s">
        <v>96</v>
      </c>
      <c r="C16658" t="s">
        <v>507</v>
      </c>
      <c r="D16658" t="s">
        <v>56195</v>
      </c>
      <c r="E16658">
        <v>425009</v>
      </c>
      <c r="F16658" t="s">
        <v>1</v>
      </c>
      <c r="G16658" t="s">
        <v>52955</v>
      </c>
      <c r="H16658" t="s">
        <v>53696</v>
      </c>
      <c r="P16658" t="s">
        <v>144</v>
      </c>
      <c r="Q16658" t="s">
        <v>56196</v>
      </c>
      <c r="Y16658" t="s">
        <v>54787</v>
      </c>
    </row>
    <row r="16659" spans="1:25" x14ac:dyDescent="0.25">
      <c r="A16659" t="str">
        <f>"26305369423"</f>
        <v>26305369423</v>
      </c>
      <c r="B16659" t="s">
        <v>319</v>
      </c>
      <c r="C16659" t="s">
        <v>320</v>
      </c>
      <c r="D16659" t="s">
        <v>2733</v>
      </c>
      <c r="E16659">
        <v>425005</v>
      </c>
      <c r="F16659" t="s">
        <v>1</v>
      </c>
      <c r="G16659" t="s">
        <v>52955</v>
      </c>
      <c r="H16659" t="s">
        <v>55473</v>
      </c>
      <c r="J16659" t="s">
        <v>53618</v>
      </c>
      <c r="P16659" t="s">
        <v>216</v>
      </c>
      <c r="Y16659" t="s">
        <v>56197</v>
      </c>
    </row>
    <row r="16660" spans="1:25" x14ac:dyDescent="0.25">
      <c r="A16660" t="str">
        <f>"26342629643"</f>
        <v>26342629643</v>
      </c>
      <c r="B16660" t="s">
        <v>1352</v>
      </c>
      <c r="C16660" t="s">
        <v>22433</v>
      </c>
      <c r="D16660" t="s">
        <v>22566</v>
      </c>
      <c r="F16660" t="s">
        <v>1</v>
      </c>
      <c r="G16660" t="s">
        <v>52955</v>
      </c>
      <c r="H16660" t="s">
        <v>55362</v>
      </c>
      <c r="Y16660" t="s">
        <v>56198</v>
      </c>
    </row>
    <row r="16661" spans="1:25" x14ac:dyDescent="0.25">
      <c r="A16661" t="str">
        <f>"26538516299"</f>
        <v>26538516299</v>
      </c>
      <c r="B16661" t="s">
        <v>530</v>
      </c>
      <c r="C16661" t="s">
        <v>23950</v>
      </c>
      <c r="D16661" t="s">
        <v>23950</v>
      </c>
      <c r="E16661">
        <v>425000</v>
      </c>
      <c r="F16661" t="s">
        <v>1</v>
      </c>
      <c r="G16661" t="s">
        <v>52955</v>
      </c>
      <c r="H16661" t="s">
        <v>53719</v>
      </c>
      <c r="Y16661" t="s">
        <v>56199</v>
      </c>
    </row>
    <row r="16662" spans="1:25" x14ac:dyDescent="0.25">
      <c r="A16662" t="str">
        <f>"26848976658"</f>
        <v>26848976658</v>
      </c>
      <c r="B16662" t="s">
        <v>348</v>
      </c>
      <c r="C16662" t="s">
        <v>35242</v>
      </c>
      <c r="D16662" t="s">
        <v>20891</v>
      </c>
      <c r="E16662">
        <v>425003</v>
      </c>
      <c r="F16662" t="s">
        <v>1</v>
      </c>
      <c r="G16662" t="s">
        <v>52955</v>
      </c>
      <c r="H16662" t="s">
        <v>56200</v>
      </c>
      <c r="J16662" t="s">
        <v>56201</v>
      </c>
      <c r="P16662" t="s">
        <v>312</v>
      </c>
      <c r="Q16662" t="s">
        <v>56202</v>
      </c>
      <c r="Y16662" t="s">
        <v>56203</v>
      </c>
    </row>
    <row r="16663" spans="1:25" x14ac:dyDescent="0.25">
      <c r="A16663" t="str">
        <f>"27139535081"</f>
        <v>27139535081</v>
      </c>
      <c r="B16663" t="s">
        <v>1152</v>
      </c>
      <c r="C16663" t="s">
        <v>8523</v>
      </c>
      <c r="D16663" t="s">
        <v>56204</v>
      </c>
      <c r="F16663" t="s">
        <v>1</v>
      </c>
      <c r="G16663" t="s">
        <v>52955</v>
      </c>
      <c r="H16663" t="s">
        <v>53404</v>
      </c>
      <c r="J16663" t="s">
        <v>56205</v>
      </c>
      <c r="P16663" t="s">
        <v>10225</v>
      </c>
      <c r="Y16663" t="s">
        <v>53547</v>
      </c>
    </row>
    <row r="16664" spans="1:25" x14ac:dyDescent="0.25">
      <c r="A16664" t="str">
        <f>"27187595030"</f>
        <v>27187595030</v>
      </c>
      <c r="B16664" t="s">
        <v>716</v>
      </c>
      <c r="C16664" t="s">
        <v>20421</v>
      </c>
      <c r="D16664" t="s">
        <v>55413</v>
      </c>
      <c r="E16664">
        <v>425000</v>
      </c>
      <c r="F16664" t="s">
        <v>1</v>
      </c>
      <c r="G16664" t="s">
        <v>52955</v>
      </c>
      <c r="H16664" t="s">
        <v>53132</v>
      </c>
      <c r="Y16664" t="s">
        <v>55400</v>
      </c>
    </row>
    <row r="16665" spans="1:25" x14ac:dyDescent="0.25">
      <c r="A16665" t="str">
        <f>"27832586143"</f>
        <v>27832586143</v>
      </c>
      <c r="B16665" t="s">
        <v>1617</v>
      </c>
      <c r="C16665" t="s">
        <v>21001</v>
      </c>
      <c r="D16665" t="s">
        <v>20999</v>
      </c>
      <c r="E16665">
        <v>425008</v>
      </c>
      <c r="F16665" t="s">
        <v>1</v>
      </c>
      <c r="G16665" t="s">
        <v>52955</v>
      </c>
      <c r="H16665" t="s">
        <v>55156</v>
      </c>
      <c r="Y16665" t="s">
        <v>56206</v>
      </c>
    </row>
    <row r="16666" spans="1:25" x14ac:dyDescent="0.25">
      <c r="A16666" t="str">
        <f>"27889671859"</f>
        <v>27889671859</v>
      </c>
      <c r="B16666" t="s">
        <v>530</v>
      </c>
      <c r="C16666" t="s">
        <v>23950</v>
      </c>
      <c r="D16666" t="s">
        <v>23950</v>
      </c>
      <c r="F16666" t="s">
        <v>1</v>
      </c>
      <c r="G16666" t="s">
        <v>52955</v>
      </c>
      <c r="H16666" t="s">
        <v>56207</v>
      </c>
      <c r="Y16666" t="s">
        <v>56208</v>
      </c>
    </row>
    <row r="16667" spans="1:25" x14ac:dyDescent="0.25">
      <c r="A16667" t="str">
        <f>"27893786950"</f>
        <v>27893786950</v>
      </c>
      <c r="B16667" t="s">
        <v>1343</v>
      </c>
      <c r="C16667" t="s">
        <v>5308</v>
      </c>
      <c r="D16667" t="s">
        <v>56209</v>
      </c>
      <c r="E16667">
        <v>425000</v>
      </c>
      <c r="F16667" t="s">
        <v>1</v>
      </c>
      <c r="G16667" t="s">
        <v>52955</v>
      </c>
      <c r="H16667" t="s">
        <v>53202</v>
      </c>
      <c r="Y16667" t="s">
        <v>56210</v>
      </c>
    </row>
    <row r="16668" spans="1:25" x14ac:dyDescent="0.25">
      <c r="A16668" t="str">
        <f>"28054203708"</f>
        <v>28054203708</v>
      </c>
      <c r="B16668" t="s">
        <v>8011</v>
      </c>
      <c r="C16668" t="s">
        <v>56212</v>
      </c>
      <c r="D16668" t="s">
        <v>56211</v>
      </c>
      <c r="E16668">
        <v>425008</v>
      </c>
      <c r="F16668" t="s">
        <v>1</v>
      </c>
      <c r="G16668" t="s">
        <v>52955</v>
      </c>
      <c r="H16668" t="s">
        <v>53554</v>
      </c>
      <c r="Y16668" t="s">
        <v>56213</v>
      </c>
    </row>
    <row r="16669" spans="1:25" x14ac:dyDescent="0.25">
      <c r="A16669" t="str">
        <f>"28351781898"</f>
        <v>28351781898</v>
      </c>
      <c r="B16669" t="s">
        <v>18</v>
      </c>
      <c r="C16669" t="s">
        <v>4522</v>
      </c>
      <c r="D16669" t="s">
        <v>56214</v>
      </c>
      <c r="F16669" t="s">
        <v>1</v>
      </c>
      <c r="G16669" t="s">
        <v>52955</v>
      </c>
      <c r="H16669" t="s">
        <v>55928</v>
      </c>
      <c r="Y16669" t="s">
        <v>56215</v>
      </c>
    </row>
    <row r="16670" spans="1:25" x14ac:dyDescent="0.25">
      <c r="A16670" t="str">
        <f>"28513955400"</f>
        <v>28513955400</v>
      </c>
      <c r="B16670" t="s">
        <v>978</v>
      </c>
      <c r="C16670" t="s">
        <v>14285</v>
      </c>
      <c r="D16670" t="s">
        <v>35706</v>
      </c>
      <c r="F16670" t="s">
        <v>1</v>
      </c>
      <c r="G16670" t="s">
        <v>52955</v>
      </c>
      <c r="H16670" t="s">
        <v>54899</v>
      </c>
      <c r="I16670" t="s">
        <v>35707</v>
      </c>
      <c r="J16670" t="s">
        <v>35708</v>
      </c>
      <c r="M16670" t="s">
        <v>56216</v>
      </c>
      <c r="P16670" t="s">
        <v>330</v>
      </c>
      <c r="Y16670" t="s">
        <v>54068</v>
      </c>
    </row>
    <row r="16671" spans="1:25" x14ac:dyDescent="0.25">
      <c r="A16671" t="str">
        <f>"28521460450"</f>
        <v>28521460450</v>
      </c>
      <c r="B16671" t="s">
        <v>2104</v>
      </c>
      <c r="C16671" t="s">
        <v>21175</v>
      </c>
      <c r="D16671" t="s">
        <v>56217</v>
      </c>
      <c r="E16671">
        <v>425011</v>
      </c>
      <c r="F16671" t="s">
        <v>1</v>
      </c>
      <c r="G16671" t="s">
        <v>52955</v>
      </c>
      <c r="H16671" t="s">
        <v>53507</v>
      </c>
      <c r="J16671" t="s">
        <v>56218</v>
      </c>
      <c r="P16671" t="s">
        <v>56219</v>
      </c>
      <c r="V16671" t="s">
        <v>56220</v>
      </c>
      <c r="Y16671" t="s">
        <v>56221</v>
      </c>
    </row>
    <row r="16672" spans="1:25" x14ac:dyDescent="0.25">
      <c r="A16672" t="str">
        <f>"28531934616"</f>
        <v>28531934616</v>
      </c>
      <c r="B16672" t="s">
        <v>2104</v>
      </c>
      <c r="C16672" t="s">
        <v>25306</v>
      </c>
      <c r="D16672" t="s">
        <v>56222</v>
      </c>
      <c r="E16672">
        <v>425005</v>
      </c>
      <c r="F16672" t="s">
        <v>1</v>
      </c>
      <c r="G16672" t="s">
        <v>52955</v>
      </c>
      <c r="H16672" t="s">
        <v>55749</v>
      </c>
      <c r="J16672" t="s">
        <v>56223</v>
      </c>
      <c r="P16672" t="s">
        <v>56224</v>
      </c>
      <c r="Q16672" t="s">
        <v>56225</v>
      </c>
      <c r="Y16672" t="s">
        <v>56226</v>
      </c>
    </row>
    <row r="16673" spans="1:25" x14ac:dyDescent="0.25">
      <c r="A16673" t="str">
        <f>"28545309597"</f>
        <v>28545309597</v>
      </c>
      <c r="B16673" t="s">
        <v>117</v>
      </c>
      <c r="C16673" t="s">
        <v>118</v>
      </c>
      <c r="D16673" t="s">
        <v>51948</v>
      </c>
      <c r="F16673" t="s">
        <v>1</v>
      </c>
      <c r="G16673" t="s">
        <v>52955</v>
      </c>
      <c r="H16673" t="s">
        <v>55243</v>
      </c>
      <c r="Y16673" t="s">
        <v>56227</v>
      </c>
    </row>
    <row r="16674" spans="1:25" x14ac:dyDescent="0.25">
      <c r="A16674" t="str">
        <f>"28600110404"</f>
        <v>28600110404</v>
      </c>
      <c r="B16674" t="s">
        <v>379</v>
      </c>
      <c r="C16674" t="s">
        <v>766</v>
      </c>
      <c r="D16674" t="s">
        <v>32808</v>
      </c>
      <c r="E16674">
        <v>425009</v>
      </c>
      <c r="F16674" t="s">
        <v>1</v>
      </c>
      <c r="G16674" t="s">
        <v>52955</v>
      </c>
      <c r="H16674" t="s">
        <v>54824</v>
      </c>
      <c r="J16674" t="s">
        <v>56228</v>
      </c>
      <c r="P16674" t="s">
        <v>1464</v>
      </c>
      <c r="Y16674" t="s">
        <v>55247</v>
      </c>
    </row>
    <row r="16675" spans="1:25" x14ac:dyDescent="0.25">
      <c r="A16675" t="str">
        <f>"28906075623"</f>
        <v>28906075623</v>
      </c>
      <c r="B16675" t="s">
        <v>930</v>
      </c>
      <c r="C16675" t="s">
        <v>49275</v>
      </c>
      <c r="D16675" t="s">
        <v>1094</v>
      </c>
      <c r="E16675">
        <v>425000</v>
      </c>
      <c r="F16675" t="s">
        <v>1</v>
      </c>
      <c r="G16675" t="s">
        <v>52955</v>
      </c>
      <c r="H16675" t="s">
        <v>53936</v>
      </c>
      <c r="J16675" t="s">
        <v>56229</v>
      </c>
      <c r="P16675" t="s">
        <v>410</v>
      </c>
      <c r="Y16675" t="s">
        <v>56230</v>
      </c>
    </row>
    <row r="16676" spans="1:25" x14ac:dyDescent="0.25">
      <c r="A16676" t="str">
        <f>"29370689851"</f>
        <v>29370689851</v>
      </c>
      <c r="B16676" t="s">
        <v>1315</v>
      </c>
      <c r="C16676" t="s">
        <v>4274</v>
      </c>
      <c r="D16676" t="s">
        <v>56231</v>
      </c>
      <c r="F16676" t="s">
        <v>1</v>
      </c>
      <c r="G16676" t="s">
        <v>52955</v>
      </c>
      <c r="H16676" t="s">
        <v>55878</v>
      </c>
      <c r="Y16676" t="s">
        <v>56232</v>
      </c>
    </row>
    <row r="16677" spans="1:25" x14ac:dyDescent="0.25">
      <c r="A16677" t="str">
        <f>"29403232366"</f>
        <v>29403232366</v>
      </c>
      <c r="B16677" t="s">
        <v>43347</v>
      </c>
      <c r="C16677" t="s">
        <v>43348</v>
      </c>
      <c r="D16677" t="s">
        <v>43346</v>
      </c>
      <c r="E16677">
        <v>425009</v>
      </c>
      <c r="F16677" t="s">
        <v>1</v>
      </c>
      <c r="G16677" t="s">
        <v>52955</v>
      </c>
      <c r="H16677" t="s">
        <v>56233</v>
      </c>
      <c r="Y16677" t="s">
        <v>56234</v>
      </c>
    </row>
    <row r="16678" spans="1:25" x14ac:dyDescent="0.25">
      <c r="A16678" t="str">
        <f>"29468273317"</f>
        <v>29468273317</v>
      </c>
      <c r="B16678" t="s">
        <v>469</v>
      </c>
      <c r="C16678" t="s">
        <v>24886</v>
      </c>
      <c r="D16678" t="s">
        <v>56235</v>
      </c>
      <c r="F16678" t="s">
        <v>1</v>
      </c>
      <c r="G16678" t="s">
        <v>52955</v>
      </c>
      <c r="H16678" t="s">
        <v>52989</v>
      </c>
      <c r="J16678" t="s">
        <v>56236</v>
      </c>
      <c r="M16678" t="s">
        <v>56237</v>
      </c>
      <c r="Q16678" t="s">
        <v>56238</v>
      </c>
      <c r="Y16678" t="s">
        <v>53039</v>
      </c>
    </row>
    <row r="16679" spans="1:25" x14ac:dyDescent="0.25">
      <c r="A16679" t="str">
        <f>"29678029267"</f>
        <v>29678029267</v>
      </c>
      <c r="B16679" t="s">
        <v>7</v>
      </c>
      <c r="C16679" t="s">
        <v>56241</v>
      </c>
      <c r="D16679" t="s">
        <v>56239</v>
      </c>
      <c r="E16679">
        <v>425009</v>
      </c>
      <c r="F16679" t="s">
        <v>1</v>
      </c>
      <c r="G16679" t="s">
        <v>52955</v>
      </c>
      <c r="H16679" t="s">
        <v>55434</v>
      </c>
      <c r="J16679" t="s">
        <v>56240</v>
      </c>
      <c r="P16679" t="s">
        <v>330</v>
      </c>
      <c r="Y16679" t="s">
        <v>56242</v>
      </c>
    </row>
    <row r="16680" spans="1:25" x14ac:dyDescent="0.25">
      <c r="A16680" t="str">
        <f>"29696844994"</f>
        <v>29696844994</v>
      </c>
      <c r="B16680" t="s">
        <v>18</v>
      </c>
      <c r="C16680" t="s">
        <v>56243</v>
      </c>
      <c r="D16680" t="s">
        <v>50849</v>
      </c>
      <c r="F16680" t="s">
        <v>1</v>
      </c>
      <c r="G16680" t="s">
        <v>52955</v>
      </c>
      <c r="H16680" t="s">
        <v>54574</v>
      </c>
      <c r="J16680" t="s">
        <v>56043</v>
      </c>
      <c r="P16680" t="s">
        <v>56244</v>
      </c>
      <c r="Y16680" t="s">
        <v>56023</v>
      </c>
    </row>
    <row r="16681" spans="1:25" x14ac:dyDescent="0.25">
      <c r="A16681" t="str">
        <f>"29862693827"</f>
        <v>29862693827</v>
      </c>
      <c r="B16681" t="s">
        <v>18</v>
      </c>
      <c r="C16681" t="s">
        <v>56247</v>
      </c>
      <c r="D16681" t="s">
        <v>4397</v>
      </c>
      <c r="E16681">
        <v>425000</v>
      </c>
      <c r="F16681" t="s">
        <v>1</v>
      </c>
      <c r="G16681" t="s">
        <v>52955</v>
      </c>
      <c r="H16681" t="s">
        <v>56245</v>
      </c>
      <c r="J16681" t="s">
        <v>56246</v>
      </c>
      <c r="P16681" t="s">
        <v>1528</v>
      </c>
      <c r="Y16681" t="s">
        <v>56248</v>
      </c>
    </row>
    <row r="16682" spans="1:25" x14ac:dyDescent="0.25">
      <c r="A16682" t="str">
        <f>"30130190990"</f>
        <v>30130190990</v>
      </c>
      <c r="B16682" t="s">
        <v>96</v>
      </c>
      <c r="C16682" t="s">
        <v>893</v>
      </c>
      <c r="D16682" t="s">
        <v>27011</v>
      </c>
      <c r="F16682" t="s">
        <v>1</v>
      </c>
      <c r="G16682" t="s">
        <v>52955</v>
      </c>
      <c r="H16682" t="s">
        <v>53072</v>
      </c>
      <c r="Y16682" t="s">
        <v>56249</v>
      </c>
    </row>
    <row r="16683" spans="1:25" x14ac:dyDescent="0.25">
      <c r="A16683" t="str">
        <f>"30252856730"</f>
        <v>30252856730</v>
      </c>
      <c r="B16683" t="s">
        <v>408</v>
      </c>
      <c r="C16683" t="s">
        <v>409</v>
      </c>
      <c r="D16683" t="s">
        <v>56250</v>
      </c>
      <c r="E16683">
        <v>425000</v>
      </c>
      <c r="F16683" t="s">
        <v>1</v>
      </c>
      <c r="G16683" t="s">
        <v>52955</v>
      </c>
      <c r="H16683" t="s">
        <v>53536</v>
      </c>
      <c r="Y16683" t="s">
        <v>56251</v>
      </c>
    </row>
    <row r="16684" spans="1:25" x14ac:dyDescent="0.25">
      <c r="A16684" t="str">
        <f>"30267909950"</f>
        <v>30267909950</v>
      </c>
      <c r="B16684" t="s">
        <v>204</v>
      </c>
      <c r="C16684" t="s">
        <v>25704</v>
      </c>
      <c r="D16684" t="s">
        <v>23589</v>
      </c>
      <c r="F16684" t="s">
        <v>1</v>
      </c>
      <c r="G16684" t="s">
        <v>52955</v>
      </c>
      <c r="H16684" t="s">
        <v>53084</v>
      </c>
      <c r="Y16684" t="s">
        <v>56252</v>
      </c>
    </row>
    <row r="16685" spans="1:25" x14ac:dyDescent="0.25">
      <c r="A16685" t="str">
        <f>"30788919190"</f>
        <v>30788919190</v>
      </c>
      <c r="B16685" t="s">
        <v>18</v>
      </c>
      <c r="C16685" t="s">
        <v>55682</v>
      </c>
      <c r="D16685" t="s">
        <v>56253</v>
      </c>
      <c r="E16685">
        <v>425001</v>
      </c>
      <c r="F16685" t="s">
        <v>1</v>
      </c>
      <c r="G16685" t="s">
        <v>52955</v>
      </c>
      <c r="H16685" t="s">
        <v>53992</v>
      </c>
      <c r="Y16685" t="s">
        <v>56254</v>
      </c>
    </row>
    <row r="16686" spans="1:25" x14ac:dyDescent="0.25">
      <c r="A16686" t="str">
        <f>"30790958891"</f>
        <v>30790958891</v>
      </c>
      <c r="B16686" t="s">
        <v>1262</v>
      </c>
      <c r="C16686" t="s">
        <v>3214</v>
      </c>
      <c r="D16686" t="s">
        <v>3214</v>
      </c>
      <c r="E16686">
        <v>425000</v>
      </c>
      <c r="F16686" t="s">
        <v>1</v>
      </c>
      <c r="G16686" t="s">
        <v>52955</v>
      </c>
      <c r="H16686" t="s">
        <v>53130</v>
      </c>
      <c r="J16686" t="s">
        <v>56255</v>
      </c>
      <c r="P16686" t="s">
        <v>9840</v>
      </c>
      <c r="Y16686" t="s">
        <v>53131</v>
      </c>
    </row>
    <row r="16687" spans="1:25" x14ac:dyDescent="0.25">
      <c r="A16687" t="str">
        <f>"30823663329"</f>
        <v>30823663329</v>
      </c>
      <c r="B16687" t="s">
        <v>803</v>
      </c>
      <c r="C16687" t="s">
        <v>3088</v>
      </c>
      <c r="D16687" t="s">
        <v>56256</v>
      </c>
      <c r="F16687" t="s">
        <v>1</v>
      </c>
      <c r="G16687" t="s">
        <v>52955</v>
      </c>
      <c r="H16687" t="s">
        <v>53284</v>
      </c>
      <c r="Y16687" t="s">
        <v>56257</v>
      </c>
    </row>
    <row r="16688" spans="1:25" x14ac:dyDescent="0.25">
      <c r="A16688" t="str">
        <f>"30915028425"</f>
        <v>30915028425</v>
      </c>
      <c r="B16688" t="s">
        <v>574</v>
      </c>
      <c r="C16688" t="s">
        <v>8436</v>
      </c>
      <c r="D16688" t="s">
        <v>56258</v>
      </c>
      <c r="E16688">
        <v>425005</v>
      </c>
      <c r="F16688" t="s">
        <v>1</v>
      </c>
      <c r="G16688" t="s">
        <v>52955</v>
      </c>
      <c r="H16688" t="s">
        <v>56259</v>
      </c>
      <c r="P16688" t="s">
        <v>22406</v>
      </c>
      <c r="Y16688" t="s">
        <v>56260</v>
      </c>
    </row>
    <row r="16689" spans="1:25" x14ac:dyDescent="0.25">
      <c r="A16689" t="str">
        <f>"30985949679"</f>
        <v>30985949679</v>
      </c>
      <c r="B16689" t="s">
        <v>1046</v>
      </c>
      <c r="C16689" t="s">
        <v>27404</v>
      </c>
      <c r="D16689" t="s">
        <v>17866</v>
      </c>
      <c r="F16689" t="s">
        <v>1</v>
      </c>
      <c r="G16689" t="s">
        <v>52955</v>
      </c>
      <c r="H16689" t="s">
        <v>56261</v>
      </c>
      <c r="Y16689" t="s">
        <v>56262</v>
      </c>
    </row>
    <row r="16690" spans="1:25" x14ac:dyDescent="0.25">
      <c r="A16690" t="str">
        <f>"31328906838"</f>
        <v>31328906838</v>
      </c>
      <c r="B16690" t="s">
        <v>530</v>
      </c>
      <c r="C16690" t="s">
        <v>23950</v>
      </c>
      <c r="D16690" t="s">
        <v>23950</v>
      </c>
      <c r="F16690" t="s">
        <v>1</v>
      </c>
      <c r="G16690" t="s">
        <v>52955</v>
      </c>
      <c r="H16690" t="s">
        <v>56263</v>
      </c>
      <c r="Y16690" t="s">
        <v>56264</v>
      </c>
    </row>
    <row r="16691" spans="1:25" x14ac:dyDescent="0.25">
      <c r="A16691" t="str">
        <f>"31397466656"</f>
        <v>31397466656</v>
      </c>
      <c r="B16691" t="s">
        <v>1046</v>
      </c>
      <c r="C16691" t="s">
        <v>27404</v>
      </c>
      <c r="D16691" t="s">
        <v>34379</v>
      </c>
      <c r="F16691" t="s">
        <v>1</v>
      </c>
      <c r="G16691" t="s">
        <v>52955</v>
      </c>
      <c r="H16691" t="s">
        <v>56261</v>
      </c>
      <c r="Y16691" t="s">
        <v>56265</v>
      </c>
    </row>
    <row r="16692" spans="1:25" x14ac:dyDescent="0.25">
      <c r="A16692" t="str">
        <f>"32021046885"</f>
        <v>32021046885</v>
      </c>
      <c r="B16692" t="s">
        <v>379</v>
      </c>
      <c r="C16692" t="s">
        <v>4852</v>
      </c>
      <c r="D16692" t="s">
        <v>4852</v>
      </c>
      <c r="E16692">
        <v>425009</v>
      </c>
      <c r="F16692" t="s">
        <v>1</v>
      </c>
      <c r="G16692" t="s">
        <v>52955</v>
      </c>
      <c r="H16692" t="s">
        <v>54824</v>
      </c>
      <c r="P16692" t="s">
        <v>330</v>
      </c>
      <c r="Y16692" t="s">
        <v>56266</v>
      </c>
    </row>
    <row r="16693" spans="1:25" x14ac:dyDescent="0.25">
      <c r="A16693" t="str">
        <f>"32084450404"</f>
        <v>32084450404</v>
      </c>
      <c r="B16693" t="s">
        <v>530</v>
      </c>
      <c r="C16693" t="s">
        <v>23950</v>
      </c>
      <c r="D16693" t="s">
        <v>23950</v>
      </c>
      <c r="E16693">
        <v>425000</v>
      </c>
      <c r="F16693" t="s">
        <v>1</v>
      </c>
      <c r="G16693" t="s">
        <v>52955</v>
      </c>
      <c r="H16693" t="s">
        <v>54021</v>
      </c>
      <c r="Y16693" t="s">
        <v>56267</v>
      </c>
    </row>
    <row r="16694" spans="1:25" x14ac:dyDescent="0.25">
      <c r="A16694" t="str">
        <f>"32095293367"</f>
        <v>32095293367</v>
      </c>
      <c r="B16694" t="s">
        <v>1078</v>
      </c>
      <c r="C16694" t="s">
        <v>4259</v>
      </c>
      <c r="D16694" t="s">
        <v>56268</v>
      </c>
      <c r="E16694">
        <v>425000</v>
      </c>
      <c r="F16694" t="s">
        <v>1</v>
      </c>
      <c r="G16694" t="s">
        <v>52955</v>
      </c>
      <c r="H16694" t="s">
        <v>53075</v>
      </c>
      <c r="Y16694" t="s">
        <v>56269</v>
      </c>
    </row>
    <row r="16695" spans="1:25" x14ac:dyDescent="0.25">
      <c r="A16695" t="str">
        <f>"32522154089"</f>
        <v>32522154089</v>
      </c>
      <c r="B16695" t="s">
        <v>4084</v>
      </c>
      <c r="C16695" t="s">
        <v>28282</v>
      </c>
      <c r="D16695" t="s">
        <v>55578</v>
      </c>
      <c r="E16695">
        <v>425008</v>
      </c>
      <c r="F16695" t="s">
        <v>1</v>
      </c>
      <c r="G16695" t="s">
        <v>52955</v>
      </c>
      <c r="H16695" t="s">
        <v>53554</v>
      </c>
      <c r="Y16695" t="s">
        <v>56270</v>
      </c>
    </row>
    <row r="16696" spans="1:25" x14ac:dyDescent="0.25">
      <c r="A16696" t="str">
        <f>"32627579909"</f>
        <v>32627579909</v>
      </c>
      <c r="B16696" t="s">
        <v>8011</v>
      </c>
      <c r="C16696" t="s">
        <v>56273</v>
      </c>
      <c r="D16696" t="s">
        <v>56271</v>
      </c>
      <c r="E16696">
        <v>425008</v>
      </c>
      <c r="F16696" t="s">
        <v>1</v>
      </c>
      <c r="G16696" t="s">
        <v>52955</v>
      </c>
      <c r="H16696" t="s">
        <v>56272</v>
      </c>
      <c r="Y16696" t="s">
        <v>56274</v>
      </c>
    </row>
    <row r="16697" spans="1:25" x14ac:dyDescent="0.25">
      <c r="A16697" t="str">
        <f>"32955702445"</f>
        <v>32955702445</v>
      </c>
      <c r="B16697" t="s">
        <v>456</v>
      </c>
      <c r="C16697" t="s">
        <v>2773</v>
      </c>
      <c r="D16697" t="s">
        <v>56275</v>
      </c>
      <c r="E16697">
        <v>425001</v>
      </c>
      <c r="F16697" t="s">
        <v>1</v>
      </c>
      <c r="G16697" t="s">
        <v>52955</v>
      </c>
      <c r="H16697" t="s">
        <v>53017</v>
      </c>
      <c r="J16697" t="s">
        <v>53543</v>
      </c>
      <c r="L16697" t="s">
        <v>56276</v>
      </c>
      <c r="M16697" t="s">
        <v>56277</v>
      </c>
      <c r="P16697" t="s">
        <v>390</v>
      </c>
      <c r="Q16697" t="s">
        <v>56278</v>
      </c>
      <c r="R16697" t="s">
        <v>56279</v>
      </c>
      <c r="Y16697" t="s">
        <v>53544</v>
      </c>
    </row>
    <row r="16698" spans="1:25" x14ac:dyDescent="0.25">
      <c r="A16698" t="str">
        <f>"33237237739"</f>
        <v>33237237739</v>
      </c>
      <c r="B16698" t="s">
        <v>18</v>
      </c>
      <c r="C16698" t="s">
        <v>4522</v>
      </c>
      <c r="D16698" t="s">
        <v>4522</v>
      </c>
      <c r="F16698" t="s">
        <v>1</v>
      </c>
      <c r="G16698" t="s">
        <v>52955</v>
      </c>
      <c r="H16698" t="s">
        <v>54923</v>
      </c>
      <c r="Y16698" t="s">
        <v>56280</v>
      </c>
    </row>
    <row r="16699" spans="1:25" x14ac:dyDescent="0.25">
      <c r="A16699" t="str">
        <f>"33371591637"</f>
        <v>33371591637</v>
      </c>
      <c r="B16699" t="s">
        <v>1552</v>
      </c>
      <c r="C16699" t="s">
        <v>23566</v>
      </c>
      <c r="D16699" t="s">
        <v>56281</v>
      </c>
      <c r="F16699" t="s">
        <v>1</v>
      </c>
      <c r="G16699" t="s">
        <v>52955</v>
      </c>
      <c r="H16699" t="s">
        <v>54515</v>
      </c>
      <c r="J16699" t="s">
        <v>54516</v>
      </c>
      <c r="L16699" t="s">
        <v>56282</v>
      </c>
      <c r="P16699" t="s">
        <v>6236</v>
      </c>
      <c r="Y16699" t="s">
        <v>56283</v>
      </c>
    </row>
    <row r="16700" spans="1:25" x14ac:dyDescent="0.25">
      <c r="A16700" t="str">
        <f>"33767763419"</f>
        <v>33767763419</v>
      </c>
      <c r="B16700" t="s">
        <v>25</v>
      </c>
      <c r="C16700" t="s">
        <v>59</v>
      </c>
      <c r="D16700" t="s">
        <v>4680</v>
      </c>
      <c r="E16700">
        <v>425000</v>
      </c>
      <c r="F16700" t="s">
        <v>1</v>
      </c>
      <c r="G16700" t="s">
        <v>52955</v>
      </c>
      <c r="H16700" t="s">
        <v>53783</v>
      </c>
      <c r="Y16700" t="s">
        <v>56284</v>
      </c>
    </row>
    <row r="16701" spans="1:25" x14ac:dyDescent="0.25">
      <c r="A16701" t="str">
        <f>"33800423871"</f>
        <v>33800423871</v>
      </c>
      <c r="B16701" t="s">
        <v>4888</v>
      </c>
      <c r="C16701" t="s">
        <v>4889</v>
      </c>
      <c r="D16701" t="s">
        <v>56285</v>
      </c>
      <c r="E16701">
        <v>425000</v>
      </c>
      <c r="F16701" t="s">
        <v>1</v>
      </c>
      <c r="G16701" t="s">
        <v>52955</v>
      </c>
      <c r="H16701" t="s">
        <v>53639</v>
      </c>
      <c r="Y16701" t="s">
        <v>56286</v>
      </c>
    </row>
    <row r="16702" spans="1:25" x14ac:dyDescent="0.25">
      <c r="A16702" t="str">
        <f>"34073333381"</f>
        <v>34073333381</v>
      </c>
      <c r="B16702" t="s">
        <v>110</v>
      </c>
      <c r="C16702" t="s">
        <v>56291</v>
      </c>
      <c r="D16702" t="s">
        <v>56287</v>
      </c>
      <c r="E16702">
        <v>425000</v>
      </c>
      <c r="F16702" t="s">
        <v>1</v>
      </c>
      <c r="G16702" t="s">
        <v>52955</v>
      </c>
      <c r="H16702" t="s">
        <v>55251</v>
      </c>
      <c r="J16702" t="s">
        <v>56288</v>
      </c>
      <c r="L16702" t="s">
        <v>56289</v>
      </c>
      <c r="M16702" t="s">
        <v>56290</v>
      </c>
      <c r="P16702" t="s">
        <v>35261</v>
      </c>
      <c r="V16702" t="s">
        <v>56292</v>
      </c>
      <c r="Y16702" t="s">
        <v>56146</v>
      </c>
    </row>
    <row r="16703" spans="1:25" x14ac:dyDescent="0.25">
      <c r="A16703" t="str">
        <f>"34077410344"</f>
        <v>34077410344</v>
      </c>
      <c r="B16703" t="s">
        <v>96</v>
      </c>
      <c r="C16703" t="s">
        <v>659</v>
      </c>
      <c r="D16703" t="s">
        <v>7507</v>
      </c>
      <c r="F16703" t="s">
        <v>1</v>
      </c>
      <c r="G16703" t="s">
        <v>52955</v>
      </c>
      <c r="H16703" t="s">
        <v>53198</v>
      </c>
      <c r="Y16703" t="s">
        <v>56293</v>
      </c>
    </row>
    <row r="16704" spans="1:25" x14ac:dyDescent="0.25">
      <c r="A16704" t="str">
        <f>"34358054455"</f>
        <v>34358054455</v>
      </c>
      <c r="B16704" t="s">
        <v>1611</v>
      </c>
      <c r="C16704" t="s">
        <v>25647</v>
      </c>
      <c r="D16704" t="s">
        <v>56294</v>
      </c>
      <c r="E16704">
        <v>425000</v>
      </c>
      <c r="F16704" t="s">
        <v>1</v>
      </c>
      <c r="G16704" t="s">
        <v>52955</v>
      </c>
      <c r="H16704" t="s">
        <v>56295</v>
      </c>
      <c r="Y16704" t="s">
        <v>56296</v>
      </c>
    </row>
    <row r="16705" spans="1:25" x14ac:dyDescent="0.25">
      <c r="A16705" t="str">
        <f>"34647225599"</f>
        <v>34647225599</v>
      </c>
      <c r="B16705" t="s">
        <v>1544</v>
      </c>
      <c r="C16705" t="s">
        <v>7974</v>
      </c>
      <c r="D16705" t="s">
        <v>25268</v>
      </c>
      <c r="E16705">
        <v>425000</v>
      </c>
      <c r="F16705" t="s">
        <v>1</v>
      </c>
      <c r="G16705" t="s">
        <v>52955</v>
      </c>
      <c r="H16705" t="s">
        <v>53132</v>
      </c>
      <c r="Y16705" t="s">
        <v>56297</v>
      </c>
    </row>
    <row r="16706" spans="1:25" x14ac:dyDescent="0.25">
      <c r="A16706" t="str">
        <f>"34719677130"</f>
        <v>34719677130</v>
      </c>
      <c r="B16706" t="s">
        <v>352</v>
      </c>
      <c r="C16706" t="s">
        <v>56298</v>
      </c>
      <c r="D16706" t="s">
        <v>36367</v>
      </c>
      <c r="E16706">
        <v>425008</v>
      </c>
      <c r="F16706" t="s">
        <v>1</v>
      </c>
      <c r="G16706" t="s">
        <v>52955</v>
      </c>
      <c r="H16706" t="s">
        <v>53554</v>
      </c>
      <c r="Y16706" t="s">
        <v>56299</v>
      </c>
    </row>
    <row r="16707" spans="1:25" x14ac:dyDescent="0.25">
      <c r="A16707" t="str">
        <f>"34758842468"</f>
        <v>34758842468</v>
      </c>
      <c r="B16707" t="s">
        <v>574</v>
      </c>
      <c r="C16707" t="s">
        <v>646</v>
      </c>
      <c r="D16707" t="s">
        <v>56300</v>
      </c>
      <c r="F16707" t="s">
        <v>1</v>
      </c>
      <c r="G16707" t="s">
        <v>52955</v>
      </c>
      <c r="H16707" t="s">
        <v>53072</v>
      </c>
      <c r="Y16707" t="s">
        <v>56301</v>
      </c>
    </row>
    <row r="16708" spans="1:25" x14ac:dyDescent="0.25">
      <c r="A16708" t="str">
        <f>"34759350809"</f>
        <v>34759350809</v>
      </c>
      <c r="B16708" t="s">
        <v>117</v>
      </c>
      <c r="C16708" t="s">
        <v>6850</v>
      </c>
      <c r="D16708" t="s">
        <v>56302</v>
      </c>
      <c r="F16708" t="s">
        <v>1</v>
      </c>
      <c r="G16708" t="s">
        <v>52955</v>
      </c>
      <c r="H16708" t="s">
        <v>56303</v>
      </c>
      <c r="Y16708" t="s">
        <v>56304</v>
      </c>
    </row>
    <row r="16709" spans="1:25" x14ac:dyDescent="0.25">
      <c r="A16709" t="str">
        <f>"34850975575"</f>
        <v>34850975575</v>
      </c>
      <c r="B16709" t="s">
        <v>408</v>
      </c>
      <c r="C16709" t="s">
        <v>4591</v>
      </c>
      <c r="D16709" t="s">
        <v>56305</v>
      </c>
      <c r="E16709">
        <v>425000</v>
      </c>
      <c r="F16709" t="s">
        <v>1</v>
      </c>
      <c r="G16709" t="s">
        <v>52955</v>
      </c>
      <c r="H16709" t="s">
        <v>54021</v>
      </c>
      <c r="J16709" t="s">
        <v>56306</v>
      </c>
      <c r="P16709" t="s">
        <v>1420</v>
      </c>
      <c r="Q16709" t="s">
        <v>56307</v>
      </c>
      <c r="Y16709" t="s">
        <v>56308</v>
      </c>
    </row>
    <row r="16710" spans="1:25" x14ac:dyDescent="0.25">
      <c r="A16710" t="str">
        <f>"34883879300"</f>
        <v>34883879300</v>
      </c>
      <c r="B16710" t="s">
        <v>1544</v>
      </c>
      <c r="C16710" t="s">
        <v>40607</v>
      </c>
      <c r="D16710" t="s">
        <v>56309</v>
      </c>
      <c r="E16710">
        <v>425008</v>
      </c>
      <c r="F16710" t="s">
        <v>1</v>
      </c>
      <c r="G16710" t="s">
        <v>52955</v>
      </c>
      <c r="H16710" t="s">
        <v>56057</v>
      </c>
      <c r="J16710" t="s">
        <v>56310</v>
      </c>
      <c r="P16710" t="s">
        <v>9840</v>
      </c>
      <c r="Y16710" t="s">
        <v>56311</v>
      </c>
    </row>
    <row r="16711" spans="1:25" x14ac:dyDescent="0.25">
      <c r="A16711" t="str">
        <f>"35490184699"</f>
        <v>35490184699</v>
      </c>
      <c r="B16711" t="s">
        <v>117</v>
      </c>
      <c r="C16711" t="s">
        <v>118</v>
      </c>
      <c r="D16711" t="s">
        <v>25382</v>
      </c>
      <c r="F16711" t="s">
        <v>1</v>
      </c>
      <c r="G16711" t="s">
        <v>52955</v>
      </c>
      <c r="H16711" t="s">
        <v>55903</v>
      </c>
      <c r="Y16711" t="s">
        <v>56312</v>
      </c>
    </row>
    <row r="16712" spans="1:25" x14ac:dyDescent="0.25">
      <c r="A16712" t="str">
        <f>"35522106659"</f>
        <v>35522106659</v>
      </c>
      <c r="B16712" t="s">
        <v>1573</v>
      </c>
      <c r="C16712" t="s">
        <v>56313</v>
      </c>
      <c r="D16712" t="s">
        <v>48912</v>
      </c>
      <c r="E16712">
        <v>425000</v>
      </c>
      <c r="F16712" t="s">
        <v>1</v>
      </c>
      <c r="G16712" t="s">
        <v>52955</v>
      </c>
      <c r="H16712" t="s">
        <v>53081</v>
      </c>
      <c r="I16712" t="s">
        <v>53159</v>
      </c>
      <c r="P16712" t="s">
        <v>40916</v>
      </c>
      <c r="Y16712" t="s">
        <v>56314</v>
      </c>
    </row>
    <row r="16713" spans="1:25" x14ac:dyDescent="0.25">
      <c r="A16713" t="str">
        <f>"35908873439"</f>
        <v>35908873439</v>
      </c>
      <c r="B16713" t="s">
        <v>738</v>
      </c>
      <c r="C16713" t="s">
        <v>13603</v>
      </c>
      <c r="D16713" t="s">
        <v>22342</v>
      </c>
      <c r="E16713">
        <v>425000</v>
      </c>
      <c r="F16713" t="s">
        <v>1</v>
      </c>
      <c r="G16713" t="s">
        <v>52955</v>
      </c>
      <c r="H16713" t="s">
        <v>56315</v>
      </c>
      <c r="Y16713" t="s">
        <v>56316</v>
      </c>
    </row>
    <row r="16714" spans="1:25" x14ac:dyDescent="0.25">
      <c r="A16714" t="str">
        <f>"35919691900"</f>
        <v>35919691900</v>
      </c>
      <c r="B16714" t="s">
        <v>18</v>
      </c>
      <c r="C16714" t="s">
        <v>56318</v>
      </c>
      <c r="D16714" t="s">
        <v>11743</v>
      </c>
      <c r="E16714">
        <v>425000</v>
      </c>
      <c r="F16714" t="s">
        <v>1</v>
      </c>
      <c r="G16714" t="s">
        <v>52955</v>
      </c>
      <c r="H16714" t="s">
        <v>56317</v>
      </c>
      <c r="Y16714" t="s">
        <v>56319</v>
      </c>
    </row>
    <row r="16715" spans="1:25" x14ac:dyDescent="0.25">
      <c r="A16715" t="str">
        <f>"35963745515"</f>
        <v>35963745515</v>
      </c>
      <c r="B16715" t="s">
        <v>32</v>
      </c>
      <c r="C16715" t="s">
        <v>28032</v>
      </c>
      <c r="D16715" t="s">
        <v>56320</v>
      </c>
      <c r="E16715">
        <v>425001</v>
      </c>
      <c r="F16715" t="s">
        <v>1</v>
      </c>
      <c r="G16715" t="s">
        <v>52955</v>
      </c>
      <c r="H16715" t="s">
        <v>53465</v>
      </c>
      <c r="Y16715" t="s">
        <v>56321</v>
      </c>
    </row>
    <row r="16716" spans="1:25" x14ac:dyDescent="0.25">
      <c r="A16716" t="str">
        <f>"36206252677"</f>
        <v>36206252677</v>
      </c>
      <c r="B16716" t="s">
        <v>80</v>
      </c>
      <c r="C16716" t="s">
        <v>3295</v>
      </c>
      <c r="D16716" t="s">
        <v>56322</v>
      </c>
      <c r="F16716" t="s">
        <v>1</v>
      </c>
      <c r="G16716" t="s">
        <v>52955</v>
      </c>
      <c r="H16716" t="s">
        <v>55878</v>
      </c>
      <c r="Y16716" t="s">
        <v>56323</v>
      </c>
    </row>
    <row r="16717" spans="1:25" x14ac:dyDescent="0.25">
      <c r="A16717" t="str">
        <f>"36339887360"</f>
        <v>36339887360</v>
      </c>
      <c r="B16717" t="s">
        <v>151</v>
      </c>
      <c r="C16717" t="s">
        <v>56326</v>
      </c>
      <c r="D16717" t="s">
        <v>56324</v>
      </c>
      <c r="E16717">
        <v>425000</v>
      </c>
      <c r="F16717" t="s">
        <v>1</v>
      </c>
      <c r="G16717" t="s">
        <v>52955</v>
      </c>
      <c r="H16717" t="s">
        <v>53132</v>
      </c>
      <c r="J16717" t="s">
        <v>56325</v>
      </c>
      <c r="P16717" t="s">
        <v>3938</v>
      </c>
      <c r="Y16717" t="s">
        <v>56327</v>
      </c>
    </row>
    <row r="16718" spans="1:25" x14ac:dyDescent="0.25">
      <c r="A16718" t="str">
        <f>"36386677650"</f>
        <v>36386677650</v>
      </c>
      <c r="B16718" t="s">
        <v>224</v>
      </c>
      <c r="C16718" t="s">
        <v>56331</v>
      </c>
      <c r="D16718" t="s">
        <v>56328</v>
      </c>
      <c r="F16718" t="s">
        <v>1</v>
      </c>
      <c r="G16718" t="s">
        <v>52955</v>
      </c>
      <c r="H16718" t="s">
        <v>56329</v>
      </c>
      <c r="J16718" t="s">
        <v>56330</v>
      </c>
      <c r="P16718" t="s">
        <v>3690</v>
      </c>
      <c r="Y16718" t="s">
        <v>56332</v>
      </c>
    </row>
    <row r="16719" spans="1:25" x14ac:dyDescent="0.25">
      <c r="A16719" t="str">
        <f>"36432687429"</f>
        <v>36432687429</v>
      </c>
      <c r="B16719" t="s">
        <v>1352</v>
      </c>
      <c r="C16719" t="s">
        <v>1353</v>
      </c>
      <c r="D16719" t="s">
        <v>27687</v>
      </c>
      <c r="F16719" t="s">
        <v>1</v>
      </c>
      <c r="G16719" t="s">
        <v>52955</v>
      </c>
      <c r="H16719" t="s">
        <v>56026</v>
      </c>
      <c r="P16719" t="s">
        <v>2050</v>
      </c>
      <c r="Y16719" t="s">
        <v>56333</v>
      </c>
    </row>
    <row r="16720" spans="1:25" x14ac:dyDescent="0.25">
      <c r="A16720" t="str">
        <f>"36498720540"</f>
        <v>36498720540</v>
      </c>
      <c r="B16720" t="s">
        <v>1343</v>
      </c>
      <c r="C16720" t="s">
        <v>1344</v>
      </c>
      <c r="D16720" t="s">
        <v>22553</v>
      </c>
      <c r="F16720" t="s">
        <v>1</v>
      </c>
      <c r="G16720" t="s">
        <v>52955</v>
      </c>
      <c r="H16720" t="s">
        <v>55928</v>
      </c>
      <c r="Y16720" t="s">
        <v>56334</v>
      </c>
    </row>
    <row r="16721" spans="1:25" x14ac:dyDescent="0.25">
      <c r="A16721" t="str">
        <f>"37004119071"</f>
        <v>37004119071</v>
      </c>
      <c r="B16721" t="s">
        <v>32</v>
      </c>
      <c r="C16721" t="s">
        <v>20137</v>
      </c>
      <c r="D16721" t="s">
        <v>39099</v>
      </c>
      <c r="E16721">
        <v>425011</v>
      </c>
      <c r="F16721" t="s">
        <v>1</v>
      </c>
      <c r="G16721" t="s">
        <v>52955</v>
      </c>
      <c r="H16721" t="s">
        <v>53155</v>
      </c>
      <c r="Y16721" t="s">
        <v>56335</v>
      </c>
    </row>
    <row r="16722" spans="1:25" x14ac:dyDescent="0.25">
      <c r="A16722" t="str">
        <f>"37015923766"</f>
        <v>37015923766</v>
      </c>
      <c r="B16722" t="s">
        <v>930</v>
      </c>
      <c r="C16722" t="s">
        <v>1096</v>
      </c>
      <c r="D16722" t="s">
        <v>56336</v>
      </c>
      <c r="E16722">
        <v>425003</v>
      </c>
      <c r="F16722" t="s">
        <v>1</v>
      </c>
      <c r="G16722" t="s">
        <v>52955</v>
      </c>
      <c r="H16722" t="s">
        <v>54078</v>
      </c>
      <c r="J16722" t="s">
        <v>56337</v>
      </c>
      <c r="P16722" t="s">
        <v>2050</v>
      </c>
      <c r="Q16722" t="s">
        <v>56338</v>
      </c>
      <c r="V16722" t="s">
        <v>56339</v>
      </c>
      <c r="Y16722" t="s">
        <v>56340</v>
      </c>
    </row>
    <row r="16723" spans="1:25" x14ac:dyDescent="0.25">
      <c r="A16723" t="str">
        <f>"37051569891"</f>
        <v>37051569891</v>
      </c>
      <c r="B16723" t="s">
        <v>574</v>
      </c>
      <c r="C16723" t="s">
        <v>646</v>
      </c>
      <c r="D16723" t="s">
        <v>56341</v>
      </c>
      <c r="F16723" t="s">
        <v>1</v>
      </c>
      <c r="G16723" t="s">
        <v>52955</v>
      </c>
      <c r="H16723" t="s">
        <v>56342</v>
      </c>
      <c r="P16723" t="s">
        <v>330</v>
      </c>
      <c r="Y16723" t="s">
        <v>56343</v>
      </c>
    </row>
    <row r="16724" spans="1:25" x14ac:dyDescent="0.25">
      <c r="A16724" t="str">
        <f>"37126629573"</f>
        <v>37126629573</v>
      </c>
      <c r="B16724" t="s">
        <v>96</v>
      </c>
      <c r="C16724" t="s">
        <v>695</v>
      </c>
      <c r="D16724" t="s">
        <v>53510</v>
      </c>
      <c r="E16724">
        <v>425008</v>
      </c>
      <c r="F16724" t="s">
        <v>1</v>
      </c>
      <c r="G16724" t="s">
        <v>52955</v>
      </c>
      <c r="H16724" t="s">
        <v>53193</v>
      </c>
      <c r="Y16724" t="s">
        <v>56344</v>
      </c>
    </row>
    <row r="16725" spans="1:25" x14ac:dyDescent="0.25">
      <c r="A16725" t="str">
        <f>"37171351207"</f>
        <v>37171351207</v>
      </c>
      <c r="B16725" t="s">
        <v>1046</v>
      </c>
      <c r="C16725" t="s">
        <v>22946</v>
      </c>
      <c r="D16725" t="s">
        <v>22946</v>
      </c>
      <c r="E16725">
        <v>425000</v>
      </c>
      <c r="F16725" t="s">
        <v>1</v>
      </c>
      <c r="G16725" t="s">
        <v>52955</v>
      </c>
      <c r="H16725" t="s">
        <v>55294</v>
      </c>
      <c r="Y16725" t="s">
        <v>56345</v>
      </c>
    </row>
    <row r="16726" spans="1:25" x14ac:dyDescent="0.25">
      <c r="A16726" t="str">
        <f>"37475171594"</f>
        <v>37475171594</v>
      </c>
      <c r="B16726" t="s">
        <v>8011</v>
      </c>
      <c r="C16726" t="s">
        <v>56347</v>
      </c>
      <c r="D16726" t="s">
        <v>26890</v>
      </c>
      <c r="E16726">
        <v>425011</v>
      </c>
      <c r="F16726" t="s">
        <v>1</v>
      </c>
      <c r="G16726" t="s">
        <v>52955</v>
      </c>
      <c r="H16726" t="s">
        <v>55025</v>
      </c>
      <c r="J16726" t="s">
        <v>56346</v>
      </c>
      <c r="P16726" t="s">
        <v>2050</v>
      </c>
      <c r="Q16726" t="s">
        <v>56348</v>
      </c>
      <c r="Y16726" t="s">
        <v>56349</v>
      </c>
    </row>
    <row r="16727" spans="1:25" x14ac:dyDescent="0.25">
      <c r="A16727" t="str">
        <f>"37651287763"</f>
        <v>37651287763</v>
      </c>
      <c r="B16727" t="s">
        <v>574</v>
      </c>
      <c r="C16727" t="s">
        <v>56350</v>
      </c>
      <c r="D16727" t="s">
        <v>4221</v>
      </c>
      <c r="F16727" t="s">
        <v>1</v>
      </c>
      <c r="G16727" t="s">
        <v>52955</v>
      </c>
      <c r="H16727" t="s">
        <v>54574</v>
      </c>
      <c r="P16727" t="s">
        <v>216</v>
      </c>
      <c r="Y16727" t="s">
        <v>56351</v>
      </c>
    </row>
    <row r="16728" spans="1:25" x14ac:dyDescent="0.25">
      <c r="A16728" t="str">
        <f>"37960451339"</f>
        <v>37960451339</v>
      </c>
      <c r="B16728" t="s">
        <v>10383</v>
      </c>
      <c r="C16728" t="s">
        <v>24146</v>
      </c>
      <c r="D16728" t="s">
        <v>24146</v>
      </c>
      <c r="E16728">
        <v>425011</v>
      </c>
      <c r="F16728" t="s">
        <v>1</v>
      </c>
      <c r="G16728" t="s">
        <v>52955</v>
      </c>
      <c r="H16728" t="s">
        <v>56352</v>
      </c>
      <c r="Y16728" t="s">
        <v>56353</v>
      </c>
    </row>
    <row r="16729" spans="1:25" x14ac:dyDescent="0.25">
      <c r="A16729" t="str">
        <f>"38190614956"</f>
        <v>38190614956</v>
      </c>
      <c r="B16729" t="s">
        <v>18</v>
      </c>
      <c r="C16729" t="s">
        <v>959</v>
      </c>
      <c r="D16729" t="s">
        <v>56354</v>
      </c>
      <c r="E16729">
        <v>425011</v>
      </c>
      <c r="F16729" t="s">
        <v>1</v>
      </c>
      <c r="G16729" t="s">
        <v>52955</v>
      </c>
      <c r="H16729" t="s">
        <v>53155</v>
      </c>
      <c r="I16729" t="s">
        <v>56355</v>
      </c>
      <c r="L16729" t="s">
        <v>56356</v>
      </c>
      <c r="M16729" t="s">
        <v>56357</v>
      </c>
      <c r="Y16729" t="s">
        <v>56358</v>
      </c>
    </row>
    <row r="16730" spans="1:25" x14ac:dyDescent="0.25">
      <c r="A16730" t="str">
        <f>"38722032108"</f>
        <v>38722032108</v>
      </c>
      <c r="B16730" t="s">
        <v>1552</v>
      </c>
      <c r="C16730" t="s">
        <v>1962</v>
      </c>
      <c r="D16730" t="s">
        <v>10127</v>
      </c>
      <c r="E16730">
        <v>425008</v>
      </c>
      <c r="F16730" t="s">
        <v>1</v>
      </c>
      <c r="G16730" t="s">
        <v>52955</v>
      </c>
      <c r="H16730" t="s">
        <v>53614</v>
      </c>
      <c r="J16730" t="s">
        <v>56359</v>
      </c>
      <c r="M16730" t="s">
        <v>56360</v>
      </c>
      <c r="P16730" t="s">
        <v>56361</v>
      </c>
      <c r="Y16730" t="s">
        <v>56362</v>
      </c>
    </row>
    <row r="16731" spans="1:25" x14ac:dyDescent="0.25">
      <c r="A16731" t="str">
        <f>"39033163331"</f>
        <v>39033163331</v>
      </c>
      <c r="B16731" t="s">
        <v>1046</v>
      </c>
      <c r="C16731" t="s">
        <v>1047</v>
      </c>
      <c r="D16731" t="s">
        <v>27636</v>
      </c>
      <c r="E16731">
        <v>425009</v>
      </c>
      <c r="F16731" t="s">
        <v>1</v>
      </c>
      <c r="G16731" t="s">
        <v>52955</v>
      </c>
      <c r="H16731" t="s">
        <v>52993</v>
      </c>
      <c r="I16731" t="s">
        <v>56363</v>
      </c>
      <c r="L16731" t="s">
        <v>56364</v>
      </c>
      <c r="M16731" t="s">
        <v>56365</v>
      </c>
      <c r="P16731" t="s">
        <v>6400</v>
      </c>
      <c r="Y16731" t="s">
        <v>56366</v>
      </c>
    </row>
    <row r="16732" spans="1:25" x14ac:dyDescent="0.25">
      <c r="A16732" t="str">
        <f>"39216511705"</f>
        <v>39216511705</v>
      </c>
      <c r="B16732" t="s">
        <v>224</v>
      </c>
      <c r="C16732" t="s">
        <v>53889</v>
      </c>
      <c r="D16732" t="s">
        <v>56367</v>
      </c>
      <c r="E16732">
        <v>425000</v>
      </c>
      <c r="F16732" t="s">
        <v>1</v>
      </c>
      <c r="G16732" t="s">
        <v>52955</v>
      </c>
      <c r="H16732" t="s">
        <v>56368</v>
      </c>
      <c r="J16732" t="s">
        <v>56369</v>
      </c>
      <c r="Y16732" t="s">
        <v>56370</v>
      </c>
    </row>
    <row r="16733" spans="1:25" x14ac:dyDescent="0.25">
      <c r="A16733" t="str">
        <f>"39424442473"</f>
        <v>39424442473</v>
      </c>
      <c r="B16733" t="s">
        <v>96</v>
      </c>
      <c r="C16733" t="s">
        <v>7071</v>
      </c>
      <c r="D16733" t="s">
        <v>56371</v>
      </c>
      <c r="E16733">
        <v>425011</v>
      </c>
      <c r="F16733" t="s">
        <v>1</v>
      </c>
      <c r="G16733" t="s">
        <v>52955</v>
      </c>
      <c r="H16733" t="s">
        <v>53507</v>
      </c>
      <c r="Y16733" t="s">
        <v>56372</v>
      </c>
    </row>
    <row r="16734" spans="1:25" x14ac:dyDescent="0.25">
      <c r="A16734" t="str">
        <f>"39457264456"</f>
        <v>39457264456</v>
      </c>
      <c r="B16734" t="s">
        <v>1046</v>
      </c>
      <c r="C16734" t="s">
        <v>32452</v>
      </c>
      <c r="D16734" t="s">
        <v>32452</v>
      </c>
      <c r="F16734" t="s">
        <v>1</v>
      </c>
      <c r="G16734" t="s">
        <v>52955</v>
      </c>
      <c r="H16734" t="s">
        <v>56261</v>
      </c>
      <c r="Y16734" t="s">
        <v>56373</v>
      </c>
    </row>
    <row r="16735" spans="1:25" x14ac:dyDescent="0.25">
      <c r="A16735" t="str">
        <f>"39751613902"</f>
        <v>39751613902</v>
      </c>
      <c r="B16735" t="s">
        <v>1315</v>
      </c>
      <c r="C16735" t="s">
        <v>4274</v>
      </c>
      <c r="D16735" t="s">
        <v>56374</v>
      </c>
      <c r="F16735" t="s">
        <v>1</v>
      </c>
      <c r="G16735" t="s">
        <v>52955</v>
      </c>
      <c r="H16735" t="s">
        <v>56375</v>
      </c>
      <c r="I16735" t="s">
        <v>56376</v>
      </c>
      <c r="P16735" t="s">
        <v>56377</v>
      </c>
      <c r="Y16735" t="s">
        <v>56378</v>
      </c>
    </row>
    <row r="16736" spans="1:25" x14ac:dyDescent="0.25">
      <c r="A16736" t="str">
        <f>"39878052235"</f>
        <v>39878052235</v>
      </c>
      <c r="B16736" t="s">
        <v>319</v>
      </c>
      <c r="C16736" t="s">
        <v>320</v>
      </c>
      <c r="D16736" t="s">
        <v>54069</v>
      </c>
      <c r="E16736">
        <v>425009</v>
      </c>
      <c r="F16736" t="s">
        <v>1</v>
      </c>
      <c r="G16736" t="s">
        <v>52955</v>
      </c>
      <c r="H16736" t="s">
        <v>55921</v>
      </c>
      <c r="P16736" t="s">
        <v>216</v>
      </c>
      <c r="Y16736" t="s">
        <v>56379</v>
      </c>
    </row>
    <row r="16737" spans="1:25" x14ac:dyDescent="0.25">
      <c r="A16737" t="str">
        <f>"39918975396"</f>
        <v>39918975396</v>
      </c>
      <c r="B16737" t="s">
        <v>284</v>
      </c>
      <c r="C16737" t="s">
        <v>27632</v>
      </c>
      <c r="D16737" t="s">
        <v>35510</v>
      </c>
      <c r="E16737">
        <v>425000</v>
      </c>
      <c r="F16737" t="s">
        <v>1</v>
      </c>
      <c r="G16737" t="s">
        <v>52955</v>
      </c>
      <c r="H16737" t="s">
        <v>56380</v>
      </c>
      <c r="Y16737" t="s">
        <v>56381</v>
      </c>
    </row>
    <row r="16738" spans="1:25" x14ac:dyDescent="0.25">
      <c r="A16738" t="str">
        <f>"39924111720"</f>
        <v>39924111720</v>
      </c>
      <c r="B16738" t="s">
        <v>80</v>
      </c>
      <c r="C16738" t="s">
        <v>2071</v>
      </c>
      <c r="D16738" t="s">
        <v>49059</v>
      </c>
      <c r="F16738" t="s">
        <v>1</v>
      </c>
      <c r="G16738" t="s">
        <v>52955</v>
      </c>
      <c r="H16738" t="s">
        <v>56382</v>
      </c>
      <c r="Y16738" t="s">
        <v>56383</v>
      </c>
    </row>
    <row r="16739" spans="1:25" x14ac:dyDescent="0.25">
      <c r="A16739" t="str">
        <f>"39945440414"</f>
        <v>39945440414</v>
      </c>
      <c r="B16739" t="s">
        <v>18</v>
      </c>
      <c r="C16739" t="s">
        <v>25521</v>
      </c>
      <c r="D16739" t="s">
        <v>56384</v>
      </c>
      <c r="F16739" t="s">
        <v>1</v>
      </c>
      <c r="G16739" t="s">
        <v>52955</v>
      </c>
      <c r="H16739" t="s">
        <v>55928</v>
      </c>
      <c r="Y16739" t="s">
        <v>55931</v>
      </c>
    </row>
    <row r="16740" spans="1:25" x14ac:dyDescent="0.25">
      <c r="A16740" t="str">
        <f>"40230599920"</f>
        <v>40230599920</v>
      </c>
      <c r="B16740" t="s">
        <v>151</v>
      </c>
      <c r="C16740" t="s">
        <v>151</v>
      </c>
      <c r="D16740" t="s">
        <v>56385</v>
      </c>
      <c r="E16740">
        <v>425000</v>
      </c>
      <c r="F16740" t="s">
        <v>1</v>
      </c>
      <c r="G16740" t="s">
        <v>52955</v>
      </c>
      <c r="H16740" t="s">
        <v>53903</v>
      </c>
      <c r="J16740" t="s">
        <v>56386</v>
      </c>
      <c r="L16740" t="s">
        <v>56387</v>
      </c>
      <c r="P16740" t="s">
        <v>10285</v>
      </c>
      <c r="Q16740" t="s">
        <v>56388</v>
      </c>
      <c r="Y16740" t="s">
        <v>56389</v>
      </c>
    </row>
    <row r="16741" spans="1:25" x14ac:dyDescent="0.25">
      <c r="A16741" t="str">
        <f>"40232479663"</f>
        <v>40232479663</v>
      </c>
      <c r="B16741" t="s">
        <v>1573</v>
      </c>
      <c r="C16741" t="s">
        <v>1817</v>
      </c>
      <c r="D16741" t="s">
        <v>1815</v>
      </c>
      <c r="E16741">
        <v>425005</v>
      </c>
      <c r="F16741" t="s">
        <v>1</v>
      </c>
      <c r="G16741" t="s">
        <v>52955</v>
      </c>
      <c r="H16741" t="s">
        <v>55148</v>
      </c>
      <c r="Y16741" t="s">
        <v>56390</v>
      </c>
    </row>
    <row r="16742" spans="1:25" x14ac:dyDescent="0.25">
      <c r="A16742" t="str">
        <f>"40381030549"</f>
        <v>40381030549</v>
      </c>
      <c r="B16742" t="s">
        <v>18</v>
      </c>
      <c r="C16742" t="s">
        <v>31834</v>
      </c>
      <c r="D16742" t="s">
        <v>56391</v>
      </c>
      <c r="E16742">
        <v>425000</v>
      </c>
      <c r="F16742" t="s">
        <v>1</v>
      </c>
      <c r="G16742" t="s">
        <v>52955</v>
      </c>
      <c r="H16742" t="s">
        <v>53639</v>
      </c>
      <c r="Y16742" t="s">
        <v>56392</v>
      </c>
    </row>
    <row r="16743" spans="1:25" x14ac:dyDescent="0.25">
      <c r="A16743" t="str">
        <f>"40481378092"</f>
        <v>40481378092</v>
      </c>
      <c r="B16743" t="s">
        <v>930</v>
      </c>
      <c r="C16743" t="s">
        <v>23396</v>
      </c>
      <c r="D16743" t="s">
        <v>1094</v>
      </c>
      <c r="E16743">
        <v>425011</v>
      </c>
      <c r="F16743" t="s">
        <v>1</v>
      </c>
      <c r="G16743" t="s">
        <v>52955</v>
      </c>
      <c r="H16743" t="s">
        <v>56393</v>
      </c>
      <c r="J16743" t="s">
        <v>56394</v>
      </c>
      <c r="P16743" t="s">
        <v>133</v>
      </c>
      <c r="Y16743" t="s">
        <v>56395</v>
      </c>
    </row>
    <row r="16744" spans="1:25" x14ac:dyDescent="0.25">
      <c r="A16744" t="str">
        <f>"40582228246"</f>
        <v>40582228246</v>
      </c>
      <c r="B16744" t="s">
        <v>348</v>
      </c>
      <c r="C16744" t="s">
        <v>26811</v>
      </c>
      <c r="D16744" t="s">
        <v>12992</v>
      </c>
      <c r="F16744" t="s">
        <v>1</v>
      </c>
      <c r="G16744" t="s">
        <v>52955</v>
      </c>
      <c r="H16744" t="s">
        <v>55362</v>
      </c>
      <c r="Y16744" t="s">
        <v>56396</v>
      </c>
    </row>
    <row r="16745" spans="1:25" x14ac:dyDescent="0.25">
      <c r="A16745" t="str">
        <f>"40859288011"</f>
        <v>40859288011</v>
      </c>
      <c r="B16745" t="s">
        <v>25</v>
      </c>
      <c r="C16745" t="s">
        <v>13425</v>
      </c>
      <c r="D16745" t="s">
        <v>56397</v>
      </c>
      <c r="F16745" t="s">
        <v>1</v>
      </c>
      <c r="G16745" t="s">
        <v>52955</v>
      </c>
      <c r="H16745" t="s">
        <v>56398</v>
      </c>
      <c r="Y16745" t="s">
        <v>56399</v>
      </c>
    </row>
    <row r="16746" spans="1:25" x14ac:dyDescent="0.25">
      <c r="A16746" t="str">
        <f>"40924905741"</f>
        <v>40924905741</v>
      </c>
      <c r="B16746" t="s">
        <v>110</v>
      </c>
      <c r="C16746" t="s">
        <v>111</v>
      </c>
      <c r="D16746" t="s">
        <v>56400</v>
      </c>
      <c r="F16746" t="s">
        <v>1</v>
      </c>
      <c r="G16746" t="s">
        <v>52955</v>
      </c>
      <c r="H16746" t="s">
        <v>53198</v>
      </c>
      <c r="Y16746" t="s">
        <v>56401</v>
      </c>
    </row>
    <row r="16747" spans="1:25" x14ac:dyDescent="0.25">
      <c r="A16747" t="str">
        <f>"41190524955"</f>
        <v>41190524955</v>
      </c>
      <c r="B16747" t="s">
        <v>1758</v>
      </c>
      <c r="C16747" t="s">
        <v>8089</v>
      </c>
      <c r="D16747" t="s">
        <v>56211</v>
      </c>
      <c r="E16747">
        <v>425008</v>
      </c>
      <c r="F16747" t="s">
        <v>1</v>
      </c>
      <c r="G16747" t="s">
        <v>52955</v>
      </c>
      <c r="H16747" t="s">
        <v>53857</v>
      </c>
      <c r="J16747" t="s">
        <v>56402</v>
      </c>
      <c r="Y16747" t="s">
        <v>56403</v>
      </c>
    </row>
    <row r="16748" spans="1:25" x14ac:dyDescent="0.25">
      <c r="A16748" t="str">
        <f>"41257979800"</f>
        <v>41257979800</v>
      </c>
      <c r="B16748" t="s">
        <v>574</v>
      </c>
      <c r="C16748" t="s">
        <v>21805</v>
      </c>
      <c r="D16748" t="s">
        <v>24214</v>
      </c>
      <c r="E16748">
        <v>425000</v>
      </c>
      <c r="F16748" t="s">
        <v>1</v>
      </c>
      <c r="G16748" t="s">
        <v>52955</v>
      </c>
      <c r="H16748" t="s">
        <v>53719</v>
      </c>
      <c r="J16748" t="s">
        <v>24215</v>
      </c>
      <c r="P16748" t="s">
        <v>216</v>
      </c>
      <c r="Y16748" t="s">
        <v>53721</v>
      </c>
    </row>
    <row r="16749" spans="1:25" x14ac:dyDescent="0.25">
      <c r="A16749" t="str">
        <f>"41304644662"</f>
        <v>41304644662</v>
      </c>
      <c r="B16749" t="s">
        <v>624</v>
      </c>
      <c r="C16749" t="s">
        <v>24400</v>
      </c>
      <c r="D16749" t="s">
        <v>56404</v>
      </c>
      <c r="F16749" t="s">
        <v>1</v>
      </c>
      <c r="G16749" t="s">
        <v>52955</v>
      </c>
      <c r="H16749" t="s">
        <v>53072</v>
      </c>
      <c r="Y16749" t="s">
        <v>56405</v>
      </c>
    </row>
    <row r="16750" spans="1:25" x14ac:dyDescent="0.25">
      <c r="A16750" t="str">
        <f>"41639174395"</f>
        <v>41639174395</v>
      </c>
      <c r="B16750" t="s">
        <v>25</v>
      </c>
      <c r="C16750" t="s">
        <v>13425</v>
      </c>
      <c r="D16750" t="s">
        <v>56406</v>
      </c>
      <c r="E16750">
        <v>425000</v>
      </c>
      <c r="F16750" t="s">
        <v>1</v>
      </c>
      <c r="G16750" t="s">
        <v>52955</v>
      </c>
      <c r="H16750" t="s">
        <v>53093</v>
      </c>
      <c r="Y16750" t="s">
        <v>56407</v>
      </c>
    </row>
    <row r="16751" spans="1:25" x14ac:dyDescent="0.25">
      <c r="A16751" t="str">
        <f>"41840432150"</f>
        <v>41840432150</v>
      </c>
      <c r="B16751" t="s">
        <v>117</v>
      </c>
      <c r="C16751" t="s">
        <v>873</v>
      </c>
      <c r="D16751" t="s">
        <v>873</v>
      </c>
      <c r="F16751" t="s">
        <v>1</v>
      </c>
      <c r="G16751" t="s">
        <v>52955</v>
      </c>
      <c r="H16751" t="s">
        <v>55974</v>
      </c>
      <c r="Y16751" t="s">
        <v>56408</v>
      </c>
    </row>
    <row r="16752" spans="1:25" x14ac:dyDescent="0.25">
      <c r="A16752" t="str">
        <f>"41921589742"</f>
        <v>41921589742</v>
      </c>
      <c r="B16752" t="s">
        <v>574</v>
      </c>
      <c r="C16752" t="s">
        <v>952</v>
      </c>
      <c r="D16752" t="s">
        <v>56309</v>
      </c>
      <c r="E16752">
        <v>425000</v>
      </c>
      <c r="F16752" t="s">
        <v>1</v>
      </c>
      <c r="G16752" t="s">
        <v>52955</v>
      </c>
      <c r="H16752" t="s">
        <v>54369</v>
      </c>
      <c r="Y16752" t="s">
        <v>55869</v>
      </c>
    </row>
    <row r="16753" spans="1:25" x14ac:dyDescent="0.25">
      <c r="A16753" t="str">
        <f>"41950752331"</f>
        <v>41950752331</v>
      </c>
      <c r="B16753" t="s">
        <v>430</v>
      </c>
      <c r="C16753" t="s">
        <v>2431</v>
      </c>
      <c r="D16753" t="s">
        <v>56409</v>
      </c>
      <c r="E16753">
        <v>425009</v>
      </c>
      <c r="F16753" t="s">
        <v>1</v>
      </c>
      <c r="G16753" t="s">
        <v>52955</v>
      </c>
      <c r="H16753" t="s">
        <v>55282</v>
      </c>
      <c r="Y16753" t="s">
        <v>56410</v>
      </c>
    </row>
    <row r="16754" spans="1:25" x14ac:dyDescent="0.25">
      <c r="A16754" t="str">
        <f>"42202250854"</f>
        <v>42202250854</v>
      </c>
      <c r="B16754" t="s">
        <v>96</v>
      </c>
      <c r="C16754" t="s">
        <v>893</v>
      </c>
      <c r="D16754" t="s">
        <v>10802</v>
      </c>
      <c r="E16754">
        <v>425009</v>
      </c>
      <c r="F16754" t="s">
        <v>1</v>
      </c>
      <c r="G16754" t="s">
        <v>52955</v>
      </c>
      <c r="H16754" t="s">
        <v>56411</v>
      </c>
      <c r="Y16754" t="s">
        <v>56412</v>
      </c>
    </row>
    <row r="16755" spans="1:25" x14ac:dyDescent="0.25">
      <c r="A16755" t="str">
        <f>"42300838938"</f>
        <v>42300838938</v>
      </c>
      <c r="B16755" t="s">
        <v>1475</v>
      </c>
      <c r="C16755" t="s">
        <v>1476</v>
      </c>
      <c r="D16755" t="s">
        <v>56413</v>
      </c>
      <c r="E16755">
        <v>425009</v>
      </c>
      <c r="F16755" t="s">
        <v>1</v>
      </c>
      <c r="G16755" t="s">
        <v>52955</v>
      </c>
      <c r="H16755" t="s">
        <v>56414</v>
      </c>
      <c r="J16755" t="s">
        <v>56415</v>
      </c>
      <c r="P16755" t="s">
        <v>11074</v>
      </c>
      <c r="Y16755" t="s">
        <v>56416</v>
      </c>
    </row>
    <row r="16756" spans="1:25" x14ac:dyDescent="0.25">
      <c r="A16756" t="str">
        <f>"42664891225"</f>
        <v>42664891225</v>
      </c>
      <c r="B16756" t="s">
        <v>1046</v>
      </c>
      <c r="C16756" t="s">
        <v>22946</v>
      </c>
      <c r="D16756" t="s">
        <v>22946</v>
      </c>
      <c r="F16756" t="s">
        <v>1</v>
      </c>
      <c r="G16756" t="s">
        <v>52955</v>
      </c>
      <c r="H16756" t="s">
        <v>55047</v>
      </c>
      <c r="Y16756" t="s">
        <v>56417</v>
      </c>
    </row>
    <row r="16757" spans="1:25" x14ac:dyDescent="0.25">
      <c r="A16757" t="str">
        <f>"42680380951"</f>
        <v>42680380951</v>
      </c>
      <c r="B16757" t="s">
        <v>1152</v>
      </c>
      <c r="C16757" t="s">
        <v>1153</v>
      </c>
      <c r="D16757" t="s">
        <v>10280</v>
      </c>
      <c r="E16757">
        <v>425003</v>
      </c>
      <c r="F16757" t="s">
        <v>1</v>
      </c>
      <c r="G16757" t="s">
        <v>52955</v>
      </c>
      <c r="H16757" t="s">
        <v>56418</v>
      </c>
      <c r="I16757" t="s">
        <v>22092</v>
      </c>
      <c r="M16757" t="s">
        <v>10284</v>
      </c>
      <c r="Q16757" t="s">
        <v>10286</v>
      </c>
      <c r="R16757" t="s">
        <v>10287</v>
      </c>
      <c r="S16757" t="s">
        <v>10288</v>
      </c>
      <c r="T16757" t="s">
        <v>10289</v>
      </c>
      <c r="U16757" t="s">
        <v>10290</v>
      </c>
      <c r="V16757" t="s">
        <v>10291</v>
      </c>
      <c r="Y16757" t="s">
        <v>56419</v>
      </c>
    </row>
    <row r="16758" spans="1:25" x14ac:dyDescent="0.25">
      <c r="A16758" t="str">
        <f>"42870150315"</f>
        <v>42870150315</v>
      </c>
      <c r="B16758" t="s">
        <v>80</v>
      </c>
      <c r="C16758" t="s">
        <v>3295</v>
      </c>
      <c r="D16758" t="s">
        <v>55920</v>
      </c>
      <c r="E16758">
        <v>425009</v>
      </c>
      <c r="F16758" t="s">
        <v>1</v>
      </c>
      <c r="G16758" t="s">
        <v>52955</v>
      </c>
      <c r="H16758" t="s">
        <v>55921</v>
      </c>
      <c r="Y16758" t="s">
        <v>56420</v>
      </c>
    </row>
    <row r="16759" spans="1:25" x14ac:dyDescent="0.25">
      <c r="A16759" t="str">
        <f>"43001037143"</f>
        <v>43001037143</v>
      </c>
      <c r="B16759" t="s">
        <v>624</v>
      </c>
      <c r="C16759" t="s">
        <v>51308</v>
      </c>
      <c r="D16759" t="s">
        <v>51308</v>
      </c>
      <c r="E16759">
        <v>425000</v>
      </c>
      <c r="F16759" t="s">
        <v>1</v>
      </c>
      <c r="G16759" t="s">
        <v>52955</v>
      </c>
      <c r="H16759" t="s">
        <v>54780</v>
      </c>
      <c r="Y16759" t="s">
        <v>56421</v>
      </c>
    </row>
    <row r="16760" spans="1:25" x14ac:dyDescent="0.25">
      <c r="A16760" t="str">
        <f>"43645064024"</f>
        <v>43645064024</v>
      </c>
      <c r="B16760" t="s">
        <v>7312</v>
      </c>
      <c r="C16760" t="s">
        <v>21136</v>
      </c>
      <c r="D16760" t="s">
        <v>40908</v>
      </c>
      <c r="E16760">
        <v>425005</v>
      </c>
      <c r="F16760" t="s">
        <v>1</v>
      </c>
      <c r="G16760" t="s">
        <v>52955</v>
      </c>
      <c r="H16760" t="s">
        <v>54620</v>
      </c>
      <c r="Y16760" t="s">
        <v>56422</v>
      </c>
    </row>
    <row r="16761" spans="1:25" x14ac:dyDescent="0.25">
      <c r="A16761" t="str">
        <f>"43694120912"</f>
        <v>43694120912</v>
      </c>
      <c r="B16761" t="s">
        <v>430</v>
      </c>
      <c r="C16761" t="s">
        <v>17210</v>
      </c>
      <c r="D16761" t="s">
        <v>56423</v>
      </c>
      <c r="F16761" t="s">
        <v>1</v>
      </c>
      <c r="G16761" t="s">
        <v>52955</v>
      </c>
      <c r="H16761" t="s">
        <v>56424</v>
      </c>
      <c r="Y16761" t="s">
        <v>56425</v>
      </c>
    </row>
    <row r="16762" spans="1:25" x14ac:dyDescent="0.25">
      <c r="A16762" t="str">
        <f>"43750682828"</f>
        <v>43750682828</v>
      </c>
      <c r="B16762" t="s">
        <v>25</v>
      </c>
      <c r="C16762" t="s">
        <v>13425</v>
      </c>
      <c r="D16762" t="s">
        <v>36145</v>
      </c>
      <c r="F16762" t="s">
        <v>1</v>
      </c>
      <c r="G16762" t="s">
        <v>52955</v>
      </c>
      <c r="H16762" t="s">
        <v>56426</v>
      </c>
      <c r="Y16762" t="s">
        <v>56427</v>
      </c>
    </row>
    <row r="16763" spans="1:25" x14ac:dyDescent="0.25">
      <c r="A16763" t="str">
        <f>"43811477215"</f>
        <v>43811477215</v>
      </c>
      <c r="B16763" t="s">
        <v>18</v>
      </c>
      <c r="C16763" t="s">
        <v>4522</v>
      </c>
      <c r="D16763" t="s">
        <v>56428</v>
      </c>
      <c r="E16763">
        <v>425008</v>
      </c>
      <c r="F16763" t="s">
        <v>1</v>
      </c>
      <c r="G16763" t="s">
        <v>52955</v>
      </c>
      <c r="H16763" t="s">
        <v>53857</v>
      </c>
      <c r="P16763" t="s">
        <v>410</v>
      </c>
      <c r="Y16763" t="s">
        <v>56429</v>
      </c>
    </row>
    <row r="16764" spans="1:25" x14ac:dyDescent="0.25">
      <c r="A16764" t="str">
        <f>"44277961866"</f>
        <v>44277961866</v>
      </c>
      <c r="B16764" t="s">
        <v>233</v>
      </c>
      <c r="C16764" t="s">
        <v>55901</v>
      </c>
      <c r="D16764" t="s">
        <v>55901</v>
      </c>
      <c r="E16764">
        <v>425011</v>
      </c>
      <c r="F16764" t="s">
        <v>1</v>
      </c>
      <c r="G16764" t="s">
        <v>52955</v>
      </c>
      <c r="H16764" t="s">
        <v>53457</v>
      </c>
      <c r="Y16764" t="s">
        <v>56430</v>
      </c>
    </row>
    <row r="16765" spans="1:25" x14ac:dyDescent="0.25">
      <c r="A16765" t="str">
        <f>"44290295049"</f>
        <v>44290295049</v>
      </c>
      <c r="B16765" t="s">
        <v>930</v>
      </c>
      <c r="C16765" t="s">
        <v>56434</v>
      </c>
      <c r="D16765" t="s">
        <v>56431</v>
      </c>
      <c r="F16765" t="s">
        <v>1</v>
      </c>
      <c r="G16765" t="s">
        <v>52955</v>
      </c>
      <c r="H16765" t="s">
        <v>56432</v>
      </c>
      <c r="I16765" t="s">
        <v>56433</v>
      </c>
      <c r="P16765" t="s">
        <v>56435</v>
      </c>
      <c r="Y16765" t="s">
        <v>56436</v>
      </c>
    </row>
    <row r="16766" spans="1:25" x14ac:dyDescent="0.25">
      <c r="A16766" t="str">
        <f>"44307645268"</f>
        <v>44307645268</v>
      </c>
      <c r="B16766" t="s">
        <v>430</v>
      </c>
      <c r="C16766" t="s">
        <v>16178</v>
      </c>
      <c r="D16766" t="s">
        <v>10135</v>
      </c>
      <c r="F16766" t="s">
        <v>1</v>
      </c>
      <c r="G16766" t="s">
        <v>52955</v>
      </c>
      <c r="H16766" t="s">
        <v>54574</v>
      </c>
      <c r="Y16766" t="s">
        <v>54576</v>
      </c>
    </row>
    <row r="16767" spans="1:25" x14ac:dyDescent="0.25">
      <c r="A16767" t="str">
        <f>"44428808222"</f>
        <v>44428808222</v>
      </c>
      <c r="B16767" t="s">
        <v>1544</v>
      </c>
      <c r="C16767" t="s">
        <v>3596</v>
      </c>
      <c r="D16767" t="s">
        <v>3596</v>
      </c>
      <c r="F16767" t="s">
        <v>1</v>
      </c>
      <c r="G16767" t="s">
        <v>52955</v>
      </c>
      <c r="H16767" t="s">
        <v>56437</v>
      </c>
      <c r="Y16767" t="s">
        <v>56438</v>
      </c>
    </row>
    <row r="16768" spans="1:25" x14ac:dyDescent="0.25">
      <c r="A16768" t="str">
        <f>"44565779897"</f>
        <v>44565779897</v>
      </c>
      <c r="B16768" t="s">
        <v>348</v>
      </c>
      <c r="C16768" t="s">
        <v>4366</v>
      </c>
      <c r="D16768" t="s">
        <v>4366</v>
      </c>
      <c r="E16768">
        <v>425001</v>
      </c>
      <c r="F16768" t="s">
        <v>1</v>
      </c>
      <c r="G16768" t="s">
        <v>52955</v>
      </c>
      <c r="H16768" t="s">
        <v>56439</v>
      </c>
      <c r="Y16768" t="s">
        <v>56440</v>
      </c>
    </row>
    <row r="16769" spans="1:25" x14ac:dyDescent="0.25">
      <c r="A16769" t="str">
        <f>"45033204462"</f>
        <v>45033204462</v>
      </c>
      <c r="B16769" t="s">
        <v>1544</v>
      </c>
      <c r="C16769" t="s">
        <v>3596</v>
      </c>
      <c r="D16769" t="s">
        <v>21608</v>
      </c>
      <c r="E16769">
        <v>425000</v>
      </c>
      <c r="F16769" t="s">
        <v>1</v>
      </c>
      <c r="G16769" t="s">
        <v>52955</v>
      </c>
      <c r="H16769" t="s">
        <v>56441</v>
      </c>
      <c r="Y16769" t="s">
        <v>56442</v>
      </c>
    </row>
    <row r="16770" spans="1:25" x14ac:dyDescent="0.25">
      <c r="A16770" t="str">
        <f>"45177442246"</f>
        <v>45177442246</v>
      </c>
      <c r="B16770" t="s">
        <v>3700</v>
      </c>
      <c r="C16770" t="s">
        <v>4023</v>
      </c>
      <c r="D16770" t="s">
        <v>56443</v>
      </c>
      <c r="E16770">
        <v>425011</v>
      </c>
      <c r="F16770" t="s">
        <v>1</v>
      </c>
      <c r="G16770" t="s">
        <v>52955</v>
      </c>
      <c r="H16770" t="s">
        <v>53523</v>
      </c>
      <c r="P16770" t="s">
        <v>21891</v>
      </c>
      <c r="Q16770" t="s">
        <v>56444</v>
      </c>
      <c r="Y16770" t="s">
        <v>56445</v>
      </c>
    </row>
    <row r="16771" spans="1:25" x14ac:dyDescent="0.25">
      <c r="A16771" t="str">
        <f>"45479287918"</f>
        <v>45479287918</v>
      </c>
      <c r="B16771" t="s">
        <v>96</v>
      </c>
      <c r="C16771" t="s">
        <v>507</v>
      </c>
      <c r="D16771" t="s">
        <v>51184</v>
      </c>
      <c r="F16771" t="s">
        <v>1</v>
      </c>
      <c r="G16771" t="s">
        <v>52955</v>
      </c>
      <c r="H16771" t="s">
        <v>53215</v>
      </c>
      <c r="Q16771" t="s">
        <v>56196</v>
      </c>
      <c r="Y16771" t="s">
        <v>56446</v>
      </c>
    </row>
    <row r="16772" spans="1:25" x14ac:dyDescent="0.25">
      <c r="A16772" t="str">
        <f>"45785494565"</f>
        <v>45785494565</v>
      </c>
      <c r="B16772" t="s">
        <v>2104</v>
      </c>
      <c r="C16772" t="s">
        <v>13387</v>
      </c>
      <c r="D16772" t="s">
        <v>56021</v>
      </c>
      <c r="F16772" t="s">
        <v>1</v>
      </c>
      <c r="G16772" t="s">
        <v>52955</v>
      </c>
      <c r="H16772" t="s">
        <v>55608</v>
      </c>
      <c r="Y16772" t="s">
        <v>56447</v>
      </c>
    </row>
    <row r="16773" spans="1:25" x14ac:dyDescent="0.25">
      <c r="A16773" t="str">
        <f>"46079803681"</f>
        <v>46079803681</v>
      </c>
      <c r="B16773" t="s">
        <v>224</v>
      </c>
      <c r="C16773" t="s">
        <v>4397</v>
      </c>
      <c r="D16773" t="s">
        <v>4397</v>
      </c>
      <c r="F16773" t="s">
        <v>1</v>
      </c>
      <c r="G16773" t="s">
        <v>52955</v>
      </c>
      <c r="H16773" t="s">
        <v>54674</v>
      </c>
      <c r="Y16773" t="s">
        <v>56448</v>
      </c>
    </row>
    <row r="16774" spans="1:25" x14ac:dyDescent="0.25">
      <c r="A16774" t="str">
        <f>"46367402748"</f>
        <v>46367402748</v>
      </c>
      <c r="B16774" t="s">
        <v>703</v>
      </c>
      <c r="C16774" t="s">
        <v>2129</v>
      </c>
      <c r="D16774" t="s">
        <v>42345</v>
      </c>
      <c r="E16774">
        <v>425000</v>
      </c>
      <c r="F16774" t="s">
        <v>1</v>
      </c>
      <c r="G16774" t="s">
        <v>52955</v>
      </c>
      <c r="H16774" t="s">
        <v>53639</v>
      </c>
      <c r="Y16774" t="s">
        <v>56449</v>
      </c>
    </row>
    <row r="16775" spans="1:25" x14ac:dyDescent="0.25">
      <c r="A16775" t="str">
        <f>"46640975062"</f>
        <v>46640975062</v>
      </c>
      <c r="B16775" t="s">
        <v>574</v>
      </c>
      <c r="C16775" t="s">
        <v>14269</v>
      </c>
      <c r="D16775" t="s">
        <v>56450</v>
      </c>
      <c r="E16775">
        <v>425009</v>
      </c>
      <c r="F16775" t="s">
        <v>1</v>
      </c>
      <c r="G16775" t="s">
        <v>52955</v>
      </c>
      <c r="H16775" t="s">
        <v>56411</v>
      </c>
      <c r="P16775" t="s">
        <v>56451</v>
      </c>
      <c r="Y16775" t="s">
        <v>56452</v>
      </c>
    </row>
    <row r="16776" spans="1:25" x14ac:dyDescent="0.25">
      <c r="A16776" t="str">
        <f>"46708955187"</f>
        <v>46708955187</v>
      </c>
      <c r="B16776" t="s">
        <v>1352</v>
      </c>
      <c r="C16776" t="s">
        <v>2093</v>
      </c>
      <c r="D16776" t="s">
        <v>22566</v>
      </c>
      <c r="E16776">
        <v>425009</v>
      </c>
      <c r="F16776" t="s">
        <v>1</v>
      </c>
      <c r="G16776" t="s">
        <v>52955</v>
      </c>
      <c r="H16776" t="s">
        <v>55921</v>
      </c>
      <c r="Y16776" t="s">
        <v>56453</v>
      </c>
    </row>
    <row r="16777" spans="1:25" x14ac:dyDescent="0.25">
      <c r="A16777" t="str">
        <f>"46865612987"</f>
        <v>46865612987</v>
      </c>
      <c r="B16777" t="s">
        <v>96</v>
      </c>
      <c r="C16777" t="s">
        <v>893</v>
      </c>
      <c r="D16777" t="s">
        <v>22462</v>
      </c>
      <c r="E16777">
        <v>425000</v>
      </c>
      <c r="F16777" t="s">
        <v>1</v>
      </c>
      <c r="G16777" t="s">
        <v>52955</v>
      </c>
      <c r="H16777" t="s">
        <v>54582</v>
      </c>
      <c r="Y16777" t="s">
        <v>56454</v>
      </c>
    </row>
    <row r="16778" spans="1:25" x14ac:dyDescent="0.25">
      <c r="A16778" t="str">
        <f>"46877566422"</f>
        <v>46877566422</v>
      </c>
      <c r="B16778" t="s">
        <v>530</v>
      </c>
      <c r="C16778" t="s">
        <v>23950</v>
      </c>
      <c r="D16778" t="s">
        <v>23950</v>
      </c>
      <c r="F16778" t="s">
        <v>1</v>
      </c>
      <c r="G16778" t="s">
        <v>52955</v>
      </c>
      <c r="H16778" t="s">
        <v>56207</v>
      </c>
      <c r="Y16778" t="s">
        <v>56455</v>
      </c>
    </row>
    <row r="16779" spans="1:25" x14ac:dyDescent="0.25">
      <c r="A16779" t="str">
        <f>"46896175395"</f>
        <v>46896175395</v>
      </c>
      <c r="B16779" t="s">
        <v>1046</v>
      </c>
      <c r="C16779" t="s">
        <v>22946</v>
      </c>
      <c r="D16779" t="s">
        <v>22946</v>
      </c>
      <c r="F16779" t="s">
        <v>1</v>
      </c>
      <c r="G16779" t="s">
        <v>52955</v>
      </c>
      <c r="H16779" t="s">
        <v>55243</v>
      </c>
      <c r="Y16779" t="s">
        <v>56456</v>
      </c>
    </row>
    <row r="16780" spans="1:25" x14ac:dyDescent="0.25">
      <c r="A16780" t="str">
        <f>"47627979466"</f>
        <v>47627979466</v>
      </c>
      <c r="B16780" t="s">
        <v>530</v>
      </c>
      <c r="C16780" t="s">
        <v>23950</v>
      </c>
      <c r="D16780" t="s">
        <v>23950</v>
      </c>
      <c r="F16780" t="s">
        <v>1</v>
      </c>
      <c r="G16780" t="s">
        <v>52955</v>
      </c>
      <c r="H16780" t="s">
        <v>55047</v>
      </c>
      <c r="Y16780" t="s">
        <v>56457</v>
      </c>
    </row>
    <row r="16781" spans="1:25" x14ac:dyDescent="0.25">
      <c r="A16781" t="str">
        <f>"47909550297"</f>
        <v>47909550297</v>
      </c>
      <c r="B16781" t="s">
        <v>32</v>
      </c>
      <c r="C16781" t="s">
        <v>28331</v>
      </c>
      <c r="D16781" t="s">
        <v>56458</v>
      </c>
      <c r="E16781">
        <v>425008</v>
      </c>
      <c r="F16781" t="s">
        <v>1</v>
      </c>
      <c r="G16781" t="s">
        <v>52955</v>
      </c>
      <c r="H16781" t="s">
        <v>53533</v>
      </c>
      <c r="J16781" t="s">
        <v>56459</v>
      </c>
      <c r="P16781" t="s">
        <v>1433</v>
      </c>
      <c r="Q16781" t="s">
        <v>56460</v>
      </c>
      <c r="Y16781" t="s">
        <v>56461</v>
      </c>
    </row>
    <row r="16782" spans="1:25" x14ac:dyDescent="0.25">
      <c r="A16782" t="str">
        <f>"48286632548"</f>
        <v>48286632548</v>
      </c>
      <c r="B16782" t="s">
        <v>10383</v>
      </c>
      <c r="C16782" t="s">
        <v>24146</v>
      </c>
      <c r="D16782" t="s">
        <v>24146</v>
      </c>
      <c r="E16782">
        <v>425000</v>
      </c>
      <c r="F16782" t="s">
        <v>1</v>
      </c>
      <c r="G16782" t="s">
        <v>52955</v>
      </c>
      <c r="H16782" t="s">
        <v>56006</v>
      </c>
      <c r="Y16782" t="s">
        <v>56462</v>
      </c>
    </row>
    <row r="16783" spans="1:25" x14ac:dyDescent="0.25">
      <c r="A16783" t="str">
        <f>"48584497086"</f>
        <v>48584497086</v>
      </c>
      <c r="B16783" t="s">
        <v>348</v>
      </c>
      <c r="C16783" t="s">
        <v>4366</v>
      </c>
      <c r="D16783" t="s">
        <v>56463</v>
      </c>
      <c r="E16783">
        <v>425000</v>
      </c>
      <c r="F16783" t="s">
        <v>1</v>
      </c>
      <c r="G16783" t="s">
        <v>52955</v>
      </c>
      <c r="H16783" t="s">
        <v>56464</v>
      </c>
      <c r="Y16783" t="s">
        <v>56465</v>
      </c>
    </row>
    <row r="16784" spans="1:25" x14ac:dyDescent="0.25">
      <c r="A16784" t="str">
        <f>"48597383526"</f>
        <v>48597383526</v>
      </c>
      <c r="B16784" t="s">
        <v>1611</v>
      </c>
      <c r="C16784" t="s">
        <v>3218</v>
      </c>
      <c r="D16784" t="s">
        <v>21844</v>
      </c>
      <c r="F16784" t="s">
        <v>1</v>
      </c>
      <c r="G16784" t="s">
        <v>52955</v>
      </c>
      <c r="H16784" t="s">
        <v>54046</v>
      </c>
      <c r="I16784" t="s">
        <v>56466</v>
      </c>
      <c r="L16784" t="s">
        <v>54124</v>
      </c>
      <c r="M16784" t="s">
        <v>56467</v>
      </c>
      <c r="Y16784" t="s">
        <v>56468</v>
      </c>
    </row>
    <row r="16785" spans="1:25" x14ac:dyDescent="0.25">
      <c r="A16785" t="str">
        <f>"48633218784"</f>
        <v>48633218784</v>
      </c>
      <c r="B16785" t="s">
        <v>290</v>
      </c>
      <c r="C16785" t="s">
        <v>290</v>
      </c>
      <c r="D16785" t="s">
        <v>56469</v>
      </c>
      <c r="E16785">
        <v>425000</v>
      </c>
      <c r="F16785" t="s">
        <v>1</v>
      </c>
      <c r="G16785" t="s">
        <v>52955</v>
      </c>
      <c r="H16785" t="s">
        <v>55461</v>
      </c>
      <c r="P16785" t="s">
        <v>4006</v>
      </c>
      <c r="Y16785" t="s">
        <v>56470</v>
      </c>
    </row>
    <row r="16786" spans="1:25" x14ac:dyDescent="0.25">
      <c r="A16786" t="str">
        <f>"48661791123"</f>
        <v>48661791123</v>
      </c>
      <c r="B16786" t="s">
        <v>456</v>
      </c>
      <c r="C16786" t="s">
        <v>56475</v>
      </c>
      <c r="D16786" t="s">
        <v>56471</v>
      </c>
      <c r="E16786">
        <v>425000</v>
      </c>
      <c r="F16786" t="s">
        <v>1</v>
      </c>
      <c r="G16786" t="s">
        <v>52955</v>
      </c>
      <c r="H16786" t="s">
        <v>53460</v>
      </c>
      <c r="I16786" t="s">
        <v>56472</v>
      </c>
      <c r="L16786" t="s">
        <v>56473</v>
      </c>
      <c r="M16786" t="s">
        <v>56474</v>
      </c>
      <c r="P16786" t="s">
        <v>280</v>
      </c>
      <c r="V16786" t="s">
        <v>56476</v>
      </c>
      <c r="Y16786" t="s">
        <v>53463</v>
      </c>
    </row>
    <row r="16787" spans="1:25" x14ac:dyDescent="0.25">
      <c r="A16787" t="str">
        <f>"48747083584"</f>
        <v>48747083584</v>
      </c>
      <c r="B16787" t="s">
        <v>1544</v>
      </c>
      <c r="C16787" t="s">
        <v>56479</v>
      </c>
      <c r="D16787" t="s">
        <v>56477</v>
      </c>
      <c r="E16787">
        <v>425009</v>
      </c>
      <c r="F16787" t="s">
        <v>1</v>
      </c>
      <c r="G16787" t="s">
        <v>52955</v>
      </c>
      <c r="H16787" t="s">
        <v>56478</v>
      </c>
      <c r="P16787" t="s">
        <v>9840</v>
      </c>
      <c r="Y16787" t="s">
        <v>56480</v>
      </c>
    </row>
    <row r="16788" spans="1:25" x14ac:dyDescent="0.25">
      <c r="A16788" t="str">
        <f>"48781178571"</f>
        <v>48781178571</v>
      </c>
      <c r="B16788" t="s">
        <v>319</v>
      </c>
      <c r="C16788" t="s">
        <v>320</v>
      </c>
      <c r="D16788" t="s">
        <v>2733</v>
      </c>
      <c r="E16788">
        <v>425009</v>
      </c>
      <c r="F16788" t="s">
        <v>1</v>
      </c>
      <c r="G16788" t="s">
        <v>52955</v>
      </c>
      <c r="H16788" t="s">
        <v>55434</v>
      </c>
      <c r="J16788" t="s">
        <v>53618</v>
      </c>
      <c r="P16788" t="s">
        <v>216</v>
      </c>
      <c r="Y16788" t="s">
        <v>56481</v>
      </c>
    </row>
    <row r="16789" spans="1:25" x14ac:dyDescent="0.25">
      <c r="A16789" t="str">
        <f>"48980857146"</f>
        <v>48980857146</v>
      </c>
      <c r="B16789" t="s">
        <v>797</v>
      </c>
      <c r="C16789" t="s">
        <v>5123</v>
      </c>
      <c r="D16789" t="s">
        <v>7539</v>
      </c>
      <c r="E16789">
        <v>425000</v>
      </c>
      <c r="F16789" t="s">
        <v>1</v>
      </c>
      <c r="G16789" t="s">
        <v>52955</v>
      </c>
      <c r="H16789" t="s">
        <v>56482</v>
      </c>
      <c r="Y16789" t="s">
        <v>56483</v>
      </c>
    </row>
    <row r="16790" spans="1:25" x14ac:dyDescent="0.25">
      <c r="A16790" t="str">
        <f>"48995465877"</f>
        <v>48995465877</v>
      </c>
      <c r="B16790" t="s">
        <v>930</v>
      </c>
      <c r="C16790" t="s">
        <v>10263</v>
      </c>
      <c r="D16790" t="s">
        <v>56484</v>
      </c>
      <c r="E16790">
        <v>425000</v>
      </c>
      <c r="F16790" t="s">
        <v>1</v>
      </c>
      <c r="G16790" t="s">
        <v>52955</v>
      </c>
      <c r="H16790" t="s">
        <v>56485</v>
      </c>
      <c r="Y16790" t="s">
        <v>56486</v>
      </c>
    </row>
    <row r="16791" spans="1:25" x14ac:dyDescent="0.25">
      <c r="A16791" t="str">
        <f>"49166372904"</f>
        <v>49166372904</v>
      </c>
      <c r="B16791" t="s">
        <v>96</v>
      </c>
      <c r="C16791" t="s">
        <v>893</v>
      </c>
      <c r="D16791" t="s">
        <v>55248</v>
      </c>
      <c r="F16791" t="s">
        <v>1</v>
      </c>
      <c r="G16791" t="s">
        <v>52955</v>
      </c>
      <c r="H16791" t="s">
        <v>53215</v>
      </c>
      <c r="Y16791" t="s">
        <v>56487</v>
      </c>
    </row>
    <row r="16792" spans="1:25" x14ac:dyDescent="0.25">
      <c r="A16792" t="str">
        <f>"49168530260"</f>
        <v>49168530260</v>
      </c>
      <c r="B16792" t="s">
        <v>32</v>
      </c>
      <c r="C16792" t="s">
        <v>5809</v>
      </c>
      <c r="D16792" t="s">
        <v>56488</v>
      </c>
      <c r="E16792">
        <v>425011</v>
      </c>
      <c r="F16792" t="s">
        <v>1</v>
      </c>
      <c r="G16792" t="s">
        <v>52955</v>
      </c>
      <c r="H16792" t="s">
        <v>53523</v>
      </c>
      <c r="J16792" t="s">
        <v>56489</v>
      </c>
      <c r="P16792" t="s">
        <v>29643</v>
      </c>
      <c r="Y16792" t="s">
        <v>56490</v>
      </c>
    </row>
    <row r="16793" spans="1:25" x14ac:dyDescent="0.25">
      <c r="A16793" t="str">
        <f>"49490724455"</f>
        <v>49490724455</v>
      </c>
      <c r="B16793" t="s">
        <v>2062</v>
      </c>
      <c r="C16793" t="s">
        <v>35989</v>
      </c>
      <c r="D16793" t="s">
        <v>39856</v>
      </c>
      <c r="F16793" t="s">
        <v>1</v>
      </c>
      <c r="G16793" t="s">
        <v>52955</v>
      </c>
      <c r="H16793" t="s">
        <v>53211</v>
      </c>
      <c r="Y16793" t="s">
        <v>53759</v>
      </c>
    </row>
    <row r="16794" spans="1:25" x14ac:dyDescent="0.25">
      <c r="A16794" t="str">
        <f>"49611052418"</f>
        <v>49611052418</v>
      </c>
      <c r="B16794" t="s">
        <v>10383</v>
      </c>
      <c r="C16794" t="s">
        <v>24146</v>
      </c>
      <c r="D16794" t="s">
        <v>24146</v>
      </c>
      <c r="E16794">
        <v>425000</v>
      </c>
      <c r="F16794" t="s">
        <v>1</v>
      </c>
      <c r="G16794" t="s">
        <v>52955</v>
      </c>
      <c r="H16794" t="s">
        <v>53089</v>
      </c>
      <c r="Y16794" t="s">
        <v>56491</v>
      </c>
    </row>
    <row r="16795" spans="1:25" x14ac:dyDescent="0.25">
      <c r="A16795" t="str">
        <f>"49774893381"</f>
        <v>49774893381</v>
      </c>
      <c r="B16795" t="s">
        <v>319</v>
      </c>
      <c r="C16795" t="s">
        <v>56493</v>
      </c>
      <c r="D16795" t="s">
        <v>56492</v>
      </c>
      <c r="E16795">
        <v>425001</v>
      </c>
      <c r="F16795" t="s">
        <v>1</v>
      </c>
      <c r="G16795" t="s">
        <v>52955</v>
      </c>
      <c r="H16795" t="s">
        <v>53465</v>
      </c>
      <c r="L16795" t="s">
        <v>56143</v>
      </c>
      <c r="Q16795" t="s">
        <v>56145</v>
      </c>
      <c r="Y16795" t="s">
        <v>56494</v>
      </c>
    </row>
    <row r="16796" spans="1:25" x14ac:dyDescent="0.25">
      <c r="A16796" t="str">
        <f>"49822629984"</f>
        <v>49822629984</v>
      </c>
      <c r="B16796" t="s">
        <v>160</v>
      </c>
      <c r="C16796" t="s">
        <v>2479</v>
      </c>
      <c r="D16796" t="s">
        <v>56495</v>
      </c>
      <c r="F16796" t="s">
        <v>1</v>
      </c>
      <c r="G16796" t="s">
        <v>52955</v>
      </c>
      <c r="H16796" t="s">
        <v>55878</v>
      </c>
      <c r="Y16796" t="s">
        <v>56496</v>
      </c>
    </row>
    <row r="16797" spans="1:25" x14ac:dyDescent="0.25">
      <c r="A16797" t="str">
        <f>"49840208186"</f>
        <v>49840208186</v>
      </c>
      <c r="B16797" t="s">
        <v>4084</v>
      </c>
      <c r="C16797" t="s">
        <v>56499</v>
      </c>
      <c r="D16797" t="s">
        <v>56497</v>
      </c>
      <c r="E16797">
        <v>425000</v>
      </c>
      <c r="F16797" t="s">
        <v>1</v>
      </c>
      <c r="G16797" t="s">
        <v>52955</v>
      </c>
      <c r="H16797" t="s">
        <v>54527</v>
      </c>
      <c r="J16797" t="s">
        <v>56498</v>
      </c>
      <c r="L16797" t="s">
        <v>54529</v>
      </c>
      <c r="M16797" t="s">
        <v>54530</v>
      </c>
      <c r="P16797" t="s">
        <v>410</v>
      </c>
      <c r="Q16797" t="s">
        <v>54531</v>
      </c>
      <c r="Y16797" t="s">
        <v>56500</v>
      </c>
    </row>
    <row r="16798" spans="1:25" x14ac:dyDescent="0.25">
      <c r="A16798" t="str">
        <f>"50045347754"</f>
        <v>50045347754</v>
      </c>
      <c r="B16798" t="s">
        <v>379</v>
      </c>
      <c r="C16798" t="s">
        <v>766</v>
      </c>
      <c r="D16798" t="s">
        <v>56501</v>
      </c>
      <c r="F16798" t="s">
        <v>1</v>
      </c>
      <c r="G16798" t="s">
        <v>52955</v>
      </c>
      <c r="H16798" t="s">
        <v>56502</v>
      </c>
      <c r="Y16798" t="s">
        <v>56503</v>
      </c>
    </row>
    <row r="16799" spans="1:25" x14ac:dyDescent="0.25">
      <c r="A16799" t="str">
        <f>"50362052472"</f>
        <v>50362052472</v>
      </c>
      <c r="B16799" t="s">
        <v>32</v>
      </c>
      <c r="C16799" t="s">
        <v>40</v>
      </c>
      <c r="D16799" t="s">
        <v>56504</v>
      </c>
      <c r="E16799">
        <v>425003</v>
      </c>
      <c r="F16799" t="s">
        <v>1</v>
      </c>
      <c r="G16799" t="s">
        <v>52955</v>
      </c>
      <c r="H16799" t="s">
        <v>53559</v>
      </c>
      <c r="J16799" t="s">
        <v>56505</v>
      </c>
      <c r="L16799" t="s">
        <v>56506</v>
      </c>
      <c r="M16799" t="s">
        <v>56507</v>
      </c>
      <c r="P16799" t="s">
        <v>2050</v>
      </c>
      <c r="Y16799" t="s">
        <v>56508</v>
      </c>
    </row>
    <row r="16800" spans="1:25" x14ac:dyDescent="0.25">
      <c r="A16800" t="str">
        <f>"50546877873"</f>
        <v>50546877873</v>
      </c>
      <c r="B16800" t="s">
        <v>930</v>
      </c>
      <c r="C16800" t="s">
        <v>4781</v>
      </c>
      <c r="D16800" t="s">
        <v>15948</v>
      </c>
      <c r="F16800" t="s">
        <v>1</v>
      </c>
      <c r="G16800" t="s">
        <v>52955</v>
      </c>
      <c r="H16800" t="s">
        <v>55928</v>
      </c>
      <c r="J16800" t="s">
        <v>56509</v>
      </c>
      <c r="L16800" t="s">
        <v>56510</v>
      </c>
      <c r="M16800" t="s">
        <v>56511</v>
      </c>
      <c r="Y16800" t="s">
        <v>55931</v>
      </c>
    </row>
    <row r="16801" spans="1:25" x14ac:dyDescent="0.25">
      <c r="A16801" t="str">
        <f>"50552733165"</f>
        <v>50552733165</v>
      </c>
      <c r="B16801" t="s">
        <v>3652</v>
      </c>
      <c r="C16801" t="s">
        <v>56516</v>
      </c>
      <c r="D16801" t="s">
        <v>39080</v>
      </c>
      <c r="F16801" t="s">
        <v>1</v>
      </c>
      <c r="G16801" t="s">
        <v>52955</v>
      </c>
      <c r="H16801" t="s">
        <v>56512</v>
      </c>
      <c r="I16801" t="s">
        <v>56513</v>
      </c>
      <c r="L16801" t="s">
        <v>56514</v>
      </c>
      <c r="M16801" t="s">
        <v>56515</v>
      </c>
      <c r="P16801" t="s">
        <v>56517</v>
      </c>
      <c r="Q16801" t="s">
        <v>56518</v>
      </c>
      <c r="Y16801" t="s">
        <v>56519</v>
      </c>
    </row>
    <row r="16802" spans="1:25" x14ac:dyDescent="0.25">
      <c r="A16802" t="str">
        <f>"50629844545"</f>
        <v>50629844545</v>
      </c>
      <c r="B16802" t="s">
        <v>10383</v>
      </c>
      <c r="C16802" t="s">
        <v>24146</v>
      </c>
      <c r="D16802" t="s">
        <v>24146</v>
      </c>
      <c r="F16802" t="s">
        <v>1</v>
      </c>
      <c r="G16802" t="s">
        <v>52955</v>
      </c>
      <c r="H16802" t="s">
        <v>55316</v>
      </c>
      <c r="Y16802" t="s">
        <v>56520</v>
      </c>
    </row>
    <row r="16803" spans="1:25" x14ac:dyDescent="0.25">
      <c r="A16803" t="str">
        <f>"50709020973"</f>
        <v>50709020973</v>
      </c>
      <c r="B16803" t="s">
        <v>574</v>
      </c>
      <c r="C16803" t="s">
        <v>646</v>
      </c>
      <c r="D16803" t="s">
        <v>56521</v>
      </c>
      <c r="E16803">
        <v>425011</v>
      </c>
      <c r="F16803" t="s">
        <v>1</v>
      </c>
      <c r="G16803" t="s">
        <v>52955</v>
      </c>
      <c r="H16803" t="s">
        <v>56522</v>
      </c>
      <c r="P16803" t="s">
        <v>48869</v>
      </c>
      <c r="Y16803" t="s">
        <v>56523</v>
      </c>
    </row>
    <row r="16804" spans="1:25" x14ac:dyDescent="0.25">
      <c r="A16804" t="str">
        <f>"50786624044"</f>
        <v>50786624044</v>
      </c>
      <c r="B16804" t="s">
        <v>32</v>
      </c>
      <c r="C16804" t="s">
        <v>40</v>
      </c>
      <c r="D16804" t="s">
        <v>56524</v>
      </c>
      <c r="E16804">
        <v>425011</v>
      </c>
      <c r="F16804" t="s">
        <v>1</v>
      </c>
      <c r="G16804" t="s">
        <v>52955</v>
      </c>
      <c r="H16804" t="s">
        <v>54593</v>
      </c>
      <c r="J16804" t="s">
        <v>56525</v>
      </c>
      <c r="P16804" t="s">
        <v>2050</v>
      </c>
      <c r="Y16804" t="s">
        <v>56526</v>
      </c>
    </row>
    <row r="16805" spans="1:25" x14ac:dyDescent="0.25">
      <c r="A16805" t="str">
        <f>"51219448385"</f>
        <v>51219448385</v>
      </c>
      <c r="B16805" t="s">
        <v>790</v>
      </c>
      <c r="C16805" t="s">
        <v>56527</v>
      </c>
      <c r="D16805" t="s">
        <v>22436</v>
      </c>
      <c r="F16805" t="s">
        <v>1</v>
      </c>
      <c r="G16805" t="s">
        <v>52955</v>
      </c>
      <c r="H16805" t="s">
        <v>53198</v>
      </c>
      <c r="Y16805" t="s">
        <v>55699</v>
      </c>
    </row>
    <row r="16806" spans="1:25" x14ac:dyDescent="0.25">
      <c r="A16806" t="str">
        <f>"51432316963"</f>
        <v>51432316963</v>
      </c>
      <c r="B16806" t="s">
        <v>1152</v>
      </c>
      <c r="C16806" t="s">
        <v>1152</v>
      </c>
      <c r="D16806" t="s">
        <v>1152</v>
      </c>
      <c r="E16806">
        <v>425000</v>
      </c>
      <c r="F16806" t="s">
        <v>1</v>
      </c>
      <c r="G16806" t="s">
        <v>52955</v>
      </c>
      <c r="H16806" t="s">
        <v>53783</v>
      </c>
      <c r="Y16806" t="s">
        <v>56528</v>
      </c>
    </row>
    <row r="16807" spans="1:25" x14ac:dyDescent="0.25">
      <c r="A16807" t="str">
        <f>"51447798659"</f>
        <v>51447798659</v>
      </c>
      <c r="B16807" t="s">
        <v>738</v>
      </c>
      <c r="C16807" t="s">
        <v>739</v>
      </c>
      <c r="D16807" t="s">
        <v>2578</v>
      </c>
      <c r="E16807">
        <v>425001</v>
      </c>
      <c r="F16807" t="s">
        <v>1</v>
      </c>
      <c r="G16807" t="s">
        <v>52955</v>
      </c>
      <c r="H16807" t="s">
        <v>53465</v>
      </c>
      <c r="Y16807" t="s">
        <v>56529</v>
      </c>
    </row>
    <row r="16808" spans="1:25" x14ac:dyDescent="0.25">
      <c r="A16808" t="str">
        <f>"51525666243"</f>
        <v>51525666243</v>
      </c>
      <c r="B16808" t="s">
        <v>290</v>
      </c>
      <c r="C16808" t="s">
        <v>5937</v>
      </c>
      <c r="D16808" t="s">
        <v>56530</v>
      </c>
      <c r="E16808">
        <v>425011</v>
      </c>
      <c r="F16808" t="s">
        <v>1</v>
      </c>
      <c r="G16808" t="s">
        <v>52955</v>
      </c>
      <c r="H16808" t="s">
        <v>53723</v>
      </c>
      <c r="J16808" t="s">
        <v>56531</v>
      </c>
      <c r="P16808" t="s">
        <v>37608</v>
      </c>
      <c r="Y16808" t="s">
        <v>56532</v>
      </c>
    </row>
    <row r="16809" spans="1:25" x14ac:dyDescent="0.25">
      <c r="A16809" t="str">
        <f>"51695070358"</f>
        <v>51695070358</v>
      </c>
      <c r="B16809" t="s">
        <v>32</v>
      </c>
      <c r="C16809" t="s">
        <v>5623</v>
      </c>
      <c r="D16809" t="s">
        <v>55883</v>
      </c>
      <c r="E16809">
        <v>425008</v>
      </c>
      <c r="F16809" t="s">
        <v>1</v>
      </c>
      <c r="G16809" t="s">
        <v>52955</v>
      </c>
      <c r="H16809" t="s">
        <v>55884</v>
      </c>
      <c r="Y16809" t="s">
        <v>56533</v>
      </c>
    </row>
    <row r="16810" spans="1:25" x14ac:dyDescent="0.25">
      <c r="A16810" t="str">
        <f>"51949481421"</f>
        <v>51949481421</v>
      </c>
      <c r="B16810" t="s">
        <v>574</v>
      </c>
      <c r="C16810" t="s">
        <v>646</v>
      </c>
      <c r="D16810" t="s">
        <v>646</v>
      </c>
      <c r="E16810">
        <v>425000</v>
      </c>
      <c r="F16810" t="s">
        <v>1</v>
      </c>
      <c r="G16810" t="s">
        <v>52955</v>
      </c>
      <c r="H16810" t="s">
        <v>56534</v>
      </c>
      <c r="Y16810" t="s">
        <v>56535</v>
      </c>
    </row>
    <row r="16811" spans="1:25" x14ac:dyDescent="0.25">
      <c r="A16811" t="str">
        <f>"52140386397"</f>
        <v>52140386397</v>
      </c>
      <c r="B16811" t="s">
        <v>7</v>
      </c>
      <c r="C16811" t="s">
        <v>12811</v>
      </c>
      <c r="D16811" t="s">
        <v>56536</v>
      </c>
      <c r="E16811">
        <v>425000</v>
      </c>
      <c r="F16811" t="s">
        <v>1</v>
      </c>
      <c r="G16811" t="s">
        <v>52955</v>
      </c>
      <c r="H16811" t="s">
        <v>53639</v>
      </c>
      <c r="Y16811" t="s">
        <v>56537</v>
      </c>
    </row>
    <row r="16812" spans="1:25" x14ac:dyDescent="0.25">
      <c r="A16812" t="str">
        <f>"52379691132"</f>
        <v>52379691132</v>
      </c>
      <c r="B16812" t="s">
        <v>3094</v>
      </c>
      <c r="C16812" t="s">
        <v>3095</v>
      </c>
      <c r="D16812" t="s">
        <v>43423</v>
      </c>
      <c r="E16812">
        <v>425000</v>
      </c>
      <c r="F16812" t="s">
        <v>1</v>
      </c>
      <c r="G16812" t="s">
        <v>52955</v>
      </c>
      <c r="H16812" t="s">
        <v>53089</v>
      </c>
      <c r="Y16812" t="s">
        <v>56538</v>
      </c>
    </row>
    <row r="16813" spans="1:25" x14ac:dyDescent="0.25">
      <c r="A16813" t="str">
        <f>"52488214426"</f>
        <v>52488214426</v>
      </c>
      <c r="B16813" t="s">
        <v>1152</v>
      </c>
      <c r="C16813" t="s">
        <v>1153</v>
      </c>
      <c r="D16813" t="s">
        <v>10280</v>
      </c>
      <c r="F16813" t="s">
        <v>1</v>
      </c>
      <c r="G16813" t="s">
        <v>52955</v>
      </c>
      <c r="H16813" t="s">
        <v>56539</v>
      </c>
      <c r="I16813" t="s">
        <v>22092</v>
      </c>
      <c r="M16813" t="s">
        <v>10284</v>
      </c>
      <c r="Q16813" t="s">
        <v>10286</v>
      </c>
      <c r="R16813" t="s">
        <v>10287</v>
      </c>
      <c r="S16813" t="s">
        <v>10288</v>
      </c>
      <c r="T16813" t="s">
        <v>10289</v>
      </c>
      <c r="U16813" t="s">
        <v>10290</v>
      </c>
      <c r="V16813" t="s">
        <v>10291</v>
      </c>
      <c r="Y16813" t="s">
        <v>56540</v>
      </c>
    </row>
    <row r="16814" spans="1:25" x14ac:dyDescent="0.25">
      <c r="A16814" t="str">
        <f>"52818059397"</f>
        <v>52818059397</v>
      </c>
      <c r="B16814" t="s">
        <v>930</v>
      </c>
      <c r="C16814" t="s">
        <v>16474</v>
      </c>
      <c r="D16814" t="s">
        <v>56541</v>
      </c>
      <c r="F16814" t="s">
        <v>1</v>
      </c>
      <c r="G16814" t="s">
        <v>52955</v>
      </c>
      <c r="H16814" t="s">
        <v>56437</v>
      </c>
      <c r="Y16814" t="s">
        <v>56542</v>
      </c>
    </row>
    <row r="16815" spans="1:25" x14ac:dyDescent="0.25">
      <c r="A16815" t="str">
        <f>"52955187022"</f>
        <v>52955187022</v>
      </c>
      <c r="B16815" t="s">
        <v>1573</v>
      </c>
      <c r="C16815" t="s">
        <v>1817</v>
      </c>
      <c r="D16815" t="s">
        <v>12664</v>
      </c>
      <c r="E16815">
        <v>425003</v>
      </c>
      <c r="F16815" t="s">
        <v>1</v>
      </c>
      <c r="G16815" t="s">
        <v>52955</v>
      </c>
      <c r="H16815" t="s">
        <v>56543</v>
      </c>
      <c r="Y16815" t="s">
        <v>56544</v>
      </c>
    </row>
    <row r="16816" spans="1:25" x14ac:dyDescent="0.25">
      <c r="A16816" t="str">
        <f>"53125493426"</f>
        <v>53125493426</v>
      </c>
      <c r="B16816" t="s">
        <v>1222</v>
      </c>
      <c r="C16816" t="s">
        <v>2114</v>
      </c>
      <c r="D16816" t="s">
        <v>19980</v>
      </c>
      <c r="E16816">
        <v>425008</v>
      </c>
      <c r="F16816" t="s">
        <v>1</v>
      </c>
      <c r="G16816" t="s">
        <v>52955</v>
      </c>
      <c r="H16816" t="s">
        <v>53554</v>
      </c>
      <c r="Y16816" t="s">
        <v>56545</v>
      </c>
    </row>
    <row r="16817" spans="1:25" x14ac:dyDescent="0.25">
      <c r="A16817" t="str">
        <f>"53239041695"</f>
        <v>53239041695</v>
      </c>
      <c r="B16817" t="s">
        <v>176</v>
      </c>
      <c r="C16817" t="s">
        <v>56548</v>
      </c>
      <c r="D16817" t="s">
        <v>56546</v>
      </c>
      <c r="E16817">
        <v>425009</v>
      </c>
      <c r="F16817" t="s">
        <v>1</v>
      </c>
      <c r="G16817" t="s">
        <v>52955</v>
      </c>
      <c r="H16817" t="s">
        <v>54756</v>
      </c>
      <c r="J16817" t="s">
        <v>56547</v>
      </c>
      <c r="P16817" t="s">
        <v>330</v>
      </c>
      <c r="Y16817" t="s">
        <v>56549</v>
      </c>
    </row>
    <row r="16818" spans="1:25" x14ac:dyDescent="0.25">
      <c r="A16818" t="str">
        <f>"53400461694"</f>
        <v>53400461694</v>
      </c>
      <c r="B16818" t="s">
        <v>2818</v>
      </c>
      <c r="C16818" t="s">
        <v>56550</v>
      </c>
      <c r="D16818" t="s">
        <v>56550</v>
      </c>
      <c r="F16818" t="s">
        <v>1</v>
      </c>
      <c r="G16818" t="s">
        <v>52955</v>
      </c>
      <c r="H16818" t="s">
        <v>56437</v>
      </c>
      <c r="Y16818" t="s">
        <v>56551</v>
      </c>
    </row>
    <row r="16819" spans="1:25" x14ac:dyDescent="0.25">
      <c r="A16819" t="str">
        <f>"53609675205"</f>
        <v>53609675205</v>
      </c>
      <c r="B16819" t="s">
        <v>1061</v>
      </c>
      <c r="C16819" t="s">
        <v>25591</v>
      </c>
      <c r="D16819" t="s">
        <v>25591</v>
      </c>
      <c r="F16819" t="s">
        <v>1</v>
      </c>
      <c r="G16819" t="s">
        <v>52955</v>
      </c>
      <c r="H16819" t="s">
        <v>56382</v>
      </c>
      <c r="Y16819" t="s">
        <v>56552</v>
      </c>
    </row>
    <row r="16820" spans="1:25" x14ac:dyDescent="0.25">
      <c r="A16820" t="str">
        <f>"53850624146"</f>
        <v>53850624146</v>
      </c>
      <c r="B16820" t="s">
        <v>388</v>
      </c>
      <c r="C16820" t="s">
        <v>9224</v>
      </c>
      <c r="D16820" t="s">
        <v>56553</v>
      </c>
      <c r="F16820" t="s">
        <v>1</v>
      </c>
      <c r="G16820" t="s">
        <v>52955</v>
      </c>
      <c r="H16820" t="s">
        <v>53727</v>
      </c>
      <c r="Y16820" t="s">
        <v>56554</v>
      </c>
    </row>
    <row r="16821" spans="1:25" x14ac:dyDescent="0.25">
      <c r="A16821" t="str">
        <f>"54086386987"</f>
        <v>54086386987</v>
      </c>
      <c r="B16821" t="s">
        <v>2055</v>
      </c>
      <c r="C16821" t="s">
        <v>56559</v>
      </c>
      <c r="D16821" t="s">
        <v>56555</v>
      </c>
      <c r="E16821">
        <v>425000</v>
      </c>
      <c r="F16821" t="s">
        <v>1</v>
      </c>
      <c r="G16821" t="s">
        <v>52955</v>
      </c>
      <c r="H16821" t="s">
        <v>52972</v>
      </c>
      <c r="I16821" t="s">
        <v>56556</v>
      </c>
      <c r="J16821" t="s">
        <v>54388</v>
      </c>
      <c r="L16821" t="s">
        <v>56557</v>
      </c>
      <c r="M16821" t="s">
        <v>56558</v>
      </c>
      <c r="P16821" t="s">
        <v>280</v>
      </c>
      <c r="Y16821" t="s">
        <v>56560</v>
      </c>
    </row>
    <row r="16822" spans="1:25" x14ac:dyDescent="0.25">
      <c r="A16822" t="str">
        <f>"54432980970"</f>
        <v>54432980970</v>
      </c>
      <c r="B16822" t="s">
        <v>930</v>
      </c>
      <c r="C16822" t="s">
        <v>1096</v>
      </c>
      <c r="D16822" t="s">
        <v>1094</v>
      </c>
      <c r="F16822" t="s">
        <v>1</v>
      </c>
      <c r="G16822" t="s">
        <v>52955</v>
      </c>
      <c r="H16822" t="s">
        <v>55878</v>
      </c>
      <c r="Y16822" t="s">
        <v>56561</v>
      </c>
    </row>
    <row r="16823" spans="1:25" x14ac:dyDescent="0.25">
      <c r="A16823" t="str">
        <f>"54472274096"</f>
        <v>54472274096</v>
      </c>
      <c r="B16823" t="s">
        <v>18</v>
      </c>
      <c r="C16823" t="s">
        <v>56564</v>
      </c>
      <c r="D16823" t="s">
        <v>53737</v>
      </c>
      <c r="F16823" t="s">
        <v>1</v>
      </c>
      <c r="G16823" t="s">
        <v>52955</v>
      </c>
      <c r="H16823" t="s">
        <v>56562</v>
      </c>
      <c r="J16823" t="s">
        <v>56563</v>
      </c>
      <c r="P16823" t="s">
        <v>280</v>
      </c>
      <c r="Y16823" t="s">
        <v>56565</v>
      </c>
    </row>
    <row r="16824" spans="1:25" x14ac:dyDescent="0.25">
      <c r="A16824" t="str">
        <f>"54624138350"</f>
        <v>54624138350</v>
      </c>
      <c r="B16824" t="s">
        <v>96</v>
      </c>
      <c r="C16824" t="s">
        <v>695</v>
      </c>
      <c r="D16824" t="s">
        <v>56204</v>
      </c>
      <c r="E16824">
        <v>425000</v>
      </c>
      <c r="F16824" t="s">
        <v>1</v>
      </c>
      <c r="G16824" t="s">
        <v>52955</v>
      </c>
      <c r="H16824" t="s">
        <v>53911</v>
      </c>
      <c r="Y16824" t="s">
        <v>56566</v>
      </c>
    </row>
    <row r="16825" spans="1:25" x14ac:dyDescent="0.25">
      <c r="A16825" t="str">
        <f>"54851773575"</f>
        <v>54851773575</v>
      </c>
      <c r="B16825" t="s">
        <v>25</v>
      </c>
      <c r="C16825" t="s">
        <v>59</v>
      </c>
      <c r="D16825" t="s">
        <v>56567</v>
      </c>
      <c r="E16825">
        <v>425000</v>
      </c>
      <c r="F16825" t="s">
        <v>1</v>
      </c>
      <c r="G16825" t="s">
        <v>52955</v>
      </c>
      <c r="H16825" t="s">
        <v>56315</v>
      </c>
      <c r="J16825" t="s">
        <v>56568</v>
      </c>
      <c r="P16825" t="s">
        <v>4848</v>
      </c>
      <c r="Q16825" t="s">
        <v>56569</v>
      </c>
      <c r="Y16825" t="s">
        <v>56570</v>
      </c>
    </row>
    <row r="16826" spans="1:25" x14ac:dyDescent="0.25">
      <c r="A16826" t="str">
        <f>"54853233109"</f>
        <v>54853233109</v>
      </c>
      <c r="B16826" t="s">
        <v>96</v>
      </c>
      <c r="C16826" t="s">
        <v>659</v>
      </c>
      <c r="D16826" t="s">
        <v>56571</v>
      </c>
      <c r="F16826" t="s">
        <v>1</v>
      </c>
      <c r="G16826" t="s">
        <v>52955</v>
      </c>
      <c r="H16826" t="s">
        <v>53072</v>
      </c>
      <c r="J16826" t="s">
        <v>56572</v>
      </c>
      <c r="V16826" t="s">
        <v>56573</v>
      </c>
      <c r="Y16826" t="s">
        <v>56574</v>
      </c>
    </row>
    <row r="16827" spans="1:25" x14ac:dyDescent="0.25">
      <c r="A16827" t="str">
        <f>"54881415264"</f>
        <v>54881415264</v>
      </c>
      <c r="B16827" t="s">
        <v>7312</v>
      </c>
      <c r="C16827" t="s">
        <v>36256</v>
      </c>
      <c r="D16827" t="s">
        <v>34236</v>
      </c>
      <c r="E16827">
        <v>425000</v>
      </c>
      <c r="F16827" t="s">
        <v>1</v>
      </c>
      <c r="G16827" t="s">
        <v>52955</v>
      </c>
      <c r="H16827" t="s">
        <v>53689</v>
      </c>
      <c r="Y16827" t="s">
        <v>56575</v>
      </c>
    </row>
    <row r="16828" spans="1:25" x14ac:dyDescent="0.25">
      <c r="A16828" t="str">
        <f>"55152721365"</f>
        <v>55152721365</v>
      </c>
      <c r="B16828" t="s">
        <v>18</v>
      </c>
      <c r="C16828" t="s">
        <v>56577</v>
      </c>
      <c r="D16828" t="s">
        <v>56576</v>
      </c>
      <c r="E16828">
        <v>425000</v>
      </c>
      <c r="F16828" t="s">
        <v>1</v>
      </c>
      <c r="G16828" t="s">
        <v>52955</v>
      </c>
      <c r="H16828" t="s">
        <v>53132</v>
      </c>
      <c r="Y16828" t="s">
        <v>56578</v>
      </c>
    </row>
    <row r="16829" spans="1:25" x14ac:dyDescent="0.25">
      <c r="A16829" t="str">
        <f>"55293181127"</f>
        <v>55293181127</v>
      </c>
      <c r="B16829" t="s">
        <v>1046</v>
      </c>
      <c r="C16829" t="s">
        <v>22946</v>
      </c>
      <c r="D16829" t="s">
        <v>22946</v>
      </c>
      <c r="F16829" t="s">
        <v>1</v>
      </c>
      <c r="G16829" t="s">
        <v>52955</v>
      </c>
      <c r="H16829" t="s">
        <v>56579</v>
      </c>
      <c r="Y16829" t="s">
        <v>56580</v>
      </c>
    </row>
    <row r="16830" spans="1:25" x14ac:dyDescent="0.25">
      <c r="A16830" t="str">
        <f>"55312869872"</f>
        <v>55312869872</v>
      </c>
      <c r="B16830" t="s">
        <v>18</v>
      </c>
      <c r="C16830" t="s">
        <v>56582</v>
      </c>
      <c r="D16830" t="s">
        <v>56581</v>
      </c>
      <c r="E16830">
        <v>425000</v>
      </c>
      <c r="F16830" t="s">
        <v>1</v>
      </c>
      <c r="G16830" t="s">
        <v>52955</v>
      </c>
      <c r="H16830" t="s">
        <v>53911</v>
      </c>
      <c r="Y16830" t="s">
        <v>56583</v>
      </c>
    </row>
    <row r="16831" spans="1:25" x14ac:dyDescent="0.25">
      <c r="A16831" t="str">
        <f>"55584241075"</f>
        <v>55584241075</v>
      </c>
      <c r="B16831" t="s">
        <v>469</v>
      </c>
      <c r="C16831" t="s">
        <v>470</v>
      </c>
      <c r="D16831" t="s">
        <v>470</v>
      </c>
      <c r="F16831" t="s">
        <v>1</v>
      </c>
      <c r="G16831" t="s">
        <v>52955</v>
      </c>
      <c r="H16831" t="s">
        <v>55243</v>
      </c>
      <c r="Y16831" t="s">
        <v>56584</v>
      </c>
    </row>
    <row r="16832" spans="1:25" x14ac:dyDescent="0.25">
      <c r="A16832" t="str">
        <f>"55591442122"</f>
        <v>55591442122</v>
      </c>
      <c r="B16832" t="s">
        <v>18</v>
      </c>
      <c r="C16832" t="s">
        <v>15327</v>
      </c>
      <c r="D16832" t="s">
        <v>56585</v>
      </c>
      <c r="F16832" t="s">
        <v>1</v>
      </c>
      <c r="G16832" t="s">
        <v>52955</v>
      </c>
      <c r="H16832" t="s">
        <v>55974</v>
      </c>
      <c r="Y16832" t="s">
        <v>56586</v>
      </c>
    </row>
    <row r="16833" spans="1:25" x14ac:dyDescent="0.25">
      <c r="A16833" t="str">
        <f>"55682158075"</f>
        <v>55682158075</v>
      </c>
      <c r="B16833" t="s">
        <v>930</v>
      </c>
      <c r="C16833" t="s">
        <v>16474</v>
      </c>
      <c r="D16833" t="s">
        <v>56587</v>
      </c>
      <c r="E16833">
        <v>425003</v>
      </c>
      <c r="F16833" t="s">
        <v>1</v>
      </c>
      <c r="G16833" t="s">
        <v>52955</v>
      </c>
      <c r="H16833" t="s">
        <v>53392</v>
      </c>
      <c r="I16833" t="s">
        <v>56588</v>
      </c>
      <c r="P16833" t="s">
        <v>799</v>
      </c>
      <c r="Y16833" t="s">
        <v>56589</v>
      </c>
    </row>
    <row r="16834" spans="1:25" x14ac:dyDescent="0.25">
      <c r="A16834" t="str">
        <f>"56053414743"</f>
        <v>56053414743</v>
      </c>
      <c r="B16834" t="s">
        <v>430</v>
      </c>
      <c r="C16834" t="s">
        <v>2431</v>
      </c>
      <c r="D16834" t="s">
        <v>56590</v>
      </c>
      <c r="E16834">
        <v>425000</v>
      </c>
      <c r="F16834" t="s">
        <v>1</v>
      </c>
      <c r="G16834" t="s">
        <v>52955</v>
      </c>
      <c r="H16834" t="s">
        <v>56017</v>
      </c>
      <c r="Y16834" t="s">
        <v>56591</v>
      </c>
    </row>
    <row r="16835" spans="1:25" x14ac:dyDescent="0.25">
      <c r="A16835" t="str">
        <f>"56143618025"</f>
        <v>56143618025</v>
      </c>
      <c r="B16835" t="s">
        <v>430</v>
      </c>
      <c r="C16835" t="s">
        <v>16178</v>
      </c>
      <c r="D16835" t="s">
        <v>2613</v>
      </c>
      <c r="E16835">
        <v>425009</v>
      </c>
      <c r="F16835" t="s">
        <v>1</v>
      </c>
      <c r="G16835" t="s">
        <v>52955</v>
      </c>
      <c r="H16835" t="s">
        <v>53696</v>
      </c>
      <c r="J16835" t="s">
        <v>56592</v>
      </c>
      <c r="P16835" t="s">
        <v>7436</v>
      </c>
      <c r="Y16835" t="s">
        <v>56593</v>
      </c>
    </row>
    <row r="16836" spans="1:25" x14ac:dyDescent="0.25">
      <c r="A16836" t="str">
        <f>"56263885959"</f>
        <v>56263885959</v>
      </c>
      <c r="B16836" t="s">
        <v>117</v>
      </c>
      <c r="C16836" t="s">
        <v>118</v>
      </c>
      <c r="D16836" t="s">
        <v>25382</v>
      </c>
      <c r="F16836" t="s">
        <v>1</v>
      </c>
      <c r="G16836" t="s">
        <v>52955</v>
      </c>
      <c r="H16836" t="s">
        <v>55903</v>
      </c>
      <c r="Y16836" t="s">
        <v>56594</v>
      </c>
    </row>
    <row r="16837" spans="1:25" x14ac:dyDescent="0.25">
      <c r="A16837" t="str">
        <f>"56378966559"</f>
        <v>56378966559</v>
      </c>
      <c r="B16837" t="s">
        <v>10383</v>
      </c>
      <c r="C16837" t="s">
        <v>24146</v>
      </c>
      <c r="D16837" t="s">
        <v>24146</v>
      </c>
      <c r="F16837" t="s">
        <v>1</v>
      </c>
      <c r="G16837" t="s">
        <v>52955</v>
      </c>
      <c r="H16837" t="s">
        <v>56579</v>
      </c>
      <c r="Y16837" t="s">
        <v>56595</v>
      </c>
    </row>
    <row r="16838" spans="1:25" x14ac:dyDescent="0.25">
      <c r="A16838" t="str">
        <f>"56426291795"</f>
        <v>56426291795</v>
      </c>
      <c r="B16838" t="s">
        <v>96</v>
      </c>
      <c r="C16838" t="s">
        <v>507</v>
      </c>
      <c r="D16838" t="s">
        <v>2086</v>
      </c>
      <c r="F16838" t="s">
        <v>1</v>
      </c>
      <c r="G16838" t="s">
        <v>52955</v>
      </c>
      <c r="H16838" t="s">
        <v>54185</v>
      </c>
      <c r="P16838" t="s">
        <v>312</v>
      </c>
      <c r="Y16838" t="s">
        <v>54787</v>
      </c>
    </row>
    <row r="16839" spans="1:25" x14ac:dyDescent="0.25">
      <c r="A16839" t="str">
        <f>"56621490498"</f>
        <v>56621490498</v>
      </c>
      <c r="B16839" t="s">
        <v>978</v>
      </c>
      <c r="C16839" t="s">
        <v>34918</v>
      </c>
      <c r="D16839" t="s">
        <v>56596</v>
      </c>
      <c r="E16839">
        <v>425000</v>
      </c>
      <c r="F16839" t="s">
        <v>1</v>
      </c>
      <c r="G16839" t="s">
        <v>52955</v>
      </c>
      <c r="H16839" t="s">
        <v>52998</v>
      </c>
      <c r="Y16839" t="s">
        <v>56597</v>
      </c>
    </row>
    <row r="16840" spans="1:25" x14ac:dyDescent="0.25">
      <c r="A16840" t="str">
        <f>"56784257038"</f>
        <v>56784257038</v>
      </c>
      <c r="B16840" t="s">
        <v>96</v>
      </c>
      <c r="C16840" t="s">
        <v>5883</v>
      </c>
      <c r="D16840" t="s">
        <v>19130</v>
      </c>
      <c r="F16840" t="s">
        <v>1</v>
      </c>
      <c r="G16840" t="s">
        <v>52955</v>
      </c>
      <c r="H16840" t="s">
        <v>53211</v>
      </c>
      <c r="Y16840" t="s">
        <v>56598</v>
      </c>
    </row>
    <row r="16841" spans="1:25" x14ac:dyDescent="0.25">
      <c r="A16841" t="str">
        <f>"56979131871"</f>
        <v>56979131871</v>
      </c>
      <c r="B16841" t="s">
        <v>430</v>
      </c>
      <c r="C16841" t="s">
        <v>16178</v>
      </c>
      <c r="D16841" t="s">
        <v>56599</v>
      </c>
      <c r="F16841" t="s">
        <v>1</v>
      </c>
      <c r="G16841" t="s">
        <v>52955</v>
      </c>
      <c r="H16841" t="s">
        <v>55514</v>
      </c>
      <c r="Y16841" t="s">
        <v>56600</v>
      </c>
    </row>
    <row r="16842" spans="1:25" x14ac:dyDescent="0.25">
      <c r="A16842" t="str">
        <f>"57017140299"</f>
        <v>57017140299</v>
      </c>
      <c r="B16842" t="s">
        <v>96</v>
      </c>
      <c r="C16842" t="s">
        <v>24042</v>
      </c>
      <c r="D16842" t="s">
        <v>24127</v>
      </c>
      <c r="F16842" t="s">
        <v>1</v>
      </c>
      <c r="G16842" t="s">
        <v>52955</v>
      </c>
      <c r="H16842" t="s">
        <v>56008</v>
      </c>
      <c r="Y16842" t="s">
        <v>56601</v>
      </c>
    </row>
    <row r="16843" spans="1:25" x14ac:dyDescent="0.25">
      <c r="A16843" t="str">
        <f>"57304926418"</f>
        <v>57304926418</v>
      </c>
      <c r="B16843" t="s">
        <v>32</v>
      </c>
      <c r="C16843" t="s">
        <v>182</v>
      </c>
      <c r="D16843" t="s">
        <v>31854</v>
      </c>
      <c r="F16843" t="s">
        <v>1</v>
      </c>
      <c r="G16843" t="s">
        <v>52955</v>
      </c>
      <c r="H16843" t="s">
        <v>54589</v>
      </c>
      <c r="P16843" t="s">
        <v>2050</v>
      </c>
      <c r="Y16843" t="s">
        <v>56602</v>
      </c>
    </row>
    <row r="16844" spans="1:25" x14ac:dyDescent="0.25">
      <c r="A16844" t="str">
        <f>"57546143865"</f>
        <v>57546143865</v>
      </c>
      <c r="B16844" t="s">
        <v>930</v>
      </c>
      <c r="C16844" t="s">
        <v>16474</v>
      </c>
      <c r="D16844" t="s">
        <v>56603</v>
      </c>
      <c r="E16844">
        <v>425000</v>
      </c>
      <c r="F16844" t="s">
        <v>1</v>
      </c>
      <c r="G16844" t="s">
        <v>52955</v>
      </c>
      <c r="H16844" t="s">
        <v>56604</v>
      </c>
      <c r="J16844" t="s">
        <v>56605</v>
      </c>
      <c r="P16844" t="s">
        <v>60</v>
      </c>
      <c r="Y16844" t="s">
        <v>53003</v>
      </c>
    </row>
    <row r="16845" spans="1:25" x14ac:dyDescent="0.25">
      <c r="A16845" t="str">
        <f>"57648936588"</f>
        <v>57648936588</v>
      </c>
      <c r="B16845" t="s">
        <v>319</v>
      </c>
      <c r="C16845" t="s">
        <v>320</v>
      </c>
      <c r="D16845" t="s">
        <v>320</v>
      </c>
      <c r="E16845">
        <v>425009</v>
      </c>
      <c r="F16845" t="s">
        <v>1</v>
      </c>
      <c r="G16845" t="s">
        <v>52955</v>
      </c>
      <c r="H16845" t="s">
        <v>55390</v>
      </c>
      <c r="J16845" t="s">
        <v>56606</v>
      </c>
      <c r="P16845" t="s">
        <v>216</v>
      </c>
      <c r="Y16845" t="s">
        <v>56607</v>
      </c>
    </row>
    <row r="16846" spans="1:25" x14ac:dyDescent="0.25">
      <c r="A16846" t="str">
        <f>"57772754478"</f>
        <v>57772754478</v>
      </c>
      <c r="B16846" t="s">
        <v>18</v>
      </c>
      <c r="C16846" t="s">
        <v>4522</v>
      </c>
      <c r="D16846" t="s">
        <v>4522</v>
      </c>
      <c r="E16846">
        <v>425000</v>
      </c>
      <c r="F16846" t="s">
        <v>1</v>
      </c>
      <c r="G16846" t="s">
        <v>52955</v>
      </c>
      <c r="H16846" t="s">
        <v>56534</v>
      </c>
      <c r="Y16846" t="s">
        <v>56608</v>
      </c>
    </row>
    <row r="16847" spans="1:25" x14ac:dyDescent="0.25">
      <c r="A16847" t="str">
        <f>"57826357993"</f>
        <v>57826357993</v>
      </c>
      <c r="B16847" t="s">
        <v>574</v>
      </c>
      <c r="C16847" t="s">
        <v>646</v>
      </c>
      <c r="D16847" t="s">
        <v>56609</v>
      </c>
      <c r="F16847" t="s">
        <v>1</v>
      </c>
      <c r="G16847" t="s">
        <v>52955</v>
      </c>
      <c r="H16847" t="s">
        <v>56610</v>
      </c>
      <c r="P16847" t="s">
        <v>330</v>
      </c>
      <c r="Y16847" t="s">
        <v>56611</v>
      </c>
    </row>
    <row r="16848" spans="1:25" x14ac:dyDescent="0.25">
      <c r="A16848" t="str">
        <f>"57964985174"</f>
        <v>57964985174</v>
      </c>
      <c r="B16848" t="s">
        <v>574</v>
      </c>
      <c r="C16848" t="s">
        <v>952</v>
      </c>
      <c r="D16848" t="s">
        <v>32407</v>
      </c>
      <c r="F16848" t="s">
        <v>1</v>
      </c>
      <c r="G16848" t="s">
        <v>52955</v>
      </c>
      <c r="H16848" t="s">
        <v>55520</v>
      </c>
      <c r="Y16848" t="s">
        <v>56612</v>
      </c>
    </row>
    <row r="16849" spans="1:25" x14ac:dyDescent="0.25">
      <c r="A16849" t="str">
        <f>"58011245344"</f>
        <v>58011245344</v>
      </c>
      <c r="B16849" t="s">
        <v>1053</v>
      </c>
      <c r="C16849" t="s">
        <v>54091</v>
      </c>
      <c r="D16849" t="s">
        <v>54088</v>
      </c>
      <c r="E16849">
        <v>425000</v>
      </c>
      <c r="F16849" t="s">
        <v>1</v>
      </c>
      <c r="G16849" t="s">
        <v>52955</v>
      </c>
      <c r="H16849" t="s">
        <v>53936</v>
      </c>
      <c r="I16849" t="s">
        <v>56613</v>
      </c>
      <c r="Y16849" t="s">
        <v>56614</v>
      </c>
    </row>
    <row r="16850" spans="1:25" x14ac:dyDescent="0.25">
      <c r="A16850" t="str">
        <f>"58286547796"</f>
        <v>58286547796</v>
      </c>
      <c r="B16850" t="s">
        <v>176</v>
      </c>
      <c r="C16850" t="s">
        <v>566</v>
      </c>
      <c r="D16850" t="s">
        <v>56615</v>
      </c>
      <c r="E16850">
        <v>425000</v>
      </c>
      <c r="F16850" t="s">
        <v>1</v>
      </c>
      <c r="G16850" t="s">
        <v>52955</v>
      </c>
      <c r="H16850" t="s">
        <v>56616</v>
      </c>
      <c r="I16850" t="s">
        <v>56617</v>
      </c>
      <c r="J16850" t="s">
        <v>56618</v>
      </c>
      <c r="L16850" t="s">
        <v>56619</v>
      </c>
      <c r="M16850" t="s">
        <v>56620</v>
      </c>
      <c r="P16850" t="s">
        <v>330</v>
      </c>
      <c r="Q16850" t="s">
        <v>56621</v>
      </c>
      <c r="V16850" t="s">
        <v>56622</v>
      </c>
      <c r="Y16850" t="s">
        <v>56623</v>
      </c>
    </row>
    <row r="16851" spans="1:25" x14ac:dyDescent="0.25">
      <c r="A16851" t="str">
        <f>"58411366319"</f>
        <v>58411366319</v>
      </c>
      <c r="B16851" t="s">
        <v>687</v>
      </c>
      <c r="C16851" t="s">
        <v>56629</v>
      </c>
      <c r="D16851" t="s">
        <v>56624</v>
      </c>
      <c r="E16851">
        <v>425000</v>
      </c>
      <c r="F16851" t="s">
        <v>1</v>
      </c>
      <c r="G16851" t="s">
        <v>52955</v>
      </c>
      <c r="H16851" t="s">
        <v>56625</v>
      </c>
      <c r="I16851" t="s">
        <v>56626</v>
      </c>
      <c r="L16851" t="s">
        <v>56627</v>
      </c>
      <c r="M16851" t="s">
        <v>56628</v>
      </c>
      <c r="P16851" t="s">
        <v>2438</v>
      </c>
      <c r="Y16851" t="s">
        <v>55803</v>
      </c>
    </row>
    <row r="16852" spans="1:25" x14ac:dyDescent="0.25">
      <c r="A16852" t="str">
        <f>"58722240354"</f>
        <v>58722240354</v>
      </c>
      <c r="B16852" t="s">
        <v>7312</v>
      </c>
      <c r="C16852" t="s">
        <v>21136</v>
      </c>
      <c r="D16852" t="s">
        <v>56630</v>
      </c>
      <c r="E16852">
        <v>425011</v>
      </c>
      <c r="F16852" t="s">
        <v>1</v>
      </c>
      <c r="G16852" t="s">
        <v>52955</v>
      </c>
      <c r="H16852" t="s">
        <v>55025</v>
      </c>
      <c r="Y16852" t="s">
        <v>56631</v>
      </c>
    </row>
    <row r="16853" spans="1:25" x14ac:dyDescent="0.25">
      <c r="A16853" t="str">
        <f>"58827211072"</f>
        <v>58827211072</v>
      </c>
      <c r="B16853" t="s">
        <v>18</v>
      </c>
      <c r="C16853" t="s">
        <v>56633</v>
      </c>
      <c r="D16853" t="s">
        <v>26633</v>
      </c>
      <c r="E16853">
        <v>425000</v>
      </c>
      <c r="F16853" t="s">
        <v>1</v>
      </c>
      <c r="G16853" t="s">
        <v>52955</v>
      </c>
      <c r="H16853" t="s">
        <v>56632</v>
      </c>
      <c r="Y16853" t="s">
        <v>54367</v>
      </c>
    </row>
    <row r="16854" spans="1:25" x14ac:dyDescent="0.25">
      <c r="A16854" t="str">
        <f>"59330391309"</f>
        <v>59330391309</v>
      </c>
      <c r="B16854" t="s">
        <v>352</v>
      </c>
      <c r="C16854" t="s">
        <v>56635</v>
      </c>
      <c r="D16854" t="s">
        <v>56634</v>
      </c>
      <c r="E16854">
        <v>425000</v>
      </c>
      <c r="F16854" t="s">
        <v>1</v>
      </c>
      <c r="G16854" t="s">
        <v>52955</v>
      </c>
      <c r="H16854" t="s">
        <v>53093</v>
      </c>
      <c r="P16854" t="s">
        <v>27</v>
      </c>
      <c r="Y16854" t="s">
        <v>56636</v>
      </c>
    </row>
    <row r="16855" spans="1:25" x14ac:dyDescent="0.25">
      <c r="A16855" t="str">
        <f>"59637470669"</f>
        <v>59637470669</v>
      </c>
      <c r="B16855" t="s">
        <v>574</v>
      </c>
      <c r="C16855" t="s">
        <v>8436</v>
      </c>
      <c r="D16855" t="s">
        <v>56637</v>
      </c>
      <c r="F16855" t="s">
        <v>1</v>
      </c>
      <c r="G16855" t="s">
        <v>52955</v>
      </c>
      <c r="H16855" t="s">
        <v>56098</v>
      </c>
      <c r="P16855" t="s">
        <v>330</v>
      </c>
      <c r="Y16855" t="s">
        <v>56638</v>
      </c>
    </row>
    <row r="16856" spans="1:25" x14ac:dyDescent="0.25">
      <c r="A16856" t="str">
        <f>"59952039303"</f>
        <v>59952039303</v>
      </c>
      <c r="B16856" t="s">
        <v>96</v>
      </c>
      <c r="C16856" t="s">
        <v>12339</v>
      </c>
      <c r="D16856" t="s">
        <v>56639</v>
      </c>
      <c r="E16856">
        <v>425003</v>
      </c>
      <c r="F16856" t="s">
        <v>1</v>
      </c>
      <c r="G16856" t="s">
        <v>52955</v>
      </c>
      <c r="H16856" t="s">
        <v>55414</v>
      </c>
      <c r="J16856" t="s">
        <v>56640</v>
      </c>
      <c r="V16856" t="s">
        <v>56641</v>
      </c>
      <c r="Y16856" t="s">
        <v>55416</v>
      </c>
    </row>
    <row r="16857" spans="1:25" x14ac:dyDescent="0.25">
      <c r="A16857" t="str">
        <f>"60064529407"</f>
        <v>60064529407</v>
      </c>
      <c r="B16857" t="s">
        <v>224</v>
      </c>
      <c r="C16857" t="s">
        <v>4397</v>
      </c>
      <c r="D16857" t="s">
        <v>4397</v>
      </c>
      <c r="E16857">
        <v>425000</v>
      </c>
      <c r="F16857" t="s">
        <v>1</v>
      </c>
      <c r="G16857" t="s">
        <v>52955</v>
      </c>
      <c r="H16857" t="s">
        <v>53911</v>
      </c>
      <c r="Y16857" t="s">
        <v>56642</v>
      </c>
    </row>
    <row r="16858" spans="1:25" x14ac:dyDescent="0.25">
      <c r="A16858" t="str">
        <f>"60145939509"</f>
        <v>60145939509</v>
      </c>
      <c r="B16858" t="s">
        <v>3700</v>
      </c>
      <c r="C16858" t="s">
        <v>29501</v>
      </c>
      <c r="D16858" t="s">
        <v>56643</v>
      </c>
      <c r="E16858">
        <v>425011</v>
      </c>
      <c r="F16858" t="s">
        <v>1</v>
      </c>
      <c r="G16858" t="s">
        <v>52955</v>
      </c>
      <c r="H16858" t="s">
        <v>53457</v>
      </c>
      <c r="Y16858" t="s">
        <v>56644</v>
      </c>
    </row>
    <row r="16859" spans="1:25" x14ac:dyDescent="0.25">
      <c r="A16859" t="str">
        <f>"60298921250"</f>
        <v>60298921250</v>
      </c>
      <c r="B16859" t="s">
        <v>687</v>
      </c>
      <c r="C16859" t="s">
        <v>5413</v>
      </c>
      <c r="D16859" t="s">
        <v>5413</v>
      </c>
      <c r="F16859" t="s">
        <v>1</v>
      </c>
      <c r="G16859" t="s">
        <v>52955</v>
      </c>
      <c r="H16859" t="s">
        <v>55608</v>
      </c>
      <c r="Y16859" t="s">
        <v>56645</v>
      </c>
    </row>
    <row r="16860" spans="1:25" x14ac:dyDescent="0.25">
      <c r="A16860" t="str">
        <f>"60325281413"</f>
        <v>60325281413</v>
      </c>
      <c r="B16860" t="s">
        <v>574</v>
      </c>
      <c r="C16860" t="s">
        <v>646</v>
      </c>
      <c r="D16860" t="s">
        <v>56646</v>
      </c>
      <c r="E16860">
        <v>425011</v>
      </c>
      <c r="F16860" t="s">
        <v>1</v>
      </c>
      <c r="G16860" t="s">
        <v>52955</v>
      </c>
      <c r="H16860" t="s">
        <v>53507</v>
      </c>
      <c r="P16860" t="s">
        <v>56647</v>
      </c>
      <c r="Y16860" t="s">
        <v>56648</v>
      </c>
    </row>
    <row r="16861" spans="1:25" x14ac:dyDescent="0.25">
      <c r="A16861" t="str">
        <f>"60600085900"</f>
        <v>60600085900</v>
      </c>
      <c r="B16861" t="s">
        <v>176</v>
      </c>
      <c r="C16861" t="s">
        <v>15816</v>
      </c>
      <c r="D16861" t="s">
        <v>56649</v>
      </c>
      <c r="E16861">
        <v>425000</v>
      </c>
      <c r="F16861" t="s">
        <v>1</v>
      </c>
      <c r="G16861" t="s">
        <v>52955</v>
      </c>
      <c r="H16861" t="s">
        <v>53145</v>
      </c>
      <c r="I16861" t="s">
        <v>56650</v>
      </c>
      <c r="M16861" t="s">
        <v>56651</v>
      </c>
      <c r="P16861" t="s">
        <v>330</v>
      </c>
      <c r="Q16861" t="s">
        <v>56652</v>
      </c>
      <c r="Y16861" t="s">
        <v>53149</v>
      </c>
    </row>
    <row r="16862" spans="1:25" x14ac:dyDescent="0.25">
      <c r="A16862" t="str">
        <f>"60633426098"</f>
        <v>60633426098</v>
      </c>
      <c r="B16862" t="s">
        <v>624</v>
      </c>
      <c r="C16862" t="s">
        <v>56655</v>
      </c>
      <c r="D16862" t="s">
        <v>56653</v>
      </c>
      <c r="E16862">
        <v>425009</v>
      </c>
      <c r="F16862" t="s">
        <v>1</v>
      </c>
      <c r="G16862" t="s">
        <v>52955</v>
      </c>
      <c r="H16862" t="s">
        <v>55436</v>
      </c>
      <c r="J16862" t="s">
        <v>56654</v>
      </c>
      <c r="P16862" t="s">
        <v>1160</v>
      </c>
      <c r="Q16862" t="s">
        <v>56656</v>
      </c>
      <c r="Y16862" t="s">
        <v>56657</v>
      </c>
    </row>
    <row r="16863" spans="1:25" x14ac:dyDescent="0.25">
      <c r="A16863" t="str">
        <f>"60812527564"</f>
        <v>60812527564</v>
      </c>
      <c r="B16863" t="s">
        <v>1046</v>
      </c>
      <c r="C16863" t="s">
        <v>22946</v>
      </c>
      <c r="D16863" t="s">
        <v>22946</v>
      </c>
      <c r="E16863">
        <v>425008</v>
      </c>
      <c r="F16863" t="s">
        <v>1</v>
      </c>
      <c r="G16863" t="s">
        <v>52955</v>
      </c>
      <c r="H16863" t="s">
        <v>56658</v>
      </c>
      <c r="Y16863" t="s">
        <v>56659</v>
      </c>
    </row>
    <row r="16864" spans="1:25" x14ac:dyDescent="0.25">
      <c r="A16864" t="str">
        <f>"61017001409"</f>
        <v>61017001409</v>
      </c>
      <c r="B16864" t="s">
        <v>574</v>
      </c>
      <c r="C16864" t="s">
        <v>646</v>
      </c>
      <c r="D16864" t="s">
        <v>56660</v>
      </c>
      <c r="E16864">
        <v>425008</v>
      </c>
      <c r="F16864" t="s">
        <v>1</v>
      </c>
      <c r="G16864" t="s">
        <v>52955</v>
      </c>
      <c r="H16864" t="s">
        <v>55156</v>
      </c>
      <c r="Y16864" t="s">
        <v>56661</v>
      </c>
    </row>
    <row r="16865" spans="1:25" x14ac:dyDescent="0.25">
      <c r="A16865" t="str">
        <f>"61099252567"</f>
        <v>61099252567</v>
      </c>
      <c r="B16865" t="s">
        <v>574</v>
      </c>
      <c r="C16865" t="s">
        <v>56664</v>
      </c>
      <c r="D16865" t="s">
        <v>56662</v>
      </c>
      <c r="E16865">
        <v>425009</v>
      </c>
      <c r="F16865" t="s">
        <v>1</v>
      </c>
      <c r="G16865" t="s">
        <v>52955</v>
      </c>
      <c r="H16865" t="s">
        <v>55663</v>
      </c>
      <c r="J16865" t="s">
        <v>56663</v>
      </c>
      <c r="P16865" t="s">
        <v>1642</v>
      </c>
      <c r="Y16865" t="s">
        <v>56665</v>
      </c>
    </row>
    <row r="16866" spans="1:25" x14ac:dyDescent="0.25">
      <c r="A16866" t="str">
        <f>"61189397488"</f>
        <v>61189397488</v>
      </c>
      <c r="B16866" t="s">
        <v>96</v>
      </c>
      <c r="C16866" t="s">
        <v>893</v>
      </c>
      <c r="D16866" t="s">
        <v>3493</v>
      </c>
      <c r="F16866" t="s">
        <v>1</v>
      </c>
      <c r="G16866" t="s">
        <v>52955</v>
      </c>
      <c r="H16866" t="s">
        <v>53198</v>
      </c>
      <c r="Y16866" t="s">
        <v>56666</v>
      </c>
    </row>
    <row r="16867" spans="1:25" x14ac:dyDescent="0.25">
      <c r="A16867" t="str">
        <f>"61206686932"</f>
        <v>61206686932</v>
      </c>
      <c r="B16867" t="s">
        <v>25</v>
      </c>
      <c r="C16867" t="s">
        <v>4458</v>
      </c>
      <c r="D16867" t="s">
        <v>1050</v>
      </c>
      <c r="F16867" t="s">
        <v>1</v>
      </c>
      <c r="G16867" t="s">
        <v>52955</v>
      </c>
      <c r="H16867" t="s">
        <v>56667</v>
      </c>
      <c r="Y16867" t="s">
        <v>56668</v>
      </c>
    </row>
    <row r="16868" spans="1:25" x14ac:dyDescent="0.25">
      <c r="A16868" t="str">
        <f>"61447240228"</f>
        <v>61447240228</v>
      </c>
      <c r="B16868" t="s">
        <v>2474</v>
      </c>
      <c r="C16868" t="s">
        <v>2475</v>
      </c>
      <c r="D16868" t="s">
        <v>56669</v>
      </c>
      <c r="E16868">
        <v>425000</v>
      </c>
      <c r="F16868" t="s">
        <v>1</v>
      </c>
      <c r="G16868" t="s">
        <v>52955</v>
      </c>
      <c r="H16868" t="s">
        <v>53132</v>
      </c>
      <c r="Y16868" t="s">
        <v>56670</v>
      </c>
    </row>
    <row r="16869" spans="1:25" x14ac:dyDescent="0.25">
      <c r="A16869" t="str">
        <f>"61655905631"</f>
        <v>61655905631</v>
      </c>
      <c r="B16869" t="s">
        <v>574</v>
      </c>
      <c r="C16869" t="s">
        <v>646</v>
      </c>
      <c r="D16869" t="s">
        <v>56671</v>
      </c>
      <c r="E16869">
        <v>425000</v>
      </c>
      <c r="F16869" t="s">
        <v>1</v>
      </c>
      <c r="G16869" t="s">
        <v>52955</v>
      </c>
      <c r="H16869" t="s">
        <v>56672</v>
      </c>
      <c r="Y16869" t="s">
        <v>56673</v>
      </c>
    </row>
    <row r="16870" spans="1:25" x14ac:dyDescent="0.25">
      <c r="A16870" t="str">
        <f>"62537454465"</f>
        <v>62537454465</v>
      </c>
      <c r="B16870" t="s">
        <v>3652</v>
      </c>
      <c r="C16870" t="s">
        <v>3685</v>
      </c>
      <c r="D16870" t="s">
        <v>54181</v>
      </c>
      <c r="E16870">
        <v>425000</v>
      </c>
      <c r="F16870" t="s">
        <v>1</v>
      </c>
      <c r="G16870" t="s">
        <v>52955</v>
      </c>
      <c r="H16870" t="s">
        <v>56674</v>
      </c>
      <c r="Y16870" t="s">
        <v>56675</v>
      </c>
    </row>
    <row r="16871" spans="1:25" x14ac:dyDescent="0.25">
      <c r="A16871" t="str">
        <f>"62838758834"</f>
        <v>62838758834</v>
      </c>
      <c r="B16871" t="s">
        <v>176</v>
      </c>
      <c r="C16871" t="s">
        <v>279</v>
      </c>
      <c r="D16871" t="s">
        <v>279</v>
      </c>
      <c r="E16871">
        <v>425008</v>
      </c>
      <c r="F16871" t="s">
        <v>1</v>
      </c>
      <c r="G16871" t="s">
        <v>52955</v>
      </c>
      <c r="H16871" t="s">
        <v>55417</v>
      </c>
      <c r="P16871" t="s">
        <v>330</v>
      </c>
      <c r="Y16871" t="s">
        <v>55419</v>
      </c>
    </row>
    <row r="16872" spans="1:25" x14ac:dyDescent="0.25">
      <c r="A16872" t="str">
        <f>"63155441652"</f>
        <v>63155441652</v>
      </c>
      <c r="B16872" t="s">
        <v>2677</v>
      </c>
      <c r="C16872" t="s">
        <v>56679</v>
      </c>
      <c r="D16872" t="s">
        <v>56676</v>
      </c>
      <c r="F16872" t="s">
        <v>1</v>
      </c>
      <c r="G16872" t="s">
        <v>52955</v>
      </c>
      <c r="H16872" t="s">
        <v>56677</v>
      </c>
      <c r="J16872" t="s">
        <v>56678</v>
      </c>
      <c r="Q16872" t="s">
        <v>56680</v>
      </c>
      <c r="Y16872" t="s">
        <v>56681</v>
      </c>
    </row>
    <row r="16873" spans="1:25" x14ac:dyDescent="0.25">
      <c r="A16873" t="str">
        <f>"63326826594"</f>
        <v>63326826594</v>
      </c>
      <c r="B16873" t="s">
        <v>88</v>
      </c>
      <c r="C16873" t="s">
        <v>6066</v>
      </c>
      <c r="D16873" t="s">
        <v>25323</v>
      </c>
      <c r="F16873" t="s">
        <v>1</v>
      </c>
      <c r="G16873" t="s">
        <v>52955</v>
      </c>
      <c r="H16873" t="s">
        <v>53215</v>
      </c>
      <c r="Y16873" t="s">
        <v>56682</v>
      </c>
    </row>
    <row r="16874" spans="1:25" x14ac:dyDescent="0.25">
      <c r="A16874" t="str">
        <f>"63657075781"</f>
        <v>63657075781</v>
      </c>
      <c r="B16874" t="s">
        <v>96</v>
      </c>
      <c r="C16874" t="s">
        <v>56684</v>
      </c>
      <c r="D16874" t="s">
        <v>56683</v>
      </c>
      <c r="E16874">
        <v>425009</v>
      </c>
      <c r="F16874" t="s">
        <v>1</v>
      </c>
      <c r="G16874" t="s">
        <v>52955</v>
      </c>
      <c r="H16874" t="s">
        <v>55921</v>
      </c>
      <c r="Y16874" t="s">
        <v>56685</v>
      </c>
    </row>
    <row r="16875" spans="1:25" x14ac:dyDescent="0.25">
      <c r="A16875" t="str">
        <f>"63676954883"</f>
        <v>63676954883</v>
      </c>
      <c r="B16875" t="s">
        <v>2062</v>
      </c>
      <c r="C16875" t="s">
        <v>3293</v>
      </c>
      <c r="D16875" t="s">
        <v>2062</v>
      </c>
      <c r="E16875">
        <v>425000</v>
      </c>
      <c r="F16875" t="s">
        <v>1</v>
      </c>
      <c r="G16875" t="s">
        <v>52955</v>
      </c>
      <c r="H16875" t="s">
        <v>53132</v>
      </c>
      <c r="Y16875" t="s">
        <v>56686</v>
      </c>
    </row>
    <row r="16876" spans="1:25" x14ac:dyDescent="0.25">
      <c r="A16876" t="str">
        <f>"63839959737"</f>
        <v>63839959737</v>
      </c>
      <c r="B16876" t="s">
        <v>574</v>
      </c>
      <c r="C16876" t="s">
        <v>29962</v>
      </c>
      <c r="D16876" t="s">
        <v>21574</v>
      </c>
      <c r="F16876" t="s">
        <v>1</v>
      </c>
      <c r="G16876" t="s">
        <v>52955</v>
      </c>
      <c r="H16876" t="s">
        <v>53105</v>
      </c>
      <c r="J16876" t="s">
        <v>56687</v>
      </c>
      <c r="P16876" t="s">
        <v>1071</v>
      </c>
      <c r="Y16876" t="s">
        <v>53108</v>
      </c>
    </row>
    <row r="16877" spans="1:25" x14ac:dyDescent="0.25">
      <c r="A16877" t="str">
        <f>"64004350876"</f>
        <v>64004350876</v>
      </c>
      <c r="B16877" t="s">
        <v>328</v>
      </c>
      <c r="C16877" t="s">
        <v>1920</v>
      </c>
      <c r="D16877" t="s">
        <v>56688</v>
      </c>
      <c r="E16877">
        <v>425003</v>
      </c>
      <c r="F16877" t="s">
        <v>1</v>
      </c>
      <c r="G16877" t="s">
        <v>52955</v>
      </c>
      <c r="H16877" t="s">
        <v>53610</v>
      </c>
      <c r="Y16877" t="s">
        <v>56689</v>
      </c>
    </row>
    <row r="16878" spans="1:25" x14ac:dyDescent="0.25">
      <c r="A16878" t="str">
        <f>"64027048257"</f>
        <v>64027048257</v>
      </c>
      <c r="B16878" t="s">
        <v>25664</v>
      </c>
      <c r="C16878" t="s">
        <v>25665</v>
      </c>
      <c r="D16878" t="s">
        <v>56690</v>
      </c>
      <c r="F16878" t="s">
        <v>1</v>
      </c>
      <c r="G16878" t="s">
        <v>52955</v>
      </c>
      <c r="H16878" t="s">
        <v>56691</v>
      </c>
      <c r="Y16878" t="s">
        <v>56692</v>
      </c>
    </row>
    <row r="16879" spans="1:25" x14ac:dyDescent="0.25">
      <c r="A16879" t="str">
        <f>"64044478336"</f>
        <v>64044478336</v>
      </c>
      <c r="B16879" t="s">
        <v>1299</v>
      </c>
      <c r="C16879" t="s">
        <v>11500</v>
      </c>
      <c r="D16879" t="s">
        <v>56693</v>
      </c>
      <c r="E16879">
        <v>425000</v>
      </c>
      <c r="F16879" t="s">
        <v>1</v>
      </c>
      <c r="G16879" t="s">
        <v>52955</v>
      </c>
      <c r="H16879" t="s">
        <v>53093</v>
      </c>
      <c r="Y16879" t="s">
        <v>53099</v>
      </c>
    </row>
    <row r="16880" spans="1:25" x14ac:dyDescent="0.25">
      <c r="A16880" t="str">
        <f>"64085430277"</f>
        <v>64085430277</v>
      </c>
      <c r="B16880" t="s">
        <v>1061</v>
      </c>
      <c r="C16880" t="s">
        <v>26953</v>
      </c>
      <c r="D16880" t="s">
        <v>56694</v>
      </c>
      <c r="E16880">
        <v>425000</v>
      </c>
      <c r="F16880" t="s">
        <v>1</v>
      </c>
      <c r="G16880" t="s">
        <v>52955</v>
      </c>
      <c r="H16880" t="s">
        <v>52998</v>
      </c>
      <c r="Y16880" t="s">
        <v>56695</v>
      </c>
    </row>
    <row r="16881" spans="1:25" x14ac:dyDescent="0.25">
      <c r="A16881" t="str">
        <f>"64260848825"</f>
        <v>64260848825</v>
      </c>
      <c r="B16881" t="s">
        <v>10383</v>
      </c>
      <c r="C16881" t="s">
        <v>24146</v>
      </c>
      <c r="D16881" t="s">
        <v>24146</v>
      </c>
      <c r="E16881">
        <v>425005</v>
      </c>
      <c r="F16881" t="s">
        <v>1</v>
      </c>
      <c r="G16881" t="s">
        <v>52955</v>
      </c>
      <c r="H16881" t="s">
        <v>54113</v>
      </c>
      <c r="Y16881" t="s">
        <v>56696</v>
      </c>
    </row>
    <row r="16882" spans="1:25" x14ac:dyDescent="0.25">
      <c r="A16882" t="str">
        <f>"64834875792"</f>
        <v>64834875792</v>
      </c>
      <c r="B16882" t="s">
        <v>32</v>
      </c>
      <c r="C16882" t="s">
        <v>777</v>
      </c>
      <c r="D16882" t="s">
        <v>56697</v>
      </c>
      <c r="E16882">
        <v>425000</v>
      </c>
      <c r="F16882" t="s">
        <v>1</v>
      </c>
      <c r="G16882" t="s">
        <v>52955</v>
      </c>
      <c r="H16882" t="s">
        <v>55251</v>
      </c>
      <c r="J16882" t="s">
        <v>56698</v>
      </c>
      <c r="P16882" t="s">
        <v>2050</v>
      </c>
      <c r="Q16882" t="s">
        <v>56699</v>
      </c>
      <c r="Y16882" t="s">
        <v>56146</v>
      </c>
    </row>
    <row r="16883" spans="1:25" x14ac:dyDescent="0.25">
      <c r="A16883" t="str">
        <f>"65075862579"</f>
        <v>65075862579</v>
      </c>
      <c r="B16883" t="s">
        <v>290</v>
      </c>
      <c r="C16883" t="s">
        <v>11114</v>
      </c>
      <c r="D16883" t="s">
        <v>56700</v>
      </c>
      <c r="E16883">
        <v>425011</v>
      </c>
      <c r="F16883" t="s">
        <v>1</v>
      </c>
      <c r="G16883" t="s">
        <v>52955</v>
      </c>
      <c r="H16883" t="s">
        <v>53507</v>
      </c>
      <c r="P16883" t="s">
        <v>647</v>
      </c>
      <c r="Y16883" t="s">
        <v>56701</v>
      </c>
    </row>
    <row r="16884" spans="1:25" x14ac:dyDescent="0.25">
      <c r="A16884" t="str">
        <f>"65185581238"</f>
        <v>65185581238</v>
      </c>
      <c r="B16884" t="s">
        <v>790</v>
      </c>
      <c r="C16884" t="s">
        <v>56703</v>
      </c>
      <c r="D16884" t="s">
        <v>10926</v>
      </c>
      <c r="F16884" t="s">
        <v>1</v>
      </c>
      <c r="G16884" t="s">
        <v>52955</v>
      </c>
      <c r="H16884" t="s">
        <v>53727</v>
      </c>
      <c r="J16884" t="s">
        <v>56702</v>
      </c>
      <c r="P16884" t="s">
        <v>16441</v>
      </c>
      <c r="Y16884" t="s">
        <v>56704</v>
      </c>
    </row>
    <row r="16885" spans="1:25" x14ac:dyDescent="0.25">
      <c r="A16885" t="str">
        <f>"65649837673"</f>
        <v>65649837673</v>
      </c>
      <c r="B16885" t="s">
        <v>574</v>
      </c>
      <c r="C16885" t="s">
        <v>9802</v>
      </c>
      <c r="D16885" t="s">
        <v>5413</v>
      </c>
      <c r="F16885" t="s">
        <v>1</v>
      </c>
      <c r="G16885" t="s">
        <v>52955</v>
      </c>
      <c r="H16885" t="s">
        <v>53727</v>
      </c>
      <c r="Y16885" t="s">
        <v>56705</v>
      </c>
    </row>
    <row r="16886" spans="1:25" x14ac:dyDescent="0.25">
      <c r="A16886" t="str">
        <f>"65693927983"</f>
        <v>65693927983</v>
      </c>
      <c r="B16886" t="s">
        <v>348</v>
      </c>
      <c r="C16886" t="s">
        <v>49657</v>
      </c>
      <c r="D16886" t="s">
        <v>56706</v>
      </c>
      <c r="F16886" t="s">
        <v>1</v>
      </c>
      <c r="G16886" t="s">
        <v>52955</v>
      </c>
      <c r="H16886" t="s">
        <v>56707</v>
      </c>
      <c r="J16886" t="s">
        <v>56708</v>
      </c>
      <c r="L16886" t="s">
        <v>56709</v>
      </c>
      <c r="P16886" t="s">
        <v>56710</v>
      </c>
      <c r="Q16886" t="s">
        <v>56711</v>
      </c>
      <c r="Y16886" t="s">
        <v>56712</v>
      </c>
    </row>
    <row r="16887" spans="1:25" x14ac:dyDescent="0.25">
      <c r="A16887" t="str">
        <f>"66272479575"</f>
        <v>66272479575</v>
      </c>
      <c r="B16887" t="s">
        <v>290</v>
      </c>
      <c r="C16887" t="s">
        <v>290</v>
      </c>
      <c r="D16887" t="s">
        <v>53109</v>
      </c>
      <c r="E16887">
        <v>425000</v>
      </c>
      <c r="F16887" t="s">
        <v>1</v>
      </c>
      <c r="G16887" t="s">
        <v>52955</v>
      </c>
      <c r="H16887" t="s">
        <v>52998</v>
      </c>
      <c r="Y16887" t="s">
        <v>56713</v>
      </c>
    </row>
    <row r="16888" spans="1:25" x14ac:dyDescent="0.25">
      <c r="A16888" t="str">
        <f>"66530811674"</f>
        <v>66530811674</v>
      </c>
      <c r="B16888" t="s">
        <v>176</v>
      </c>
      <c r="C16888" t="s">
        <v>566</v>
      </c>
      <c r="D16888" t="s">
        <v>56714</v>
      </c>
      <c r="E16888">
        <v>425000</v>
      </c>
      <c r="F16888" t="s">
        <v>1</v>
      </c>
      <c r="G16888" t="s">
        <v>52955</v>
      </c>
      <c r="H16888" t="s">
        <v>56715</v>
      </c>
      <c r="Y16888" t="s">
        <v>56716</v>
      </c>
    </row>
    <row r="16889" spans="1:25" x14ac:dyDescent="0.25">
      <c r="A16889" t="str">
        <f>"67137458485"</f>
        <v>67137458485</v>
      </c>
      <c r="B16889" t="s">
        <v>1152</v>
      </c>
      <c r="C16889" t="s">
        <v>56717</v>
      </c>
      <c r="D16889" t="s">
        <v>1152</v>
      </c>
      <c r="F16889" t="s">
        <v>1</v>
      </c>
      <c r="G16889" t="s">
        <v>52955</v>
      </c>
      <c r="H16889" t="s">
        <v>55724</v>
      </c>
      <c r="Y16889" t="s">
        <v>56718</v>
      </c>
    </row>
    <row r="16890" spans="1:25" x14ac:dyDescent="0.25">
      <c r="A16890" t="str">
        <f>"67154663941"</f>
        <v>67154663941</v>
      </c>
      <c r="B16890" t="s">
        <v>930</v>
      </c>
      <c r="C16890" t="s">
        <v>10263</v>
      </c>
      <c r="D16890" t="s">
        <v>2691</v>
      </c>
      <c r="F16890" t="s">
        <v>1</v>
      </c>
      <c r="G16890" t="s">
        <v>52955</v>
      </c>
      <c r="H16890" t="s">
        <v>56085</v>
      </c>
      <c r="Y16890" t="s">
        <v>56719</v>
      </c>
    </row>
    <row r="16891" spans="1:25" x14ac:dyDescent="0.25">
      <c r="A16891" t="str">
        <f>"67179756796"</f>
        <v>67179756796</v>
      </c>
      <c r="B16891" t="s">
        <v>574</v>
      </c>
      <c r="C16891" t="s">
        <v>646</v>
      </c>
      <c r="D16891" t="s">
        <v>56720</v>
      </c>
      <c r="E16891">
        <v>425000</v>
      </c>
      <c r="F16891" t="s">
        <v>1</v>
      </c>
      <c r="G16891" t="s">
        <v>52955</v>
      </c>
      <c r="H16891" t="s">
        <v>54582</v>
      </c>
      <c r="Y16891" t="s">
        <v>56721</v>
      </c>
    </row>
    <row r="16892" spans="1:25" x14ac:dyDescent="0.25">
      <c r="A16892" t="str">
        <f>"67208017338"</f>
        <v>67208017338</v>
      </c>
      <c r="B16892" t="s">
        <v>5840</v>
      </c>
      <c r="C16892" t="s">
        <v>43723</v>
      </c>
      <c r="D16892" t="s">
        <v>56722</v>
      </c>
      <c r="E16892">
        <v>425000</v>
      </c>
      <c r="F16892" t="s">
        <v>1</v>
      </c>
      <c r="G16892" t="s">
        <v>52955</v>
      </c>
      <c r="H16892" t="s">
        <v>54421</v>
      </c>
      <c r="J16892" t="s">
        <v>56723</v>
      </c>
      <c r="L16892" t="s">
        <v>56724</v>
      </c>
      <c r="M16892" t="s">
        <v>56725</v>
      </c>
      <c r="P16892" t="s">
        <v>216</v>
      </c>
      <c r="Q16892" t="s">
        <v>56726</v>
      </c>
      <c r="Y16892" t="s">
        <v>54423</v>
      </c>
    </row>
    <row r="16893" spans="1:25" x14ac:dyDescent="0.25">
      <c r="A16893" t="str">
        <f>"68057134308"</f>
        <v>68057134308</v>
      </c>
      <c r="B16893" t="s">
        <v>1046</v>
      </c>
      <c r="C16893" t="s">
        <v>56728</v>
      </c>
      <c r="D16893" t="s">
        <v>3041</v>
      </c>
      <c r="E16893">
        <v>425001</v>
      </c>
      <c r="F16893" t="s">
        <v>1</v>
      </c>
      <c r="G16893" t="s">
        <v>52955</v>
      </c>
      <c r="H16893" t="s">
        <v>56727</v>
      </c>
      <c r="J16893" t="s">
        <v>56547</v>
      </c>
      <c r="P16893" t="s">
        <v>330</v>
      </c>
      <c r="Y16893" t="s">
        <v>56729</v>
      </c>
    </row>
    <row r="16894" spans="1:25" x14ac:dyDescent="0.25">
      <c r="A16894" t="str">
        <f>"68243589970"</f>
        <v>68243589970</v>
      </c>
      <c r="B16894" t="s">
        <v>1544</v>
      </c>
      <c r="C16894" t="s">
        <v>7974</v>
      </c>
      <c r="D16894" t="s">
        <v>56730</v>
      </c>
      <c r="F16894" t="s">
        <v>1</v>
      </c>
      <c r="G16894" t="s">
        <v>52955</v>
      </c>
      <c r="H16894" t="s">
        <v>56731</v>
      </c>
      <c r="Y16894" t="s">
        <v>56732</v>
      </c>
    </row>
    <row r="16895" spans="1:25" x14ac:dyDescent="0.25">
      <c r="A16895" t="str">
        <f>"68364228492"</f>
        <v>68364228492</v>
      </c>
      <c r="B16895" t="s">
        <v>348</v>
      </c>
      <c r="C16895" t="s">
        <v>28855</v>
      </c>
      <c r="D16895" t="s">
        <v>56733</v>
      </c>
      <c r="E16895">
        <v>425001</v>
      </c>
      <c r="F16895" t="s">
        <v>1</v>
      </c>
      <c r="G16895" t="s">
        <v>52955</v>
      </c>
      <c r="H16895" t="s">
        <v>53465</v>
      </c>
      <c r="Q16895" t="s">
        <v>56734</v>
      </c>
      <c r="Y16895" t="s">
        <v>56735</v>
      </c>
    </row>
    <row r="16896" spans="1:25" x14ac:dyDescent="0.25">
      <c r="A16896" t="str">
        <f>"68398809067"</f>
        <v>68398809067</v>
      </c>
      <c r="B16896" t="s">
        <v>930</v>
      </c>
      <c r="C16896" t="s">
        <v>24879</v>
      </c>
      <c r="D16896" t="s">
        <v>56736</v>
      </c>
      <c r="F16896" t="s">
        <v>1</v>
      </c>
      <c r="G16896" t="s">
        <v>52955</v>
      </c>
      <c r="H16896" t="s">
        <v>56737</v>
      </c>
      <c r="J16896" t="s">
        <v>56738</v>
      </c>
      <c r="P16896" t="s">
        <v>21181</v>
      </c>
      <c r="Y16896" t="s">
        <v>56739</v>
      </c>
    </row>
    <row r="16897" spans="1:25" x14ac:dyDescent="0.25">
      <c r="A16897" t="str">
        <f>"68694283800"</f>
        <v>68694283800</v>
      </c>
      <c r="B16897" t="s">
        <v>96</v>
      </c>
      <c r="C16897" t="s">
        <v>893</v>
      </c>
      <c r="D16897" t="s">
        <v>44816</v>
      </c>
      <c r="F16897" t="s">
        <v>1</v>
      </c>
      <c r="G16897" t="s">
        <v>52955</v>
      </c>
      <c r="H16897" t="s">
        <v>53072</v>
      </c>
      <c r="Y16897" t="s">
        <v>56740</v>
      </c>
    </row>
    <row r="16898" spans="1:25" x14ac:dyDescent="0.25">
      <c r="A16898" t="str">
        <f>"68779104756"</f>
        <v>68779104756</v>
      </c>
      <c r="B16898" t="s">
        <v>3544</v>
      </c>
      <c r="C16898" t="s">
        <v>11303</v>
      </c>
      <c r="D16898" t="s">
        <v>51294</v>
      </c>
      <c r="E16898">
        <v>425000</v>
      </c>
      <c r="F16898" t="s">
        <v>1</v>
      </c>
      <c r="G16898" t="s">
        <v>52955</v>
      </c>
      <c r="H16898" t="s">
        <v>53181</v>
      </c>
      <c r="Y16898" t="s">
        <v>56741</v>
      </c>
    </row>
    <row r="16899" spans="1:25" x14ac:dyDescent="0.25">
      <c r="A16899" t="str">
        <f>"68911961863"</f>
        <v>68911961863</v>
      </c>
      <c r="B16899" t="s">
        <v>379</v>
      </c>
      <c r="C16899" t="s">
        <v>766</v>
      </c>
      <c r="D16899" t="s">
        <v>13338</v>
      </c>
      <c r="F16899" t="s">
        <v>1</v>
      </c>
      <c r="G16899" t="s">
        <v>52955</v>
      </c>
      <c r="H16899" t="s">
        <v>54185</v>
      </c>
      <c r="M16899" t="s">
        <v>56742</v>
      </c>
      <c r="P16899" t="s">
        <v>56743</v>
      </c>
      <c r="Y16899" t="s">
        <v>56744</v>
      </c>
    </row>
    <row r="16900" spans="1:25" x14ac:dyDescent="0.25">
      <c r="A16900" t="str">
        <f>"69150201694"</f>
        <v>69150201694</v>
      </c>
      <c r="B16900" t="s">
        <v>10383</v>
      </c>
      <c r="C16900" t="s">
        <v>44630</v>
      </c>
      <c r="D16900" t="s">
        <v>56745</v>
      </c>
      <c r="F16900" t="s">
        <v>1</v>
      </c>
      <c r="G16900" t="s">
        <v>52955</v>
      </c>
      <c r="H16900" t="s">
        <v>55878</v>
      </c>
      <c r="Y16900" t="s">
        <v>56746</v>
      </c>
    </row>
    <row r="16901" spans="1:25" x14ac:dyDescent="0.25">
      <c r="A16901" t="str">
        <f>"69434770465"</f>
        <v>69434770465</v>
      </c>
      <c r="B16901" t="s">
        <v>284</v>
      </c>
      <c r="C16901" t="s">
        <v>27632</v>
      </c>
      <c r="D16901" t="s">
        <v>56747</v>
      </c>
      <c r="F16901" t="s">
        <v>1</v>
      </c>
      <c r="G16901" t="s">
        <v>52955</v>
      </c>
      <c r="H16901" t="s">
        <v>56024</v>
      </c>
      <c r="Y16901" t="s">
        <v>56748</v>
      </c>
    </row>
    <row r="16902" spans="1:25" x14ac:dyDescent="0.25">
      <c r="A16902" t="str">
        <f>"69893487717"</f>
        <v>69893487717</v>
      </c>
      <c r="B16902" t="s">
        <v>117</v>
      </c>
      <c r="C16902" t="s">
        <v>873</v>
      </c>
      <c r="D16902" t="s">
        <v>873</v>
      </c>
      <c r="F16902" t="s">
        <v>1</v>
      </c>
      <c r="G16902" t="s">
        <v>52955</v>
      </c>
      <c r="H16902" t="s">
        <v>55669</v>
      </c>
      <c r="Y16902" t="s">
        <v>56749</v>
      </c>
    </row>
    <row r="16903" spans="1:25" x14ac:dyDescent="0.25">
      <c r="A16903" t="str">
        <f>"69985090699"</f>
        <v>69985090699</v>
      </c>
      <c r="B16903" t="s">
        <v>482</v>
      </c>
      <c r="C16903" t="s">
        <v>56750</v>
      </c>
      <c r="D16903" t="s">
        <v>23942</v>
      </c>
      <c r="F16903" t="s">
        <v>1</v>
      </c>
      <c r="G16903" t="s">
        <v>52955</v>
      </c>
      <c r="H16903" t="s">
        <v>53211</v>
      </c>
      <c r="Y16903" t="s">
        <v>56751</v>
      </c>
    </row>
    <row r="16904" spans="1:25" x14ac:dyDescent="0.25">
      <c r="A16904" t="str">
        <f>"70251883468"</f>
        <v>70251883468</v>
      </c>
      <c r="B16904" t="s">
        <v>574</v>
      </c>
      <c r="C16904" t="s">
        <v>21805</v>
      </c>
      <c r="D16904" t="s">
        <v>24214</v>
      </c>
      <c r="E16904">
        <v>425000</v>
      </c>
      <c r="F16904" t="s">
        <v>1</v>
      </c>
      <c r="G16904" t="s">
        <v>52955</v>
      </c>
      <c r="H16904" t="s">
        <v>53181</v>
      </c>
      <c r="J16904" t="s">
        <v>24215</v>
      </c>
      <c r="Y16904" t="s">
        <v>53183</v>
      </c>
    </row>
    <row r="16905" spans="1:25" x14ac:dyDescent="0.25">
      <c r="A16905" t="str">
        <f>"70289158056"</f>
        <v>70289158056</v>
      </c>
      <c r="B16905" t="s">
        <v>1152</v>
      </c>
      <c r="C16905" t="s">
        <v>1153</v>
      </c>
      <c r="D16905" t="s">
        <v>10280</v>
      </c>
      <c r="F16905" t="s">
        <v>1</v>
      </c>
      <c r="G16905" t="s">
        <v>52955</v>
      </c>
      <c r="H16905" t="s">
        <v>56752</v>
      </c>
      <c r="I16905" t="s">
        <v>22092</v>
      </c>
      <c r="M16905" t="s">
        <v>10284</v>
      </c>
      <c r="Q16905" t="s">
        <v>10286</v>
      </c>
      <c r="R16905" t="s">
        <v>10287</v>
      </c>
      <c r="S16905" t="s">
        <v>10288</v>
      </c>
      <c r="T16905" t="s">
        <v>10289</v>
      </c>
      <c r="U16905" t="s">
        <v>10290</v>
      </c>
      <c r="V16905" t="s">
        <v>10291</v>
      </c>
      <c r="Y16905" t="s">
        <v>56753</v>
      </c>
    </row>
    <row r="16906" spans="1:25" x14ac:dyDescent="0.25">
      <c r="A16906" t="str">
        <f>"70382957477"</f>
        <v>70382957477</v>
      </c>
      <c r="B16906" t="s">
        <v>18</v>
      </c>
      <c r="C16906" t="s">
        <v>56755</v>
      </c>
      <c r="D16906" t="s">
        <v>56754</v>
      </c>
      <c r="E16906">
        <v>425001</v>
      </c>
      <c r="F16906" t="s">
        <v>1</v>
      </c>
      <c r="G16906" t="s">
        <v>52955</v>
      </c>
      <c r="H16906" t="s">
        <v>53985</v>
      </c>
      <c r="Y16906" t="s">
        <v>56756</v>
      </c>
    </row>
    <row r="16907" spans="1:25" x14ac:dyDescent="0.25">
      <c r="A16907" t="str">
        <f>"70403419913"</f>
        <v>70403419913</v>
      </c>
      <c r="B16907" t="s">
        <v>1352</v>
      </c>
      <c r="C16907" t="s">
        <v>11624</v>
      </c>
      <c r="D16907" t="s">
        <v>56757</v>
      </c>
      <c r="F16907" t="s">
        <v>1</v>
      </c>
      <c r="G16907" t="s">
        <v>52955</v>
      </c>
      <c r="H16907" t="s">
        <v>53198</v>
      </c>
      <c r="J16907" t="s">
        <v>56758</v>
      </c>
      <c r="Q16907" t="s">
        <v>56759</v>
      </c>
      <c r="Y16907" t="s">
        <v>55699</v>
      </c>
    </row>
    <row r="16908" spans="1:25" x14ac:dyDescent="0.25">
      <c r="A16908" t="str">
        <f>"70419091376"</f>
        <v>70419091376</v>
      </c>
      <c r="B16908" t="s">
        <v>530</v>
      </c>
      <c r="C16908" t="s">
        <v>23950</v>
      </c>
      <c r="D16908" t="s">
        <v>23950</v>
      </c>
      <c r="F16908" t="s">
        <v>1</v>
      </c>
      <c r="G16908" t="s">
        <v>52955</v>
      </c>
      <c r="H16908" t="s">
        <v>55316</v>
      </c>
      <c r="Y16908" t="s">
        <v>56760</v>
      </c>
    </row>
    <row r="16909" spans="1:25" x14ac:dyDescent="0.25">
      <c r="A16909" t="str">
        <f>"70495506336"</f>
        <v>70495506336</v>
      </c>
      <c r="B16909" t="s">
        <v>746</v>
      </c>
      <c r="C16909" t="s">
        <v>20470</v>
      </c>
      <c r="D16909" t="s">
        <v>829</v>
      </c>
      <c r="E16909">
        <v>425000</v>
      </c>
      <c r="F16909" t="s">
        <v>1</v>
      </c>
      <c r="G16909" t="s">
        <v>52955</v>
      </c>
      <c r="H16909" t="s">
        <v>53202</v>
      </c>
      <c r="I16909" t="s">
        <v>266</v>
      </c>
      <c r="L16909" t="s">
        <v>267</v>
      </c>
      <c r="M16909" t="s">
        <v>268</v>
      </c>
      <c r="P16909" t="s">
        <v>330</v>
      </c>
      <c r="Q16909" t="s">
        <v>270</v>
      </c>
      <c r="R16909" t="s">
        <v>271</v>
      </c>
      <c r="S16909" t="s">
        <v>272</v>
      </c>
      <c r="T16909" t="s">
        <v>273</v>
      </c>
      <c r="V16909" t="s">
        <v>274</v>
      </c>
      <c r="Y16909" t="s">
        <v>56761</v>
      </c>
    </row>
    <row r="16910" spans="1:25" x14ac:dyDescent="0.25">
      <c r="A16910" t="str">
        <f>"70883589423"</f>
        <v>70883589423</v>
      </c>
      <c r="B16910" t="s">
        <v>117</v>
      </c>
      <c r="C16910" t="s">
        <v>118</v>
      </c>
      <c r="D16910" t="s">
        <v>25382</v>
      </c>
      <c r="F16910" t="s">
        <v>1</v>
      </c>
      <c r="G16910" t="s">
        <v>52955</v>
      </c>
      <c r="H16910" t="s">
        <v>55903</v>
      </c>
      <c r="Y16910" t="s">
        <v>56762</v>
      </c>
    </row>
    <row r="16911" spans="1:25" x14ac:dyDescent="0.25">
      <c r="A16911" t="str">
        <f>"70996696958"</f>
        <v>70996696958</v>
      </c>
      <c r="B16911" t="s">
        <v>7312</v>
      </c>
      <c r="C16911" t="s">
        <v>9849</v>
      </c>
      <c r="D16911" t="s">
        <v>56763</v>
      </c>
      <c r="E16911">
        <v>425000</v>
      </c>
      <c r="F16911" t="s">
        <v>1</v>
      </c>
      <c r="G16911" t="s">
        <v>52955</v>
      </c>
      <c r="H16911" t="s">
        <v>55409</v>
      </c>
      <c r="Y16911" t="s">
        <v>56764</v>
      </c>
    </row>
    <row r="16912" spans="1:25" x14ac:dyDescent="0.25">
      <c r="A16912" t="str">
        <f>"71062774018"</f>
        <v>71062774018</v>
      </c>
      <c r="B16912" t="s">
        <v>1152</v>
      </c>
      <c r="C16912" t="s">
        <v>1159</v>
      </c>
      <c r="D16912" t="s">
        <v>56765</v>
      </c>
      <c r="F16912" t="s">
        <v>1</v>
      </c>
      <c r="G16912" t="s">
        <v>52955</v>
      </c>
      <c r="H16912" t="s">
        <v>55928</v>
      </c>
      <c r="J16912" t="s">
        <v>56766</v>
      </c>
      <c r="P16912" t="s">
        <v>4049</v>
      </c>
      <c r="Y16912" t="s">
        <v>55876</v>
      </c>
    </row>
    <row r="16913" spans="1:25" x14ac:dyDescent="0.25">
      <c r="A16913" t="str">
        <f>"71270149483"</f>
        <v>71270149483</v>
      </c>
      <c r="B16913" t="s">
        <v>18</v>
      </c>
      <c r="C16913" t="s">
        <v>56769</v>
      </c>
      <c r="D16913" t="s">
        <v>38622</v>
      </c>
      <c r="F16913" t="s">
        <v>1</v>
      </c>
      <c r="G16913" t="s">
        <v>52955</v>
      </c>
      <c r="H16913" t="s">
        <v>53211</v>
      </c>
      <c r="J16913" t="s">
        <v>56767</v>
      </c>
      <c r="L16913" t="s">
        <v>56768</v>
      </c>
      <c r="P16913" t="s">
        <v>13994</v>
      </c>
      <c r="Q16913" t="s">
        <v>56770</v>
      </c>
      <c r="V16913" t="s">
        <v>56771</v>
      </c>
      <c r="Y16913" t="s">
        <v>56772</v>
      </c>
    </row>
    <row r="16914" spans="1:25" x14ac:dyDescent="0.25">
      <c r="A16914" t="str">
        <f>"71298487553"</f>
        <v>71298487553</v>
      </c>
      <c r="B16914" t="s">
        <v>348</v>
      </c>
      <c r="C16914" t="s">
        <v>4366</v>
      </c>
      <c r="D16914" t="s">
        <v>56773</v>
      </c>
      <c r="E16914">
        <v>425009</v>
      </c>
      <c r="F16914" t="s">
        <v>1</v>
      </c>
      <c r="G16914" t="s">
        <v>52955</v>
      </c>
      <c r="H16914" t="s">
        <v>56774</v>
      </c>
      <c r="Y16914" t="s">
        <v>56775</v>
      </c>
    </row>
    <row r="16915" spans="1:25" x14ac:dyDescent="0.25">
      <c r="A16915" t="str">
        <f>"71456306691"</f>
        <v>71456306691</v>
      </c>
      <c r="B16915" t="s">
        <v>530</v>
      </c>
      <c r="C16915" t="s">
        <v>23950</v>
      </c>
      <c r="D16915" t="s">
        <v>23950</v>
      </c>
      <c r="E16915">
        <v>425000</v>
      </c>
      <c r="F16915" t="s">
        <v>1</v>
      </c>
      <c r="G16915" t="s">
        <v>52955</v>
      </c>
      <c r="H16915" t="s">
        <v>56776</v>
      </c>
      <c r="Y16915" t="s">
        <v>56777</v>
      </c>
    </row>
    <row r="16916" spans="1:25" x14ac:dyDescent="0.25">
      <c r="A16916" t="str">
        <f>"71478801819"</f>
        <v>71478801819</v>
      </c>
      <c r="B16916" t="s">
        <v>4084</v>
      </c>
      <c r="C16916" t="s">
        <v>7951</v>
      </c>
      <c r="D16916" t="s">
        <v>56778</v>
      </c>
      <c r="E16916">
        <v>425009</v>
      </c>
      <c r="F16916" t="s">
        <v>1</v>
      </c>
      <c r="G16916" t="s">
        <v>52955</v>
      </c>
      <c r="H16916" t="s">
        <v>56779</v>
      </c>
      <c r="M16916" t="s">
        <v>56780</v>
      </c>
      <c r="Y16916" t="s">
        <v>56781</v>
      </c>
    </row>
    <row r="16917" spans="1:25" x14ac:dyDescent="0.25">
      <c r="A16917" t="str">
        <f>"72011225551"</f>
        <v>72011225551</v>
      </c>
      <c r="B16917" t="s">
        <v>32</v>
      </c>
      <c r="C16917" t="s">
        <v>56784</v>
      </c>
      <c r="D16917" t="s">
        <v>56782</v>
      </c>
      <c r="E16917">
        <v>425011</v>
      </c>
      <c r="F16917" t="s">
        <v>1</v>
      </c>
      <c r="G16917" t="s">
        <v>52955</v>
      </c>
      <c r="H16917" t="s">
        <v>53523</v>
      </c>
      <c r="J16917" t="s">
        <v>56783</v>
      </c>
      <c r="P16917" t="s">
        <v>2457</v>
      </c>
      <c r="Q16917" t="s">
        <v>56785</v>
      </c>
      <c r="Y16917" t="s">
        <v>54965</v>
      </c>
    </row>
    <row r="16918" spans="1:25" x14ac:dyDescent="0.25">
      <c r="A16918" t="str">
        <f>"72130558879"</f>
        <v>72130558879</v>
      </c>
      <c r="B16918" t="s">
        <v>2104</v>
      </c>
      <c r="C16918" t="s">
        <v>13387</v>
      </c>
      <c r="D16918" t="s">
        <v>18934</v>
      </c>
      <c r="E16918">
        <v>425000</v>
      </c>
      <c r="F16918" t="s">
        <v>1</v>
      </c>
      <c r="G16918" t="s">
        <v>52955</v>
      </c>
      <c r="H16918" t="s">
        <v>53202</v>
      </c>
      <c r="Y16918" t="s">
        <v>56786</v>
      </c>
    </row>
    <row r="16919" spans="1:25" x14ac:dyDescent="0.25">
      <c r="A16919" t="str">
        <f>"72232137415"</f>
        <v>72232137415</v>
      </c>
      <c r="B16919" t="s">
        <v>530</v>
      </c>
      <c r="C16919" t="s">
        <v>23950</v>
      </c>
      <c r="D16919" t="s">
        <v>23950</v>
      </c>
      <c r="F16919" t="s">
        <v>1</v>
      </c>
      <c r="G16919" t="s">
        <v>52955</v>
      </c>
      <c r="H16919" t="s">
        <v>55903</v>
      </c>
      <c r="Y16919" t="s">
        <v>56787</v>
      </c>
    </row>
    <row r="16920" spans="1:25" x14ac:dyDescent="0.25">
      <c r="A16920" t="str">
        <f>"72334958214"</f>
        <v>72334958214</v>
      </c>
      <c r="B16920" t="s">
        <v>2601</v>
      </c>
      <c r="C16920" t="s">
        <v>5375</v>
      </c>
      <c r="D16920" t="s">
        <v>56788</v>
      </c>
      <c r="E16920">
        <v>425001</v>
      </c>
      <c r="F16920" t="s">
        <v>1</v>
      </c>
      <c r="G16920" t="s">
        <v>52955</v>
      </c>
      <c r="H16920" t="s">
        <v>53433</v>
      </c>
      <c r="Y16920" t="s">
        <v>56789</v>
      </c>
    </row>
    <row r="16921" spans="1:25" x14ac:dyDescent="0.25">
      <c r="A16921" t="str">
        <f>"72346484516"</f>
        <v>72346484516</v>
      </c>
      <c r="B16921" t="s">
        <v>1758</v>
      </c>
      <c r="C16921" t="s">
        <v>5551</v>
      </c>
      <c r="D16921" t="s">
        <v>5551</v>
      </c>
      <c r="F16921" t="s">
        <v>1</v>
      </c>
      <c r="G16921" t="s">
        <v>52955</v>
      </c>
      <c r="H16921" t="s">
        <v>55362</v>
      </c>
      <c r="P16921" t="s">
        <v>56790</v>
      </c>
      <c r="Y16921" t="s">
        <v>56791</v>
      </c>
    </row>
    <row r="16922" spans="1:25" x14ac:dyDescent="0.25">
      <c r="A16922" t="str">
        <f>"72363086559"</f>
        <v>72363086559</v>
      </c>
      <c r="B16922" t="s">
        <v>1182</v>
      </c>
      <c r="C16922" t="s">
        <v>56794</v>
      </c>
      <c r="D16922" t="s">
        <v>56792</v>
      </c>
      <c r="F16922" t="s">
        <v>1</v>
      </c>
      <c r="G16922" t="s">
        <v>52955</v>
      </c>
      <c r="H16922" t="s">
        <v>56793</v>
      </c>
      <c r="Y16922" t="s">
        <v>56795</v>
      </c>
    </row>
    <row r="16923" spans="1:25" x14ac:dyDescent="0.25">
      <c r="A16923" t="str">
        <f>"72680452429"</f>
        <v>72680452429</v>
      </c>
      <c r="B16923" t="s">
        <v>530</v>
      </c>
      <c r="C16923" t="s">
        <v>23950</v>
      </c>
      <c r="D16923" t="s">
        <v>23950</v>
      </c>
      <c r="F16923" t="s">
        <v>1</v>
      </c>
      <c r="G16923" t="s">
        <v>52955</v>
      </c>
      <c r="H16923" t="s">
        <v>56382</v>
      </c>
      <c r="Y16923" t="s">
        <v>56796</v>
      </c>
    </row>
    <row r="16924" spans="1:25" x14ac:dyDescent="0.25">
      <c r="A16924" t="str">
        <f>"72748987521"</f>
        <v>72748987521</v>
      </c>
      <c r="B16924" t="s">
        <v>2846</v>
      </c>
      <c r="C16924" t="s">
        <v>56799</v>
      </c>
      <c r="D16924" t="s">
        <v>7223</v>
      </c>
      <c r="F16924" t="s">
        <v>1</v>
      </c>
      <c r="G16924" t="s">
        <v>52955</v>
      </c>
      <c r="H16924" t="s">
        <v>56797</v>
      </c>
      <c r="I16924" t="s">
        <v>56798</v>
      </c>
      <c r="P16924" t="s">
        <v>52990</v>
      </c>
      <c r="Y16924" t="s">
        <v>56800</v>
      </c>
    </row>
    <row r="16925" spans="1:25" x14ac:dyDescent="0.25">
      <c r="A16925" t="str">
        <f>"73173862933"</f>
        <v>73173862933</v>
      </c>
      <c r="B16925" t="s">
        <v>574</v>
      </c>
      <c r="C16925" t="s">
        <v>56802</v>
      </c>
      <c r="D16925" t="s">
        <v>56801</v>
      </c>
      <c r="F16925" t="s">
        <v>1</v>
      </c>
      <c r="G16925" t="s">
        <v>52955</v>
      </c>
      <c r="H16925" t="s">
        <v>56424</v>
      </c>
      <c r="P16925" t="s">
        <v>56803</v>
      </c>
      <c r="Q16925" t="s">
        <v>56804</v>
      </c>
      <c r="Y16925" t="s">
        <v>56805</v>
      </c>
    </row>
    <row r="16926" spans="1:25" x14ac:dyDescent="0.25">
      <c r="A16926" t="str">
        <f>"73355278774"</f>
        <v>73355278774</v>
      </c>
      <c r="B16926" t="s">
        <v>80</v>
      </c>
      <c r="C16926" t="s">
        <v>2071</v>
      </c>
      <c r="D16926" t="s">
        <v>49059</v>
      </c>
      <c r="F16926" t="s">
        <v>1</v>
      </c>
      <c r="G16926" t="s">
        <v>52955</v>
      </c>
      <c r="H16926" t="s">
        <v>56752</v>
      </c>
      <c r="Y16926" t="s">
        <v>56806</v>
      </c>
    </row>
    <row r="16927" spans="1:25" x14ac:dyDescent="0.25">
      <c r="A16927" t="str">
        <f>"73457061353"</f>
        <v>73457061353</v>
      </c>
      <c r="B16927" t="s">
        <v>290</v>
      </c>
      <c r="C16927" t="s">
        <v>16376</v>
      </c>
      <c r="D16927" t="s">
        <v>56807</v>
      </c>
      <c r="E16927">
        <v>425008</v>
      </c>
      <c r="F16927" t="s">
        <v>1</v>
      </c>
      <c r="G16927" t="s">
        <v>52955</v>
      </c>
      <c r="H16927" t="s">
        <v>54382</v>
      </c>
      <c r="Y16927" t="s">
        <v>56808</v>
      </c>
    </row>
    <row r="16928" spans="1:25" x14ac:dyDescent="0.25">
      <c r="A16928" t="str">
        <f>"73537482931"</f>
        <v>73537482931</v>
      </c>
      <c r="B16928" t="s">
        <v>10383</v>
      </c>
      <c r="C16928" t="s">
        <v>24146</v>
      </c>
      <c r="D16928" t="s">
        <v>24146</v>
      </c>
      <c r="E16928">
        <v>425000</v>
      </c>
      <c r="F16928" t="s">
        <v>1</v>
      </c>
      <c r="G16928" t="s">
        <v>52955</v>
      </c>
      <c r="H16928" t="s">
        <v>56809</v>
      </c>
      <c r="Y16928" t="s">
        <v>56810</v>
      </c>
    </row>
    <row r="16929" spans="1:25" x14ac:dyDescent="0.25">
      <c r="A16929" t="str">
        <f>"73876742934"</f>
        <v>73876742934</v>
      </c>
      <c r="B16929" t="s">
        <v>1046</v>
      </c>
      <c r="C16929" t="s">
        <v>3808</v>
      </c>
      <c r="D16929" t="s">
        <v>42697</v>
      </c>
      <c r="E16929">
        <v>425000</v>
      </c>
      <c r="F16929" t="s">
        <v>1</v>
      </c>
      <c r="G16929" t="s">
        <v>52955</v>
      </c>
      <c r="H16929" t="s">
        <v>52998</v>
      </c>
      <c r="Y16929" t="s">
        <v>56811</v>
      </c>
    </row>
    <row r="16930" spans="1:25" x14ac:dyDescent="0.25">
      <c r="A16930" t="str">
        <f>"73897387132"</f>
        <v>73897387132</v>
      </c>
      <c r="B16930" t="s">
        <v>1046</v>
      </c>
      <c r="C16930" t="s">
        <v>22946</v>
      </c>
      <c r="D16930" t="s">
        <v>22946</v>
      </c>
      <c r="E16930">
        <v>425000</v>
      </c>
      <c r="F16930" t="s">
        <v>1</v>
      </c>
      <c r="G16930" t="s">
        <v>52955</v>
      </c>
      <c r="H16930" t="s">
        <v>56812</v>
      </c>
      <c r="Y16930" t="s">
        <v>56813</v>
      </c>
    </row>
    <row r="16931" spans="1:25" x14ac:dyDescent="0.25">
      <c r="A16931" t="str">
        <f>"74088756079"</f>
        <v>74088756079</v>
      </c>
      <c r="B16931" t="s">
        <v>1617</v>
      </c>
      <c r="C16931" t="s">
        <v>21001</v>
      </c>
      <c r="D16931" t="s">
        <v>20999</v>
      </c>
      <c r="F16931" t="s">
        <v>1</v>
      </c>
      <c r="G16931" t="s">
        <v>52955</v>
      </c>
      <c r="H16931" t="s">
        <v>55724</v>
      </c>
      <c r="Y16931" t="s">
        <v>56814</v>
      </c>
    </row>
    <row r="16932" spans="1:25" x14ac:dyDescent="0.25">
      <c r="A16932" t="str">
        <f>"74155589563"</f>
        <v>74155589563</v>
      </c>
      <c r="B16932" t="s">
        <v>2062</v>
      </c>
      <c r="C16932" t="s">
        <v>3293</v>
      </c>
      <c r="D16932" t="s">
        <v>56815</v>
      </c>
      <c r="E16932">
        <v>425000</v>
      </c>
      <c r="F16932" t="s">
        <v>1</v>
      </c>
      <c r="G16932" t="s">
        <v>52955</v>
      </c>
      <c r="H16932" t="s">
        <v>53132</v>
      </c>
      <c r="Y16932" t="s">
        <v>55400</v>
      </c>
    </row>
    <row r="16933" spans="1:25" x14ac:dyDescent="0.25">
      <c r="A16933" t="str">
        <f>"74198056594"</f>
        <v>74198056594</v>
      </c>
      <c r="B16933" t="s">
        <v>519</v>
      </c>
      <c r="C16933" t="s">
        <v>56821</v>
      </c>
      <c r="D16933" t="s">
        <v>56816</v>
      </c>
      <c r="F16933" t="s">
        <v>1</v>
      </c>
      <c r="G16933" t="s">
        <v>52955</v>
      </c>
      <c r="H16933" t="s">
        <v>54046</v>
      </c>
      <c r="I16933" t="s">
        <v>56817</v>
      </c>
      <c r="J16933" t="s">
        <v>56818</v>
      </c>
      <c r="L16933" t="s">
        <v>56819</v>
      </c>
      <c r="M16933" t="s">
        <v>56820</v>
      </c>
      <c r="Y16933" t="s">
        <v>54127</v>
      </c>
    </row>
    <row r="16934" spans="1:25" x14ac:dyDescent="0.25">
      <c r="A16934" t="str">
        <f>"74339376211"</f>
        <v>74339376211</v>
      </c>
      <c r="B16934" t="s">
        <v>1573</v>
      </c>
      <c r="C16934" t="s">
        <v>1817</v>
      </c>
      <c r="D16934" t="s">
        <v>56822</v>
      </c>
      <c r="E16934">
        <v>425008</v>
      </c>
      <c r="F16934" t="s">
        <v>1</v>
      </c>
      <c r="G16934" t="s">
        <v>52955</v>
      </c>
      <c r="H16934" t="s">
        <v>53554</v>
      </c>
      <c r="Y16934" t="s">
        <v>56823</v>
      </c>
    </row>
    <row r="16935" spans="1:25" x14ac:dyDescent="0.25">
      <c r="A16935" t="str">
        <f>"74542032682"</f>
        <v>74542032682</v>
      </c>
      <c r="B16935" t="s">
        <v>1544</v>
      </c>
      <c r="C16935" t="s">
        <v>7974</v>
      </c>
      <c r="D16935" t="s">
        <v>56824</v>
      </c>
      <c r="F16935" t="s">
        <v>1</v>
      </c>
      <c r="G16935" t="s">
        <v>52955</v>
      </c>
      <c r="H16935" t="s">
        <v>56825</v>
      </c>
      <c r="Y16935" t="s">
        <v>56826</v>
      </c>
    </row>
    <row r="16936" spans="1:25" x14ac:dyDescent="0.25">
      <c r="A16936" t="str">
        <f>"74626578369"</f>
        <v>74626578369</v>
      </c>
      <c r="B16936" t="s">
        <v>3008</v>
      </c>
      <c r="C16936" t="s">
        <v>28020</v>
      </c>
      <c r="D16936" t="s">
        <v>28016</v>
      </c>
      <c r="E16936">
        <v>425000</v>
      </c>
      <c r="F16936" t="s">
        <v>1</v>
      </c>
      <c r="G16936" t="s">
        <v>52955</v>
      </c>
      <c r="H16936" t="s">
        <v>55986</v>
      </c>
      <c r="I16936" t="s">
        <v>28017</v>
      </c>
      <c r="L16936" t="s">
        <v>28018</v>
      </c>
      <c r="M16936" t="s">
        <v>56827</v>
      </c>
      <c r="P16936" t="s">
        <v>27</v>
      </c>
      <c r="Y16936" t="s">
        <v>55989</v>
      </c>
    </row>
    <row r="16937" spans="1:25" x14ac:dyDescent="0.25">
      <c r="A16937" t="str">
        <f>"75127732341"</f>
        <v>75127732341</v>
      </c>
      <c r="B16937" t="s">
        <v>1152</v>
      </c>
      <c r="C16937" t="s">
        <v>56831</v>
      </c>
      <c r="D16937" t="s">
        <v>56828</v>
      </c>
      <c r="E16937">
        <v>425000</v>
      </c>
      <c r="F16937" t="s">
        <v>1</v>
      </c>
      <c r="G16937" t="s">
        <v>52955</v>
      </c>
      <c r="H16937" t="s">
        <v>56829</v>
      </c>
      <c r="J16937" t="s">
        <v>56830</v>
      </c>
      <c r="P16937" t="s">
        <v>4280</v>
      </c>
      <c r="Y16937" t="s">
        <v>56832</v>
      </c>
    </row>
    <row r="16938" spans="1:25" x14ac:dyDescent="0.25">
      <c r="A16938" t="str">
        <f>"75367793834"</f>
        <v>75367793834</v>
      </c>
      <c r="B16938" t="s">
        <v>574</v>
      </c>
      <c r="C16938" t="s">
        <v>646</v>
      </c>
      <c r="D16938" t="s">
        <v>56833</v>
      </c>
      <c r="F16938" t="s">
        <v>1</v>
      </c>
      <c r="G16938" t="s">
        <v>52955</v>
      </c>
      <c r="H16938" t="s">
        <v>56834</v>
      </c>
      <c r="Y16938" t="s">
        <v>56835</v>
      </c>
    </row>
    <row r="16939" spans="1:25" x14ac:dyDescent="0.25">
      <c r="A16939" t="str">
        <f>"75594809693"</f>
        <v>75594809693</v>
      </c>
      <c r="B16939" t="s">
        <v>2062</v>
      </c>
      <c r="C16939" t="s">
        <v>56838</v>
      </c>
      <c r="D16939" t="s">
        <v>56836</v>
      </c>
      <c r="E16939">
        <v>425000</v>
      </c>
      <c r="F16939" t="s">
        <v>1</v>
      </c>
      <c r="G16939" t="s">
        <v>52955</v>
      </c>
      <c r="H16939" t="s">
        <v>56315</v>
      </c>
      <c r="J16939" t="s">
        <v>56837</v>
      </c>
      <c r="P16939" t="s">
        <v>12644</v>
      </c>
      <c r="Y16939" t="s">
        <v>56839</v>
      </c>
    </row>
    <row r="16940" spans="1:25" x14ac:dyDescent="0.25">
      <c r="A16940" t="str">
        <f>"75745990662"</f>
        <v>75745990662</v>
      </c>
      <c r="B16940" t="s">
        <v>1262</v>
      </c>
      <c r="C16940" t="s">
        <v>8454</v>
      </c>
      <c r="D16940" t="s">
        <v>56840</v>
      </c>
      <c r="E16940">
        <v>425000</v>
      </c>
      <c r="F16940" t="s">
        <v>1</v>
      </c>
      <c r="G16940" t="s">
        <v>52955</v>
      </c>
      <c r="H16940" t="s">
        <v>53145</v>
      </c>
      <c r="I16940" t="s">
        <v>56841</v>
      </c>
      <c r="P16940" t="s">
        <v>340</v>
      </c>
      <c r="Y16940" t="s">
        <v>53149</v>
      </c>
    </row>
    <row r="16941" spans="1:25" x14ac:dyDescent="0.25">
      <c r="A16941" t="str">
        <f>"76111346814"</f>
        <v>76111346814</v>
      </c>
      <c r="B16941" t="s">
        <v>640</v>
      </c>
      <c r="C16941" t="s">
        <v>8672</v>
      </c>
      <c r="D16941" t="s">
        <v>56842</v>
      </c>
      <c r="E16941">
        <v>425008</v>
      </c>
      <c r="F16941" t="s">
        <v>1</v>
      </c>
      <c r="G16941" t="s">
        <v>52955</v>
      </c>
      <c r="H16941" t="s">
        <v>53119</v>
      </c>
      <c r="J16941" t="s">
        <v>56843</v>
      </c>
      <c r="M16941" t="s">
        <v>56844</v>
      </c>
      <c r="P16941" t="s">
        <v>1027</v>
      </c>
      <c r="Q16941" t="s">
        <v>56845</v>
      </c>
      <c r="Y16941" t="s">
        <v>56846</v>
      </c>
    </row>
    <row r="16942" spans="1:25" x14ac:dyDescent="0.25">
      <c r="A16942" t="str">
        <f>"76150626299"</f>
        <v>76150626299</v>
      </c>
      <c r="B16942" t="s">
        <v>738</v>
      </c>
      <c r="C16942" t="s">
        <v>32344</v>
      </c>
      <c r="D16942" t="s">
        <v>56847</v>
      </c>
      <c r="F16942" t="s">
        <v>1</v>
      </c>
      <c r="G16942" t="s">
        <v>52955</v>
      </c>
      <c r="H16942" t="s">
        <v>54348</v>
      </c>
      <c r="J16942" t="s">
        <v>56848</v>
      </c>
      <c r="M16942" t="s">
        <v>56849</v>
      </c>
      <c r="P16942" t="s">
        <v>11503</v>
      </c>
      <c r="Y16942" t="s">
        <v>54770</v>
      </c>
    </row>
    <row r="16943" spans="1:25" x14ac:dyDescent="0.25">
      <c r="A16943" t="str">
        <f>"76196566221"</f>
        <v>76196566221</v>
      </c>
      <c r="B16943" t="s">
        <v>18</v>
      </c>
      <c r="C16943" t="s">
        <v>4522</v>
      </c>
      <c r="D16943" t="s">
        <v>7539</v>
      </c>
      <c r="E16943">
        <v>425009</v>
      </c>
      <c r="F16943" t="s">
        <v>1</v>
      </c>
      <c r="G16943" t="s">
        <v>52955</v>
      </c>
      <c r="H16943" t="s">
        <v>55228</v>
      </c>
      <c r="P16943" t="s">
        <v>410</v>
      </c>
      <c r="Y16943" t="s">
        <v>56850</v>
      </c>
    </row>
    <row r="16944" spans="1:25" x14ac:dyDescent="0.25">
      <c r="A16944" t="str">
        <f>"76268847364"</f>
        <v>76268847364</v>
      </c>
      <c r="B16944" t="s">
        <v>1152</v>
      </c>
      <c r="C16944" t="s">
        <v>1385</v>
      </c>
      <c r="D16944" t="s">
        <v>1385</v>
      </c>
      <c r="E16944">
        <v>425008</v>
      </c>
      <c r="F16944" t="s">
        <v>1</v>
      </c>
      <c r="G16944" t="s">
        <v>52955</v>
      </c>
      <c r="H16944" t="s">
        <v>53554</v>
      </c>
      <c r="Y16944" t="s">
        <v>56851</v>
      </c>
    </row>
    <row r="16945" spans="1:25" x14ac:dyDescent="0.25">
      <c r="A16945" t="str">
        <f>"76418302490"</f>
        <v>76418302490</v>
      </c>
      <c r="B16945" t="s">
        <v>530</v>
      </c>
      <c r="C16945" t="s">
        <v>23950</v>
      </c>
      <c r="D16945" t="s">
        <v>23950</v>
      </c>
      <c r="E16945">
        <v>425000</v>
      </c>
      <c r="F16945" t="s">
        <v>1</v>
      </c>
      <c r="G16945" t="s">
        <v>52955</v>
      </c>
      <c r="H16945" t="s">
        <v>56852</v>
      </c>
      <c r="Y16945" t="s">
        <v>56853</v>
      </c>
    </row>
    <row r="16946" spans="1:25" x14ac:dyDescent="0.25">
      <c r="A16946" t="str">
        <f>"76464489463"</f>
        <v>76464489463</v>
      </c>
      <c r="B16946" t="s">
        <v>233</v>
      </c>
      <c r="C16946" t="s">
        <v>56855</v>
      </c>
      <c r="D16946" t="s">
        <v>56854</v>
      </c>
      <c r="E16946">
        <v>425000</v>
      </c>
      <c r="F16946" t="s">
        <v>1</v>
      </c>
      <c r="G16946" t="s">
        <v>52955</v>
      </c>
      <c r="H16946" t="s">
        <v>53066</v>
      </c>
      <c r="P16946" t="s">
        <v>25831</v>
      </c>
      <c r="Y16946" t="s">
        <v>56856</v>
      </c>
    </row>
    <row r="16947" spans="1:25" x14ac:dyDescent="0.25">
      <c r="A16947" t="str">
        <f>"77151094528"</f>
        <v>77151094528</v>
      </c>
      <c r="B16947" t="s">
        <v>1352</v>
      </c>
      <c r="C16947" t="s">
        <v>25143</v>
      </c>
      <c r="D16947" t="s">
        <v>56857</v>
      </c>
      <c r="E16947">
        <v>425000</v>
      </c>
      <c r="F16947" t="s">
        <v>1</v>
      </c>
      <c r="G16947" t="s">
        <v>52955</v>
      </c>
      <c r="H16947" t="s">
        <v>54021</v>
      </c>
      <c r="J16947" t="s">
        <v>56858</v>
      </c>
      <c r="P16947" t="s">
        <v>13355</v>
      </c>
      <c r="Q16947" t="s">
        <v>56859</v>
      </c>
      <c r="Y16947" t="s">
        <v>54024</v>
      </c>
    </row>
    <row r="16948" spans="1:25" x14ac:dyDescent="0.25">
      <c r="A16948" t="str">
        <f>"77168280201"</f>
        <v>77168280201</v>
      </c>
      <c r="B16948" t="s">
        <v>3008</v>
      </c>
      <c r="C16948" t="s">
        <v>15481</v>
      </c>
      <c r="D16948" t="s">
        <v>56860</v>
      </c>
      <c r="E16948">
        <v>425000</v>
      </c>
      <c r="F16948" t="s">
        <v>1</v>
      </c>
      <c r="G16948" t="s">
        <v>52955</v>
      </c>
      <c r="H16948" t="s">
        <v>53911</v>
      </c>
      <c r="Y16948" t="s">
        <v>56861</v>
      </c>
    </row>
    <row r="16949" spans="1:25" x14ac:dyDescent="0.25">
      <c r="A16949" t="str">
        <f>"77294723246"</f>
        <v>77294723246</v>
      </c>
      <c r="B16949" t="s">
        <v>32</v>
      </c>
      <c r="C16949" t="s">
        <v>777</v>
      </c>
      <c r="D16949" t="s">
        <v>56862</v>
      </c>
      <c r="E16949">
        <v>425008</v>
      </c>
      <c r="F16949" t="s">
        <v>1</v>
      </c>
      <c r="G16949" t="s">
        <v>52955</v>
      </c>
      <c r="H16949" t="s">
        <v>53857</v>
      </c>
      <c r="P16949" t="s">
        <v>2050</v>
      </c>
      <c r="Y16949" t="s">
        <v>56863</v>
      </c>
    </row>
    <row r="16950" spans="1:25" x14ac:dyDescent="0.25">
      <c r="A16950" t="str">
        <f>"77580081493"</f>
        <v>77580081493</v>
      </c>
      <c r="B16950" t="s">
        <v>117</v>
      </c>
      <c r="C16950" t="s">
        <v>873</v>
      </c>
      <c r="D16950" t="s">
        <v>873</v>
      </c>
      <c r="E16950">
        <v>425009</v>
      </c>
      <c r="F16950" t="s">
        <v>1</v>
      </c>
      <c r="G16950" t="s">
        <v>52955</v>
      </c>
      <c r="H16950" t="s">
        <v>53696</v>
      </c>
      <c r="Y16950" t="s">
        <v>56864</v>
      </c>
    </row>
    <row r="16951" spans="1:25" x14ac:dyDescent="0.25">
      <c r="A16951" t="str">
        <f>"77884245820"</f>
        <v>77884245820</v>
      </c>
      <c r="B16951" t="s">
        <v>4888</v>
      </c>
      <c r="C16951" t="s">
        <v>56869</v>
      </c>
      <c r="D16951" t="s">
        <v>56865</v>
      </c>
      <c r="E16951">
        <v>425000</v>
      </c>
      <c r="F16951" t="s">
        <v>1</v>
      </c>
      <c r="G16951" t="s">
        <v>52955</v>
      </c>
      <c r="H16951" t="s">
        <v>53460</v>
      </c>
      <c r="J16951" t="s">
        <v>56866</v>
      </c>
      <c r="L16951" t="s">
        <v>56867</v>
      </c>
      <c r="M16951" t="s">
        <v>56868</v>
      </c>
      <c r="P16951" t="s">
        <v>133</v>
      </c>
      <c r="V16951" t="s">
        <v>56870</v>
      </c>
      <c r="Y16951" t="s">
        <v>53463</v>
      </c>
    </row>
    <row r="16952" spans="1:25" x14ac:dyDescent="0.25">
      <c r="A16952" t="str">
        <f>"77956768206"</f>
        <v>77956768206</v>
      </c>
      <c r="B16952" t="s">
        <v>1475</v>
      </c>
      <c r="C16952" t="s">
        <v>1476</v>
      </c>
      <c r="D16952" t="s">
        <v>56871</v>
      </c>
      <c r="E16952">
        <v>425008</v>
      </c>
      <c r="F16952" t="s">
        <v>1</v>
      </c>
      <c r="G16952" t="s">
        <v>52955</v>
      </c>
      <c r="H16952" t="s">
        <v>54382</v>
      </c>
      <c r="Y16952" t="s">
        <v>56872</v>
      </c>
    </row>
    <row r="16953" spans="1:25" x14ac:dyDescent="0.25">
      <c r="A16953" t="str">
        <f>"78083047264"</f>
        <v>78083047264</v>
      </c>
      <c r="B16953" t="s">
        <v>25</v>
      </c>
      <c r="C16953" t="s">
        <v>59</v>
      </c>
      <c r="D16953" t="s">
        <v>45583</v>
      </c>
      <c r="E16953">
        <v>425000</v>
      </c>
      <c r="F16953" t="s">
        <v>1</v>
      </c>
      <c r="G16953" t="s">
        <v>52955</v>
      </c>
      <c r="H16953" t="s">
        <v>53093</v>
      </c>
      <c r="J16953" t="s">
        <v>56873</v>
      </c>
      <c r="P16953" t="s">
        <v>10212</v>
      </c>
      <c r="Q16953" t="s">
        <v>56874</v>
      </c>
      <c r="Y16953" t="s">
        <v>53099</v>
      </c>
    </row>
    <row r="16954" spans="1:25" x14ac:dyDescent="0.25">
      <c r="A16954" t="str">
        <f>"78204471628"</f>
        <v>78204471628</v>
      </c>
      <c r="B16954" t="s">
        <v>123</v>
      </c>
      <c r="C16954" t="s">
        <v>424</v>
      </c>
      <c r="D16954" t="s">
        <v>424</v>
      </c>
      <c r="F16954" t="s">
        <v>1</v>
      </c>
      <c r="G16954" t="s">
        <v>52955</v>
      </c>
      <c r="H16954" t="s">
        <v>55243</v>
      </c>
      <c r="Y16954" t="s">
        <v>56875</v>
      </c>
    </row>
    <row r="16955" spans="1:25" x14ac:dyDescent="0.25">
      <c r="A16955" t="str">
        <f>"78377320996"</f>
        <v>78377320996</v>
      </c>
      <c r="B16955" t="s">
        <v>930</v>
      </c>
      <c r="C16955" t="s">
        <v>11882</v>
      </c>
      <c r="D16955" t="s">
        <v>55277</v>
      </c>
      <c r="E16955">
        <v>425005</v>
      </c>
      <c r="F16955" t="s">
        <v>1</v>
      </c>
      <c r="G16955" t="s">
        <v>52955</v>
      </c>
      <c r="H16955" t="s">
        <v>56876</v>
      </c>
      <c r="J16955" t="s">
        <v>56877</v>
      </c>
      <c r="P16955" t="s">
        <v>3938</v>
      </c>
      <c r="Y16955" t="s">
        <v>56878</v>
      </c>
    </row>
    <row r="16956" spans="1:25" x14ac:dyDescent="0.25">
      <c r="A16956" t="str">
        <f>"78785346014"</f>
        <v>78785346014</v>
      </c>
      <c r="B16956" t="s">
        <v>25</v>
      </c>
      <c r="C16956" t="s">
        <v>59</v>
      </c>
      <c r="D16956" t="s">
        <v>56879</v>
      </c>
      <c r="E16956">
        <v>425000</v>
      </c>
      <c r="F16956" t="s">
        <v>1</v>
      </c>
      <c r="G16956" t="s">
        <v>52955</v>
      </c>
      <c r="H16956" t="s">
        <v>53093</v>
      </c>
      <c r="P16956" t="s">
        <v>152</v>
      </c>
      <c r="Y16956" t="s">
        <v>56880</v>
      </c>
    </row>
    <row r="16957" spans="1:25" x14ac:dyDescent="0.25">
      <c r="A16957" t="str">
        <f>"78883804634"</f>
        <v>78883804634</v>
      </c>
      <c r="B16957" t="s">
        <v>408</v>
      </c>
      <c r="C16957" t="s">
        <v>409</v>
      </c>
      <c r="D16957" t="s">
        <v>56881</v>
      </c>
      <c r="F16957" t="s">
        <v>1</v>
      </c>
      <c r="G16957" t="s">
        <v>52955</v>
      </c>
      <c r="H16957" t="s">
        <v>56502</v>
      </c>
      <c r="I16957" t="s">
        <v>53169</v>
      </c>
      <c r="P16957" t="s">
        <v>53171</v>
      </c>
      <c r="Y16957" t="s">
        <v>54822</v>
      </c>
    </row>
    <row r="16958" spans="1:25" x14ac:dyDescent="0.25">
      <c r="A16958" t="str">
        <f>"78941849779"</f>
        <v>78941849779</v>
      </c>
      <c r="B16958" t="s">
        <v>7312</v>
      </c>
      <c r="C16958" t="s">
        <v>26428</v>
      </c>
      <c r="D16958" t="s">
        <v>56882</v>
      </c>
      <c r="E16958">
        <v>425008</v>
      </c>
      <c r="F16958" t="s">
        <v>1</v>
      </c>
      <c r="G16958" t="s">
        <v>52955</v>
      </c>
      <c r="H16958" t="s">
        <v>53617</v>
      </c>
      <c r="P16958" t="s">
        <v>605</v>
      </c>
      <c r="Y16958" t="s">
        <v>56883</v>
      </c>
    </row>
    <row r="16959" spans="1:25" x14ac:dyDescent="0.25">
      <c r="A16959" t="str">
        <f>"78954244320"</f>
        <v>78954244320</v>
      </c>
      <c r="B16959" t="s">
        <v>348</v>
      </c>
      <c r="C16959" t="s">
        <v>56886</v>
      </c>
      <c r="D16959" t="s">
        <v>56884</v>
      </c>
      <c r="F16959" t="s">
        <v>1</v>
      </c>
      <c r="G16959" t="s">
        <v>52955</v>
      </c>
      <c r="H16959" t="s">
        <v>56512</v>
      </c>
      <c r="I16959" t="s">
        <v>56885</v>
      </c>
      <c r="P16959" t="s">
        <v>56517</v>
      </c>
      <c r="V16959" t="s">
        <v>56887</v>
      </c>
      <c r="Y16959" t="s">
        <v>56519</v>
      </c>
    </row>
    <row r="16960" spans="1:25" x14ac:dyDescent="0.25">
      <c r="A16960" t="str">
        <f>"79124033547"</f>
        <v>79124033547</v>
      </c>
      <c r="B16960" t="s">
        <v>8011</v>
      </c>
      <c r="C16960" t="s">
        <v>25177</v>
      </c>
      <c r="D16960" t="s">
        <v>12536</v>
      </c>
      <c r="E16960">
        <v>425009</v>
      </c>
      <c r="F16960" t="s">
        <v>1</v>
      </c>
      <c r="G16960" t="s">
        <v>52955</v>
      </c>
      <c r="H16960" t="s">
        <v>55390</v>
      </c>
      <c r="Y16960" t="s">
        <v>56888</v>
      </c>
    </row>
    <row r="16961" spans="1:25" x14ac:dyDescent="0.25">
      <c r="A16961" t="str">
        <f>"79138697766"</f>
        <v>79138697766</v>
      </c>
      <c r="B16961" t="s">
        <v>88</v>
      </c>
      <c r="C16961" t="s">
        <v>56889</v>
      </c>
      <c r="D16961" t="s">
        <v>4445</v>
      </c>
      <c r="E16961">
        <v>425000</v>
      </c>
      <c r="F16961" t="s">
        <v>1</v>
      </c>
      <c r="G16961" t="s">
        <v>52955</v>
      </c>
      <c r="H16961" t="s">
        <v>53911</v>
      </c>
      <c r="Y16961" t="s">
        <v>56890</v>
      </c>
    </row>
    <row r="16962" spans="1:25" x14ac:dyDescent="0.25">
      <c r="A16962" t="str">
        <f>"79168935346"</f>
        <v>79168935346</v>
      </c>
      <c r="B16962" t="s">
        <v>117</v>
      </c>
      <c r="C16962" t="s">
        <v>873</v>
      </c>
      <c r="D16962" t="s">
        <v>873</v>
      </c>
      <c r="E16962">
        <v>425001</v>
      </c>
      <c r="F16962" t="s">
        <v>1</v>
      </c>
      <c r="G16962" t="s">
        <v>52955</v>
      </c>
      <c r="H16962" t="s">
        <v>56891</v>
      </c>
      <c r="Y16962" t="s">
        <v>56892</v>
      </c>
    </row>
    <row r="16963" spans="1:25" x14ac:dyDescent="0.25">
      <c r="A16963" t="str">
        <f>"79284254636"</f>
        <v>79284254636</v>
      </c>
      <c r="B16963" t="s">
        <v>1152</v>
      </c>
      <c r="C16963" t="s">
        <v>1385</v>
      </c>
      <c r="D16963" t="s">
        <v>1385</v>
      </c>
      <c r="F16963" t="s">
        <v>1</v>
      </c>
      <c r="G16963" t="s">
        <v>52955</v>
      </c>
      <c r="H16963" t="s">
        <v>54801</v>
      </c>
      <c r="Y16963" t="s">
        <v>56893</v>
      </c>
    </row>
    <row r="16964" spans="1:25" x14ac:dyDescent="0.25">
      <c r="A16964" t="str">
        <f>"79351512576"</f>
        <v>79351512576</v>
      </c>
      <c r="B16964" t="s">
        <v>290</v>
      </c>
      <c r="C16964" t="s">
        <v>290</v>
      </c>
      <c r="D16964" t="s">
        <v>56894</v>
      </c>
      <c r="E16964">
        <v>425000</v>
      </c>
      <c r="F16964" t="s">
        <v>1</v>
      </c>
      <c r="G16964" t="s">
        <v>52955</v>
      </c>
      <c r="H16964" t="s">
        <v>55381</v>
      </c>
      <c r="J16964" t="s">
        <v>56895</v>
      </c>
      <c r="P16964" t="s">
        <v>56896</v>
      </c>
      <c r="V16964" t="s">
        <v>56897</v>
      </c>
      <c r="Y16964" t="s">
        <v>56898</v>
      </c>
    </row>
    <row r="16965" spans="1:25" x14ac:dyDescent="0.25">
      <c r="A16965" t="str">
        <f>"79870242616"</f>
        <v>79870242616</v>
      </c>
      <c r="B16965" t="s">
        <v>290</v>
      </c>
      <c r="C16965" t="s">
        <v>11114</v>
      </c>
      <c r="D16965" t="s">
        <v>56899</v>
      </c>
      <c r="E16965">
        <v>425001</v>
      </c>
      <c r="F16965" t="s">
        <v>1</v>
      </c>
      <c r="G16965" t="s">
        <v>52955</v>
      </c>
      <c r="H16965" t="s">
        <v>53465</v>
      </c>
      <c r="P16965" t="s">
        <v>2738</v>
      </c>
      <c r="Q16965" t="s">
        <v>56900</v>
      </c>
      <c r="Y16965" t="s">
        <v>56901</v>
      </c>
    </row>
    <row r="16966" spans="1:25" x14ac:dyDescent="0.25">
      <c r="A16966" t="str">
        <f>"79878444097"</f>
        <v>79878444097</v>
      </c>
      <c r="B16966" t="s">
        <v>3544</v>
      </c>
      <c r="C16966" t="s">
        <v>11303</v>
      </c>
      <c r="D16966" t="s">
        <v>56902</v>
      </c>
      <c r="E16966">
        <v>425000</v>
      </c>
      <c r="F16966" t="s">
        <v>1</v>
      </c>
      <c r="G16966" t="s">
        <v>52955</v>
      </c>
      <c r="H16966" t="s">
        <v>56903</v>
      </c>
      <c r="Y16966" t="s">
        <v>56904</v>
      </c>
    </row>
    <row r="16967" spans="1:25" x14ac:dyDescent="0.25">
      <c r="A16967" t="str">
        <f>"80155347910"</f>
        <v>80155347910</v>
      </c>
      <c r="B16967" t="s">
        <v>96</v>
      </c>
      <c r="C16967" t="s">
        <v>893</v>
      </c>
      <c r="D16967" t="s">
        <v>29624</v>
      </c>
      <c r="E16967">
        <v>425000</v>
      </c>
      <c r="F16967" t="s">
        <v>1</v>
      </c>
      <c r="G16967" t="s">
        <v>52955</v>
      </c>
      <c r="H16967" t="s">
        <v>56049</v>
      </c>
      <c r="Y16967" t="s">
        <v>56905</v>
      </c>
    </row>
    <row r="16968" spans="1:25" x14ac:dyDescent="0.25">
      <c r="A16968" t="str">
        <f>"80219583350"</f>
        <v>80219583350</v>
      </c>
      <c r="B16968" t="s">
        <v>25</v>
      </c>
      <c r="C16968" t="s">
        <v>5632</v>
      </c>
      <c r="D16968" t="s">
        <v>56906</v>
      </c>
      <c r="E16968">
        <v>425008</v>
      </c>
      <c r="F16968" t="s">
        <v>1</v>
      </c>
      <c r="G16968" t="s">
        <v>52955</v>
      </c>
      <c r="H16968" t="s">
        <v>53614</v>
      </c>
      <c r="J16968" t="s">
        <v>56907</v>
      </c>
      <c r="P16968" t="s">
        <v>27</v>
      </c>
      <c r="Y16968" t="s">
        <v>53616</v>
      </c>
    </row>
    <row r="16969" spans="1:25" x14ac:dyDescent="0.25">
      <c r="A16969" t="str">
        <f>"80544321772"</f>
        <v>80544321772</v>
      </c>
      <c r="B16969" t="s">
        <v>7</v>
      </c>
      <c r="C16969" t="s">
        <v>56912</v>
      </c>
      <c r="D16969" t="s">
        <v>698</v>
      </c>
      <c r="F16969" t="s">
        <v>1</v>
      </c>
      <c r="G16969" t="s">
        <v>52955</v>
      </c>
      <c r="H16969" t="s">
        <v>56562</v>
      </c>
      <c r="I16969" t="s">
        <v>56908</v>
      </c>
      <c r="J16969" t="s">
        <v>56909</v>
      </c>
      <c r="L16969" t="s">
        <v>56910</v>
      </c>
      <c r="M16969" t="s">
        <v>56911</v>
      </c>
      <c r="P16969" t="s">
        <v>280</v>
      </c>
      <c r="Q16969" t="s">
        <v>705</v>
      </c>
      <c r="R16969" t="s">
        <v>56913</v>
      </c>
      <c r="S16969" t="s">
        <v>706</v>
      </c>
      <c r="Y16969" t="s">
        <v>56914</v>
      </c>
    </row>
    <row r="16970" spans="1:25" x14ac:dyDescent="0.25">
      <c r="A16970" t="str">
        <f>"80599572096"</f>
        <v>80599572096</v>
      </c>
      <c r="B16970" t="s">
        <v>716</v>
      </c>
      <c r="C16970" t="s">
        <v>717</v>
      </c>
      <c r="D16970" t="s">
        <v>28552</v>
      </c>
      <c r="E16970">
        <v>425000</v>
      </c>
      <c r="F16970" t="s">
        <v>1</v>
      </c>
      <c r="G16970" t="s">
        <v>52955</v>
      </c>
      <c r="H16970" t="s">
        <v>53719</v>
      </c>
      <c r="Y16970" t="s">
        <v>53721</v>
      </c>
    </row>
    <row r="16971" spans="1:25" x14ac:dyDescent="0.25">
      <c r="A16971" t="str">
        <f>"80838579506"</f>
        <v>80838579506</v>
      </c>
      <c r="B16971" t="s">
        <v>25</v>
      </c>
      <c r="C16971" t="s">
        <v>24410</v>
      </c>
      <c r="D16971" t="s">
        <v>56915</v>
      </c>
      <c r="E16971">
        <v>425009</v>
      </c>
      <c r="F16971" t="s">
        <v>1</v>
      </c>
      <c r="G16971" t="s">
        <v>52955</v>
      </c>
      <c r="H16971" t="s">
        <v>56916</v>
      </c>
      <c r="Y16971" t="s">
        <v>56917</v>
      </c>
    </row>
    <row r="16972" spans="1:25" x14ac:dyDescent="0.25">
      <c r="A16972" t="str">
        <f>"81340368826"</f>
        <v>81340368826</v>
      </c>
      <c r="B16972" t="s">
        <v>574</v>
      </c>
      <c r="C16972" t="s">
        <v>646</v>
      </c>
      <c r="D16972" t="s">
        <v>56660</v>
      </c>
      <c r="F16972" t="s">
        <v>1</v>
      </c>
      <c r="G16972" t="s">
        <v>52955</v>
      </c>
      <c r="H16972" t="s">
        <v>56918</v>
      </c>
      <c r="P16972" t="s">
        <v>4006</v>
      </c>
      <c r="Y16972" t="s">
        <v>56919</v>
      </c>
    </row>
    <row r="16973" spans="1:25" x14ac:dyDescent="0.25">
      <c r="A16973" t="str">
        <f>"81815556897"</f>
        <v>81815556897</v>
      </c>
      <c r="B16973" t="s">
        <v>32</v>
      </c>
      <c r="C16973" t="s">
        <v>4125</v>
      </c>
      <c r="D16973" t="s">
        <v>56920</v>
      </c>
      <c r="E16973">
        <v>425000</v>
      </c>
      <c r="F16973" t="s">
        <v>1</v>
      </c>
      <c r="G16973" t="s">
        <v>52955</v>
      </c>
      <c r="H16973" t="s">
        <v>53132</v>
      </c>
      <c r="J16973" t="s">
        <v>56921</v>
      </c>
      <c r="Q16973" t="s">
        <v>56922</v>
      </c>
      <c r="Y16973" t="s">
        <v>55400</v>
      </c>
    </row>
    <row r="16974" spans="1:25" x14ac:dyDescent="0.25">
      <c r="A16974" t="str">
        <f>"81819672893"</f>
        <v>81819672893</v>
      </c>
      <c r="B16974" t="s">
        <v>290</v>
      </c>
      <c r="C16974" t="s">
        <v>290</v>
      </c>
      <c r="D16974" t="s">
        <v>41218</v>
      </c>
      <c r="E16974">
        <v>425000</v>
      </c>
      <c r="F16974" t="s">
        <v>1</v>
      </c>
      <c r="G16974" t="s">
        <v>52955</v>
      </c>
      <c r="H16974" t="s">
        <v>53132</v>
      </c>
      <c r="P16974" t="s">
        <v>2513</v>
      </c>
      <c r="Y16974" t="s">
        <v>56923</v>
      </c>
    </row>
    <row r="16975" spans="1:25" x14ac:dyDescent="0.25">
      <c r="A16975" t="str">
        <f>"81820904288"</f>
        <v>81820904288</v>
      </c>
      <c r="B16975" t="s">
        <v>96</v>
      </c>
      <c r="C16975" t="s">
        <v>893</v>
      </c>
      <c r="D16975" t="s">
        <v>56924</v>
      </c>
      <c r="F16975" t="s">
        <v>1</v>
      </c>
      <c r="G16975" t="s">
        <v>52955</v>
      </c>
      <c r="H16975" t="s">
        <v>53404</v>
      </c>
      <c r="Y16975" t="s">
        <v>56925</v>
      </c>
    </row>
    <row r="16976" spans="1:25" x14ac:dyDescent="0.25">
      <c r="A16976" t="str">
        <f>"82123635944"</f>
        <v>82123635944</v>
      </c>
      <c r="B16976" t="s">
        <v>417</v>
      </c>
      <c r="C16976" t="s">
        <v>18970</v>
      </c>
      <c r="D16976" t="s">
        <v>56926</v>
      </c>
      <c r="E16976">
        <v>425000</v>
      </c>
      <c r="F16976" t="s">
        <v>1</v>
      </c>
      <c r="G16976" t="s">
        <v>52955</v>
      </c>
      <c r="H16976" t="s">
        <v>55251</v>
      </c>
      <c r="J16976" t="s">
        <v>56927</v>
      </c>
      <c r="L16976" t="s">
        <v>56928</v>
      </c>
      <c r="M16976" t="s">
        <v>56929</v>
      </c>
      <c r="P16976" t="s">
        <v>216</v>
      </c>
      <c r="V16976" t="s">
        <v>56930</v>
      </c>
      <c r="Y16976" t="s">
        <v>56146</v>
      </c>
    </row>
    <row r="16977" spans="1:25" x14ac:dyDescent="0.25">
      <c r="A16977" t="str">
        <f>"82293307976"</f>
        <v>82293307976</v>
      </c>
      <c r="B16977" t="s">
        <v>379</v>
      </c>
      <c r="C16977" t="s">
        <v>4908</v>
      </c>
      <c r="D16977" t="s">
        <v>56931</v>
      </c>
      <c r="E16977">
        <v>425000</v>
      </c>
      <c r="F16977" t="s">
        <v>1</v>
      </c>
      <c r="G16977" t="s">
        <v>52955</v>
      </c>
      <c r="H16977" t="s">
        <v>53066</v>
      </c>
      <c r="I16977" t="s">
        <v>56932</v>
      </c>
      <c r="J16977" t="s">
        <v>56933</v>
      </c>
      <c r="L16977" t="s">
        <v>56934</v>
      </c>
      <c r="M16977" t="s">
        <v>56935</v>
      </c>
      <c r="P16977" t="s">
        <v>29674</v>
      </c>
      <c r="Y16977" t="s">
        <v>56936</v>
      </c>
    </row>
    <row r="16978" spans="1:25" x14ac:dyDescent="0.25">
      <c r="A16978" t="str">
        <f>"82312634812"</f>
        <v>82312634812</v>
      </c>
      <c r="B16978" t="s">
        <v>18</v>
      </c>
      <c r="C16978" t="s">
        <v>56938</v>
      </c>
      <c r="D16978" t="s">
        <v>24709</v>
      </c>
      <c r="F16978" t="s">
        <v>1</v>
      </c>
      <c r="G16978" t="s">
        <v>52955</v>
      </c>
      <c r="H16978" t="s">
        <v>54425</v>
      </c>
      <c r="J16978" t="s">
        <v>56937</v>
      </c>
      <c r="L16978" t="s">
        <v>24712</v>
      </c>
      <c r="M16978" t="s">
        <v>24713</v>
      </c>
      <c r="Y16978" t="s">
        <v>56939</v>
      </c>
    </row>
    <row r="16979" spans="1:25" x14ac:dyDescent="0.25">
      <c r="A16979" t="str">
        <f>"82549272916"</f>
        <v>82549272916</v>
      </c>
      <c r="B16979" t="s">
        <v>32</v>
      </c>
      <c r="C16979" t="s">
        <v>4125</v>
      </c>
      <c r="D16979" t="s">
        <v>4125</v>
      </c>
      <c r="F16979" t="s">
        <v>1</v>
      </c>
      <c r="G16979" t="s">
        <v>52955</v>
      </c>
      <c r="H16979" t="s">
        <v>54316</v>
      </c>
      <c r="Y16979" t="s">
        <v>56940</v>
      </c>
    </row>
    <row r="16980" spans="1:25" x14ac:dyDescent="0.25">
      <c r="A16980" t="str">
        <f>"83127934561"</f>
        <v>83127934561</v>
      </c>
      <c r="B16980" t="s">
        <v>48</v>
      </c>
      <c r="C16980" t="s">
        <v>16070</v>
      </c>
      <c r="D16980" t="s">
        <v>56941</v>
      </c>
      <c r="F16980" t="s">
        <v>1</v>
      </c>
      <c r="G16980" t="s">
        <v>52955</v>
      </c>
      <c r="H16980" t="s">
        <v>53261</v>
      </c>
      <c r="J16980" t="s">
        <v>56942</v>
      </c>
      <c r="P16980" t="s">
        <v>56943</v>
      </c>
      <c r="V16980" t="s">
        <v>56944</v>
      </c>
      <c r="Y16980" t="s">
        <v>56945</v>
      </c>
    </row>
    <row r="16981" spans="1:25" x14ac:dyDescent="0.25">
      <c r="A16981" t="str">
        <f>"83396590253"</f>
        <v>83396590253</v>
      </c>
      <c r="B16981" t="s">
        <v>18</v>
      </c>
      <c r="C16981" t="s">
        <v>143</v>
      </c>
      <c r="D16981" t="s">
        <v>143</v>
      </c>
      <c r="F16981" t="s">
        <v>1</v>
      </c>
      <c r="G16981" t="s">
        <v>52955</v>
      </c>
      <c r="H16981" t="s">
        <v>55362</v>
      </c>
      <c r="Y16981" t="s">
        <v>56946</v>
      </c>
    </row>
    <row r="16982" spans="1:25" x14ac:dyDescent="0.25">
      <c r="A16982" t="str">
        <f>"83629036086"</f>
        <v>83629036086</v>
      </c>
      <c r="B16982" t="s">
        <v>430</v>
      </c>
      <c r="C16982" t="s">
        <v>17210</v>
      </c>
      <c r="D16982" t="s">
        <v>56947</v>
      </c>
      <c r="E16982">
        <v>425009</v>
      </c>
      <c r="F16982" t="s">
        <v>1</v>
      </c>
      <c r="G16982" t="s">
        <v>52955</v>
      </c>
      <c r="H16982" t="s">
        <v>54756</v>
      </c>
      <c r="P16982" t="s">
        <v>330</v>
      </c>
      <c r="Y16982" t="s">
        <v>56948</v>
      </c>
    </row>
    <row r="16983" spans="1:25" x14ac:dyDescent="0.25">
      <c r="A16983" t="str">
        <f>"84218579641"</f>
        <v>84218579641</v>
      </c>
      <c r="B16983" t="s">
        <v>738</v>
      </c>
      <c r="C16983" t="s">
        <v>739</v>
      </c>
      <c r="D16983" t="s">
        <v>2578</v>
      </c>
      <c r="F16983" t="s">
        <v>1</v>
      </c>
      <c r="G16983" t="s">
        <v>52955</v>
      </c>
      <c r="H16983" t="s">
        <v>54589</v>
      </c>
      <c r="P16983" t="s">
        <v>56949</v>
      </c>
      <c r="Y16983" t="s">
        <v>56950</v>
      </c>
    </row>
    <row r="16984" spans="1:25" x14ac:dyDescent="0.25">
      <c r="A16984" t="str">
        <f>"84431891453"</f>
        <v>84431891453</v>
      </c>
      <c r="B16984" t="s">
        <v>88</v>
      </c>
      <c r="C16984" t="s">
        <v>8056</v>
      </c>
      <c r="D16984" t="s">
        <v>56951</v>
      </c>
      <c r="E16984">
        <v>425000</v>
      </c>
      <c r="F16984" t="s">
        <v>1</v>
      </c>
      <c r="G16984" t="s">
        <v>52955</v>
      </c>
      <c r="H16984" t="s">
        <v>54582</v>
      </c>
      <c r="J16984" t="s">
        <v>56952</v>
      </c>
      <c r="P16984" t="s">
        <v>5552</v>
      </c>
      <c r="Y16984" t="s">
        <v>56953</v>
      </c>
    </row>
    <row r="16985" spans="1:25" x14ac:dyDescent="0.25">
      <c r="A16985" t="str">
        <f>"84533726349"</f>
        <v>84533726349</v>
      </c>
      <c r="B16985" t="s">
        <v>96</v>
      </c>
      <c r="C16985" t="s">
        <v>24042</v>
      </c>
      <c r="D16985" t="s">
        <v>29624</v>
      </c>
      <c r="E16985">
        <v>425008</v>
      </c>
      <c r="F16985" t="s">
        <v>1</v>
      </c>
      <c r="G16985" t="s">
        <v>52955</v>
      </c>
      <c r="H16985" t="s">
        <v>53533</v>
      </c>
      <c r="Y16985" t="s">
        <v>56954</v>
      </c>
    </row>
    <row r="16986" spans="1:25" x14ac:dyDescent="0.25">
      <c r="A16986" t="str">
        <f>"84535171020"</f>
        <v>84535171020</v>
      </c>
      <c r="B16986" t="s">
        <v>574</v>
      </c>
      <c r="C16986" t="s">
        <v>646</v>
      </c>
      <c r="D16986" t="s">
        <v>51103</v>
      </c>
      <c r="E16986">
        <v>425003</v>
      </c>
      <c r="F16986" t="s">
        <v>1</v>
      </c>
      <c r="G16986" t="s">
        <v>52955</v>
      </c>
      <c r="H16986" t="s">
        <v>56955</v>
      </c>
      <c r="P16986" t="s">
        <v>216</v>
      </c>
      <c r="Y16986" t="s">
        <v>56956</v>
      </c>
    </row>
    <row r="16987" spans="1:25" x14ac:dyDescent="0.25">
      <c r="A16987" t="str">
        <f>"84573940871"</f>
        <v>84573940871</v>
      </c>
      <c r="B16987" t="s">
        <v>538</v>
      </c>
      <c r="C16987" t="s">
        <v>35282</v>
      </c>
      <c r="D16987" t="s">
        <v>56957</v>
      </c>
      <c r="E16987">
        <v>425000</v>
      </c>
      <c r="F16987" t="s">
        <v>1</v>
      </c>
      <c r="G16987" t="s">
        <v>52955</v>
      </c>
      <c r="H16987" t="s">
        <v>53027</v>
      </c>
      <c r="Y16987" t="s">
        <v>56958</v>
      </c>
    </row>
    <row r="16988" spans="1:25" x14ac:dyDescent="0.25">
      <c r="A16988" t="str">
        <f>"84672036426"</f>
        <v>84672036426</v>
      </c>
      <c r="B16988" t="s">
        <v>2104</v>
      </c>
      <c r="C16988" t="s">
        <v>21175</v>
      </c>
      <c r="D16988" t="s">
        <v>56959</v>
      </c>
      <c r="E16988">
        <v>425011</v>
      </c>
      <c r="F16988" t="s">
        <v>1</v>
      </c>
      <c r="G16988" t="s">
        <v>52955</v>
      </c>
      <c r="H16988" t="s">
        <v>53976</v>
      </c>
      <c r="P16988" t="s">
        <v>7650</v>
      </c>
      <c r="Y16988" t="s">
        <v>56960</v>
      </c>
    </row>
    <row r="16989" spans="1:25" x14ac:dyDescent="0.25">
      <c r="A16989" t="str">
        <f>"84725048938"</f>
        <v>84725048938</v>
      </c>
      <c r="B16989" t="s">
        <v>32</v>
      </c>
      <c r="C16989" t="s">
        <v>40</v>
      </c>
      <c r="D16989" t="s">
        <v>4320</v>
      </c>
      <c r="F16989" t="s">
        <v>1</v>
      </c>
      <c r="G16989" t="s">
        <v>52955</v>
      </c>
      <c r="H16989" t="s">
        <v>55608</v>
      </c>
      <c r="Y16989" t="s">
        <v>56961</v>
      </c>
    </row>
    <row r="16990" spans="1:25" x14ac:dyDescent="0.25">
      <c r="A16990" t="str">
        <f>"84828148827"</f>
        <v>84828148827</v>
      </c>
      <c r="B16990" t="s">
        <v>243</v>
      </c>
      <c r="C16990" t="s">
        <v>56966</v>
      </c>
      <c r="D16990" t="s">
        <v>56962</v>
      </c>
      <c r="E16990">
        <v>425000</v>
      </c>
      <c r="F16990" t="s">
        <v>1</v>
      </c>
      <c r="G16990" t="s">
        <v>52955</v>
      </c>
      <c r="H16990" t="s">
        <v>53093</v>
      </c>
      <c r="J16990" t="s">
        <v>56963</v>
      </c>
      <c r="L16990" t="s">
        <v>56964</v>
      </c>
      <c r="M16990" t="s">
        <v>56965</v>
      </c>
      <c r="P16990" t="s">
        <v>1027</v>
      </c>
      <c r="Q16990" t="s">
        <v>56967</v>
      </c>
      <c r="Y16990" t="s">
        <v>53099</v>
      </c>
    </row>
    <row r="16991" spans="1:25" x14ac:dyDescent="0.25">
      <c r="A16991" t="str">
        <f>"84844822877"</f>
        <v>84844822877</v>
      </c>
      <c r="B16991" t="s">
        <v>3094</v>
      </c>
      <c r="C16991" t="s">
        <v>3095</v>
      </c>
      <c r="D16991" t="s">
        <v>56968</v>
      </c>
      <c r="E16991">
        <v>425000</v>
      </c>
      <c r="F16991" t="s">
        <v>1</v>
      </c>
      <c r="G16991" t="s">
        <v>52955</v>
      </c>
      <c r="H16991" t="s">
        <v>54052</v>
      </c>
      <c r="L16991" t="s">
        <v>54401</v>
      </c>
      <c r="M16991" t="s">
        <v>54402</v>
      </c>
      <c r="Y16991" t="s">
        <v>56969</v>
      </c>
    </row>
    <row r="16992" spans="1:25" x14ac:dyDescent="0.25">
      <c r="A16992" t="str">
        <f>"84973672555"</f>
        <v>84973672555</v>
      </c>
      <c r="B16992" t="s">
        <v>1343</v>
      </c>
      <c r="C16992" t="s">
        <v>7789</v>
      </c>
      <c r="D16992" t="s">
        <v>56970</v>
      </c>
      <c r="E16992">
        <v>425011</v>
      </c>
      <c r="F16992" t="s">
        <v>1</v>
      </c>
      <c r="G16992" t="s">
        <v>52955</v>
      </c>
      <c r="H16992" t="s">
        <v>55025</v>
      </c>
      <c r="J16992" t="s">
        <v>56971</v>
      </c>
      <c r="L16992" t="s">
        <v>56972</v>
      </c>
      <c r="M16992" t="s">
        <v>56973</v>
      </c>
      <c r="P16992" t="s">
        <v>2050</v>
      </c>
      <c r="Y16992" t="s">
        <v>56974</v>
      </c>
    </row>
    <row r="16993" spans="1:25" x14ac:dyDescent="0.25">
      <c r="A16993" t="str">
        <f>"85030886525"</f>
        <v>85030886525</v>
      </c>
      <c r="B16993" t="s">
        <v>96</v>
      </c>
      <c r="C16993" t="s">
        <v>22202</v>
      </c>
      <c r="D16993" t="s">
        <v>56975</v>
      </c>
      <c r="F16993" t="s">
        <v>1</v>
      </c>
      <c r="G16993" t="s">
        <v>52955</v>
      </c>
      <c r="H16993" t="s">
        <v>53198</v>
      </c>
      <c r="Y16993" t="s">
        <v>56976</v>
      </c>
    </row>
    <row r="16994" spans="1:25" x14ac:dyDescent="0.25">
      <c r="A16994" t="str">
        <f>"85134378330"</f>
        <v>85134378330</v>
      </c>
      <c r="B16994" t="s">
        <v>117</v>
      </c>
      <c r="C16994" t="s">
        <v>873</v>
      </c>
      <c r="D16994" t="s">
        <v>873</v>
      </c>
      <c r="F16994" t="s">
        <v>1</v>
      </c>
      <c r="G16994" t="s">
        <v>52955</v>
      </c>
      <c r="H16994" t="s">
        <v>55243</v>
      </c>
      <c r="Y16994" t="s">
        <v>56977</v>
      </c>
    </row>
    <row r="16995" spans="1:25" x14ac:dyDescent="0.25">
      <c r="A16995" t="str">
        <f>"85142621075"</f>
        <v>85142621075</v>
      </c>
      <c r="B16995" t="s">
        <v>430</v>
      </c>
      <c r="C16995" t="s">
        <v>56978</v>
      </c>
      <c r="D16995" t="s">
        <v>26498</v>
      </c>
      <c r="E16995">
        <v>425008</v>
      </c>
      <c r="F16995" t="s">
        <v>1</v>
      </c>
      <c r="G16995" t="s">
        <v>52955</v>
      </c>
      <c r="H16995" t="s">
        <v>53533</v>
      </c>
      <c r="P16995" t="s">
        <v>2050</v>
      </c>
      <c r="Y16995" t="s">
        <v>56979</v>
      </c>
    </row>
    <row r="16996" spans="1:25" x14ac:dyDescent="0.25">
      <c r="A16996" t="str">
        <f>"85194993587"</f>
        <v>85194993587</v>
      </c>
      <c r="B16996" t="s">
        <v>1152</v>
      </c>
      <c r="C16996" t="s">
        <v>1153</v>
      </c>
      <c r="D16996" t="s">
        <v>10280</v>
      </c>
      <c r="E16996">
        <v>425009</v>
      </c>
      <c r="F16996" t="s">
        <v>1</v>
      </c>
      <c r="G16996" t="s">
        <v>52955</v>
      </c>
      <c r="H16996" t="s">
        <v>55652</v>
      </c>
      <c r="I16996" t="s">
        <v>22092</v>
      </c>
      <c r="M16996" t="s">
        <v>10284</v>
      </c>
      <c r="Q16996" t="s">
        <v>10286</v>
      </c>
      <c r="R16996" t="s">
        <v>10287</v>
      </c>
      <c r="S16996" t="s">
        <v>10288</v>
      </c>
      <c r="T16996" t="s">
        <v>10289</v>
      </c>
      <c r="U16996" t="s">
        <v>10290</v>
      </c>
      <c r="V16996" t="s">
        <v>10291</v>
      </c>
      <c r="Y16996" t="s">
        <v>56980</v>
      </c>
    </row>
    <row r="16997" spans="1:25" x14ac:dyDescent="0.25">
      <c r="A16997" t="str">
        <f>"85585450753"</f>
        <v>85585450753</v>
      </c>
      <c r="B16997" t="s">
        <v>430</v>
      </c>
      <c r="C16997" t="s">
        <v>11849</v>
      </c>
      <c r="D16997" t="s">
        <v>56981</v>
      </c>
      <c r="E16997">
        <v>425003</v>
      </c>
      <c r="F16997" t="s">
        <v>1</v>
      </c>
      <c r="G16997" t="s">
        <v>52955</v>
      </c>
      <c r="H16997" t="s">
        <v>56982</v>
      </c>
      <c r="J16997" t="s">
        <v>56030</v>
      </c>
      <c r="L16997" t="s">
        <v>56031</v>
      </c>
      <c r="P16997" t="s">
        <v>330</v>
      </c>
      <c r="Q16997" t="s">
        <v>56032</v>
      </c>
      <c r="Y16997" t="s">
        <v>56983</v>
      </c>
    </row>
    <row r="16998" spans="1:25" x14ac:dyDescent="0.25">
      <c r="A16998" t="str">
        <f>"85913796522"</f>
        <v>85913796522</v>
      </c>
      <c r="B16998" t="s">
        <v>117</v>
      </c>
      <c r="C16998" t="s">
        <v>873</v>
      </c>
      <c r="D16998" t="s">
        <v>870</v>
      </c>
      <c r="F16998" t="s">
        <v>1</v>
      </c>
      <c r="G16998" t="s">
        <v>52955</v>
      </c>
      <c r="H16998" t="s">
        <v>56342</v>
      </c>
      <c r="Y16998" t="s">
        <v>56984</v>
      </c>
    </row>
    <row r="16999" spans="1:25" x14ac:dyDescent="0.25">
      <c r="A16999" t="str">
        <f>"85953187272"</f>
        <v>85953187272</v>
      </c>
      <c r="B16999" t="s">
        <v>930</v>
      </c>
      <c r="C16999" t="s">
        <v>56986</v>
      </c>
      <c r="D16999" t="s">
        <v>51022</v>
      </c>
      <c r="F16999" t="s">
        <v>1</v>
      </c>
      <c r="G16999" t="s">
        <v>52955</v>
      </c>
      <c r="H16999" t="s">
        <v>54453</v>
      </c>
      <c r="I16999" t="s">
        <v>33137</v>
      </c>
      <c r="J16999" t="s">
        <v>33138</v>
      </c>
      <c r="L16999" t="s">
        <v>33139</v>
      </c>
      <c r="M16999" t="s">
        <v>56985</v>
      </c>
      <c r="P16999" t="s">
        <v>2050</v>
      </c>
      <c r="Q16999" t="s">
        <v>51023</v>
      </c>
      <c r="Y16999" t="s">
        <v>56987</v>
      </c>
    </row>
    <row r="17000" spans="1:25" x14ac:dyDescent="0.25">
      <c r="A17000" t="str">
        <f>"85955049741"</f>
        <v>85955049741</v>
      </c>
      <c r="B17000" t="s">
        <v>2846</v>
      </c>
      <c r="C17000" t="s">
        <v>49712</v>
      </c>
      <c r="D17000" t="s">
        <v>56988</v>
      </c>
      <c r="E17000">
        <v>425000</v>
      </c>
      <c r="F17000" t="s">
        <v>1</v>
      </c>
      <c r="G17000" t="s">
        <v>52955</v>
      </c>
      <c r="H17000" t="s">
        <v>55986</v>
      </c>
      <c r="I17000" t="s">
        <v>49709</v>
      </c>
      <c r="L17000" t="s">
        <v>56989</v>
      </c>
      <c r="M17000" t="s">
        <v>56990</v>
      </c>
      <c r="P17000" t="s">
        <v>144</v>
      </c>
      <c r="Y17000" t="s">
        <v>55989</v>
      </c>
    </row>
    <row r="17001" spans="1:25" x14ac:dyDescent="0.25">
      <c r="A17001" t="str">
        <f>"85978683208"</f>
        <v>85978683208</v>
      </c>
      <c r="B17001" t="s">
        <v>930</v>
      </c>
      <c r="C17001" t="s">
        <v>56993</v>
      </c>
      <c r="D17001" t="s">
        <v>15966</v>
      </c>
      <c r="F17001" t="s">
        <v>1</v>
      </c>
      <c r="G17001" t="s">
        <v>52955</v>
      </c>
      <c r="H17001" t="s">
        <v>56991</v>
      </c>
      <c r="J17001" t="s">
        <v>56992</v>
      </c>
      <c r="P17001" t="s">
        <v>144</v>
      </c>
      <c r="Y17001" t="s">
        <v>56994</v>
      </c>
    </row>
    <row r="17002" spans="1:25" x14ac:dyDescent="0.25">
      <c r="A17002" t="str">
        <f>"86072352050"</f>
        <v>86072352050</v>
      </c>
      <c r="B17002" t="s">
        <v>96</v>
      </c>
      <c r="C17002" t="s">
        <v>893</v>
      </c>
      <c r="D17002" t="s">
        <v>29523</v>
      </c>
      <c r="F17002" t="s">
        <v>1</v>
      </c>
      <c r="G17002" t="s">
        <v>52955</v>
      </c>
      <c r="H17002" t="s">
        <v>55928</v>
      </c>
      <c r="Y17002" t="s">
        <v>56995</v>
      </c>
    </row>
    <row r="17003" spans="1:25" x14ac:dyDescent="0.25">
      <c r="A17003" t="str">
        <f>"86079992228"</f>
        <v>86079992228</v>
      </c>
      <c r="B17003" t="s">
        <v>930</v>
      </c>
      <c r="C17003" t="s">
        <v>1940</v>
      </c>
      <c r="D17003" t="s">
        <v>1094</v>
      </c>
      <c r="E17003">
        <v>425005</v>
      </c>
      <c r="F17003" t="s">
        <v>1</v>
      </c>
      <c r="G17003" t="s">
        <v>52955</v>
      </c>
      <c r="H17003" t="s">
        <v>56996</v>
      </c>
      <c r="J17003" t="s">
        <v>56997</v>
      </c>
      <c r="P17003" t="s">
        <v>3393</v>
      </c>
      <c r="Y17003" t="s">
        <v>56998</v>
      </c>
    </row>
    <row r="17004" spans="1:25" x14ac:dyDescent="0.25">
      <c r="A17004" t="str">
        <f>"86158434959"</f>
        <v>86158434959</v>
      </c>
      <c r="B17004" t="s">
        <v>1046</v>
      </c>
      <c r="C17004" t="s">
        <v>22946</v>
      </c>
      <c r="D17004" t="s">
        <v>22946</v>
      </c>
      <c r="E17004">
        <v>425005</v>
      </c>
      <c r="F17004" t="s">
        <v>1</v>
      </c>
      <c r="G17004" t="s">
        <v>52955</v>
      </c>
      <c r="H17004" t="s">
        <v>54351</v>
      </c>
      <c r="Y17004" t="s">
        <v>56999</v>
      </c>
    </row>
    <row r="17005" spans="1:25" x14ac:dyDescent="0.25">
      <c r="A17005" t="str">
        <f>"86316254524"</f>
        <v>86316254524</v>
      </c>
      <c r="B17005" t="s">
        <v>574</v>
      </c>
      <c r="C17005" t="s">
        <v>646</v>
      </c>
      <c r="D17005" t="s">
        <v>4221</v>
      </c>
      <c r="E17005">
        <v>425011</v>
      </c>
      <c r="F17005" t="s">
        <v>1</v>
      </c>
      <c r="G17005" t="s">
        <v>52955</v>
      </c>
      <c r="H17005" t="s">
        <v>53457</v>
      </c>
      <c r="P17005" t="s">
        <v>647</v>
      </c>
      <c r="Y17005" t="s">
        <v>57000</v>
      </c>
    </row>
    <row r="17006" spans="1:25" x14ac:dyDescent="0.25">
      <c r="A17006" t="str">
        <f>"86447317323"</f>
        <v>86447317323</v>
      </c>
      <c r="B17006" t="s">
        <v>1611</v>
      </c>
      <c r="C17006" t="s">
        <v>3218</v>
      </c>
      <c r="D17006" t="s">
        <v>57001</v>
      </c>
      <c r="E17006">
        <v>425000</v>
      </c>
      <c r="F17006" t="s">
        <v>1</v>
      </c>
      <c r="G17006" t="s">
        <v>52955</v>
      </c>
      <c r="H17006" t="s">
        <v>57002</v>
      </c>
      <c r="Y17006" t="s">
        <v>57003</v>
      </c>
    </row>
    <row r="17007" spans="1:25" x14ac:dyDescent="0.25">
      <c r="A17007" t="str">
        <f>"86564763321"</f>
        <v>86564763321</v>
      </c>
      <c r="B17007" t="s">
        <v>1046</v>
      </c>
      <c r="C17007" t="s">
        <v>22946</v>
      </c>
      <c r="D17007" t="s">
        <v>22946</v>
      </c>
      <c r="F17007" t="s">
        <v>1</v>
      </c>
      <c r="G17007" t="s">
        <v>52955</v>
      </c>
      <c r="H17007" t="s">
        <v>55243</v>
      </c>
      <c r="Y17007" t="s">
        <v>57004</v>
      </c>
    </row>
    <row r="17008" spans="1:25" x14ac:dyDescent="0.25">
      <c r="A17008" t="str">
        <f>"86704430895"</f>
        <v>86704430895</v>
      </c>
      <c r="B17008" t="s">
        <v>233</v>
      </c>
      <c r="C17008" t="s">
        <v>34636</v>
      </c>
      <c r="D17008" t="s">
        <v>23546</v>
      </c>
      <c r="E17008">
        <v>425000</v>
      </c>
      <c r="F17008" t="s">
        <v>1</v>
      </c>
      <c r="G17008" t="s">
        <v>52955</v>
      </c>
      <c r="H17008" t="s">
        <v>55409</v>
      </c>
      <c r="Y17008" t="s">
        <v>57005</v>
      </c>
    </row>
    <row r="17009" spans="1:25" x14ac:dyDescent="0.25">
      <c r="A17009" t="str">
        <f>"86718588272"</f>
        <v>86718588272</v>
      </c>
      <c r="B17009" t="s">
        <v>574</v>
      </c>
      <c r="C17009" t="s">
        <v>646</v>
      </c>
      <c r="D17009" t="s">
        <v>39644</v>
      </c>
      <c r="F17009" t="s">
        <v>1</v>
      </c>
      <c r="G17009" t="s">
        <v>52955</v>
      </c>
      <c r="H17009" t="s">
        <v>54589</v>
      </c>
      <c r="P17009" t="s">
        <v>13505</v>
      </c>
      <c r="Y17009" t="s">
        <v>57006</v>
      </c>
    </row>
    <row r="17010" spans="1:25" x14ac:dyDescent="0.25">
      <c r="A17010" t="str">
        <f>"87213287137"</f>
        <v>87213287137</v>
      </c>
      <c r="B17010" t="s">
        <v>462</v>
      </c>
      <c r="C17010" t="s">
        <v>5618</v>
      </c>
      <c r="D17010" t="s">
        <v>51103</v>
      </c>
      <c r="E17010">
        <v>425000</v>
      </c>
      <c r="F17010" t="s">
        <v>1</v>
      </c>
      <c r="G17010" t="s">
        <v>52955</v>
      </c>
      <c r="H17010" t="s">
        <v>57007</v>
      </c>
      <c r="Y17010" t="s">
        <v>57008</v>
      </c>
    </row>
    <row r="17011" spans="1:25" x14ac:dyDescent="0.25">
      <c r="A17011" t="str">
        <f>"87427216310"</f>
        <v>87427216310</v>
      </c>
      <c r="B17011" t="s">
        <v>2846</v>
      </c>
      <c r="C17011" t="s">
        <v>17743</v>
      </c>
      <c r="D17011" t="s">
        <v>17743</v>
      </c>
      <c r="E17011">
        <v>425000</v>
      </c>
      <c r="F17011" t="s">
        <v>1</v>
      </c>
      <c r="G17011" t="s">
        <v>52955</v>
      </c>
      <c r="H17011" t="s">
        <v>56441</v>
      </c>
      <c r="Y17011" t="s">
        <v>57009</v>
      </c>
    </row>
    <row r="17012" spans="1:25" x14ac:dyDescent="0.25">
      <c r="A17012" t="str">
        <f>"87637941907"</f>
        <v>87637941907</v>
      </c>
      <c r="B17012" t="s">
        <v>10383</v>
      </c>
      <c r="C17012" t="s">
        <v>40528</v>
      </c>
      <c r="D17012" t="s">
        <v>55318</v>
      </c>
      <c r="F17012" t="s">
        <v>1</v>
      </c>
      <c r="G17012" t="s">
        <v>52955</v>
      </c>
      <c r="H17012" t="s">
        <v>53644</v>
      </c>
      <c r="L17012" t="s">
        <v>55320</v>
      </c>
      <c r="M17012" t="s">
        <v>55321</v>
      </c>
      <c r="Y17012" t="s">
        <v>57010</v>
      </c>
    </row>
    <row r="17013" spans="1:25" x14ac:dyDescent="0.25">
      <c r="A17013" t="str">
        <f>"88022606266"</f>
        <v>88022606266</v>
      </c>
      <c r="B17013" t="s">
        <v>930</v>
      </c>
      <c r="C17013" t="s">
        <v>1096</v>
      </c>
      <c r="D17013" t="s">
        <v>1094</v>
      </c>
      <c r="E17013">
        <v>425005</v>
      </c>
      <c r="F17013" t="s">
        <v>1</v>
      </c>
      <c r="G17013" t="s">
        <v>52955</v>
      </c>
      <c r="H17013" t="s">
        <v>57011</v>
      </c>
      <c r="Y17013" t="s">
        <v>57012</v>
      </c>
    </row>
    <row r="17014" spans="1:25" x14ac:dyDescent="0.25">
      <c r="A17014" t="str">
        <f>"88105290253"</f>
        <v>88105290253</v>
      </c>
      <c r="B17014" t="s">
        <v>290</v>
      </c>
      <c r="C17014" t="s">
        <v>290</v>
      </c>
      <c r="D17014" t="s">
        <v>57013</v>
      </c>
      <c r="E17014">
        <v>425000</v>
      </c>
      <c r="F17014" t="s">
        <v>1</v>
      </c>
      <c r="G17014" t="s">
        <v>52955</v>
      </c>
      <c r="H17014" t="s">
        <v>57014</v>
      </c>
      <c r="J17014" t="s">
        <v>57015</v>
      </c>
      <c r="P17014" t="s">
        <v>26289</v>
      </c>
      <c r="Y17014" t="s">
        <v>57016</v>
      </c>
    </row>
    <row r="17015" spans="1:25" x14ac:dyDescent="0.25">
      <c r="A17015" t="str">
        <f>"88132778875"</f>
        <v>88132778875</v>
      </c>
      <c r="B17015" t="s">
        <v>18</v>
      </c>
      <c r="C17015" t="s">
        <v>57021</v>
      </c>
      <c r="D17015" t="s">
        <v>57017</v>
      </c>
      <c r="E17015">
        <v>425000</v>
      </c>
      <c r="F17015" t="s">
        <v>1</v>
      </c>
      <c r="G17015" t="s">
        <v>52955</v>
      </c>
      <c r="H17015" t="s">
        <v>53639</v>
      </c>
      <c r="I17015" t="s">
        <v>57018</v>
      </c>
      <c r="L17015" t="s">
        <v>57019</v>
      </c>
      <c r="M17015" t="s">
        <v>57020</v>
      </c>
      <c r="Y17015" t="s">
        <v>53642</v>
      </c>
    </row>
    <row r="17016" spans="1:25" x14ac:dyDescent="0.25">
      <c r="A17016" t="str">
        <f>"88717486801"</f>
        <v>88717486801</v>
      </c>
      <c r="B17016" t="s">
        <v>18</v>
      </c>
      <c r="C17016" t="s">
        <v>56755</v>
      </c>
      <c r="D17016" t="s">
        <v>56754</v>
      </c>
      <c r="E17016">
        <v>425001</v>
      </c>
      <c r="F17016" t="s">
        <v>1</v>
      </c>
      <c r="G17016" t="s">
        <v>52955</v>
      </c>
      <c r="H17016" t="s">
        <v>54992</v>
      </c>
      <c r="Y17016" t="s">
        <v>57022</v>
      </c>
    </row>
    <row r="17017" spans="1:25" x14ac:dyDescent="0.25">
      <c r="A17017" t="str">
        <f>"89114735069"</f>
        <v>89114735069</v>
      </c>
      <c r="B17017" t="s">
        <v>1222</v>
      </c>
      <c r="C17017" t="s">
        <v>2114</v>
      </c>
      <c r="D17017" t="s">
        <v>57023</v>
      </c>
      <c r="E17017">
        <v>425000</v>
      </c>
      <c r="F17017" t="s">
        <v>1</v>
      </c>
      <c r="G17017" t="s">
        <v>52955</v>
      </c>
      <c r="H17017" t="s">
        <v>55351</v>
      </c>
      <c r="Y17017" t="s">
        <v>57024</v>
      </c>
    </row>
    <row r="17018" spans="1:25" x14ac:dyDescent="0.25">
      <c r="A17018" t="str">
        <f>"89708109373"</f>
        <v>89708109373</v>
      </c>
      <c r="B17018" t="s">
        <v>25</v>
      </c>
      <c r="C17018" t="s">
        <v>26</v>
      </c>
      <c r="D17018" t="s">
        <v>57025</v>
      </c>
      <c r="F17018" t="s">
        <v>1</v>
      </c>
      <c r="G17018" t="s">
        <v>52955</v>
      </c>
      <c r="H17018" t="s">
        <v>53211</v>
      </c>
      <c r="I17018" t="s">
        <v>57026</v>
      </c>
      <c r="P17018" t="s">
        <v>31080</v>
      </c>
      <c r="Y17018" t="s">
        <v>53759</v>
      </c>
    </row>
    <row r="17019" spans="1:25" x14ac:dyDescent="0.25">
      <c r="A17019" t="str">
        <f>"89828031478"</f>
        <v>89828031478</v>
      </c>
      <c r="B17019" t="s">
        <v>2601</v>
      </c>
      <c r="C17019" t="s">
        <v>24678</v>
      </c>
      <c r="D17019" t="s">
        <v>29335</v>
      </c>
      <c r="E17019">
        <v>425000</v>
      </c>
      <c r="F17019" t="s">
        <v>1</v>
      </c>
      <c r="G17019" t="s">
        <v>52955</v>
      </c>
      <c r="H17019" t="s">
        <v>55115</v>
      </c>
      <c r="P17019" t="s">
        <v>112</v>
      </c>
      <c r="Y17019" t="s">
        <v>57027</v>
      </c>
    </row>
    <row r="17020" spans="1:25" x14ac:dyDescent="0.25">
      <c r="A17020" t="str">
        <f>"89975498052"</f>
        <v>89975498052</v>
      </c>
      <c r="B17020" t="s">
        <v>18</v>
      </c>
      <c r="C17020" t="s">
        <v>959</v>
      </c>
      <c r="D17020" t="s">
        <v>57028</v>
      </c>
      <c r="E17020">
        <v>425000</v>
      </c>
      <c r="F17020" t="s">
        <v>1</v>
      </c>
      <c r="G17020" t="s">
        <v>52955</v>
      </c>
      <c r="H17020" t="s">
        <v>57029</v>
      </c>
      <c r="J17020" t="s">
        <v>29442</v>
      </c>
      <c r="M17020" t="s">
        <v>57030</v>
      </c>
      <c r="P17020" t="s">
        <v>1027</v>
      </c>
      <c r="Y17020" t="s">
        <v>57031</v>
      </c>
    </row>
    <row r="17021" spans="1:25" x14ac:dyDescent="0.25">
      <c r="A17021" t="str">
        <f>"90168603920"</f>
        <v>90168603920</v>
      </c>
      <c r="B17021" t="s">
        <v>1046</v>
      </c>
      <c r="C17021" t="s">
        <v>22946</v>
      </c>
      <c r="D17021" t="s">
        <v>57032</v>
      </c>
      <c r="F17021" t="s">
        <v>1</v>
      </c>
      <c r="G17021" t="s">
        <v>52955</v>
      </c>
      <c r="H17021" t="s">
        <v>55724</v>
      </c>
      <c r="Y17021" t="s">
        <v>57033</v>
      </c>
    </row>
    <row r="17022" spans="1:25" x14ac:dyDescent="0.25">
      <c r="A17022" t="str">
        <f>"90282862848"</f>
        <v>90282862848</v>
      </c>
      <c r="B17022" t="s">
        <v>7</v>
      </c>
      <c r="C17022" t="s">
        <v>8041</v>
      </c>
      <c r="D17022" t="s">
        <v>57034</v>
      </c>
      <c r="E17022">
        <v>425000</v>
      </c>
      <c r="F17022" t="s">
        <v>1</v>
      </c>
      <c r="G17022" t="s">
        <v>52955</v>
      </c>
      <c r="H17022" t="s">
        <v>57035</v>
      </c>
      <c r="J17022" t="s">
        <v>57036</v>
      </c>
      <c r="P17022" t="s">
        <v>57037</v>
      </c>
      <c r="Y17022" t="s">
        <v>57038</v>
      </c>
    </row>
    <row r="17023" spans="1:25" x14ac:dyDescent="0.25">
      <c r="A17023" t="str">
        <f>"90876926666"</f>
        <v>90876926666</v>
      </c>
      <c r="B17023" t="s">
        <v>25</v>
      </c>
      <c r="C17023" t="s">
        <v>59</v>
      </c>
      <c r="D17023" t="s">
        <v>504</v>
      </c>
      <c r="E17023">
        <v>425000</v>
      </c>
      <c r="F17023" t="s">
        <v>1</v>
      </c>
      <c r="G17023" t="s">
        <v>52955</v>
      </c>
      <c r="H17023" t="s">
        <v>54152</v>
      </c>
      <c r="J17023" t="s">
        <v>57039</v>
      </c>
      <c r="P17023" t="s">
        <v>799</v>
      </c>
      <c r="Y17023" t="s">
        <v>55953</v>
      </c>
    </row>
    <row r="17024" spans="1:25" x14ac:dyDescent="0.25">
      <c r="A17024" t="str">
        <f>"90938148337"</f>
        <v>90938148337</v>
      </c>
      <c r="B17024" t="s">
        <v>2104</v>
      </c>
      <c r="C17024" t="s">
        <v>13387</v>
      </c>
      <c r="D17024" t="s">
        <v>34531</v>
      </c>
      <c r="E17024">
        <v>425009</v>
      </c>
      <c r="F17024" t="s">
        <v>1</v>
      </c>
      <c r="G17024" t="s">
        <v>52955</v>
      </c>
      <c r="H17024" t="s">
        <v>55039</v>
      </c>
      <c r="Y17024" t="s">
        <v>57040</v>
      </c>
    </row>
    <row r="17025" spans="1:25" x14ac:dyDescent="0.25">
      <c r="A17025" t="str">
        <f>"90978814688"</f>
        <v>90978814688</v>
      </c>
      <c r="B17025" t="s">
        <v>1222</v>
      </c>
      <c r="C17025" t="s">
        <v>2114</v>
      </c>
      <c r="D17025" t="s">
        <v>57041</v>
      </c>
      <c r="E17025">
        <v>425000</v>
      </c>
      <c r="F17025" t="s">
        <v>1</v>
      </c>
      <c r="G17025" t="s">
        <v>52955</v>
      </c>
      <c r="H17025" t="s">
        <v>54206</v>
      </c>
      <c r="J17025" t="s">
        <v>57042</v>
      </c>
      <c r="P17025" t="s">
        <v>152</v>
      </c>
      <c r="Y17025" t="s">
        <v>55783</v>
      </c>
    </row>
    <row r="17026" spans="1:25" x14ac:dyDescent="0.25">
      <c r="A17026" t="str">
        <f>"91000957783"</f>
        <v>91000957783</v>
      </c>
      <c r="B17026" t="s">
        <v>1053</v>
      </c>
      <c r="C17026" t="s">
        <v>57045</v>
      </c>
      <c r="D17026" t="s">
        <v>57043</v>
      </c>
      <c r="E17026">
        <v>425000</v>
      </c>
      <c r="F17026" t="s">
        <v>1</v>
      </c>
      <c r="G17026" t="s">
        <v>52955</v>
      </c>
      <c r="H17026" t="s">
        <v>55741</v>
      </c>
      <c r="J17026" t="s">
        <v>57044</v>
      </c>
      <c r="P17026" t="s">
        <v>1071</v>
      </c>
      <c r="Y17026" t="s">
        <v>57046</v>
      </c>
    </row>
    <row r="17027" spans="1:25" x14ac:dyDescent="0.25">
      <c r="A17027" t="str">
        <f>"91068534285"</f>
        <v>91068534285</v>
      </c>
      <c r="B17027" t="s">
        <v>574</v>
      </c>
      <c r="C17027" t="s">
        <v>646</v>
      </c>
      <c r="D17027" t="s">
        <v>4221</v>
      </c>
      <c r="F17027" t="s">
        <v>1</v>
      </c>
      <c r="G17027" t="s">
        <v>52955</v>
      </c>
      <c r="H17027" t="s">
        <v>53198</v>
      </c>
      <c r="Y17027" t="s">
        <v>57047</v>
      </c>
    </row>
    <row r="17028" spans="1:25" x14ac:dyDescent="0.25">
      <c r="A17028" t="str">
        <f>"91135824373"</f>
        <v>91135824373</v>
      </c>
      <c r="B17028" t="s">
        <v>417</v>
      </c>
      <c r="C17028" t="s">
        <v>418</v>
      </c>
      <c r="D17028" t="s">
        <v>57048</v>
      </c>
      <c r="E17028">
        <v>425000</v>
      </c>
      <c r="F17028" t="s">
        <v>1</v>
      </c>
      <c r="G17028" t="s">
        <v>52955</v>
      </c>
      <c r="H17028" t="s">
        <v>53853</v>
      </c>
      <c r="P17028" t="s">
        <v>57049</v>
      </c>
      <c r="Y17028" t="s">
        <v>57050</v>
      </c>
    </row>
    <row r="17029" spans="1:25" x14ac:dyDescent="0.25">
      <c r="A17029" t="str">
        <f>"91219698376"</f>
        <v>91219698376</v>
      </c>
      <c r="B17029" t="s">
        <v>352</v>
      </c>
      <c r="C17029" t="s">
        <v>29673</v>
      </c>
      <c r="D17029" t="s">
        <v>42634</v>
      </c>
      <c r="F17029" t="s">
        <v>1</v>
      </c>
      <c r="G17029" t="s">
        <v>52955</v>
      </c>
      <c r="H17029" t="s">
        <v>53727</v>
      </c>
      <c r="Y17029" t="s">
        <v>57051</v>
      </c>
    </row>
    <row r="17030" spans="1:25" x14ac:dyDescent="0.25">
      <c r="A17030" t="str">
        <f>"91473394368"</f>
        <v>91473394368</v>
      </c>
      <c r="B17030" t="s">
        <v>290</v>
      </c>
      <c r="C17030" t="s">
        <v>11114</v>
      </c>
      <c r="D17030" t="s">
        <v>57052</v>
      </c>
      <c r="F17030" t="s">
        <v>1</v>
      </c>
      <c r="G17030" t="s">
        <v>52955</v>
      </c>
      <c r="H17030" t="s">
        <v>56024</v>
      </c>
      <c r="Y17030" t="s">
        <v>57053</v>
      </c>
    </row>
    <row r="17031" spans="1:25" x14ac:dyDescent="0.25">
      <c r="A17031" t="str">
        <f>"91926580448"</f>
        <v>91926580448</v>
      </c>
      <c r="B17031" t="s">
        <v>469</v>
      </c>
      <c r="C17031" t="s">
        <v>24886</v>
      </c>
      <c r="D17031" t="s">
        <v>57054</v>
      </c>
      <c r="E17031">
        <v>425000</v>
      </c>
      <c r="F17031" t="s">
        <v>1</v>
      </c>
      <c r="G17031" t="s">
        <v>52955</v>
      </c>
      <c r="H17031" t="s">
        <v>55251</v>
      </c>
      <c r="J17031" t="s">
        <v>57055</v>
      </c>
      <c r="P17031" t="s">
        <v>57056</v>
      </c>
      <c r="Q17031" t="s">
        <v>57057</v>
      </c>
      <c r="Y17031" t="s">
        <v>56146</v>
      </c>
    </row>
    <row r="17032" spans="1:25" x14ac:dyDescent="0.25">
      <c r="A17032" t="str">
        <f>"92022161227"</f>
        <v>92022161227</v>
      </c>
      <c r="B17032" t="s">
        <v>348</v>
      </c>
      <c r="C17032" t="s">
        <v>4366</v>
      </c>
      <c r="D17032" t="s">
        <v>57058</v>
      </c>
      <c r="E17032">
        <v>425000</v>
      </c>
      <c r="F17032" t="s">
        <v>1</v>
      </c>
      <c r="G17032" t="s">
        <v>52955</v>
      </c>
      <c r="H17032" t="s">
        <v>57059</v>
      </c>
      <c r="I17032" t="s">
        <v>57060</v>
      </c>
      <c r="P17032" t="s">
        <v>869</v>
      </c>
      <c r="Y17032" t="s">
        <v>57061</v>
      </c>
    </row>
    <row r="17033" spans="1:25" x14ac:dyDescent="0.25">
      <c r="A17033" t="str">
        <f>"92811526923"</f>
        <v>92811526923</v>
      </c>
      <c r="B17033" t="s">
        <v>574</v>
      </c>
      <c r="C17033" t="s">
        <v>646</v>
      </c>
      <c r="D17033" t="s">
        <v>57062</v>
      </c>
      <c r="F17033" t="s">
        <v>1</v>
      </c>
      <c r="G17033" t="s">
        <v>52955</v>
      </c>
      <c r="H17033" t="s">
        <v>56024</v>
      </c>
      <c r="Y17033" t="s">
        <v>57063</v>
      </c>
    </row>
    <row r="17034" spans="1:25" x14ac:dyDescent="0.25">
      <c r="A17034" t="str">
        <f>"93095731963"</f>
        <v>93095731963</v>
      </c>
      <c r="B17034" t="s">
        <v>574</v>
      </c>
      <c r="C17034" t="s">
        <v>9802</v>
      </c>
      <c r="D17034" t="s">
        <v>24294</v>
      </c>
      <c r="E17034">
        <v>425009</v>
      </c>
      <c r="F17034" t="s">
        <v>1</v>
      </c>
      <c r="G17034" t="s">
        <v>52955</v>
      </c>
      <c r="H17034" t="s">
        <v>55228</v>
      </c>
      <c r="Y17034" t="s">
        <v>57064</v>
      </c>
    </row>
    <row r="17035" spans="1:25" x14ac:dyDescent="0.25">
      <c r="A17035" t="str">
        <f>"93751622741"</f>
        <v>93751622741</v>
      </c>
      <c r="B17035" t="s">
        <v>284</v>
      </c>
      <c r="C17035" t="s">
        <v>37806</v>
      </c>
      <c r="D17035" t="s">
        <v>57065</v>
      </c>
      <c r="F17035" t="s">
        <v>1</v>
      </c>
      <c r="G17035" t="s">
        <v>52955</v>
      </c>
      <c r="H17035" t="s">
        <v>55903</v>
      </c>
      <c r="Y17035" t="s">
        <v>57066</v>
      </c>
    </row>
    <row r="17036" spans="1:25" x14ac:dyDescent="0.25">
      <c r="A17036" t="str">
        <f>"93780900305"</f>
        <v>93780900305</v>
      </c>
      <c r="B17036" t="s">
        <v>1152</v>
      </c>
      <c r="C17036" t="s">
        <v>1153</v>
      </c>
      <c r="D17036" t="s">
        <v>10280</v>
      </c>
      <c r="E17036">
        <v>425003</v>
      </c>
      <c r="F17036" t="s">
        <v>1</v>
      </c>
      <c r="G17036" t="s">
        <v>52955</v>
      </c>
      <c r="H17036" t="s">
        <v>57067</v>
      </c>
      <c r="I17036" t="s">
        <v>22092</v>
      </c>
      <c r="M17036" t="s">
        <v>10284</v>
      </c>
      <c r="Q17036" t="s">
        <v>10286</v>
      </c>
      <c r="R17036" t="s">
        <v>10287</v>
      </c>
      <c r="S17036" t="s">
        <v>10288</v>
      </c>
      <c r="T17036" t="s">
        <v>10289</v>
      </c>
      <c r="U17036" t="s">
        <v>10290</v>
      </c>
      <c r="V17036" t="s">
        <v>10291</v>
      </c>
      <c r="Y17036" t="s">
        <v>57068</v>
      </c>
    </row>
    <row r="17037" spans="1:25" x14ac:dyDescent="0.25">
      <c r="A17037" t="str">
        <f>"93860924435"</f>
        <v>93860924435</v>
      </c>
      <c r="B17037" t="s">
        <v>574</v>
      </c>
      <c r="C17037" t="s">
        <v>21805</v>
      </c>
      <c r="D17037" t="s">
        <v>24214</v>
      </c>
      <c r="E17037">
        <v>425009</v>
      </c>
      <c r="F17037" t="s">
        <v>1</v>
      </c>
      <c r="G17037" t="s">
        <v>52955</v>
      </c>
      <c r="H17037" t="s">
        <v>54824</v>
      </c>
      <c r="J17037" t="s">
        <v>24215</v>
      </c>
      <c r="P17037" t="s">
        <v>647</v>
      </c>
      <c r="Y17037" t="s">
        <v>57069</v>
      </c>
    </row>
    <row r="17038" spans="1:25" x14ac:dyDescent="0.25">
      <c r="A17038" t="str">
        <f>"94256128493"</f>
        <v>94256128493</v>
      </c>
      <c r="B17038" t="s">
        <v>379</v>
      </c>
      <c r="C17038" t="s">
        <v>766</v>
      </c>
      <c r="D17038" t="s">
        <v>57070</v>
      </c>
      <c r="E17038">
        <v>425000</v>
      </c>
      <c r="F17038" t="s">
        <v>1</v>
      </c>
      <c r="G17038" t="s">
        <v>52955</v>
      </c>
      <c r="H17038" t="s">
        <v>53719</v>
      </c>
      <c r="Y17038" t="s">
        <v>57071</v>
      </c>
    </row>
    <row r="17039" spans="1:25" x14ac:dyDescent="0.25">
      <c r="A17039" t="str">
        <f>"94457630402"</f>
        <v>94457630402</v>
      </c>
      <c r="B17039" t="s">
        <v>117</v>
      </c>
      <c r="C17039" t="s">
        <v>35007</v>
      </c>
      <c r="D17039" t="s">
        <v>35007</v>
      </c>
      <c r="E17039">
        <v>425001</v>
      </c>
      <c r="F17039" t="s">
        <v>1</v>
      </c>
      <c r="G17039" t="s">
        <v>52955</v>
      </c>
      <c r="H17039" t="s">
        <v>57072</v>
      </c>
      <c r="Y17039" t="s">
        <v>57073</v>
      </c>
    </row>
    <row r="17040" spans="1:25" x14ac:dyDescent="0.25">
      <c r="A17040" t="str">
        <f>"94565485850"</f>
        <v>94565485850</v>
      </c>
      <c r="B17040" t="s">
        <v>224</v>
      </c>
      <c r="C17040" t="s">
        <v>815</v>
      </c>
      <c r="D17040" t="s">
        <v>811</v>
      </c>
      <c r="E17040">
        <v>425000</v>
      </c>
      <c r="F17040" t="s">
        <v>1</v>
      </c>
      <c r="G17040" t="s">
        <v>52955</v>
      </c>
      <c r="H17040" t="s">
        <v>53911</v>
      </c>
      <c r="Y17040" t="s">
        <v>57074</v>
      </c>
    </row>
    <row r="17041" spans="1:25" x14ac:dyDescent="0.25">
      <c r="A17041" t="str">
        <f>"94774348437"</f>
        <v>94774348437</v>
      </c>
      <c r="B17041" t="s">
        <v>1152</v>
      </c>
      <c r="C17041" t="s">
        <v>57076</v>
      </c>
      <c r="D17041" t="s">
        <v>23231</v>
      </c>
      <c r="F17041" t="s">
        <v>1</v>
      </c>
      <c r="G17041" t="s">
        <v>52955</v>
      </c>
      <c r="H17041" t="s">
        <v>55928</v>
      </c>
      <c r="J17041" t="s">
        <v>57075</v>
      </c>
      <c r="P17041" t="s">
        <v>23807</v>
      </c>
      <c r="V17041" t="s">
        <v>57077</v>
      </c>
      <c r="Y17041" t="s">
        <v>57078</v>
      </c>
    </row>
    <row r="17042" spans="1:25" x14ac:dyDescent="0.25">
      <c r="A17042" t="str">
        <f>"94863991827"</f>
        <v>94863991827</v>
      </c>
      <c r="B17042" t="s">
        <v>2055</v>
      </c>
      <c r="C17042" t="s">
        <v>2623</v>
      </c>
      <c r="D17042" t="s">
        <v>57079</v>
      </c>
      <c r="E17042">
        <v>425000</v>
      </c>
      <c r="F17042" t="s">
        <v>1</v>
      </c>
      <c r="G17042" t="s">
        <v>52955</v>
      </c>
      <c r="H17042" t="s">
        <v>54295</v>
      </c>
      <c r="I17042" t="s">
        <v>57080</v>
      </c>
      <c r="L17042" t="s">
        <v>57081</v>
      </c>
      <c r="M17042" t="s">
        <v>57082</v>
      </c>
      <c r="P17042" t="s">
        <v>390</v>
      </c>
      <c r="Y17042" t="s">
        <v>54299</v>
      </c>
    </row>
    <row r="17043" spans="1:25" x14ac:dyDescent="0.25">
      <c r="A17043" t="str">
        <f>"94894580651"</f>
        <v>94894580651</v>
      </c>
      <c r="B17043" t="s">
        <v>574</v>
      </c>
      <c r="C17043" t="s">
        <v>646</v>
      </c>
      <c r="D17043" t="s">
        <v>57083</v>
      </c>
      <c r="E17043">
        <v>425001</v>
      </c>
      <c r="F17043" t="s">
        <v>1</v>
      </c>
      <c r="G17043" t="s">
        <v>52955</v>
      </c>
      <c r="H17043" t="s">
        <v>53017</v>
      </c>
      <c r="Y17043" t="s">
        <v>57084</v>
      </c>
    </row>
    <row r="17044" spans="1:25" x14ac:dyDescent="0.25">
      <c r="A17044" t="str">
        <f>"94908672459"</f>
        <v>94908672459</v>
      </c>
      <c r="B17044" t="s">
        <v>117</v>
      </c>
      <c r="C17044" t="s">
        <v>873</v>
      </c>
      <c r="D17044" t="s">
        <v>873</v>
      </c>
      <c r="E17044">
        <v>425000</v>
      </c>
      <c r="F17044" t="s">
        <v>1</v>
      </c>
      <c r="G17044" t="s">
        <v>52955</v>
      </c>
      <c r="H17044" t="s">
        <v>55381</v>
      </c>
      <c r="Y17044" t="s">
        <v>57085</v>
      </c>
    </row>
    <row r="17045" spans="1:25" x14ac:dyDescent="0.25">
      <c r="A17045" t="str">
        <f>"95003675528"</f>
        <v>95003675528</v>
      </c>
      <c r="B17045" t="s">
        <v>88</v>
      </c>
      <c r="C17045" t="s">
        <v>8056</v>
      </c>
      <c r="D17045" t="s">
        <v>57086</v>
      </c>
      <c r="F17045" t="s">
        <v>1</v>
      </c>
      <c r="G17045" t="s">
        <v>52955</v>
      </c>
      <c r="H17045" t="s">
        <v>55362</v>
      </c>
      <c r="Y17045" t="s">
        <v>57087</v>
      </c>
    </row>
    <row r="17046" spans="1:25" x14ac:dyDescent="0.25">
      <c r="A17046" t="str">
        <f>"95055526222"</f>
        <v>95055526222</v>
      </c>
      <c r="B17046" t="s">
        <v>233</v>
      </c>
      <c r="C17046" t="s">
        <v>42063</v>
      </c>
      <c r="D17046" t="s">
        <v>57088</v>
      </c>
      <c r="E17046">
        <v>425000</v>
      </c>
      <c r="F17046" t="s">
        <v>1</v>
      </c>
      <c r="G17046" t="s">
        <v>52955</v>
      </c>
      <c r="H17046" t="s">
        <v>53093</v>
      </c>
      <c r="Y17046" t="s">
        <v>57089</v>
      </c>
    </row>
    <row r="17047" spans="1:25" x14ac:dyDescent="0.25">
      <c r="A17047" t="str">
        <f>"95113552685"</f>
        <v>95113552685</v>
      </c>
      <c r="B17047" t="s">
        <v>574</v>
      </c>
      <c r="C17047" t="s">
        <v>646</v>
      </c>
      <c r="D17047" t="s">
        <v>4221</v>
      </c>
      <c r="F17047" t="s">
        <v>1</v>
      </c>
      <c r="G17047" t="s">
        <v>52955</v>
      </c>
      <c r="H17047" t="s">
        <v>56103</v>
      </c>
      <c r="P17047" t="s">
        <v>330</v>
      </c>
      <c r="Y17047" t="s">
        <v>57090</v>
      </c>
    </row>
    <row r="17048" spans="1:25" x14ac:dyDescent="0.25">
      <c r="A17048" t="str">
        <f>"95176798549"</f>
        <v>95176798549</v>
      </c>
      <c r="B17048" t="s">
        <v>1152</v>
      </c>
      <c r="C17048" t="s">
        <v>1153</v>
      </c>
      <c r="D17048" t="s">
        <v>10280</v>
      </c>
      <c r="F17048" t="s">
        <v>1</v>
      </c>
      <c r="G17048" t="s">
        <v>52955</v>
      </c>
      <c r="H17048" t="s">
        <v>53198</v>
      </c>
      <c r="I17048" t="s">
        <v>22092</v>
      </c>
      <c r="M17048" t="s">
        <v>10284</v>
      </c>
      <c r="Q17048" t="s">
        <v>10286</v>
      </c>
      <c r="R17048" t="s">
        <v>10287</v>
      </c>
      <c r="S17048" t="s">
        <v>10288</v>
      </c>
      <c r="T17048" t="s">
        <v>10289</v>
      </c>
      <c r="U17048" t="s">
        <v>10290</v>
      </c>
      <c r="V17048" t="s">
        <v>10291</v>
      </c>
      <c r="Y17048" t="s">
        <v>55699</v>
      </c>
    </row>
    <row r="17049" spans="1:25" x14ac:dyDescent="0.25">
      <c r="A17049" t="str">
        <f>"95454193225"</f>
        <v>95454193225</v>
      </c>
      <c r="B17049" t="s">
        <v>530</v>
      </c>
      <c r="C17049" t="s">
        <v>5046</v>
      </c>
      <c r="D17049" t="s">
        <v>57091</v>
      </c>
      <c r="E17049">
        <v>425000</v>
      </c>
      <c r="F17049" t="s">
        <v>1</v>
      </c>
      <c r="G17049" t="s">
        <v>52955</v>
      </c>
      <c r="H17049" t="s">
        <v>57092</v>
      </c>
      <c r="J17049" t="s">
        <v>57093</v>
      </c>
      <c r="P17049" t="s">
        <v>216</v>
      </c>
      <c r="Y17049" t="s">
        <v>57094</v>
      </c>
    </row>
    <row r="17050" spans="1:25" x14ac:dyDescent="0.25">
      <c r="A17050" t="str">
        <f>"95867090054"</f>
        <v>95867090054</v>
      </c>
      <c r="B17050" t="s">
        <v>18</v>
      </c>
      <c r="C17050" t="s">
        <v>4522</v>
      </c>
      <c r="D17050" t="s">
        <v>25094</v>
      </c>
      <c r="E17050">
        <v>425009</v>
      </c>
      <c r="F17050" t="s">
        <v>1</v>
      </c>
      <c r="G17050" t="s">
        <v>52955</v>
      </c>
      <c r="H17050" t="s">
        <v>54824</v>
      </c>
      <c r="Y17050" t="s">
        <v>57095</v>
      </c>
    </row>
    <row r="17051" spans="1:25" x14ac:dyDescent="0.25">
      <c r="A17051" t="str">
        <f>"95879608424"</f>
        <v>95879608424</v>
      </c>
      <c r="B17051" t="s">
        <v>2818</v>
      </c>
      <c r="C17051" t="s">
        <v>57096</v>
      </c>
      <c r="D17051" t="s">
        <v>57096</v>
      </c>
      <c r="F17051" t="s">
        <v>1</v>
      </c>
      <c r="G17051" t="s">
        <v>52955</v>
      </c>
      <c r="H17051" t="s">
        <v>55243</v>
      </c>
      <c r="Y17051" t="s">
        <v>57097</v>
      </c>
    </row>
    <row r="17052" spans="1:25" x14ac:dyDescent="0.25">
      <c r="A17052" t="str">
        <f>"96321598388"</f>
        <v>96321598388</v>
      </c>
      <c r="B17052" t="s">
        <v>574</v>
      </c>
      <c r="C17052" t="s">
        <v>952</v>
      </c>
      <c r="D17052" t="s">
        <v>57098</v>
      </c>
      <c r="E17052">
        <v>425000</v>
      </c>
      <c r="F17052" t="s">
        <v>1</v>
      </c>
      <c r="G17052" t="s">
        <v>52955</v>
      </c>
      <c r="H17052" t="s">
        <v>55381</v>
      </c>
      <c r="Y17052" t="s">
        <v>57099</v>
      </c>
    </row>
    <row r="17053" spans="1:25" x14ac:dyDescent="0.25">
      <c r="A17053" t="str">
        <f>"96504055133"</f>
        <v>96504055133</v>
      </c>
      <c r="B17053" t="s">
        <v>738</v>
      </c>
      <c r="C17053" t="s">
        <v>57105</v>
      </c>
      <c r="D17053" t="s">
        <v>57100</v>
      </c>
      <c r="E17053">
        <v>425000</v>
      </c>
      <c r="F17053" t="s">
        <v>1</v>
      </c>
      <c r="G17053" t="s">
        <v>52955</v>
      </c>
      <c r="H17053" t="s">
        <v>55381</v>
      </c>
      <c r="I17053" t="s">
        <v>57101</v>
      </c>
      <c r="J17053" t="s">
        <v>57102</v>
      </c>
      <c r="L17053" t="s">
        <v>57103</v>
      </c>
      <c r="M17053" t="s">
        <v>57104</v>
      </c>
      <c r="P17053" t="s">
        <v>3379</v>
      </c>
      <c r="V17053" t="s">
        <v>57106</v>
      </c>
      <c r="Y17053" t="s">
        <v>57107</v>
      </c>
    </row>
    <row r="17054" spans="1:25" x14ac:dyDescent="0.25">
      <c r="A17054" t="str">
        <f>"96780178599"</f>
        <v>96780178599</v>
      </c>
      <c r="B17054" t="s">
        <v>1758</v>
      </c>
      <c r="C17054" t="s">
        <v>2276</v>
      </c>
      <c r="D17054" t="s">
        <v>57108</v>
      </c>
      <c r="E17054">
        <v>425009</v>
      </c>
      <c r="F17054" t="s">
        <v>1</v>
      </c>
      <c r="G17054" t="s">
        <v>52955</v>
      </c>
      <c r="H17054" t="s">
        <v>53696</v>
      </c>
      <c r="J17054" t="s">
        <v>57109</v>
      </c>
      <c r="P17054" t="s">
        <v>5900</v>
      </c>
      <c r="Q17054" t="s">
        <v>57110</v>
      </c>
      <c r="V17054" t="s">
        <v>57111</v>
      </c>
      <c r="Y17054" t="s">
        <v>57112</v>
      </c>
    </row>
    <row r="17055" spans="1:25" x14ac:dyDescent="0.25">
      <c r="A17055" t="str">
        <f>"96877632487"</f>
        <v>96877632487</v>
      </c>
      <c r="B17055" t="s">
        <v>123</v>
      </c>
      <c r="C17055" t="s">
        <v>57114</v>
      </c>
      <c r="D17055" t="s">
        <v>57113</v>
      </c>
      <c r="E17055">
        <v>425000</v>
      </c>
      <c r="F17055" t="s">
        <v>1</v>
      </c>
      <c r="G17055" t="s">
        <v>52955</v>
      </c>
      <c r="H17055" t="s">
        <v>53132</v>
      </c>
      <c r="Y17055" t="s">
        <v>55400</v>
      </c>
    </row>
    <row r="17056" spans="1:25" x14ac:dyDescent="0.25">
      <c r="A17056" t="str">
        <f>"97259898376"</f>
        <v>97259898376</v>
      </c>
      <c r="B17056" t="s">
        <v>930</v>
      </c>
      <c r="C17056" t="s">
        <v>6070</v>
      </c>
      <c r="D17056" t="s">
        <v>20039</v>
      </c>
      <c r="E17056">
        <v>425011</v>
      </c>
      <c r="F17056" t="s">
        <v>1</v>
      </c>
      <c r="G17056" t="s">
        <v>52955</v>
      </c>
      <c r="H17056" t="s">
        <v>57115</v>
      </c>
      <c r="J17056" t="s">
        <v>57116</v>
      </c>
      <c r="M17056" t="s">
        <v>50966</v>
      </c>
      <c r="P17056" t="s">
        <v>330</v>
      </c>
      <c r="Y17056" t="s">
        <v>57117</v>
      </c>
    </row>
    <row r="17057" spans="1:25" x14ac:dyDescent="0.25">
      <c r="A17057" t="str">
        <f>"97317219430"</f>
        <v>97317219430</v>
      </c>
      <c r="B17057" t="s">
        <v>290</v>
      </c>
      <c r="C17057" t="s">
        <v>11114</v>
      </c>
      <c r="D17057" t="s">
        <v>43966</v>
      </c>
      <c r="F17057" t="s">
        <v>1</v>
      </c>
      <c r="G17057" t="s">
        <v>52955</v>
      </c>
      <c r="H17057" t="s">
        <v>53198</v>
      </c>
      <c r="Y17057" t="s">
        <v>57118</v>
      </c>
    </row>
    <row r="17058" spans="1:25" x14ac:dyDescent="0.25">
      <c r="A17058" t="str">
        <f>"97357418909"</f>
        <v>97357418909</v>
      </c>
      <c r="B17058" t="s">
        <v>117</v>
      </c>
      <c r="C17058" t="s">
        <v>118</v>
      </c>
      <c r="D17058" t="s">
        <v>25382</v>
      </c>
      <c r="F17058" t="s">
        <v>1</v>
      </c>
      <c r="G17058" t="s">
        <v>52955</v>
      </c>
      <c r="H17058" t="s">
        <v>57119</v>
      </c>
      <c r="Y17058" t="s">
        <v>57120</v>
      </c>
    </row>
    <row r="17059" spans="1:25" x14ac:dyDescent="0.25">
      <c r="A17059" t="str">
        <f>"97611634898"</f>
        <v>97611634898</v>
      </c>
      <c r="B17059" t="s">
        <v>2104</v>
      </c>
      <c r="C17059" t="s">
        <v>2105</v>
      </c>
      <c r="D17059" t="s">
        <v>57121</v>
      </c>
      <c r="F17059" t="s">
        <v>1</v>
      </c>
      <c r="G17059" t="s">
        <v>52955</v>
      </c>
      <c r="H17059" t="s">
        <v>56111</v>
      </c>
      <c r="P17059" t="s">
        <v>56224</v>
      </c>
      <c r="Y17059" t="s">
        <v>57122</v>
      </c>
    </row>
    <row r="17060" spans="1:25" x14ac:dyDescent="0.25">
      <c r="A17060" t="str">
        <f>"97789149199"</f>
        <v>97789149199</v>
      </c>
      <c r="B17060" t="s">
        <v>7312</v>
      </c>
      <c r="C17060" t="s">
        <v>19097</v>
      </c>
      <c r="D17060" t="s">
        <v>57123</v>
      </c>
      <c r="E17060">
        <v>425000</v>
      </c>
      <c r="F17060" t="s">
        <v>1</v>
      </c>
      <c r="G17060" t="s">
        <v>52955</v>
      </c>
      <c r="H17060" t="s">
        <v>53719</v>
      </c>
      <c r="Y17060" t="s">
        <v>57124</v>
      </c>
    </row>
    <row r="17061" spans="1:25" x14ac:dyDescent="0.25">
      <c r="A17061" t="str">
        <f>"97866527891"</f>
        <v>97866527891</v>
      </c>
      <c r="B17061" t="s">
        <v>1611</v>
      </c>
      <c r="C17061" t="s">
        <v>3218</v>
      </c>
      <c r="D17061" t="s">
        <v>57125</v>
      </c>
      <c r="F17061" t="s">
        <v>1</v>
      </c>
      <c r="G17061" t="s">
        <v>52955</v>
      </c>
      <c r="H17061" t="s">
        <v>56382</v>
      </c>
      <c r="Y17061" t="s">
        <v>57126</v>
      </c>
    </row>
    <row r="17062" spans="1:25" x14ac:dyDescent="0.25">
      <c r="A17062" t="str">
        <f>"97901980681"</f>
        <v>97901980681</v>
      </c>
      <c r="B17062" t="s">
        <v>1758</v>
      </c>
      <c r="C17062" t="s">
        <v>8089</v>
      </c>
      <c r="D17062" t="s">
        <v>57127</v>
      </c>
      <c r="E17062">
        <v>425011</v>
      </c>
      <c r="F17062" t="s">
        <v>1</v>
      </c>
      <c r="G17062" t="s">
        <v>52955</v>
      </c>
      <c r="H17062" t="s">
        <v>53457</v>
      </c>
      <c r="J17062" t="s">
        <v>57128</v>
      </c>
      <c r="P17062" t="s">
        <v>2050</v>
      </c>
      <c r="Y17062" t="s">
        <v>57129</v>
      </c>
    </row>
    <row r="17063" spans="1:25" x14ac:dyDescent="0.25">
      <c r="A17063" t="str">
        <f>"98204056429"</f>
        <v>98204056429</v>
      </c>
      <c r="B17063" t="s">
        <v>1544</v>
      </c>
      <c r="C17063" t="s">
        <v>7974</v>
      </c>
      <c r="D17063" t="s">
        <v>57130</v>
      </c>
      <c r="F17063" t="s">
        <v>1</v>
      </c>
      <c r="G17063" t="s">
        <v>52955</v>
      </c>
      <c r="H17063" t="s">
        <v>54316</v>
      </c>
      <c r="Y17063" t="s">
        <v>57131</v>
      </c>
    </row>
    <row r="17064" spans="1:25" x14ac:dyDescent="0.25">
      <c r="A17064" t="str">
        <f>"98236698670"</f>
        <v>98236698670</v>
      </c>
      <c r="B17064" t="s">
        <v>574</v>
      </c>
      <c r="C17064" t="s">
        <v>646</v>
      </c>
      <c r="D17064" t="s">
        <v>4320</v>
      </c>
      <c r="F17064" t="s">
        <v>1</v>
      </c>
      <c r="G17064" t="s">
        <v>52955</v>
      </c>
      <c r="H17064" t="s">
        <v>55608</v>
      </c>
      <c r="P17064" t="s">
        <v>216</v>
      </c>
      <c r="Y17064" t="s">
        <v>57132</v>
      </c>
    </row>
    <row r="17065" spans="1:25" x14ac:dyDescent="0.25">
      <c r="A17065" t="str">
        <f>"98476606342"</f>
        <v>98476606342</v>
      </c>
      <c r="B17065" t="s">
        <v>7</v>
      </c>
      <c r="C17065" t="s">
        <v>8238</v>
      </c>
      <c r="D17065" t="s">
        <v>29811</v>
      </c>
      <c r="F17065" t="s">
        <v>1</v>
      </c>
      <c r="G17065" t="s">
        <v>52955</v>
      </c>
      <c r="H17065" t="s">
        <v>52989</v>
      </c>
      <c r="J17065" t="s">
        <v>57133</v>
      </c>
      <c r="L17065" t="s">
        <v>57134</v>
      </c>
      <c r="M17065" t="s">
        <v>57135</v>
      </c>
      <c r="P17065" t="s">
        <v>216</v>
      </c>
      <c r="Q17065" t="s">
        <v>57136</v>
      </c>
      <c r="Y17065" t="s">
        <v>53039</v>
      </c>
    </row>
    <row r="17066" spans="1:25" x14ac:dyDescent="0.25">
      <c r="A17066" t="str">
        <f>"98572796044"</f>
        <v>98572796044</v>
      </c>
      <c r="B17066" t="s">
        <v>930</v>
      </c>
      <c r="C17066" t="s">
        <v>57139</v>
      </c>
      <c r="D17066" t="s">
        <v>54495</v>
      </c>
      <c r="F17066" t="s">
        <v>1</v>
      </c>
      <c r="G17066" t="s">
        <v>52955</v>
      </c>
      <c r="H17066" t="s">
        <v>57137</v>
      </c>
      <c r="J17066" t="s">
        <v>57138</v>
      </c>
      <c r="P17066" t="s">
        <v>216</v>
      </c>
      <c r="Y17066" t="s">
        <v>57140</v>
      </c>
    </row>
    <row r="17067" spans="1:25" x14ac:dyDescent="0.25">
      <c r="A17067" t="str">
        <f>"98961405254"</f>
        <v>98961405254</v>
      </c>
      <c r="B17067" t="s">
        <v>1544</v>
      </c>
      <c r="C17067" t="s">
        <v>2667</v>
      </c>
      <c r="D17067" t="s">
        <v>57141</v>
      </c>
      <c r="E17067">
        <v>425001</v>
      </c>
      <c r="F17067" t="s">
        <v>1</v>
      </c>
      <c r="G17067" t="s">
        <v>52955</v>
      </c>
      <c r="H17067" t="s">
        <v>56121</v>
      </c>
      <c r="Y17067" t="s">
        <v>57142</v>
      </c>
    </row>
    <row r="17068" spans="1:25" x14ac:dyDescent="0.25">
      <c r="A17068" t="str">
        <f>"99058041350"</f>
        <v>99058041350</v>
      </c>
      <c r="B17068" t="s">
        <v>1475</v>
      </c>
      <c r="C17068" t="s">
        <v>1476</v>
      </c>
      <c r="D17068" t="s">
        <v>13560</v>
      </c>
      <c r="E17068">
        <v>425000</v>
      </c>
      <c r="F17068" t="s">
        <v>1</v>
      </c>
      <c r="G17068" t="s">
        <v>52955</v>
      </c>
      <c r="H17068" t="s">
        <v>53132</v>
      </c>
      <c r="Y17068" t="s">
        <v>57143</v>
      </c>
    </row>
    <row r="17069" spans="1:25" x14ac:dyDescent="0.25">
      <c r="A17069" t="str">
        <f>"99107624822"</f>
        <v>99107624822</v>
      </c>
      <c r="B17069" t="s">
        <v>123</v>
      </c>
      <c r="C17069" t="s">
        <v>424</v>
      </c>
      <c r="D17069" t="s">
        <v>57144</v>
      </c>
      <c r="E17069">
        <v>425000</v>
      </c>
      <c r="F17069" t="s">
        <v>1</v>
      </c>
      <c r="G17069" t="s">
        <v>52955</v>
      </c>
      <c r="H17069" t="s">
        <v>56006</v>
      </c>
      <c r="Y17069" t="s">
        <v>57145</v>
      </c>
    </row>
    <row r="17070" spans="1:25" x14ac:dyDescent="0.25">
      <c r="A17070" t="str">
        <f>"99163936922"</f>
        <v>99163936922</v>
      </c>
      <c r="B17070" t="s">
        <v>1475</v>
      </c>
      <c r="C17070" t="s">
        <v>1476</v>
      </c>
      <c r="D17070" t="s">
        <v>57146</v>
      </c>
      <c r="E17070">
        <v>425000</v>
      </c>
      <c r="F17070" t="s">
        <v>1</v>
      </c>
      <c r="G17070" t="s">
        <v>52955</v>
      </c>
      <c r="H17070" t="s">
        <v>55381</v>
      </c>
      <c r="Y17070" t="s">
        <v>57147</v>
      </c>
    </row>
    <row r="17071" spans="1:25" x14ac:dyDescent="0.25">
      <c r="A17071" t="str">
        <f>"99377339183"</f>
        <v>99377339183</v>
      </c>
      <c r="B17071" t="s">
        <v>32</v>
      </c>
      <c r="C17071" t="s">
        <v>40</v>
      </c>
      <c r="D17071" t="s">
        <v>50584</v>
      </c>
      <c r="F17071" t="s">
        <v>1</v>
      </c>
      <c r="G17071" t="s">
        <v>52955</v>
      </c>
      <c r="H17071" t="s">
        <v>54185</v>
      </c>
      <c r="Y17071" t="s">
        <v>57148</v>
      </c>
    </row>
    <row r="17072" spans="1:25" x14ac:dyDescent="0.25">
      <c r="A17072" t="str">
        <f>"99583026263"</f>
        <v>99583026263</v>
      </c>
      <c r="B17072" t="s">
        <v>10383</v>
      </c>
      <c r="C17072" t="s">
        <v>24146</v>
      </c>
      <c r="D17072" t="s">
        <v>24146</v>
      </c>
      <c r="F17072" t="s">
        <v>1</v>
      </c>
      <c r="G17072" t="s">
        <v>52955</v>
      </c>
      <c r="H17072" t="s">
        <v>55316</v>
      </c>
      <c r="Y17072" t="s">
        <v>57149</v>
      </c>
    </row>
    <row r="17073" spans="1:25" x14ac:dyDescent="0.25">
      <c r="A17073" t="str">
        <f>"99722391924"</f>
        <v>99722391924</v>
      </c>
      <c r="B17073" t="s">
        <v>123</v>
      </c>
      <c r="C17073" t="s">
        <v>2950</v>
      </c>
      <c r="D17073" t="s">
        <v>14619</v>
      </c>
      <c r="E17073">
        <v>425000</v>
      </c>
      <c r="F17073" t="s">
        <v>1</v>
      </c>
      <c r="G17073" t="s">
        <v>52955</v>
      </c>
      <c r="H17073" t="s">
        <v>53639</v>
      </c>
      <c r="J17073" t="s">
        <v>57150</v>
      </c>
      <c r="L17073" t="s">
        <v>57151</v>
      </c>
      <c r="M17073" t="s">
        <v>57152</v>
      </c>
      <c r="P17073" t="s">
        <v>57153</v>
      </c>
      <c r="Q17073" t="s">
        <v>57154</v>
      </c>
      <c r="V17073" t="s">
        <v>57155</v>
      </c>
      <c r="Y17073" t="s">
        <v>53642</v>
      </c>
    </row>
    <row r="17074" spans="1:25" x14ac:dyDescent="0.25">
      <c r="A17074" t="str">
        <f>"99851676303"</f>
        <v>99851676303</v>
      </c>
      <c r="B17074" t="s">
        <v>1343</v>
      </c>
      <c r="C17074" t="s">
        <v>5308</v>
      </c>
      <c r="D17074" t="s">
        <v>10545</v>
      </c>
      <c r="F17074" t="s">
        <v>1</v>
      </c>
      <c r="G17074" t="s">
        <v>52955</v>
      </c>
      <c r="H17074" t="s">
        <v>53072</v>
      </c>
      <c r="Y17074" t="s">
        <v>57156</v>
      </c>
    </row>
    <row r="17075" spans="1:25" x14ac:dyDescent="0.25">
      <c r="A17075" t="str">
        <f>"99860302854"</f>
        <v>99860302854</v>
      </c>
      <c r="B17075" t="s">
        <v>24468</v>
      </c>
      <c r="C17075" t="s">
        <v>24469</v>
      </c>
      <c r="D17075" t="s">
        <v>20922</v>
      </c>
      <c r="E17075">
        <v>425011</v>
      </c>
      <c r="F17075" t="s">
        <v>1</v>
      </c>
      <c r="G17075" t="s">
        <v>52955</v>
      </c>
      <c r="H17075" t="s">
        <v>55025</v>
      </c>
      <c r="J17075" t="s">
        <v>57157</v>
      </c>
      <c r="P17075" t="s">
        <v>1404</v>
      </c>
      <c r="Y17075" t="s">
        <v>57158</v>
      </c>
    </row>
    <row r="17076" spans="1:25" x14ac:dyDescent="0.25">
      <c r="A17076" t="str">
        <f>"100100834612"</f>
        <v>100100834612</v>
      </c>
      <c r="B17076" t="s">
        <v>1152</v>
      </c>
      <c r="C17076" t="s">
        <v>1153</v>
      </c>
      <c r="D17076" t="s">
        <v>57159</v>
      </c>
      <c r="E17076">
        <v>425000</v>
      </c>
      <c r="F17076" t="s">
        <v>1</v>
      </c>
      <c r="G17076" t="s">
        <v>52955</v>
      </c>
      <c r="H17076" t="s">
        <v>57160</v>
      </c>
      <c r="Y17076" t="s">
        <v>57161</v>
      </c>
    </row>
    <row r="17077" spans="1:25" x14ac:dyDescent="0.25">
      <c r="A17077" t="str">
        <f>"100225496821"</f>
        <v>100225496821</v>
      </c>
      <c r="B17077" t="s">
        <v>32</v>
      </c>
      <c r="C17077" t="s">
        <v>40</v>
      </c>
      <c r="D17077" t="s">
        <v>41801</v>
      </c>
      <c r="E17077">
        <v>425001</v>
      </c>
      <c r="F17077" t="s">
        <v>1</v>
      </c>
      <c r="G17077" t="s">
        <v>52955</v>
      </c>
      <c r="H17077" t="s">
        <v>56121</v>
      </c>
      <c r="Y17077" t="s">
        <v>57162</v>
      </c>
    </row>
    <row r="17078" spans="1:25" x14ac:dyDescent="0.25">
      <c r="A17078" t="str">
        <f>"100330288755"</f>
        <v>100330288755</v>
      </c>
      <c r="B17078" t="s">
        <v>430</v>
      </c>
      <c r="C17078" t="s">
        <v>16178</v>
      </c>
      <c r="D17078" t="s">
        <v>10135</v>
      </c>
      <c r="E17078">
        <v>425000</v>
      </c>
      <c r="F17078" t="s">
        <v>1</v>
      </c>
      <c r="G17078" t="s">
        <v>52955</v>
      </c>
      <c r="H17078" t="s">
        <v>53573</v>
      </c>
      <c r="Y17078" t="s">
        <v>57163</v>
      </c>
    </row>
    <row r="17079" spans="1:25" x14ac:dyDescent="0.25">
      <c r="A17079" t="str">
        <f>"100389296489"</f>
        <v>100389296489</v>
      </c>
      <c r="B17079" t="s">
        <v>1152</v>
      </c>
      <c r="C17079" t="s">
        <v>1152</v>
      </c>
      <c r="D17079" t="s">
        <v>1152</v>
      </c>
      <c r="F17079" t="s">
        <v>1</v>
      </c>
      <c r="G17079" t="s">
        <v>52955</v>
      </c>
      <c r="H17079" t="s">
        <v>57164</v>
      </c>
      <c r="Y17079" t="s">
        <v>57165</v>
      </c>
    </row>
    <row r="17080" spans="1:25" x14ac:dyDescent="0.25">
      <c r="A17080" t="str">
        <f>"100409405388"</f>
        <v>100409405388</v>
      </c>
      <c r="B17080" t="s">
        <v>290</v>
      </c>
      <c r="C17080" t="s">
        <v>5937</v>
      </c>
      <c r="D17080" t="s">
        <v>57166</v>
      </c>
      <c r="E17080">
        <v>425011</v>
      </c>
      <c r="F17080" t="s">
        <v>1</v>
      </c>
      <c r="G17080" t="s">
        <v>52955</v>
      </c>
      <c r="H17080" t="s">
        <v>57167</v>
      </c>
      <c r="J17080" t="s">
        <v>57168</v>
      </c>
      <c r="P17080" t="s">
        <v>57169</v>
      </c>
      <c r="V17080" t="s">
        <v>57170</v>
      </c>
      <c r="Y17080" t="s">
        <v>57171</v>
      </c>
    </row>
    <row r="17081" spans="1:25" x14ac:dyDescent="0.25">
      <c r="A17081" t="str">
        <f>"100444287971"</f>
        <v>100444287971</v>
      </c>
      <c r="B17081" t="s">
        <v>978</v>
      </c>
      <c r="C17081" t="s">
        <v>7625</v>
      </c>
      <c r="D17081" t="s">
        <v>57172</v>
      </c>
      <c r="E17081">
        <v>425000</v>
      </c>
      <c r="F17081" t="s">
        <v>1</v>
      </c>
      <c r="G17081" t="s">
        <v>52955</v>
      </c>
      <c r="H17081" t="s">
        <v>57173</v>
      </c>
      <c r="J17081" t="s">
        <v>57174</v>
      </c>
      <c r="P17081" t="s">
        <v>57175</v>
      </c>
      <c r="Y17081" t="s">
        <v>57176</v>
      </c>
    </row>
    <row r="17082" spans="1:25" x14ac:dyDescent="0.25">
      <c r="A17082" t="str">
        <f>"100508488896"</f>
        <v>100508488896</v>
      </c>
      <c r="B17082" t="s">
        <v>348</v>
      </c>
      <c r="C17082" t="s">
        <v>18793</v>
      </c>
      <c r="D17082" t="s">
        <v>57177</v>
      </c>
      <c r="E17082">
        <v>425001</v>
      </c>
      <c r="F17082" t="s">
        <v>1</v>
      </c>
      <c r="G17082" t="s">
        <v>52955</v>
      </c>
      <c r="H17082" t="s">
        <v>53465</v>
      </c>
      <c r="Y17082" t="s">
        <v>53472</v>
      </c>
    </row>
    <row r="17083" spans="1:25" x14ac:dyDescent="0.25">
      <c r="A17083" t="str">
        <f>"100530956417"</f>
        <v>100530956417</v>
      </c>
      <c r="B17083" t="s">
        <v>530</v>
      </c>
      <c r="C17083" t="s">
        <v>23950</v>
      </c>
      <c r="D17083" t="s">
        <v>23950</v>
      </c>
      <c r="F17083" t="s">
        <v>1</v>
      </c>
      <c r="G17083" t="s">
        <v>52955</v>
      </c>
      <c r="H17083" t="s">
        <v>55903</v>
      </c>
      <c r="Y17083" t="s">
        <v>57178</v>
      </c>
    </row>
    <row r="17084" spans="1:25" x14ac:dyDescent="0.25">
      <c r="A17084" t="str">
        <f>"100607453830"</f>
        <v>100607453830</v>
      </c>
      <c r="B17084" t="s">
        <v>1078</v>
      </c>
      <c r="C17084" t="s">
        <v>25481</v>
      </c>
      <c r="D17084" t="s">
        <v>7229</v>
      </c>
      <c r="F17084" t="s">
        <v>1</v>
      </c>
      <c r="G17084" t="s">
        <v>52955</v>
      </c>
      <c r="H17084" t="s">
        <v>57179</v>
      </c>
      <c r="Y17084" t="s">
        <v>57180</v>
      </c>
    </row>
    <row r="17085" spans="1:25" x14ac:dyDescent="0.25">
      <c r="A17085" t="str">
        <f>"100670598127"</f>
        <v>100670598127</v>
      </c>
      <c r="B17085" t="s">
        <v>1152</v>
      </c>
      <c r="C17085" t="s">
        <v>1385</v>
      </c>
      <c r="D17085" t="s">
        <v>1385</v>
      </c>
      <c r="E17085">
        <v>425000</v>
      </c>
      <c r="F17085" t="s">
        <v>1</v>
      </c>
      <c r="G17085" t="s">
        <v>52955</v>
      </c>
      <c r="H17085" t="s">
        <v>54152</v>
      </c>
      <c r="Y17085" t="s">
        <v>57181</v>
      </c>
    </row>
    <row r="17086" spans="1:25" x14ac:dyDescent="0.25">
      <c r="A17086" t="str">
        <f>"100794605218"</f>
        <v>100794605218</v>
      </c>
      <c r="B17086" t="s">
        <v>96</v>
      </c>
      <c r="C17086" t="s">
        <v>5155</v>
      </c>
      <c r="D17086" t="s">
        <v>57182</v>
      </c>
      <c r="F17086" t="s">
        <v>1</v>
      </c>
      <c r="G17086" t="s">
        <v>52955</v>
      </c>
      <c r="H17086" t="s">
        <v>57183</v>
      </c>
      <c r="Y17086" t="s">
        <v>57184</v>
      </c>
    </row>
    <row r="17087" spans="1:25" x14ac:dyDescent="0.25">
      <c r="A17087" t="str">
        <f>"100841587622"</f>
        <v>100841587622</v>
      </c>
      <c r="B17087" t="s">
        <v>348</v>
      </c>
      <c r="C17087" t="s">
        <v>57189</v>
      </c>
      <c r="D17087" t="s">
        <v>1781</v>
      </c>
      <c r="E17087">
        <v>425000</v>
      </c>
      <c r="F17087" t="s">
        <v>1</v>
      </c>
      <c r="G17087" t="s">
        <v>52955</v>
      </c>
      <c r="H17087" t="s">
        <v>57185</v>
      </c>
      <c r="I17087" t="s">
        <v>57186</v>
      </c>
      <c r="L17087" t="s">
        <v>57187</v>
      </c>
      <c r="M17087" t="s">
        <v>57188</v>
      </c>
      <c r="P17087" t="s">
        <v>20</v>
      </c>
      <c r="Y17087" t="s">
        <v>57190</v>
      </c>
    </row>
    <row r="17088" spans="1:25" x14ac:dyDescent="0.25">
      <c r="A17088" t="str">
        <f>"101211307474"</f>
        <v>101211307474</v>
      </c>
      <c r="B17088" t="s">
        <v>738</v>
      </c>
      <c r="C17088" t="s">
        <v>10857</v>
      </c>
      <c r="D17088" t="s">
        <v>57191</v>
      </c>
      <c r="E17088">
        <v>425001</v>
      </c>
      <c r="F17088" t="s">
        <v>1</v>
      </c>
      <c r="G17088" t="s">
        <v>52955</v>
      </c>
      <c r="H17088" t="s">
        <v>57192</v>
      </c>
      <c r="I17088" t="s">
        <v>30108</v>
      </c>
      <c r="L17088" t="s">
        <v>30109</v>
      </c>
      <c r="M17088" t="s">
        <v>57193</v>
      </c>
      <c r="P17088" t="s">
        <v>330</v>
      </c>
      <c r="Q17088" t="s">
        <v>30111</v>
      </c>
      <c r="Y17088" t="s">
        <v>57194</v>
      </c>
    </row>
    <row r="17089" spans="1:25" x14ac:dyDescent="0.25">
      <c r="A17089" t="str">
        <f>"101332696860"</f>
        <v>101332696860</v>
      </c>
      <c r="B17089" t="s">
        <v>1046</v>
      </c>
      <c r="C17089" t="s">
        <v>22946</v>
      </c>
      <c r="D17089" t="s">
        <v>22946</v>
      </c>
      <c r="F17089" t="s">
        <v>1</v>
      </c>
      <c r="G17089" t="s">
        <v>52955</v>
      </c>
      <c r="H17089" t="s">
        <v>54945</v>
      </c>
      <c r="Y17089" t="s">
        <v>57195</v>
      </c>
    </row>
    <row r="17090" spans="1:25" x14ac:dyDescent="0.25">
      <c r="A17090" t="str">
        <f>"101463923307"</f>
        <v>101463923307</v>
      </c>
      <c r="B17090" t="s">
        <v>574</v>
      </c>
      <c r="C17090" t="s">
        <v>646</v>
      </c>
      <c r="D17090" t="s">
        <v>57196</v>
      </c>
      <c r="F17090" t="s">
        <v>1</v>
      </c>
      <c r="G17090" t="s">
        <v>52955</v>
      </c>
      <c r="H17090" t="s">
        <v>57197</v>
      </c>
      <c r="P17090" t="s">
        <v>216</v>
      </c>
      <c r="Y17090" t="s">
        <v>57198</v>
      </c>
    </row>
    <row r="17091" spans="1:25" x14ac:dyDescent="0.25">
      <c r="A17091" t="str">
        <f>"101470507883"</f>
        <v>101470507883</v>
      </c>
      <c r="B17091" t="s">
        <v>1352</v>
      </c>
      <c r="C17091" t="s">
        <v>57200</v>
      </c>
      <c r="D17091" t="s">
        <v>57199</v>
      </c>
      <c r="E17091">
        <v>425008</v>
      </c>
      <c r="F17091" t="s">
        <v>1</v>
      </c>
      <c r="G17091" t="s">
        <v>52955</v>
      </c>
      <c r="H17091" t="s">
        <v>56272</v>
      </c>
      <c r="Y17091" t="s">
        <v>57201</v>
      </c>
    </row>
    <row r="17092" spans="1:25" x14ac:dyDescent="0.25">
      <c r="A17092" t="str">
        <f>"101775040503"</f>
        <v>101775040503</v>
      </c>
      <c r="B17092" t="s">
        <v>117</v>
      </c>
      <c r="C17092" t="s">
        <v>118</v>
      </c>
      <c r="D17092" t="s">
        <v>25382</v>
      </c>
      <c r="F17092" t="s">
        <v>1</v>
      </c>
      <c r="G17092" t="s">
        <v>52955</v>
      </c>
      <c r="H17092" t="s">
        <v>55903</v>
      </c>
      <c r="Y17092" t="s">
        <v>57202</v>
      </c>
    </row>
    <row r="17093" spans="1:25" x14ac:dyDescent="0.25">
      <c r="A17093" t="str">
        <f>"102047663839"</f>
        <v>102047663839</v>
      </c>
      <c r="B17093" t="s">
        <v>669</v>
      </c>
      <c r="C17093" t="s">
        <v>50076</v>
      </c>
      <c r="D17093" t="s">
        <v>50072</v>
      </c>
      <c r="E17093">
        <v>425003</v>
      </c>
      <c r="F17093" t="s">
        <v>1</v>
      </c>
      <c r="G17093" t="s">
        <v>52955</v>
      </c>
      <c r="H17093" t="s">
        <v>53891</v>
      </c>
      <c r="I17093" t="s">
        <v>50073</v>
      </c>
      <c r="L17093" t="s">
        <v>50074</v>
      </c>
      <c r="M17093" t="s">
        <v>57203</v>
      </c>
      <c r="P17093" t="s">
        <v>6400</v>
      </c>
      <c r="Y17093" t="s">
        <v>53894</v>
      </c>
    </row>
    <row r="17094" spans="1:25" x14ac:dyDescent="0.25">
      <c r="A17094" t="str">
        <f>"102243928445"</f>
        <v>102243928445</v>
      </c>
      <c r="B17094" t="s">
        <v>18</v>
      </c>
      <c r="C17094" t="s">
        <v>57209</v>
      </c>
      <c r="D17094" t="s">
        <v>57204</v>
      </c>
      <c r="F17094" t="s">
        <v>1</v>
      </c>
      <c r="G17094" t="s">
        <v>52955</v>
      </c>
      <c r="H17094" t="s">
        <v>57205</v>
      </c>
      <c r="I17094" t="s">
        <v>57206</v>
      </c>
      <c r="L17094" t="s">
        <v>57207</v>
      </c>
      <c r="M17094" t="s">
        <v>57208</v>
      </c>
      <c r="P17094" t="s">
        <v>5575</v>
      </c>
      <c r="Y17094" t="s">
        <v>57210</v>
      </c>
    </row>
    <row r="17095" spans="1:25" x14ac:dyDescent="0.25">
      <c r="A17095" t="str">
        <f>"102288485405"</f>
        <v>102288485405</v>
      </c>
      <c r="B17095" t="s">
        <v>930</v>
      </c>
      <c r="C17095" t="s">
        <v>10263</v>
      </c>
      <c r="D17095" t="s">
        <v>1265</v>
      </c>
      <c r="E17095">
        <v>425011</v>
      </c>
      <c r="F17095" t="s">
        <v>1</v>
      </c>
      <c r="G17095" t="s">
        <v>52955</v>
      </c>
      <c r="H17095" t="s">
        <v>53927</v>
      </c>
      <c r="J17095" t="s">
        <v>57211</v>
      </c>
      <c r="P17095" t="s">
        <v>60</v>
      </c>
      <c r="Y17095" t="s">
        <v>57212</v>
      </c>
    </row>
    <row r="17096" spans="1:25" x14ac:dyDescent="0.25">
      <c r="A17096" t="str">
        <f>"102296615278"</f>
        <v>102296615278</v>
      </c>
      <c r="B17096" t="s">
        <v>96</v>
      </c>
      <c r="C17096" t="s">
        <v>57214</v>
      </c>
      <c r="D17096" t="s">
        <v>57213</v>
      </c>
      <c r="F17096" t="s">
        <v>1</v>
      </c>
      <c r="G17096" t="s">
        <v>52955</v>
      </c>
      <c r="H17096" t="s">
        <v>55362</v>
      </c>
      <c r="Y17096" t="s">
        <v>57215</v>
      </c>
    </row>
    <row r="17097" spans="1:25" x14ac:dyDescent="0.25">
      <c r="A17097" t="str">
        <f>"102434342685"</f>
        <v>102434342685</v>
      </c>
      <c r="B17097" t="s">
        <v>2104</v>
      </c>
      <c r="C17097" t="s">
        <v>2105</v>
      </c>
      <c r="D17097" t="s">
        <v>56222</v>
      </c>
      <c r="E17097">
        <v>425001</v>
      </c>
      <c r="F17097" t="s">
        <v>1</v>
      </c>
      <c r="G17097" t="s">
        <v>52955</v>
      </c>
      <c r="H17097" t="s">
        <v>57216</v>
      </c>
      <c r="Y17097" t="s">
        <v>57217</v>
      </c>
    </row>
    <row r="17098" spans="1:25" x14ac:dyDescent="0.25">
      <c r="A17098" t="str">
        <f>"102457959998"</f>
        <v>102457959998</v>
      </c>
      <c r="B17098" t="s">
        <v>574</v>
      </c>
      <c r="C17098" t="s">
        <v>952</v>
      </c>
      <c r="D17098" t="s">
        <v>57218</v>
      </c>
      <c r="E17098">
        <v>425009</v>
      </c>
      <c r="F17098" t="s">
        <v>1</v>
      </c>
      <c r="G17098" t="s">
        <v>52955</v>
      </c>
      <c r="H17098" t="s">
        <v>54824</v>
      </c>
      <c r="Y17098" t="s">
        <v>57219</v>
      </c>
    </row>
    <row r="17099" spans="1:25" x14ac:dyDescent="0.25">
      <c r="A17099" t="str">
        <f>"102534057055"</f>
        <v>102534057055</v>
      </c>
      <c r="B17099" t="s">
        <v>1053</v>
      </c>
      <c r="C17099" t="s">
        <v>57222</v>
      </c>
      <c r="D17099" t="s">
        <v>57220</v>
      </c>
      <c r="F17099" t="s">
        <v>1</v>
      </c>
      <c r="G17099" t="s">
        <v>52955</v>
      </c>
      <c r="H17099" t="s">
        <v>53211</v>
      </c>
      <c r="J17099" t="s">
        <v>57221</v>
      </c>
      <c r="P17099" t="s">
        <v>27</v>
      </c>
      <c r="Y17099" t="s">
        <v>53759</v>
      </c>
    </row>
    <row r="17100" spans="1:25" x14ac:dyDescent="0.25">
      <c r="A17100" t="str">
        <f>"102762071613"</f>
        <v>102762071613</v>
      </c>
      <c r="B17100" t="s">
        <v>574</v>
      </c>
      <c r="C17100" t="s">
        <v>646</v>
      </c>
      <c r="D17100" t="s">
        <v>57223</v>
      </c>
      <c r="E17100">
        <v>425000</v>
      </c>
      <c r="F17100" t="s">
        <v>1</v>
      </c>
      <c r="G17100" t="s">
        <v>52955</v>
      </c>
      <c r="H17100" t="s">
        <v>53833</v>
      </c>
      <c r="Y17100" t="s">
        <v>57224</v>
      </c>
    </row>
    <row r="17101" spans="1:25" x14ac:dyDescent="0.25">
      <c r="A17101" t="str">
        <f>"103146199041"</f>
        <v>103146199041</v>
      </c>
      <c r="B17101" t="s">
        <v>117</v>
      </c>
      <c r="C17101" t="s">
        <v>118</v>
      </c>
      <c r="D17101" t="s">
        <v>40664</v>
      </c>
      <c r="F17101" t="s">
        <v>1</v>
      </c>
      <c r="G17101" t="s">
        <v>52955</v>
      </c>
      <c r="H17101" t="s">
        <v>55243</v>
      </c>
      <c r="Y17101" t="s">
        <v>57225</v>
      </c>
    </row>
    <row r="17102" spans="1:25" x14ac:dyDescent="0.25">
      <c r="A17102" t="str">
        <f>"103293821484"</f>
        <v>103293821484</v>
      </c>
      <c r="B17102" t="s">
        <v>797</v>
      </c>
      <c r="C17102" t="s">
        <v>5123</v>
      </c>
      <c r="D17102" t="s">
        <v>57226</v>
      </c>
      <c r="F17102" t="s">
        <v>1</v>
      </c>
      <c r="G17102" t="s">
        <v>52955</v>
      </c>
      <c r="H17102" t="s">
        <v>53198</v>
      </c>
      <c r="Y17102" t="s">
        <v>57227</v>
      </c>
    </row>
    <row r="17103" spans="1:25" x14ac:dyDescent="0.25">
      <c r="A17103" t="str">
        <f>"103526214434"</f>
        <v>103526214434</v>
      </c>
      <c r="B17103" t="s">
        <v>18</v>
      </c>
      <c r="C17103" t="s">
        <v>12283</v>
      </c>
      <c r="D17103" t="s">
        <v>1416</v>
      </c>
      <c r="F17103" t="s">
        <v>1</v>
      </c>
      <c r="G17103" t="s">
        <v>52955</v>
      </c>
      <c r="H17103" t="s">
        <v>53727</v>
      </c>
      <c r="Y17103" t="s">
        <v>54473</v>
      </c>
    </row>
    <row r="17104" spans="1:25" x14ac:dyDescent="0.25">
      <c r="A17104" t="str">
        <f>"103594153184"</f>
        <v>103594153184</v>
      </c>
      <c r="B17104" t="s">
        <v>574</v>
      </c>
      <c r="C17104" t="s">
        <v>646</v>
      </c>
      <c r="D17104" t="s">
        <v>7821</v>
      </c>
      <c r="E17104">
        <v>425000</v>
      </c>
      <c r="F17104" t="s">
        <v>1</v>
      </c>
      <c r="G17104" t="s">
        <v>52955</v>
      </c>
      <c r="H17104" t="s">
        <v>56049</v>
      </c>
      <c r="I17104" t="s">
        <v>57228</v>
      </c>
      <c r="P17104" t="s">
        <v>60</v>
      </c>
      <c r="Y17104" t="s">
        <v>56050</v>
      </c>
    </row>
    <row r="17105" spans="1:25" x14ac:dyDescent="0.25">
      <c r="A17105" t="str">
        <f>"103834134675"</f>
        <v>103834134675</v>
      </c>
      <c r="B17105" t="s">
        <v>930</v>
      </c>
      <c r="C17105" t="s">
        <v>10263</v>
      </c>
      <c r="D17105" t="s">
        <v>10263</v>
      </c>
      <c r="F17105" t="s">
        <v>1</v>
      </c>
      <c r="G17105" t="s">
        <v>52955</v>
      </c>
      <c r="H17105" t="s">
        <v>55903</v>
      </c>
      <c r="Y17105" t="s">
        <v>57229</v>
      </c>
    </row>
    <row r="17106" spans="1:25" x14ac:dyDescent="0.25">
      <c r="A17106" t="str">
        <f>"104199231345"</f>
        <v>104199231345</v>
      </c>
      <c r="B17106" t="s">
        <v>530</v>
      </c>
      <c r="C17106" t="s">
        <v>23950</v>
      </c>
      <c r="D17106" t="s">
        <v>23950</v>
      </c>
      <c r="F17106" t="s">
        <v>1</v>
      </c>
      <c r="G17106" t="s">
        <v>52955</v>
      </c>
      <c r="H17106" t="s">
        <v>55903</v>
      </c>
      <c r="Y17106" t="s">
        <v>57230</v>
      </c>
    </row>
    <row r="17107" spans="1:25" x14ac:dyDescent="0.25">
      <c r="A17107" t="str">
        <f>"104765364243"</f>
        <v>104765364243</v>
      </c>
      <c r="B17107" t="s">
        <v>319</v>
      </c>
      <c r="C17107" t="s">
        <v>320</v>
      </c>
      <c r="D17107" t="s">
        <v>38629</v>
      </c>
      <c r="E17107">
        <v>425001</v>
      </c>
      <c r="F17107" t="s">
        <v>1</v>
      </c>
      <c r="G17107" t="s">
        <v>52955</v>
      </c>
      <c r="H17107" t="s">
        <v>53433</v>
      </c>
      <c r="I17107" t="s">
        <v>56433</v>
      </c>
      <c r="P17107" t="s">
        <v>216</v>
      </c>
      <c r="Y17107" t="s">
        <v>54220</v>
      </c>
    </row>
    <row r="17108" spans="1:25" x14ac:dyDescent="0.25">
      <c r="A17108" t="str">
        <f>"104907136639"</f>
        <v>104907136639</v>
      </c>
      <c r="B17108" t="s">
        <v>379</v>
      </c>
      <c r="C17108" t="s">
        <v>53607</v>
      </c>
      <c r="D17108" t="s">
        <v>4852</v>
      </c>
      <c r="E17108">
        <v>425000</v>
      </c>
      <c r="F17108" t="s">
        <v>1</v>
      </c>
      <c r="G17108" t="s">
        <v>52955</v>
      </c>
      <c r="H17108" t="s">
        <v>55351</v>
      </c>
      <c r="P17108" t="s">
        <v>330</v>
      </c>
      <c r="Y17108" t="s">
        <v>57231</v>
      </c>
    </row>
    <row r="17109" spans="1:25" x14ac:dyDescent="0.25">
      <c r="A17109" t="str">
        <f>"104926357675"</f>
        <v>104926357675</v>
      </c>
      <c r="B17109" t="s">
        <v>110</v>
      </c>
      <c r="C17109" t="s">
        <v>111</v>
      </c>
      <c r="D17109" t="s">
        <v>1115</v>
      </c>
      <c r="E17109">
        <v>425001</v>
      </c>
      <c r="F17109" t="s">
        <v>1</v>
      </c>
      <c r="G17109" t="s">
        <v>52955</v>
      </c>
      <c r="H17109" t="s">
        <v>57216</v>
      </c>
      <c r="Y17109" t="s">
        <v>57232</v>
      </c>
    </row>
    <row r="17110" spans="1:25" x14ac:dyDescent="0.25">
      <c r="A17110" t="str">
        <f>"105134870668"</f>
        <v>105134870668</v>
      </c>
      <c r="B17110" t="s">
        <v>2055</v>
      </c>
      <c r="C17110" t="s">
        <v>56559</v>
      </c>
      <c r="D17110" t="s">
        <v>57233</v>
      </c>
      <c r="F17110" t="s">
        <v>1</v>
      </c>
      <c r="G17110" t="s">
        <v>52955</v>
      </c>
      <c r="H17110" t="s">
        <v>55928</v>
      </c>
      <c r="J17110" t="s">
        <v>57234</v>
      </c>
      <c r="L17110" t="s">
        <v>57235</v>
      </c>
      <c r="M17110" t="s">
        <v>57236</v>
      </c>
      <c r="P17110" t="s">
        <v>27</v>
      </c>
      <c r="Q17110" t="s">
        <v>57237</v>
      </c>
      <c r="Y17110" t="s">
        <v>55931</v>
      </c>
    </row>
    <row r="17111" spans="1:25" x14ac:dyDescent="0.25">
      <c r="A17111" t="str">
        <f>"105203571849"</f>
        <v>105203571849</v>
      </c>
      <c r="B17111" t="s">
        <v>2601</v>
      </c>
      <c r="C17111" t="s">
        <v>24678</v>
      </c>
      <c r="D17111" t="s">
        <v>57238</v>
      </c>
      <c r="E17111">
        <v>425011</v>
      </c>
      <c r="F17111" t="s">
        <v>1</v>
      </c>
      <c r="G17111" t="s">
        <v>52955</v>
      </c>
      <c r="H17111" t="s">
        <v>53155</v>
      </c>
      <c r="P17111" t="s">
        <v>2050</v>
      </c>
      <c r="Y17111" t="s">
        <v>57239</v>
      </c>
    </row>
    <row r="17112" spans="1:25" x14ac:dyDescent="0.25">
      <c r="A17112" t="str">
        <f>"105611970204"</f>
        <v>105611970204</v>
      </c>
      <c r="B17112" t="s">
        <v>319</v>
      </c>
      <c r="C17112" t="s">
        <v>320</v>
      </c>
      <c r="D17112" t="s">
        <v>320</v>
      </c>
      <c r="F17112" t="s">
        <v>1</v>
      </c>
      <c r="G17112" t="s">
        <v>52955</v>
      </c>
      <c r="H17112" t="s">
        <v>53435</v>
      </c>
      <c r="Y17112" t="s">
        <v>57240</v>
      </c>
    </row>
    <row r="17113" spans="1:25" x14ac:dyDescent="0.25">
      <c r="A17113" t="str">
        <f>"105647217302"</f>
        <v>105647217302</v>
      </c>
      <c r="B17113" t="s">
        <v>3652</v>
      </c>
      <c r="C17113" t="s">
        <v>57246</v>
      </c>
      <c r="D17113" t="s">
        <v>57241</v>
      </c>
      <c r="E17113">
        <v>425000</v>
      </c>
      <c r="F17113" t="s">
        <v>1</v>
      </c>
      <c r="G17113" t="s">
        <v>52955</v>
      </c>
      <c r="H17113" t="s">
        <v>53093</v>
      </c>
      <c r="I17113" t="s">
        <v>57242</v>
      </c>
      <c r="J17113" t="s">
        <v>57243</v>
      </c>
      <c r="L17113" t="s">
        <v>57244</v>
      </c>
      <c r="M17113" t="s">
        <v>57245</v>
      </c>
      <c r="P17113" t="s">
        <v>987</v>
      </c>
      <c r="Y17113" t="s">
        <v>53099</v>
      </c>
    </row>
    <row r="17114" spans="1:25" x14ac:dyDescent="0.25">
      <c r="A17114" t="str">
        <f>"105666390549"</f>
        <v>105666390549</v>
      </c>
      <c r="B17114" t="s">
        <v>117</v>
      </c>
      <c r="C17114" t="s">
        <v>873</v>
      </c>
      <c r="D17114" t="s">
        <v>873</v>
      </c>
      <c r="F17114" t="s">
        <v>1</v>
      </c>
      <c r="G17114" t="s">
        <v>52955</v>
      </c>
      <c r="H17114" t="s">
        <v>55878</v>
      </c>
      <c r="Y17114" t="s">
        <v>57247</v>
      </c>
    </row>
    <row r="17115" spans="1:25" x14ac:dyDescent="0.25">
      <c r="A17115" t="str">
        <f>"106064807309"</f>
        <v>106064807309</v>
      </c>
      <c r="B17115" t="s">
        <v>430</v>
      </c>
      <c r="C17115" t="s">
        <v>8739</v>
      </c>
      <c r="D17115" t="s">
        <v>56128</v>
      </c>
      <c r="E17115">
        <v>425000</v>
      </c>
      <c r="F17115" t="s">
        <v>1</v>
      </c>
      <c r="G17115" t="s">
        <v>52955</v>
      </c>
      <c r="H17115" t="s">
        <v>57160</v>
      </c>
      <c r="Y17115" t="s">
        <v>57248</v>
      </c>
    </row>
    <row r="17116" spans="1:25" x14ac:dyDescent="0.25">
      <c r="A17116" t="str">
        <f>"106191150356"</f>
        <v>106191150356</v>
      </c>
      <c r="B17116" t="s">
        <v>738</v>
      </c>
      <c r="C17116" t="s">
        <v>739</v>
      </c>
      <c r="D17116" t="s">
        <v>57249</v>
      </c>
      <c r="F17116" t="s">
        <v>1</v>
      </c>
      <c r="G17116" t="s">
        <v>52955</v>
      </c>
      <c r="H17116" t="s">
        <v>57250</v>
      </c>
      <c r="J17116" t="s">
        <v>57251</v>
      </c>
      <c r="P17116" t="s">
        <v>57252</v>
      </c>
      <c r="Y17116" t="s">
        <v>57253</v>
      </c>
    </row>
    <row r="17117" spans="1:25" x14ac:dyDescent="0.25">
      <c r="A17117" t="str">
        <f>"106366179009"</f>
        <v>106366179009</v>
      </c>
      <c r="B17117" t="s">
        <v>530</v>
      </c>
      <c r="C17117" t="s">
        <v>23950</v>
      </c>
      <c r="D17117" t="s">
        <v>23950</v>
      </c>
      <c r="E17117">
        <v>425000</v>
      </c>
      <c r="F17117" t="s">
        <v>1</v>
      </c>
      <c r="G17117" t="s">
        <v>52955</v>
      </c>
      <c r="H17117" t="s">
        <v>56809</v>
      </c>
      <c r="Y17117" t="s">
        <v>57254</v>
      </c>
    </row>
    <row r="17118" spans="1:25" x14ac:dyDescent="0.25">
      <c r="A17118" t="str">
        <f>"106557638828"</f>
        <v>106557638828</v>
      </c>
      <c r="B17118" t="s">
        <v>1222</v>
      </c>
      <c r="C17118" t="s">
        <v>12417</v>
      </c>
      <c r="D17118" t="s">
        <v>17969</v>
      </c>
      <c r="E17118">
        <v>425001</v>
      </c>
      <c r="F17118" t="s">
        <v>1</v>
      </c>
      <c r="G17118" t="s">
        <v>52955</v>
      </c>
      <c r="H17118" t="s">
        <v>53497</v>
      </c>
      <c r="Y17118" t="s">
        <v>57255</v>
      </c>
    </row>
    <row r="17119" spans="1:25" x14ac:dyDescent="0.25">
      <c r="A17119" t="str">
        <f>"106858046181"</f>
        <v>106858046181</v>
      </c>
      <c r="B17119" t="s">
        <v>462</v>
      </c>
      <c r="C17119" t="s">
        <v>3988</v>
      </c>
      <c r="D17119" t="s">
        <v>57256</v>
      </c>
      <c r="E17119">
        <v>425000</v>
      </c>
      <c r="F17119" t="s">
        <v>1</v>
      </c>
      <c r="G17119" t="s">
        <v>52955</v>
      </c>
      <c r="H17119" t="s">
        <v>55251</v>
      </c>
      <c r="Y17119" t="s">
        <v>57257</v>
      </c>
    </row>
    <row r="17120" spans="1:25" x14ac:dyDescent="0.25">
      <c r="A17120" t="str">
        <f>"106918708768"</f>
        <v>106918708768</v>
      </c>
      <c r="B17120" t="s">
        <v>1299</v>
      </c>
      <c r="C17120" t="s">
        <v>1300</v>
      </c>
      <c r="D17120" t="s">
        <v>57258</v>
      </c>
      <c r="E17120">
        <v>425005</v>
      </c>
      <c r="F17120" t="s">
        <v>1</v>
      </c>
      <c r="G17120" t="s">
        <v>52955</v>
      </c>
      <c r="H17120" t="s">
        <v>57259</v>
      </c>
      <c r="J17120" t="s">
        <v>57260</v>
      </c>
      <c r="L17120" t="s">
        <v>57261</v>
      </c>
      <c r="P17120" t="s">
        <v>330</v>
      </c>
      <c r="Y17120" t="s">
        <v>57262</v>
      </c>
    </row>
    <row r="17121" spans="1:25" x14ac:dyDescent="0.25">
      <c r="A17121" t="str">
        <f>"107076974008"</f>
        <v>107076974008</v>
      </c>
      <c r="B17121" t="s">
        <v>930</v>
      </c>
      <c r="C17121" t="s">
        <v>10263</v>
      </c>
      <c r="D17121" t="s">
        <v>10263</v>
      </c>
      <c r="E17121">
        <v>425000</v>
      </c>
      <c r="F17121" t="s">
        <v>1</v>
      </c>
      <c r="G17121" t="s">
        <v>52955</v>
      </c>
      <c r="H17121" t="s">
        <v>57263</v>
      </c>
      <c r="Y17121" t="s">
        <v>57264</v>
      </c>
    </row>
    <row r="17122" spans="1:25" x14ac:dyDescent="0.25">
      <c r="A17122" t="str">
        <f>"107515971782"</f>
        <v>107515971782</v>
      </c>
      <c r="B17122" t="s">
        <v>716</v>
      </c>
      <c r="C17122" t="s">
        <v>717</v>
      </c>
      <c r="D17122" t="s">
        <v>27741</v>
      </c>
      <c r="E17122">
        <v>425000</v>
      </c>
      <c r="F17122" t="s">
        <v>1</v>
      </c>
      <c r="G17122" t="s">
        <v>52955</v>
      </c>
      <c r="H17122" t="s">
        <v>53719</v>
      </c>
      <c r="P17122" t="s">
        <v>18505</v>
      </c>
      <c r="Y17122" t="s">
        <v>57265</v>
      </c>
    </row>
    <row r="17123" spans="1:25" x14ac:dyDescent="0.25">
      <c r="A17123" t="str">
        <f>"107848479956"</f>
        <v>107848479956</v>
      </c>
      <c r="B17123" t="s">
        <v>10383</v>
      </c>
      <c r="C17123" t="s">
        <v>24146</v>
      </c>
      <c r="D17123" t="s">
        <v>24146</v>
      </c>
      <c r="F17123" t="s">
        <v>1</v>
      </c>
      <c r="G17123" t="s">
        <v>52955</v>
      </c>
      <c r="H17123" t="s">
        <v>55903</v>
      </c>
      <c r="Y17123" t="s">
        <v>57266</v>
      </c>
    </row>
    <row r="17124" spans="1:25" x14ac:dyDescent="0.25">
      <c r="A17124" t="str">
        <f>"107899949313"</f>
        <v>107899949313</v>
      </c>
      <c r="B17124" t="s">
        <v>2818</v>
      </c>
      <c r="C17124" t="s">
        <v>6466</v>
      </c>
      <c r="D17124" t="s">
        <v>50533</v>
      </c>
      <c r="F17124" t="s">
        <v>1</v>
      </c>
      <c r="G17124" t="s">
        <v>52955</v>
      </c>
      <c r="H17124" t="s">
        <v>53417</v>
      </c>
      <c r="L17124" t="s">
        <v>50535</v>
      </c>
      <c r="M17124" t="s">
        <v>50536</v>
      </c>
      <c r="P17124" t="s">
        <v>25737</v>
      </c>
      <c r="Q17124" t="s">
        <v>57267</v>
      </c>
      <c r="Y17124" t="s">
        <v>57268</v>
      </c>
    </row>
    <row r="17125" spans="1:25" x14ac:dyDescent="0.25">
      <c r="A17125" t="str">
        <f>"108372850747"</f>
        <v>108372850747</v>
      </c>
      <c r="B17125" t="s">
        <v>96</v>
      </c>
      <c r="C17125" t="s">
        <v>893</v>
      </c>
      <c r="D17125" t="s">
        <v>57269</v>
      </c>
      <c r="F17125" t="s">
        <v>1</v>
      </c>
      <c r="G17125" t="s">
        <v>52955</v>
      </c>
      <c r="H17125" t="s">
        <v>53198</v>
      </c>
      <c r="Y17125" t="s">
        <v>57270</v>
      </c>
    </row>
    <row r="17126" spans="1:25" x14ac:dyDescent="0.25">
      <c r="A17126" t="str">
        <f>"108407477421"</f>
        <v>108407477421</v>
      </c>
      <c r="B17126" t="s">
        <v>96</v>
      </c>
      <c r="C17126" t="s">
        <v>695</v>
      </c>
      <c r="D17126" t="s">
        <v>22550</v>
      </c>
      <c r="E17126">
        <v>425009</v>
      </c>
      <c r="F17126" t="s">
        <v>1</v>
      </c>
      <c r="G17126" t="s">
        <v>52955</v>
      </c>
      <c r="H17126" t="s">
        <v>54824</v>
      </c>
      <c r="Y17126" t="s">
        <v>55247</v>
      </c>
    </row>
    <row r="17127" spans="1:25" x14ac:dyDescent="0.25">
      <c r="A17127" t="str">
        <f>"108444646794"</f>
        <v>108444646794</v>
      </c>
      <c r="B17127" t="s">
        <v>738</v>
      </c>
      <c r="C17127" t="s">
        <v>7441</v>
      </c>
      <c r="D17127" t="s">
        <v>57271</v>
      </c>
      <c r="F17127" t="s">
        <v>1</v>
      </c>
      <c r="G17127" t="s">
        <v>52955</v>
      </c>
      <c r="H17127" t="s">
        <v>54515</v>
      </c>
      <c r="J17127" t="s">
        <v>57272</v>
      </c>
      <c r="P17127" t="s">
        <v>216</v>
      </c>
      <c r="Y17127" t="s">
        <v>57273</v>
      </c>
    </row>
    <row r="17128" spans="1:25" x14ac:dyDescent="0.25">
      <c r="A17128" t="str">
        <f>"108573266065"</f>
        <v>108573266065</v>
      </c>
      <c r="B17128" t="s">
        <v>1702</v>
      </c>
      <c r="C17128" t="s">
        <v>2265</v>
      </c>
      <c r="D17128" t="s">
        <v>2265</v>
      </c>
      <c r="F17128" t="s">
        <v>1</v>
      </c>
      <c r="G17128" t="s">
        <v>52955</v>
      </c>
      <c r="H17128" t="s">
        <v>55128</v>
      </c>
      <c r="Y17128" t="s">
        <v>57274</v>
      </c>
    </row>
    <row r="17129" spans="1:25" x14ac:dyDescent="0.25">
      <c r="A17129" t="str">
        <f>"108929702620"</f>
        <v>108929702620</v>
      </c>
      <c r="B17129" t="s">
        <v>3544</v>
      </c>
      <c r="C17129" t="s">
        <v>11303</v>
      </c>
      <c r="D17129" t="s">
        <v>57275</v>
      </c>
      <c r="E17129">
        <v>425000</v>
      </c>
      <c r="F17129" t="s">
        <v>1</v>
      </c>
      <c r="G17129" t="s">
        <v>52955</v>
      </c>
      <c r="H17129" t="s">
        <v>57276</v>
      </c>
      <c r="Y17129" t="s">
        <v>57277</v>
      </c>
    </row>
    <row r="17130" spans="1:25" x14ac:dyDescent="0.25">
      <c r="A17130" t="str">
        <f>"109069833501"</f>
        <v>109069833501</v>
      </c>
      <c r="B17130" t="s">
        <v>18</v>
      </c>
      <c r="C17130" t="s">
        <v>2593</v>
      </c>
      <c r="D17130" t="s">
        <v>57278</v>
      </c>
      <c r="E17130">
        <v>425000</v>
      </c>
      <c r="F17130" t="s">
        <v>1</v>
      </c>
      <c r="G17130" t="s">
        <v>52955</v>
      </c>
      <c r="H17130" t="s">
        <v>53075</v>
      </c>
      <c r="J17130" t="s">
        <v>57279</v>
      </c>
      <c r="L17130" t="s">
        <v>57280</v>
      </c>
      <c r="M17130" t="s">
        <v>57281</v>
      </c>
      <c r="P17130" t="s">
        <v>57282</v>
      </c>
      <c r="Q17130" t="s">
        <v>57283</v>
      </c>
      <c r="R17130" t="s">
        <v>57284</v>
      </c>
      <c r="T17130" t="s">
        <v>57285</v>
      </c>
      <c r="V17130" t="s">
        <v>57286</v>
      </c>
      <c r="Y17130" t="s">
        <v>57287</v>
      </c>
    </row>
    <row r="17131" spans="1:25" x14ac:dyDescent="0.25">
      <c r="A17131" t="str">
        <f>"109183966866"</f>
        <v>109183966866</v>
      </c>
      <c r="B17131" t="s">
        <v>1046</v>
      </c>
      <c r="C17131" t="s">
        <v>22946</v>
      </c>
      <c r="D17131" t="s">
        <v>57288</v>
      </c>
      <c r="E17131">
        <v>425000</v>
      </c>
      <c r="F17131" t="s">
        <v>1</v>
      </c>
      <c r="G17131" t="s">
        <v>52955</v>
      </c>
      <c r="H17131" t="s">
        <v>54915</v>
      </c>
      <c r="J17131" t="s">
        <v>57289</v>
      </c>
      <c r="P17131" t="s">
        <v>2050</v>
      </c>
      <c r="Y17131" t="s">
        <v>57290</v>
      </c>
    </row>
    <row r="17132" spans="1:25" x14ac:dyDescent="0.25">
      <c r="A17132" t="str">
        <f>"109346705446"</f>
        <v>109346705446</v>
      </c>
      <c r="B17132" t="s">
        <v>18</v>
      </c>
      <c r="C17132" t="s">
        <v>57292</v>
      </c>
      <c r="D17132" t="s">
        <v>7316</v>
      </c>
      <c r="E17132">
        <v>425000</v>
      </c>
      <c r="F17132" t="s">
        <v>1</v>
      </c>
      <c r="G17132" t="s">
        <v>52955</v>
      </c>
      <c r="H17132" t="s">
        <v>53639</v>
      </c>
      <c r="J17132" t="s">
        <v>57291</v>
      </c>
      <c r="P17132" t="s">
        <v>57293</v>
      </c>
      <c r="Y17132" t="s">
        <v>53642</v>
      </c>
    </row>
    <row r="17133" spans="1:25" x14ac:dyDescent="0.25">
      <c r="A17133" t="str">
        <f>"109589379259"</f>
        <v>109589379259</v>
      </c>
      <c r="B17133" t="s">
        <v>18</v>
      </c>
      <c r="C17133" t="s">
        <v>57298</v>
      </c>
      <c r="D17133" t="s">
        <v>57294</v>
      </c>
      <c r="F17133" t="s">
        <v>1</v>
      </c>
      <c r="G17133" t="s">
        <v>52955</v>
      </c>
      <c r="H17133" t="s">
        <v>53275</v>
      </c>
      <c r="I17133" t="s">
        <v>57295</v>
      </c>
      <c r="L17133" t="s">
        <v>57296</v>
      </c>
      <c r="M17133" t="s">
        <v>57297</v>
      </c>
      <c r="P17133" t="s">
        <v>152</v>
      </c>
      <c r="Y17133" t="s">
        <v>57299</v>
      </c>
    </row>
    <row r="17134" spans="1:25" x14ac:dyDescent="0.25">
      <c r="A17134" t="str">
        <f>"109855899245"</f>
        <v>109855899245</v>
      </c>
      <c r="B17134" t="s">
        <v>530</v>
      </c>
      <c r="C17134" t="s">
        <v>23950</v>
      </c>
      <c r="D17134" t="s">
        <v>23950</v>
      </c>
      <c r="F17134" t="s">
        <v>1</v>
      </c>
      <c r="G17134" t="s">
        <v>52955</v>
      </c>
      <c r="H17134" t="s">
        <v>56207</v>
      </c>
      <c r="Y17134" t="s">
        <v>57300</v>
      </c>
    </row>
    <row r="17135" spans="1:25" x14ac:dyDescent="0.25">
      <c r="A17135" t="str">
        <f>"109950684790"</f>
        <v>109950684790</v>
      </c>
      <c r="B17135" t="s">
        <v>530</v>
      </c>
      <c r="C17135" t="s">
        <v>23950</v>
      </c>
      <c r="D17135" t="s">
        <v>23950</v>
      </c>
      <c r="F17135" t="s">
        <v>1</v>
      </c>
      <c r="G17135" t="s">
        <v>52955</v>
      </c>
      <c r="H17135" t="s">
        <v>55903</v>
      </c>
      <c r="Y17135" t="s">
        <v>57301</v>
      </c>
    </row>
    <row r="17136" spans="1:25" x14ac:dyDescent="0.25">
      <c r="A17136" t="str">
        <f>"110382551062"</f>
        <v>110382551062</v>
      </c>
      <c r="B17136" t="s">
        <v>797</v>
      </c>
      <c r="C17136" t="s">
        <v>5123</v>
      </c>
      <c r="D17136" t="s">
        <v>40563</v>
      </c>
      <c r="F17136" t="s">
        <v>1</v>
      </c>
      <c r="G17136" t="s">
        <v>52955</v>
      </c>
      <c r="H17136" t="s">
        <v>53417</v>
      </c>
      <c r="Y17136" t="s">
        <v>57302</v>
      </c>
    </row>
    <row r="17137" spans="1:25" x14ac:dyDescent="0.25">
      <c r="A17137" t="str">
        <f>"110831554679"</f>
        <v>110831554679</v>
      </c>
      <c r="B17137" t="s">
        <v>687</v>
      </c>
      <c r="C17137" t="s">
        <v>57307</v>
      </c>
      <c r="D17137" t="s">
        <v>57303</v>
      </c>
      <c r="E17137">
        <v>425000</v>
      </c>
      <c r="F17137" t="s">
        <v>1</v>
      </c>
      <c r="G17137" t="s">
        <v>52955</v>
      </c>
      <c r="H17137" t="s">
        <v>55251</v>
      </c>
      <c r="I17137" t="s">
        <v>57304</v>
      </c>
      <c r="L17137" t="s">
        <v>57305</v>
      </c>
      <c r="M17137" t="s">
        <v>57306</v>
      </c>
      <c r="P17137" t="s">
        <v>27</v>
      </c>
      <c r="Y17137" t="s">
        <v>56146</v>
      </c>
    </row>
    <row r="17138" spans="1:25" x14ac:dyDescent="0.25">
      <c r="A17138" t="str">
        <f>"110878805509"</f>
        <v>110878805509</v>
      </c>
      <c r="B17138" t="s">
        <v>574</v>
      </c>
      <c r="C17138" t="s">
        <v>646</v>
      </c>
      <c r="D17138" t="s">
        <v>4221</v>
      </c>
      <c r="E17138">
        <v>425005</v>
      </c>
      <c r="F17138" t="s">
        <v>1</v>
      </c>
      <c r="G17138" t="s">
        <v>52955</v>
      </c>
      <c r="H17138" t="s">
        <v>55303</v>
      </c>
      <c r="P17138" t="s">
        <v>216</v>
      </c>
      <c r="Y17138" t="s">
        <v>57308</v>
      </c>
    </row>
    <row r="17139" spans="1:25" x14ac:dyDescent="0.25">
      <c r="A17139" t="str">
        <f>"111015152165"</f>
        <v>111015152165</v>
      </c>
      <c r="B17139" t="s">
        <v>1352</v>
      </c>
      <c r="C17139" t="s">
        <v>1353</v>
      </c>
      <c r="D17139" t="s">
        <v>57309</v>
      </c>
      <c r="F17139" t="s">
        <v>1</v>
      </c>
      <c r="G17139" t="s">
        <v>52955</v>
      </c>
      <c r="H17139" t="s">
        <v>53072</v>
      </c>
      <c r="Y17139" t="s">
        <v>57310</v>
      </c>
    </row>
    <row r="17140" spans="1:25" x14ac:dyDescent="0.25">
      <c r="A17140" t="str">
        <f>"111049462915"</f>
        <v>111049462915</v>
      </c>
      <c r="B17140" t="s">
        <v>32</v>
      </c>
      <c r="C17140" t="s">
        <v>5809</v>
      </c>
      <c r="D17140" t="s">
        <v>21574</v>
      </c>
      <c r="E17140">
        <v>425008</v>
      </c>
      <c r="F17140" t="s">
        <v>1</v>
      </c>
      <c r="G17140" t="s">
        <v>52955</v>
      </c>
      <c r="H17140" t="s">
        <v>56057</v>
      </c>
      <c r="Y17140" t="s">
        <v>57311</v>
      </c>
    </row>
    <row r="17141" spans="1:25" x14ac:dyDescent="0.25">
      <c r="A17141" t="str">
        <f>"111121229143"</f>
        <v>111121229143</v>
      </c>
      <c r="B17141" t="s">
        <v>2361</v>
      </c>
      <c r="C17141" t="s">
        <v>57313</v>
      </c>
      <c r="D17141" t="s">
        <v>57312</v>
      </c>
      <c r="F17141" t="s">
        <v>1</v>
      </c>
      <c r="G17141" t="s">
        <v>52955</v>
      </c>
      <c r="H17141" t="s">
        <v>54574</v>
      </c>
      <c r="Y17141" t="s">
        <v>57314</v>
      </c>
    </row>
    <row r="17142" spans="1:25" x14ac:dyDescent="0.25">
      <c r="A17142" t="str">
        <f>"111143974628"</f>
        <v>111143974628</v>
      </c>
      <c r="B17142" t="s">
        <v>1343</v>
      </c>
      <c r="C17142" t="s">
        <v>5308</v>
      </c>
      <c r="D17142" t="s">
        <v>57315</v>
      </c>
      <c r="F17142" t="s">
        <v>1</v>
      </c>
      <c r="G17142" t="s">
        <v>52955</v>
      </c>
      <c r="H17142" t="s">
        <v>53072</v>
      </c>
      <c r="Y17142" t="s">
        <v>57316</v>
      </c>
    </row>
    <row r="17143" spans="1:25" x14ac:dyDescent="0.25">
      <c r="A17143" t="str">
        <f>"111362793614"</f>
        <v>111362793614</v>
      </c>
      <c r="B17143" t="s">
        <v>408</v>
      </c>
      <c r="C17143" t="s">
        <v>57320</v>
      </c>
      <c r="D17143" t="s">
        <v>26127</v>
      </c>
      <c r="E17143">
        <v>425000</v>
      </c>
      <c r="F17143" t="s">
        <v>1</v>
      </c>
      <c r="G17143" t="s">
        <v>52955</v>
      </c>
      <c r="H17143" t="s">
        <v>57317</v>
      </c>
      <c r="J17143" t="s">
        <v>57318</v>
      </c>
      <c r="L17143" t="s">
        <v>26129</v>
      </c>
      <c r="M17143" t="s">
        <v>57319</v>
      </c>
      <c r="P17143" t="s">
        <v>27</v>
      </c>
      <c r="Q17143" t="s">
        <v>57321</v>
      </c>
      <c r="Y17143" t="s">
        <v>57322</v>
      </c>
    </row>
    <row r="17144" spans="1:25" x14ac:dyDescent="0.25">
      <c r="A17144" t="str">
        <f>"111578764421"</f>
        <v>111578764421</v>
      </c>
      <c r="B17144" t="s">
        <v>930</v>
      </c>
      <c r="C17144" t="s">
        <v>57323</v>
      </c>
      <c r="D17144" t="s">
        <v>56792</v>
      </c>
      <c r="F17144" t="s">
        <v>1</v>
      </c>
      <c r="G17144" t="s">
        <v>52955</v>
      </c>
      <c r="H17144" t="s">
        <v>55808</v>
      </c>
      <c r="P17144" t="s">
        <v>2580</v>
      </c>
      <c r="Q17144" t="s">
        <v>57324</v>
      </c>
      <c r="Y17144" t="s">
        <v>57325</v>
      </c>
    </row>
    <row r="17145" spans="1:25" x14ac:dyDescent="0.25">
      <c r="A17145" t="str">
        <f>"111584796154"</f>
        <v>111584796154</v>
      </c>
      <c r="B17145" t="s">
        <v>430</v>
      </c>
      <c r="C17145" t="s">
        <v>16178</v>
      </c>
      <c r="D17145" t="s">
        <v>57326</v>
      </c>
      <c r="E17145">
        <v>425001</v>
      </c>
      <c r="F17145" t="s">
        <v>1</v>
      </c>
      <c r="G17145" t="s">
        <v>52955</v>
      </c>
      <c r="H17145" t="s">
        <v>53465</v>
      </c>
      <c r="J17145" t="s">
        <v>57327</v>
      </c>
      <c r="P17145" t="s">
        <v>1027</v>
      </c>
      <c r="Y17145" t="s">
        <v>53472</v>
      </c>
    </row>
    <row r="17146" spans="1:25" x14ac:dyDescent="0.25">
      <c r="A17146" t="str">
        <f>"111775274799"</f>
        <v>111775274799</v>
      </c>
      <c r="B17146" t="s">
        <v>18</v>
      </c>
      <c r="C17146" t="s">
        <v>57329</v>
      </c>
      <c r="D17146" t="s">
        <v>57328</v>
      </c>
      <c r="E17146">
        <v>425005</v>
      </c>
      <c r="F17146" t="s">
        <v>1</v>
      </c>
      <c r="G17146" t="s">
        <v>52955</v>
      </c>
      <c r="H17146" t="s">
        <v>55772</v>
      </c>
      <c r="Y17146" t="s">
        <v>57330</v>
      </c>
    </row>
    <row r="17147" spans="1:25" x14ac:dyDescent="0.25">
      <c r="A17147" t="str">
        <f>"111838921967"</f>
        <v>111838921967</v>
      </c>
      <c r="B17147" t="s">
        <v>574</v>
      </c>
      <c r="C17147" t="s">
        <v>646</v>
      </c>
      <c r="D17147" t="s">
        <v>29794</v>
      </c>
      <c r="F17147" t="s">
        <v>1</v>
      </c>
      <c r="G17147" t="s">
        <v>52955</v>
      </c>
      <c r="H17147" t="s">
        <v>56008</v>
      </c>
      <c r="Y17147" t="s">
        <v>57331</v>
      </c>
    </row>
    <row r="17148" spans="1:25" x14ac:dyDescent="0.25">
      <c r="A17148" t="str">
        <f>"111913849752"</f>
        <v>111913849752</v>
      </c>
      <c r="B17148" t="s">
        <v>574</v>
      </c>
      <c r="C17148" t="s">
        <v>646</v>
      </c>
      <c r="D17148" t="s">
        <v>4221</v>
      </c>
      <c r="F17148" t="s">
        <v>1</v>
      </c>
      <c r="G17148" t="s">
        <v>52955</v>
      </c>
      <c r="H17148" t="s">
        <v>55186</v>
      </c>
      <c r="Y17148" t="s">
        <v>57332</v>
      </c>
    </row>
    <row r="17149" spans="1:25" x14ac:dyDescent="0.25">
      <c r="A17149" t="str">
        <f>"112038177948"</f>
        <v>112038177948</v>
      </c>
      <c r="B17149" t="s">
        <v>117</v>
      </c>
      <c r="C17149" t="s">
        <v>873</v>
      </c>
      <c r="D17149" t="s">
        <v>873</v>
      </c>
      <c r="F17149" t="s">
        <v>1</v>
      </c>
      <c r="G17149" t="s">
        <v>52955</v>
      </c>
      <c r="H17149" t="s">
        <v>55669</v>
      </c>
      <c r="Y17149" t="s">
        <v>57333</v>
      </c>
    </row>
    <row r="17150" spans="1:25" x14ac:dyDescent="0.25">
      <c r="A17150" t="str">
        <f>"112130560297"</f>
        <v>112130560297</v>
      </c>
      <c r="B17150" t="s">
        <v>2104</v>
      </c>
      <c r="C17150" t="s">
        <v>13387</v>
      </c>
      <c r="D17150" t="s">
        <v>34531</v>
      </c>
      <c r="F17150" t="s">
        <v>1</v>
      </c>
      <c r="G17150" t="s">
        <v>52955</v>
      </c>
      <c r="H17150" t="s">
        <v>56918</v>
      </c>
      <c r="P17150" t="s">
        <v>2738</v>
      </c>
      <c r="Y17150" t="s">
        <v>57334</v>
      </c>
    </row>
    <row r="17151" spans="1:25" x14ac:dyDescent="0.25">
      <c r="A17151" t="str">
        <f>"112271922968"</f>
        <v>112271922968</v>
      </c>
      <c r="B17151" t="s">
        <v>10383</v>
      </c>
      <c r="C17151" t="s">
        <v>31853</v>
      </c>
      <c r="D17151" t="s">
        <v>57335</v>
      </c>
      <c r="E17151">
        <v>425000</v>
      </c>
      <c r="F17151" t="s">
        <v>1</v>
      </c>
      <c r="G17151" t="s">
        <v>52955</v>
      </c>
      <c r="H17151" t="s">
        <v>57336</v>
      </c>
      <c r="Y17151" t="s">
        <v>57337</v>
      </c>
    </row>
    <row r="17152" spans="1:25" x14ac:dyDescent="0.25">
      <c r="A17152" t="str">
        <f>"112376086835"</f>
        <v>112376086835</v>
      </c>
      <c r="B17152" t="s">
        <v>176</v>
      </c>
      <c r="C17152" t="s">
        <v>57338</v>
      </c>
      <c r="D17152" t="s">
        <v>2945</v>
      </c>
      <c r="E17152">
        <v>425000</v>
      </c>
      <c r="F17152" t="s">
        <v>1</v>
      </c>
      <c r="G17152" t="s">
        <v>52955</v>
      </c>
      <c r="H17152" t="s">
        <v>52998</v>
      </c>
      <c r="P17152" t="s">
        <v>3919</v>
      </c>
      <c r="Y17152" t="s">
        <v>57339</v>
      </c>
    </row>
    <row r="17153" spans="1:25" x14ac:dyDescent="0.25">
      <c r="A17153" t="str">
        <f>"112474168649"</f>
        <v>112474168649</v>
      </c>
      <c r="B17153" t="s">
        <v>3094</v>
      </c>
      <c r="C17153" t="s">
        <v>46629</v>
      </c>
      <c r="D17153" t="s">
        <v>57340</v>
      </c>
      <c r="E17153">
        <v>425000</v>
      </c>
      <c r="F17153" t="s">
        <v>1</v>
      </c>
      <c r="G17153" t="s">
        <v>52955</v>
      </c>
      <c r="H17153" t="s">
        <v>56006</v>
      </c>
      <c r="Y17153" t="s">
        <v>57341</v>
      </c>
    </row>
    <row r="17154" spans="1:25" x14ac:dyDescent="0.25">
      <c r="A17154" t="str">
        <f>"112558276375"</f>
        <v>112558276375</v>
      </c>
      <c r="B17154" t="s">
        <v>574</v>
      </c>
      <c r="C17154" t="s">
        <v>646</v>
      </c>
      <c r="D17154" t="s">
        <v>4221</v>
      </c>
      <c r="E17154">
        <v>425000</v>
      </c>
      <c r="F17154" t="s">
        <v>1</v>
      </c>
      <c r="G17154" t="s">
        <v>52955</v>
      </c>
      <c r="H17154" t="s">
        <v>57160</v>
      </c>
      <c r="Y17154" t="s">
        <v>57342</v>
      </c>
    </row>
    <row r="17155" spans="1:25" x14ac:dyDescent="0.25">
      <c r="A17155" t="str">
        <f>"112677615471"</f>
        <v>112677615471</v>
      </c>
      <c r="B17155" t="s">
        <v>1544</v>
      </c>
      <c r="C17155" t="s">
        <v>30062</v>
      </c>
      <c r="D17155" t="s">
        <v>57343</v>
      </c>
      <c r="F17155" t="s">
        <v>1</v>
      </c>
      <c r="G17155" t="s">
        <v>52955</v>
      </c>
      <c r="H17155" t="s">
        <v>53295</v>
      </c>
      <c r="Y17155" t="s">
        <v>57344</v>
      </c>
    </row>
    <row r="17156" spans="1:25" x14ac:dyDescent="0.25">
      <c r="A17156" t="str">
        <f>"112862422153"</f>
        <v>112862422153</v>
      </c>
      <c r="B17156" t="s">
        <v>284</v>
      </c>
      <c r="C17156" t="s">
        <v>711</v>
      </c>
      <c r="D17156" t="s">
        <v>57345</v>
      </c>
      <c r="E17156">
        <v>425000</v>
      </c>
      <c r="F17156" t="s">
        <v>1</v>
      </c>
      <c r="G17156" t="s">
        <v>52955</v>
      </c>
      <c r="H17156" t="s">
        <v>57346</v>
      </c>
      <c r="P17156" t="s">
        <v>27</v>
      </c>
      <c r="Y17156" t="s">
        <v>57347</v>
      </c>
    </row>
    <row r="17157" spans="1:25" x14ac:dyDescent="0.25">
      <c r="A17157" t="str">
        <f>"113010396956"</f>
        <v>113010396956</v>
      </c>
      <c r="B17157" t="s">
        <v>530</v>
      </c>
      <c r="C17157" t="s">
        <v>23950</v>
      </c>
      <c r="D17157" t="s">
        <v>23950</v>
      </c>
      <c r="F17157" t="s">
        <v>1</v>
      </c>
      <c r="G17157" t="s">
        <v>52955</v>
      </c>
      <c r="H17157" t="s">
        <v>56691</v>
      </c>
      <c r="Y17157" t="s">
        <v>57348</v>
      </c>
    </row>
    <row r="17158" spans="1:25" x14ac:dyDescent="0.25">
      <c r="A17158" t="str">
        <f>"113093408551"</f>
        <v>113093408551</v>
      </c>
      <c r="B17158" t="s">
        <v>1343</v>
      </c>
      <c r="C17158" t="s">
        <v>57349</v>
      </c>
      <c r="D17158" t="s">
        <v>18758</v>
      </c>
      <c r="F17158" t="s">
        <v>1</v>
      </c>
      <c r="G17158" t="s">
        <v>52955</v>
      </c>
      <c r="H17158" t="s">
        <v>54042</v>
      </c>
      <c r="Y17158" t="s">
        <v>57350</v>
      </c>
    </row>
    <row r="17159" spans="1:25" x14ac:dyDescent="0.25">
      <c r="A17159" t="str">
        <f>"113345777680"</f>
        <v>113345777680</v>
      </c>
      <c r="B17159" t="s">
        <v>1262</v>
      </c>
      <c r="C17159" t="s">
        <v>3214</v>
      </c>
      <c r="D17159" t="s">
        <v>12369</v>
      </c>
      <c r="E17159">
        <v>425001</v>
      </c>
      <c r="F17159" t="s">
        <v>1</v>
      </c>
      <c r="G17159" t="s">
        <v>52955</v>
      </c>
      <c r="H17159" t="s">
        <v>57072</v>
      </c>
      <c r="Y17159" t="s">
        <v>57351</v>
      </c>
    </row>
    <row r="17160" spans="1:25" x14ac:dyDescent="0.25">
      <c r="A17160" t="str">
        <f>"113801016250"</f>
        <v>113801016250</v>
      </c>
      <c r="B17160" t="s">
        <v>160</v>
      </c>
      <c r="C17160" t="s">
        <v>1666</v>
      </c>
      <c r="D17160" t="s">
        <v>51294</v>
      </c>
      <c r="E17160">
        <v>425003</v>
      </c>
      <c r="F17160" t="s">
        <v>1</v>
      </c>
      <c r="G17160" t="s">
        <v>52955</v>
      </c>
      <c r="H17160" t="s">
        <v>56543</v>
      </c>
      <c r="Y17160" t="s">
        <v>57352</v>
      </c>
    </row>
    <row r="17161" spans="1:25" x14ac:dyDescent="0.25">
      <c r="A17161" t="str">
        <f>"113957954868"</f>
        <v>113957954868</v>
      </c>
      <c r="B17161" t="s">
        <v>224</v>
      </c>
      <c r="C17161" t="s">
        <v>3240</v>
      </c>
      <c r="D17161" t="s">
        <v>34685</v>
      </c>
      <c r="F17161" t="s">
        <v>1</v>
      </c>
      <c r="G17161" t="s">
        <v>52955</v>
      </c>
      <c r="H17161" t="s">
        <v>57353</v>
      </c>
      <c r="Y17161" t="s">
        <v>57354</v>
      </c>
    </row>
    <row r="17162" spans="1:25" x14ac:dyDescent="0.25">
      <c r="A17162" t="str">
        <f>"113963410351"</f>
        <v>113963410351</v>
      </c>
      <c r="B17162" t="s">
        <v>654</v>
      </c>
      <c r="C17162" t="s">
        <v>57356</v>
      </c>
      <c r="D17162" t="s">
        <v>55306</v>
      </c>
      <c r="E17162">
        <v>425000</v>
      </c>
      <c r="F17162" t="s">
        <v>1</v>
      </c>
      <c r="G17162" t="s">
        <v>52955</v>
      </c>
      <c r="H17162" t="s">
        <v>52998</v>
      </c>
      <c r="J17162" t="s">
        <v>57355</v>
      </c>
      <c r="P17162" t="s">
        <v>19360</v>
      </c>
      <c r="V17162" t="s">
        <v>55310</v>
      </c>
      <c r="Y17162" t="s">
        <v>53003</v>
      </c>
    </row>
    <row r="17163" spans="1:25" x14ac:dyDescent="0.25">
      <c r="A17163" t="str">
        <f>"114695423740"</f>
        <v>114695423740</v>
      </c>
      <c r="B17163" t="s">
        <v>18</v>
      </c>
      <c r="C17163" t="s">
        <v>39409</v>
      </c>
      <c r="D17163" t="s">
        <v>5403</v>
      </c>
      <c r="F17163" t="s">
        <v>1</v>
      </c>
      <c r="G17163" t="s">
        <v>52955</v>
      </c>
      <c r="H17163" t="s">
        <v>57357</v>
      </c>
      <c r="Y17163" t="s">
        <v>57358</v>
      </c>
    </row>
    <row r="17164" spans="1:25" x14ac:dyDescent="0.25">
      <c r="A17164" t="str">
        <f>"114970567591"</f>
        <v>114970567591</v>
      </c>
      <c r="B17164" t="s">
        <v>716</v>
      </c>
      <c r="C17164" t="s">
        <v>717</v>
      </c>
      <c r="D17164" t="s">
        <v>57359</v>
      </c>
      <c r="E17164">
        <v>425001</v>
      </c>
      <c r="F17164" t="s">
        <v>1</v>
      </c>
      <c r="G17164" t="s">
        <v>52955</v>
      </c>
      <c r="H17164" t="s">
        <v>56439</v>
      </c>
      <c r="Y17164" t="s">
        <v>57360</v>
      </c>
    </row>
    <row r="17165" spans="1:25" x14ac:dyDescent="0.25">
      <c r="A17165" t="str">
        <f>"115062471202"</f>
        <v>115062471202</v>
      </c>
      <c r="B17165" t="s">
        <v>18</v>
      </c>
      <c r="C17165" t="s">
        <v>57363</v>
      </c>
      <c r="D17165" t="s">
        <v>57361</v>
      </c>
      <c r="E17165">
        <v>425009</v>
      </c>
      <c r="F17165" t="s">
        <v>1</v>
      </c>
      <c r="G17165" t="s">
        <v>52955</v>
      </c>
      <c r="H17165" t="s">
        <v>54824</v>
      </c>
      <c r="J17165" t="s">
        <v>57362</v>
      </c>
      <c r="Y17165" t="s">
        <v>57364</v>
      </c>
    </row>
    <row r="17166" spans="1:25" x14ac:dyDescent="0.25">
      <c r="A17166" t="str">
        <f>"115188044267"</f>
        <v>115188044267</v>
      </c>
      <c r="B17166" t="s">
        <v>538</v>
      </c>
      <c r="C17166" t="s">
        <v>35282</v>
      </c>
      <c r="D17166" t="s">
        <v>57365</v>
      </c>
      <c r="E17166">
        <v>425000</v>
      </c>
      <c r="F17166" t="s">
        <v>1</v>
      </c>
      <c r="G17166" t="s">
        <v>52955</v>
      </c>
      <c r="H17166" t="s">
        <v>57366</v>
      </c>
      <c r="Y17166" t="s">
        <v>57367</v>
      </c>
    </row>
    <row r="17167" spans="1:25" x14ac:dyDescent="0.25">
      <c r="A17167" t="str">
        <f>"115266381507"</f>
        <v>115266381507</v>
      </c>
      <c r="B17167" t="s">
        <v>1544</v>
      </c>
      <c r="C17167" t="s">
        <v>57372</v>
      </c>
      <c r="D17167" t="s">
        <v>57368</v>
      </c>
      <c r="E17167">
        <v>425000</v>
      </c>
      <c r="F17167" t="s">
        <v>1</v>
      </c>
      <c r="G17167" t="s">
        <v>52955</v>
      </c>
      <c r="H17167" t="s">
        <v>53220</v>
      </c>
      <c r="J17167" t="s">
        <v>57369</v>
      </c>
      <c r="L17167" t="s">
        <v>57370</v>
      </c>
      <c r="M17167" t="s">
        <v>57371</v>
      </c>
      <c r="P17167" t="s">
        <v>57373</v>
      </c>
      <c r="Q17167" t="s">
        <v>57374</v>
      </c>
      <c r="V17167" t="s">
        <v>57375</v>
      </c>
      <c r="Y17167" t="s">
        <v>53223</v>
      </c>
    </row>
    <row r="17168" spans="1:25" x14ac:dyDescent="0.25">
      <c r="A17168" t="str">
        <f>"115538707176"</f>
        <v>115538707176</v>
      </c>
      <c r="B17168" t="s">
        <v>482</v>
      </c>
      <c r="C17168" t="s">
        <v>483</v>
      </c>
      <c r="D17168" t="s">
        <v>57376</v>
      </c>
      <c r="E17168">
        <v>425011</v>
      </c>
      <c r="F17168" t="s">
        <v>1</v>
      </c>
      <c r="G17168" t="s">
        <v>52955</v>
      </c>
      <c r="H17168" t="s">
        <v>53155</v>
      </c>
      <c r="I17168" t="s">
        <v>57377</v>
      </c>
      <c r="M17168" t="s">
        <v>57378</v>
      </c>
      <c r="Y17168" t="s">
        <v>54523</v>
      </c>
    </row>
    <row r="17169" spans="1:25" x14ac:dyDescent="0.25">
      <c r="A17169" t="str">
        <f>"115844950321"</f>
        <v>115844950321</v>
      </c>
      <c r="B17169" t="s">
        <v>1046</v>
      </c>
      <c r="C17169" t="s">
        <v>22946</v>
      </c>
      <c r="D17169" t="s">
        <v>22946</v>
      </c>
      <c r="F17169" t="s">
        <v>1</v>
      </c>
      <c r="G17169" t="s">
        <v>52955</v>
      </c>
      <c r="H17169" t="s">
        <v>55974</v>
      </c>
      <c r="Y17169" t="s">
        <v>57379</v>
      </c>
    </row>
    <row r="17170" spans="1:25" x14ac:dyDescent="0.25">
      <c r="A17170" t="str">
        <f>"115916349899"</f>
        <v>115916349899</v>
      </c>
      <c r="B17170" t="s">
        <v>348</v>
      </c>
      <c r="C17170" t="s">
        <v>57385</v>
      </c>
      <c r="D17170" t="s">
        <v>57380</v>
      </c>
      <c r="E17170">
        <v>425000</v>
      </c>
      <c r="F17170" t="s">
        <v>1</v>
      </c>
      <c r="G17170" t="s">
        <v>52955</v>
      </c>
      <c r="H17170" t="s">
        <v>57381</v>
      </c>
      <c r="J17170" t="s">
        <v>57382</v>
      </c>
      <c r="L17170" t="s">
        <v>57383</v>
      </c>
      <c r="M17170" t="s">
        <v>57384</v>
      </c>
      <c r="P17170" t="s">
        <v>20</v>
      </c>
      <c r="Q17170" t="s">
        <v>57386</v>
      </c>
      <c r="V17170" t="s">
        <v>57387</v>
      </c>
      <c r="Y17170" t="s">
        <v>57388</v>
      </c>
    </row>
    <row r="17171" spans="1:25" x14ac:dyDescent="0.25">
      <c r="A17171" t="str">
        <f>"116166518505"</f>
        <v>116166518505</v>
      </c>
      <c r="B17171" t="s">
        <v>18</v>
      </c>
      <c r="C17171" t="s">
        <v>4522</v>
      </c>
      <c r="D17171" t="s">
        <v>57389</v>
      </c>
      <c r="F17171" t="s">
        <v>1</v>
      </c>
      <c r="G17171" t="s">
        <v>52955</v>
      </c>
      <c r="H17171" t="s">
        <v>57390</v>
      </c>
      <c r="Y17171" t="s">
        <v>57391</v>
      </c>
    </row>
    <row r="17172" spans="1:25" x14ac:dyDescent="0.25">
      <c r="A17172" t="str">
        <f>"116256496199"</f>
        <v>116256496199</v>
      </c>
      <c r="B17172" t="s">
        <v>1343</v>
      </c>
      <c r="C17172" t="s">
        <v>13544</v>
      </c>
      <c r="D17172" t="s">
        <v>57392</v>
      </c>
      <c r="E17172">
        <v>425008</v>
      </c>
      <c r="F17172" t="s">
        <v>1</v>
      </c>
      <c r="G17172" t="s">
        <v>52955</v>
      </c>
      <c r="H17172" t="s">
        <v>53554</v>
      </c>
      <c r="J17172" t="s">
        <v>57393</v>
      </c>
      <c r="L17172" t="s">
        <v>57394</v>
      </c>
      <c r="M17172" t="s">
        <v>57395</v>
      </c>
      <c r="P17172" t="s">
        <v>390</v>
      </c>
      <c r="Y17172" t="s">
        <v>54319</v>
      </c>
    </row>
    <row r="17173" spans="1:25" x14ac:dyDescent="0.25">
      <c r="A17173" t="str">
        <f>"116435757320"</f>
        <v>116435757320</v>
      </c>
      <c r="B17173" t="s">
        <v>233</v>
      </c>
      <c r="C17173" t="s">
        <v>14003</v>
      </c>
      <c r="D17173" t="s">
        <v>57396</v>
      </c>
      <c r="E17173">
        <v>425009</v>
      </c>
      <c r="F17173" t="s">
        <v>1</v>
      </c>
      <c r="G17173" t="s">
        <v>52955</v>
      </c>
      <c r="H17173" t="s">
        <v>55390</v>
      </c>
      <c r="P17173" t="s">
        <v>29643</v>
      </c>
      <c r="Y17173" t="s">
        <v>57397</v>
      </c>
    </row>
    <row r="17174" spans="1:25" x14ac:dyDescent="0.25">
      <c r="A17174" t="str">
        <f>"116473726806"</f>
        <v>116473726806</v>
      </c>
      <c r="B17174" t="s">
        <v>654</v>
      </c>
      <c r="C17174" t="s">
        <v>14448</v>
      </c>
      <c r="D17174" t="s">
        <v>57398</v>
      </c>
      <c r="F17174" t="s">
        <v>1</v>
      </c>
      <c r="G17174" t="s">
        <v>52955</v>
      </c>
      <c r="H17174" t="s">
        <v>53198</v>
      </c>
      <c r="Y17174" t="s">
        <v>57399</v>
      </c>
    </row>
    <row r="17175" spans="1:25" x14ac:dyDescent="0.25">
      <c r="A17175" t="str">
        <f>"116553170770"</f>
        <v>116553170770</v>
      </c>
      <c r="B17175" t="s">
        <v>18</v>
      </c>
      <c r="C17175" t="s">
        <v>12289</v>
      </c>
      <c r="D17175" t="s">
        <v>5125</v>
      </c>
      <c r="E17175">
        <v>425008</v>
      </c>
      <c r="F17175" t="s">
        <v>1</v>
      </c>
      <c r="G17175" t="s">
        <v>52955</v>
      </c>
      <c r="H17175" t="s">
        <v>53614</v>
      </c>
      <c r="P17175" t="s">
        <v>799</v>
      </c>
      <c r="Y17175" t="s">
        <v>57400</v>
      </c>
    </row>
    <row r="17176" spans="1:25" x14ac:dyDescent="0.25">
      <c r="A17176" t="str">
        <f>"116652378741"</f>
        <v>116652378741</v>
      </c>
      <c r="B17176" t="s">
        <v>1544</v>
      </c>
      <c r="C17176" t="s">
        <v>7974</v>
      </c>
      <c r="D17176" t="s">
        <v>57401</v>
      </c>
      <c r="E17176">
        <v>425000</v>
      </c>
      <c r="F17176" t="s">
        <v>1</v>
      </c>
      <c r="G17176" t="s">
        <v>52955</v>
      </c>
      <c r="H17176" t="s">
        <v>57402</v>
      </c>
      <c r="Y17176" t="s">
        <v>57403</v>
      </c>
    </row>
    <row r="17177" spans="1:25" x14ac:dyDescent="0.25">
      <c r="A17177" t="str">
        <f>"116869326835"</f>
        <v>116869326835</v>
      </c>
      <c r="B17177" t="s">
        <v>930</v>
      </c>
      <c r="C17177" t="s">
        <v>927</v>
      </c>
      <c r="D17177" t="s">
        <v>927</v>
      </c>
      <c r="E17177">
        <v>425011</v>
      </c>
      <c r="F17177" t="s">
        <v>1</v>
      </c>
      <c r="G17177" t="s">
        <v>52955</v>
      </c>
      <c r="H17177" t="s">
        <v>57404</v>
      </c>
      <c r="Y17177" t="s">
        <v>57405</v>
      </c>
    </row>
    <row r="17178" spans="1:25" x14ac:dyDescent="0.25">
      <c r="A17178" t="str">
        <f>"116920002641"</f>
        <v>116920002641</v>
      </c>
      <c r="B17178" t="s">
        <v>151</v>
      </c>
      <c r="C17178" t="s">
        <v>151</v>
      </c>
      <c r="D17178" t="s">
        <v>17927</v>
      </c>
      <c r="E17178">
        <v>425000</v>
      </c>
      <c r="F17178" t="s">
        <v>1</v>
      </c>
      <c r="G17178" t="s">
        <v>52955</v>
      </c>
      <c r="H17178" t="s">
        <v>55935</v>
      </c>
      <c r="Y17178" t="s">
        <v>57406</v>
      </c>
    </row>
    <row r="17179" spans="1:25" x14ac:dyDescent="0.25">
      <c r="A17179" t="str">
        <f>"117515499366"</f>
        <v>117515499366</v>
      </c>
      <c r="B17179" t="s">
        <v>18</v>
      </c>
      <c r="C17179" t="s">
        <v>21025</v>
      </c>
      <c r="D17179" t="s">
        <v>57407</v>
      </c>
      <c r="F17179" t="s">
        <v>1</v>
      </c>
      <c r="G17179" t="s">
        <v>52955</v>
      </c>
      <c r="H17179" t="s">
        <v>55878</v>
      </c>
      <c r="I17179" t="s">
        <v>57408</v>
      </c>
      <c r="J17179" t="s">
        <v>57409</v>
      </c>
      <c r="P17179" t="s">
        <v>57410</v>
      </c>
      <c r="Y17179" t="s">
        <v>57411</v>
      </c>
    </row>
    <row r="17180" spans="1:25" x14ac:dyDescent="0.25">
      <c r="A17180" t="str">
        <f>"117541125906"</f>
        <v>117541125906</v>
      </c>
      <c r="B17180" t="s">
        <v>348</v>
      </c>
      <c r="C17180" t="s">
        <v>12184</v>
      </c>
      <c r="D17180" t="s">
        <v>57412</v>
      </c>
      <c r="E17180">
        <v>425000</v>
      </c>
      <c r="F17180" t="s">
        <v>1</v>
      </c>
      <c r="G17180" t="s">
        <v>52955</v>
      </c>
      <c r="H17180" t="s">
        <v>56441</v>
      </c>
      <c r="Y17180" t="s">
        <v>57413</v>
      </c>
    </row>
    <row r="17181" spans="1:25" x14ac:dyDescent="0.25">
      <c r="A17181" t="str">
        <f>"117618095019"</f>
        <v>117618095019</v>
      </c>
      <c r="B17181" t="s">
        <v>7849</v>
      </c>
      <c r="C17181" t="s">
        <v>10351</v>
      </c>
      <c r="D17181" t="s">
        <v>21762</v>
      </c>
      <c r="F17181" t="s">
        <v>1</v>
      </c>
      <c r="G17181" t="s">
        <v>52955</v>
      </c>
      <c r="H17181" t="s">
        <v>53261</v>
      </c>
      <c r="Y17181" t="s">
        <v>57414</v>
      </c>
    </row>
    <row r="17182" spans="1:25" x14ac:dyDescent="0.25">
      <c r="A17182" t="str">
        <f>"118106612155"</f>
        <v>118106612155</v>
      </c>
      <c r="B17182" t="s">
        <v>430</v>
      </c>
      <c r="C17182" t="s">
        <v>16178</v>
      </c>
      <c r="D17182" t="s">
        <v>57415</v>
      </c>
      <c r="E17182">
        <v>425000</v>
      </c>
      <c r="F17182" t="s">
        <v>1</v>
      </c>
      <c r="G17182" t="s">
        <v>52955</v>
      </c>
      <c r="H17182" t="s">
        <v>57160</v>
      </c>
      <c r="Y17182" t="s">
        <v>57416</v>
      </c>
    </row>
    <row r="17183" spans="1:25" x14ac:dyDescent="0.25">
      <c r="A17183" t="str">
        <f>"118126215045"</f>
        <v>118126215045</v>
      </c>
      <c r="B17183" t="s">
        <v>348</v>
      </c>
      <c r="C17183" t="s">
        <v>4366</v>
      </c>
      <c r="D17183" t="s">
        <v>57417</v>
      </c>
      <c r="E17183">
        <v>425000</v>
      </c>
      <c r="F17183" t="s">
        <v>1</v>
      </c>
      <c r="G17183" t="s">
        <v>52955</v>
      </c>
      <c r="H17183" t="s">
        <v>53639</v>
      </c>
      <c r="Y17183" t="s">
        <v>57418</v>
      </c>
    </row>
    <row r="17184" spans="1:25" x14ac:dyDescent="0.25">
      <c r="A17184" t="str">
        <f>"118363647652"</f>
        <v>118363647652</v>
      </c>
      <c r="B17184" t="s">
        <v>25</v>
      </c>
      <c r="C17184" t="s">
        <v>59</v>
      </c>
      <c r="D17184" t="s">
        <v>41973</v>
      </c>
      <c r="E17184">
        <v>425000</v>
      </c>
      <c r="F17184" t="s">
        <v>1</v>
      </c>
      <c r="G17184" t="s">
        <v>52955</v>
      </c>
      <c r="H17184" t="s">
        <v>52998</v>
      </c>
      <c r="Y17184" t="s">
        <v>57419</v>
      </c>
    </row>
    <row r="17185" spans="1:25" x14ac:dyDescent="0.25">
      <c r="A17185" t="str">
        <f>"118677515611"</f>
        <v>118677515611</v>
      </c>
      <c r="B17185" t="s">
        <v>117</v>
      </c>
      <c r="C17185" t="s">
        <v>873</v>
      </c>
      <c r="D17185" t="s">
        <v>873</v>
      </c>
      <c r="F17185" t="s">
        <v>1</v>
      </c>
      <c r="G17185" t="s">
        <v>52955</v>
      </c>
      <c r="H17185" t="s">
        <v>56834</v>
      </c>
      <c r="Y17185" t="s">
        <v>57420</v>
      </c>
    </row>
    <row r="17186" spans="1:25" x14ac:dyDescent="0.25">
      <c r="A17186" t="str">
        <f>"118685503694"</f>
        <v>118685503694</v>
      </c>
      <c r="B17186" t="s">
        <v>96</v>
      </c>
      <c r="C17186" t="s">
        <v>893</v>
      </c>
      <c r="D17186" t="s">
        <v>13519</v>
      </c>
      <c r="E17186">
        <v>425000</v>
      </c>
      <c r="F17186" t="s">
        <v>1</v>
      </c>
      <c r="G17186" t="s">
        <v>52955</v>
      </c>
      <c r="H17186" t="s">
        <v>53549</v>
      </c>
      <c r="P17186" t="s">
        <v>133</v>
      </c>
      <c r="Y17186" t="s">
        <v>57421</v>
      </c>
    </row>
    <row r="17187" spans="1:25" x14ac:dyDescent="0.25">
      <c r="A17187" t="str">
        <f>"118805222686"</f>
        <v>118805222686</v>
      </c>
      <c r="B17187" t="s">
        <v>530</v>
      </c>
      <c r="C17187" t="s">
        <v>23950</v>
      </c>
      <c r="D17187" t="s">
        <v>23950</v>
      </c>
      <c r="F17187" t="s">
        <v>1</v>
      </c>
      <c r="G17187" t="s">
        <v>52955</v>
      </c>
      <c r="H17187" t="s">
        <v>57422</v>
      </c>
      <c r="Y17187" t="s">
        <v>57423</v>
      </c>
    </row>
    <row r="17188" spans="1:25" x14ac:dyDescent="0.25">
      <c r="A17188" t="str">
        <f>"118831626386"</f>
        <v>118831626386</v>
      </c>
      <c r="B17188" t="s">
        <v>10383</v>
      </c>
      <c r="C17188" t="s">
        <v>24146</v>
      </c>
      <c r="D17188" t="s">
        <v>24146</v>
      </c>
      <c r="E17188">
        <v>425000</v>
      </c>
      <c r="F17188" t="s">
        <v>1</v>
      </c>
      <c r="G17188" t="s">
        <v>52955</v>
      </c>
      <c r="H17188" t="s">
        <v>57424</v>
      </c>
      <c r="Y17188" t="s">
        <v>57425</v>
      </c>
    </row>
    <row r="17189" spans="1:25" x14ac:dyDescent="0.25">
      <c r="A17189" t="str">
        <f>"119022049821"</f>
        <v>119022049821</v>
      </c>
      <c r="B17189" t="s">
        <v>574</v>
      </c>
      <c r="C17189" t="s">
        <v>646</v>
      </c>
      <c r="D17189" t="s">
        <v>4221</v>
      </c>
      <c r="E17189">
        <v>425011</v>
      </c>
      <c r="F17189" t="s">
        <v>1</v>
      </c>
      <c r="G17189" t="s">
        <v>52955</v>
      </c>
      <c r="H17189" t="s">
        <v>53364</v>
      </c>
      <c r="Y17189" t="s">
        <v>57426</v>
      </c>
    </row>
    <row r="17190" spans="1:25" x14ac:dyDescent="0.25">
      <c r="A17190" t="str">
        <f>"119047401529"</f>
        <v>119047401529</v>
      </c>
      <c r="B17190" t="s">
        <v>530</v>
      </c>
      <c r="C17190" t="s">
        <v>23950</v>
      </c>
      <c r="D17190" t="s">
        <v>23950</v>
      </c>
      <c r="F17190" t="s">
        <v>1</v>
      </c>
      <c r="G17190" t="s">
        <v>52955</v>
      </c>
      <c r="H17190" t="s">
        <v>57427</v>
      </c>
      <c r="Y17190" t="s">
        <v>57428</v>
      </c>
    </row>
    <row r="17191" spans="1:25" x14ac:dyDescent="0.25">
      <c r="A17191" t="str">
        <f>"119198060266"</f>
        <v>119198060266</v>
      </c>
      <c r="B17191" t="s">
        <v>530</v>
      </c>
      <c r="C17191" t="s">
        <v>23950</v>
      </c>
      <c r="D17191" t="s">
        <v>23950</v>
      </c>
      <c r="E17191">
        <v>425001</v>
      </c>
      <c r="F17191" t="s">
        <v>1</v>
      </c>
      <c r="G17191" t="s">
        <v>52955</v>
      </c>
      <c r="H17191" t="s">
        <v>57429</v>
      </c>
      <c r="Y17191" t="s">
        <v>57430</v>
      </c>
    </row>
    <row r="17192" spans="1:25" x14ac:dyDescent="0.25">
      <c r="A17192" t="str">
        <f>"119395310578"</f>
        <v>119395310578</v>
      </c>
      <c r="B17192" t="s">
        <v>1078</v>
      </c>
      <c r="C17192" t="s">
        <v>25481</v>
      </c>
      <c r="D17192" t="s">
        <v>7229</v>
      </c>
      <c r="E17192">
        <v>425009</v>
      </c>
      <c r="F17192" t="s">
        <v>1</v>
      </c>
      <c r="G17192" t="s">
        <v>52955</v>
      </c>
      <c r="H17192" t="s">
        <v>55434</v>
      </c>
      <c r="Y17192" t="s">
        <v>57431</v>
      </c>
    </row>
    <row r="17193" spans="1:25" x14ac:dyDescent="0.25">
      <c r="A17193" t="str">
        <f>"119531193222"</f>
        <v>119531193222</v>
      </c>
      <c r="B17193" t="s">
        <v>978</v>
      </c>
      <c r="C17193" t="s">
        <v>1659</v>
      </c>
      <c r="D17193" t="s">
        <v>57432</v>
      </c>
      <c r="E17193">
        <v>425011</v>
      </c>
      <c r="F17193" t="s">
        <v>1</v>
      </c>
      <c r="G17193" t="s">
        <v>52955</v>
      </c>
      <c r="H17193" t="s">
        <v>53155</v>
      </c>
      <c r="P17193" t="s">
        <v>9</v>
      </c>
      <c r="Y17193" t="s">
        <v>57433</v>
      </c>
    </row>
    <row r="17194" spans="1:25" x14ac:dyDescent="0.25">
      <c r="A17194" t="str">
        <f>"119666578380"</f>
        <v>119666578380</v>
      </c>
      <c r="B17194" t="s">
        <v>352</v>
      </c>
      <c r="C17194" t="s">
        <v>9212</v>
      </c>
      <c r="D17194" t="s">
        <v>57434</v>
      </c>
      <c r="E17194">
        <v>425003</v>
      </c>
      <c r="F17194" t="s">
        <v>1</v>
      </c>
      <c r="G17194" t="s">
        <v>52955</v>
      </c>
      <c r="H17194" t="s">
        <v>57435</v>
      </c>
      <c r="J17194" t="s">
        <v>57436</v>
      </c>
      <c r="P17194" t="s">
        <v>330</v>
      </c>
      <c r="Q17194" t="s">
        <v>57437</v>
      </c>
      <c r="Y17194" t="s">
        <v>57438</v>
      </c>
    </row>
    <row r="17195" spans="1:25" x14ac:dyDescent="0.25">
      <c r="A17195" t="str">
        <f>"119675073754"</f>
        <v>119675073754</v>
      </c>
      <c r="B17195" t="s">
        <v>1078</v>
      </c>
      <c r="C17195" t="s">
        <v>25481</v>
      </c>
      <c r="D17195" t="s">
        <v>7229</v>
      </c>
      <c r="E17195">
        <v>425005</v>
      </c>
      <c r="F17195" t="s">
        <v>1</v>
      </c>
      <c r="G17195" t="s">
        <v>52955</v>
      </c>
      <c r="H17195" t="s">
        <v>56259</v>
      </c>
      <c r="Y17195" t="s">
        <v>57439</v>
      </c>
    </row>
    <row r="17196" spans="1:25" x14ac:dyDescent="0.25">
      <c r="A17196" t="str">
        <f>"119718297139"</f>
        <v>119718297139</v>
      </c>
      <c r="B17196" t="s">
        <v>797</v>
      </c>
      <c r="C17196" t="s">
        <v>5123</v>
      </c>
      <c r="D17196" t="s">
        <v>56822</v>
      </c>
      <c r="E17196">
        <v>425000</v>
      </c>
      <c r="F17196" t="s">
        <v>1</v>
      </c>
      <c r="G17196" t="s">
        <v>52955</v>
      </c>
      <c r="H17196" t="s">
        <v>53066</v>
      </c>
      <c r="Y17196" t="s">
        <v>57440</v>
      </c>
    </row>
    <row r="17197" spans="1:25" x14ac:dyDescent="0.25">
      <c r="A17197" t="str">
        <f>"119795213519"</f>
        <v>119795213519</v>
      </c>
      <c r="B17197" t="s">
        <v>1152</v>
      </c>
      <c r="C17197" t="s">
        <v>1153</v>
      </c>
      <c r="D17197" t="s">
        <v>10280</v>
      </c>
      <c r="E17197">
        <v>425005</v>
      </c>
      <c r="F17197" t="s">
        <v>1</v>
      </c>
      <c r="G17197" t="s">
        <v>52955</v>
      </c>
      <c r="H17197" t="s">
        <v>57441</v>
      </c>
      <c r="I17197" t="s">
        <v>22092</v>
      </c>
      <c r="M17197" t="s">
        <v>10284</v>
      </c>
      <c r="Q17197" t="s">
        <v>10286</v>
      </c>
      <c r="R17197" t="s">
        <v>10287</v>
      </c>
      <c r="S17197" t="s">
        <v>10288</v>
      </c>
      <c r="T17197" t="s">
        <v>10289</v>
      </c>
      <c r="U17197" t="s">
        <v>10290</v>
      </c>
      <c r="V17197" t="s">
        <v>10291</v>
      </c>
      <c r="Y17197" t="s">
        <v>57442</v>
      </c>
    </row>
    <row r="17198" spans="1:25" x14ac:dyDescent="0.25">
      <c r="A17198" t="str">
        <f>"119899560843"</f>
        <v>119899560843</v>
      </c>
      <c r="B17198" t="s">
        <v>290</v>
      </c>
      <c r="C17198" t="s">
        <v>11114</v>
      </c>
      <c r="D17198" t="s">
        <v>57443</v>
      </c>
      <c r="F17198" t="s">
        <v>1</v>
      </c>
      <c r="G17198" t="s">
        <v>52955</v>
      </c>
      <c r="H17198" t="s">
        <v>55928</v>
      </c>
      <c r="Y17198" t="s">
        <v>57444</v>
      </c>
    </row>
    <row r="17199" spans="1:25" x14ac:dyDescent="0.25">
      <c r="A17199" t="str">
        <f>"120384215924"</f>
        <v>120384215924</v>
      </c>
      <c r="B17199" t="s">
        <v>18</v>
      </c>
      <c r="C17199" t="s">
        <v>2171</v>
      </c>
      <c r="D17199" t="s">
        <v>57445</v>
      </c>
      <c r="E17199">
        <v>425000</v>
      </c>
      <c r="F17199" t="s">
        <v>1</v>
      </c>
      <c r="G17199" t="s">
        <v>52955</v>
      </c>
      <c r="H17199" t="s">
        <v>53639</v>
      </c>
      <c r="Y17199" t="s">
        <v>57446</v>
      </c>
    </row>
    <row r="17200" spans="1:25" x14ac:dyDescent="0.25">
      <c r="A17200" t="str">
        <f>"120514314141"</f>
        <v>120514314141</v>
      </c>
      <c r="B17200" t="s">
        <v>1544</v>
      </c>
      <c r="C17200" t="s">
        <v>7974</v>
      </c>
      <c r="D17200" t="s">
        <v>57447</v>
      </c>
      <c r="F17200" t="s">
        <v>1</v>
      </c>
      <c r="G17200" t="s">
        <v>52955</v>
      </c>
      <c r="H17200" t="s">
        <v>53198</v>
      </c>
      <c r="Y17200" t="s">
        <v>57448</v>
      </c>
    </row>
    <row r="17201" spans="1:25" x14ac:dyDescent="0.25">
      <c r="A17201" t="str">
        <f>"120556515542"</f>
        <v>120556515542</v>
      </c>
      <c r="B17201" t="s">
        <v>1758</v>
      </c>
      <c r="C17201" t="s">
        <v>8089</v>
      </c>
      <c r="D17201" t="s">
        <v>1805</v>
      </c>
      <c r="F17201" t="s">
        <v>1</v>
      </c>
      <c r="G17201" t="s">
        <v>52955</v>
      </c>
      <c r="H17201" t="s">
        <v>57449</v>
      </c>
      <c r="P17201" t="s">
        <v>941</v>
      </c>
      <c r="Y17201" t="s">
        <v>57450</v>
      </c>
    </row>
    <row r="17202" spans="1:25" x14ac:dyDescent="0.25">
      <c r="A17202" t="str">
        <f>"120598887880"</f>
        <v>120598887880</v>
      </c>
      <c r="B17202" t="s">
        <v>624</v>
      </c>
      <c r="C17202" t="s">
        <v>24400</v>
      </c>
      <c r="D17202" t="s">
        <v>57451</v>
      </c>
      <c r="F17202" t="s">
        <v>1</v>
      </c>
      <c r="G17202" t="s">
        <v>52955</v>
      </c>
      <c r="H17202" t="s">
        <v>55903</v>
      </c>
      <c r="Y17202" t="s">
        <v>57452</v>
      </c>
    </row>
    <row r="17203" spans="1:25" x14ac:dyDescent="0.25">
      <c r="A17203" t="str">
        <f>"120919004131"</f>
        <v>120919004131</v>
      </c>
      <c r="B17203" t="s">
        <v>462</v>
      </c>
      <c r="C17203" t="s">
        <v>1140</v>
      </c>
      <c r="D17203" t="s">
        <v>57453</v>
      </c>
      <c r="E17203">
        <v>425000</v>
      </c>
      <c r="F17203" t="s">
        <v>1</v>
      </c>
      <c r="G17203" t="s">
        <v>52955</v>
      </c>
      <c r="H17203" t="s">
        <v>52980</v>
      </c>
      <c r="Y17203" t="s">
        <v>57454</v>
      </c>
    </row>
    <row r="17204" spans="1:25" x14ac:dyDescent="0.25">
      <c r="A17204" t="str">
        <f>"121149664819"</f>
        <v>121149664819</v>
      </c>
      <c r="B17204" t="s">
        <v>88</v>
      </c>
      <c r="C17204" t="s">
        <v>19306</v>
      </c>
      <c r="D17204" t="s">
        <v>57455</v>
      </c>
      <c r="F17204" t="s">
        <v>1</v>
      </c>
      <c r="G17204" t="s">
        <v>52955</v>
      </c>
      <c r="H17204" t="s">
        <v>53215</v>
      </c>
      <c r="P17204" t="s">
        <v>362</v>
      </c>
      <c r="Y17204" t="s">
        <v>57456</v>
      </c>
    </row>
    <row r="17205" spans="1:25" x14ac:dyDescent="0.25">
      <c r="A17205" t="str">
        <f>"121405514540"</f>
        <v>121405514540</v>
      </c>
      <c r="B17205" t="s">
        <v>290</v>
      </c>
      <c r="C17205" t="s">
        <v>11603</v>
      </c>
      <c r="D17205" t="s">
        <v>57457</v>
      </c>
      <c r="E17205">
        <v>425000</v>
      </c>
      <c r="F17205" t="s">
        <v>1</v>
      </c>
      <c r="G17205" t="s">
        <v>52955</v>
      </c>
      <c r="H17205" t="s">
        <v>54369</v>
      </c>
      <c r="Y17205" t="s">
        <v>57458</v>
      </c>
    </row>
    <row r="17206" spans="1:25" x14ac:dyDescent="0.25">
      <c r="A17206" t="str">
        <f>"121589068146"</f>
        <v>121589068146</v>
      </c>
      <c r="B17206" t="s">
        <v>25</v>
      </c>
      <c r="C17206" t="s">
        <v>24938</v>
      </c>
      <c r="D17206" t="s">
        <v>57459</v>
      </c>
      <c r="E17206">
        <v>425001</v>
      </c>
      <c r="F17206" t="s">
        <v>1</v>
      </c>
      <c r="G17206" t="s">
        <v>52955</v>
      </c>
      <c r="H17206" t="s">
        <v>57460</v>
      </c>
      <c r="I17206" t="s">
        <v>57461</v>
      </c>
      <c r="M17206" t="s">
        <v>57462</v>
      </c>
      <c r="Y17206" t="s">
        <v>57463</v>
      </c>
    </row>
    <row r="17207" spans="1:25" x14ac:dyDescent="0.25">
      <c r="A17207" t="str">
        <f>"121989538227"</f>
        <v>121989538227</v>
      </c>
      <c r="B17207" t="s">
        <v>25</v>
      </c>
      <c r="C17207" t="s">
        <v>4458</v>
      </c>
      <c r="D17207" t="s">
        <v>32629</v>
      </c>
      <c r="F17207" t="s">
        <v>1</v>
      </c>
      <c r="G17207" t="s">
        <v>52955</v>
      </c>
      <c r="H17207" t="s">
        <v>57464</v>
      </c>
      <c r="Y17207" t="s">
        <v>57465</v>
      </c>
    </row>
    <row r="17208" spans="1:25" x14ac:dyDescent="0.25">
      <c r="A17208" t="str">
        <f>"122054525429"</f>
        <v>122054525429</v>
      </c>
      <c r="B17208" t="s">
        <v>117</v>
      </c>
      <c r="C17208" t="s">
        <v>873</v>
      </c>
      <c r="D17208" t="s">
        <v>873</v>
      </c>
      <c r="E17208">
        <v>425000</v>
      </c>
      <c r="F17208" t="s">
        <v>1</v>
      </c>
      <c r="G17208" t="s">
        <v>52955</v>
      </c>
      <c r="H17208" t="s">
        <v>57466</v>
      </c>
      <c r="Y17208" t="s">
        <v>57467</v>
      </c>
    </row>
    <row r="17209" spans="1:25" x14ac:dyDescent="0.25">
      <c r="A17209" t="str">
        <f>"122060687045"</f>
        <v>122060687045</v>
      </c>
      <c r="B17209" t="s">
        <v>5745</v>
      </c>
      <c r="C17209" t="s">
        <v>11619</v>
      </c>
      <c r="D17209" t="s">
        <v>57468</v>
      </c>
      <c r="E17209">
        <v>425001</v>
      </c>
      <c r="F17209" t="s">
        <v>1</v>
      </c>
      <c r="G17209" t="s">
        <v>52955</v>
      </c>
      <c r="H17209" t="s">
        <v>53017</v>
      </c>
      <c r="Y17209" t="s">
        <v>57469</v>
      </c>
    </row>
    <row r="17210" spans="1:25" x14ac:dyDescent="0.25">
      <c r="A17210" t="str">
        <f>"122227083644"</f>
        <v>122227083644</v>
      </c>
      <c r="B17210" t="s">
        <v>1046</v>
      </c>
      <c r="C17210" t="s">
        <v>22946</v>
      </c>
      <c r="D17210" t="s">
        <v>22946</v>
      </c>
      <c r="E17210">
        <v>425008</v>
      </c>
      <c r="F17210" t="s">
        <v>1</v>
      </c>
      <c r="G17210" t="s">
        <v>52955</v>
      </c>
      <c r="H17210" t="s">
        <v>56658</v>
      </c>
      <c r="Y17210" t="s">
        <v>57470</v>
      </c>
    </row>
    <row r="17211" spans="1:25" x14ac:dyDescent="0.25">
      <c r="A17211" t="str">
        <f>"122253385351"</f>
        <v>122253385351</v>
      </c>
      <c r="B17211" t="s">
        <v>530</v>
      </c>
      <c r="C17211" t="s">
        <v>23950</v>
      </c>
      <c r="D17211" t="s">
        <v>23950</v>
      </c>
      <c r="F17211" t="s">
        <v>1</v>
      </c>
      <c r="G17211" t="s">
        <v>52955</v>
      </c>
      <c r="H17211" t="s">
        <v>55878</v>
      </c>
      <c r="Y17211" t="s">
        <v>57471</v>
      </c>
    </row>
    <row r="17212" spans="1:25" x14ac:dyDescent="0.25">
      <c r="A17212" t="str">
        <f>"122298953233"</f>
        <v>122298953233</v>
      </c>
      <c r="B17212" t="s">
        <v>430</v>
      </c>
      <c r="C17212" t="s">
        <v>16178</v>
      </c>
      <c r="D17212" t="s">
        <v>57083</v>
      </c>
      <c r="E17212">
        <v>425000</v>
      </c>
      <c r="F17212" t="s">
        <v>1</v>
      </c>
      <c r="G17212" t="s">
        <v>52955</v>
      </c>
      <c r="H17212" t="s">
        <v>53783</v>
      </c>
      <c r="L17212" t="s">
        <v>57472</v>
      </c>
      <c r="M17212" t="s">
        <v>57473</v>
      </c>
      <c r="Y17212" t="s">
        <v>57474</v>
      </c>
    </row>
    <row r="17213" spans="1:25" x14ac:dyDescent="0.25">
      <c r="A17213" t="str">
        <f>"122368579858"</f>
        <v>122368579858</v>
      </c>
      <c r="B17213" t="s">
        <v>18</v>
      </c>
      <c r="C17213" t="s">
        <v>2593</v>
      </c>
      <c r="D17213" t="s">
        <v>2167</v>
      </c>
      <c r="F17213" t="s">
        <v>1</v>
      </c>
      <c r="G17213" t="s">
        <v>52955</v>
      </c>
      <c r="H17213" t="s">
        <v>53198</v>
      </c>
      <c r="J17213" t="s">
        <v>49089</v>
      </c>
      <c r="M17213" t="s">
        <v>57475</v>
      </c>
      <c r="P17213" t="s">
        <v>1027</v>
      </c>
      <c r="S17213" t="s">
        <v>57476</v>
      </c>
      <c r="Y17213" t="s">
        <v>55699</v>
      </c>
    </row>
    <row r="17214" spans="1:25" x14ac:dyDescent="0.25">
      <c r="A17214" t="str">
        <f>"122416932659"</f>
        <v>122416932659</v>
      </c>
      <c r="B17214" t="s">
        <v>1343</v>
      </c>
      <c r="C17214" t="s">
        <v>13544</v>
      </c>
      <c r="D17214" t="s">
        <v>26865</v>
      </c>
      <c r="E17214">
        <v>425009</v>
      </c>
      <c r="F17214" t="s">
        <v>1</v>
      </c>
      <c r="G17214" t="s">
        <v>52955</v>
      </c>
      <c r="H17214" t="s">
        <v>55228</v>
      </c>
      <c r="Y17214" t="s">
        <v>57477</v>
      </c>
    </row>
    <row r="17215" spans="1:25" x14ac:dyDescent="0.25">
      <c r="A17215" t="str">
        <f>"122591235397"</f>
        <v>122591235397</v>
      </c>
      <c r="B17215" t="s">
        <v>574</v>
      </c>
      <c r="C17215" t="s">
        <v>646</v>
      </c>
      <c r="D17215" t="s">
        <v>57478</v>
      </c>
      <c r="F17215" t="s">
        <v>1</v>
      </c>
      <c r="G17215" t="s">
        <v>52955</v>
      </c>
      <c r="H17215" t="s">
        <v>54475</v>
      </c>
      <c r="P17215" t="s">
        <v>330</v>
      </c>
      <c r="Y17215" t="s">
        <v>56047</v>
      </c>
    </row>
    <row r="17216" spans="1:25" x14ac:dyDescent="0.25">
      <c r="A17216" t="str">
        <f>"122721692360"</f>
        <v>122721692360</v>
      </c>
      <c r="B17216" t="s">
        <v>32</v>
      </c>
      <c r="C17216" t="s">
        <v>57481</v>
      </c>
      <c r="D17216" t="s">
        <v>57479</v>
      </c>
      <c r="E17216">
        <v>425001</v>
      </c>
      <c r="F17216" t="s">
        <v>1</v>
      </c>
      <c r="G17216" t="s">
        <v>52955</v>
      </c>
      <c r="H17216" t="s">
        <v>53465</v>
      </c>
      <c r="J17216" t="s">
        <v>57480</v>
      </c>
      <c r="P17216" t="s">
        <v>216</v>
      </c>
      <c r="Q17216" t="s">
        <v>57482</v>
      </c>
      <c r="Y17216" t="s">
        <v>53472</v>
      </c>
    </row>
    <row r="17217" spans="1:25" x14ac:dyDescent="0.25">
      <c r="A17217" t="str">
        <f>"122932744841"</f>
        <v>122932744841</v>
      </c>
      <c r="B17217" t="s">
        <v>1268</v>
      </c>
      <c r="C17217" t="s">
        <v>57485</v>
      </c>
      <c r="D17217" t="s">
        <v>10573</v>
      </c>
      <c r="F17217" t="s">
        <v>1</v>
      </c>
      <c r="G17217" t="s">
        <v>52955</v>
      </c>
      <c r="H17217" t="s">
        <v>57483</v>
      </c>
      <c r="J17217" t="s">
        <v>57484</v>
      </c>
      <c r="P17217" t="s">
        <v>330</v>
      </c>
      <c r="Y17217" t="s">
        <v>57486</v>
      </c>
    </row>
    <row r="17218" spans="1:25" x14ac:dyDescent="0.25">
      <c r="A17218" t="str">
        <f>"123051129582"</f>
        <v>123051129582</v>
      </c>
      <c r="B17218" t="s">
        <v>319</v>
      </c>
      <c r="C17218" t="s">
        <v>320</v>
      </c>
      <c r="D17218" t="s">
        <v>57487</v>
      </c>
      <c r="E17218">
        <v>425000</v>
      </c>
      <c r="F17218" t="s">
        <v>1</v>
      </c>
      <c r="G17218" t="s">
        <v>52955</v>
      </c>
      <c r="H17218" t="s">
        <v>54152</v>
      </c>
      <c r="Y17218" t="s">
        <v>57488</v>
      </c>
    </row>
    <row r="17219" spans="1:25" x14ac:dyDescent="0.25">
      <c r="A17219" t="str">
        <f>"123180930589"</f>
        <v>123180930589</v>
      </c>
      <c r="B17219" t="s">
        <v>624</v>
      </c>
      <c r="C17219" t="s">
        <v>51308</v>
      </c>
      <c r="D17219" t="s">
        <v>57489</v>
      </c>
      <c r="E17219">
        <v>425009</v>
      </c>
      <c r="F17219" t="s">
        <v>1</v>
      </c>
      <c r="G17219" t="s">
        <v>52955</v>
      </c>
      <c r="H17219" t="s">
        <v>55282</v>
      </c>
      <c r="Y17219" t="s">
        <v>57490</v>
      </c>
    </row>
    <row r="17220" spans="1:25" x14ac:dyDescent="0.25">
      <c r="A17220" t="str">
        <f>"123271628929"</f>
        <v>123271628929</v>
      </c>
      <c r="B17220" t="s">
        <v>430</v>
      </c>
      <c r="C17220" t="s">
        <v>16178</v>
      </c>
      <c r="D17220" t="s">
        <v>10135</v>
      </c>
      <c r="F17220" t="s">
        <v>1</v>
      </c>
      <c r="G17220" t="s">
        <v>52955</v>
      </c>
      <c r="H17220" t="s">
        <v>57491</v>
      </c>
      <c r="Y17220" t="s">
        <v>57492</v>
      </c>
    </row>
    <row r="17221" spans="1:25" x14ac:dyDescent="0.25">
      <c r="A17221" t="str">
        <f>"123328779720"</f>
        <v>123328779720</v>
      </c>
      <c r="B17221" t="s">
        <v>7</v>
      </c>
      <c r="C17221" t="s">
        <v>15083</v>
      </c>
      <c r="D17221" t="s">
        <v>57493</v>
      </c>
      <c r="F17221" t="s">
        <v>1</v>
      </c>
      <c r="G17221" t="s">
        <v>52955</v>
      </c>
      <c r="H17221" t="s">
        <v>57494</v>
      </c>
      <c r="I17221" t="s">
        <v>10971</v>
      </c>
      <c r="L17221" t="s">
        <v>57495</v>
      </c>
      <c r="P17221" t="s">
        <v>280</v>
      </c>
      <c r="Y17221" t="s">
        <v>57496</v>
      </c>
    </row>
    <row r="17222" spans="1:25" x14ac:dyDescent="0.25">
      <c r="A17222" t="str">
        <f>"123461548020"</f>
        <v>123461548020</v>
      </c>
      <c r="B17222" t="s">
        <v>96</v>
      </c>
      <c r="C17222" t="s">
        <v>893</v>
      </c>
      <c r="D17222" t="s">
        <v>9929</v>
      </c>
      <c r="F17222" t="s">
        <v>1</v>
      </c>
      <c r="G17222" t="s">
        <v>52955</v>
      </c>
      <c r="H17222" t="s">
        <v>53072</v>
      </c>
      <c r="Y17222" t="s">
        <v>57497</v>
      </c>
    </row>
    <row r="17223" spans="1:25" x14ac:dyDescent="0.25">
      <c r="A17223" t="str">
        <f>"123475199476"</f>
        <v>123475199476</v>
      </c>
      <c r="B17223" t="s">
        <v>96</v>
      </c>
      <c r="C17223" t="s">
        <v>24042</v>
      </c>
      <c r="D17223" t="s">
        <v>57498</v>
      </c>
      <c r="F17223" t="s">
        <v>1</v>
      </c>
      <c r="G17223" t="s">
        <v>52955</v>
      </c>
      <c r="H17223" t="s">
        <v>53871</v>
      </c>
      <c r="Y17223" t="s">
        <v>57499</v>
      </c>
    </row>
    <row r="17224" spans="1:25" x14ac:dyDescent="0.25">
      <c r="A17224" t="str">
        <f>"123839590017"</f>
        <v>123839590017</v>
      </c>
      <c r="B17224" t="s">
        <v>408</v>
      </c>
      <c r="C17224" t="s">
        <v>4591</v>
      </c>
      <c r="D17224" t="s">
        <v>57500</v>
      </c>
      <c r="E17224">
        <v>425000</v>
      </c>
      <c r="F17224" t="s">
        <v>1</v>
      </c>
      <c r="G17224" t="s">
        <v>52955</v>
      </c>
      <c r="H17224" t="s">
        <v>53311</v>
      </c>
      <c r="I17224" t="s">
        <v>53977</v>
      </c>
      <c r="L17224" t="s">
        <v>57501</v>
      </c>
      <c r="P17224" t="s">
        <v>3814</v>
      </c>
      <c r="Q17224" t="s">
        <v>57502</v>
      </c>
      <c r="Y17224" t="s">
        <v>57503</v>
      </c>
    </row>
    <row r="17225" spans="1:25" x14ac:dyDescent="0.25">
      <c r="A17225" t="str">
        <f>"124038423388"</f>
        <v>124038423388</v>
      </c>
      <c r="B17225" t="s">
        <v>2818</v>
      </c>
      <c r="C17225" t="s">
        <v>32965</v>
      </c>
      <c r="D17225" t="s">
        <v>32965</v>
      </c>
      <c r="F17225" t="s">
        <v>1</v>
      </c>
      <c r="G17225" t="s">
        <v>52955</v>
      </c>
      <c r="H17225" t="s">
        <v>55903</v>
      </c>
      <c r="Y17225" t="s">
        <v>57504</v>
      </c>
    </row>
    <row r="17226" spans="1:25" x14ac:dyDescent="0.25">
      <c r="A17226" t="str">
        <f>"124340808585"</f>
        <v>124340808585</v>
      </c>
      <c r="B17226" t="s">
        <v>397</v>
      </c>
      <c r="C17226" t="s">
        <v>11379</v>
      </c>
      <c r="D17226" t="s">
        <v>57505</v>
      </c>
      <c r="E17226">
        <v>425000</v>
      </c>
      <c r="F17226" t="s">
        <v>1</v>
      </c>
      <c r="G17226" t="s">
        <v>52955</v>
      </c>
      <c r="H17226" t="s">
        <v>54907</v>
      </c>
      <c r="J17226" t="s">
        <v>57506</v>
      </c>
      <c r="P17226" t="s">
        <v>330</v>
      </c>
      <c r="Y17226" t="s">
        <v>54910</v>
      </c>
    </row>
    <row r="17227" spans="1:25" x14ac:dyDescent="0.25">
      <c r="A17227" t="str">
        <f>"124461644577"</f>
        <v>124461644577</v>
      </c>
      <c r="B17227" t="s">
        <v>176</v>
      </c>
      <c r="C17227" t="s">
        <v>279</v>
      </c>
      <c r="D17227" t="s">
        <v>57507</v>
      </c>
      <c r="E17227">
        <v>425000</v>
      </c>
      <c r="F17227" t="s">
        <v>1</v>
      </c>
      <c r="G17227" t="s">
        <v>52955</v>
      </c>
      <c r="H17227" t="s">
        <v>55529</v>
      </c>
      <c r="P17227" t="s">
        <v>330</v>
      </c>
      <c r="Y17227" t="s">
        <v>57508</v>
      </c>
    </row>
    <row r="17228" spans="1:25" x14ac:dyDescent="0.25">
      <c r="A17228" t="str">
        <f>"124594355954"</f>
        <v>124594355954</v>
      </c>
      <c r="B17228" t="s">
        <v>32</v>
      </c>
      <c r="C17228" t="s">
        <v>40</v>
      </c>
      <c r="D17228" t="s">
        <v>14504</v>
      </c>
      <c r="F17228" t="s">
        <v>1</v>
      </c>
      <c r="G17228" t="s">
        <v>52955</v>
      </c>
      <c r="H17228" t="s">
        <v>55928</v>
      </c>
      <c r="J17228" t="s">
        <v>57509</v>
      </c>
      <c r="P17228" t="s">
        <v>410</v>
      </c>
      <c r="Q17228" t="s">
        <v>57510</v>
      </c>
      <c r="V17228" t="s">
        <v>57511</v>
      </c>
      <c r="Y17228" t="s">
        <v>55931</v>
      </c>
    </row>
    <row r="17229" spans="1:25" x14ac:dyDescent="0.25">
      <c r="A17229" t="str">
        <f>"124674919447"</f>
        <v>124674919447</v>
      </c>
      <c r="B17229" t="s">
        <v>1315</v>
      </c>
      <c r="C17229" t="s">
        <v>4274</v>
      </c>
      <c r="D17229" t="s">
        <v>57512</v>
      </c>
      <c r="F17229" t="s">
        <v>1</v>
      </c>
      <c r="G17229" t="s">
        <v>52955</v>
      </c>
      <c r="H17229" t="s">
        <v>56375</v>
      </c>
      <c r="Y17229" t="s">
        <v>57513</v>
      </c>
    </row>
    <row r="17230" spans="1:25" x14ac:dyDescent="0.25">
      <c r="A17230" t="str">
        <f>"124983520271"</f>
        <v>124983520271</v>
      </c>
      <c r="B17230" t="s">
        <v>25</v>
      </c>
      <c r="C17230" t="s">
        <v>13425</v>
      </c>
      <c r="D17230" t="s">
        <v>57514</v>
      </c>
      <c r="E17230">
        <v>425000</v>
      </c>
      <c r="F17230" t="s">
        <v>1</v>
      </c>
      <c r="G17230" t="s">
        <v>52955</v>
      </c>
      <c r="H17230" t="s">
        <v>53460</v>
      </c>
      <c r="Y17230" t="s">
        <v>53463</v>
      </c>
    </row>
    <row r="17231" spans="1:25" x14ac:dyDescent="0.25">
      <c r="A17231" t="str">
        <f>"125403868768"</f>
        <v>125403868768</v>
      </c>
      <c r="B17231" t="s">
        <v>1493</v>
      </c>
      <c r="C17231" t="s">
        <v>31932</v>
      </c>
      <c r="D17231" t="s">
        <v>57515</v>
      </c>
      <c r="E17231">
        <v>425011</v>
      </c>
      <c r="F17231" t="s">
        <v>1</v>
      </c>
      <c r="G17231" t="s">
        <v>52955</v>
      </c>
      <c r="H17231" t="s">
        <v>53155</v>
      </c>
      <c r="I17231" t="s">
        <v>57516</v>
      </c>
      <c r="L17231" t="s">
        <v>57517</v>
      </c>
      <c r="M17231" t="s">
        <v>57518</v>
      </c>
      <c r="P17231" t="s">
        <v>2438</v>
      </c>
      <c r="Q17231" t="s">
        <v>57519</v>
      </c>
      <c r="V17231" t="s">
        <v>57520</v>
      </c>
      <c r="Y17231" t="s">
        <v>54523</v>
      </c>
    </row>
    <row r="17232" spans="1:25" x14ac:dyDescent="0.25">
      <c r="A17232" t="str">
        <f>"125435427138"</f>
        <v>125435427138</v>
      </c>
      <c r="B17232" t="s">
        <v>290</v>
      </c>
      <c r="C17232" t="s">
        <v>57523</v>
      </c>
      <c r="D17232" t="s">
        <v>36061</v>
      </c>
      <c r="E17232">
        <v>425001</v>
      </c>
      <c r="F17232" t="s">
        <v>1</v>
      </c>
      <c r="G17232" t="s">
        <v>52955</v>
      </c>
      <c r="H17232" t="s">
        <v>57521</v>
      </c>
      <c r="J17232" t="s">
        <v>57522</v>
      </c>
      <c r="L17232" t="s">
        <v>21756</v>
      </c>
      <c r="P17232" t="s">
        <v>57524</v>
      </c>
      <c r="Q17232" t="s">
        <v>57525</v>
      </c>
      <c r="Y17232" t="s">
        <v>57526</v>
      </c>
    </row>
    <row r="17233" spans="1:25" x14ac:dyDescent="0.25">
      <c r="A17233" t="str">
        <f>"125477684187"</f>
        <v>125477684187</v>
      </c>
      <c r="B17233" t="s">
        <v>10383</v>
      </c>
      <c r="C17233" t="s">
        <v>24146</v>
      </c>
      <c r="D17233" t="s">
        <v>24146</v>
      </c>
      <c r="F17233" t="s">
        <v>1</v>
      </c>
      <c r="G17233" t="s">
        <v>52955</v>
      </c>
      <c r="H17233" t="s">
        <v>57527</v>
      </c>
      <c r="Y17233" t="s">
        <v>57528</v>
      </c>
    </row>
    <row r="17234" spans="1:25" x14ac:dyDescent="0.25">
      <c r="A17234" t="str">
        <f>"125504437108"</f>
        <v>125504437108</v>
      </c>
      <c r="B17234" t="s">
        <v>456</v>
      </c>
      <c r="C17234" t="s">
        <v>23727</v>
      </c>
      <c r="D17234" t="s">
        <v>57529</v>
      </c>
      <c r="E17234">
        <v>425000</v>
      </c>
      <c r="F17234" t="s">
        <v>1</v>
      </c>
      <c r="G17234" t="s">
        <v>52955</v>
      </c>
      <c r="H17234" t="s">
        <v>53951</v>
      </c>
      <c r="J17234" t="s">
        <v>57530</v>
      </c>
      <c r="L17234" t="s">
        <v>57531</v>
      </c>
      <c r="P17234" t="s">
        <v>20</v>
      </c>
      <c r="Q17234" t="s">
        <v>57532</v>
      </c>
      <c r="V17234" t="s">
        <v>57533</v>
      </c>
      <c r="Y17234" t="s">
        <v>57534</v>
      </c>
    </row>
    <row r="17235" spans="1:25" x14ac:dyDescent="0.25">
      <c r="A17235" t="str">
        <f>"125731789603"</f>
        <v>125731789603</v>
      </c>
      <c r="B17235" t="s">
        <v>930</v>
      </c>
      <c r="C17235" t="s">
        <v>2985</v>
      </c>
      <c r="D17235" t="s">
        <v>1094</v>
      </c>
      <c r="E17235">
        <v>425011</v>
      </c>
      <c r="F17235" t="s">
        <v>1</v>
      </c>
      <c r="G17235" t="s">
        <v>52955</v>
      </c>
      <c r="H17235" t="s">
        <v>55565</v>
      </c>
      <c r="J17235" t="s">
        <v>56394</v>
      </c>
      <c r="P17235" t="s">
        <v>133</v>
      </c>
      <c r="Y17235" t="s">
        <v>55568</v>
      </c>
    </row>
    <row r="17236" spans="1:25" x14ac:dyDescent="0.25">
      <c r="A17236" t="str">
        <f>"125739796980"</f>
        <v>125739796980</v>
      </c>
      <c r="B17236" t="s">
        <v>379</v>
      </c>
      <c r="C17236" t="s">
        <v>766</v>
      </c>
      <c r="D17236" t="s">
        <v>57535</v>
      </c>
      <c r="F17236" t="s">
        <v>1</v>
      </c>
      <c r="G17236" t="s">
        <v>52955</v>
      </c>
      <c r="H17236" t="s">
        <v>55514</v>
      </c>
      <c r="I17236" t="s">
        <v>57536</v>
      </c>
      <c r="L17236" t="s">
        <v>40794</v>
      </c>
      <c r="M17236" t="s">
        <v>40795</v>
      </c>
      <c r="P17236" t="s">
        <v>312</v>
      </c>
      <c r="Y17236" t="s">
        <v>57537</v>
      </c>
    </row>
    <row r="17237" spans="1:25" x14ac:dyDescent="0.25">
      <c r="A17237" t="str">
        <f>"126121836294"</f>
        <v>126121836294</v>
      </c>
      <c r="B17237" t="s">
        <v>96</v>
      </c>
      <c r="C17237" t="s">
        <v>7071</v>
      </c>
      <c r="D17237" t="s">
        <v>45115</v>
      </c>
      <c r="F17237" t="s">
        <v>1</v>
      </c>
      <c r="G17237" t="s">
        <v>52955</v>
      </c>
      <c r="H17237" t="s">
        <v>55362</v>
      </c>
      <c r="Y17237" t="s">
        <v>57538</v>
      </c>
    </row>
    <row r="17238" spans="1:25" x14ac:dyDescent="0.25">
      <c r="A17238" t="str">
        <f>"126894254837"</f>
        <v>126894254837</v>
      </c>
      <c r="B17238" t="s">
        <v>32</v>
      </c>
      <c r="C17238" t="s">
        <v>40</v>
      </c>
      <c r="D17238" t="s">
        <v>11868</v>
      </c>
      <c r="E17238">
        <v>425000</v>
      </c>
      <c r="F17238" t="s">
        <v>1</v>
      </c>
      <c r="G17238" t="s">
        <v>52955</v>
      </c>
      <c r="H17238" t="s">
        <v>55708</v>
      </c>
      <c r="Y17238" t="s">
        <v>57539</v>
      </c>
    </row>
    <row r="17239" spans="1:25" x14ac:dyDescent="0.25">
      <c r="A17239" t="str">
        <f>"127182074291"</f>
        <v>127182074291</v>
      </c>
      <c r="B17239" t="s">
        <v>96</v>
      </c>
      <c r="C17239" t="s">
        <v>893</v>
      </c>
      <c r="D17239" t="s">
        <v>40243</v>
      </c>
      <c r="F17239" t="s">
        <v>1</v>
      </c>
      <c r="G17239" t="s">
        <v>52955</v>
      </c>
      <c r="H17239" t="s">
        <v>53072</v>
      </c>
      <c r="Y17239" t="s">
        <v>57540</v>
      </c>
    </row>
    <row r="17240" spans="1:25" x14ac:dyDescent="0.25">
      <c r="A17240" t="str">
        <f>"127519839290"</f>
        <v>127519839290</v>
      </c>
      <c r="B17240" t="s">
        <v>160</v>
      </c>
      <c r="C17240" t="s">
        <v>2479</v>
      </c>
      <c r="D17240" t="s">
        <v>57541</v>
      </c>
      <c r="F17240" t="s">
        <v>1</v>
      </c>
      <c r="G17240" t="s">
        <v>52955</v>
      </c>
      <c r="H17240" t="s">
        <v>56437</v>
      </c>
      <c r="Y17240" t="s">
        <v>57542</v>
      </c>
    </row>
    <row r="17241" spans="1:25" x14ac:dyDescent="0.25">
      <c r="A17241" t="str">
        <f>"127818311343"</f>
        <v>127818311343</v>
      </c>
      <c r="B17241" t="s">
        <v>32</v>
      </c>
      <c r="C17241" t="s">
        <v>182</v>
      </c>
      <c r="D17241" t="s">
        <v>57543</v>
      </c>
      <c r="E17241">
        <v>425009</v>
      </c>
      <c r="F17241" t="s">
        <v>1</v>
      </c>
      <c r="G17241" t="s">
        <v>52955</v>
      </c>
      <c r="H17241" t="s">
        <v>57544</v>
      </c>
      <c r="P17241" t="s">
        <v>2050</v>
      </c>
      <c r="Y17241" t="s">
        <v>57545</v>
      </c>
    </row>
    <row r="17242" spans="1:25" x14ac:dyDescent="0.25">
      <c r="A17242" t="str">
        <f>"127912182147"</f>
        <v>127912182147</v>
      </c>
      <c r="B17242" t="s">
        <v>3652</v>
      </c>
      <c r="C17242" t="s">
        <v>57548</v>
      </c>
      <c r="D17242" t="s">
        <v>40598</v>
      </c>
      <c r="E17242">
        <v>425000</v>
      </c>
      <c r="F17242" t="s">
        <v>1</v>
      </c>
      <c r="G17242" t="s">
        <v>52955</v>
      </c>
      <c r="H17242" t="s">
        <v>56368</v>
      </c>
      <c r="I17242" t="s">
        <v>55938</v>
      </c>
      <c r="L17242" t="s">
        <v>57546</v>
      </c>
      <c r="M17242" t="s">
        <v>57547</v>
      </c>
      <c r="Y17242" t="s">
        <v>57549</v>
      </c>
    </row>
    <row r="17243" spans="1:25" x14ac:dyDescent="0.25">
      <c r="A17243" t="str">
        <f>"127917187596"</f>
        <v>127917187596</v>
      </c>
      <c r="B17243" t="s">
        <v>2236</v>
      </c>
      <c r="C17243" t="s">
        <v>2236</v>
      </c>
      <c r="D17243" t="s">
        <v>57550</v>
      </c>
      <c r="E17243">
        <v>425000</v>
      </c>
      <c r="F17243" t="s">
        <v>1</v>
      </c>
      <c r="G17243" t="s">
        <v>52955</v>
      </c>
      <c r="H17243" t="s">
        <v>53066</v>
      </c>
      <c r="Y17243" t="s">
        <v>53902</v>
      </c>
    </row>
    <row r="17244" spans="1:25" x14ac:dyDescent="0.25">
      <c r="A17244" t="str">
        <f>"128135953485"</f>
        <v>128135953485</v>
      </c>
      <c r="B17244" t="s">
        <v>2062</v>
      </c>
      <c r="C17244" t="s">
        <v>3293</v>
      </c>
      <c r="D17244" t="s">
        <v>57551</v>
      </c>
      <c r="E17244">
        <v>425000</v>
      </c>
      <c r="F17244" t="s">
        <v>1</v>
      </c>
      <c r="G17244" t="s">
        <v>52955</v>
      </c>
      <c r="H17244" t="s">
        <v>57552</v>
      </c>
      <c r="Y17244" t="s">
        <v>57553</v>
      </c>
    </row>
    <row r="17245" spans="1:25" x14ac:dyDescent="0.25">
      <c r="A17245" t="str">
        <f>"128139129086"</f>
        <v>128139129086</v>
      </c>
      <c r="B17245" t="s">
        <v>1544</v>
      </c>
      <c r="C17245" t="s">
        <v>7974</v>
      </c>
      <c r="D17245" t="s">
        <v>24500</v>
      </c>
      <c r="E17245">
        <v>425001</v>
      </c>
      <c r="F17245" t="s">
        <v>1</v>
      </c>
      <c r="G17245" t="s">
        <v>52955</v>
      </c>
      <c r="H17245" t="s">
        <v>53185</v>
      </c>
      <c r="Y17245" t="s">
        <v>57554</v>
      </c>
    </row>
    <row r="17246" spans="1:25" x14ac:dyDescent="0.25">
      <c r="A17246" t="str">
        <f>"128207918377"</f>
        <v>128207918377</v>
      </c>
      <c r="B17246" t="s">
        <v>930</v>
      </c>
      <c r="C17246" t="s">
        <v>1096</v>
      </c>
      <c r="D17246" t="s">
        <v>57555</v>
      </c>
      <c r="F17246" t="s">
        <v>1</v>
      </c>
      <c r="G17246" t="s">
        <v>52955</v>
      </c>
      <c r="H17246" t="s">
        <v>55903</v>
      </c>
      <c r="P17246" t="s">
        <v>3393</v>
      </c>
      <c r="Y17246" t="s">
        <v>57556</v>
      </c>
    </row>
    <row r="17247" spans="1:25" x14ac:dyDescent="0.25">
      <c r="A17247" t="str">
        <f>"128294005041"</f>
        <v>128294005041</v>
      </c>
      <c r="B17247" t="s">
        <v>10383</v>
      </c>
      <c r="C17247" t="s">
        <v>24146</v>
      </c>
      <c r="D17247" t="s">
        <v>24146</v>
      </c>
      <c r="E17247">
        <v>425000</v>
      </c>
      <c r="F17247" t="s">
        <v>1</v>
      </c>
      <c r="G17247" t="s">
        <v>52955</v>
      </c>
      <c r="H17247" t="s">
        <v>56006</v>
      </c>
      <c r="Y17247" t="s">
        <v>57557</v>
      </c>
    </row>
    <row r="17248" spans="1:25" x14ac:dyDescent="0.25">
      <c r="A17248" t="str">
        <f>"128361112056"</f>
        <v>128361112056</v>
      </c>
      <c r="B17248" t="s">
        <v>1046</v>
      </c>
      <c r="C17248" t="s">
        <v>27404</v>
      </c>
      <c r="D17248" t="s">
        <v>57558</v>
      </c>
      <c r="E17248">
        <v>425000</v>
      </c>
      <c r="F17248" t="s">
        <v>1</v>
      </c>
      <c r="G17248" t="s">
        <v>52955</v>
      </c>
      <c r="H17248" t="s">
        <v>54052</v>
      </c>
      <c r="Y17248" t="s">
        <v>57559</v>
      </c>
    </row>
    <row r="17249" spans="1:25" x14ac:dyDescent="0.25">
      <c r="A17249" t="str">
        <f>"128417327330"</f>
        <v>128417327330</v>
      </c>
      <c r="B17249" t="s">
        <v>32</v>
      </c>
      <c r="C17249" t="s">
        <v>40</v>
      </c>
      <c r="D17249" t="s">
        <v>14504</v>
      </c>
      <c r="E17249">
        <v>425000</v>
      </c>
      <c r="F17249" t="s">
        <v>1</v>
      </c>
      <c r="G17249" t="s">
        <v>52955</v>
      </c>
      <c r="H17249" t="s">
        <v>57560</v>
      </c>
      <c r="J17249" t="s">
        <v>57509</v>
      </c>
      <c r="P17249" t="s">
        <v>410</v>
      </c>
      <c r="Q17249" t="s">
        <v>57510</v>
      </c>
      <c r="V17249" t="s">
        <v>57511</v>
      </c>
      <c r="Y17249" t="s">
        <v>57561</v>
      </c>
    </row>
    <row r="17250" spans="1:25" x14ac:dyDescent="0.25">
      <c r="A17250" t="str">
        <f>"128506489092"</f>
        <v>128506489092</v>
      </c>
      <c r="B17250" t="s">
        <v>96</v>
      </c>
      <c r="C17250" t="s">
        <v>659</v>
      </c>
      <c r="D17250" t="s">
        <v>57562</v>
      </c>
      <c r="E17250">
        <v>425011</v>
      </c>
      <c r="F17250" t="s">
        <v>1</v>
      </c>
      <c r="G17250" t="s">
        <v>52955</v>
      </c>
      <c r="H17250" t="s">
        <v>55780</v>
      </c>
      <c r="I17250" t="s">
        <v>57563</v>
      </c>
      <c r="P17250" t="s">
        <v>144</v>
      </c>
      <c r="Y17250" t="s">
        <v>57564</v>
      </c>
    </row>
    <row r="17251" spans="1:25" x14ac:dyDescent="0.25">
      <c r="A17251" t="str">
        <f>"128651459043"</f>
        <v>128651459043</v>
      </c>
      <c r="B17251" t="s">
        <v>2601</v>
      </c>
      <c r="C17251" t="s">
        <v>24678</v>
      </c>
      <c r="D17251" t="s">
        <v>45565</v>
      </c>
      <c r="E17251">
        <v>425011</v>
      </c>
      <c r="F17251" t="s">
        <v>1</v>
      </c>
      <c r="G17251" t="s">
        <v>52955</v>
      </c>
      <c r="H17251" t="s">
        <v>55025</v>
      </c>
      <c r="J17251" t="s">
        <v>57565</v>
      </c>
      <c r="P17251" t="s">
        <v>10812</v>
      </c>
      <c r="Y17251" t="s">
        <v>57566</v>
      </c>
    </row>
    <row r="17252" spans="1:25" x14ac:dyDescent="0.25">
      <c r="A17252" t="str">
        <f>"128799180343"</f>
        <v>128799180343</v>
      </c>
      <c r="B17252" t="s">
        <v>430</v>
      </c>
      <c r="C17252" t="s">
        <v>16178</v>
      </c>
      <c r="D17252" t="s">
        <v>55513</v>
      </c>
      <c r="E17252">
        <v>425000</v>
      </c>
      <c r="F17252" t="s">
        <v>1</v>
      </c>
      <c r="G17252" t="s">
        <v>52955</v>
      </c>
      <c r="H17252" t="s">
        <v>57567</v>
      </c>
      <c r="Y17252" t="s">
        <v>57568</v>
      </c>
    </row>
    <row r="17253" spans="1:25" x14ac:dyDescent="0.25">
      <c r="A17253" t="str">
        <f>"128816745283"</f>
        <v>128816745283</v>
      </c>
      <c r="B17253" t="s">
        <v>348</v>
      </c>
      <c r="C17253" t="s">
        <v>4366</v>
      </c>
      <c r="D17253" t="s">
        <v>10802</v>
      </c>
      <c r="E17253">
        <v>425009</v>
      </c>
      <c r="F17253" t="s">
        <v>1</v>
      </c>
      <c r="G17253" t="s">
        <v>52955</v>
      </c>
      <c r="H17253" t="s">
        <v>56411</v>
      </c>
      <c r="Y17253" t="s">
        <v>57569</v>
      </c>
    </row>
    <row r="17254" spans="1:25" x14ac:dyDescent="0.25">
      <c r="A17254" t="str">
        <f>"128819904582"</f>
        <v>128819904582</v>
      </c>
      <c r="B17254" t="s">
        <v>32</v>
      </c>
      <c r="C17254" t="s">
        <v>182</v>
      </c>
      <c r="D17254" t="s">
        <v>16337</v>
      </c>
      <c r="E17254">
        <v>425000</v>
      </c>
      <c r="F17254" t="s">
        <v>1</v>
      </c>
      <c r="G17254" t="s">
        <v>52955</v>
      </c>
      <c r="H17254" t="s">
        <v>53132</v>
      </c>
      <c r="Y17254" t="s">
        <v>57570</v>
      </c>
    </row>
    <row r="17255" spans="1:25" x14ac:dyDescent="0.25">
      <c r="A17255" t="str">
        <f>"129005527567"</f>
        <v>129005527567</v>
      </c>
      <c r="B17255" t="s">
        <v>2104</v>
      </c>
      <c r="C17255" t="s">
        <v>2105</v>
      </c>
      <c r="D17255" t="s">
        <v>56222</v>
      </c>
      <c r="F17255" t="s">
        <v>1</v>
      </c>
      <c r="G17255" t="s">
        <v>52955</v>
      </c>
      <c r="H17255" t="s">
        <v>56731</v>
      </c>
      <c r="J17255" t="s">
        <v>57571</v>
      </c>
      <c r="P17255" t="s">
        <v>56224</v>
      </c>
      <c r="Q17255" t="s">
        <v>56225</v>
      </c>
      <c r="Y17255" t="s">
        <v>57572</v>
      </c>
    </row>
    <row r="17256" spans="1:25" x14ac:dyDescent="0.25">
      <c r="A17256" t="str">
        <f>"129126208677"</f>
        <v>129126208677</v>
      </c>
      <c r="B17256" t="s">
        <v>18</v>
      </c>
      <c r="C17256" t="s">
        <v>57573</v>
      </c>
      <c r="D17256" t="s">
        <v>23541</v>
      </c>
      <c r="E17256">
        <v>425000</v>
      </c>
      <c r="F17256" t="s">
        <v>1</v>
      </c>
      <c r="G17256" t="s">
        <v>52955</v>
      </c>
      <c r="H17256" t="s">
        <v>56049</v>
      </c>
      <c r="P17256" t="s">
        <v>799</v>
      </c>
      <c r="Y17256" t="s">
        <v>57574</v>
      </c>
    </row>
    <row r="17257" spans="1:25" x14ac:dyDescent="0.25">
      <c r="A17257" t="str">
        <f>"129426964093"</f>
        <v>129426964093</v>
      </c>
      <c r="B17257" t="s">
        <v>57576</v>
      </c>
      <c r="C17257" t="s">
        <v>57577</v>
      </c>
      <c r="D17257" t="s">
        <v>57575</v>
      </c>
      <c r="F17257" t="s">
        <v>1</v>
      </c>
      <c r="G17257" t="s">
        <v>52955</v>
      </c>
      <c r="H17257" t="s">
        <v>53198</v>
      </c>
      <c r="Y17257" t="s">
        <v>57578</v>
      </c>
    </row>
    <row r="17258" spans="1:25" x14ac:dyDescent="0.25">
      <c r="A17258" t="str">
        <f>"129443875328"</f>
        <v>129443875328</v>
      </c>
      <c r="B17258" t="s">
        <v>1053</v>
      </c>
      <c r="C17258" t="s">
        <v>57582</v>
      </c>
      <c r="D17258" t="s">
        <v>57579</v>
      </c>
      <c r="E17258">
        <v>425001</v>
      </c>
      <c r="F17258" t="s">
        <v>1</v>
      </c>
      <c r="G17258" t="s">
        <v>52955</v>
      </c>
      <c r="H17258" t="s">
        <v>53465</v>
      </c>
      <c r="J17258" t="s">
        <v>57580</v>
      </c>
      <c r="M17258" t="s">
        <v>57581</v>
      </c>
      <c r="P17258" t="s">
        <v>7816</v>
      </c>
      <c r="R17258" t="s">
        <v>57583</v>
      </c>
      <c r="Y17258" t="s">
        <v>57584</v>
      </c>
    </row>
    <row r="17259" spans="1:25" x14ac:dyDescent="0.25">
      <c r="A17259" t="str">
        <f>"129545994798"</f>
        <v>129545994798</v>
      </c>
      <c r="B17259" t="s">
        <v>117</v>
      </c>
      <c r="C17259" t="s">
        <v>6850</v>
      </c>
      <c r="D17259" t="s">
        <v>57585</v>
      </c>
      <c r="F17259" t="s">
        <v>1</v>
      </c>
      <c r="G17259" t="s">
        <v>52955</v>
      </c>
      <c r="H17259" t="s">
        <v>54475</v>
      </c>
      <c r="I17259" t="s">
        <v>57586</v>
      </c>
      <c r="P17259" t="s">
        <v>330</v>
      </c>
      <c r="Y17259" t="s">
        <v>57587</v>
      </c>
    </row>
    <row r="17260" spans="1:25" x14ac:dyDescent="0.25">
      <c r="A17260" t="str">
        <f>"129547696040"</f>
        <v>129547696040</v>
      </c>
      <c r="B17260" t="s">
        <v>348</v>
      </c>
      <c r="C17260" t="s">
        <v>53599</v>
      </c>
      <c r="D17260" t="s">
        <v>57588</v>
      </c>
      <c r="E17260">
        <v>425000</v>
      </c>
      <c r="F17260" t="s">
        <v>1</v>
      </c>
      <c r="G17260" t="s">
        <v>52955</v>
      </c>
      <c r="H17260" t="s">
        <v>53932</v>
      </c>
      <c r="P17260" t="s">
        <v>14394</v>
      </c>
      <c r="Q17260" t="s">
        <v>57589</v>
      </c>
      <c r="Y17260" t="s">
        <v>53905</v>
      </c>
    </row>
    <row r="17261" spans="1:25" x14ac:dyDescent="0.25">
      <c r="A17261" t="str">
        <f>"129738642018"</f>
        <v>129738642018</v>
      </c>
      <c r="B17261" t="s">
        <v>1573</v>
      </c>
      <c r="C17261" t="s">
        <v>57591</v>
      </c>
      <c r="D17261" t="s">
        <v>44251</v>
      </c>
      <c r="F17261" t="s">
        <v>1</v>
      </c>
      <c r="G17261" t="s">
        <v>52955</v>
      </c>
      <c r="H17261" t="s">
        <v>57590</v>
      </c>
      <c r="P17261" t="s">
        <v>10698</v>
      </c>
      <c r="Q17261" t="s">
        <v>57592</v>
      </c>
      <c r="Y17261" t="s">
        <v>57593</v>
      </c>
    </row>
    <row r="17262" spans="1:25" x14ac:dyDescent="0.25">
      <c r="A17262" t="str">
        <f>"129805412305"</f>
        <v>129805412305</v>
      </c>
      <c r="B17262" t="s">
        <v>1268</v>
      </c>
      <c r="C17262" t="s">
        <v>1269</v>
      </c>
      <c r="D17262" t="s">
        <v>1265</v>
      </c>
      <c r="F17262" t="s">
        <v>1</v>
      </c>
      <c r="G17262" t="s">
        <v>52955</v>
      </c>
      <c r="H17262" t="s">
        <v>53243</v>
      </c>
      <c r="Y17262" t="s">
        <v>57594</v>
      </c>
    </row>
    <row r="17263" spans="1:25" x14ac:dyDescent="0.25">
      <c r="A17263" t="str">
        <f>"129841258071"</f>
        <v>129841258071</v>
      </c>
      <c r="B17263" t="s">
        <v>18</v>
      </c>
      <c r="C17263" t="s">
        <v>57597</v>
      </c>
      <c r="D17263" t="s">
        <v>57595</v>
      </c>
      <c r="E17263">
        <v>425003</v>
      </c>
      <c r="F17263" t="s">
        <v>1</v>
      </c>
      <c r="G17263" t="s">
        <v>52955</v>
      </c>
      <c r="H17263" t="s">
        <v>57596</v>
      </c>
      <c r="Y17263" t="s">
        <v>57598</v>
      </c>
    </row>
    <row r="17264" spans="1:25" x14ac:dyDescent="0.25">
      <c r="A17264" t="str">
        <f>"130407092490"</f>
        <v>130407092490</v>
      </c>
      <c r="B17264" t="s">
        <v>1343</v>
      </c>
      <c r="C17264" t="s">
        <v>1344</v>
      </c>
      <c r="D17264" t="s">
        <v>56970</v>
      </c>
      <c r="E17264">
        <v>425009</v>
      </c>
      <c r="F17264" t="s">
        <v>1</v>
      </c>
      <c r="G17264" t="s">
        <v>52955</v>
      </c>
      <c r="H17264" t="s">
        <v>55228</v>
      </c>
      <c r="Y17264" t="s">
        <v>57599</v>
      </c>
    </row>
    <row r="17265" spans="1:25" x14ac:dyDescent="0.25">
      <c r="A17265" t="str">
        <f>"130702395209"</f>
        <v>130702395209</v>
      </c>
      <c r="B17265" t="s">
        <v>1046</v>
      </c>
      <c r="C17265" t="s">
        <v>22946</v>
      </c>
      <c r="D17265" t="s">
        <v>22946</v>
      </c>
      <c r="E17265">
        <v>425000</v>
      </c>
      <c r="F17265" t="s">
        <v>1</v>
      </c>
      <c r="G17265" t="s">
        <v>52955</v>
      </c>
      <c r="H17265" t="s">
        <v>56006</v>
      </c>
      <c r="Y17265" t="s">
        <v>57600</v>
      </c>
    </row>
    <row r="17266" spans="1:25" x14ac:dyDescent="0.25">
      <c r="A17266" t="str">
        <f>"130748273995"</f>
        <v>130748273995</v>
      </c>
      <c r="B17266" t="s">
        <v>233</v>
      </c>
      <c r="C17266" t="s">
        <v>55901</v>
      </c>
      <c r="D17266" t="s">
        <v>44251</v>
      </c>
      <c r="F17266" t="s">
        <v>1</v>
      </c>
      <c r="G17266" t="s">
        <v>52955</v>
      </c>
      <c r="H17266" t="s">
        <v>53404</v>
      </c>
      <c r="Y17266" t="s">
        <v>57601</v>
      </c>
    </row>
    <row r="17267" spans="1:25" x14ac:dyDescent="0.25">
      <c r="A17267" t="str">
        <f>"130998631984"</f>
        <v>130998631984</v>
      </c>
      <c r="B17267" t="s">
        <v>397</v>
      </c>
      <c r="C17267" t="s">
        <v>57603</v>
      </c>
      <c r="D17267" t="s">
        <v>57602</v>
      </c>
      <c r="E17267">
        <v>425000</v>
      </c>
      <c r="F17267" t="s">
        <v>1</v>
      </c>
      <c r="G17267" t="s">
        <v>52955</v>
      </c>
      <c r="H17267" t="s">
        <v>56315</v>
      </c>
      <c r="J17267" t="s">
        <v>56837</v>
      </c>
      <c r="P17267" t="s">
        <v>57604</v>
      </c>
      <c r="Y17267" t="s">
        <v>57605</v>
      </c>
    </row>
    <row r="17268" spans="1:25" x14ac:dyDescent="0.25">
      <c r="A17268" t="str">
        <f>"131027262636"</f>
        <v>131027262636</v>
      </c>
      <c r="B17268" t="s">
        <v>3700</v>
      </c>
      <c r="C17268" t="s">
        <v>4023</v>
      </c>
      <c r="D17268" t="s">
        <v>57606</v>
      </c>
      <c r="E17268">
        <v>425009</v>
      </c>
      <c r="F17268" t="s">
        <v>1</v>
      </c>
      <c r="G17268" t="s">
        <v>52955</v>
      </c>
      <c r="H17268" t="s">
        <v>53696</v>
      </c>
      <c r="J17268" t="s">
        <v>57607</v>
      </c>
      <c r="P17268" t="s">
        <v>362</v>
      </c>
      <c r="Y17268" t="s">
        <v>54787</v>
      </c>
    </row>
    <row r="17269" spans="1:25" x14ac:dyDescent="0.25">
      <c r="A17269" t="str">
        <f>"131080574465"</f>
        <v>131080574465</v>
      </c>
      <c r="B17269" t="s">
        <v>188</v>
      </c>
      <c r="C17269" t="s">
        <v>8311</v>
      </c>
      <c r="D17269" t="s">
        <v>57608</v>
      </c>
      <c r="E17269">
        <v>425009</v>
      </c>
      <c r="F17269" t="s">
        <v>1</v>
      </c>
      <c r="G17269" t="s">
        <v>52955</v>
      </c>
      <c r="H17269" t="s">
        <v>55921</v>
      </c>
      <c r="J17269" t="s">
        <v>57609</v>
      </c>
      <c r="M17269" t="s">
        <v>57610</v>
      </c>
      <c r="P17269" t="s">
        <v>57611</v>
      </c>
      <c r="Y17269" t="s">
        <v>57612</v>
      </c>
    </row>
    <row r="17270" spans="1:25" x14ac:dyDescent="0.25">
      <c r="A17270" t="str">
        <f>"131141337386"</f>
        <v>131141337386</v>
      </c>
      <c r="B17270" t="s">
        <v>110</v>
      </c>
      <c r="C17270" t="s">
        <v>111</v>
      </c>
      <c r="D17270" t="s">
        <v>57613</v>
      </c>
      <c r="F17270" t="s">
        <v>1</v>
      </c>
      <c r="G17270" t="s">
        <v>52955</v>
      </c>
      <c r="H17270" t="s">
        <v>53435</v>
      </c>
      <c r="Y17270" t="s">
        <v>54849</v>
      </c>
    </row>
    <row r="17271" spans="1:25" x14ac:dyDescent="0.25">
      <c r="A17271" t="str">
        <f>"131390079158"</f>
        <v>131390079158</v>
      </c>
      <c r="B17271" t="s">
        <v>96</v>
      </c>
      <c r="C17271" t="s">
        <v>24042</v>
      </c>
      <c r="D17271" t="s">
        <v>24127</v>
      </c>
      <c r="F17271" t="s">
        <v>1</v>
      </c>
      <c r="G17271" t="s">
        <v>52955</v>
      </c>
      <c r="H17271" t="s">
        <v>56579</v>
      </c>
      <c r="Y17271" t="s">
        <v>57614</v>
      </c>
    </row>
    <row r="17272" spans="1:25" x14ac:dyDescent="0.25">
      <c r="A17272" t="str">
        <f>"131401169285"</f>
        <v>131401169285</v>
      </c>
      <c r="B17272" t="s">
        <v>1078</v>
      </c>
      <c r="C17272" t="s">
        <v>26548</v>
      </c>
      <c r="D17272" t="s">
        <v>57615</v>
      </c>
      <c r="E17272">
        <v>425011</v>
      </c>
      <c r="F17272" t="s">
        <v>1</v>
      </c>
      <c r="G17272" t="s">
        <v>52955</v>
      </c>
      <c r="H17272" t="s">
        <v>54118</v>
      </c>
      <c r="Y17272" t="s">
        <v>57616</v>
      </c>
    </row>
    <row r="17273" spans="1:25" x14ac:dyDescent="0.25">
      <c r="A17273" t="str">
        <f>"131600753837"</f>
        <v>131600753837</v>
      </c>
      <c r="B17273" t="s">
        <v>32</v>
      </c>
      <c r="C17273" t="s">
        <v>40</v>
      </c>
      <c r="D17273" t="s">
        <v>4725</v>
      </c>
      <c r="E17273">
        <v>425008</v>
      </c>
      <c r="F17273" t="s">
        <v>1</v>
      </c>
      <c r="G17273" t="s">
        <v>52955</v>
      </c>
      <c r="H17273" t="s">
        <v>57617</v>
      </c>
      <c r="Y17273" t="s">
        <v>57618</v>
      </c>
    </row>
    <row r="17274" spans="1:25" x14ac:dyDescent="0.25">
      <c r="A17274" t="str">
        <f>"131702796761"</f>
        <v>131702796761</v>
      </c>
      <c r="B17274" t="s">
        <v>4084</v>
      </c>
      <c r="C17274" t="s">
        <v>57619</v>
      </c>
      <c r="D17274" t="s">
        <v>55578</v>
      </c>
      <c r="E17274">
        <v>425000</v>
      </c>
      <c r="F17274" t="s">
        <v>1</v>
      </c>
      <c r="G17274" t="s">
        <v>52955</v>
      </c>
      <c r="H17274" t="s">
        <v>53704</v>
      </c>
      <c r="Y17274" t="s">
        <v>57620</v>
      </c>
    </row>
    <row r="17275" spans="1:25" x14ac:dyDescent="0.25">
      <c r="A17275" t="str">
        <f>"131901951814"</f>
        <v>131901951814</v>
      </c>
      <c r="B17275" t="s">
        <v>319</v>
      </c>
      <c r="C17275" t="s">
        <v>320</v>
      </c>
      <c r="D17275" t="s">
        <v>2733</v>
      </c>
      <c r="E17275">
        <v>425005</v>
      </c>
      <c r="F17275" t="s">
        <v>1</v>
      </c>
      <c r="G17275" t="s">
        <v>52955</v>
      </c>
      <c r="H17275" t="s">
        <v>55148</v>
      </c>
      <c r="Y17275" t="s">
        <v>55612</v>
      </c>
    </row>
    <row r="17276" spans="1:25" x14ac:dyDescent="0.25">
      <c r="A17276" t="str">
        <f>"131999026907"</f>
        <v>131999026907</v>
      </c>
      <c r="B17276" t="s">
        <v>110</v>
      </c>
      <c r="C17276" t="s">
        <v>57622</v>
      </c>
      <c r="D17276" t="s">
        <v>57621</v>
      </c>
      <c r="E17276">
        <v>425000</v>
      </c>
      <c r="F17276" t="s">
        <v>1</v>
      </c>
      <c r="G17276" t="s">
        <v>52955</v>
      </c>
      <c r="H17276" t="s">
        <v>54582</v>
      </c>
      <c r="Y17276" t="s">
        <v>57623</v>
      </c>
    </row>
    <row r="17277" spans="1:25" x14ac:dyDescent="0.25">
      <c r="A17277" t="str">
        <f>"132239358841"</f>
        <v>132239358841</v>
      </c>
      <c r="B17277" t="s">
        <v>716</v>
      </c>
      <c r="C17277" t="s">
        <v>57627</v>
      </c>
      <c r="D17277" t="s">
        <v>11252</v>
      </c>
      <c r="E17277">
        <v>425001</v>
      </c>
      <c r="F17277" t="s">
        <v>1</v>
      </c>
      <c r="G17277" t="s">
        <v>52955</v>
      </c>
      <c r="H17277" t="s">
        <v>57624</v>
      </c>
      <c r="J17277" t="s">
        <v>57625</v>
      </c>
      <c r="L17277" t="s">
        <v>57626</v>
      </c>
      <c r="P17277" t="s">
        <v>330</v>
      </c>
      <c r="Q17277" t="s">
        <v>57628</v>
      </c>
      <c r="Y17277" t="s">
        <v>57629</v>
      </c>
    </row>
    <row r="17278" spans="1:25" x14ac:dyDescent="0.25">
      <c r="A17278" t="str">
        <f>"132303967283"</f>
        <v>132303967283</v>
      </c>
      <c r="B17278" t="s">
        <v>25</v>
      </c>
      <c r="C17278" t="s">
        <v>59</v>
      </c>
      <c r="D17278" t="s">
        <v>57630</v>
      </c>
      <c r="E17278">
        <v>425011</v>
      </c>
      <c r="F17278" t="s">
        <v>1</v>
      </c>
      <c r="G17278" t="s">
        <v>52955</v>
      </c>
      <c r="H17278" t="s">
        <v>53155</v>
      </c>
      <c r="J17278" t="s">
        <v>57631</v>
      </c>
      <c r="P17278" t="s">
        <v>1232</v>
      </c>
      <c r="Y17278" t="s">
        <v>54523</v>
      </c>
    </row>
    <row r="17279" spans="1:25" x14ac:dyDescent="0.25">
      <c r="A17279" t="str">
        <f>"132330023122"</f>
        <v>132330023122</v>
      </c>
      <c r="B17279" t="s">
        <v>284</v>
      </c>
      <c r="C17279" t="s">
        <v>711</v>
      </c>
      <c r="D17279" t="s">
        <v>54277</v>
      </c>
      <c r="F17279" t="s">
        <v>1</v>
      </c>
      <c r="G17279" t="s">
        <v>52955</v>
      </c>
      <c r="H17279" t="s">
        <v>56437</v>
      </c>
      <c r="Y17279" t="s">
        <v>57632</v>
      </c>
    </row>
    <row r="17280" spans="1:25" x14ac:dyDescent="0.25">
      <c r="A17280" t="str">
        <f>"132389403135"</f>
        <v>132389403135</v>
      </c>
      <c r="B17280" t="s">
        <v>930</v>
      </c>
      <c r="C17280" t="s">
        <v>23108</v>
      </c>
      <c r="D17280" t="s">
        <v>57633</v>
      </c>
      <c r="E17280">
        <v>425005</v>
      </c>
      <c r="F17280" t="s">
        <v>1</v>
      </c>
      <c r="G17280" t="s">
        <v>52955</v>
      </c>
      <c r="H17280" t="s">
        <v>54814</v>
      </c>
      <c r="J17280" t="s">
        <v>57634</v>
      </c>
      <c r="P17280" t="s">
        <v>4538</v>
      </c>
      <c r="Y17280" t="s">
        <v>54817</v>
      </c>
    </row>
    <row r="17281" spans="1:25" x14ac:dyDescent="0.25">
      <c r="A17281" t="str">
        <f>"132678604644"</f>
        <v>132678604644</v>
      </c>
      <c r="B17281" t="s">
        <v>117</v>
      </c>
      <c r="C17281" t="s">
        <v>118</v>
      </c>
      <c r="D17281" t="s">
        <v>118</v>
      </c>
      <c r="F17281" t="s">
        <v>1</v>
      </c>
      <c r="G17281" t="s">
        <v>52955</v>
      </c>
      <c r="H17281" t="s">
        <v>56437</v>
      </c>
      <c r="Y17281" t="s">
        <v>57635</v>
      </c>
    </row>
    <row r="17282" spans="1:25" x14ac:dyDescent="0.25">
      <c r="A17282" t="str">
        <f>"132770357589"</f>
        <v>132770357589</v>
      </c>
      <c r="B17282" t="s">
        <v>530</v>
      </c>
      <c r="C17282" t="s">
        <v>23950</v>
      </c>
      <c r="D17282" t="s">
        <v>23950</v>
      </c>
      <c r="E17282">
        <v>425000</v>
      </c>
      <c r="F17282" t="s">
        <v>1</v>
      </c>
      <c r="G17282" t="s">
        <v>52955</v>
      </c>
      <c r="H17282" t="s">
        <v>53024</v>
      </c>
      <c r="Y17282" t="s">
        <v>57636</v>
      </c>
    </row>
    <row r="17283" spans="1:25" x14ac:dyDescent="0.25">
      <c r="A17283" t="str">
        <f>"133532376823"</f>
        <v>133532376823</v>
      </c>
      <c r="B17283" t="s">
        <v>18</v>
      </c>
      <c r="C17283" t="s">
        <v>4522</v>
      </c>
      <c r="D17283" t="s">
        <v>18</v>
      </c>
      <c r="F17283" t="s">
        <v>1</v>
      </c>
      <c r="G17283" t="s">
        <v>52955</v>
      </c>
      <c r="H17283" t="s">
        <v>56008</v>
      </c>
      <c r="Y17283" t="s">
        <v>57637</v>
      </c>
    </row>
    <row r="17284" spans="1:25" x14ac:dyDescent="0.25">
      <c r="A17284" t="str">
        <f>"133620371702"</f>
        <v>133620371702</v>
      </c>
      <c r="B17284" t="s">
        <v>7312</v>
      </c>
      <c r="C17284" t="s">
        <v>21136</v>
      </c>
      <c r="D17284" t="s">
        <v>40908</v>
      </c>
      <c r="E17284">
        <v>425009</v>
      </c>
      <c r="F17284" t="s">
        <v>1</v>
      </c>
      <c r="G17284" t="s">
        <v>52955</v>
      </c>
      <c r="H17284" t="s">
        <v>55390</v>
      </c>
      <c r="Y17284" t="s">
        <v>57638</v>
      </c>
    </row>
    <row r="17285" spans="1:25" x14ac:dyDescent="0.25">
      <c r="A17285" t="str">
        <f>"133818114175"</f>
        <v>133818114175</v>
      </c>
      <c r="B17285" t="s">
        <v>96</v>
      </c>
      <c r="C17285" t="s">
        <v>893</v>
      </c>
      <c r="D17285" t="s">
        <v>29523</v>
      </c>
      <c r="E17285">
        <v>425001</v>
      </c>
      <c r="F17285" t="s">
        <v>1</v>
      </c>
      <c r="G17285" t="s">
        <v>52955</v>
      </c>
      <c r="H17285" t="s">
        <v>53465</v>
      </c>
      <c r="Y17285" t="s">
        <v>57639</v>
      </c>
    </row>
    <row r="17286" spans="1:25" x14ac:dyDescent="0.25">
      <c r="A17286" t="str">
        <f>"134099479832"</f>
        <v>134099479832</v>
      </c>
      <c r="B17286" t="s">
        <v>430</v>
      </c>
      <c r="C17286" t="s">
        <v>35426</v>
      </c>
      <c r="D17286" t="s">
        <v>57640</v>
      </c>
      <c r="F17286" t="s">
        <v>1</v>
      </c>
      <c r="G17286" t="s">
        <v>52955</v>
      </c>
      <c r="H17286" t="s">
        <v>56918</v>
      </c>
      <c r="J17286" t="s">
        <v>57641</v>
      </c>
      <c r="P17286" t="s">
        <v>13205</v>
      </c>
      <c r="Y17286" t="s">
        <v>57642</v>
      </c>
    </row>
    <row r="17287" spans="1:25" x14ac:dyDescent="0.25">
      <c r="A17287" t="str">
        <f>"134143314418"</f>
        <v>134143314418</v>
      </c>
      <c r="B17287" t="s">
        <v>430</v>
      </c>
      <c r="C17287" t="s">
        <v>16178</v>
      </c>
      <c r="D17287" t="s">
        <v>2613</v>
      </c>
      <c r="E17287">
        <v>425009</v>
      </c>
      <c r="F17287" t="s">
        <v>1</v>
      </c>
      <c r="G17287" t="s">
        <v>52955</v>
      </c>
      <c r="H17287" t="s">
        <v>55390</v>
      </c>
      <c r="Y17287" t="s">
        <v>57643</v>
      </c>
    </row>
    <row r="17288" spans="1:25" x14ac:dyDescent="0.25">
      <c r="A17288" t="str">
        <f>"134413348523"</f>
        <v>134413348523</v>
      </c>
      <c r="B17288" t="s">
        <v>1061</v>
      </c>
      <c r="C17288" t="s">
        <v>26953</v>
      </c>
      <c r="D17288" t="s">
        <v>31667</v>
      </c>
      <c r="F17288" t="s">
        <v>1</v>
      </c>
      <c r="G17288" t="s">
        <v>52955</v>
      </c>
      <c r="H17288" t="s">
        <v>57644</v>
      </c>
      <c r="Y17288" t="s">
        <v>57645</v>
      </c>
    </row>
    <row r="17289" spans="1:25" x14ac:dyDescent="0.25">
      <c r="A17289" t="str">
        <f>"134422376890"</f>
        <v>134422376890</v>
      </c>
      <c r="B17289" t="s">
        <v>1475</v>
      </c>
      <c r="C17289" t="s">
        <v>1476</v>
      </c>
      <c r="D17289" t="s">
        <v>14504</v>
      </c>
      <c r="F17289" t="s">
        <v>1</v>
      </c>
      <c r="G17289" t="s">
        <v>52955</v>
      </c>
      <c r="H17289" t="s">
        <v>53051</v>
      </c>
      <c r="Y17289" t="s">
        <v>53055</v>
      </c>
    </row>
    <row r="17290" spans="1:25" x14ac:dyDescent="0.25">
      <c r="A17290" t="str">
        <f>"134494164648"</f>
        <v>134494164648</v>
      </c>
      <c r="B17290" t="s">
        <v>96</v>
      </c>
      <c r="C17290" t="s">
        <v>8479</v>
      </c>
      <c r="D17290" t="s">
        <v>57646</v>
      </c>
      <c r="F17290" t="s">
        <v>1</v>
      </c>
      <c r="G17290" t="s">
        <v>52955</v>
      </c>
      <c r="H17290" t="s">
        <v>54589</v>
      </c>
      <c r="Y17290" t="s">
        <v>57647</v>
      </c>
    </row>
    <row r="17291" spans="1:25" x14ac:dyDescent="0.25">
      <c r="A17291" t="str">
        <f>"134723377735"</f>
        <v>134723377735</v>
      </c>
      <c r="B17291" t="s">
        <v>319</v>
      </c>
      <c r="C17291" t="s">
        <v>320</v>
      </c>
      <c r="D17291" t="s">
        <v>27399</v>
      </c>
      <c r="E17291">
        <v>425011</v>
      </c>
      <c r="F17291" t="s">
        <v>1</v>
      </c>
      <c r="G17291" t="s">
        <v>52955</v>
      </c>
      <c r="H17291" t="s">
        <v>53507</v>
      </c>
      <c r="I17291" t="s">
        <v>24130</v>
      </c>
      <c r="M17291" t="s">
        <v>24131</v>
      </c>
      <c r="P17291" t="s">
        <v>2457</v>
      </c>
      <c r="Y17291" t="s">
        <v>54763</v>
      </c>
    </row>
    <row r="17292" spans="1:25" x14ac:dyDescent="0.25">
      <c r="A17292" t="str">
        <f>"134837001928"</f>
        <v>134837001928</v>
      </c>
      <c r="B17292" t="s">
        <v>32</v>
      </c>
      <c r="C17292" t="s">
        <v>182</v>
      </c>
      <c r="D17292" t="s">
        <v>57648</v>
      </c>
      <c r="F17292" t="s">
        <v>1</v>
      </c>
      <c r="G17292" t="s">
        <v>52955</v>
      </c>
      <c r="H17292" t="s">
        <v>53211</v>
      </c>
      <c r="Y17292" t="s">
        <v>57649</v>
      </c>
    </row>
    <row r="17293" spans="1:25" x14ac:dyDescent="0.25">
      <c r="A17293" t="str">
        <f>"135181235732"</f>
        <v>135181235732</v>
      </c>
      <c r="B17293" t="s">
        <v>1343</v>
      </c>
      <c r="C17293" t="s">
        <v>5308</v>
      </c>
      <c r="D17293" t="s">
        <v>5308</v>
      </c>
      <c r="E17293">
        <v>425001</v>
      </c>
      <c r="F17293" t="s">
        <v>1</v>
      </c>
      <c r="G17293" t="s">
        <v>52955</v>
      </c>
      <c r="H17293" t="s">
        <v>53433</v>
      </c>
      <c r="Y17293" t="s">
        <v>57650</v>
      </c>
    </row>
    <row r="17294" spans="1:25" x14ac:dyDescent="0.25">
      <c r="A17294" t="str">
        <f>"135184578400"</f>
        <v>135184578400</v>
      </c>
      <c r="B17294" t="s">
        <v>3094</v>
      </c>
      <c r="C17294" t="s">
        <v>3095</v>
      </c>
      <c r="D17294" t="s">
        <v>57651</v>
      </c>
      <c r="E17294">
        <v>425003</v>
      </c>
      <c r="F17294" t="s">
        <v>1</v>
      </c>
      <c r="G17294" t="s">
        <v>52955</v>
      </c>
      <c r="H17294" t="s">
        <v>54649</v>
      </c>
      <c r="I17294" t="s">
        <v>57652</v>
      </c>
      <c r="L17294" t="s">
        <v>57653</v>
      </c>
      <c r="M17294" t="s">
        <v>57654</v>
      </c>
      <c r="Y17294" t="s">
        <v>55471</v>
      </c>
    </row>
    <row r="17295" spans="1:25" x14ac:dyDescent="0.25">
      <c r="A17295" t="str">
        <f>"135329028998"</f>
        <v>135329028998</v>
      </c>
      <c r="B17295" t="s">
        <v>2846</v>
      </c>
      <c r="C17295" t="s">
        <v>17743</v>
      </c>
      <c r="D17295" t="s">
        <v>57655</v>
      </c>
      <c r="F17295" t="s">
        <v>1</v>
      </c>
      <c r="G17295" t="s">
        <v>52955</v>
      </c>
      <c r="H17295" t="s">
        <v>53261</v>
      </c>
      <c r="J17295" t="s">
        <v>57656</v>
      </c>
      <c r="L17295" t="s">
        <v>57657</v>
      </c>
      <c r="M17295" t="s">
        <v>57658</v>
      </c>
      <c r="P17295" t="s">
        <v>2738</v>
      </c>
      <c r="Q17295" t="s">
        <v>57659</v>
      </c>
      <c r="Y17295" t="s">
        <v>55966</v>
      </c>
    </row>
    <row r="17296" spans="1:25" x14ac:dyDescent="0.25">
      <c r="A17296" t="str">
        <f>"135418470331"</f>
        <v>135418470331</v>
      </c>
      <c r="B17296" t="s">
        <v>456</v>
      </c>
      <c r="C17296" t="s">
        <v>57664</v>
      </c>
      <c r="D17296" t="s">
        <v>57660</v>
      </c>
      <c r="F17296" t="s">
        <v>1</v>
      </c>
      <c r="G17296" t="s">
        <v>52955</v>
      </c>
      <c r="H17296" t="s">
        <v>57661</v>
      </c>
      <c r="J17296" t="s">
        <v>57662</v>
      </c>
      <c r="M17296" t="s">
        <v>57663</v>
      </c>
      <c r="P17296" t="s">
        <v>57665</v>
      </c>
      <c r="Y17296" t="s">
        <v>57666</v>
      </c>
    </row>
    <row r="17297" spans="1:25" x14ac:dyDescent="0.25">
      <c r="A17297" t="str">
        <f>"135512003032"</f>
        <v>135512003032</v>
      </c>
      <c r="B17297" t="s">
        <v>930</v>
      </c>
      <c r="C17297" t="s">
        <v>10263</v>
      </c>
      <c r="D17297" t="s">
        <v>57667</v>
      </c>
      <c r="E17297">
        <v>425000</v>
      </c>
      <c r="F17297" t="s">
        <v>1</v>
      </c>
      <c r="G17297" t="s">
        <v>52955</v>
      </c>
      <c r="H17297" t="s">
        <v>53066</v>
      </c>
      <c r="J17297" t="s">
        <v>57668</v>
      </c>
      <c r="P17297" t="s">
        <v>60</v>
      </c>
      <c r="V17297" t="s">
        <v>57669</v>
      </c>
      <c r="Y17297" t="s">
        <v>54725</v>
      </c>
    </row>
    <row r="17298" spans="1:25" x14ac:dyDescent="0.25">
      <c r="A17298" t="str">
        <f>"135818329784"</f>
        <v>135818329784</v>
      </c>
      <c r="B17298" t="s">
        <v>290</v>
      </c>
      <c r="C17298" t="s">
        <v>11114</v>
      </c>
      <c r="D17298" t="s">
        <v>11114</v>
      </c>
      <c r="E17298">
        <v>425000</v>
      </c>
      <c r="F17298" t="s">
        <v>1</v>
      </c>
      <c r="G17298" t="s">
        <v>52955</v>
      </c>
      <c r="H17298" t="s">
        <v>52998</v>
      </c>
      <c r="Y17298" t="s">
        <v>57670</v>
      </c>
    </row>
    <row r="17299" spans="1:25" x14ac:dyDescent="0.25">
      <c r="A17299" t="str">
        <f>"135884287904"</f>
        <v>135884287904</v>
      </c>
      <c r="B17299" t="s">
        <v>530</v>
      </c>
      <c r="C17299" t="s">
        <v>23950</v>
      </c>
      <c r="D17299" t="s">
        <v>23950</v>
      </c>
      <c r="F17299" t="s">
        <v>1</v>
      </c>
      <c r="G17299" t="s">
        <v>52955</v>
      </c>
      <c r="H17299" t="s">
        <v>55243</v>
      </c>
      <c r="Y17299" t="s">
        <v>57671</v>
      </c>
    </row>
    <row r="17300" spans="1:25" x14ac:dyDescent="0.25">
      <c r="A17300" t="str">
        <f>"136015393366"</f>
        <v>136015393366</v>
      </c>
      <c r="B17300" t="s">
        <v>574</v>
      </c>
      <c r="C17300" t="s">
        <v>646</v>
      </c>
      <c r="D17300" t="s">
        <v>2733</v>
      </c>
      <c r="E17300">
        <v>425009</v>
      </c>
      <c r="F17300" t="s">
        <v>1</v>
      </c>
      <c r="G17300" t="s">
        <v>52955</v>
      </c>
      <c r="H17300" t="s">
        <v>55663</v>
      </c>
      <c r="Y17300" t="s">
        <v>57672</v>
      </c>
    </row>
    <row r="17301" spans="1:25" x14ac:dyDescent="0.25">
      <c r="A17301" t="str">
        <f>"136260849520"</f>
        <v>136260849520</v>
      </c>
      <c r="B17301" t="s">
        <v>930</v>
      </c>
      <c r="C17301" t="s">
        <v>1940</v>
      </c>
      <c r="D17301" t="s">
        <v>54495</v>
      </c>
      <c r="F17301" t="s">
        <v>1</v>
      </c>
      <c r="G17301" t="s">
        <v>52955</v>
      </c>
      <c r="H17301" t="s">
        <v>57137</v>
      </c>
      <c r="J17301" t="s">
        <v>57673</v>
      </c>
      <c r="L17301" t="s">
        <v>57674</v>
      </c>
      <c r="M17301" t="s">
        <v>57675</v>
      </c>
      <c r="P17301" t="s">
        <v>216</v>
      </c>
      <c r="Q17301" t="s">
        <v>57676</v>
      </c>
      <c r="V17301" t="s">
        <v>57677</v>
      </c>
      <c r="Y17301" t="s">
        <v>57678</v>
      </c>
    </row>
    <row r="17302" spans="1:25" x14ac:dyDescent="0.25">
      <c r="A17302" t="str">
        <f>"136433530888"</f>
        <v>136433530888</v>
      </c>
      <c r="B17302" t="s">
        <v>151</v>
      </c>
      <c r="C17302" t="s">
        <v>151</v>
      </c>
      <c r="D17302" t="s">
        <v>151</v>
      </c>
      <c r="E17302">
        <v>425008</v>
      </c>
      <c r="F17302" t="s">
        <v>1</v>
      </c>
      <c r="G17302" t="s">
        <v>52955</v>
      </c>
      <c r="H17302" t="s">
        <v>53533</v>
      </c>
      <c r="Y17302" t="s">
        <v>57679</v>
      </c>
    </row>
    <row r="17303" spans="1:25" x14ac:dyDescent="0.25">
      <c r="A17303" t="str">
        <f>"136471266316"</f>
        <v>136471266316</v>
      </c>
      <c r="B17303" t="s">
        <v>417</v>
      </c>
      <c r="C17303" t="s">
        <v>6532</v>
      </c>
      <c r="D17303" t="s">
        <v>57680</v>
      </c>
      <c r="F17303" t="s">
        <v>1</v>
      </c>
      <c r="G17303" t="s">
        <v>52955</v>
      </c>
      <c r="H17303" t="s">
        <v>53916</v>
      </c>
      <c r="I17303" t="s">
        <v>54007</v>
      </c>
      <c r="P17303" t="s">
        <v>57681</v>
      </c>
      <c r="Y17303" t="s">
        <v>53919</v>
      </c>
    </row>
    <row r="17304" spans="1:25" x14ac:dyDescent="0.25">
      <c r="A17304" t="str">
        <f>"136873101866"</f>
        <v>136873101866</v>
      </c>
      <c r="B17304" t="s">
        <v>930</v>
      </c>
      <c r="C17304" t="s">
        <v>1096</v>
      </c>
      <c r="D17304" t="s">
        <v>1094</v>
      </c>
      <c r="F17304" t="s">
        <v>1</v>
      </c>
      <c r="G17304" t="s">
        <v>52955</v>
      </c>
      <c r="H17304" t="s">
        <v>56342</v>
      </c>
      <c r="Y17304" t="s">
        <v>57682</v>
      </c>
    </row>
    <row r="17305" spans="1:25" x14ac:dyDescent="0.25">
      <c r="A17305" t="str">
        <f>"137020617416"</f>
        <v>137020617416</v>
      </c>
      <c r="B17305" t="s">
        <v>290</v>
      </c>
      <c r="C17305" t="s">
        <v>290</v>
      </c>
      <c r="D17305" t="s">
        <v>57683</v>
      </c>
      <c r="E17305">
        <v>425000</v>
      </c>
      <c r="F17305" t="s">
        <v>1</v>
      </c>
      <c r="G17305" t="s">
        <v>52955</v>
      </c>
      <c r="H17305" t="s">
        <v>53066</v>
      </c>
      <c r="Y17305" t="s">
        <v>57684</v>
      </c>
    </row>
    <row r="17306" spans="1:25" x14ac:dyDescent="0.25">
      <c r="A17306" t="str">
        <f>"137030285622"</f>
        <v>137030285622</v>
      </c>
      <c r="B17306" t="s">
        <v>574</v>
      </c>
      <c r="C17306" t="s">
        <v>646</v>
      </c>
      <c r="D17306" t="s">
        <v>53385</v>
      </c>
      <c r="E17306">
        <v>425009</v>
      </c>
      <c r="F17306" t="s">
        <v>1</v>
      </c>
      <c r="G17306" t="s">
        <v>52955</v>
      </c>
      <c r="H17306" t="s">
        <v>57685</v>
      </c>
      <c r="I17306" t="s">
        <v>53387</v>
      </c>
      <c r="P17306" t="s">
        <v>410</v>
      </c>
      <c r="Y17306" t="s">
        <v>57686</v>
      </c>
    </row>
    <row r="17307" spans="1:25" x14ac:dyDescent="0.25">
      <c r="A17307" t="str">
        <f>"137094401668"</f>
        <v>137094401668</v>
      </c>
      <c r="B17307" t="s">
        <v>25</v>
      </c>
      <c r="C17307" t="s">
        <v>59</v>
      </c>
      <c r="D17307" t="s">
        <v>17991</v>
      </c>
      <c r="E17307">
        <v>425000</v>
      </c>
      <c r="F17307" t="s">
        <v>1</v>
      </c>
      <c r="G17307" t="s">
        <v>52955</v>
      </c>
      <c r="H17307" t="s">
        <v>53093</v>
      </c>
      <c r="J17307" t="s">
        <v>57687</v>
      </c>
      <c r="M17307" t="s">
        <v>57688</v>
      </c>
      <c r="P17307" t="s">
        <v>27</v>
      </c>
      <c r="Y17307" t="s">
        <v>53099</v>
      </c>
    </row>
    <row r="17308" spans="1:25" x14ac:dyDescent="0.25">
      <c r="A17308" t="str">
        <f>"137269476833"</f>
        <v>137269476833</v>
      </c>
      <c r="B17308" t="s">
        <v>397</v>
      </c>
      <c r="C17308" t="s">
        <v>22344</v>
      </c>
      <c r="D17308" t="s">
        <v>57689</v>
      </c>
      <c r="E17308">
        <v>425011</v>
      </c>
      <c r="F17308" t="s">
        <v>1</v>
      </c>
      <c r="G17308" t="s">
        <v>52955</v>
      </c>
      <c r="H17308" t="s">
        <v>53507</v>
      </c>
      <c r="J17308" t="s">
        <v>57690</v>
      </c>
      <c r="M17308" t="s">
        <v>57691</v>
      </c>
      <c r="P17308" t="s">
        <v>410</v>
      </c>
      <c r="Y17308" t="s">
        <v>57692</v>
      </c>
    </row>
    <row r="17309" spans="1:25" x14ac:dyDescent="0.25">
      <c r="A17309" t="str">
        <f>"137655067180"</f>
        <v>137655067180</v>
      </c>
      <c r="B17309" t="s">
        <v>18</v>
      </c>
      <c r="C17309" t="s">
        <v>57693</v>
      </c>
      <c r="D17309" t="s">
        <v>17437</v>
      </c>
      <c r="F17309" t="s">
        <v>1</v>
      </c>
      <c r="G17309" t="s">
        <v>52955</v>
      </c>
      <c r="H17309" t="s">
        <v>55808</v>
      </c>
      <c r="Y17309" t="s">
        <v>57694</v>
      </c>
    </row>
    <row r="17310" spans="1:25" x14ac:dyDescent="0.25">
      <c r="A17310" t="str">
        <f>"137765840642"</f>
        <v>137765840642</v>
      </c>
      <c r="B17310" t="s">
        <v>447</v>
      </c>
      <c r="C17310" t="s">
        <v>16100</v>
      </c>
      <c r="D17310" t="s">
        <v>57695</v>
      </c>
      <c r="E17310">
        <v>425009</v>
      </c>
      <c r="F17310" t="s">
        <v>1</v>
      </c>
      <c r="G17310" t="s">
        <v>52955</v>
      </c>
      <c r="H17310" t="s">
        <v>55282</v>
      </c>
      <c r="Y17310" t="s">
        <v>57696</v>
      </c>
    </row>
    <row r="17311" spans="1:25" x14ac:dyDescent="0.25">
      <c r="A17311" t="str">
        <f>"137828910245"</f>
        <v>137828910245</v>
      </c>
      <c r="B17311" t="s">
        <v>2818</v>
      </c>
      <c r="C17311" t="s">
        <v>56550</v>
      </c>
      <c r="D17311" t="s">
        <v>57697</v>
      </c>
      <c r="F17311" t="s">
        <v>1</v>
      </c>
      <c r="G17311" t="s">
        <v>52955</v>
      </c>
      <c r="H17311" t="s">
        <v>56437</v>
      </c>
      <c r="Y17311" t="s">
        <v>57698</v>
      </c>
    </row>
    <row r="17312" spans="1:25" x14ac:dyDescent="0.25">
      <c r="A17312" t="str">
        <f>"137872493857"</f>
        <v>137872493857</v>
      </c>
      <c r="B17312" t="s">
        <v>18</v>
      </c>
      <c r="C17312" t="s">
        <v>57701</v>
      </c>
      <c r="D17312" t="s">
        <v>36233</v>
      </c>
      <c r="F17312" t="s">
        <v>1</v>
      </c>
      <c r="G17312" t="s">
        <v>52955</v>
      </c>
      <c r="H17312" t="s">
        <v>53284</v>
      </c>
      <c r="I17312" t="s">
        <v>57699</v>
      </c>
      <c r="M17312" t="s">
        <v>57700</v>
      </c>
      <c r="P17312" t="s">
        <v>57702</v>
      </c>
      <c r="Q17312" t="s">
        <v>57703</v>
      </c>
      <c r="Y17312" t="s">
        <v>57704</v>
      </c>
    </row>
    <row r="17313" spans="1:25" x14ac:dyDescent="0.25">
      <c r="A17313" t="str">
        <f>"138182845985"</f>
        <v>138182845985</v>
      </c>
      <c r="B17313" t="s">
        <v>930</v>
      </c>
      <c r="C17313" t="s">
        <v>2543</v>
      </c>
      <c r="D17313" t="s">
        <v>57705</v>
      </c>
      <c r="E17313">
        <v>425005</v>
      </c>
      <c r="F17313" t="s">
        <v>1</v>
      </c>
      <c r="G17313" t="s">
        <v>52955</v>
      </c>
      <c r="H17313" t="s">
        <v>57706</v>
      </c>
      <c r="P17313" t="s">
        <v>60</v>
      </c>
      <c r="Y17313" t="s">
        <v>57707</v>
      </c>
    </row>
    <row r="17314" spans="1:25" x14ac:dyDescent="0.25">
      <c r="A17314" t="str">
        <f>"138621995505"</f>
        <v>138621995505</v>
      </c>
      <c r="B17314" t="s">
        <v>574</v>
      </c>
      <c r="C17314" t="s">
        <v>646</v>
      </c>
      <c r="D17314" t="s">
        <v>22700</v>
      </c>
      <c r="F17314" t="s">
        <v>1</v>
      </c>
      <c r="G17314" t="s">
        <v>52955</v>
      </c>
      <c r="H17314" t="s">
        <v>55903</v>
      </c>
      <c r="Y17314" t="s">
        <v>57708</v>
      </c>
    </row>
    <row r="17315" spans="1:25" x14ac:dyDescent="0.25">
      <c r="A17315" t="str">
        <f>"139207035133"</f>
        <v>139207035133</v>
      </c>
      <c r="B17315" t="s">
        <v>574</v>
      </c>
      <c r="C17315" t="s">
        <v>646</v>
      </c>
      <c r="D17315" t="s">
        <v>4221</v>
      </c>
      <c r="F17315" t="s">
        <v>1</v>
      </c>
      <c r="G17315" t="s">
        <v>52955</v>
      </c>
      <c r="H17315" t="s">
        <v>55570</v>
      </c>
      <c r="Y17315" t="s">
        <v>57709</v>
      </c>
    </row>
    <row r="17316" spans="1:25" x14ac:dyDescent="0.25">
      <c r="A17316" t="str">
        <f>"139460067185"</f>
        <v>139460067185</v>
      </c>
      <c r="B17316" t="s">
        <v>930</v>
      </c>
      <c r="C17316" t="s">
        <v>10263</v>
      </c>
      <c r="D17316" t="s">
        <v>10263</v>
      </c>
      <c r="E17316">
        <v>425000</v>
      </c>
      <c r="F17316" t="s">
        <v>1</v>
      </c>
      <c r="G17316" t="s">
        <v>52955</v>
      </c>
      <c r="H17316" t="s">
        <v>57710</v>
      </c>
      <c r="P17316" t="s">
        <v>330</v>
      </c>
      <c r="Y17316" t="s">
        <v>57711</v>
      </c>
    </row>
    <row r="17317" spans="1:25" x14ac:dyDescent="0.25">
      <c r="A17317" t="str">
        <f>"139647012452"</f>
        <v>139647012452</v>
      </c>
      <c r="B17317" t="s">
        <v>96</v>
      </c>
      <c r="C17317" t="s">
        <v>893</v>
      </c>
      <c r="D17317" t="s">
        <v>27797</v>
      </c>
      <c r="F17317" t="s">
        <v>1</v>
      </c>
      <c r="G17317" t="s">
        <v>52955</v>
      </c>
      <c r="H17317" t="s">
        <v>56111</v>
      </c>
      <c r="Y17317" t="s">
        <v>57712</v>
      </c>
    </row>
    <row r="17318" spans="1:25" x14ac:dyDescent="0.25">
      <c r="A17318" t="str">
        <f>"140225868758"</f>
        <v>140225868758</v>
      </c>
      <c r="B17318" t="s">
        <v>1053</v>
      </c>
      <c r="C17318" t="s">
        <v>1927</v>
      </c>
      <c r="D17318" t="s">
        <v>57713</v>
      </c>
      <c r="F17318" t="s">
        <v>1</v>
      </c>
      <c r="G17318" t="s">
        <v>52955</v>
      </c>
      <c r="H17318" t="s">
        <v>53398</v>
      </c>
      <c r="P17318" t="s">
        <v>799</v>
      </c>
      <c r="Y17318" t="s">
        <v>57714</v>
      </c>
    </row>
    <row r="17319" spans="1:25" x14ac:dyDescent="0.25">
      <c r="A17319" t="str">
        <f>"140444528033"</f>
        <v>140444528033</v>
      </c>
      <c r="B17319" t="s">
        <v>117</v>
      </c>
      <c r="C17319" t="s">
        <v>873</v>
      </c>
      <c r="D17319" t="s">
        <v>870</v>
      </c>
      <c r="F17319" t="s">
        <v>1</v>
      </c>
      <c r="G17319" t="s">
        <v>52955</v>
      </c>
      <c r="H17319" t="s">
        <v>56731</v>
      </c>
      <c r="P17319" t="s">
        <v>330</v>
      </c>
      <c r="Y17319" t="s">
        <v>57715</v>
      </c>
    </row>
    <row r="17320" spans="1:25" x14ac:dyDescent="0.25">
      <c r="A17320" t="str">
        <f>"140453981273"</f>
        <v>140453981273</v>
      </c>
      <c r="B17320" t="s">
        <v>1046</v>
      </c>
      <c r="C17320" t="s">
        <v>22946</v>
      </c>
      <c r="D17320" t="s">
        <v>22946</v>
      </c>
      <c r="E17320">
        <v>425000</v>
      </c>
      <c r="F17320" t="s">
        <v>1</v>
      </c>
      <c r="G17320" t="s">
        <v>52955</v>
      </c>
      <c r="H17320" t="s">
        <v>57716</v>
      </c>
      <c r="Y17320" t="s">
        <v>57717</v>
      </c>
    </row>
    <row r="17321" spans="1:25" x14ac:dyDescent="0.25">
      <c r="A17321" t="str">
        <f>"140598293025"</f>
        <v>140598293025</v>
      </c>
      <c r="B17321" t="s">
        <v>117</v>
      </c>
      <c r="C17321" t="s">
        <v>873</v>
      </c>
      <c r="D17321" t="s">
        <v>873</v>
      </c>
      <c r="F17321" t="s">
        <v>1</v>
      </c>
      <c r="G17321" t="s">
        <v>52955</v>
      </c>
      <c r="H17321" t="s">
        <v>57718</v>
      </c>
      <c r="Y17321" t="s">
        <v>57719</v>
      </c>
    </row>
    <row r="17322" spans="1:25" x14ac:dyDescent="0.25">
      <c r="A17322" t="str">
        <f>"140647270388"</f>
        <v>140647270388</v>
      </c>
      <c r="B17322" t="s">
        <v>530</v>
      </c>
      <c r="C17322" t="s">
        <v>23950</v>
      </c>
      <c r="D17322" t="s">
        <v>23950</v>
      </c>
      <c r="F17322" t="s">
        <v>1</v>
      </c>
      <c r="G17322" t="s">
        <v>52955</v>
      </c>
      <c r="H17322" t="s">
        <v>57720</v>
      </c>
      <c r="Y17322" t="s">
        <v>57721</v>
      </c>
    </row>
    <row r="17323" spans="1:25" x14ac:dyDescent="0.25">
      <c r="A17323" t="str">
        <f>"140679077872"</f>
        <v>140679077872</v>
      </c>
      <c r="B17323" t="s">
        <v>978</v>
      </c>
      <c r="C17323" t="s">
        <v>1659</v>
      </c>
      <c r="D17323" t="s">
        <v>31177</v>
      </c>
      <c r="F17323" t="s">
        <v>1</v>
      </c>
      <c r="G17323" t="s">
        <v>52955</v>
      </c>
      <c r="H17323" t="s">
        <v>56691</v>
      </c>
      <c r="Y17323" t="s">
        <v>57722</v>
      </c>
    </row>
    <row r="17324" spans="1:25" x14ac:dyDescent="0.25">
      <c r="A17324" t="str">
        <f>"140785795785"</f>
        <v>140785795785</v>
      </c>
      <c r="B17324" t="s">
        <v>48</v>
      </c>
      <c r="C17324" t="s">
        <v>16070</v>
      </c>
      <c r="D17324" t="s">
        <v>57723</v>
      </c>
      <c r="E17324">
        <v>425000</v>
      </c>
      <c r="F17324" t="s">
        <v>1</v>
      </c>
      <c r="G17324" t="s">
        <v>52955</v>
      </c>
      <c r="H17324" t="s">
        <v>52998</v>
      </c>
      <c r="I17324" t="s">
        <v>53110</v>
      </c>
      <c r="J17324" t="s">
        <v>57724</v>
      </c>
      <c r="P17324" t="s">
        <v>57725</v>
      </c>
      <c r="Q17324" t="s">
        <v>57726</v>
      </c>
      <c r="V17324" t="s">
        <v>57727</v>
      </c>
      <c r="Y17324" t="s">
        <v>57728</v>
      </c>
    </row>
    <row r="17325" spans="1:25" x14ac:dyDescent="0.25">
      <c r="A17325" t="str">
        <f>"141634573586"</f>
        <v>141634573586</v>
      </c>
      <c r="B17325" t="s">
        <v>18</v>
      </c>
      <c r="C17325" t="s">
        <v>57732</v>
      </c>
      <c r="D17325" t="s">
        <v>57729</v>
      </c>
      <c r="F17325" t="s">
        <v>1</v>
      </c>
      <c r="G17325" t="s">
        <v>52955</v>
      </c>
      <c r="H17325" t="s">
        <v>57730</v>
      </c>
      <c r="I17325" t="s">
        <v>57731</v>
      </c>
      <c r="P17325" t="s">
        <v>55260</v>
      </c>
      <c r="Y17325" t="s">
        <v>57733</v>
      </c>
    </row>
    <row r="17326" spans="1:25" x14ac:dyDescent="0.25">
      <c r="A17326" t="str">
        <f>"141691590934"</f>
        <v>141691590934</v>
      </c>
      <c r="B17326" t="s">
        <v>530</v>
      </c>
      <c r="C17326" t="s">
        <v>23950</v>
      </c>
      <c r="D17326" t="s">
        <v>23950</v>
      </c>
      <c r="F17326" t="s">
        <v>1</v>
      </c>
      <c r="G17326" t="s">
        <v>52955</v>
      </c>
      <c r="H17326" t="s">
        <v>55243</v>
      </c>
      <c r="Y17326" t="s">
        <v>57734</v>
      </c>
    </row>
    <row r="17327" spans="1:25" x14ac:dyDescent="0.25">
      <c r="A17327" t="str">
        <f>"141891274383"</f>
        <v>141891274383</v>
      </c>
      <c r="B17327" t="s">
        <v>96</v>
      </c>
      <c r="C17327" t="s">
        <v>2285</v>
      </c>
      <c r="D17327" t="s">
        <v>25925</v>
      </c>
      <c r="E17327">
        <v>425000</v>
      </c>
      <c r="F17327" t="s">
        <v>1</v>
      </c>
      <c r="G17327" t="s">
        <v>52955</v>
      </c>
      <c r="H17327" t="s">
        <v>54780</v>
      </c>
      <c r="Y17327" t="s">
        <v>57735</v>
      </c>
    </row>
    <row r="17328" spans="1:25" x14ac:dyDescent="0.25">
      <c r="A17328" t="str">
        <f>"141972679319"</f>
        <v>141972679319</v>
      </c>
      <c r="B17328" t="s">
        <v>574</v>
      </c>
      <c r="C17328" t="s">
        <v>646</v>
      </c>
      <c r="D17328" t="s">
        <v>4221</v>
      </c>
      <c r="E17328">
        <v>425008</v>
      </c>
      <c r="F17328" t="s">
        <v>1</v>
      </c>
      <c r="G17328" t="s">
        <v>52955</v>
      </c>
      <c r="H17328" t="s">
        <v>57736</v>
      </c>
      <c r="Y17328" t="s">
        <v>57737</v>
      </c>
    </row>
    <row r="17329" spans="1:25" x14ac:dyDescent="0.25">
      <c r="A17329" t="str">
        <f>"142018087039"</f>
        <v>142018087039</v>
      </c>
      <c r="B17329" t="s">
        <v>2104</v>
      </c>
      <c r="C17329" t="s">
        <v>2105</v>
      </c>
      <c r="D17329" t="s">
        <v>24033</v>
      </c>
      <c r="E17329">
        <v>425009</v>
      </c>
      <c r="F17329" t="s">
        <v>1</v>
      </c>
      <c r="G17329" t="s">
        <v>52955</v>
      </c>
      <c r="H17329" t="s">
        <v>55663</v>
      </c>
      <c r="Y17329" t="s">
        <v>57738</v>
      </c>
    </row>
    <row r="17330" spans="1:25" x14ac:dyDescent="0.25">
      <c r="A17330" t="str">
        <f>"142098647577"</f>
        <v>142098647577</v>
      </c>
      <c r="B17330" t="s">
        <v>574</v>
      </c>
      <c r="C17330" t="s">
        <v>646</v>
      </c>
      <c r="D17330" t="s">
        <v>30879</v>
      </c>
      <c r="F17330" t="s">
        <v>1</v>
      </c>
      <c r="G17330" t="s">
        <v>52955</v>
      </c>
      <c r="H17330" t="s">
        <v>57739</v>
      </c>
      <c r="Y17330" t="s">
        <v>57740</v>
      </c>
    </row>
    <row r="17331" spans="1:25" x14ac:dyDescent="0.25">
      <c r="A17331" t="str">
        <f>"142178683224"</f>
        <v>142178683224</v>
      </c>
      <c r="B17331" t="s">
        <v>738</v>
      </c>
      <c r="C17331" t="s">
        <v>739</v>
      </c>
      <c r="D17331" t="s">
        <v>27951</v>
      </c>
      <c r="E17331">
        <v>425000</v>
      </c>
      <c r="F17331" t="s">
        <v>1</v>
      </c>
      <c r="G17331" t="s">
        <v>52955</v>
      </c>
      <c r="H17331" t="s">
        <v>53024</v>
      </c>
      <c r="J17331" t="s">
        <v>57741</v>
      </c>
      <c r="Y17331" t="s">
        <v>57742</v>
      </c>
    </row>
    <row r="17332" spans="1:25" x14ac:dyDescent="0.25">
      <c r="A17332" t="str">
        <f>"142301347541"</f>
        <v>142301347541</v>
      </c>
      <c r="B17332" t="s">
        <v>18</v>
      </c>
      <c r="C17332" t="s">
        <v>143</v>
      </c>
      <c r="D17332" t="s">
        <v>143</v>
      </c>
      <c r="F17332" t="s">
        <v>1</v>
      </c>
      <c r="G17332" t="s">
        <v>52955</v>
      </c>
      <c r="H17332" t="s">
        <v>53072</v>
      </c>
      <c r="Y17332" t="s">
        <v>57743</v>
      </c>
    </row>
    <row r="17333" spans="1:25" x14ac:dyDescent="0.25">
      <c r="A17333" t="str">
        <f>"143190417934"</f>
        <v>143190417934</v>
      </c>
      <c r="B17333" t="s">
        <v>123</v>
      </c>
      <c r="C17333" t="s">
        <v>18438</v>
      </c>
      <c r="D17333" t="s">
        <v>57744</v>
      </c>
      <c r="E17333">
        <v>425008</v>
      </c>
      <c r="F17333" t="s">
        <v>1</v>
      </c>
      <c r="G17333" t="s">
        <v>52955</v>
      </c>
      <c r="H17333" t="s">
        <v>53857</v>
      </c>
      <c r="J17333" t="s">
        <v>57745</v>
      </c>
      <c r="Q17333" t="s">
        <v>57746</v>
      </c>
      <c r="Y17333" t="s">
        <v>57747</v>
      </c>
    </row>
    <row r="17334" spans="1:25" x14ac:dyDescent="0.25">
      <c r="A17334" t="str">
        <f>"143212100000"</f>
        <v>143212100000</v>
      </c>
      <c r="B17334" t="s">
        <v>930</v>
      </c>
      <c r="C17334" t="s">
        <v>28791</v>
      </c>
      <c r="D17334" t="s">
        <v>57748</v>
      </c>
      <c r="F17334" t="s">
        <v>1</v>
      </c>
      <c r="G17334" t="s">
        <v>52955</v>
      </c>
      <c r="H17334" t="s">
        <v>56303</v>
      </c>
      <c r="J17334" t="s">
        <v>57749</v>
      </c>
      <c r="P17334" t="s">
        <v>10632</v>
      </c>
      <c r="Y17334" t="s">
        <v>57750</v>
      </c>
    </row>
    <row r="17335" spans="1:25" x14ac:dyDescent="0.25">
      <c r="A17335" t="str">
        <f>"143438278827"</f>
        <v>143438278827</v>
      </c>
      <c r="B17335" t="s">
        <v>2818</v>
      </c>
      <c r="C17335" t="s">
        <v>6466</v>
      </c>
      <c r="D17335" t="s">
        <v>57751</v>
      </c>
      <c r="F17335" t="s">
        <v>1</v>
      </c>
      <c r="G17335" t="s">
        <v>52955</v>
      </c>
      <c r="H17335" t="s">
        <v>56437</v>
      </c>
      <c r="Y17335" t="s">
        <v>57752</v>
      </c>
    </row>
    <row r="17336" spans="1:25" x14ac:dyDescent="0.25">
      <c r="A17336" t="str">
        <f>"143461370132"</f>
        <v>143461370132</v>
      </c>
      <c r="B17336" t="s">
        <v>1573</v>
      </c>
      <c r="C17336" t="s">
        <v>1753</v>
      </c>
      <c r="D17336" t="s">
        <v>57753</v>
      </c>
      <c r="E17336">
        <v>425003</v>
      </c>
      <c r="F17336" t="s">
        <v>1</v>
      </c>
      <c r="G17336" t="s">
        <v>52955</v>
      </c>
      <c r="H17336" t="s">
        <v>54189</v>
      </c>
      <c r="Y17336" t="s">
        <v>57754</v>
      </c>
    </row>
    <row r="17337" spans="1:25" x14ac:dyDescent="0.25">
      <c r="A17337" t="str">
        <f>"143488665722"</f>
        <v>143488665722</v>
      </c>
      <c r="B17337" t="s">
        <v>1343</v>
      </c>
      <c r="C17337" t="s">
        <v>5308</v>
      </c>
      <c r="D17337" t="s">
        <v>57755</v>
      </c>
      <c r="F17337" t="s">
        <v>1</v>
      </c>
      <c r="G17337" t="s">
        <v>52955</v>
      </c>
      <c r="H17337" t="s">
        <v>57183</v>
      </c>
      <c r="Y17337" t="s">
        <v>57756</v>
      </c>
    </row>
    <row r="17338" spans="1:25" x14ac:dyDescent="0.25">
      <c r="A17338" t="str">
        <f>"143533225870"</f>
        <v>143533225870</v>
      </c>
      <c r="B17338" t="s">
        <v>430</v>
      </c>
      <c r="C17338" t="s">
        <v>11849</v>
      </c>
      <c r="D17338" t="s">
        <v>57083</v>
      </c>
      <c r="F17338" t="s">
        <v>1</v>
      </c>
      <c r="G17338" t="s">
        <v>52955</v>
      </c>
      <c r="H17338" t="s">
        <v>55608</v>
      </c>
      <c r="J17338" t="s">
        <v>57757</v>
      </c>
      <c r="L17338" t="s">
        <v>57472</v>
      </c>
      <c r="M17338" t="s">
        <v>57473</v>
      </c>
      <c r="P17338" t="s">
        <v>410</v>
      </c>
      <c r="Q17338" t="s">
        <v>54645</v>
      </c>
      <c r="V17338" t="s">
        <v>54646</v>
      </c>
      <c r="Y17338" t="s">
        <v>57758</v>
      </c>
    </row>
    <row r="17339" spans="1:25" x14ac:dyDescent="0.25">
      <c r="A17339" t="str">
        <f>"143578412338"</f>
        <v>143578412338</v>
      </c>
      <c r="B17339" t="s">
        <v>32</v>
      </c>
      <c r="C17339" t="s">
        <v>40</v>
      </c>
      <c r="D17339" t="s">
        <v>40</v>
      </c>
      <c r="F17339" t="s">
        <v>1</v>
      </c>
      <c r="G17339" t="s">
        <v>52955</v>
      </c>
      <c r="H17339" t="s">
        <v>54589</v>
      </c>
      <c r="Y17339" t="s">
        <v>57759</v>
      </c>
    </row>
    <row r="17340" spans="1:25" x14ac:dyDescent="0.25">
      <c r="A17340" t="str">
        <f>"143895063097"</f>
        <v>143895063097</v>
      </c>
      <c r="B17340" t="s">
        <v>430</v>
      </c>
      <c r="C17340" t="s">
        <v>16178</v>
      </c>
      <c r="D17340" t="s">
        <v>10135</v>
      </c>
      <c r="E17340">
        <v>425003</v>
      </c>
      <c r="F17340" t="s">
        <v>1</v>
      </c>
      <c r="G17340" t="s">
        <v>52955</v>
      </c>
      <c r="H17340" t="s">
        <v>53559</v>
      </c>
      <c r="J17340" t="s">
        <v>55611</v>
      </c>
      <c r="P17340" t="s">
        <v>330</v>
      </c>
      <c r="Y17340" t="s">
        <v>57760</v>
      </c>
    </row>
    <row r="17341" spans="1:25" x14ac:dyDescent="0.25">
      <c r="A17341" t="str">
        <f>"144025723778"</f>
        <v>144025723778</v>
      </c>
      <c r="B17341" t="s">
        <v>738</v>
      </c>
      <c r="C17341" t="s">
        <v>57764</v>
      </c>
      <c r="D17341" t="s">
        <v>57761</v>
      </c>
      <c r="E17341">
        <v>425000</v>
      </c>
      <c r="F17341" t="s">
        <v>1</v>
      </c>
      <c r="G17341" t="s">
        <v>52955</v>
      </c>
      <c r="H17341" t="s">
        <v>57762</v>
      </c>
      <c r="J17341" t="s">
        <v>57763</v>
      </c>
      <c r="P17341" t="s">
        <v>1160</v>
      </c>
      <c r="Y17341" t="s">
        <v>57765</v>
      </c>
    </row>
    <row r="17342" spans="1:25" x14ac:dyDescent="0.25">
      <c r="A17342" t="str">
        <f>"144055864723"</f>
        <v>144055864723</v>
      </c>
      <c r="B17342" t="s">
        <v>574</v>
      </c>
      <c r="C17342" t="s">
        <v>646</v>
      </c>
      <c r="D17342" t="s">
        <v>4221</v>
      </c>
      <c r="F17342" t="s">
        <v>1</v>
      </c>
      <c r="G17342" t="s">
        <v>52955</v>
      </c>
      <c r="H17342" t="s">
        <v>55724</v>
      </c>
      <c r="Y17342" t="s">
        <v>57766</v>
      </c>
    </row>
    <row r="17343" spans="1:25" x14ac:dyDescent="0.25">
      <c r="A17343" t="str">
        <f>"144096655998"</f>
        <v>144096655998</v>
      </c>
      <c r="B17343" t="s">
        <v>1391</v>
      </c>
      <c r="C17343" t="s">
        <v>23730</v>
      </c>
      <c r="D17343" t="s">
        <v>57767</v>
      </c>
      <c r="E17343">
        <v>425011</v>
      </c>
      <c r="F17343" t="s">
        <v>1</v>
      </c>
      <c r="G17343" t="s">
        <v>52955</v>
      </c>
      <c r="H17343" t="s">
        <v>53457</v>
      </c>
      <c r="J17343" t="s">
        <v>57768</v>
      </c>
      <c r="L17343" t="s">
        <v>57769</v>
      </c>
      <c r="M17343" t="s">
        <v>57770</v>
      </c>
      <c r="P17343" t="s">
        <v>20</v>
      </c>
      <c r="Y17343" t="s">
        <v>57000</v>
      </c>
    </row>
    <row r="17344" spans="1:25" x14ac:dyDescent="0.25">
      <c r="A17344" t="str">
        <f>"144306072047"</f>
        <v>144306072047</v>
      </c>
      <c r="B17344" t="s">
        <v>654</v>
      </c>
      <c r="C17344" t="s">
        <v>57774</v>
      </c>
      <c r="D17344" t="s">
        <v>57771</v>
      </c>
      <c r="F17344" t="s">
        <v>1</v>
      </c>
      <c r="G17344" t="s">
        <v>52955</v>
      </c>
      <c r="H17344" t="s">
        <v>57772</v>
      </c>
      <c r="J17344" t="s">
        <v>57773</v>
      </c>
      <c r="P17344" t="s">
        <v>1027</v>
      </c>
      <c r="Y17344" t="s">
        <v>57775</v>
      </c>
    </row>
    <row r="17345" spans="1:25" x14ac:dyDescent="0.25">
      <c r="A17345" t="str">
        <f>"144415812508"</f>
        <v>144415812508</v>
      </c>
      <c r="B17345" t="s">
        <v>290</v>
      </c>
      <c r="C17345" t="s">
        <v>290</v>
      </c>
      <c r="D17345" t="s">
        <v>7296</v>
      </c>
      <c r="E17345">
        <v>425000</v>
      </c>
      <c r="F17345" t="s">
        <v>1</v>
      </c>
      <c r="G17345" t="s">
        <v>52955</v>
      </c>
      <c r="H17345" t="s">
        <v>57776</v>
      </c>
      <c r="J17345" t="s">
        <v>57777</v>
      </c>
      <c r="P17345" t="s">
        <v>12317</v>
      </c>
      <c r="Y17345" t="s">
        <v>57778</v>
      </c>
    </row>
    <row r="17346" spans="1:25" x14ac:dyDescent="0.25">
      <c r="A17346" t="str">
        <f>"144598455757"</f>
        <v>144598455757</v>
      </c>
      <c r="B17346" t="s">
        <v>2104</v>
      </c>
      <c r="C17346" t="s">
        <v>25543</v>
      </c>
      <c r="D17346" t="s">
        <v>55191</v>
      </c>
      <c r="E17346">
        <v>425001</v>
      </c>
      <c r="F17346" t="s">
        <v>1</v>
      </c>
      <c r="G17346" t="s">
        <v>52955</v>
      </c>
      <c r="H17346" t="s">
        <v>53497</v>
      </c>
      <c r="P17346" t="s">
        <v>330</v>
      </c>
      <c r="Y17346" t="s">
        <v>57779</v>
      </c>
    </row>
    <row r="17347" spans="1:25" x14ac:dyDescent="0.25">
      <c r="A17347" t="str">
        <f>"144728465288"</f>
        <v>144728465288</v>
      </c>
      <c r="B17347" t="s">
        <v>1475</v>
      </c>
      <c r="C17347" t="s">
        <v>1476</v>
      </c>
      <c r="D17347" t="s">
        <v>25779</v>
      </c>
      <c r="F17347" t="s">
        <v>1</v>
      </c>
      <c r="G17347" t="s">
        <v>52955</v>
      </c>
      <c r="H17347" t="s">
        <v>55928</v>
      </c>
      <c r="P17347" t="s">
        <v>216</v>
      </c>
      <c r="Y17347" t="s">
        <v>57780</v>
      </c>
    </row>
    <row r="17348" spans="1:25" x14ac:dyDescent="0.25">
      <c r="A17348" t="str">
        <f>"144798831604"</f>
        <v>144798831604</v>
      </c>
      <c r="B17348" t="s">
        <v>574</v>
      </c>
      <c r="C17348" t="s">
        <v>646</v>
      </c>
      <c r="D17348" t="s">
        <v>50813</v>
      </c>
      <c r="E17348">
        <v>425008</v>
      </c>
      <c r="F17348" t="s">
        <v>1</v>
      </c>
      <c r="G17348" t="s">
        <v>52955</v>
      </c>
      <c r="H17348" t="s">
        <v>55417</v>
      </c>
      <c r="Y17348" t="s">
        <v>57781</v>
      </c>
    </row>
    <row r="17349" spans="1:25" x14ac:dyDescent="0.25">
      <c r="A17349" t="str">
        <f>"144941163834"</f>
        <v>144941163834</v>
      </c>
      <c r="B17349" t="s">
        <v>841</v>
      </c>
      <c r="C17349" t="s">
        <v>57783</v>
      </c>
      <c r="D17349" t="s">
        <v>57782</v>
      </c>
      <c r="E17349">
        <v>425001</v>
      </c>
      <c r="F17349" t="s">
        <v>1</v>
      </c>
      <c r="G17349" t="s">
        <v>52955</v>
      </c>
      <c r="H17349" t="s">
        <v>57216</v>
      </c>
      <c r="Y17349" t="s">
        <v>57784</v>
      </c>
    </row>
    <row r="17350" spans="1:25" x14ac:dyDescent="0.25">
      <c r="A17350" t="str">
        <f>"145656204436"</f>
        <v>145656204436</v>
      </c>
      <c r="B17350" t="s">
        <v>96</v>
      </c>
      <c r="C17350" t="s">
        <v>24042</v>
      </c>
      <c r="D17350" t="s">
        <v>24127</v>
      </c>
      <c r="E17350">
        <v>425009</v>
      </c>
      <c r="F17350" t="s">
        <v>1</v>
      </c>
      <c r="G17350" t="s">
        <v>52955</v>
      </c>
      <c r="H17350" t="s">
        <v>57785</v>
      </c>
      <c r="Y17350" t="s">
        <v>57786</v>
      </c>
    </row>
    <row r="17351" spans="1:25" x14ac:dyDescent="0.25">
      <c r="A17351" t="str">
        <f>"145722436748"</f>
        <v>145722436748</v>
      </c>
      <c r="B17351" t="s">
        <v>18</v>
      </c>
      <c r="C17351" t="s">
        <v>6222</v>
      </c>
      <c r="D17351" t="s">
        <v>57787</v>
      </c>
      <c r="F17351" t="s">
        <v>1</v>
      </c>
      <c r="G17351" t="s">
        <v>52955</v>
      </c>
      <c r="H17351" t="s">
        <v>55795</v>
      </c>
      <c r="J17351" t="s">
        <v>57788</v>
      </c>
      <c r="Y17351" t="s">
        <v>57789</v>
      </c>
    </row>
    <row r="17352" spans="1:25" x14ac:dyDescent="0.25">
      <c r="A17352" t="str">
        <f>"145855726852"</f>
        <v>145855726852</v>
      </c>
      <c r="B17352" t="s">
        <v>624</v>
      </c>
      <c r="C17352" t="s">
        <v>24400</v>
      </c>
      <c r="D17352" t="s">
        <v>24400</v>
      </c>
      <c r="F17352" t="s">
        <v>1</v>
      </c>
      <c r="G17352" t="s">
        <v>52955</v>
      </c>
      <c r="H17352" t="s">
        <v>55724</v>
      </c>
      <c r="Y17352" t="s">
        <v>57790</v>
      </c>
    </row>
    <row r="17353" spans="1:25" x14ac:dyDescent="0.25">
      <c r="A17353" t="str">
        <f>"146682783999"</f>
        <v>146682783999</v>
      </c>
      <c r="B17353" t="s">
        <v>530</v>
      </c>
      <c r="C17353" t="s">
        <v>23950</v>
      </c>
      <c r="D17353" t="s">
        <v>23950</v>
      </c>
      <c r="E17353">
        <v>425000</v>
      </c>
      <c r="F17353" t="s">
        <v>1</v>
      </c>
      <c r="G17353" t="s">
        <v>52955</v>
      </c>
      <c r="H17353" t="s">
        <v>56049</v>
      </c>
      <c r="Y17353" t="s">
        <v>57791</v>
      </c>
    </row>
    <row r="17354" spans="1:25" x14ac:dyDescent="0.25">
      <c r="A17354" t="str">
        <f>"146715829595"</f>
        <v>146715829595</v>
      </c>
      <c r="B17354" t="s">
        <v>96</v>
      </c>
      <c r="C17354" t="s">
        <v>695</v>
      </c>
      <c r="D17354" t="s">
        <v>22550</v>
      </c>
      <c r="F17354" t="s">
        <v>1</v>
      </c>
      <c r="G17354" t="s">
        <v>52955</v>
      </c>
      <c r="H17354" t="s">
        <v>53198</v>
      </c>
      <c r="Y17354" t="s">
        <v>55699</v>
      </c>
    </row>
    <row r="17355" spans="1:25" x14ac:dyDescent="0.25">
      <c r="A17355" t="str">
        <f>"146811897476"</f>
        <v>146811897476</v>
      </c>
      <c r="B17355" t="s">
        <v>290</v>
      </c>
      <c r="C17355" t="s">
        <v>290</v>
      </c>
      <c r="D17355" t="s">
        <v>43206</v>
      </c>
      <c r="F17355" t="s">
        <v>1</v>
      </c>
      <c r="G17355" t="s">
        <v>52955</v>
      </c>
      <c r="H17355" t="s">
        <v>56426</v>
      </c>
      <c r="J17355" t="s">
        <v>57792</v>
      </c>
      <c r="P17355" t="s">
        <v>21363</v>
      </c>
      <c r="Y17355" t="s">
        <v>57793</v>
      </c>
    </row>
    <row r="17356" spans="1:25" x14ac:dyDescent="0.25">
      <c r="A17356" t="str">
        <f>"146993706831"</f>
        <v>146993706831</v>
      </c>
      <c r="B17356" t="s">
        <v>803</v>
      </c>
      <c r="C17356" t="s">
        <v>3088</v>
      </c>
      <c r="D17356" t="s">
        <v>57794</v>
      </c>
      <c r="E17356">
        <v>425001</v>
      </c>
      <c r="F17356" t="s">
        <v>1</v>
      </c>
      <c r="G17356" t="s">
        <v>52955</v>
      </c>
      <c r="H17356" t="s">
        <v>53801</v>
      </c>
      <c r="Y17356" t="s">
        <v>57795</v>
      </c>
    </row>
    <row r="17357" spans="1:25" x14ac:dyDescent="0.25">
      <c r="A17357" t="str">
        <f>"147426004878"</f>
        <v>147426004878</v>
      </c>
      <c r="B17357" t="s">
        <v>300</v>
      </c>
      <c r="C17357" t="s">
        <v>301</v>
      </c>
      <c r="D17357" t="s">
        <v>28059</v>
      </c>
      <c r="E17357">
        <v>425008</v>
      </c>
      <c r="F17357" t="s">
        <v>1</v>
      </c>
      <c r="G17357" t="s">
        <v>52955</v>
      </c>
      <c r="H17357" t="s">
        <v>55158</v>
      </c>
      <c r="Y17357" t="s">
        <v>57796</v>
      </c>
    </row>
    <row r="17358" spans="1:25" x14ac:dyDescent="0.25">
      <c r="A17358" t="str">
        <f>"147449359279"</f>
        <v>147449359279</v>
      </c>
      <c r="B17358" t="s">
        <v>1758</v>
      </c>
      <c r="C17358" t="s">
        <v>8089</v>
      </c>
      <c r="D17358" t="s">
        <v>57797</v>
      </c>
      <c r="E17358">
        <v>425000</v>
      </c>
      <c r="F17358" t="s">
        <v>1</v>
      </c>
      <c r="G17358" t="s">
        <v>52955</v>
      </c>
      <c r="H17358" t="s">
        <v>53783</v>
      </c>
      <c r="J17358" t="s">
        <v>55004</v>
      </c>
      <c r="P17358" t="s">
        <v>2079</v>
      </c>
      <c r="Q17358" t="s">
        <v>55005</v>
      </c>
      <c r="V17358" t="s">
        <v>57798</v>
      </c>
      <c r="Y17358" t="s">
        <v>57799</v>
      </c>
    </row>
    <row r="17359" spans="1:25" x14ac:dyDescent="0.25">
      <c r="A17359" t="str">
        <f>"147562865395"</f>
        <v>147562865395</v>
      </c>
      <c r="B17359" t="s">
        <v>462</v>
      </c>
      <c r="C17359" t="s">
        <v>12544</v>
      </c>
      <c r="D17359" t="s">
        <v>57800</v>
      </c>
      <c r="E17359">
        <v>425000</v>
      </c>
      <c r="F17359" t="s">
        <v>1</v>
      </c>
      <c r="G17359" t="s">
        <v>52955</v>
      </c>
      <c r="H17359" t="s">
        <v>53460</v>
      </c>
      <c r="I17359" t="s">
        <v>57801</v>
      </c>
      <c r="L17359" t="s">
        <v>57802</v>
      </c>
      <c r="M17359" t="s">
        <v>57803</v>
      </c>
      <c r="Y17359" t="s">
        <v>53463</v>
      </c>
    </row>
    <row r="17360" spans="1:25" x14ac:dyDescent="0.25">
      <c r="A17360" t="str">
        <f>"147695200591"</f>
        <v>147695200591</v>
      </c>
      <c r="B17360" t="s">
        <v>32</v>
      </c>
      <c r="C17360" t="s">
        <v>777</v>
      </c>
      <c r="D17360" t="s">
        <v>57804</v>
      </c>
      <c r="E17360">
        <v>425009</v>
      </c>
      <c r="F17360" t="s">
        <v>1</v>
      </c>
      <c r="G17360" t="s">
        <v>52955</v>
      </c>
      <c r="H17360" t="s">
        <v>57805</v>
      </c>
      <c r="I17360" t="s">
        <v>57806</v>
      </c>
      <c r="P17360" t="s">
        <v>8655</v>
      </c>
      <c r="Y17360" t="s">
        <v>57807</v>
      </c>
    </row>
    <row r="17361" spans="1:25" x14ac:dyDescent="0.25">
      <c r="A17361" t="str">
        <f>"147780701323"</f>
        <v>147780701323</v>
      </c>
      <c r="B17361" t="s">
        <v>18</v>
      </c>
      <c r="C17361" t="s">
        <v>57810</v>
      </c>
      <c r="D17361" t="s">
        <v>57808</v>
      </c>
      <c r="E17361">
        <v>425003</v>
      </c>
      <c r="F17361" t="s">
        <v>1</v>
      </c>
      <c r="G17361" t="s">
        <v>52955</v>
      </c>
      <c r="H17361" t="s">
        <v>57809</v>
      </c>
      <c r="Y17361" t="s">
        <v>57811</v>
      </c>
    </row>
    <row r="17362" spans="1:25" x14ac:dyDescent="0.25">
      <c r="A17362" t="str">
        <f>"147803491404"</f>
        <v>147803491404</v>
      </c>
      <c r="B17362" t="s">
        <v>224</v>
      </c>
      <c r="C17362" t="s">
        <v>26269</v>
      </c>
      <c r="D17362" t="s">
        <v>57812</v>
      </c>
      <c r="E17362">
        <v>425005</v>
      </c>
      <c r="F17362" t="s">
        <v>1</v>
      </c>
      <c r="G17362" t="s">
        <v>52955</v>
      </c>
      <c r="H17362" t="s">
        <v>54814</v>
      </c>
      <c r="J17362" t="s">
        <v>57813</v>
      </c>
      <c r="P17362" t="s">
        <v>11587</v>
      </c>
      <c r="Q17362" t="s">
        <v>57814</v>
      </c>
      <c r="Y17362" t="s">
        <v>57815</v>
      </c>
    </row>
    <row r="17363" spans="1:25" x14ac:dyDescent="0.25">
      <c r="A17363" t="str">
        <f>"147863434869"</f>
        <v>147863434869</v>
      </c>
      <c r="B17363" t="s">
        <v>930</v>
      </c>
      <c r="C17363" t="s">
        <v>1096</v>
      </c>
      <c r="D17363" t="s">
        <v>57816</v>
      </c>
      <c r="F17363" t="s">
        <v>1</v>
      </c>
      <c r="G17363" t="s">
        <v>52955</v>
      </c>
      <c r="H17363" t="s">
        <v>56737</v>
      </c>
      <c r="J17363" t="s">
        <v>57817</v>
      </c>
      <c r="P17363" t="s">
        <v>55551</v>
      </c>
      <c r="Y17363" t="s">
        <v>57818</v>
      </c>
    </row>
    <row r="17364" spans="1:25" x14ac:dyDescent="0.25">
      <c r="A17364" t="str">
        <f>"147865734515"</f>
        <v>147865734515</v>
      </c>
      <c r="B17364" t="s">
        <v>703</v>
      </c>
      <c r="C17364" t="s">
        <v>2129</v>
      </c>
      <c r="D17364" t="s">
        <v>2129</v>
      </c>
      <c r="E17364">
        <v>425003</v>
      </c>
      <c r="F17364" t="s">
        <v>1</v>
      </c>
      <c r="G17364" t="s">
        <v>52955</v>
      </c>
      <c r="H17364" t="s">
        <v>57819</v>
      </c>
      <c r="J17364" t="s">
        <v>57820</v>
      </c>
      <c r="P17364" t="s">
        <v>1505</v>
      </c>
      <c r="Y17364" t="s">
        <v>57821</v>
      </c>
    </row>
    <row r="17365" spans="1:25" x14ac:dyDescent="0.25">
      <c r="A17365" t="str">
        <f>"147994294885"</f>
        <v>147994294885</v>
      </c>
      <c r="B17365" t="s">
        <v>687</v>
      </c>
      <c r="C17365" t="s">
        <v>57824</v>
      </c>
      <c r="D17365" t="s">
        <v>52379</v>
      </c>
      <c r="E17365">
        <v>425000</v>
      </c>
      <c r="F17365" t="s">
        <v>1</v>
      </c>
      <c r="G17365" t="s">
        <v>52955</v>
      </c>
      <c r="H17365" t="s">
        <v>55251</v>
      </c>
      <c r="I17365" t="s">
        <v>57304</v>
      </c>
      <c r="L17365" t="s">
        <v>57822</v>
      </c>
      <c r="M17365" t="s">
        <v>57823</v>
      </c>
      <c r="P17365" t="s">
        <v>27</v>
      </c>
      <c r="U17365" t="s">
        <v>57825</v>
      </c>
      <c r="V17365" t="s">
        <v>57826</v>
      </c>
      <c r="Y17365" t="s">
        <v>57827</v>
      </c>
    </row>
    <row r="17366" spans="1:25" x14ac:dyDescent="0.25">
      <c r="A17366" t="str">
        <f>"148202589201"</f>
        <v>148202589201</v>
      </c>
      <c r="B17366" t="s">
        <v>348</v>
      </c>
      <c r="C17366" t="s">
        <v>13269</v>
      </c>
      <c r="D17366" t="s">
        <v>57828</v>
      </c>
      <c r="E17366">
        <v>425000</v>
      </c>
      <c r="F17366" t="s">
        <v>1</v>
      </c>
      <c r="G17366" t="s">
        <v>52955</v>
      </c>
      <c r="H17366" t="s">
        <v>53689</v>
      </c>
      <c r="I17366" t="s">
        <v>53690</v>
      </c>
      <c r="L17366" t="s">
        <v>57829</v>
      </c>
      <c r="M17366" t="s">
        <v>57830</v>
      </c>
      <c r="P17366" t="s">
        <v>280</v>
      </c>
      <c r="Y17366" t="s">
        <v>55456</v>
      </c>
    </row>
    <row r="17367" spans="1:25" x14ac:dyDescent="0.25">
      <c r="A17367" t="str">
        <f>"148271846946"</f>
        <v>148271846946</v>
      </c>
      <c r="B17367" t="s">
        <v>574</v>
      </c>
      <c r="C17367" t="s">
        <v>29091</v>
      </c>
      <c r="D17367" t="s">
        <v>7316</v>
      </c>
      <c r="F17367" t="s">
        <v>1</v>
      </c>
      <c r="G17367" t="s">
        <v>52955</v>
      </c>
      <c r="H17367" t="s">
        <v>57390</v>
      </c>
      <c r="P17367" t="s">
        <v>7436</v>
      </c>
      <c r="Y17367" t="s">
        <v>57831</v>
      </c>
    </row>
    <row r="17368" spans="1:25" x14ac:dyDescent="0.25">
      <c r="A17368" t="str">
        <f>"148346953769"</f>
        <v>148346953769</v>
      </c>
      <c r="B17368" t="s">
        <v>1573</v>
      </c>
      <c r="C17368" t="s">
        <v>57834</v>
      </c>
      <c r="D17368" t="s">
        <v>57832</v>
      </c>
      <c r="F17368" t="s">
        <v>1</v>
      </c>
      <c r="G17368" t="s">
        <v>52955</v>
      </c>
      <c r="H17368" t="s">
        <v>56707</v>
      </c>
      <c r="J17368" t="s">
        <v>57833</v>
      </c>
      <c r="P17368" t="s">
        <v>57835</v>
      </c>
      <c r="V17368" t="s">
        <v>57836</v>
      </c>
      <c r="Y17368" t="s">
        <v>57837</v>
      </c>
    </row>
    <row r="17369" spans="1:25" x14ac:dyDescent="0.25">
      <c r="A17369" t="str">
        <f>"148375950454"</f>
        <v>148375950454</v>
      </c>
      <c r="B17369" t="s">
        <v>1573</v>
      </c>
      <c r="C17369" t="s">
        <v>57840</v>
      </c>
      <c r="D17369" t="s">
        <v>57838</v>
      </c>
      <c r="E17369">
        <v>425000</v>
      </c>
      <c r="F17369" t="s">
        <v>1</v>
      </c>
      <c r="G17369" t="s">
        <v>52955</v>
      </c>
      <c r="H17369" t="s">
        <v>54206</v>
      </c>
      <c r="J17369" t="s">
        <v>57839</v>
      </c>
      <c r="P17369" t="s">
        <v>19360</v>
      </c>
      <c r="V17369" t="s">
        <v>57841</v>
      </c>
      <c r="Y17369" t="s">
        <v>55783</v>
      </c>
    </row>
    <row r="17370" spans="1:25" x14ac:dyDescent="0.25">
      <c r="A17370" t="str">
        <f>"148577254462"</f>
        <v>148577254462</v>
      </c>
      <c r="B17370" t="s">
        <v>25</v>
      </c>
      <c r="C17370" t="s">
        <v>54377</v>
      </c>
      <c r="D17370" t="s">
        <v>30652</v>
      </c>
      <c r="F17370" t="s">
        <v>1</v>
      </c>
      <c r="G17370" t="s">
        <v>52955</v>
      </c>
      <c r="H17370" t="s">
        <v>53592</v>
      </c>
      <c r="Y17370" t="s">
        <v>57842</v>
      </c>
    </row>
    <row r="17371" spans="1:25" x14ac:dyDescent="0.25">
      <c r="A17371" t="str">
        <f>"148780770311"</f>
        <v>148780770311</v>
      </c>
      <c r="B17371" t="s">
        <v>96</v>
      </c>
      <c r="C17371" t="s">
        <v>12300</v>
      </c>
      <c r="D17371" t="s">
        <v>57843</v>
      </c>
      <c r="F17371" t="s">
        <v>1</v>
      </c>
      <c r="G17371" t="s">
        <v>52955</v>
      </c>
      <c r="H17371" t="s">
        <v>53261</v>
      </c>
      <c r="J17371" t="s">
        <v>57844</v>
      </c>
      <c r="P17371" t="s">
        <v>133</v>
      </c>
      <c r="R17371" t="s">
        <v>57845</v>
      </c>
      <c r="Y17371" t="s">
        <v>55966</v>
      </c>
    </row>
    <row r="17372" spans="1:25" x14ac:dyDescent="0.25">
      <c r="A17372" t="str">
        <f>"149040650511"</f>
        <v>149040650511</v>
      </c>
      <c r="B17372" t="s">
        <v>25</v>
      </c>
      <c r="C17372" t="s">
        <v>59</v>
      </c>
      <c r="D17372" t="s">
        <v>57846</v>
      </c>
      <c r="E17372">
        <v>425000</v>
      </c>
      <c r="F17372" t="s">
        <v>1</v>
      </c>
      <c r="G17372" t="s">
        <v>52955</v>
      </c>
      <c r="H17372" t="s">
        <v>53833</v>
      </c>
      <c r="J17372" t="s">
        <v>57847</v>
      </c>
      <c r="P17372" t="s">
        <v>390</v>
      </c>
      <c r="Q17372" t="s">
        <v>57848</v>
      </c>
      <c r="Y17372" t="s">
        <v>54367</v>
      </c>
    </row>
    <row r="17373" spans="1:25" x14ac:dyDescent="0.25">
      <c r="A17373" t="str">
        <f>"149435962704"</f>
        <v>149435962704</v>
      </c>
      <c r="B17373" t="s">
        <v>1611</v>
      </c>
      <c r="C17373" t="s">
        <v>2214</v>
      </c>
      <c r="D17373" t="s">
        <v>57849</v>
      </c>
      <c r="E17373">
        <v>425000</v>
      </c>
      <c r="F17373" t="s">
        <v>1</v>
      </c>
      <c r="G17373" t="s">
        <v>52955</v>
      </c>
      <c r="H17373" t="s">
        <v>57850</v>
      </c>
      <c r="I17373" t="s">
        <v>57851</v>
      </c>
      <c r="M17373" t="s">
        <v>57852</v>
      </c>
      <c r="P17373" t="s">
        <v>4998</v>
      </c>
      <c r="Y17373" t="s">
        <v>57853</v>
      </c>
    </row>
    <row r="17374" spans="1:25" x14ac:dyDescent="0.25">
      <c r="A17374" t="str">
        <f>"149690127391"</f>
        <v>149690127391</v>
      </c>
      <c r="B17374" t="s">
        <v>803</v>
      </c>
      <c r="C17374" t="s">
        <v>2616</v>
      </c>
      <c r="D17374" t="s">
        <v>57854</v>
      </c>
      <c r="E17374">
        <v>425009</v>
      </c>
      <c r="F17374" t="s">
        <v>1</v>
      </c>
      <c r="G17374" t="s">
        <v>52955</v>
      </c>
      <c r="H17374" t="s">
        <v>52993</v>
      </c>
      <c r="J17374" t="s">
        <v>57855</v>
      </c>
      <c r="L17374" t="s">
        <v>57856</v>
      </c>
      <c r="M17374" t="s">
        <v>57857</v>
      </c>
      <c r="P17374" t="s">
        <v>20</v>
      </c>
      <c r="Y17374" t="s">
        <v>52996</v>
      </c>
    </row>
    <row r="17375" spans="1:25" x14ac:dyDescent="0.25">
      <c r="A17375" t="str">
        <f>"149712770396"</f>
        <v>149712770396</v>
      </c>
      <c r="B17375" t="s">
        <v>25</v>
      </c>
      <c r="C17375" t="s">
        <v>13425</v>
      </c>
      <c r="D17375" t="s">
        <v>3041</v>
      </c>
      <c r="E17375">
        <v>425001</v>
      </c>
      <c r="F17375" t="s">
        <v>1</v>
      </c>
      <c r="G17375" t="s">
        <v>52955</v>
      </c>
      <c r="H17375" t="s">
        <v>57858</v>
      </c>
      <c r="Y17375" t="s">
        <v>57859</v>
      </c>
    </row>
    <row r="17376" spans="1:25" x14ac:dyDescent="0.25">
      <c r="A17376" t="str">
        <f>"149884557852"</f>
        <v>149884557852</v>
      </c>
      <c r="B17376" t="s">
        <v>2062</v>
      </c>
      <c r="C17376" t="s">
        <v>57863</v>
      </c>
      <c r="D17376" t="s">
        <v>57860</v>
      </c>
      <c r="E17376">
        <v>425011</v>
      </c>
      <c r="F17376" t="s">
        <v>1</v>
      </c>
      <c r="G17376" t="s">
        <v>52955</v>
      </c>
      <c r="H17376" t="s">
        <v>57861</v>
      </c>
      <c r="J17376" t="s">
        <v>57862</v>
      </c>
      <c r="P17376" t="s">
        <v>1160</v>
      </c>
      <c r="Y17376" t="s">
        <v>57864</v>
      </c>
    </row>
    <row r="17377" spans="1:25" x14ac:dyDescent="0.25">
      <c r="A17377" t="str">
        <f>"150130319107"</f>
        <v>150130319107</v>
      </c>
      <c r="B17377" t="s">
        <v>1152</v>
      </c>
      <c r="C17377" t="s">
        <v>1153</v>
      </c>
      <c r="D17377" t="s">
        <v>57865</v>
      </c>
      <c r="E17377">
        <v>425005</v>
      </c>
      <c r="F17377" t="s">
        <v>1</v>
      </c>
      <c r="G17377" t="s">
        <v>52955</v>
      </c>
      <c r="H17377" t="s">
        <v>54351</v>
      </c>
      <c r="Y17377" t="s">
        <v>57866</v>
      </c>
    </row>
    <row r="17378" spans="1:25" x14ac:dyDescent="0.25">
      <c r="A17378" t="str">
        <f>"150220592599"</f>
        <v>150220592599</v>
      </c>
      <c r="B17378" t="s">
        <v>88</v>
      </c>
      <c r="C17378" t="s">
        <v>57869</v>
      </c>
      <c r="D17378" t="s">
        <v>56865</v>
      </c>
      <c r="F17378" t="s">
        <v>1</v>
      </c>
      <c r="G17378" t="s">
        <v>52955</v>
      </c>
      <c r="H17378" t="s">
        <v>55928</v>
      </c>
      <c r="J17378" t="s">
        <v>57867</v>
      </c>
      <c r="L17378" t="s">
        <v>56867</v>
      </c>
      <c r="M17378" t="s">
        <v>57868</v>
      </c>
      <c r="T17378" t="s">
        <v>57870</v>
      </c>
      <c r="Y17378" t="s">
        <v>55931</v>
      </c>
    </row>
    <row r="17379" spans="1:25" x14ac:dyDescent="0.25">
      <c r="A17379" t="str">
        <f>"150229897176"</f>
        <v>150229897176</v>
      </c>
      <c r="B17379" t="s">
        <v>1475</v>
      </c>
      <c r="C17379" t="s">
        <v>1476</v>
      </c>
      <c r="D17379" t="s">
        <v>57871</v>
      </c>
      <c r="E17379">
        <v>425000</v>
      </c>
      <c r="F17379" t="s">
        <v>1</v>
      </c>
      <c r="G17379" t="s">
        <v>52955</v>
      </c>
      <c r="H17379" t="s">
        <v>53093</v>
      </c>
      <c r="Y17379" t="s">
        <v>53099</v>
      </c>
    </row>
    <row r="17380" spans="1:25" x14ac:dyDescent="0.25">
      <c r="A17380" t="str">
        <f>"150786759808"</f>
        <v>150786759808</v>
      </c>
      <c r="B17380" t="s">
        <v>1046</v>
      </c>
      <c r="C17380" t="s">
        <v>32452</v>
      </c>
      <c r="D17380" t="s">
        <v>57872</v>
      </c>
      <c r="E17380">
        <v>425000</v>
      </c>
      <c r="F17380" t="s">
        <v>1</v>
      </c>
      <c r="G17380" t="s">
        <v>52955</v>
      </c>
      <c r="H17380" t="s">
        <v>54052</v>
      </c>
      <c r="Y17380" t="s">
        <v>57873</v>
      </c>
    </row>
    <row r="17381" spans="1:25" x14ac:dyDescent="0.25">
      <c r="A17381" t="str">
        <f>"150806867963"</f>
        <v>150806867963</v>
      </c>
      <c r="B17381" t="s">
        <v>530</v>
      </c>
      <c r="C17381" t="s">
        <v>23950</v>
      </c>
      <c r="D17381" t="s">
        <v>23950</v>
      </c>
      <c r="F17381" t="s">
        <v>1</v>
      </c>
      <c r="G17381" t="s">
        <v>52955</v>
      </c>
      <c r="H17381" t="s">
        <v>57874</v>
      </c>
      <c r="Y17381" t="s">
        <v>57875</v>
      </c>
    </row>
    <row r="17382" spans="1:25" x14ac:dyDescent="0.25">
      <c r="A17382" t="str">
        <f>"150843315764"</f>
        <v>150843315764</v>
      </c>
      <c r="B17382" t="s">
        <v>1475</v>
      </c>
      <c r="C17382" t="s">
        <v>1476</v>
      </c>
      <c r="D17382" t="s">
        <v>57876</v>
      </c>
      <c r="F17382" t="s">
        <v>1</v>
      </c>
      <c r="G17382" t="s">
        <v>52955</v>
      </c>
      <c r="H17382" t="s">
        <v>53198</v>
      </c>
      <c r="Y17382" t="s">
        <v>57877</v>
      </c>
    </row>
    <row r="17383" spans="1:25" x14ac:dyDescent="0.25">
      <c r="A17383" t="str">
        <f>"150879299384"</f>
        <v>150879299384</v>
      </c>
      <c r="B17383" t="s">
        <v>2601</v>
      </c>
      <c r="C17383" t="s">
        <v>5375</v>
      </c>
      <c r="D17383" t="s">
        <v>26709</v>
      </c>
      <c r="E17383">
        <v>425009</v>
      </c>
      <c r="F17383" t="s">
        <v>1</v>
      </c>
      <c r="G17383" t="s">
        <v>52955</v>
      </c>
      <c r="H17383" t="s">
        <v>57878</v>
      </c>
      <c r="I17383" t="s">
        <v>26711</v>
      </c>
      <c r="M17383" t="s">
        <v>57879</v>
      </c>
      <c r="P17383" t="s">
        <v>216</v>
      </c>
      <c r="Y17383" t="s">
        <v>54573</v>
      </c>
    </row>
    <row r="17384" spans="1:25" x14ac:dyDescent="0.25">
      <c r="A17384" t="str">
        <f>"150977129669"</f>
        <v>150977129669</v>
      </c>
      <c r="B17384" t="s">
        <v>408</v>
      </c>
      <c r="C17384" t="s">
        <v>409</v>
      </c>
      <c r="D17384" t="s">
        <v>31947</v>
      </c>
      <c r="F17384" t="s">
        <v>1</v>
      </c>
      <c r="G17384" t="s">
        <v>52955</v>
      </c>
      <c r="H17384" t="s">
        <v>53198</v>
      </c>
      <c r="Y17384" t="s">
        <v>57880</v>
      </c>
    </row>
    <row r="17385" spans="1:25" x14ac:dyDescent="0.25">
      <c r="A17385" t="str">
        <f>"150990184155"</f>
        <v>150990184155</v>
      </c>
      <c r="B17385" t="s">
        <v>18</v>
      </c>
      <c r="C17385" t="s">
        <v>16412</v>
      </c>
      <c r="D17385" t="s">
        <v>57881</v>
      </c>
      <c r="F17385" t="s">
        <v>1</v>
      </c>
      <c r="G17385" t="s">
        <v>52955</v>
      </c>
      <c r="H17385" t="s">
        <v>53727</v>
      </c>
      <c r="Y17385" t="s">
        <v>57882</v>
      </c>
    </row>
    <row r="17386" spans="1:25" x14ac:dyDescent="0.25">
      <c r="A17386" t="str">
        <f>"151088468209"</f>
        <v>151088468209</v>
      </c>
      <c r="B17386" t="s">
        <v>379</v>
      </c>
      <c r="C17386" t="s">
        <v>53607</v>
      </c>
      <c r="D17386" t="s">
        <v>57883</v>
      </c>
      <c r="F17386" t="s">
        <v>1</v>
      </c>
      <c r="G17386" t="s">
        <v>52955</v>
      </c>
      <c r="H17386" t="s">
        <v>53215</v>
      </c>
      <c r="Y17386" t="s">
        <v>57884</v>
      </c>
    </row>
    <row r="17387" spans="1:25" x14ac:dyDescent="0.25">
      <c r="A17387" t="str">
        <f>"151213484332"</f>
        <v>151213484332</v>
      </c>
      <c r="B17387" t="s">
        <v>790</v>
      </c>
      <c r="C17387" t="s">
        <v>8877</v>
      </c>
      <c r="D17387" t="s">
        <v>16115</v>
      </c>
      <c r="E17387">
        <v>425011</v>
      </c>
      <c r="F17387" t="s">
        <v>1</v>
      </c>
      <c r="G17387" t="s">
        <v>52955</v>
      </c>
      <c r="H17387" t="s">
        <v>54593</v>
      </c>
      <c r="J17387" t="s">
        <v>57885</v>
      </c>
      <c r="P17387" t="s">
        <v>1760</v>
      </c>
      <c r="Y17387" t="s">
        <v>57886</v>
      </c>
    </row>
    <row r="17388" spans="1:25" x14ac:dyDescent="0.25">
      <c r="A17388" t="str">
        <f>"151324701846"</f>
        <v>151324701846</v>
      </c>
      <c r="B17388" t="s">
        <v>3573</v>
      </c>
      <c r="C17388" t="s">
        <v>57888</v>
      </c>
      <c r="D17388" t="s">
        <v>54211</v>
      </c>
      <c r="E17388">
        <v>425000</v>
      </c>
      <c r="F17388" t="s">
        <v>1</v>
      </c>
      <c r="G17388" t="s">
        <v>52955</v>
      </c>
      <c r="H17388" t="s">
        <v>53093</v>
      </c>
      <c r="J17388" t="s">
        <v>57887</v>
      </c>
      <c r="L17388" t="s">
        <v>54214</v>
      </c>
      <c r="M17388" t="s">
        <v>54215</v>
      </c>
      <c r="P17388" t="s">
        <v>1232</v>
      </c>
      <c r="Y17388" t="s">
        <v>53099</v>
      </c>
    </row>
    <row r="17389" spans="1:25" x14ac:dyDescent="0.25">
      <c r="A17389" t="str">
        <f>"151461017958"</f>
        <v>151461017958</v>
      </c>
      <c r="B17389" t="s">
        <v>1046</v>
      </c>
      <c r="C17389" t="s">
        <v>14832</v>
      </c>
      <c r="D17389" t="s">
        <v>57889</v>
      </c>
      <c r="E17389">
        <v>425000</v>
      </c>
      <c r="F17389" t="s">
        <v>1</v>
      </c>
      <c r="G17389" t="s">
        <v>52955</v>
      </c>
      <c r="H17389" t="s">
        <v>55381</v>
      </c>
      <c r="Y17389" t="s">
        <v>57890</v>
      </c>
    </row>
    <row r="17390" spans="1:25" x14ac:dyDescent="0.25">
      <c r="A17390" t="str">
        <f>"151464262482"</f>
        <v>151464262482</v>
      </c>
      <c r="B17390" t="s">
        <v>930</v>
      </c>
      <c r="C17390" t="s">
        <v>23108</v>
      </c>
      <c r="D17390" t="s">
        <v>35042</v>
      </c>
      <c r="E17390">
        <v>425011</v>
      </c>
      <c r="F17390" t="s">
        <v>1</v>
      </c>
      <c r="G17390" t="s">
        <v>52955</v>
      </c>
      <c r="H17390" t="s">
        <v>57891</v>
      </c>
      <c r="J17390" t="s">
        <v>57892</v>
      </c>
      <c r="P17390" t="s">
        <v>17390</v>
      </c>
      <c r="Y17390" t="s">
        <v>57893</v>
      </c>
    </row>
    <row r="17391" spans="1:25" x14ac:dyDescent="0.25">
      <c r="A17391" t="str">
        <f>"151583112720"</f>
        <v>151583112720</v>
      </c>
      <c r="B17391" t="s">
        <v>456</v>
      </c>
      <c r="C17391" t="s">
        <v>2040</v>
      </c>
      <c r="D17391" t="s">
        <v>57894</v>
      </c>
      <c r="E17391">
        <v>425000</v>
      </c>
      <c r="F17391" t="s">
        <v>1</v>
      </c>
      <c r="G17391" t="s">
        <v>52955</v>
      </c>
      <c r="H17391" t="s">
        <v>57895</v>
      </c>
      <c r="J17391" t="s">
        <v>51680</v>
      </c>
      <c r="L17391" t="s">
        <v>57896</v>
      </c>
      <c r="P17391" t="s">
        <v>280</v>
      </c>
      <c r="Y17391" t="s">
        <v>57897</v>
      </c>
    </row>
    <row r="17392" spans="1:25" x14ac:dyDescent="0.25">
      <c r="A17392" t="str">
        <f>"151596154228"</f>
        <v>151596154228</v>
      </c>
      <c r="B17392" t="s">
        <v>930</v>
      </c>
      <c r="C17392" t="s">
        <v>927</v>
      </c>
      <c r="D17392" t="s">
        <v>927</v>
      </c>
      <c r="F17392" t="s">
        <v>1</v>
      </c>
      <c r="G17392" t="s">
        <v>52955</v>
      </c>
      <c r="H17392" t="s">
        <v>56085</v>
      </c>
      <c r="Y17392" t="s">
        <v>57898</v>
      </c>
    </row>
    <row r="17393" spans="1:25" x14ac:dyDescent="0.25">
      <c r="A17393" t="str">
        <f>"151651559908"</f>
        <v>151651559908</v>
      </c>
      <c r="B17393" t="s">
        <v>290</v>
      </c>
      <c r="C17393" t="s">
        <v>44826</v>
      </c>
      <c r="D17393" t="s">
        <v>57899</v>
      </c>
      <c r="E17393">
        <v>425005</v>
      </c>
      <c r="F17393" t="s">
        <v>1</v>
      </c>
      <c r="G17393" t="s">
        <v>52955</v>
      </c>
      <c r="H17393" t="s">
        <v>57900</v>
      </c>
      <c r="P17393" t="s">
        <v>23588</v>
      </c>
      <c r="Y17393" t="s">
        <v>57901</v>
      </c>
    </row>
    <row r="17394" spans="1:25" x14ac:dyDescent="0.25">
      <c r="A17394" t="str">
        <f>"151675993186"</f>
        <v>151675993186</v>
      </c>
      <c r="B17394" t="s">
        <v>930</v>
      </c>
      <c r="C17394" t="s">
        <v>10263</v>
      </c>
      <c r="D17394" t="s">
        <v>1265</v>
      </c>
      <c r="F17394" t="s">
        <v>1</v>
      </c>
      <c r="G17394" t="s">
        <v>52955</v>
      </c>
      <c r="H17394" t="s">
        <v>55928</v>
      </c>
      <c r="J17394" t="s">
        <v>57211</v>
      </c>
      <c r="P17394" t="s">
        <v>2457</v>
      </c>
      <c r="Y17394" t="s">
        <v>57902</v>
      </c>
    </row>
    <row r="17395" spans="1:25" x14ac:dyDescent="0.25">
      <c r="A17395" t="str">
        <f>"151800629788"</f>
        <v>151800629788</v>
      </c>
      <c r="B17395" t="s">
        <v>1222</v>
      </c>
      <c r="C17395" t="s">
        <v>12417</v>
      </c>
      <c r="D17395" t="s">
        <v>36886</v>
      </c>
      <c r="F17395" t="s">
        <v>1</v>
      </c>
      <c r="G17395" t="s">
        <v>52955</v>
      </c>
      <c r="H17395" t="s">
        <v>54589</v>
      </c>
      <c r="Y17395" t="s">
        <v>57903</v>
      </c>
    </row>
    <row r="17396" spans="1:25" x14ac:dyDescent="0.25">
      <c r="A17396" t="str">
        <f>"152030834992"</f>
        <v>152030834992</v>
      </c>
      <c r="B17396" t="s">
        <v>1315</v>
      </c>
      <c r="C17396" t="s">
        <v>4274</v>
      </c>
      <c r="D17396" t="s">
        <v>57904</v>
      </c>
      <c r="F17396" t="s">
        <v>1</v>
      </c>
      <c r="G17396" t="s">
        <v>52955</v>
      </c>
      <c r="H17396" t="s">
        <v>56437</v>
      </c>
      <c r="Y17396" t="s">
        <v>57905</v>
      </c>
    </row>
    <row r="17397" spans="1:25" x14ac:dyDescent="0.25">
      <c r="A17397" t="str">
        <f>"152082487116"</f>
        <v>152082487116</v>
      </c>
      <c r="B17397" t="s">
        <v>3652</v>
      </c>
      <c r="C17397" t="s">
        <v>3685</v>
      </c>
      <c r="D17397" t="s">
        <v>7296</v>
      </c>
      <c r="E17397">
        <v>425001</v>
      </c>
      <c r="F17397" t="s">
        <v>1</v>
      </c>
      <c r="G17397" t="s">
        <v>52955</v>
      </c>
      <c r="H17397" t="s">
        <v>53185</v>
      </c>
      <c r="P17397" t="s">
        <v>20</v>
      </c>
      <c r="Y17397" t="s">
        <v>53189</v>
      </c>
    </row>
    <row r="17398" spans="1:25" x14ac:dyDescent="0.25">
      <c r="A17398" t="str">
        <f>"152600555048"</f>
        <v>152600555048</v>
      </c>
      <c r="B17398" t="s">
        <v>397</v>
      </c>
      <c r="C17398" t="s">
        <v>1432</v>
      </c>
      <c r="D17398" t="s">
        <v>57906</v>
      </c>
      <c r="F17398" t="s">
        <v>1</v>
      </c>
      <c r="G17398" t="s">
        <v>52955</v>
      </c>
      <c r="H17398" t="s">
        <v>57907</v>
      </c>
      <c r="J17398" t="s">
        <v>57908</v>
      </c>
      <c r="P17398" t="s">
        <v>23588</v>
      </c>
      <c r="Y17398" t="s">
        <v>57909</v>
      </c>
    </row>
    <row r="17399" spans="1:25" x14ac:dyDescent="0.25">
      <c r="A17399" t="str">
        <f>"152880700728"</f>
        <v>152880700728</v>
      </c>
      <c r="B17399" t="s">
        <v>574</v>
      </c>
      <c r="C17399" t="s">
        <v>52602</v>
      </c>
      <c r="D17399" t="s">
        <v>57910</v>
      </c>
      <c r="E17399">
        <v>425000</v>
      </c>
      <c r="F17399" t="s">
        <v>1</v>
      </c>
      <c r="G17399" t="s">
        <v>52955</v>
      </c>
      <c r="H17399" t="s">
        <v>55115</v>
      </c>
      <c r="P17399" t="s">
        <v>112</v>
      </c>
      <c r="Y17399" t="s">
        <v>57911</v>
      </c>
    </row>
    <row r="17400" spans="1:25" x14ac:dyDescent="0.25">
      <c r="A17400" t="str">
        <f>"152916103160"</f>
        <v>152916103160</v>
      </c>
      <c r="B17400" t="s">
        <v>96</v>
      </c>
      <c r="C17400" t="s">
        <v>695</v>
      </c>
      <c r="D17400" t="s">
        <v>22550</v>
      </c>
      <c r="F17400" t="s">
        <v>1</v>
      </c>
      <c r="G17400" t="s">
        <v>52955</v>
      </c>
      <c r="H17400" t="s">
        <v>53215</v>
      </c>
      <c r="Y17400" t="s">
        <v>57912</v>
      </c>
    </row>
    <row r="17401" spans="1:25" x14ac:dyDescent="0.25">
      <c r="A17401" t="str">
        <f>"152972682195"</f>
        <v>152972682195</v>
      </c>
      <c r="B17401" t="s">
        <v>574</v>
      </c>
      <c r="C17401" t="s">
        <v>646</v>
      </c>
      <c r="D17401" t="s">
        <v>57913</v>
      </c>
      <c r="E17401">
        <v>425008</v>
      </c>
      <c r="F17401" t="s">
        <v>1</v>
      </c>
      <c r="G17401" t="s">
        <v>52955</v>
      </c>
      <c r="H17401" t="s">
        <v>57914</v>
      </c>
      <c r="P17401" t="s">
        <v>7436</v>
      </c>
      <c r="Y17401" t="s">
        <v>57915</v>
      </c>
    </row>
    <row r="17402" spans="1:25" x14ac:dyDescent="0.25">
      <c r="A17402" t="str">
        <f>"153080790636"</f>
        <v>153080790636</v>
      </c>
      <c r="B17402" t="s">
        <v>348</v>
      </c>
      <c r="C17402" t="s">
        <v>4366</v>
      </c>
      <c r="D17402" t="s">
        <v>57916</v>
      </c>
      <c r="F17402" t="s">
        <v>1</v>
      </c>
      <c r="G17402" t="s">
        <v>52955</v>
      </c>
      <c r="H17402" t="s">
        <v>53198</v>
      </c>
      <c r="Y17402" t="s">
        <v>57917</v>
      </c>
    </row>
    <row r="17403" spans="1:25" x14ac:dyDescent="0.25">
      <c r="A17403" t="str">
        <f>"153240008220"</f>
        <v>153240008220</v>
      </c>
      <c r="B17403" t="s">
        <v>96</v>
      </c>
      <c r="C17403" t="s">
        <v>33433</v>
      </c>
      <c r="D17403" t="s">
        <v>57918</v>
      </c>
      <c r="E17403">
        <v>425008</v>
      </c>
      <c r="F17403" t="s">
        <v>1</v>
      </c>
      <c r="G17403" t="s">
        <v>52955</v>
      </c>
      <c r="H17403" t="s">
        <v>53857</v>
      </c>
      <c r="Y17403" t="s">
        <v>57919</v>
      </c>
    </row>
    <row r="17404" spans="1:25" x14ac:dyDescent="0.25">
      <c r="A17404" t="str">
        <f>"153535527089"</f>
        <v>153535527089</v>
      </c>
      <c r="B17404" t="s">
        <v>430</v>
      </c>
      <c r="C17404" t="s">
        <v>50834</v>
      </c>
      <c r="D17404" t="s">
        <v>56981</v>
      </c>
      <c r="E17404">
        <v>425000</v>
      </c>
      <c r="F17404" t="s">
        <v>1</v>
      </c>
      <c r="G17404" t="s">
        <v>52955</v>
      </c>
      <c r="H17404" t="s">
        <v>53536</v>
      </c>
      <c r="P17404" t="s">
        <v>330</v>
      </c>
      <c r="Y17404" t="s">
        <v>57920</v>
      </c>
    </row>
    <row r="17405" spans="1:25" x14ac:dyDescent="0.25">
      <c r="A17405" t="str">
        <f>"153548988997"</f>
        <v>153548988997</v>
      </c>
      <c r="B17405" t="s">
        <v>117</v>
      </c>
      <c r="C17405" t="s">
        <v>873</v>
      </c>
      <c r="D17405" t="s">
        <v>873</v>
      </c>
      <c r="F17405" t="s">
        <v>1</v>
      </c>
      <c r="G17405" t="s">
        <v>52955</v>
      </c>
      <c r="H17405" t="s">
        <v>55903</v>
      </c>
      <c r="Y17405" t="s">
        <v>57921</v>
      </c>
    </row>
    <row r="17406" spans="1:25" x14ac:dyDescent="0.25">
      <c r="A17406" t="str">
        <f>"153552780328"</f>
        <v>153552780328</v>
      </c>
      <c r="B17406" t="s">
        <v>18</v>
      </c>
      <c r="C17406" t="s">
        <v>13796</v>
      </c>
      <c r="D17406" t="s">
        <v>57922</v>
      </c>
      <c r="E17406">
        <v>425000</v>
      </c>
      <c r="F17406" t="s">
        <v>1</v>
      </c>
      <c r="G17406" t="s">
        <v>52955</v>
      </c>
      <c r="H17406" t="s">
        <v>55935</v>
      </c>
      <c r="J17406" t="s">
        <v>57923</v>
      </c>
      <c r="L17406" t="s">
        <v>57924</v>
      </c>
      <c r="M17406" t="s">
        <v>57925</v>
      </c>
      <c r="P17406" t="s">
        <v>20122</v>
      </c>
      <c r="Y17406" t="s">
        <v>57926</v>
      </c>
    </row>
    <row r="17407" spans="1:25" x14ac:dyDescent="0.25">
      <c r="A17407" t="str">
        <f>"153831392147"</f>
        <v>153831392147</v>
      </c>
      <c r="B17407" t="s">
        <v>624</v>
      </c>
      <c r="C17407" t="s">
        <v>24400</v>
      </c>
      <c r="D17407" t="s">
        <v>24400</v>
      </c>
      <c r="E17407">
        <v>425011</v>
      </c>
      <c r="F17407" t="s">
        <v>1</v>
      </c>
      <c r="G17407" t="s">
        <v>52955</v>
      </c>
      <c r="H17407" t="s">
        <v>53457</v>
      </c>
      <c r="Y17407" t="s">
        <v>57927</v>
      </c>
    </row>
    <row r="17408" spans="1:25" x14ac:dyDescent="0.25">
      <c r="A17408" t="str">
        <f>"153975323528"</f>
        <v>153975323528</v>
      </c>
      <c r="B17408" t="s">
        <v>397</v>
      </c>
      <c r="C17408" t="s">
        <v>1432</v>
      </c>
      <c r="D17408" t="s">
        <v>57928</v>
      </c>
      <c r="F17408" t="s">
        <v>1</v>
      </c>
      <c r="G17408" t="s">
        <v>52955</v>
      </c>
      <c r="H17408" t="s">
        <v>55926</v>
      </c>
      <c r="P17408" t="s">
        <v>2050</v>
      </c>
      <c r="Y17408" t="s">
        <v>57929</v>
      </c>
    </row>
    <row r="17409" spans="1:25" x14ac:dyDescent="0.25">
      <c r="A17409" t="str">
        <f>"154154395099"</f>
        <v>154154395099</v>
      </c>
      <c r="B17409" t="s">
        <v>96</v>
      </c>
      <c r="C17409" t="s">
        <v>24042</v>
      </c>
      <c r="D17409" t="s">
        <v>57930</v>
      </c>
      <c r="F17409" t="s">
        <v>1</v>
      </c>
      <c r="G17409" t="s">
        <v>52955</v>
      </c>
      <c r="H17409" t="s">
        <v>57931</v>
      </c>
      <c r="Y17409" t="s">
        <v>57932</v>
      </c>
    </row>
    <row r="17410" spans="1:25" x14ac:dyDescent="0.25">
      <c r="A17410" t="str">
        <f>"154282115121"</f>
        <v>154282115121</v>
      </c>
      <c r="B17410" t="s">
        <v>3652</v>
      </c>
      <c r="C17410" t="s">
        <v>3685</v>
      </c>
      <c r="D17410" t="s">
        <v>57933</v>
      </c>
      <c r="E17410">
        <v>425000</v>
      </c>
      <c r="F17410" t="s">
        <v>1</v>
      </c>
      <c r="G17410" t="s">
        <v>52955</v>
      </c>
      <c r="H17410" t="s">
        <v>55673</v>
      </c>
      <c r="Y17410" t="s">
        <v>57934</v>
      </c>
    </row>
    <row r="17411" spans="1:25" x14ac:dyDescent="0.25">
      <c r="A17411" t="str">
        <f>"154367564400"</f>
        <v>154367564400</v>
      </c>
      <c r="B17411" t="s">
        <v>1152</v>
      </c>
      <c r="C17411" t="s">
        <v>57936</v>
      </c>
      <c r="D17411" t="s">
        <v>57935</v>
      </c>
      <c r="F17411" t="s">
        <v>1</v>
      </c>
      <c r="G17411" t="s">
        <v>52955</v>
      </c>
      <c r="H17411" t="s">
        <v>53404</v>
      </c>
      <c r="Y17411" t="s">
        <v>53547</v>
      </c>
    </row>
    <row r="17412" spans="1:25" x14ac:dyDescent="0.25">
      <c r="A17412" t="str">
        <f>"154409466154"</f>
        <v>154409466154</v>
      </c>
      <c r="B17412" t="s">
        <v>2104</v>
      </c>
      <c r="C17412" t="s">
        <v>25543</v>
      </c>
      <c r="D17412" t="s">
        <v>57937</v>
      </c>
      <c r="E17412">
        <v>425009</v>
      </c>
      <c r="F17412" t="s">
        <v>1</v>
      </c>
      <c r="G17412" t="s">
        <v>52955</v>
      </c>
      <c r="H17412" t="s">
        <v>55652</v>
      </c>
      <c r="Y17412" t="s">
        <v>57938</v>
      </c>
    </row>
    <row r="17413" spans="1:25" x14ac:dyDescent="0.25">
      <c r="A17413" t="str">
        <f>"154607565471"</f>
        <v>154607565471</v>
      </c>
      <c r="B17413" t="s">
        <v>117</v>
      </c>
      <c r="C17413" t="s">
        <v>26692</v>
      </c>
      <c r="D17413" t="s">
        <v>26690</v>
      </c>
      <c r="F17413" t="s">
        <v>1</v>
      </c>
      <c r="G17413" t="s">
        <v>52955</v>
      </c>
      <c r="H17413" t="s">
        <v>57939</v>
      </c>
      <c r="Y17413" t="s">
        <v>57940</v>
      </c>
    </row>
    <row r="17414" spans="1:25" x14ac:dyDescent="0.25">
      <c r="A17414" t="str">
        <f>"154927171812"</f>
        <v>154927171812</v>
      </c>
      <c r="B17414" t="s">
        <v>151</v>
      </c>
      <c r="C17414" t="s">
        <v>151</v>
      </c>
      <c r="D17414" t="s">
        <v>17927</v>
      </c>
      <c r="E17414">
        <v>425008</v>
      </c>
      <c r="F17414" t="s">
        <v>1</v>
      </c>
      <c r="G17414" t="s">
        <v>52955</v>
      </c>
      <c r="H17414" t="s">
        <v>53554</v>
      </c>
      <c r="Y17414" t="s">
        <v>57941</v>
      </c>
    </row>
    <row r="17415" spans="1:25" x14ac:dyDescent="0.25">
      <c r="A17415" t="str">
        <f>"154968716532"</f>
        <v>154968716532</v>
      </c>
      <c r="B17415" t="s">
        <v>462</v>
      </c>
      <c r="C17415" t="s">
        <v>1140</v>
      </c>
      <c r="D17415" t="s">
        <v>57942</v>
      </c>
      <c r="E17415">
        <v>425000</v>
      </c>
      <c r="F17415" t="s">
        <v>1</v>
      </c>
      <c r="G17415" t="s">
        <v>52955</v>
      </c>
      <c r="H17415" t="s">
        <v>57943</v>
      </c>
      <c r="Y17415" t="s">
        <v>57944</v>
      </c>
    </row>
    <row r="17416" spans="1:25" x14ac:dyDescent="0.25">
      <c r="A17416" t="str">
        <f>"154990086470"</f>
        <v>154990086470</v>
      </c>
      <c r="B17416" t="s">
        <v>176</v>
      </c>
      <c r="C17416" t="s">
        <v>566</v>
      </c>
      <c r="D17416" t="s">
        <v>57945</v>
      </c>
      <c r="F17416" t="s">
        <v>1</v>
      </c>
      <c r="G17416" t="s">
        <v>52955</v>
      </c>
      <c r="H17416" t="s">
        <v>55878</v>
      </c>
      <c r="Y17416" t="s">
        <v>57946</v>
      </c>
    </row>
    <row r="17417" spans="1:25" x14ac:dyDescent="0.25">
      <c r="A17417" t="str">
        <f>"155264993405"</f>
        <v>155264993405</v>
      </c>
      <c r="B17417" t="s">
        <v>290</v>
      </c>
      <c r="C17417" t="s">
        <v>290</v>
      </c>
      <c r="D17417" t="s">
        <v>57947</v>
      </c>
      <c r="E17417">
        <v>425003</v>
      </c>
      <c r="F17417" t="s">
        <v>1</v>
      </c>
      <c r="G17417" t="s">
        <v>52955</v>
      </c>
      <c r="H17417" t="s">
        <v>57948</v>
      </c>
      <c r="J17417" t="s">
        <v>57949</v>
      </c>
      <c r="P17417" t="s">
        <v>21363</v>
      </c>
      <c r="Q17417" t="s">
        <v>57950</v>
      </c>
      <c r="V17417" t="s">
        <v>57951</v>
      </c>
      <c r="Y17417" t="s">
        <v>57952</v>
      </c>
    </row>
    <row r="17418" spans="1:25" x14ac:dyDescent="0.25">
      <c r="A17418" t="str">
        <f>"155651388752"</f>
        <v>155651388752</v>
      </c>
      <c r="B17418" t="s">
        <v>96</v>
      </c>
      <c r="C17418" t="s">
        <v>24042</v>
      </c>
      <c r="D17418" t="s">
        <v>24127</v>
      </c>
      <c r="E17418">
        <v>425000</v>
      </c>
      <c r="F17418" t="s">
        <v>1</v>
      </c>
      <c r="G17418" t="s">
        <v>52955</v>
      </c>
      <c r="H17418" t="s">
        <v>54152</v>
      </c>
      <c r="Y17418" t="s">
        <v>57953</v>
      </c>
    </row>
    <row r="17419" spans="1:25" x14ac:dyDescent="0.25">
      <c r="A17419" t="str">
        <f>"155869797811"</f>
        <v>155869797811</v>
      </c>
      <c r="B17419" t="s">
        <v>574</v>
      </c>
      <c r="C17419" t="s">
        <v>952</v>
      </c>
      <c r="D17419" t="s">
        <v>6246</v>
      </c>
      <c r="E17419">
        <v>425000</v>
      </c>
      <c r="F17419" t="s">
        <v>1</v>
      </c>
      <c r="G17419" t="s">
        <v>52955</v>
      </c>
      <c r="H17419" t="s">
        <v>57160</v>
      </c>
      <c r="Y17419" t="s">
        <v>57954</v>
      </c>
    </row>
    <row r="17420" spans="1:25" x14ac:dyDescent="0.25">
      <c r="A17420" t="str">
        <f>"155897098027"</f>
        <v>155897098027</v>
      </c>
      <c r="B17420" t="s">
        <v>1152</v>
      </c>
      <c r="C17420" t="s">
        <v>1153</v>
      </c>
      <c r="D17420" t="s">
        <v>10280</v>
      </c>
      <c r="E17420">
        <v>425003</v>
      </c>
      <c r="F17420" t="s">
        <v>1</v>
      </c>
      <c r="G17420" t="s">
        <v>52955</v>
      </c>
      <c r="H17420" t="s">
        <v>57955</v>
      </c>
      <c r="I17420" t="s">
        <v>22092</v>
      </c>
      <c r="M17420" t="s">
        <v>10284</v>
      </c>
      <c r="Q17420" t="s">
        <v>10286</v>
      </c>
      <c r="R17420" t="s">
        <v>10287</v>
      </c>
      <c r="S17420" t="s">
        <v>10288</v>
      </c>
      <c r="T17420" t="s">
        <v>10289</v>
      </c>
      <c r="U17420" t="s">
        <v>10290</v>
      </c>
      <c r="V17420" t="s">
        <v>10291</v>
      </c>
      <c r="Y17420" t="s">
        <v>57956</v>
      </c>
    </row>
    <row r="17421" spans="1:25" x14ac:dyDescent="0.25">
      <c r="A17421" t="str">
        <f>"155996270045"</f>
        <v>155996270045</v>
      </c>
      <c r="B17421" t="s">
        <v>1352</v>
      </c>
      <c r="C17421" t="s">
        <v>54109</v>
      </c>
      <c r="D17421" t="s">
        <v>57957</v>
      </c>
      <c r="E17421">
        <v>425000</v>
      </c>
      <c r="F17421" t="s">
        <v>1</v>
      </c>
      <c r="G17421" t="s">
        <v>52955</v>
      </c>
      <c r="H17421" t="s">
        <v>54582</v>
      </c>
      <c r="Y17421" t="s">
        <v>57958</v>
      </c>
    </row>
    <row r="17422" spans="1:25" x14ac:dyDescent="0.25">
      <c r="A17422" t="str">
        <f>"156025970803"</f>
        <v>156025970803</v>
      </c>
      <c r="B17422" t="s">
        <v>519</v>
      </c>
      <c r="C17422" t="s">
        <v>57961</v>
      </c>
      <c r="D17422" t="s">
        <v>57959</v>
      </c>
      <c r="E17422">
        <v>425000</v>
      </c>
      <c r="F17422" t="s">
        <v>1</v>
      </c>
      <c r="G17422" t="s">
        <v>52955</v>
      </c>
      <c r="H17422" t="s">
        <v>53202</v>
      </c>
      <c r="J17422" t="s">
        <v>57960</v>
      </c>
      <c r="P17422" t="s">
        <v>57962</v>
      </c>
      <c r="Q17422" t="s">
        <v>57963</v>
      </c>
      <c r="Y17422" t="s">
        <v>57964</v>
      </c>
    </row>
    <row r="17423" spans="1:25" x14ac:dyDescent="0.25">
      <c r="A17423" t="str">
        <f>"156117637287"</f>
        <v>156117637287</v>
      </c>
      <c r="B17423" t="s">
        <v>1611</v>
      </c>
      <c r="C17423" t="s">
        <v>1612</v>
      </c>
      <c r="D17423" t="s">
        <v>57965</v>
      </c>
      <c r="E17423">
        <v>425000</v>
      </c>
      <c r="F17423" t="s">
        <v>1</v>
      </c>
      <c r="G17423" t="s">
        <v>52955</v>
      </c>
      <c r="H17423" t="s">
        <v>53822</v>
      </c>
      <c r="I17423" t="s">
        <v>57966</v>
      </c>
      <c r="L17423" t="s">
        <v>57967</v>
      </c>
      <c r="M17423" t="s">
        <v>57968</v>
      </c>
      <c r="P17423" t="s">
        <v>57969</v>
      </c>
      <c r="Y17423" t="s">
        <v>53049</v>
      </c>
    </row>
    <row r="17424" spans="1:25" x14ac:dyDescent="0.25">
      <c r="A17424" t="str">
        <f>"156392560798"</f>
        <v>156392560798</v>
      </c>
      <c r="B17424" t="s">
        <v>574</v>
      </c>
      <c r="C17424" t="s">
        <v>646</v>
      </c>
      <c r="D17424" t="s">
        <v>4221</v>
      </c>
      <c r="E17424">
        <v>425003</v>
      </c>
      <c r="F17424" t="s">
        <v>1</v>
      </c>
      <c r="G17424" t="s">
        <v>52955</v>
      </c>
      <c r="H17424" t="s">
        <v>57970</v>
      </c>
      <c r="Y17424" t="s">
        <v>57971</v>
      </c>
    </row>
    <row r="17425" spans="1:25" x14ac:dyDescent="0.25">
      <c r="A17425" t="str">
        <f>"156403276400"</f>
        <v>156403276400</v>
      </c>
      <c r="B17425" t="s">
        <v>80</v>
      </c>
      <c r="C17425" t="s">
        <v>3295</v>
      </c>
      <c r="D17425" t="s">
        <v>57972</v>
      </c>
      <c r="E17425">
        <v>425000</v>
      </c>
      <c r="F17425" t="s">
        <v>1</v>
      </c>
      <c r="G17425" t="s">
        <v>52955</v>
      </c>
      <c r="H17425" t="s">
        <v>54021</v>
      </c>
      <c r="L17425" t="s">
        <v>57973</v>
      </c>
      <c r="Q17425" t="s">
        <v>57974</v>
      </c>
      <c r="Y17425" t="s">
        <v>54024</v>
      </c>
    </row>
    <row r="17426" spans="1:25" x14ac:dyDescent="0.25">
      <c r="A17426" t="str">
        <f>"156446697211"</f>
        <v>156446697211</v>
      </c>
      <c r="B17426" t="s">
        <v>233</v>
      </c>
      <c r="C17426" t="s">
        <v>57977</v>
      </c>
      <c r="D17426" t="s">
        <v>57975</v>
      </c>
      <c r="E17426">
        <v>425005</v>
      </c>
      <c r="F17426" t="s">
        <v>1</v>
      </c>
      <c r="G17426" t="s">
        <v>52955</v>
      </c>
      <c r="H17426" t="s">
        <v>53966</v>
      </c>
      <c r="J17426" t="s">
        <v>57976</v>
      </c>
      <c r="P17426" t="s">
        <v>6236</v>
      </c>
      <c r="Y17426" t="s">
        <v>57978</v>
      </c>
    </row>
    <row r="17427" spans="1:25" x14ac:dyDescent="0.25">
      <c r="A17427" t="str">
        <f>"156663648105"</f>
        <v>156663648105</v>
      </c>
      <c r="B17427" t="s">
        <v>574</v>
      </c>
      <c r="C17427" t="s">
        <v>646</v>
      </c>
      <c r="D17427" t="s">
        <v>57979</v>
      </c>
      <c r="E17427">
        <v>425005</v>
      </c>
      <c r="F17427" t="s">
        <v>1</v>
      </c>
      <c r="G17427" t="s">
        <v>52955</v>
      </c>
      <c r="H17427" t="s">
        <v>57980</v>
      </c>
      <c r="I17427" t="s">
        <v>57981</v>
      </c>
      <c r="P17427" t="s">
        <v>7436</v>
      </c>
      <c r="Y17427" t="s">
        <v>57982</v>
      </c>
    </row>
    <row r="17428" spans="1:25" x14ac:dyDescent="0.25">
      <c r="A17428" t="str">
        <f>"156762084078"</f>
        <v>156762084078</v>
      </c>
      <c r="B17428" t="s">
        <v>67</v>
      </c>
      <c r="C17428" t="s">
        <v>832</v>
      </c>
      <c r="D17428" t="s">
        <v>832</v>
      </c>
      <c r="E17428">
        <v>425000</v>
      </c>
      <c r="F17428" t="s">
        <v>1</v>
      </c>
      <c r="G17428" t="s">
        <v>52955</v>
      </c>
      <c r="H17428" t="s">
        <v>57983</v>
      </c>
      <c r="Y17428" t="s">
        <v>57984</v>
      </c>
    </row>
    <row r="17429" spans="1:25" x14ac:dyDescent="0.25">
      <c r="A17429" t="str">
        <f>"156789468549"</f>
        <v>156789468549</v>
      </c>
      <c r="B17429" t="s">
        <v>530</v>
      </c>
      <c r="C17429" t="s">
        <v>23950</v>
      </c>
      <c r="D17429" t="s">
        <v>23950</v>
      </c>
      <c r="E17429">
        <v>425000</v>
      </c>
      <c r="F17429" t="s">
        <v>1</v>
      </c>
      <c r="G17429" t="s">
        <v>52955</v>
      </c>
      <c r="H17429" t="s">
        <v>55093</v>
      </c>
      <c r="Y17429" t="s">
        <v>57985</v>
      </c>
    </row>
    <row r="17430" spans="1:25" x14ac:dyDescent="0.25">
      <c r="A17430" t="str">
        <f>"157279471350"</f>
        <v>157279471350</v>
      </c>
      <c r="B17430" t="s">
        <v>96</v>
      </c>
      <c r="C17430" t="s">
        <v>57987</v>
      </c>
      <c r="D17430" t="s">
        <v>57986</v>
      </c>
      <c r="E17430">
        <v>425000</v>
      </c>
      <c r="F17430" t="s">
        <v>1</v>
      </c>
      <c r="G17430" t="s">
        <v>52955</v>
      </c>
      <c r="H17430" t="s">
        <v>53066</v>
      </c>
      <c r="Y17430" t="s">
        <v>54725</v>
      </c>
    </row>
    <row r="17431" spans="1:25" x14ac:dyDescent="0.25">
      <c r="A17431" t="str">
        <f>"157566052560"</f>
        <v>157566052560</v>
      </c>
      <c r="B17431" t="s">
        <v>574</v>
      </c>
      <c r="C17431" t="s">
        <v>57988</v>
      </c>
      <c r="D17431" t="s">
        <v>47193</v>
      </c>
      <c r="E17431">
        <v>425009</v>
      </c>
      <c r="F17431" t="s">
        <v>1</v>
      </c>
      <c r="G17431" t="s">
        <v>52955</v>
      </c>
      <c r="H17431" t="s">
        <v>57805</v>
      </c>
      <c r="P17431" t="s">
        <v>56224</v>
      </c>
      <c r="Q17431" t="s">
        <v>56225</v>
      </c>
      <c r="Y17431" t="s">
        <v>57989</v>
      </c>
    </row>
    <row r="17432" spans="1:25" x14ac:dyDescent="0.25">
      <c r="A17432" t="str">
        <f>"157618180713"</f>
        <v>157618180713</v>
      </c>
      <c r="B17432" t="s">
        <v>738</v>
      </c>
      <c r="C17432" t="s">
        <v>17320</v>
      </c>
      <c r="D17432" t="s">
        <v>33843</v>
      </c>
      <c r="E17432">
        <v>425000</v>
      </c>
      <c r="F17432" t="s">
        <v>1</v>
      </c>
      <c r="G17432" t="s">
        <v>52955</v>
      </c>
      <c r="H17432" t="s">
        <v>54582</v>
      </c>
      <c r="J17432" t="s">
        <v>33844</v>
      </c>
      <c r="P17432" t="s">
        <v>60</v>
      </c>
      <c r="Y17432" t="s">
        <v>56109</v>
      </c>
    </row>
    <row r="17433" spans="1:25" x14ac:dyDescent="0.25">
      <c r="A17433" t="str">
        <f>"158655189403"</f>
        <v>158655189403</v>
      </c>
      <c r="B17433" t="s">
        <v>3094</v>
      </c>
      <c r="C17433" t="s">
        <v>3095</v>
      </c>
      <c r="D17433" t="s">
        <v>57990</v>
      </c>
      <c r="E17433">
        <v>425000</v>
      </c>
      <c r="F17433" t="s">
        <v>1</v>
      </c>
      <c r="G17433" t="s">
        <v>52955</v>
      </c>
      <c r="H17433" t="s">
        <v>56006</v>
      </c>
      <c r="Y17433" t="s">
        <v>57991</v>
      </c>
    </row>
    <row r="17434" spans="1:25" x14ac:dyDescent="0.25">
      <c r="A17434" t="str">
        <f>"158755523063"</f>
        <v>158755523063</v>
      </c>
      <c r="B17434" t="s">
        <v>654</v>
      </c>
      <c r="C17434" t="s">
        <v>2195</v>
      </c>
      <c r="D17434" t="s">
        <v>57992</v>
      </c>
      <c r="E17434">
        <v>425000</v>
      </c>
      <c r="F17434" t="s">
        <v>1</v>
      </c>
      <c r="G17434" t="s">
        <v>52955</v>
      </c>
      <c r="H17434" t="s">
        <v>53075</v>
      </c>
      <c r="J17434" t="s">
        <v>57993</v>
      </c>
      <c r="M17434" t="s">
        <v>57994</v>
      </c>
      <c r="P17434" t="s">
        <v>9</v>
      </c>
      <c r="Y17434" t="s">
        <v>57995</v>
      </c>
    </row>
    <row r="17435" spans="1:25" x14ac:dyDescent="0.25">
      <c r="A17435" t="str">
        <f>"159309739201"</f>
        <v>159309739201</v>
      </c>
      <c r="B17435" t="s">
        <v>1343</v>
      </c>
      <c r="C17435" t="s">
        <v>5308</v>
      </c>
      <c r="D17435" t="s">
        <v>22553</v>
      </c>
      <c r="E17435">
        <v>425009</v>
      </c>
      <c r="F17435" t="s">
        <v>1</v>
      </c>
      <c r="G17435" t="s">
        <v>52955</v>
      </c>
      <c r="H17435" t="s">
        <v>55390</v>
      </c>
      <c r="P17435" t="s">
        <v>2050</v>
      </c>
      <c r="Y17435" t="s">
        <v>57996</v>
      </c>
    </row>
    <row r="17436" spans="1:25" x14ac:dyDescent="0.25">
      <c r="A17436" t="str">
        <f>"159656375724"</f>
        <v>159656375724</v>
      </c>
      <c r="B17436" t="s">
        <v>2062</v>
      </c>
      <c r="C17436" t="s">
        <v>3081</v>
      </c>
      <c r="D17436" t="s">
        <v>57997</v>
      </c>
      <c r="F17436" t="s">
        <v>1</v>
      </c>
      <c r="G17436" t="s">
        <v>52955</v>
      </c>
      <c r="H17436" t="s">
        <v>55808</v>
      </c>
      <c r="J17436" t="s">
        <v>57998</v>
      </c>
      <c r="L17436" t="s">
        <v>57999</v>
      </c>
      <c r="M17436" t="s">
        <v>58000</v>
      </c>
      <c r="P17436" t="s">
        <v>1027</v>
      </c>
      <c r="Y17436" t="s">
        <v>55811</v>
      </c>
    </row>
    <row r="17437" spans="1:25" x14ac:dyDescent="0.25">
      <c r="A17437" t="str">
        <f>"160082033739"</f>
        <v>160082033739</v>
      </c>
      <c r="B17437" t="s">
        <v>96</v>
      </c>
      <c r="C17437" t="s">
        <v>7071</v>
      </c>
      <c r="D17437" t="s">
        <v>27778</v>
      </c>
      <c r="E17437">
        <v>425001</v>
      </c>
      <c r="F17437" t="s">
        <v>1</v>
      </c>
      <c r="G17437" t="s">
        <v>52955</v>
      </c>
      <c r="H17437" t="s">
        <v>55791</v>
      </c>
      <c r="Y17437" t="s">
        <v>58001</v>
      </c>
    </row>
    <row r="17438" spans="1:25" x14ac:dyDescent="0.25">
      <c r="A17438" t="str">
        <f>"160382338665"</f>
        <v>160382338665</v>
      </c>
      <c r="B17438" t="s">
        <v>96</v>
      </c>
      <c r="C17438" t="s">
        <v>20353</v>
      </c>
      <c r="D17438" t="s">
        <v>44839</v>
      </c>
      <c r="F17438" t="s">
        <v>1</v>
      </c>
      <c r="G17438" t="s">
        <v>52955</v>
      </c>
      <c r="H17438" t="s">
        <v>53072</v>
      </c>
      <c r="Y17438" t="s">
        <v>58002</v>
      </c>
    </row>
    <row r="17439" spans="1:25" x14ac:dyDescent="0.25">
      <c r="A17439" t="str">
        <f>"160393822938"</f>
        <v>160393822938</v>
      </c>
      <c r="B17439" t="s">
        <v>738</v>
      </c>
      <c r="C17439" t="s">
        <v>58004</v>
      </c>
      <c r="D17439" t="s">
        <v>2578</v>
      </c>
      <c r="E17439">
        <v>425000</v>
      </c>
      <c r="F17439" t="s">
        <v>1</v>
      </c>
      <c r="G17439" t="s">
        <v>52955</v>
      </c>
      <c r="H17439" t="s">
        <v>55251</v>
      </c>
      <c r="J17439" t="s">
        <v>58003</v>
      </c>
      <c r="P17439" t="s">
        <v>1433</v>
      </c>
      <c r="Y17439" t="s">
        <v>58005</v>
      </c>
    </row>
    <row r="17440" spans="1:25" x14ac:dyDescent="0.25">
      <c r="A17440" t="str">
        <f>"160463850984"</f>
        <v>160463850984</v>
      </c>
      <c r="B17440" t="s">
        <v>88</v>
      </c>
      <c r="C17440" t="s">
        <v>8056</v>
      </c>
      <c r="D17440" t="s">
        <v>57086</v>
      </c>
      <c r="F17440" t="s">
        <v>1</v>
      </c>
      <c r="G17440" t="s">
        <v>52955</v>
      </c>
      <c r="H17440" t="s">
        <v>53198</v>
      </c>
      <c r="J17440" t="s">
        <v>58006</v>
      </c>
      <c r="P17440" t="s">
        <v>3456</v>
      </c>
      <c r="Q17440" t="s">
        <v>58007</v>
      </c>
      <c r="Y17440" t="s">
        <v>55699</v>
      </c>
    </row>
    <row r="17441" spans="1:25" x14ac:dyDescent="0.25">
      <c r="A17441" t="str">
        <f>"160616839344"</f>
        <v>160616839344</v>
      </c>
      <c r="B17441" t="s">
        <v>1343</v>
      </c>
      <c r="C17441" t="s">
        <v>5308</v>
      </c>
      <c r="D17441" t="s">
        <v>21608</v>
      </c>
      <c r="F17441" t="s">
        <v>1</v>
      </c>
      <c r="G17441" t="s">
        <v>52955</v>
      </c>
      <c r="H17441" t="s">
        <v>55903</v>
      </c>
      <c r="P17441" t="s">
        <v>9840</v>
      </c>
      <c r="Y17441" t="s">
        <v>58008</v>
      </c>
    </row>
    <row r="17442" spans="1:25" x14ac:dyDescent="0.25">
      <c r="A17442" t="str">
        <f>"160668024495"</f>
        <v>160668024495</v>
      </c>
      <c r="B17442" t="s">
        <v>151</v>
      </c>
      <c r="C17442" t="s">
        <v>4240</v>
      </c>
      <c r="D17442" t="s">
        <v>10304</v>
      </c>
      <c r="E17442">
        <v>425008</v>
      </c>
      <c r="F17442" t="s">
        <v>1</v>
      </c>
      <c r="G17442" t="s">
        <v>52955</v>
      </c>
      <c r="H17442" t="s">
        <v>53533</v>
      </c>
      <c r="Y17442" t="s">
        <v>58009</v>
      </c>
    </row>
    <row r="17443" spans="1:25" x14ac:dyDescent="0.25">
      <c r="A17443" t="str">
        <f>"160767201924"</f>
        <v>160767201924</v>
      </c>
      <c r="B17443" t="s">
        <v>1544</v>
      </c>
      <c r="C17443" t="s">
        <v>7974</v>
      </c>
      <c r="D17443" t="s">
        <v>25268</v>
      </c>
      <c r="E17443">
        <v>425000</v>
      </c>
      <c r="F17443" t="s">
        <v>1</v>
      </c>
      <c r="G17443" t="s">
        <v>52955</v>
      </c>
      <c r="H17443" t="s">
        <v>56017</v>
      </c>
      <c r="P17443" t="s">
        <v>330</v>
      </c>
      <c r="Y17443" t="s">
        <v>58010</v>
      </c>
    </row>
    <row r="17444" spans="1:25" x14ac:dyDescent="0.25">
      <c r="A17444" t="str">
        <f>"160841345268"</f>
        <v>160841345268</v>
      </c>
      <c r="B17444" t="s">
        <v>224</v>
      </c>
      <c r="C17444" t="s">
        <v>58013</v>
      </c>
      <c r="D17444" t="s">
        <v>3240</v>
      </c>
      <c r="E17444">
        <v>425000</v>
      </c>
      <c r="F17444" t="s">
        <v>1</v>
      </c>
      <c r="G17444" t="s">
        <v>52955</v>
      </c>
      <c r="H17444" t="s">
        <v>58011</v>
      </c>
      <c r="J17444" t="s">
        <v>58012</v>
      </c>
      <c r="P17444" t="s">
        <v>3690</v>
      </c>
      <c r="Y17444" t="s">
        <v>58014</v>
      </c>
    </row>
    <row r="17445" spans="1:25" x14ac:dyDescent="0.25">
      <c r="A17445" t="str">
        <f>"161074782921"</f>
        <v>161074782921</v>
      </c>
      <c r="B17445" t="s">
        <v>1617</v>
      </c>
      <c r="C17445" t="s">
        <v>21001</v>
      </c>
      <c r="D17445" t="s">
        <v>20999</v>
      </c>
      <c r="F17445" t="s">
        <v>1</v>
      </c>
      <c r="G17445" t="s">
        <v>52955</v>
      </c>
      <c r="H17445" t="s">
        <v>56502</v>
      </c>
      <c r="Y17445" t="s">
        <v>58015</v>
      </c>
    </row>
    <row r="17446" spans="1:25" x14ac:dyDescent="0.25">
      <c r="A17446" t="str">
        <f>"161118881506"</f>
        <v>161118881506</v>
      </c>
      <c r="B17446" t="s">
        <v>204</v>
      </c>
      <c r="C17446" t="s">
        <v>25704</v>
      </c>
      <c r="D17446" t="s">
        <v>19532</v>
      </c>
      <c r="E17446">
        <v>425000</v>
      </c>
      <c r="F17446" t="s">
        <v>1</v>
      </c>
      <c r="G17446" t="s">
        <v>52955</v>
      </c>
      <c r="H17446" t="s">
        <v>54832</v>
      </c>
      <c r="Y17446" t="s">
        <v>58016</v>
      </c>
    </row>
    <row r="17447" spans="1:25" x14ac:dyDescent="0.25">
      <c r="A17447" t="str">
        <f>"161561744352"</f>
        <v>161561744352</v>
      </c>
      <c r="B17447" t="s">
        <v>654</v>
      </c>
      <c r="C17447" t="s">
        <v>58019</v>
      </c>
      <c r="D17447" t="s">
        <v>58017</v>
      </c>
      <c r="E17447">
        <v>425000</v>
      </c>
      <c r="F17447" t="s">
        <v>1</v>
      </c>
      <c r="G17447" t="s">
        <v>52955</v>
      </c>
      <c r="H17447" t="s">
        <v>53536</v>
      </c>
      <c r="J17447" t="s">
        <v>58018</v>
      </c>
      <c r="P17447" t="s">
        <v>330</v>
      </c>
      <c r="V17447" t="s">
        <v>58020</v>
      </c>
      <c r="Y17447" t="s">
        <v>58021</v>
      </c>
    </row>
    <row r="17448" spans="1:25" x14ac:dyDescent="0.25">
      <c r="A17448" t="str">
        <f>"161806754586"</f>
        <v>161806754586</v>
      </c>
      <c r="B17448" t="s">
        <v>32</v>
      </c>
      <c r="C17448" t="s">
        <v>182</v>
      </c>
      <c r="D17448" t="s">
        <v>58022</v>
      </c>
      <c r="E17448">
        <v>425000</v>
      </c>
      <c r="F17448" t="s">
        <v>1</v>
      </c>
      <c r="G17448" t="s">
        <v>52955</v>
      </c>
      <c r="H17448" t="s">
        <v>53066</v>
      </c>
      <c r="Y17448" t="s">
        <v>58023</v>
      </c>
    </row>
    <row r="17449" spans="1:25" x14ac:dyDescent="0.25">
      <c r="A17449" t="str">
        <f>"161998452783"</f>
        <v>161998452783</v>
      </c>
      <c r="B17449" t="s">
        <v>284</v>
      </c>
      <c r="C17449" t="s">
        <v>27632</v>
      </c>
      <c r="D17449" t="s">
        <v>58024</v>
      </c>
      <c r="F17449" t="s">
        <v>1</v>
      </c>
      <c r="G17449" t="s">
        <v>52955</v>
      </c>
      <c r="H17449" t="s">
        <v>53051</v>
      </c>
      <c r="Y17449" t="s">
        <v>58025</v>
      </c>
    </row>
    <row r="17450" spans="1:25" x14ac:dyDescent="0.25">
      <c r="A17450" t="str">
        <f>"162124546536"</f>
        <v>162124546536</v>
      </c>
      <c r="B17450" t="s">
        <v>2361</v>
      </c>
      <c r="C17450" t="s">
        <v>58031</v>
      </c>
      <c r="D17450" t="s">
        <v>58026</v>
      </c>
      <c r="E17450">
        <v>425000</v>
      </c>
      <c r="F17450" t="s">
        <v>1</v>
      </c>
      <c r="G17450" t="s">
        <v>52955</v>
      </c>
      <c r="H17450" t="s">
        <v>52972</v>
      </c>
      <c r="I17450" t="s">
        <v>58027</v>
      </c>
      <c r="J17450" t="s">
        <v>58028</v>
      </c>
      <c r="L17450" t="s">
        <v>58029</v>
      </c>
      <c r="M17450" t="s">
        <v>58030</v>
      </c>
      <c r="P17450" t="s">
        <v>27</v>
      </c>
      <c r="Y17450" t="s">
        <v>58032</v>
      </c>
    </row>
    <row r="17451" spans="1:25" x14ac:dyDescent="0.25">
      <c r="A17451" t="str">
        <f>"162188548755"</f>
        <v>162188548755</v>
      </c>
      <c r="B17451" t="s">
        <v>1061</v>
      </c>
      <c r="C17451" t="s">
        <v>26953</v>
      </c>
      <c r="D17451" t="s">
        <v>58033</v>
      </c>
      <c r="F17451" t="s">
        <v>1</v>
      </c>
      <c r="G17451" t="s">
        <v>52955</v>
      </c>
      <c r="H17451" t="s">
        <v>58034</v>
      </c>
      <c r="Y17451" t="s">
        <v>58035</v>
      </c>
    </row>
    <row r="17452" spans="1:25" x14ac:dyDescent="0.25">
      <c r="A17452" t="str">
        <f>"162330947951"</f>
        <v>162330947951</v>
      </c>
      <c r="B17452" t="s">
        <v>1544</v>
      </c>
      <c r="C17452" t="s">
        <v>3596</v>
      </c>
      <c r="D17452" t="s">
        <v>58036</v>
      </c>
      <c r="F17452" t="s">
        <v>1</v>
      </c>
      <c r="G17452" t="s">
        <v>52955</v>
      </c>
      <c r="H17452" t="s">
        <v>55903</v>
      </c>
      <c r="Y17452" t="s">
        <v>58037</v>
      </c>
    </row>
    <row r="17453" spans="1:25" x14ac:dyDescent="0.25">
      <c r="A17453" t="str">
        <f>"162837352209"</f>
        <v>162837352209</v>
      </c>
      <c r="B17453" t="s">
        <v>7312</v>
      </c>
      <c r="C17453" t="s">
        <v>21136</v>
      </c>
      <c r="D17453" t="s">
        <v>23008</v>
      </c>
      <c r="E17453">
        <v>425000</v>
      </c>
      <c r="F17453" t="s">
        <v>1</v>
      </c>
      <c r="G17453" t="s">
        <v>52955</v>
      </c>
      <c r="H17453" t="s">
        <v>53911</v>
      </c>
      <c r="Y17453" t="s">
        <v>56861</v>
      </c>
    </row>
    <row r="17454" spans="1:25" x14ac:dyDescent="0.25">
      <c r="A17454" t="str">
        <f>"162855961628"</f>
        <v>162855961628</v>
      </c>
      <c r="B17454" t="s">
        <v>574</v>
      </c>
      <c r="C17454" t="s">
        <v>646</v>
      </c>
      <c r="D17454" t="s">
        <v>58038</v>
      </c>
      <c r="E17454">
        <v>425001</v>
      </c>
      <c r="F17454" t="s">
        <v>1</v>
      </c>
      <c r="G17454" t="s">
        <v>52955</v>
      </c>
      <c r="H17454" t="s">
        <v>54148</v>
      </c>
      <c r="Y17454" t="s">
        <v>58039</v>
      </c>
    </row>
    <row r="17455" spans="1:25" x14ac:dyDescent="0.25">
      <c r="A17455" t="str">
        <f>"163349555830"</f>
        <v>163349555830</v>
      </c>
      <c r="B17455" t="s">
        <v>3008</v>
      </c>
      <c r="C17455" t="s">
        <v>21617</v>
      </c>
      <c r="D17455" t="s">
        <v>53558</v>
      </c>
      <c r="E17455">
        <v>425000</v>
      </c>
      <c r="F17455" t="s">
        <v>1</v>
      </c>
      <c r="G17455" t="s">
        <v>52955</v>
      </c>
      <c r="H17455" t="s">
        <v>55027</v>
      </c>
      <c r="Y17455" t="s">
        <v>58040</v>
      </c>
    </row>
    <row r="17456" spans="1:25" x14ac:dyDescent="0.25">
      <c r="A17456" t="str">
        <f>"163351615002"</f>
        <v>163351615002</v>
      </c>
      <c r="B17456" t="s">
        <v>96</v>
      </c>
      <c r="C17456" t="s">
        <v>7071</v>
      </c>
      <c r="D17456" t="s">
        <v>22096</v>
      </c>
      <c r="E17456">
        <v>425008</v>
      </c>
      <c r="F17456" t="s">
        <v>1</v>
      </c>
      <c r="G17456" t="s">
        <v>52955</v>
      </c>
      <c r="H17456" t="s">
        <v>53533</v>
      </c>
      <c r="Y17456" t="s">
        <v>58041</v>
      </c>
    </row>
    <row r="17457" spans="1:25" x14ac:dyDescent="0.25">
      <c r="A17457" t="str">
        <f>"163461989234"</f>
        <v>163461989234</v>
      </c>
      <c r="B17457" t="s">
        <v>574</v>
      </c>
      <c r="C17457" t="s">
        <v>21805</v>
      </c>
      <c r="D17457" t="s">
        <v>24214</v>
      </c>
      <c r="F17457" t="s">
        <v>1</v>
      </c>
      <c r="G17457" t="s">
        <v>52955</v>
      </c>
      <c r="H17457" t="s">
        <v>58042</v>
      </c>
      <c r="J17457" t="s">
        <v>24215</v>
      </c>
      <c r="Y17457" t="s">
        <v>58043</v>
      </c>
    </row>
    <row r="17458" spans="1:25" x14ac:dyDescent="0.25">
      <c r="A17458" t="str">
        <f>"163685891237"</f>
        <v>163685891237</v>
      </c>
      <c r="B17458" t="s">
        <v>3700</v>
      </c>
      <c r="C17458" t="s">
        <v>4023</v>
      </c>
      <c r="D17458" t="s">
        <v>58044</v>
      </c>
      <c r="F17458" t="s">
        <v>1</v>
      </c>
      <c r="G17458" t="s">
        <v>52955</v>
      </c>
      <c r="H17458" t="s">
        <v>58045</v>
      </c>
      <c r="Y17458" t="s">
        <v>58046</v>
      </c>
    </row>
    <row r="17459" spans="1:25" x14ac:dyDescent="0.25">
      <c r="A17459" t="str">
        <f>"163851687990"</f>
        <v>163851687990</v>
      </c>
      <c r="B17459" t="s">
        <v>574</v>
      </c>
      <c r="C17459" t="s">
        <v>952</v>
      </c>
      <c r="D17459" t="s">
        <v>58047</v>
      </c>
      <c r="F17459" t="s">
        <v>1</v>
      </c>
      <c r="G17459" t="s">
        <v>52955</v>
      </c>
      <c r="H17459" t="s">
        <v>53198</v>
      </c>
      <c r="Y17459" t="s">
        <v>58048</v>
      </c>
    </row>
    <row r="17460" spans="1:25" x14ac:dyDescent="0.25">
      <c r="A17460" t="str">
        <f>"163995018962"</f>
        <v>163995018962</v>
      </c>
      <c r="B17460" t="s">
        <v>888</v>
      </c>
      <c r="C17460" t="s">
        <v>58052</v>
      </c>
      <c r="D17460" t="s">
        <v>58049</v>
      </c>
      <c r="E17460">
        <v>425000</v>
      </c>
      <c r="F17460" t="s">
        <v>1</v>
      </c>
      <c r="G17460" t="s">
        <v>52955</v>
      </c>
      <c r="H17460" t="s">
        <v>58050</v>
      </c>
      <c r="J17460" t="s">
        <v>58051</v>
      </c>
      <c r="P17460" t="s">
        <v>216</v>
      </c>
      <c r="Y17460" t="s">
        <v>58053</v>
      </c>
    </row>
    <row r="17461" spans="1:25" x14ac:dyDescent="0.25">
      <c r="A17461" t="str">
        <f>"164180480987"</f>
        <v>164180480987</v>
      </c>
      <c r="B17461" t="s">
        <v>2062</v>
      </c>
      <c r="C17461" t="s">
        <v>3293</v>
      </c>
      <c r="D17461" t="s">
        <v>2062</v>
      </c>
      <c r="F17461" t="s">
        <v>1</v>
      </c>
      <c r="G17461" t="s">
        <v>52955</v>
      </c>
      <c r="H17461" t="s">
        <v>53211</v>
      </c>
      <c r="Y17461" t="s">
        <v>58054</v>
      </c>
    </row>
    <row r="17462" spans="1:25" x14ac:dyDescent="0.25">
      <c r="A17462" t="str">
        <f>"164415855585"</f>
        <v>164415855585</v>
      </c>
      <c r="B17462" t="s">
        <v>3908</v>
      </c>
      <c r="C17462" t="s">
        <v>3918</v>
      </c>
      <c r="D17462" t="s">
        <v>26633</v>
      </c>
      <c r="F17462" t="s">
        <v>1</v>
      </c>
      <c r="G17462" t="s">
        <v>52955</v>
      </c>
      <c r="H17462" t="s">
        <v>53198</v>
      </c>
      <c r="J17462" t="s">
        <v>58055</v>
      </c>
      <c r="L17462" t="s">
        <v>58056</v>
      </c>
      <c r="Q17462" t="s">
        <v>58057</v>
      </c>
      <c r="Y17462" t="s">
        <v>55699</v>
      </c>
    </row>
    <row r="17463" spans="1:25" x14ac:dyDescent="0.25">
      <c r="A17463" t="str">
        <f>"164541094318"</f>
        <v>164541094318</v>
      </c>
      <c r="B17463" t="s">
        <v>96</v>
      </c>
      <c r="C17463" t="s">
        <v>893</v>
      </c>
      <c r="D17463" t="s">
        <v>20843</v>
      </c>
      <c r="F17463" t="s">
        <v>1</v>
      </c>
      <c r="G17463" t="s">
        <v>52955</v>
      </c>
      <c r="H17463" t="s">
        <v>53198</v>
      </c>
      <c r="Y17463" t="s">
        <v>58058</v>
      </c>
    </row>
    <row r="17464" spans="1:25" x14ac:dyDescent="0.25">
      <c r="A17464" t="str">
        <f>"164541536977"</f>
        <v>164541536977</v>
      </c>
      <c r="B17464" t="s">
        <v>1152</v>
      </c>
      <c r="C17464" t="s">
        <v>1385</v>
      </c>
      <c r="D17464" t="s">
        <v>27705</v>
      </c>
      <c r="E17464">
        <v>425001</v>
      </c>
      <c r="F17464" t="s">
        <v>1</v>
      </c>
      <c r="G17464" t="s">
        <v>52955</v>
      </c>
      <c r="H17464" t="s">
        <v>56121</v>
      </c>
      <c r="J17464" t="s">
        <v>58059</v>
      </c>
      <c r="P17464" t="s">
        <v>152</v>
      </c>
      <c r="Y17464" t="s">
        <v>58060</v>
      </c>
    </row>
    <row r="17465" spans="1:25" x14ac:dyDescent="0.25">
      <c r="A17465" t="str">
        <f>"164711292300"</f>
        <v>164711292300</v>
      </c>
      <c r="B17465" t="s">
        <v>530</v>
      </c>
      <c r="C17465" t="s">
        <v>23950</v>
      </c>
      <c r="D17465" t="s">
        <v>23950</v>
      </c>
      <c r="F17465" t="s">
        <v>1</v>
      </c>
      <c r="G17465" t="s">
        <v>52955</v>
      </c>
      <c r="H17465" t="s">
        <v>58061</v>
      </c>
      <c r="Y17465" t="s">
        <v>58062</v>
      </c>
    </row>
    <row r="17466" spans="1:25" x14ac:dyDescent="0.25">
      <c r="A17466" t="str">
        <f>"164870211984"</f>
        <v>164870211984</v>
      </c>
      <c r="B17466" t="s">
        <v>18</v>
      </c>
      <c r="C17466" t="s">
        <v>2295</v>
      </c>
      <c r="D17466" t="s">
        <v>959</v>
      </c>
      <c r="E17466">
        <v>425011</v>
      </c>
      <c r="F17466" t="s">
        <v>1</v>
      </c>
      <c r="G17466" t="s">
        <v>52955</v>
      </c>
      <c r="H17466" t="s">
        <v>53523</v>
      </c>
      <c r="Y17466" t="s">
        <v>58063</v>
      </c>
    </row>
    <row r="17467" spans="1:25" x14ac:dyDescent="0.25">
      <c r="A17467" t="str">
        <f>"165019931222"</f>
        <v>165019931222</v>
      </c>
      <c r="B17467" t="s">
        <v>930</v>
      </c>
      <c r="C17467" t="s">
        <v>1096</v>
      </c>
      <c r="D17467" t="s">
        <v>1094</v>
      </c>
      <c r="E17467">
        <v>425011</v>
      </c>
      <c r="F17467" t="s">
        <v>1</v>
      </c>
      <c r="G17467" t="s">
        <v>52955</v>
      </c>
      <c r="H17467" t="s">
        <v>58064</v>
      </c>
      <c r="Y17467" t="s">
        <v>58065</v>
      </c>
    </row>
    <row r="17468" spans="1:25" x14ac:dyDescent="0.25">
      <c r="A17468" t="str">
        <f>"165173166217"</f>
        <v>165173166217</v>
      </c>
      <c r="B17468" t="s">
        <v>430</v>
      </c>
      <c r="C17468" t="s">
        <v>431</v>
      </c>
      <c r="D17468" t="s">
        <v>58066</v>
      </c>
      <c r="F17468" t="s">
        <v>1</v>
      </c>
      <c r="G17468" t="s">
        <v>52955</v>
      </c>
      <c r="H17468" t="s">
        <v>54589</v>
      </c>
      <c r="Y17468" t="s">
        <v>58067</v>
      </c>
    </row>
    <row r="17469" spans="1:25" x14ac:dyDescent="0.25">
      <c r="A17469" t="str">
        <f>"165185983637"</f>
        <v>165185983637</v>
      </c>
      <c r="B17469" t="s">
        <v>2055</v>
      </c>
      <c r="C17469" t="s">
        <v>2623</v>
      </c>
      <c r="D17469" t="s">
        <v>58068</v>
      </c>
      <c r="F17469" t="s">
        <v>1</v>
      </c>
      <c r="G17469" t="s">
        <v>52955</v>
      </c>
      <c r="H17469" t="s">
        <v>53051</v>
      </c>
      <c r="Y17469" t="s">
        <v>58069</v>
      </c>
    </row>
    <row r="17470" spans="1:25" x14ac:dyDescent="0.25">
      <c r="A17470" t="str">
        <f>"165357749585"</f>
        <v>165357749585</v>
      </c>
      <c r="B17470" t="s">
        <v>1182</v>
      </c>
      <c r="C17470" t="s">
        <v>56794</v>
      </c>
      <c r="D17470" t="s">
        <v>58070</v>
      </c>
      <c r="E17470">
        <v>425003</v>
      </c>
      <c r="F17470" t="s">
        <v>1</v>
      </c>
      <c r="G17470" t="s">
        <v>52955</v>
      </c>
      <c r="H17470" t="s">
        <v>53807</v>
      </c>
      <c r="Y17470" t="s">
        <v>53810</v>
      </c>
    </row>
    <row r="17471" spans="1:25" x14ac:dyDescent="0.25">
      <c r="A17471" t="str">
        <f>"165408974808"</f>
        <v>165408974808</v>
      </c>
      <c r="B17471" t="s">
        <v>8011</v>
      </c>
      <c r="C17471" t="s">
        <v>56212</v>
      </c>
      <c r="D17471" t="s">
        <v>56211</v>
      </c>
      <c r="F17471" t="s">
        <v>1</v>
      </c>
      <c r="G17471" t="s">
        <v>52955</v>
      </c>
      <c r="H17471" t="s">
        <v>54185</v>
      </c>
      <c r="Y17471" t="s">
        <v>58071</v>
      </c>
    </row>
    <row r="17472" spans="1:25" x14ac:dyDescent="0.25">
      <c r="A17472" t="str">
        <f>"165544504082"</f>
        <v>165544504082</v>
      </c>
      <c r="B17472" t="s">
        <v>348</v>
      </c>
      <c r="C17472" t="s">
        <v>58074</v>
      </c>
      <c r="D17472" t="s">
        <v>58072</v>
      </c>
      <c r="E17472">
        <v>390042</v>
      </c>
      <c r="F17472" t="s">
        <v>1</v>
      </c>
      <c r="G17472" t="s">
        <v>52955</v>
      </c>
      <c r="H17472" t="s">
        <v>58073</v>
      </c>
      <c r="Y17472" t="s">
        <v>58075</v>
      </c>
    </row>
    <row r="17473" spans="1:25" x14ac:dyDescent="0.25">
      <c r="A17473" t="str">
        <f>"165752854293"</f>
        <v>165752854293</v>
      </c>
      <c r="B17473" t="s">
        <v>1611</v>
      </c>
      <c r="C17473" t="s">
        <v>11688</v>
      </c>
      <c r="D17473" t="s">
        <v>58076</v>
      </c>
      <c r="E17473">
        <v>425000</v>
      </c>
      <c r="F17473" t="s">
        <v>1</v>
      </c>
      <c r="G17473" t="s">
        <v>52955</v>
      </c>
      <c r="H17473" t="s">
        <v>58077</v>
      </c>
      <c r="Y17473" t="s">
        <v>58078</v>
      </c>
    </row>
    <row r="17474" spans="1:25" x14ac:dyDescent="0.25">
      <c r="A17474" t="str">
        <f>"165944919356"</f>
        <v>165944919356</v>
      </c>
      <c r="B17474" t="s">
        <v>1611</v>
      </c>
      <c r="C17474" t="s">
        <v>3218</v>
      </c>
      <c r="D17474" t="s">
        <v>58079</v>
      </c>
      <c r="E17474">
        <v>425000</v>
      </c>
      <c r="F17474" t="s">
        <v>1</v>
      </c>
      <c r="G17474" t="s">
        <v>52955</v>
      </c>
      <c r="H17474" t="s">
        <v>55165</v>
      </c>
      <c r="Y17474" t="s">
        <v>58080</v>
      </c>
    </row>
    <row r="17475" spans="1:25" x14ac:dyDescent="0.25">
      <c r="A17475" t="str">
        <f>"166275435687"</f>
        <v>166275435687</v>
      </c>
      <c r="B17475" t="s">
        <v>1061</v>
      </c>
      <c r="C17475" t="s">
        <v>25591</v>
      </c>
      <c r="D17475" t="s">
        <v>55907</v>
      </c>
      <c r="F17475" t="s">
        <v>1</v>
      </c>
      <c r="G17475" t="s">
        <v>52955</v>
      </c>
      <c r="H17475" t="s">
        <v>55854</v>
      </c>
      <c r="Y17475" t="s">
        <v>58081</v>
      </c>
    </row>
    <row r="17476" spans="1:25" x14ac:dyDescent="0.25">
      <c r="A17476" t="str">
        <f>"166283326434"</f>
        <v>166283326434</v>
      </c>
      <c r="B17476" t="s">
        <v>1061</v>
      </c>
      <c r="C17476" t="s">
        <v>25591</v>
      </c>
      <c r="D17476" t="s">
        <v>25591</v>
      </c>
      <c r="F17476" t="s">
        <v>1</v>
      </c>
      <c r="G17476" t="s">
        <v>52955</v>
      </c>
      <c r="H17476" t="s">
        <v>56437</v>
      </c>
      <c r="Y17476" t="s">
        <v>58082</v>
      </c>
    </row>
    <row r="17477" spans="1:25" x14ac:dyDescent="0.25">
      <c r="A17477" t="str">
        <f>"166470576734"</f>
        <v>166470576734</v>
      </c>
      <c r="B17477" t="s">
        <v>574</v>
      </c>
      <c r="C17477" t="s">
        <v>14269</v>
      </c>
      <c r="D17477" t="s">
        <v>35690</v>
      </c>
      <c r="F17477" t="s">
        <v>1</v>
      </c>
      <c r="G17477" t="s">
        <v>52955</v>
      </c>
      <c r="H17477" t="s">
        <v>54574</v>
      </c>
      <c r="Y17477" t="s">
        <v>54576</v>
      </c>
    </row>
    <row r="17478" spans="1:25" x14ac:dyDescent="0.25">
      <c r="A17478" t="str">
        <f>"166629137256"</f>
        <v>166629137256</v>
      </c>
      <c r="B17478" t="s">
        <v>574</v>
      </c>
      <c r="C17478" t="s">
        <v>646</v>
      </c>
      <c r="D17478" t="s">
        <v>4221</v>
      </c>
      <c r="E17478">
        <v>425003</v>
      </c>
      <c r="F17478" t="s">
        <v>1</v>
      </c>
      <c r="G17478" t="s">
        <v>52955</v>
      </c>
      <c r="H17478" t="s">
        <v>57819</v>
      </c>
      <c r="Y17478" t="s">
        <v>58083</v>
      </c>
    </row>
    <row r="17479" spans="1:25" x14ac:dyDescent="0.25">
      <c r="A17479" t="str">
        <f>"166654965347"</f>
        <v>166654965347</v>
      </c>
      <c r="B17479" t="s">
        <v>482</v>
      </c>
      <c r="C17479" t="s">
        <v>6009</v>
      </c>
      <c r="D17479" t="s">
        <v>58084</v>
      </c>
      <c r="E17479">
        <v>425000</v>
      </c>
      <c r="F17479" t="s">
        <v>1</v>
      </c>
      <c r="G17479" t="s">
        <v>52955</v>
      </c>
      <c r="H17479" t="s">
        <v>53093</v>
      </c>
      <c r="I17479" t="s">
        <v>58085</v>
      </c>
      <c r="P17479" t="s">
        <v>20</v>
      </c>
      <c r="Y17479" t="s">
        <v>53099</v>
      </c>
    </row>
    <row r="17480" spans="1:25" x14ac:dyDescent="0.25">
      <c r="A17480" t="str">
        <f>"166682888466"</f>
        <v>166682888466</v>
      </c>
      <c r="B17480" t="s">
        <v>574</v>
      </c>
      <c r="C17480" t="s">
        <v>646</v>
      </c>
      <c r="D17480" t="s">
        <v>644</v>
      </c>
      <c r="E17480">
        <v>425000</v>
      </c>
      <c r="F17480" t="s">
        <v>1</v>
      </c>
      <c r="G17480" t="s">
        <v>52955</v>
      </c>
      <c r="H17480" t="s">
        <v>55409</v>
      </c>
      <c r="P17480" t="s">
        <v>216</v>
      </c>
      <c r="Y17480" t="s">
        <v>58086</v>
      </c>
    </row>
    <row r="17481" spans="1:25" x14ac:dyDescent="0.25">
      <c r="A17481" t="str">
        <f>"166728359703"</f>
        <v>166728359703</v>
      </c>
      <c r="B17481" t="s">
        <v>4084</v>
      </c>
      <c r="C17481" t="s">
        <v>7951</v>
      </c>
      <c r="D17481" t="s">
        <v>58087</v>
      </c>
      <c r="E17481">
        <v>425000</v>
      </c>
      <c r="F17481" t="s">
        <v>1</v>
      </c>
      <c r="G17481" t="s">
        <v>52955</v>
      </c>
      <c r="H17481" t="s">
        <v>54527</v>
      </c>
      <c r="Y17481" t="s">
        <v>58088</v>
      </c>
    </row>
    <row r="17482" spans="1:25" x14ac:dyDescent="0.25">
      <c r="A17482" t="str">
        <f>"166825464684"</f>
        <v>166825464684</v>
      </c>
      <c r="B17482" t="s">
        <v>96</v>
      </c>
      <c r="C17482" t="s">
        <v>12115</v>
      </c>
      <c r="D17482" t="s">
        <v>12115</v>
      </c>
      <c r="E17482">
        <v>425001</v>
      </c>
      <c r="F17482" t="s">
        <v>1</v>
      </c>
      <c r="G17482" t="s">
        <v>52955</v>
      </c>
      <c r="H17482" t="s">
        <v>53465</v>
      </c>
      <c r="Y17482" t="s">
        <v>58089</v>
      </c>
    </row>
    <row r="17483" spans="1:25" x14ac:dyDescent="0.25">
      <c r="A17483" t="str">
        <f>"166846521056"</f>
        <v>166846521056</v>
      </c>
      <c r="B17483" t="s">
        <v>96</v>
      </c>
      <c r="C17483" t="s">
        <v>16462</v>
      </c>
      <c r="D17483" t="s">
        <v>58090</v>
      </c>
      <c r="E17483">
        <v>425000</v>
      </c>
      <c r="F17483" t="s">
        <v>1</v>
      </c>
      <c r="G17483" t="s">
        <v>52955</v>
      </c>
      <c r="H17483" t="s">
        <v>56482</v>
      </c>
      <c r="Y17483" t="s">
        <v>58091</v>
      </c>
    </row>
    <row r="17484" spans="1:25" x14ac:dyDescent="0.25">
      <c r="A17484" t="str">
        <f>"167219414649"</f>
        <v>167219414649</v>
      </c>
      <c r="B17484" t="s">
        <v>574</v>
      </c>
      <c r="C17484" t="s">
        <v>646</v>
      </c>
      <c r="D17484" t="s">
        <v>4320</v>
      </c>
      <c r="E17484">
        <v>425009</v>
      </c>
      <c r="F17484" t="s">
        <v>1</v>
      </c>
      <c r="G17484" t="s">
        <v>52955</v>
      </c>
      <c r="H17484" t="s">
        <v>58092</v>
      </c>
      <c r="P17484" t="s">
        <v>28436</v>
      </c>
      <c r="Y17484" t="s">
        <v>58093</v>
      </c>
    </row>
    <row r="17485" spans="1:25" x14ac:dyDescent="0.25">
      <c r="A17485" t="str">
        <f>"167275694381"</f>
        <v>167275694381</v>
      </c>
      <c r="B17485" t="s">
        <v>18</v>
      </c>
      <c r="C17485" t="s">
        <v>12283</v>
      </c>
      <c r="D17485" t="s">
        <v>58094</v>
      </c>
      <c r="F17485" t="s">
        <v>1</v>
      </c>
      <c r="G17485" t="s">
        <v>52955</v>
      </c>
      <c r="H17485" t="s">
        <v>53727</v>
      </c>
      <c r="Y17485" t="s">
        <v>58095</v>
      </c>
    </row>
    <row r="17486" spans="1:25" x14ac:dyDescent="0.25">
      <c r="A17486" t="str">
        <f>"167520791066"</f>
        <v>167520791066</v>
      </c>
      <c r="B17486" t="s">
        <v>1061</v>
      </c>
      <c r="C17486" t="s">
        <v>26953</v>
      </c>
      <c r="D17486" t="s">
        <v>58096</v>
      </c>
      <c r="F17486" t="s">
        <v>1</v>
      </c>
      <c r="G17486" t="s">
        <v>52955</v>
      </c>
      <c r="H17486" t="s">
        <v>58097</v>
      </c>
      <c r="Y17486" t="s">
        <v>58098</v>
      </c>
    </row>
    <row r="17487" spans="1:25" x14ac:dyDescent="0.25">
      <c r="A17487" t="str">
        <f>"168210958867"</f>
        <v>168210958867</v>
      </c>
      <c r="B17487" t="s">
        <v>151</v>
      </c>
      <c r="C17487" t="s">
        <v>37881</v>
      </c>
      <c r="D17487" t="s">
        <v>1378</v>
      </c>
      <c r="E17487">
        <v>425011</v>
      </c>
      <c r="F17487" t="s">
        <v>1</v>
      </c>
      <c r="G17487" t="s">
        <v>52955</v>
      </c>
      <c r="H17487" t="s">
        <v>53155</v>
      </c>
      <c r="Y17487" t="s">
        <v>54523</v>
      </c>
    </row>
    <row r="17488" spans="1:25" x14ac:dyDescent="0.25">
      <c r="A17488" t="str">
        <f>"168402454898"</f>
        <v>168402454898</v>
      </c>
      <c r="B17488" t="s">
        <v>1315</v>
      </c>
      <c r="C17488" t="s">
        <v>4274</v>
      </c>
      <c r="D17488" t="s">
        <v>56915</v>
      </c>
      <c r="F17488" t="s">
        <v>1</v>
      </c>
      <c r="G17488" t="s">
        <v>52955</v>
      </c>
      <c r="H17488" t="s">
        <v>53592</v>
      </c>
      <c r="J17488" t="s">
        <v>58099</v>
      </c>
      <c r="M17488" t="s">
        <v>58100</v>
      </c>
      <c r="Y17488" t="s">
        <v>58101</v>
      </c>
    </row>
    <row r="17489" spans="1:25" x14ac:dyDescent="0.25">
      <c r="A17489" t="str">
        <f>"168425155097"</f>
        <v>168425155097</v>
      </c>
      <c r="B17489" t="s">
        <v>96</v>
      </c>
      <c r="C17489" t="s">
        <v>893</v>
      </c>
      <c r="D17489" t="s">
        <v>5805</v>
      </c>
      <c r="F17489" t="s">
        <v>1</v>
      </c>
      <c r="G17489" t="s">
        <v>52955</v>
      </c>
      <c r="H17489" t="s">
        <v>53198</v>
      </c>
      <c r="Y17489" t="s">
        <v>58102</v>
      </c>
    </row>
    <row r="17490" spans="1:25" x14ac:dyDescent="0.25">
      <c r="A17490" t="str">
        <f>"168536922704"</f>
        <v>168536922704</v>
      </c>
      <c r="B17490" t="s">
        <v>32</v>
      </c>
      <c r="C17490" t="s">
        <v>58105</v>
      </c>
      <c r="D17490" t="s">
        <v>58103</v>
      </c>
      <c r="E17490">
        <v>425000</v>
      </c>
      <c r="F17490" t="s">
        <v>1</v>
      </c>
      <c r="G17490" t="s">
        <v>52955</v>
      </c>
      <c r="H17490" t="s">
        <v>57552</v>
      </c>
      <c r="J17490" t="s">
        <v>58104</v>
      </c>
      <c r="P17490" t="s">
        <v>2050</v>
      </c>
      <c r="V17490" t="s">
        <v>58106</v>
      </c>
      <c r="Y17490" t="s">
        <v>58107</v>
      </c>
    </row>
    <row r="17491" spans="1:25" x14ac:dyDescent="0.25">
      <c r="A17491" t="str">
        <f>"168810224070"</f>
        <v>168810224070</v>
      </c>
      <c r="B17491" t="s">
        <v>117</v>
      </c>
      <c r="C17491" t="s">
        <v>873</v>
      </c>
      <c r="D17491" t="s">
        <v>873</v>
      </c>
      <c r="F17491" t="s">
        <v>1</v>
      </c>
      <c r="G17491" t="s">
        <v>52955</v>
      </c>
      <c r="H17491" t="s">
        <v>58108</v>
      </c>
      <c r="Y17491" t="s">
        <v>58109</v>
      </c>
    </row>
    <row r="17492" spans="1:25" x14ac:dyDescent="0.25">
      <c r="A17492" t="str">
        <f>"169137454585"</f>
        <v>169137454585</v>
      </c>
      <c r="B17492" t="s">
        <v>1046</v>
      </c>
      <c r="C17492" t="s">
        <v>22946</v>
      </c>
      <c r="D17492" t="s">
        <v>22946</v>
      </c>
      <c r="E17492">
        <v>425000</v>
      </c>
      <c r="F17492" t="s">
        <v>1</v>
      </c>
      <c r="G17492" t="s">
        <v>52955</v>
      </c>
      <c r="H17492" t="s">
        <v>53704</v>
      </c>
      <c r="Y17492" t="s">
        <v>58110</v>
      </c>
    </row>
    <row r="17493" spans="1:25" x14ac:dyDescent="0.25">
      <c r="A17493" t="str">
        <f>"169235436498"</f>
        <v>169235436498</v>
      </c>
      <c r="B17493" t="s">
        <v>188</v>
      </c>
      <c r="C17493" t="s">
        <v>58113</v>
      </c>
      <c r="D17493" t="s">
        <v>58111</v>
      </c>
      <c r="E17493">
        <v>425000</v>
      </c>
      <c r="F17493" t="s">
        <v>1</v>
      </c>
      <c r="G17493" t="s">
        <v>52955</v>
      </c>
      <c r="H17493" t="s">
        <v>53903</v>
      </c>
      <c r="J17493" t="s">
        <v>58112</v>
      </c>
      <c r="P17493" t="s">
        <v>46328</v>
      </c>
      <c r="Q17493" t="s">
        <v>58114</v>
      </c>
      <c r="Y17493" t="s">
        <v>58115</v>
      </c>
    </row>
    <row r="17494" spans="1:25" x14ac:dyDescent="0.25">
      <c r="A17494" t="str">
        <f>"169316148256"</f>
        <v>169316148256</v>
      </c>
      <c r="B17494" t="s">
        <v>32</v>
      </c>
      <c r="C17494" t="s">
        <v>28032</v>
      </c>
      <c r="D17494" t="s">
        <v>58116</v>
      </c>
      <c r="E17494">
        <v>425008</v>
      </c>
      <c r="F17494" t="s">
        <v>1</v>
      </c>
      <c r="G17494" t="s">
        <v>52955</v>
      </c>
      <c r="H17494" t="s">
        <v>53554</v>
      </c>
      <c r="Y17494" t="s">
        <v>58117</v>
      </c>
    </row>
    <row r="17495" spans="1:25" x14ac:dyDescent="0.25">
      <c r="A17495" t="str">
        <f>"169413217157"</f>
        <v>169413217157</v>
      </c>
      <c r="B17495" t="s">
        <v>290</v>
      </c>
      <c r="C17495" t="s">
        <v>290</v>
      </c>
      <c r="D17495" t="s">
        <v>58118</v>
      </c>
      <c r="E17495">
        <v>425009</v>
      </c>
      <c r="F17495" t="s">
        <v>1</v>
      </c>
      <c r="G17495" t="s">
        <v>52955</v>
      </c>
      <c r="H17495" t="s">
        <v>55205</v>
      </c>
      <c r="J17495" t="s">
        <v>58119</v>
      </c>
      <c r="M17495" t="s">
        <v>58120</v>
      </c>
      <c r="P17495" t="s">
        <v>16170</v>
      </c>
      <c r="Y17495" t="s">
        <v>58121</v>
      </c>
    </row>
    <row r="17496" spans="1:25" x14ac:dyDescent="0.25">
      <c r="A17496" t="str">
        <f>"169452418729"</f>
        <v>169452418729</v>
      </c>
      <c r="B17496" t="s">
        <v>290</v>
      </c>
      <c r="C17496" t="s">
        <v>290</v>
      </c>
      <c r="D17496" t="s">
        <v>58122</v>
      </c>
      <c r="E17496">
        <v>425000</v>
      </c>
      <c r="F17496" t="s">
        <v>1</v>
      </c>
      <c r="G17496" t="s">
        <v>52955</v>
      </c>
      <c r="H17496" t="s">
        <v>56616</v>
      </c>
      <c r="I17496" t="s">
        <v>58123</v>
      </c>
      <c r="M17496" t="s">
        <v>56620</v>
      </c>
      <c r="P17496" t="s">
        <v>330</v>
      </c>
      <c r="Y17496" t="s">
        <v>58124</v>
      </c>
    </row>
    <row r="17497" spans="1:25" x14ac:dyDescent="0.25">
      <c r="A17497" t="str">
        <f>"169465493683"</f>
        <v>169465493683</v>
      </c>
      <c r="B17497" t="s">
        <v>519</v>
      </c>
      <c r="C17497" t="s">
        <v>58127</v>
      </c>
      <c r="D17497" t="s">
        <v>58125</v>
      </c>
      <c r="E17497">
        <v>425000</v>
      </c>
      <c r="F17497" t="s">
        <v>1</v>
      </c>
      <c r="G17497" t="s">
        <v>52955</v>
      </c>
      <c r="H17497" t="s">
        <v>55251</v>
      </c>
      <c r="J17497" t="s">
        <v>58126</v>
      </c>
      <c r="P17497" t="s">
        <v>21813</v>
      </c>
      <c r="Y17497" t="s">
        <v>56146</v>
      </c>
    </row>
    <row r="17498" spans="1:25" x14ac:dyDescent="0.25">
      <c r="A17498" t="str">
        <f>"169582097501"</f>
        <v>169582097501</v>
      </c>
      <c r="B17498" t="s">
        <v>32</v>
      </c>
      <c r="C17498" t="s">
        <v>40</v>
      </c>
      <c r="D17498" t="s">
        <v>40</v>
      </c>
      <c r="F17498" t="s">
        <v>1</v>
      </c>
      <c r="G17498" t="s">
        <v>52955</v>
      </c>
      <c r="H17498" t="s">
        <v>53334</v>
      </c>
      <c r="Y17498" t="s">
        <v>58128</v>
      </c>
    </row>
    <row r="17499" spans="1:25" x14ac:dyDescent="0.25">
      <c r="A17499" t="str">
        <f>"169832348696"</f>
        <v>169832348696</v>
      </c>
      <c r="B17499" t="s">
        <v>88</v>
      </c>
      <c r="C17499" t="s">
        <v>6066</v>
      </c>
      <c r="D17499" t="s">
        <v>58129</v>
      </c>
      <c r="F17499" t="s">
        <v>1</v>
      </c>
      <c r="G17499" t="s">
        <v>52955</v>
      </c>
      <c r="H17499" t="s">
        <v>53072</v>
      </c>
      <c r="Y17499" t="s">
        <v>58130</v>
      </c>
    </row>
    <row r="17500" spans="1:25" x14ac:dyDescent="0.25">
      <c r="A17500" t="str">
        <f>"169984375601"</f>
        <v>169984375601</v>
      </c>
      <c r="B17500" t="s">
        <v>430</v>
      </c>
      <c r="C17500" t="s">
        <v>16178</v>
      </c>
      <c r="D17500" t="s">
        <v>58131</v>
      </c>
      <c r="F17500" t="s">
        <v>1</v>
      </c>
      <c r="G17500" t="s">
        <v>52955</v>
      </c>
      <c r="H17500" t="s">
        <v>55928</v>
      </c>
      <c r="I17500" t="s">
        <v>58132</v>
      </c>
      <c r="L17500" t="s">
        <v>58133</v>
      </c>
      <c r="M17500" t="s">
        <v>58134</v>
      </c>
      <c r="P17500" t="s">
        <v>330</v>
      </c>
      <c r="Q17500" t="s">
        <v>58135</v>
      </c>
      <c r="Y17500" t="s">
        <v>58136</v>
      </c>
    </row>
    <row r="17501" spans="1:25" x14ac:dyDescent="0.25">
      <c r="A17501" t="str">
        <f>"170047455015"</f>
        <v>170047455015</v>
      </c>
      <c r="B17501" t="s">
        <v>176</v>
      </c>
      <c r="C17501" t="s">
        <v>279</v>
      </c>
      <c r="D17501" t="s">
        <v>279</v>
      </c>
      <c r="E17501">
        <v>425011</v>
      </c>
      <c r="F17501" t="s">
        <v>1</v>
      </c>
      <c r="G17501" t="s">
        <v>52955</v>
      </c>
      <c r="H17501" t="s">
        <v>55477</v>
      </c>
      <c r="P17501" t="s">
        <v>330</v>
      </c>
      <c r="Y17501" t="s">
        <v>58137</v>
      </c>
    </row>
    <row r="17502" spans="1:25" x14ac:dyDescent="0.25">
      <c r="A17502" t="str">
        <f>"170057430300"</f>
        <v>170057430300</v>
      </c>
      <c r="B17502" t="s">
        <v>574</v>
      </c>
      <c r="C17502" t="s">
        <v>646</v>
      </c>
      <c r="D17502" t="s">
        <v>4221</v>
      </c>
      <c r="F17502" t="s">
        <v>1</v>
      </c>
      <c r="G17502" t="s">
        <v>52955</v>
      </c>
      <c r="H17502" t="s">
        <v>57357</v>
      </c>
      <c r="Y17502" t="s">
        <v>58138</v>
      </c>
    </row>
    <row r="17503" spans="1:25" x14ac:dyDescent="0.25">
      <c r="A17503" t="str">
        <f>"170217320388"</f>
        <v>170217320388</v>
      </c>
      <c r="B17503" t="s">
        <v>18</v>
      </c>
      <c r="C17503" t="s">
        <v>1419</v>
      </c>
      <c r="D17503" t="s">
        <v>58139</v>
      </c>
      <c r="F17503" t="s">
        <v>1</v>
      </c>
      <c r="G17503" t="s">
        <v>52955</v>
      </c>
      <c r="H17503" t="s">
        <v>54425</v>
      </c>
      <c r="I17503" t="s">
        <v>58140</v>
      </c>
      <c r="J17503" t="s">
        <v>54395</v>
      </c>
      <c r="P17503" t="s">
        <v>10133</v>
      </c>
      <c r="Y17503" t="s">
        <v>58141</v>
      </c>
    </row>
    <row r="17504" spans="1:25" x14ac:dyDescent="0.25">
      <c r="A17504" t="str">
        <f>"170401752373"</f>
        <v>170401752373</v>
      </c>
      <c r="B17504" t="s">
        <v>1230</v>
      </c>
      <c r="C17504" t="s">
        <v>2526</v>
      </c>
      <c r="D17504" t="s">
        <v>58142</v>
      </c>
      <c r="F17504" t="s">
        <v>1</v>
      </c>
      <c r="G17504" t="s">
        <v>52955</v>
      </c>
      <c r="H17504" t="s">
        <v>53657</v>
      </c>
      <c r="I17504" t="s">
        <v>58143</v>
      </c>
      <c r="P17504" t="s">
        <v>20</v>
      </c>
      <c r="Y17504" t="s">
        <v>53661</v>
      </c>
    </row>
    <row r="17505" spans="1:25" x14ac:dyDescent="0.25">
      <c r="A17505" t="str">
        <f>"170585779624"</f>
        <v>170585779624</v>
      </c>
      <c r="B17505" t="s">
        <v>1262</v>
      </c>
      <c r="C17505" t="s">
        <v>1263</v>
      </c>
      <c r="D17505" t="s">
        <v>58144</v>
      </c>
      <c r="F17505" t="s">
        <v>1</v>
      </c>
      <c r="G17505" t="s">
        <v>52955</v>
      </c>
      <c r="H17505" t="s">
        <v>55128</v>
      </c>
      <c r="Y17505" t="s">
        <v>58145</v>
      </c>
    </row>
    <row r="17506" spans="1:25" x14ac:dyDescent="0.25">
      <c r="A17506" t="str">
        <f>"170750737848"</f>
        <v>170750737848</v>
      </c>
      <c r="B17506" t="s">
        <v>574</v>
      </c>
      <c r="C17506" t="s">
        <v>646</v>
      </c>
      <c r="D17506" t="s">
        <v>51103</v>
      </c>
      <c r="E17506">
        <v>425003</v>
      </c>
      <c r="F17506" t="s">
        <v>1</v>
      </c>
      <c r="G17506" t="s">
        <v>52955</v>
      </c>
      <c r="H17506" t="s">
        <v>58146</v>
      </c>
      <c r="P17506" t="s">
        <v>216</v>
      </c>
      <c r="Y17506" t="s">
        <v>58147</v>
      </c>
    </row>
    <row r="17507" spans="1:25" x14ac:dyDescent="0.25">
      <c r="A17507" t="str">
        <f>"170769736485"</f>
        <v>170769736485</v>
      </c>
      <c r="B17507" t="s">
        <v>1475</v>
      </c>
      <c r="C17507" t="s">
        <v>1476</v>
      </c>
      <c r="D17507" t="s">
        <v>58148</v>
      </c>
      <c r="E17507">
        <v>425000</v>
      </c>
      <c r="F17507" t="s">
        <v>1</v>
      </c>
      <c r="G17507" t="s">
        <v>52955</v>
      </c>
      <c r="H17507" t="s">
        <v>54582</v>
      </c>
      <c r="P17507" t="s">
        <v>60</v>
      </c>
      <c r="Y17507" t="s">
        <v>58149</v>
      </c>
    </row>
    <row r="17508" spans="1:25" x14ac:dyDescent="0.25">
      <c r="A17508" t="str">
        <f>"170872480469"</f>
        <v>170872480469</v>
      </c>
      <c r="B17508" t="s">
        <v>2055</v>
      </c>
      <c r="C17508" t="s">
        <v>12243</v>
      </c>
      <c r="D17508" t="s">
        <v>58068</v>
      </c>
      <c r="E17508">
        <v>425000</v>
      </c>
      <c r="F17508" t="s">
        <v>1</v>
      </c>
      <c r="G17508" t="s">
        <v>52955</v>
      </c>
      <c r="H17508" t="s">
        <v>52972</v>
      </c>
      <c r="I17508" t="s">
        <v>58150</v>
      </c>
      <c r="K17508" t="s">
        <v>58151</v>
      </c>
      <c r="L17508" t="s">
        <v>58152</v>
      </c>
      <c r="M17508" t="s">
        <v>58153</v>
      </c>
      <c r="P17508" t="s">
        <v>280</v>
      </c>
      <c r="Q17508" t="s">
        <v>58154</v>
      </c>
      <c r="S17508" t="s">
        <v>58155</v>
      </c>
      <c r="T17508" t="s">
        <v>58156</v>
      </c>
      <c r="Y17508" t="s">
        <v>58157</v>
      </c>
    </row>
    <row r="17509" spans="1:25" x14ac:dyDescent="0.25">
      <c r="A17509" t="str">
        <f>"171012679056"</f>
        <v>171012679056</v>
      </c>
      <c r="B17509" t="s">
        <v>32</v>
      </c>
      <c r="C17509" t="s">
        <v>40</v>
      </c>
      <c r="D17509" t="s">
        <v>18885</v>
      </c>
      <c r="E17509">
        <v>425001</v>
      </c>
      <c r="F17509" t="s">
        <v>1</v>
      </c>
      <c r="G17509" t="s">
        <v>52955</v>
      </c>
      <c r="H17509" t="s">
        <v>56121</v>
      </c>
      <c r="P17509" t="s">
        <v>1433</v>
      </c>
      <c r="Y17509" t="s">
        <v>58158</v>
      </c>
    </row>
    <row r="17510" spans="1:25" x14ac:dyDescent="0.25">
      <c r="A17510" t="str">
        <f>"171042481466"</f>
        <v>171042481466</v>
      </c>
      <c r="B17510" t="s">
        <v>3544</v>
      </c>
      <c r="C17510" t="s">
        <v>11303</v>
      </c>
      <c r="D17510" t="s">
        <v>57196</v>
      </c>
      <c r="E17510">
        <v>425001</v>
      </c>
      <c r="F17510" t="s">
        <v>1</v>
      </c>
      <c r="G17510" t="s">
        <v>52955</v>
      </c>
      <c r="H17510" t="s">
        <v>53185</v>
      </c>
      <c r="Y17510" t="s">
        <v>58159</v>
      </c>
    </row>
    <row r="17511" spans="1:25" x14ac:dyDescent="0.25">
      <c r="A17511" t="str">
        <f>"171249569132"</f>
        <v>171249569132</v>
      </c>
      <c r="B17511" t="s">
        <v>1573</v>
      </c>
      <c r="C17511" t="s">
        <v>1753</v>
      </c>
      <c r="D17511" t="s">
        <v>44251</v>
      </c>
      <c r="F17511" t="s">
        <v>1</v>
      </c>
      <c r="G17511" t="s">
        <v>52955</v>
      </c>
      <c r="H17511" t="s">
        <v>55608</v>
      </c>
      <c r="P17511" t="s">
        <v>1404</v>
      </c>
      <c r="Y17511" t="s">
        <v>58160</v>
      </c>
    </row>
    <row r="17512" spans="1:25" x14ac:dyDescent="0.25">
      <c r="A17512" t="str">
        <f>"171506689818"</f>
        <v>171506689818</v>
      </c>
      <c r="B17512" t="s">
        <v>888</v>
      </c>
      <c r="C17512" t="s">
        <v>888</v>
      </c>
      <c r="D17512" t="s">
        <v>53745</v>
      </c>
      <c r="E17512">
        <v>425003</v>
      </c>
      <c r="F17512" t="s">
        <v>1</v>
      </c>
      <c r="G17512" t="s">
        <v>52955</v>
      </c>
      <c r="H17512" t="s">
        <v>54649</v>
      </c>
      <c r="I17512" t="s">
        <v>58161</v>
      </c>
      <c r="P17512" t="s">
        <v>6236</v>
      </c>
      <c r="Y17512" t="s">
        <v>55471</v>
      </c>
    </row>
    <row r="17513" spans="1:25" x14ac:dyDescent="0.25">
      <c r="A17513" t="str">
        <f>"171734975299"</f>
        <v>171734975299</v>
      </c>
      <c r="B17513" t="s">
        <v>348</v>
      </c>
      <c r="C17513" t="s">
        <v>21775</v>
      </c>
      <c r="D17513" t="s">
        <v>25445</v>
      </c>
      <c r="F17513" t="s">
        <v>1</v>
      </c>
      <c r="G17513" t="s">
        <v>52955</v>
      </c>
      <c r="H17513" t="s">
        <v>55362</v>
      </c>
      <c r="Y17513" t="s">
        <v>58162</v>
      </c>
    </row>
    <row r="17514" spans="1:25" x14ac:dyDescent="0.25">
      <c r="A17514" t="str">
        <f>"171855350269"</f>
        <v>171855350269</v>
      </c>
      <c r="B17514" t="s">
        <v>574</v>
      </c>
      <c r="C17514" t="s">
        <v>646</v>
      </c>
      <c r="D17514" t="s">
        <v>41801</v>
      </c>
      <c r="E17514">
        <v>425001</v>
      </c>
      <c r="F17514" t="s">
        <v>1</v>
      </c>
      <c r="G17514" t="s">
        <v>52955</v>
      </c>
      <c r="H17514" t="s">
        <v>56121</v>
      </c>
      <c r="P17514" t="s">
        <v>410</v>
      </c>
      <c r="Y17514" t="s">
        <v>58163</v>
      </c>
    </row>
    <row r="17515" spans="1:25" x14ac:dyDescent="0.25">
      <c r="A17515" t="str">
        <f>"172206080495"</f>
        <v>172206080495</v>
      </c>
      <c r="B17515" t="s">
        <v>574</v>
      </c>
      <c r="C17515" t="s">
        <v>646</v>
      </c>
      <c r="D17515" t="s">
        <v>4950</v>
      </c>
      <c r="E17515">
        <v>425008</v>
      </c>
      <c r="F17515" t="s">
        <v>1</v>
      </c>
      <c r="G17515" t="s">
        <v>52955</v>
      </c>
      <c r="H17515" t="s">
        <v>57617</v>
      </c>
      <c r="Y17515" t="s">
        <v>58164</v>
      </c>
    </row>
    <row r="17516" spans="1:25" x14ac:dyDescent="0.25">
      <c r="A17516" t="str">
        <f>"172817606073"</f>
        <v>172817606073</v>
      </c>
      <c r="B17516" t="s">
        <v>530</v>
      </c>
      <c r="C17516" t="s">
        <v>23950</v>
      </c>
      <c r="D17516" t="s">
        <v>23950</v>
      </c>
      <c r="F17516" t="s">
        <v>1</v>
      </c>
      <c r="G17516" t="s">
        <v>52955</v>
      </c>
      <c r="H17516" t="s">
        <v>55903</v>
      </c>
      <c r="Y17516" t="s">
        <v>58165</v>
      </c>
    </row>
    <row r="17517" spans="1:25" x14ac:dyDescent="0.25">
      <c r="A17517" t="str">
        <f>"172867701559"</f>
        <v>172867701559</v>
      </c>
      <c r="B17517" t="s">
        <v>290</v>
      </c>
      <c r="C17517" t="s">
        <v>290</v>
      </c>
      <c r="D17517" t="s">
        <v>30193</v>
      </c>
      <c r="E17517">
        <v>425011</v>
      </c>
      <c r="F17517" t="s">
        <v>1</v>
      </c>
      <c r="G17517" t="s">
        <v>52955</v>
      </c>
      <c r="H17517" t="s">
        <v>53976</v>
      </c>
      <c r="Y17517" t="s">
        <v>58166</v>
      </c>
    </row>
    <row r="17518" spans="1:25" x14ac:dyDescent="0.25">
      <c r="A17518" t="str">
        <f>"172869191982"</f>
        <v>172869191982</v>
      </c>
      <c r="B17518" t="s">
        <v>430</v>
      </c>
      <c r="C17518" t="s">
        <v>17210</v>
      </c>
      <c r="D17518" t="s">
        <v>58167</v>
      </c>
      <c r="F17518" t="s">
        <v>1</v>
      </c>
      <c r="G17518" t="s">
        <v>52955</v>
      </c>
      <c r="H17518" t="s">
        <v>53398</v>
      </c>
      <c r="I17518" t="s">
        <v>58168</v>
      </c>
      <c r="Y17518" t="s">
        <v>58169</v>
      </c>
    </row>
    <row r="17519" spans="1:25" x14ac:dyDescent="0.25">
      <c r="A17519" t="str">
        <f>"172960970751"</f>
        <v>172960970751</v>
      </c>
      <c r="B17519" t="s">
        <v>1544</v>
      </c>
      <c r="C17519" t="s">
        <v>15598</v>
      </c>
      <c r="D17519" t="s">
        <v>58170</v>
      </c>
      <c r="E17519">
        <v>425009</v>
      </c>
      <c r="F17519" t="s">
        <v>1</v>
      </c>
      <c r="G17519" t="s">
        <v>52955</v>
      </c>
      <c r="H17519" t="s">
        <v>53696</v>
      </c>
      <c r="J17519" t="s">
        <v>58171</v>
      </c>
      <c r="P17519" t="s">
        <v>58172</v>
      </c>
      <c r="Y17519" t="s">
        <v>58173</v>
      </c>
    </row>
    <row r="17520" spans="1:25" x14ac:dyDescent="0.25">
      <c r="A17520" t="str">
        <f>"173543018871"</f>
        <v>173543018871</v>
      </c>
      <c r="B17520" t="s">
        <v>290</v>
      </c>
      <c r="C17520" t="s">
        <v>290</v>
      </c>
      <c r="D17520" t="s">
        <v>54018</v>
      </c>
      <c r="E17520">
        <v>425011</v>
      </c>
      <c r="F17520" t="s">
        <v>1</v>
      </c>
      <c r="G17520" t="s">
        <v>52955</v>
      </c>
      <c r="H17520" t="s">
        <v>55025</v>
      </c>
      <c r="Y17520" t="s">
        <v>58174</v>
      </c>
    </row>
    <row r="17521" spans="1:25" x14ac:dyDescent="0.25">
      <c r="A17521" t="str">
        <f>"173549208061"</f>
        <v>173549208061</v>
      </c>
      <c r="B17521" t="s">
        <v>1611</v>
      </c>
      <c r="C17521" t="s">
        <v>20927</v>
      </c>
      <c r="D17521" t="s">
        <v>20927</v>
      </c>
      <c r="E17521">
        <v>425000</v>
      </c>
      <c r="F17521" t="s">
        <v>1</v>
      </c>
      <c r="G17521" t="s">
        <v>52955</v>
      </c>
      <c r="H17521" t="s">
        <v>53783</v>
      </c>
      <c r="Y17521" t="s">
        <v>58175</v>
      </c>
    </row>
    <row r="17522" spans="1:25" x14ac:dyDescent="0.25">
      <c r="A17522" t="str">
        <f>"173814510310"</f>
        <v>173814510310</v>
      </c>
      <c r="B17522" t="s">
        <v>80</v>
      </c>
      <c r="C17522" t="s">
        <v>3295</v>
      </c>
      <c r="D17522" t="s">
        <v>58176</v>
      </c>
      <c r="E17522">
        <v>425000</v>
      </c>
      <c r="F17522" t="s">
        <v>1</v>
      </c>
      <c r="G17522" t="s">
        <v>52955</v>
      </c>
      <c r="H17522" t="s">
        <v>58177</v>
      </c>
      <c r="J17522" t="s">
        <v>58178</v>
      </c>
      <c r="M17522" t="s">
        <v>58179</v>
      </c>
      <c r="P17522" t="s">
        <v>1027</v>
      </c>
      <c r="Q17522" t="s">
        <v>58180</v>
      </c>
      <c r="V17522" t="s">
        <v>58181</v>
      </c>
      <c r="Y17522" t="s">
        <v>58182</v>
      </c>
    </row>
    <row r="17523" spans="1:25" x14ac:dyDescent="0.25">
      <c r="A17523" t="str">
        <f>"174037765000"</f>
        <v>174037765000</v>
      </c>
      <c r="B17523" t="s">
        <v>738</v>
      </c>
      <c r="C17523" t="s">
        <v>32344</v>
      </c>
      <c r="D17523" t="s">
        <v>2578</v>
      </c>
      <c r="F17523" t="s">
        <v>1</v>
      </c>
      <c r="G17523" t="s">
        <v>52955</v>
      </c>
      <c r="H17523" t="s">
        <v>56024</v>
      </c>
      <c r="J17523" t="s">
        <v>58183</v>
      </c>
      <c r="P17523" t="s">
        <v>58184</v>
      </c>
      <c r="Y17523" t="s">
        <v>58185</v>
      </c>
    </row>
    <row r="17524" spans="1:25" x14ac:dyDescent="0.25">
      <c r="A17524" t="str">
        <f>"174048387938"</f>
        <v>174048387938</v>
      </c>
      <c r="B17524" t="s">
        <v>96</v>
      </c>
      <c r="C17524" t="s">
        <v>16462</v>
      </c>
      <c r="D17524" t="s">
        <v>58090</v>
      </c>
      <c r="F17524" t="s">
        <v>1</v>
      </c>
      <c r="G17524" t="s">
        <v>52955</v>
      </c>
      <c r="H17524" t="s">
        <v>53072</v>
      </c>
      <c r="Y17524" t="s">
        <v>58186</v>
      </c>
    </row>
    <row r="17525" spans="1:25" x14ac:dyDescent="0.25">
      <c r="A17525" t="str">
        <f>"174102855875"</f>
        <v>174102855875</v>
      </c>
      <c r="B17525" t="s">
        <v>1061</v>
      </c>
      <c r="C17525" t="s">
        <v>26953</v>
      </c>
      <c r="D17525" t="s">
        <v>58187</v>
      </c>
      <c r="F17525" t="s">
        <v>1</v>
      </c>
      <c r="G17525" t="s">
        <v>52955</v>
      </c>
      <c r="H17525" t="s">
        <v>55719</v>
      </c>
      <c r="Y17525" t="s">
        <v>58188</v>
      </c>
    </row>
    <row r="17526" spans="1:25" x14ac:dyDescent="0.25">
      <c r="A17526" t="str">
        <f>"174666393102"</f>
        <v>174666393102</v>
      </c>
      <c r="B17526" t="s">
        <v>397</v>
      </c>
      <c r="C17526" t="s">
        <v>26803</v>
      </c>
      <c r="D17526" t="s">
        <v>32332</v>
      </c>
      <c r="F17526" t="s">
        <v>1</v>
      </c>
      <c r="G17526" t="s">
        <v>52955</v>
      </c>
      <c r="H17526" t="s">
        <v>53198</v>
      </c>
      <c r="I17526" t="s">
        <v>32333</v>
      </c>
      <c r="L17526" t="s">
        <v>32334</v>
      </c>
      <c r="M17526" t="s">
        <v>58189</v>
      </c>
      <c r="P17526" t="s">
        <v>55604</v>
      </c>
      <c r="Q17526" t="s">
        <v>48391</v>
      </c>
      <c r="V17526" t="s">
        <v>58190</v>
      </c>
      <c r="Y17526" t="s">
        <v>55699</v>
      </c>
    </row>
    <row r="17527" spans="1:25" x14ac:dyDescent="0.25">
      <c r="A17527" t="str">
        <f>"174896400679"</f>
        <v>174896400679</v>
      </c>
      <c r="B17527" t="s">
        <v>530</v>
      </c>
      <c r="C17527" t="s">
        <v>23950</v>
      </c>
      <c r="D17527" t="s">
        <v>23950</v>
      </c>
      <c r="E17527">
        <v>425003</v>
      </c>
      <c r="F17527" t="s">
        <v>1</v>
      </c>
      <c r="G17527" t="s">
        <v>52955</v>
      </c>
      <c r="H17527" t="s">
        <v>53610</v>
      </c>
      <c r="Y17527" t="s">
        <v>58191</v>
      </c>
    </row>
    <row r="17528" spans="1:25" x14ac:dyDescent="0.25">
      <c r="A17528" t="str">
        <f>"175105791966"</f>
        <v>175105791966</v>
      </c>
      <c r="B17528" t="s">
        <v>530</v>
      </c>
      <c r="C17528" t="s">
        <v>23950</v>
      </c>
      <c r="D17528" t="s">
        <v>23950</v>
      </c>
      <c r="F17528" t="s">
        <v>1</v>
      </c>
      <c r="G17528" t="s">
        <v>52955</v>
      </c>
      <c r="H17528" t="s">
        <v>56103</v>
      </c>
      <c r="Y17528" t="s">
        <v>58192</v>
      </c>
    </row>
    <row r="17529" spans="1:25" x14ac:dyDescent="0.25">
      <c r="A17529" t="str">
        <f>"175191306723"</f>
        <v>175191306723</v>
      </c>
      <c r="B17529" t="s">
        <v>2104</v>
      </c>
      <c r="C17529" t="s">
        <v>13387</v>
      </c>
      <c r="D17529" t="s">
        <v>34531</v>
      </c>
      <c r="E17529">
        <v>425001</v>
      </c>
      <c r="F17529" t="s">
        <v>1</v>
      </c>
      <c r="G17529" t="s">
        <v>52955</v>
      </c>
      <c r="H17529" t="s">
        <v>54992</v>
      </c>
      <c r="Y17529" t="s">
        <v>58193</v>
      </c>
    </row>
    <row r="17530" spans="1:25" x14ac:dyDescent="0.25">
      <c r="A17530" t="str">
        <f>"175557889055"</f>
        <v>175557889055</v>
      </c>
      <c r="B17530" t="s">
        <v>352</v>
      </c>
      <c r="C17530" t="s">
        <v>58195</v>
      </c>
      <c r="D17530" t="s">
        <v>58194</v>
      </c>
      <c r="F17530" t="s">
        <v>1</v>
      </c>
      <c r="G17530" t="s">
        <v>52955</v>
      </c>
      <c r="H17530" t="s">
        <v>53417</v>
      </c>
      <c r="Y17530" t="s">
        <v>58196</v>
      </c>
    </row>
    <row r="17531" spans="1:25" x14ac:dyDescent="0.25">
      <c r="A17531" t="str">
        <f>"175826767812"</f>
        <v>175826767812</v>
      </c>
      <c r="B17531" t="s">
        <v>519</v>
      </c>
      <c r="C17531" t="s">
        <v>58199</v>
      </c>
      <c r="D17531" t="s">
        <v>17866</v>
      </c>
      <c r="E17531">
        <v>425000</v>
      </c>
      <c r="F17531" t="s">
        <v>1</v>
      </c>
      <c r="G17531" t="s">
        <v>52955</v>
      </c>
      <c r="H17531" t="s">
        <v>53068</v>
      </c>
      <c r="I17531" t="s">
        <v>58197</v>
      </c>
      <c r="J17531" t="s">
        <v>58198</v>
      </c>
      <c r="P17531" t="s">
        <v>58200</v>
      </c>
      <c r="Q17531" t="s">
        <v>58201</v>
      </c>
      <c r="Y17531" t="s">
        <v>56184</v>
      </c>
    </row>
    <row r="17532" spans="1:25" x14ac:dyDescent="0.25">
      <c r="A17532" t="str">
        <f>"175909990497"</f>
        <v>175909990497</v>
      </c>
      <c r="B17532" t="s">
        <v>2055</v>
      </c>
      <c r="C17532" t="s">
        <v>6421</v>
      </c>
      <c r="D17532" t="s">
        <v>58202</v>
      </c>
      <c r="E17532">
        <v>425000</v>
      </c>
      <c r="F17532" t="s">
        <v>1</v>
      </c>
      <c r="G17532" t="s">
        <v>52955</v>
      </c>
      <c r="H17532" t="s">
        <v>52972</v>
      </c>
      <c r="P17532" t="s">
        <v>1160</v>
      </c>
      <c r="Y17532" t="s">
        <v>58203</v>
      </c>
    </row>
    <row r="17533" spans="1:25" x14ac:dyDescent="0.25">
      <c r="A17533" t="str">
        <f>"176148723697"</f>
        <v>176148723697</v>
      </c>
      <c r="B17533" t="s">
        <v>574</v>
      </c>
      <c r="C17533" t="s">
        <v>646</v>
      </c>
      <c r="D17533" t="s">
        <v>4221</v>
      </c>
      <c r="F17533" t="s">
        <v>1</v>
      </c>
      <c r="G17533" t="s">
        <v>52955</v>
      </c>
      <c r="H17533" t="s">
        <v>55316</v>
      </c>
      <c r="P17533" t="s">
        <v>9820</v>
      </c>
      <c r="Y17533" t="s">
        <v>58204</v>
      </c>
    </row>
    <row r="17534" spans="1:25" x14ac:dyDescent="0.25">
      <c r="A17534" t="str">
        <f>"176399057807"</f>
        <v>176399057807</v>
      </c>
      <c r="B17534" t="s">
        <v>591</v>
      </c>
      <c r="C17534" t="s">
        <v>7358</v>
      </c>
      <c r="D17534" t="s">
        <v>58205</v>
      </c>
      <c r="F17534" t="s">
        <v>1</v>
      </c>
      <c r="G17534" t="s">
        <v>52955</v>
      </c>
      <c r="H17534" t="s">
        <v>53275</v>
      </c>
      <c r="J17534" t="s">
        <v>58206</v>
      </c>
      <c r="Y17534" t="s">
        <v>54084</v>
      </c>
    </row>
    <row r="17535" spans="1:25" x14ac:dyDescent="0.25">
      <c r="A17535" t="str">
        <f>"176419897630"</f>
        <v>176419897630</v>
      </c>
      <c r="B17535" t="s">
        <v>2601</v>
      </c>
      <c r="C17535" t="s">
        <v>24678</v>
      </c>
      <c r="D17535" t="s">
        <v>58207</v>
      </c>
      <c r="E17535">
        <v>425009</v>
      </c>
      <c r="F17535" t="s">
        <v>1</v>
      </c>
      <c r="G17535" t="s">
        <v>52955</v>
      </c>
      <c r="H17535" t="s">
        <v>57685</v>
      </c>
      <c r="Y17535" t="s">
        <v>58208</v>
      </c>
    </row>
    <row r="17536" spans="1:25" x14ac:dyDescent="0.25">
      <c r="A17536" t="str">
        <f>"176450203350"</f>
        <v>176450203350</v>
      </c>
      <c r="B17536" t="s">
        <v>2104</v>
      </c>
      <c r="C17536" t="s">
        <v>25543</v>
      </c>
      <c r="D17536" t="s">
        <v>55191</v>
      </c>
      <c r="F17536" t="s">
        <v>1</v>
      </c>
      <c r="G17536" t="s">
        <v>52955</v>
      </c>
      <c r="H17536" t="s">
        <v>56731</v>
      </c>
      <c r="Y17536" t="s">
        <v>58209</v>
      </c>
    </row>
    <row r="17537" spans="1:25" x14ac:dyDescent="0.25">
      <c r="A17537" t="str">
        <f>"176528218268"</f>
        <v>176528218268</v>
      </c>
      <c r="B17537" t="s">
        <v>574</v>
      </c>
      <c r="C17537" t="s">
        <v>646</v>
      </c>
      <c r="D17537" t="s">
        <v>26890</v>
      </c>
      <c r="E17537">
        <v>425001</v>
      </c>
      <c r="F17537" t="s">
        <v>1</v>
      </c>
      <c r="G17537" t="s">
        <v>52955</v>
      </c>
      <c r="H17537" t="s">
        <v>54874</v>
      </c>
      <c r="P17537" t="s">
        <v>216</v>
      </c>
      <c r="Y17537" t="s">
        <v>58210</v>
      </c>
    </row>
    <row r="17538" spans="1:25" x14ac:dyDescent="0.25">
      <c r="A17538" t="str">
        <f>"176914054069"</f>
        <v>176914054069</v>
      </c>
      <c r="B17538" t="s">
        <v>1573</v>
      </c>
      <c r="C17538" t="s">
        <v>1817</v>
      </c>
      <c r="D17538" t="s">
        <v>58211</v>
      </c>
      <c r="F17538" t="s">
        <v>1</v>
      </c>
      <c r="G17538" t="s">
        <v>52955</v>
      </c>
      <c r="H17538" t="s">
        <v>58212</v>
      </c>
      <c r="P17538" t="s">
        <v>799</v>
      </c>
      <c r="Y17538" t="s">
        <v>58213</v>
      </c>
    </row>
    <row r="17539" spans="1:25" x14ac:dyDescent="0.25">
      <c r="A17539" t="str">
        <f>"177114306663"</f>
        <v>177114306663</v>
      </c>
      <c r="B17539" t="s">
        <v>32</v>
      </c>
      <c r="C17539" t="s">
        <v>40</v>
      </c>
      <c r="D17539" t="s">
        <v>58214</v>
      </c>
      <c r="E17539">
        <v>425011</v>
      </c>
      <c r="F17539" t="s">
        <v>1</v>
      </c>
      <c r="G17539" t="s">
        <v>52955</v>
      </c>
      <c r="H17539" t="s">
        <v>53927</v>
      </c>
      <c r="P17539" t="s">
        <v>2050</v>
      </c>
      <c r="Y17539" t="s">
        <v>58215</v>
      </c>
    </row>
    <row r="17540" spans="1:25" x14ac:dyDescent="0.25">
      <c r="A17540" t="str">
        <f>"177220394902"</f>
        <v>177220394902</v>
      </c>
      <c r="B17540" t="s">
        <v>110</v>
      </c>
      <c r="C17540" t="s">
        <v>111</v>
      </c>
      <c r="D17540" t="s">
        <v>1115</v>
      </c>
      <c r="F17540" t="s">
        <v>1</v>
      </c>
      <c r="G17540" t="s">
        <v>52955</v>
      </c>
      <c r="H17540" t="s">
        <v>55608</v>
      </c>
      <c r="Y17540" t="s">
        <v>58216</v>
      </c>
    </row>
    <row r="17541" spans="1:25" x14ac:dyDescent="0.25">
      <c r="A17541" t="str">
        <f>"177531278031"</f>
        <v>177531278031</v>
      </c>
      <c r="B17541" t="s">
        <v>3652</v>
      </c>
      <c r="C17541" t="s">
        <v>3685</v>
      </c>
      <c r="D17541" t="s">
        <v>58217</v>
      </c>
      <c r="E17541">
        <v>425000</v>
      </c>
      <c r="F17541" t="s">
        <v>1</v>
      </c>
      <c r="G17541" t="s">
        <v>52955</v>
      </c>
      <c r="H17541" t="s">
        <v>54295</v>
      </c>
      <c r="Y17541" t="s">
        <v>58218</v>
      </c>
    </row>
    <row r="17542" spans="1:25" x14ac:dyDescent="0.25">
      <c r="A17542" t="str">
        <f>"177758315200"</f>
        <v>177758315200</v>
      </c>
      <c r="B17542" t="s">
        <v>1061</v>
      </c>
      <c r="C17542" t="s">
        <v>26953</v>
      </c>
      <c r="D17542" t="s">
        <v>58219</v>
      </c>
      <c r="F17542" t="s">
        <v>1</v>
      </c>
      <c r="G17542" t="s">
        <v>52955</v>
      </c>
      <c r="H17542" t="s">
        <v>58220</v>
      </c>
      <c r="Y17542" t="s">
        <v>58221</v>
      </c>
    </row>
    <row r="17543" spans="1:25" x14ac:dyDescent="0.25">
      <c r="A17543" t="str">
        <f>"177832626277"</f>
        <v>177832626277</v>
      </c>
      <c r="B17543" t="s">
        <v>4084</v>
      </c>
      <c r="C17543" t="s">
        <v>28282</v>
      </c>
      <c r="D17543" t="s">
        <v>55578</v>
      </c>
      <c r="E17543">
        <v>425008</v>
      </c>
      <c r="F17543" t="s">
        <v>1</v>
      </c>
      <c r="G17543" t="s">
        <v>52955</v>
      </c>
      <c r="H17543" t="s">
        <v>55156</v>
      </c>
      <c r="P17543" t="s">
        <v>133</v>
      </c>
      <c r="Y17543" t="s">
        <v>58222</v>
      </c>
    </row>
    <row r="17544" spans="1:25" x14ac:dyDescent="0.25">
      <c r="A17544" t="str">
        <f>"178007616925"</f>
        <v>178007616925</v>
      </c>
      <c r="B17544" t="s">
        <v>18</v>
      </c>
      <c r="C17544" t="s">
        <v>5273</v>
      </c>
      <c r="D17544" t="s">
        <v>53944</v>
      </c>
      <c r="F17544" t="s">
        <v>1</v>
      </c>
      <c r="G17544" t="s">
        <v>52955</v>
      </c>
      <c r="H17544" t="s">
        <v>56024</v>
      </c>
      <c r="P17544" t="s">
        <v>799</v>
      </c>
      <c r="Y17544" t="s">
        <v>58223</v>
      </c>
    </row>
    <row r="17545" spans="1:25" x14ac:dyDescent="0.25">
      <c r="A17545" t="str">
        <f>"179142502113"</f>
        <v>179142502113</v>
      </c>
      <c r="B17545" t="s">
        <v>456</v>
      </c>
      <c r="C17545" t="s">
        <v>4178</v>
      </c>
      <c r="D17545" t="s">
        <v>58224</v>
      </c>
      <c r="E17545">
        <v>425009</v>
      </c>
      <c r="F17545" t="s">
        <v>1</v>
      </c>
      <c r="G17545" t="s">
        <v>52955</v>
      </c>
      <c r="H17545" t="s">
        <v>54569</v>
      </c>
      <c r="Y17545" t="s">
        <v>58225</v>
      </c>
    </row>
    <row r="17546" spans="1:25" x14ac:dyDescent="0.25">
      <c r="A17546" t="str">
        <f>"179162013644"</f>
        <v>179162013644</v>
      </c>
      <c r="B17546" t="s">
        <v>530</v>
      </c>
      <c r="C17546" t="s">
        <v>23950</v>
      </c>
      <c r="D17546" t="s">
        <v>23950</v>
      </c>
      <c r="E17546">
        <v>425005</v>
      </c>
      <c r="F17546" t="s">
        <v>1</v>
      </c>
      <c r="G17546" t="s">
        <v>52955</v>
      </c>
      <c r="H17546" t="s">
        <v>58226</v>
      </c>
      <c r="Y17546" t="s">
        <v>58227</v>
      </c>
    </row>
    <row r="17547" spans="1:25" x14ac:dyDescent="0.25">
      <c r="A17547" t="str">
        <f>"179451807200"</f>
        <v>179451807200</v>
      </c>
      <c r="B17547" t="s">
        <v>930</v>
      </c>
      <c r="C17547" t="s">
        <v>58230</v>
      </c>
      <c r="D17547" t="s">
        <v>1094</v>
      </c>
      <c r="E17547">
        <v>425008</v>
      </c>
      <c r="F17547" t="s">
        <v>1</v>
      </c>
      <c r="G17547" t="s">
        <v>52955</v>
      </c>
      <c r="H17547" t="s">
        <v>58228</v>
      </c>
      <c r="J17547" t="s">
        <v>58229</v>
      </c>
      <c r="P17547" t="s">
        <v>58231</v>
      </c>
      <c r="Y17547" t="s">
        <v>58232</v>
      </c>
    </row>
    <row r="17548" spans="1:25" x14ac:dyDescent="0.25">
      <c r="A17548" t="str">
        <f>"179781032470"</f>
        <v>179781032470</v>
      </c>
      <c r="B17548" t="s">
        <v>32</v>
      </c>
      <c r="C17548" t="s">
        <v>182</v>
      </c>
      <c r="D17548" t="s">
        <v>58233</v>
      </c>
      <c r="E17548">
        <v>425009</v>
      </c>
      <c r="F17548" t="s">
        <v>1</v>
      </c>
      <c r="G17548" t="s">
        <v>52955</v>
      </c>
      <c r="H17548" t="s">
        <v>58234</v>
      </c>
      <c r="Y17548" t="s">
        <v>58235</v>
      </c>
    </row>
    <row r="17549" spans="1:25" x14ac:dyDescent="0.25">
      <c r="A17549" t="str">
        <f>"179787446849"</f>
        <v>179787446849</v>
      </c>
      <c r="B17549" t="s">
        <v>176</v>
      </c>
      <c r="C17549" t="s">
        <v>250</v>
      </c>
      <c r="D17549" t="s">
        <v>58236</v>
      </c>
      <c r="E17549">
        <v>425000</v>
      </c>
      <c r="F17549" t="s">
        <v>1</v>
      </c>
      <c r="G17549" t="s">
        <v>52955</v>
      </c>
      <c r="H17549" t="s">
        <v>53639</v>
      </c>
      <c r="Y17549" t="s">
        <v>58237</v>
      </c>
    </row>
    <row r="17550" spans="1:25" x14ac:dyDescent="0.25">
      <c r="A17550" t="str">
        <f>"180040408776"</f>
        <v>180040408776</v>
      </c>
      <c r="B17550" t="s">
        <v>80</v>
      </c>
      <c r="C17550" t="s">
        <v>2071</v>
      </c>
      <c r="D17550" t="s">
        <v>49059</v>
      </c>
      <c r="E17550">
        <v>425009</v>
      </c>
      <c r="F17550" t="s">
        <v>1</v>
      </c>
      <c r="G17550" t="s">
        <v>52955</v>
      </c>
      <c r="H17550" t="s">
        <v>53696</v>
      </c>
      <c r="P17550" t="s">
        <v>55823</v>
      </c>
      <c r="Y17550" t="s">
        <v>58238</v>
      </c>
    </row>
    <row r="17551" spans="1:25" x14ac:dyDescent="0.25">
      <c r="A17551" t="str">
        <f>"180084381576"</f>
        <v>180084381576</v>
      </c>
      <c r="B17551" t="s">
        <v>32</v>
      </c>
      <c r="C17551" t="s">
        <v>9784</v>
      </c>
      <c r="D17551" t="s">
        <v>7151</v>
      </c>
      <c r="E17551">
        <v>425009</v>
      </c>
      <c r="F17551" t="s">
        <v>1</v>
      </c>
      <c r="G17551" t="s">
        <v>52955</v>
      </c>
      <c r="H17551" t="s">
        <v>57805</v>
      </c>
      <c r="J17551" t="s">
        <v>58239</v>
      </c>
      <c r="P17551" t="s">
        <v>2050</v>
      </c>
      <c r="Q17551" t="s">
        <v>58240</v>
      </c>
      <c r="Y17551" t="s">
        <v>58241</v>
      </c>
    </row>
    <row r="17552" spans="1:25" x14ac:dyDescent="0.25">
      <c r="A17552" t="str">
        <f>"180155684141"</f>
        <v>180155684141</v>
      </c>
      <c r="B17552" t="s">
        <v>319</v>
      </c>
      <c r="C17552" t="s">
        <v>320</v>
      </c>
      <c r="D17552" t="s">
        <v>54281</v>
      </c>
      <c r="E17552">
        <v>425011</v>
      </c>
      <c r="F17552" t="s">
        <v>1</v>
      </c>
      <c r="G17552" t="s">
        <v>52955</v>
      </c>
      <c r="H17552" t="s">
        <v>55025</v>
      </c>
      <c r="Y17552" t="s">
        <v>58242</v>
      </c>
    </row>
    <row r="17553" spans="1:25" x14ac:dyDescent="0.25">
      <c r="A17553" t="str">
        <f>"180603385821"</f>
        <v>180603385821</v>
      </c>
      <c r="B17553" t="s">
        <v>930</v>
      </c>
      <c r="C17553" t="s">
        <v>1096</v>
      </c>
      <c r="D17553" t="s">
        <v>1094</v>
      </c>
      <c r="E17553">
        <v>425000</v>
      </c>
      <c r="F17553" t="s">
        <v>1</v>
      </c>
      <c r="G17553" t="s">
        <v>52955</v>
      </c>
      <c r="H17553" t="s">
        <v>53024</v>
      </c>
      <c r="Y17553" t="s">
        <v>58243</v>
      </c>
    </row>
    <row r="17554" spans="1:25" x14ac:dyDescent="0.25">
      <c r="A17554" t="str">
        <f>"180606680259"</f>
        <v>180606680259</v>
      </c>
      <c r="B17554" t="s">
        <v>1544</v>
      </c>
      <c r="C17554" t="s">
        <v>58246</v>
      </c>
      <c r="D17554" t="s">
        <v>58244</v>
      </c>
      <c r="F17554" t="s">
        <v>1</v>
      </c>
      <c r="G17554" t="s">
        <v>52955</v>
      </c>
      <c r="H17554" t="s">
        <v>53417</v>
      </c>
      <c r="J17554" t="s">
        <v>58245</v>
      </c>
      <c r="P17554" t="s">
        <v>58247</v>
      </c>
      <c r="Q17554" t="s">
        <v>58248</v>
      </c>
      <c r="Y17554" t="s">
        <v>58249</v>
      </c>
    </row>
    <row r="17555" spans="1:25" x14ac:dyDescent="0.25">
      <c r="A17555" t="str">
        <f>"181404003574"</f>
        <v>181404003574</v>
      </c>
      <c r="B17555" t="s">
        <v>18</v>
      </c>
      <c r="C17555" t="s">
        <v>58250</v>
      </c>
      <c r="D17555" t="s">
        <v>9999</v>
      </c>
      <c r="E17555">
        <v>425003</v>
      </c>
      <c r="F17555" t="s">
        <v>1</v>
      </c>
      <c r="G17555" t="s">
        <v>52955</v>
      </c>
      <c r="H17555" t="s">
        <v>53392</v>
      </c>
      <c r="Y17555" t="s">
        <v>58251</v>
      </c>
    </row>
    <row r="17556" spans="1:25" x14ac:dyDescent="0.25">
      <c r="A17556" t="str">
        <f>"181787323593"</f>
        <v>181787323593</v>
      </c>
      <c r="B17556" t="s">
        <v>96</v>
      </c>
      <c r="C17556" t="s">
        <v>24042</v>
      </c>
      <c r="D17556" t="s">
        <v>58252</v>
      </c>
      <c r="F17556" t="s">
        <v>1</v>
      </c>
      <c r="G17556" t="s">
        <v>52955</v>
      </c>
      <c r="H17556" t="s">
        <v>55186</v>
      </c>
      <c r="Y17556" t="s">
        <v>58253</v>
      </c>
    </row>
    <row r="17557" spans="1:25" x14ac:dyDescent="0.25">
      <c r="A17557" t="str">
        <f>"182144626561"</f>
        <v>182144626561</v>
      </c>
      <c r="B17557" t="s">
        <v>2055</v>
      </c>
      <c r="C17557" t="s">
        <v>33618</v>
      </c>
      <c r="D17557" t="s">
        <v>58254</v>
      </c>
      <c r="F17557" t="s">
        <v>1</v>
      </c>
      <c r="G17557" t="s">
        <v>52955</v>
      </c>
      <c r="H17557" t="s">
        <v>58255</v>
      </c>
      <c r="I17557" t="s">
        <v>58256</v>
      </c>
      <c r="J17557" t="s">
        <v>58257</v>
      </c>
      <c r="P17557" t="s">
        <v>280</v>
      </c>
      <c r="Y17557" t="s">
        <v>58258</v>
      </c>
    </row>
    <row r="17558" spans="1:25" x14ac:dyDescent="0.25">
      <c r="A17558" t="str">
        <f>"182396793577"</f>
        <v>182396793577</v>
      </c>
      <c r="B17558" t="s">
        <v>67</v>
      </c>
      <c r="C17558" t="s">
        <v>832</v>
      </c>
      <c r="D17558" t="s">
        <v>32618</v>
      </c>
      <c r="E17558">
        <v>425000</v>
      </c>
      <c r="F17558" t="s">
        <v>1</v>
      </c>
      <c r="G17558" t="s">
        <v>52955</v>
      </c>
      <c r="H17558" t="s">
        <v>54206</v>
      </c>
      <c r="Y17558" t="s">
        <v>55783</v>
      </c>
    </row>
    <row r="17559" spans="1:25" x14ac:dyDescent="0.25">
      <c r="A17559" t="str">
        <f>"182610671055"</f>
        <v>182610671055</v>
      </c>
      <c r="B17559" t="s">
        <v>1046</v>
      </c>
      <c r="C17559" t="s">
        <v>13439</v>
      </c>
      <c r="D17559" t="s">
        <v>58259</v>
      </c>
      <c r="F17559" t="s">
        <v>1</v>
      </c>
      <c r="G17559" t="s">
        <v>52955</v>
      </c>
      <c r="H17559" t="s">
        <v>56793</v>
      </c>
      <c r="Y17559" t="s">
        <v>58260</v>
      </c>
    </row>
    <row r="17560" spans="1:25" x14ac:dyDescent="0.25">
      <c r="A17560" t="str">
        <f>"182931699954"</f>
        <v>182931699954</v>
      </c>
      <c r="B17560" t="s">
        <v>930</v>
      </c>
      <c r="C17560" t="s">
        <v>10263</v>
      </c>
      <c r="D17560" t="s">
        <v>10263</v>
      </c>
      <c r="F17560" t="s">
        <v>1</v>
      </c>
      <c r="G17560" t="s">
        <v>52955</v>
      </c>
      <c r="H17560" t="s">
        <v>55858</v>
      </c>
      <c r="Y17560" t="s">
        <v>58261</v>
      </c>
    </row>
    <row r="17561" spans="1:25" x14ac:dyDescent="0.25">
      <c r="A17561" t="str">
        <f>"183441465522"</f>
        <v>183441465522</v>
      </c>
      <c r="B17561" t="s">
        <v>32</v>
      </c>
      <c r="C17561" t="s">
        <v>40</v>
      </c>
      <c r="D17561" t="s">
        <v>5023</v>
      </c>
      <c r="E17561">
        <v>425011</v>
      </c>
      <c r="F17561" t="s">
        <v>1</v>
      </c>
      <c r="G17561" t="s">
        <v>52955</v>
      </c>
      <c r="H17561" t="s">
        <v>54593</v>
      </c>
      <c r="J17561" t="s">
        <v>58262</v>
      </c>
      <c r="Y17561" t="s">
        <v>54595</v>
      </c>
    </row>
    <row r="17562" spans="1:25" x14ac:dyDescent="0.25">
      <c r="A17562" t="str">
        <f>"183617506565"</f>
        <v>183617506565</v>
      </c>
      <c r="B17562" t="s">
        <v>10383</v>
      </c>
      <c r="C17562" t="s">
        <v>24146</v>
      </c>
      <c r="D17562" t="s">
        <v>24146</v>
      </c>
      <c r="F17562" t="s">
        <v>1</v>
      </c>
      <c r="G17562" t="s">
        <v>52955</v>
      </c>
      <c r="H17562" t="s">
        <v>55974</v>
      </c>
      <c r="Y17562" t="s">
        <v>58263</v>
      </c>
    </row>
    <row r="17563" spans="1:25" x14ac:dyDescent="0.25">
      <c r="A17563" t="str">
        <f>"183793582672"</f>
        <v>183793582672</v>
      </c>
      <c r="B17563" t="s">
        <v>574</v>
      </c>
      <c r="C17563" t="s">
        <v>646</v>
      </c>
      <c r="D17563" t="s">
        <v>21762</v>
      </c>
      <c r="F17563" t="s">
        <v>1</v>
      </c>
      <c r="G17563" t="s">
        <v>52955</v>
      </c>
      <c r="H17563" t="s">
        <v>56793</v>
      </c>
      <c r="P17563" t="s">
        <v>216</v>
      </c>
      <c r="Y17563" t="s">
        <v>58264</v>
      </c>
    </row>
    <row r="17564" spans="1:25" x14ac:dyDescent="0.25">
      <c r="A17564" t="str">
        <f>"184297139894"</f>
        <v>184297139894</v>
      </c>
      <c r="B17564" t="s">
        <v>96</v>
      </c>
      <c r="C17564" t="s">
        <v>893</v>
      </c>
      <c r="D17564" t="s">
        <v>58265</v>
      </c>
      <c r="F17564" t="s">
        <v>1</v>
      </c>
      <c r="G17564" t="s">
        <v>52955</v>
      </c>
      <c r="H17564" t="s">
        <v>53215</v>
      </c>
      <c r="Y17564" t="s">
        <v>58266</v>
      </c>
    </row>
    <row r="17565" spans="1:25" x14ac:dyDescent="0.25">
      <c r="A17565" t="str">
        <f>"184429169678"</f>
        <v>184429169678</v>
      </c>
      <c r="B17565" t="s">
        <v>96</v>
      </c>
      <c r="C17565" t="s">
        <v>893</v>
      </c>
      <c r="D17565" t="s">
        <v>25839</v>
      </c>
      <c r="F17565" t="s">
        <v>1</v>
      </c>
      <c r="G17565" t="s">
        <v>52955</v>
      </c>
      <c r="H17565" t="s">
        <v>53198</v>
      </c>
      <c r="Y17565" t="s">
        <v>58267</v>
      </c>
    </row>
    <row r="17566" spans="1:25" x14ac:dyDescent="0.25">
      <c r="A17566" t="str">
        <f>"185045304922"</f>
        <v>185045304922</v>
      </c>
      <c r="B17566" t="s">
        <v>574</v>
      </c>
      <c r="C17566" t="s">
        <v>646</v>
      </c>
      <c r="D17566" t="s">
        <v>4221</v>
      </c>
      <c r="E17566">
        <v>425008</v>
      </c>
      <c r="F17566" t="s">
        <v>1</v>
      </c>
      <c r="G17566" t="s">
        <v>52955</v>
      </c>
      <c r="H17566" t="s">
        <v>58268</v>
      </c>
      <c r="Y17566" t="s">
        <v>58269</v>
      </c>
    </row>
    <row r="17567" spans="1:25" x14ac:dyDescent="0.25">
      <c r="A17567" t="str">
        <f>"185248963491"</f>
        <v>185248963491</v>
      </c>
      <c r="B17567" t="s">
        <v>25</v>
      </c>
      <c r="C17567" t="s">
        <v>5632</v>
      </c>
      <c r="D17567" t="s">
        <v>58270</v>
      </c>
      <c r="E17567">
        <v>425000</v>
      </c>
      <c r="F17567" t="s">
        <v>1</v>
      </c>
      <c r="G17567" t="s">
        <v>52955</v>
      </c>
      <c r="H17567" t="s">
        <v>53093</v>
      </c>
      <c r="J17567" t="s">
        <v>58271</v>
      </c>
      <c r="P17567" t="s">
        <v>27</v>
      </c>
      <c r="Y17567" t="s">
        <v>53099</v>
      </c>
    </row>
    <row r="17568" spans="1:25" x14ac:dyDescent="0.25">
      <c r="A17568" t="str">
        <f>"185414232611"</f>
        <v>185414232611</v>
      </c>
      <c r="B17568" t="s">
        <v>530</v>
      </c>
      <c r="C17568" t="s">
        <v>23950</v>
      </c>
      <c r="D17568" t="s">
        <v>23950</v>
      </c>
      <c r="F17568" t="s">
        <v>1</v>
      </c>
      <c r="G17568" t="s">
        <v>52955</v>
      </c>
      <c r="H17568" t="s">
        <v>58272</v>
      </c>
      <c r="Y17568" t="s">
        <v>58273</v>
      </c>
    </row>
    <row r="17569" spans="1:25" x14ac:dyDescent="0.25">
      <c r="A17569" t="str">
        <f>"185661342946"</f>
        <v>185661342946</v>
      </c>
      <c r="B17569" t="s">
        <v>379</v>
      </c>
      <c r="C17569" t="s">
        <v>766</v>
      </c>
      <c r="D17569" t="s">
        <v>36582</v>
      </c>
      <c r="F17569" t="s">
        <v>1</v>
      </c>
      <c r="G17569" t="s">
        <v>52955</v>
      </c>
      <c r="H17569" t="s">
        <v>56117</v>
      </c>
      <c r="Y17569" t="s">
        <v>58274</v>
      </c>
    </row>
    <row r="17570" spans="1:25" x14ac:dyDescent="0.25">
      <c r="A17570" t="str">
        <f>"185683711806"</f>
        <v>185683711806</v>
      </c>
      <c r="B17570" t="s">
        <v>290</v>
      </c>
      <c r="C17570" t="s">
        <v>11603</v>
      </c>
      <c r="D17570" t="s">
        <v>46124</v>
      </c>
      <c r="F17570" t="s">
        <v>1</v>
      </c>
      <c r="G17570" t="s">
        <v>52955</v>
      </c>
      <c r="H17570" t="s">
        <v>56024</v>
      </c>
      <c r="P17570" t="s">
        <v>58275</v>
      </c>
      <c r="Y17570" t="s">
        <v>58276</v>
      </c>
    </row>
    <row r="17571" spans="1:25" x14ac:dyDescent="0.25">
      <c r="A17571" t="str">
        <f>"185975020119"</f>
        <v>185975020119</v>
      </c>
      <c r="B17571" t="s">
        <v>930</v>
      </c>
      <c r="C17571" t="s">
        <v>15966</v>
      </c>
      <c r="D17571" t="s">
        <v>58277</v>
      </c>
      <c r="E17571">
        <v>425000</v>
      </c>
      <c r="F17571" t="s">
        <v>1</v>
      </c>
      <c r="G17571" t="s">
        <v>52955</v>
      </c>
      <c r="H17571" t="s">
        <v>52972</v>
      </c>
      <c r="Y17571" t="s">
        <v>58278</v>
      </c>
    </row>
    <row r="17572" spans="1:25" x14ac:dyDescent="0.25">
      <c r="A17572" t="str">
        <f>"185976306820"</f>
        <v>185976306820</v>
      </c>
      <c r="B17572" t="s">
        <v>151</v>
      </c>
      <c r="C17572" t="s">
        <v>151</v>
      </c>
      <c r="D17572" t="s">
        <v>17927</v>
      </c>
      <c r="F17572" t="s">
        <v>1</v>
      </c>
      <c r="G17572" t="s">
        <v>52955</v>
      </c>
      <c r="H17572" t="s">
        <v>54348</v>
      </c>
      <c r="Y17572" t="s">
        <v>58279</v>
      </c>
    </row>
    <row r="17573" spans="1:25" x14ac:dyDescent="0.25">
      <c r="A17573" t="str">
        <f>"185993008505"</f>
        <v>185993008505</v>
      </c>
      <c r="B17573" t="s">
        <v>2104</v>
      </c>
      <c r="C17573" t="s">
        <v>13387</v>
      </c>
      <c r="D17573" t="s">
        <v>56021</v>
      </c>
      <c r="E17573">
        <v>425005</v>
      </c>
      <c r="F17573" t="s">
        <v>1</v>
      </c>
      <c r="G17573" t="s">
        <v>52955</v>
      </c>
      <c r="H17573" t="s">
        <v>54351</v>
      </c>
      <c r="Y17573" t="s">
        <v>58280</v>
      </c>
    </row>
    <row r="17574" spans="1:25" x14ac:dyDescent="0.25">
      <c r="A17574" t="str">
        <f>"186005980216"</f>
        <v>186005980216</v>
      </c>
      <c r="B17574" t="s">
        <v>110</v>
      </c>
      <c r="C17574" t="s">
        <v>111</v>
      </c>
      <c r="D17574" t="s">
        <v>1399</v>
      </c>
      <c r="E17574">
        <v>425009</v>
      </c>
      <c r="F17574" t="s">
        <v>1</v>
      </c>
      <c r="G17574" t="s">
        <v>52955</v>
      </c>
      <c r="H17574" t="s">
        <v>53696</v>
      </c>
      <c r="Y17574" t="s">
        <v>58281</v>
      </c>
    </row>
    <row r="17575" spans="1:25" x14ac:dyDescent="0.25">
      <c r="A17575" t="str">
        <f>"186082393762"</f>
        <v>186082393762</v>
      </c>
      <c r="B17575" t="s">
        <v>574</v>
      </c>
      <c r="C17575" t="s">
        <v>646</v>
      </c>
      <c r="D17575" t="s">
        <v>4221</v>
      </c>
      <c r="E17575">
        <v>425000</v>
      </c>
      <c r="F17575" t="s">
        <v>1</v>
      </c>
      <c r="G17575" t="s">
        <v>52955</v>
      </c>
      <c r="H17575" t="s">
        <v>55115</v>
      </c>
      <c r="Y17575" t="s">
        <v>58282</v>
      </c>
    </row>
    <row r="17576" spans="1:25" x14ac:dyDescent="0.25">
      <c r="A17576" t="str">
        <f>"186218276667"</f>
        <v>186218276667</v>
      </c>
      <c r="B17576" t="s">
        <v>574</v>
      </c>
      <c r="C17576" t="s">
        <v>646</v>
      </c>
      <c r="D17576" t="s">
        <v>37537</v>
      </c>
      <c r="E17576">
        <v>425005</v>
      </c>
      <c r="F17576" t="s">
        <v>1</v>
      </c>
      <c r="G17576" t="s">
        <v>52955</v>
      </c>
      <c r="H17576" t="s">
        <v>54351</v>
      </c>
      <c r="P17576" t="s">
        <v>647</v>
      </c>
      <c r="Y17576" t="s">
        <v>58283</v>
      </c>
    </row>
    <row r="17577" spans="1:25" x14ac:dyDescent="0.25">
      <c r="A17577" t="str">
        <f>"186393054643"</f>
        <v>186393054643</v>
      </c>
      <c r="B17577" t="s">
        <v>117</v>
      </c>
      <c r="C17577" t="s">
        <v>873</v>
      </c>
      <c r="D17577" t="s">
        <v>873</v>
      </c>
      <c r="F17577" t="s">
        <v>1</v>
      </c>
      <c r="G17577" t="s">
        <v>52955</v>
      </c>
      <c r="H17577" t="s">
        <v>55903</v>
      </c>
      <c r="Y17577" t="s">
        <v>58284</v>
      </c>
    </row>
    <row r="17578" spans="1:25" x14ac:dyDescent="0.25">
      <c r="A17578" t="str">
        <f>"186693814285"</f>
        <v>186693814285</v>
      </c>
      <c r="B17578" t="s">
        <v>18</v>
      </c>
      <c r="C17578" t="s">
        <v>57329</v>
      </c>
      <c r="D17578" t="s">
        <v>58285</v>
      </c>
      <c r="E17578">
        <v>425000</v>
      </c>
      <c r="F17578" t="s">
        <v>1</v>
      </c>
      <c r="G17578" t="s">
        <v>52955</v>
      </c>
      <c r="H17578" t="s">
        <v>58286</v>
      </c>
      <c r="J17578" t="s">
        <v>58287</v>
      </c>
      <c r="P17578" t="s">
        <v>54198</v>
      </c>
      <c r="Q17578" t="s">
        <v>58288</v>
      </c>
      <c r="Y17578" t="s">
        <v>58289</v>
      </c>
    </row>
    <row r="17579" spans="1:25" x14ac:dyDescent="0.25">
      <c r="A17579" t="str">
        <f>"186790803970"</f>
        <v>186790803970</v>
      </c>
      <c r="B17579" t="s">
        <v>7</v>
      </c>
      <c r="C17579" t="s">
        <v>58293</v>
      </c>
      <c r="D17579" t="s">
        <v>58290</v>
      </c>
      <c r="E17579">
        <v>425011</v>
      </c>
      <c r="F17579" t="s">
        <v>1</v>
      </c>
      <c r="G17579" t="s">
        <v>52955</v>
      </c>
      <c r="H17579" t="s">
        <v>53155</v>
      </c>
      <c r="J17579" t="s">
        <v>58291</v>
      </c>
      <c r="L17579" t="s">
        <v>58292</v>
      </c>
      <c r="P17579" t="s">
        <v>7390</v>
      </c>
      <c r="Q17579" t="s">
        <v>58294</v>
      </c>
      <c r="V17579" t="s">
        <v>58295</v>
      </c>
      <c r="Y17579" t="s">
        <v>58296</v>
      </c>
    </row>
    <row r="17580" spans="1:25" x14ac:dyDescent="0.25">
      <c r="A17580" t="str">
        <f>"187125681010"</f>
        <v>187125681010</v>
      </c>
      <c r="B17580" t="s">
        <v>96</v>
      </c>
      <c r="C17580" t="s">
        <v>24441</v>
      </c>
      <c r="D17580" t="s">
        <v>29469</v>
      </c>
      <c r="F17580" t="s">
        <v>1</v>
      </c>
      <c r="G17580" t="s">
        <v>52955</v>
      </c>
      <c r="H17580" t="s">
        <v>53072</v>
      </c>
      <c r="Y17580" t="s">
        <v>58297</v>
      </c>
    </row>
    <row r="17581" spans="1:25" x14ac:dyDescent="0.25">
      <c r="A17581" t="str">
        <f>"187220089843"</f>
        <v>187220089843</v>
      </c>
      <c r="B17581" t="s">
        <v>18</v>
      </c>
      <c r="C17581" t="s">
        <v>13796</v>
      </c>
      <c r="D17581" t="s">
        <v>58298</v>
      </c>
      <c r="F17581" t="s">
        <v>1</v>
      </c>
      <c r="G17581" t="s">
        <v>52955</v>
      </c>
      <c r="H17581" t="s">
        <v>55795</v>
      </c>
      <c r="Y17581" t="s">
        <v>58299</v>
      </c>
    </row>
    <row r="17582" spans="1:25" x14ac:dyDescent="0.25">
      <c r="A17582" t="str">
        <f>"187264440070"</f>
        <v>187264440070</v>
      </c>
      <c r="B17582" t="s">
        <v>151</v>
      </c>
      <c r="C17582" t="s">
        <v>13037</v>
      </c>
      <c r="D17582" t="s">
        <v>58300</v>
      </c>
      <c r="E17582">
        <v>425000</v>
      </c>
      <c r="F17582" t="s">
        <v>1</v>
      </c>
      <c r="G17582" t="s">
        <v>52955</v>
      </c>
      <c r="H17582" t="s">
        <v>52998</v>
      </c>
      <c r="J17582" t="s">
        <v>58301</v>
      </c>
      <c r="P17582" t="s">
        <v>11431</v>
      </c>
      <c r="Y17582" t="s">
        <v>53003</v>
      </c>
    </row>
    <row r="17583" spans="1:25" x14ac:dyDescent="0.25">
      <c r="A17583" t="str">
        <f>"187316629024"</f>
        <v>187316629024</v>
      </c>
      <c r="B17583" t="s">
        <v>7312</v>
      </c>
      <c r="C17583" t="s">
        <v>19097</v>
      </c>
      <c r="D17583" t="s">
        <v>58302</v>
      </c>
      <c r="E17583">
        <v>425011</v>
      </c>
      <c r="F17583" t="s">
        <v>1</v>
      </c>
      <c r="G17583" t="s">
        <v>52955</v>
      </c>
      <c r="H17583" t="s">
        <v>54593</v>
      </c>
      <c r="Y17583" t="s">
        <v>58303</v>
      </c>
    </row>
    <row r="17584" spans="1:25" x14ac:dyDescent="0.25">
      <c r="A17584" t="str">
        <f>"187432535550"</f>
        <v>187432535550</v>
      </c>
      <c r="B17584" t="s">
        <v>117</v>
      </c>
      <c r="C17584" t="s">
        <v>873</v>
      </c>
      <c r="D17584" t="s">
        <v>873</v>
      </c>
      <c r="E17584">
        <v>425000</v>
      </c>
      <c r="F17584" t="s">
        <v>1</v>
      </c>
      <c r="G17584" t="s">
        <v>52955</v>
      </c>
      <c r="H17584" t="s">
        <v>58304</v>
      </c>
      <c r="Y17584" t="s">
        <v>58305</v>
      </c>
    </row>
    <row r="17585" spans="1:25" x14ac:dyDescent="0.25">
      <c r="A17585" t="str">
        <f>"187435994721"</f>
        <v>187435994721</v>
      </c>
      <c r="B17585" t="s">
        <v>32</v>
      </c>
      <c r="C17585" t="s">
        <v>5623</v>
      </c>
      <c r="D17585" t="s">
        <v>30828</v>
      </c>
      <c r="E17585">
        <v>425000</v>
      </c>
      <c r="F17585" t="s">
        <v>1</v>
      </c>
      <c r="G17585" t="s">
        <v>52955</v>
      </c>
      <c r="H17585" t="s">
        <v>53549</v>
      </c>
      <c r="P17585" t="s">
        <v>410</v>
      </c>
      <c r="Y17585" t="s">
        <v>58306</v>
      </c>
    </row>
    <row r="17586" spans="1:25" x14ac:dyDescent="0.25">
      <c r="A17586" t="str">
        <f>"187683012911"</f>
        <v>187683012911</v>
      </c>
      <c r="B17586" t="s">
        <v>790</v>
      </c>
      <c r="C17586" t="s">
        <v>58308</v>
      </c>
      <c r="D17586" t="s">
        <v>16115</v>
      </c>
      <c r="F17586" t="s">
        <v>1</v>
      </c>
      <c r="G17586" t="s">
        <v>52955</v>
      </c>
      <c r="H17586" t="s">
        <v>54589</v>
      </c>
      <c r="J17586" t="s">
        <v>58307</v>
      </c>
      <c r="P17586" t="s">
        <v>9533</v>
      </c>
      <c r="Y17586" t="s">
        <v>58309</v>
      </c>
    </row>
    <row r="17587" spans="1:25" x14ac:dyDescent="0.25">
      <c r="A17587" t="str">
        <f>"187759720617"</f>
        <v>187759720617</v>
      </c>
      <c r="B17587" t="s">
        <v>574</v>
      </c>
      <c r="C17587" t="s">
        <v>646</v>
      </c>
      <c r="D17587" t="s">
        <v>29327</v>
      </c>
      <c r="E17587">
        <v>425000</v>
      </c>
      <c r="F17587" t="s">
        <v>1</v>
      </c>
      <c r="G17587" t="s">
        <v>52955</v>
      </c>
      <c r="H17587" t="s">
        <v>58310</v>
      </c>
      <c r="P17587" t="s">
        <v>60</v>
      </c>
      <c r="Y17587" t="s">
        <v>58311</v>
      </c>
    </row>
    <row r="17588" spans="1:25" x14ac:dyDescent="0.25">
      <c r="A17588" t="str">
        <f>"187778344302"</f>
        <v>187778344302</v>
      </c>
      <c r="B17588" t="s">
        <v>18</v>
      </c>
      <c r="C17588" t="s">
        <v>12289</v>
      </c>
      <c r="D17588" t="s">
        <v>36431</v>
      </c>
      <c r="F17588" t="s">
        <v>1</v>
      </c>
      <c r="G17588" t="s">
        <v>52955</v>
      </c>
      <c r="H17588" t="s">
        <v>53084</v>
      </c>
      <c r="Y17588" t="s">
        <v>58312</v>
      </c>
    </row>
    <row r="17589" spans="1:25" x14ac:dyDescent="0.25">
      <c r="A17589" t="str">
        <f>"187941678786"</f>
        <v>187941678786</v>
      </c>
      <c r="B17589" t="s">
        <v>243</v>
      </c>
      <c r="C17589" t="s">
        <v>2538</v>
      </c>
      <c r="D17589" t="s">
        <v>58313</v>
      </c>
      <c r="F17589" t="s">
        <v>1</v>
      </c>
      <c r="G17589" t="s">
        <v>52955</v>
      </c>
      <c r="H17589" t="s">
        <v>54589</v>
      </c>
      <c r="Y17589" t="s">
        <v>58314</v>
      </c>
    </row>
    <row r="17590" spans="1:25" x14ac:dyDescent="0.25">
      <c r="A17590" t="str">
        <f>"188019232815"</f>
        <v>188019232815</v>
      </c>
      <c r="B17590" t="s">
        <v>88</v>
      </c>
      <c r="C17590" t="s">
        <v>6066</v>
      </c>
      <c r="D17590" t="s">
        <v>24595</v>
      </c>
      <c r="E17590">
        <v>425000</v>
      </c>
      <c r="F17590" t="s">
        <v>1</v>
      </c>
      <c r="G17590" t="s">
        <v>52955</v>
      </c>
      <c r="H17590" t="s">
        <v>55579</v>
      </c>
      <c r="Y17590" t="s">
        <v>58315</v>
      </c>
    </row>
    <row r="17591" spans="1:25" x14ac:dyDescent="0.25">
      <c r="A17591" t="str">
        <f>"188106655033"</f>
        <v>188106655033</v>
      </c>
      <c r="B17591" t="s">
        <v>96</v>
      </c>
      <c r="C17591" t="s">
        <v>695</v>
      </c>
      <c r="D17591" t="s">
        <v>38451</v>
      </c>
      <c r="E17591">
        <v>425001</v>
      </c>
      <c r="F17591" t="s">
        <v>1</v>
      </c>
      <c r="G17591" t="s">
        <v>52955</v>
      </c>
      <c r="H17591" t="s">
        <v>53465</v>
      </c>
      <c r="J17591" t="s">
        <v>58316</v>
      </c>
      <c r="P17591" t="s">
        <v>696</v>
      </c>
      <c r="Y17591" t="s">
        <v>53472</v>
      </c>
    </row>
    <row r="17592" spans="1:25" x14ac:dyDescent="0.25">
      <c r="A17592" t="str">
        <f>"188152027737"</f>
        <v>188152027737</v>
      </c>
      <c r="B17592" t="s">
        <v>574</v>
      </c>
      <c r="C17592" t="s">
        <v>646</v>
      </c>
      <c r="D17592" t="s">
        <v>28599</v>
      </c>
      <c r="E17592">
        <v>425000</v>
      </c>
      <c r="F17592" t="s">
        <v>1</v>
      </c>
      <c r="G17592" t="s">
        <v>52955</v>
      </c>
      <c r="H17592" t="s">
        <v>53068</v>
      </c>
      <c r="Y17592" t="s">
        <v>58317</v>
      </c>
    </row>
    <row r="17593" spans="1:25" x14ac:dyDescent="0.25">
      <c r="A17593" t="str">
        <f>"188154843044"</f>
        <v>188154843044</v>
      </c>
      <c r="B17593" t="s">
        <v>2104</v>
      </c>
      <c r="C17593" t="s">
        <v>13387</v>
      </c>
      <c r="D17593" t="s">
        <v>34531</v>
      </c>
      <c r="E17593">
        <v>425000</v>
      </c>
      <c r="F17593" t="s">
        <v>1</v>
      </c>
      <c r="G17593" t="s">
        <v>52955</v>
      </c>
      <c r="H17593" t="s">
        <v>57943</v>
      </c>
      <c r="Y17593" t="s">
        <v>58318</v>
      </c>
    </row>
    <row r="17594" spans="1:25" x14ac:dyDescent="0.25">
      <c r="A17594" t="str">
        <f>"188387017338"</f>
        <v>188387017338</v>
      </c>
      <c r="B17594" t="s">
        <v>7</v>
      </c>
      <c r="C17594" t="s">
        <v>13296</v>
      </c>
      <c r="D17594" t="s">
        <v>58319</v>
      </c>
      <c r="E17594">
        <v>425000</v>
      </c>
      <c r="F17594" t="s">
        <v>1</v>
      </c>
      <c r="G17594" t="s">
        <v>52955</v>
      </c>
      <c r="H17594" t="s">
        <v>55935</v>
      </c>
      <c r="Y17594" t="s">
        <v>58320</v>
      </c>
    </row>
    <row r="17595" spans="1:25" x14ac:dyDescent="0.25">
      <c r="A17595" t="str">
        <f>"188575216599"</f>
        <v>188575216599</v>
      </c>
      <c r="B17595" t="s">
        <v>574</v>
      </c>
      <c r="C17595" t="s">
        <v>646</v>
      </c>
      <c r="D17595" t="s">
        <v>44008</v>
      </c>
      <c r="E17595">
        <v>425000</v>
      </c>
      <c r="F17595" t="s">
        <v>1</v>
      </c>
      <c r="G17595" t="s">
        <v>52955</v>
      </c>
      <c r="H17595" t="s">
        <v>53907</v>
      </c>
      <c r="Y17595" t="s">
        <v>58321</v>
      </c>
    </row>
    <row r="17596" spans="1:25" x14ac:dyDescent="0.25">
      <c r="A17596" t="str">
        <f>"188689193279"</f>
        <v>188689193279</v>
      </c>
      <c r="B17596" t="s">
        <v>290</v>
      </c>
      <c r="C17596" t="s">
        <v>290</v>
      </c>
      <c r="D17596" t="s">
        <v>44981</v>
      </c>
      <c r="E17596">
        <v>425000</v>
      </c>
      <c r="F17596" t="s">
        <v>1</v>
      </c>
      <c r="G17596" t="s">
        <v>52955</v>
      </c>
      <c r="H17596" t="s">
        <v>55251</v>
      </c>
      <c r="J17596" t="s">
        <v>58322</v>
      </c>
      <c r="P17596" t="s">
        <v>58323</v>
      </c>
      <c r="Q17596" t="s">
        <v>58324</v>
      </c>
      <c r="V17596" t="s">
        <v>58325</v>
      </c>
      <c r="Y17596" t="s">
        <v>56146</v>
      </c>
    </row>
    <row r="17597" spans="1:25" x14ac:dyDescent="0.25">
      <c r="A17597" t="str">
        <f>"188849388524"</f>
        <v>188849388524</v>
      </c>
      <c r="B17597" t="s">
        <v>574</v>
      </c>
      <c r="C17597" t="s">
        <v>646</v>
      </c>
      <c r="D17597" t="s">
        <v>39242</v>
      </c>
      <c r="E17597">
        <v>425011</v>
      </c>
      <c r="F17597" t="s">
        <v>1</v>
      </c>
      <c r="G17597" t="s">
        <v>52955</v>
      </c>
      <c r="H17597" t="s">
        <v>53927</v>
      </c>
      <c r="Y17597" t="s">
        <v>58326</v>
      </c>
    </row>
    <row r="17598" spans="1:25" x14ac:dyDescent="0.25">
      <c r="A17598" t="str">
        <f>"189017316774"</f>
        <v>189017316774</v>
      </c>
      <c r="B17598" t="s">
        <v>18</v>
      </c>
      <c r="C17598" t="s">
        <v>4522</v>
      </c>
      <c r="D17598" t="s">
        <v>58327</v>
      </c>
      <c r="F17598" t="s">
        <v>1</v>
      </c>
      <c r="G17598" t="s">
        <v>52955</v>
      </c>
      <c r="H17598" t="s">
        <v>57590</v>
      </c>
      <c r="J17598" t="s">
        <v>58328</v>
      </c>
      <c r="P17598" t="s">
        <v>34916</v>
      </c>
      <c r="Y17598" t="s">
        <v>58329</v>
      </c>
    </row>
    <row r="17599" spans="1:25" x14ac:dyDescent="0.25">
      <c r="A17599" t="str">
        <f>"189333982541"</f>
        <v>189333982541</v>
      </c>
      <c r="B17599" t="s">
        <v>88</v>
      </c>
      <c r="C17599" t="s">
        <v>58332</v>
      </c>
      <c r="D17599" t="s">
        <v>58330</v>
      </c>
      <c r="E17599">
        <v>425000</v>
      </c>
      <c r="F17599" t="s">
        <v>1</v>
      </c>
      <c r="G17599" t="s">
        <v>52955</v>
      </c>
      <c r="H17599" t="s">
        <v>53066</v>
      </c>
      <c r="J17599" t="s">
        <v>58331</v>
      </c>
      <c r="P17599" t="s">
        <v>58333</v>
      </c>
      <c r="Q17599" t="s">
        <v>58334</v>
      </c>
      <c r="Y17599" t="s">
        <v>54725</v>
      </c>
    </row>
    <row r="17600" spans="1:25" x14ac:dyDescent="0.25">
      <c r="A17600" t="str">
        <f>"189490176585"</f>
        <v>189490176585</v>
      </c>
      <c r="B17600" t="s">
        <v>18</v>
      </c>
      <c r="C17600" t="s">
        <v>58335</v>
      </c>
      <c r="D17600" t="s">
        <v>959</v>
      </c>
      <c r="E17600">
        <v>425001</v>
      </c>
      <c r="F17600" t="s">
        <v>1</v>
      </c>
      <c r="G17600" t="s">
        <v>52955</v>
      </c>
      <c r="H17600" t="s">
        <v>53465</v>
      </c>
      <c r="Y17600" t="s">
        <v>58336</v>
      </c>
    </row>
    <row r="17601" spans="1:25" x14ac:dyDescent="0.25">
      <c r="A17601" t="str">
        <f>"189521467680"</f>
        <v>189521467680</v>
      </c>
      <c r="B17601" t="s">
        <v>930</v>
      </c>
      <c r="C17601" t="s">
        <v>9679</v>
      </c>
      <c r="D17601" t="s">
        <v>58337</v>
      </c>
      <c r="E17601">
        <v>425011</v>
      </c>
      <c r="F17601" t="s">
        <v>1</v>
      </c>
      <c r="G17601" t="s">
        <v>52955</v>
      </c>
      <c r="H17601" t="s">
        <v>58338</v>
      </c>
      <c r="Y17601" t="s">
        <v>58339</v>
      </c>
    </row>
    <row r="17602" spans="1:25" x14ac:dyDescent="0.25">
      <c r="A17602" t="str">
        <f>"189565522868"</f>
        <v>189565522868</v>
      </c>
      <c r="B17602" t="s">
        <v>574</v>
      </c>
      <c r="C17602" t="s">
        <v>952</v>
      </c>
      <c r="D17602" t="s">
        <v>37723</v>
      </c>
      <c r="F17602" t="s">
        <v>1</v>
      </c>
      <c r="G17602" t="s">
        <v>52955</v>
      </c>
      <c r="H17602" t="s">
        <v>55724</v>
      </c>
      <c r="Y17602" t="s">
        <v>58340</v>
      </c>
    </row>
    <row r="17603" spans="1:25" x14ac:dyDescent="0.25">
      <c r="A17603" t="str">
        <f>"189723508851"</f>
        <v>189723508851</v>
      </c>
      <c r="B17603" t="s">
        <v>1078</v>
      </c>
      <c r="C17603" t="s">
        <v>1376</v>
      </c>
      <c r="D17603" t="s">
        <v>58341</v>
      </c>
      <c r="F17603" t="s">
        <v>1</v>
      </c>
      <c r="G17603" t="s">
        <v>52955</v>
      </c>
      <c r="H17603" t="s">
        <v>53871</v>
      </c>
      <c r="I17603" t="s">
        <v>58342</v>
      </c>
      <c r="K17603" t="s">
        <v>58342</v>
      </c>
      <c r="L17603" t="s">
        <v>54578</v>
      </c>
      <c r="M17603" t="s">
        <v>54579</v>
      </c>
      <c r="P17603" t="s">
        <v>280</v>
      </c>
      <c r="Y17603" t="s">
        <v>58343</v>
      </c>
    </row>
    <row r="17604" spans="1:25" x14ac:dyDescent="0.25">
      <c r="A17604" t="str">
        <f>"189736887204"</f>
        <v>189736887204</v>
      </c>
      <c r="B17604" t="s">
        <v>2601</v>
      </c>
      <c r="C17604" t="s">
        <v>58345</v>
      </c>
      <c r="D17604" t="s">
        <v>58344</v>
      </c>
      <c r="F17604" t="s">
        <v>1</v>
      </c>
      <c r="G17604" t="s">
        <v>52955</v>
      </c>
      <c r="H17604" t="s">
        <v>53051</v>
      </c>
      <c r="J17604" t="s">
        <v>57773</v>
      </c>
      <c r="P17604" t="s">
        <v>1027</v>
      </c>
      <c r="Q17604" t="s">
        <v>58346</v>
      </c>
      <c r="Y17604" t="s">
        <v>53055</v>
      </c>
    </row>
    <row r="17605" spans="1:25" x14ac:dyDescent="0.25">
      <c r="A17605" t="str">
        <f>"190322379998"</f>
        <v>190322379998</v>
      </c>
      <c r="B17605" t="s">
        <v>1352</v>
      </c>
      <c r="C17605" t="s">
        <v>1353</v>
      </c>
      <c r="D17605" t="s">
        <v>6723</v>
      </c>
      <c r="E17605">
        <v>425009</v>
      </c>
      <c r="F17605" t="s">
        <v>1</v>
      </c>
      <c r="G17605" t="s">
        <v>52955</v>
      </c>
      <c r="H17605" t="s">
        <v>55434</v>
      </c>
      <c r="Y17605" t="s">
        <v>58347</v>
      </c>
    </row>
    <row r="17606" spans="1:25" x14ac:dyDescent="0.25">
      <c r="A17606" t="str">
        <f>"190520496463"</f>
        <v>190520496463</v>
      </c>
      <c r="B17606" t="s">
        <v>803</v>
      </c>
      <c r="C17606" t="s">
        <v>4941</v>
      </c>
      <c r="D17606" t="s">
        <v>4941</v>
      </c>
      <c r="E17606">
        <v>425011</v>
      </c>
      <c r="F17606" t="s">
        <v>1</v>
      </c>
      <c r="G17606" t="s">
        <v>52955</v>
      </c>
      <c r="H17606" t="s">
        <v>53976</v>
      </c>
      <c r="Y17606" t="s">
        <v>58348</v>
      </c>
    </row>
    <row r="17607" spans="1:25" x14ac:dyDescent="0.25">
      <c r="A17607" t="str">
        <f>"190676525930"</f>
        <v>190676525930</v>
      </c>
      <c r="B17607" t="s">
        <v>176</v>
      </c>
      <c r="C17607" t="s">
        <v>279</v>
      </c>
      <c r="D17607" t="s">
        <v>58349</v>
      </c>
      <c r="E17607">
        <v>425008</v>
      </c>
      <c r="F17607" t="s">
        <v>1</v>
      </c>
      <c r="G17607" t="s">
        <v>52955</v>
      </c>
      <c r="H17607" t="s">
        <v>55884</v>
      </c>
      <c r="Y17607" t="s">
        <v>58350</v>
      </c>
    </row>
    <row r="17608" spans="1:25" x14ac:dyDescent="0.25">
      <c r="A17608" t="str">
        <f>"190919744862"</f>
        <v>190919744862</v>
      </c>
      <c r="B17608" t="s">
        <v>117</v>
      </c>
      <c r="C17608" t="s">
        <v>6850</v>
      </c>
      <c r="D17608" t="s">
        <v>6850</v>
      </c>
      <c r="F17608" t="s">
        <v>1</v>
      </c>
      <c r="G17608" t="s">
        <v>52955</v>
      </c>
      <c r="H17608" t="s">
        <v>58351</v>
      </c>
      <c r="Y17608" t="s">
        <v>58352</v>
      </c>
    </row>
    <row r="17609" spans="1:25" x14ac:dyDescent="0.25">
      <c r="A17609" t="str">
        <f>"191092143577"</f>
        <v>191092143577</v>
      </c>
      <c r="B17609" t="s">
        <v>574</v>
      </c>
      <c r="C17609" t="s">
        <v>646</v>
      </c>
      <c r="D17609" t="s">
        <v>58353</v>
      </c>
      <c r="E17609">
        <v>425005</v>
      </c>
      <c r="F17609" t="s">
        <v>1</v>
      </c>
      <c r="G17609" t="s">
        <v>52955</v>
      </c>
      <c r="H17609" t="s">
        <v>54351</v>
      </c>
      <c r="Y17609" t="s">
        <v>58354</v>
      </c>
    </row>
    <row r="17610" spans="1:25" x14ac:dyDescent="0.25">
      <c r="A17610" t="str">
        <f>"191515366277"</f>
        <v>191515366277</v>
      </c>
      <c r="B17610" t="s">
        <v>18</v>
      </c>
      <c r="C17610" t="s">
        <v>58358</v>
      </c>
      <c r="D17610" t="s">
        <v>58355</v>
      </c>
      <c r="F17610" t="s">
        <v>1</v>
      </c>
      <c r="G17610" t="s">
        <v>52955</v>
      </c>
      <c r="H17610" t="s">
        <v>54861</v>
      </c>
      <c r="I17610" t="s">
        <v>58356</v>
      </c>
      <c r="M17610" t="s">
        <v>58357</v>
      </c>
      <c r="P17610" t="s">
        <v>799</v>
      </c>
      <c r="Y17610" t="s">
        <v>58359</v>
      </c>
    </row>
    <row r="17611" spans="1:25" x14ac:dyDescent="0.25">
      <c r="A17611" t="str">
        <f>"191540903993"</f>
        <v>191540903993</v>
      </c>
      <c r="B17611" t="s">
        <v>1323</v>
      </c>
      <c r="C17611" t="s">
        <v>1324</v>
      </c>
      <c r="D17611" t="s">
        <v>58360</v>
      </c>
      <c r="E17611">
        <v>425000</v>
      </c>
      <c r="F17611" t="s">
        <v>1</v>
      </c>
      <c r="G17611" t="s">
        <v>52955</v>
      </c>
      <c r="H17611" t="s">
        <v>57366</v>
      </c>
      <c r="Y17611" t="s">
        <v>58361</v>
      </c>
    </row>
    <row r="17612" spans="1:25" x14ac:dyDescent="0.25">
      <c r="A17612" t="str">
        <f>"191776482136"</f>
        <v>191776482136</v>
      </c>
      <c r="B17612" t="s">
        <v>2818</v>
      </c>
      <c r="C17612" t="s">
        <v>56550</v>
      </c>
      <c r="D17612" t="s">
        <v>58362</v>
      </c>
      <c r="F17612" t="s">
        <v>1</v>
      </c>
      <c r="G17612" t="s">
        <v>52955</v>
      </c>
      <c r="H17612" t="s">
        <v>58363</v>
      </c>
      <c r="Y17612" t="s">
        <v>58364</v>
      </c>
    </row>
    <row r="17613" spans="1:25" x14ac:dyDescent="0.25">
      <c r="A17613" t="str">
        <f>"191979620361"</f>
        <v>191979620361</v>
      </c>
      <c r="B17613" t="s">
        <v>574</v>
      </c>
      <c r="C17613" t="s">
        <v>646</v>
      </c>
      <c r="D17613" t="s">
        <v>4221</v>
      </c>
      <c r="E17613">
        <v>425000</v>
      </c>
      <c r="F17613" t="s">
        <v>1</v>
      </c>
      <c r="G17613" t="s">
        <v>52955</v>
      </c>
      <c r="H17613" t="s">
        <v>58310</v>
      </c>
      <c r="Y17613" t="s">
        <v>58365</v>
      </c>
    </row>
    <row r="17614" spans="1:25" x14ac:dyDescent="0.25">
      <c r="A17614" t="str">
        <f>"191989235108"</f>
        <v>191989235108</v>
      </c>
      <c r="B17614" t="s">
        <v>1475</v>
      </c>
      <c r="C17614" t="s">
        <v>1476</v>
      </c>
      <c r="D17614" t="s">
        <v>6458</v>
      </c>
      <c r="E17614">
        <v>425011</v>
      </c>
      <c r="F17614" t="s">
        <v>1</v>
      </c>
      <c r="G17614" t="s">
        <v>52955</v>
      </c>
      <c r="H17614" t="s">
        <v>53457</v>
      </c>
      <c r="P17614" t="s">
        <v>2731</v>
      </c>
      <c r="Y17614" t="s">
        <v>58366</v>
      </c>
    </row>
    <row r="17615" spans="1:25" x14ac:dyDescent="0.25">
      <c r="A17615" t="str">
        <f>"192081099377"</f>
        <v>192081099377</v>
      </c>
      <c r="B17615" t="s">
        <v>2178</v>
      </c>
      <c r="C17615" t="s">
        <v>2179</v>
      </c>
      <c r="D17615" t="s">
        <v>53676</v>
      </c>
      <c r="E17615">
        <v>425008</v>
      </c>
      <c r="F17615" t="s">
        <v>1</v>
      </c>
      <c r="G17615" t="s">
        <v>52955</v>
      </c>
      <c r="H17615" t="s">
        <v>53677</v>
      </c>
      <c r="Y17615" t="s">
        <v>58367</v>
      </c>
    </row>
    <row r="17616" spans="1:25" x14ac:dyDescent="0.25">
      <c r="A17616" t="str">
        <f>"192083776056"</f>
        <v>192083776056</v>
      </c>
      <c r="B17616" t="s">
        <v>530</v>
      </c>
      <c r="C17616" t="s">
        <v>23950</v>
      </c>
      <c r="D17616" t="s">
        <v>23950</v>
      </c>
      <c r="F17616" t="s">
        <v>1</v>
      </c>
      <c r="G17616" t="s">
        <v>52955</v>
      </c>
      <c r="H17616" t="s">
        <v>55186</v>
      </c>
      <c r="Y17616" t="s">
        <v>58368</v>
      </c>
    </row>
    <row r="17617" spans="1:25" x14ac:dyDescent="0.25">
      <c r="A17617" t="str">
        <f>"192300889295"</f>
        <v>192300889295</v>
      </c>
      <c r="B17617" t="s">
        <v>32</v>
      </c>
      <c r="C17617" t="s">
        <v>5623</v>
      </c>
      <c r="D17617" t="s">
        <v>58369</v>
      </c>
      <c r="E17617">
        <v>425008</v>
      </c>
      <c r="F17617" t="s">
        <v>1</v>
      </c>
      <c r="G17617" t="s">
        <v>52955</v>
      </c>
      <c r="H17617" t="s">
        <v>53533</v>
      </c>
      <c r="J17617" t="s">
        <v>58370</v>
      </c>
      <c r="P17617" t="s">
        <v>2050</v>
      </c>
      <c r="Y17617" t="s">
        <v>58371</v>
      </c>
    </row>
    <row r="17618" spans="1:25" x14ac:dyDescent="0.25">
      <c r="A17618" t="str">
        <f>"192657328368"</f>
        <v>192657328368</v>
      </c>
      <c r="B17618" t="s">
        <v>7849</v>
      </c>
      <c r="C17618" t="s">
        <v>22242</v>
      </c>
      <c r="D17618" t="s">
        <v>58372</v>
      </c>
      <c r="E17618">
        <v>425000</v>
      </c>
      <c r="F17618" t="s">
        <v>1</v>
      </c>
      <c r="G17618" t="s">
        <v>52955</v>
      </c>
      <c r="H17618" t="s">
        <v>55381</v>
      </c>
      <c r="Y17618" t="s">
        <v>58373</v>
      </c>
    </row>
    <row r="17619" spans="1:25" x14ac:dyDescent="0.25">
      <c r="A17619" t="str">
        <f>"192822496169"</f>
        <v>192822496169</v>
      </c>
      <c r="B17619" t="s">
        <v>96</v>
      </c>
      <c r="C17619" t="s">
        <v>695</v>
      </c>
      <c r="D17619" t="s">
        <v>12083</v>
      </c>
      <c r="E17619">
        <v>425011</v>
      </c>
      <c r="F17619" t="s">
        <v>1</v>
      </c>
      <c r="G17619" t="s">
        <v>52955</v>
      </c>
      <c r="H17619" t="s">
        <v>54593</v>
      </c>
      <c r="Y17619" t="s">
        <v>54595</v>
      </c>
    </row>
    <row r="17620" spans="1:25" x14ac:dyDescent="0.25">
      <c r="A17620" t="str">
        <f>"192966553373"</f>
        <v>192966553373</v>
      </c>
      <c r="B17620" t="s">
        <v>1222</v>
      </c>
      <c r="C17620" t="s">
        <v>2114</v>
      </c>
      <c r="D17620" t="s">
        <v>17969</v>
      </c>
      <c r="E17620">
        <v>425011</v>
      </c>
      <c r="F17620" t="s">
        <v>1</v>
      </c>
      <c r="G17620" t="s">
        <v>52955</v>
      </c>
      <c r="H17620" t="s">
        <v>53927</v>
      </c>
      <c r="Y17620" t="s">
        <v>58374</v>
      </c>
    </row>
    <row r="17621" spans="1:25" x14ac:dyDescent="0.25">
      <c r="A17621" t="str">
        <f>"192998821312"</f>
        <v>192998821312</v>
      </c>
      <c r="B17621" t="s">
        <v>117</v>
      </c>
      <c r="C17621" t="s">
        <v>873</v>
      </c>
      <c r="D17621" t="s">
        <v>873</v>
      </c>
      <c r="F17621" t="s">
        <v>1</v>
      </c>
      <c r="G17621" t="s">
        <v>52955</v>
      </c>
      <c r="H17621" t="s">
        <v>55903</v>
      </c>
      <c r="Y17621" t="s">
        <v>58375</v>
      </c>
    </row>
    <row r="17622" spans="1:25" x14ac:dyDescent="0.25">
      <c r="A17622" t="str">
        <f>"193480965291"</f>
        <v>193480965291</v>
      </c>
      <c r="B17622" t="s">
        <v>96</v>
      </c>
      <c r="C17622" t="s">
        <v>7071</v>
      </c>
      <c r="D17622" t="s">
        <v>58376</v>
      </c>
      <c r="F17622" t="s">
        <v>1</v>
      </c>
      <c r="G17622" t="s">
        <v>52955</v>
      </c>
      <c r="H17622" t="s">
        <v>53404</v>
      </c>
      <c r="Y17622" t="s">
        <v>58377</v>
      </c>
    </row>
    <row r="17623" spans="1:25" x14ac:dyDescent="0.25">
      <c r="A17623" t="str">
        <f>"193549250259"</f>
        <v>193549250259</v>
      </c>
      <c r="B17623" t="s">
        <v>1299</v>
      </c>
      <c r="C17623" t="s">
        <v>1300</v>
      </c>
      <c r="D17623" t="s">
        <v>58378</v>
      </c>
      <c r="E17623">
        <v>425000</v>
      </c>
      <c r="F17623" t="s">
        <v>1</v>
      </c>
      <c r="G17623" t="s">
        <v>52955</v>
      </c>
      <c r="H17623" t="s">
        <v>53093</v>
      </c>
      <c r="I17623" t="s">
        <v>58379</v>
      </c>
      <c r="L17623" t="s">
        <v>58380</v>
      </c>
      <c r="M17623" t="s">
        <v>58381</v>
      </c>
      <c r="P17623" t="s">
        <v>280</v>
      </c>
      <c r="Q17623" t="s">
        <v>58382</v>
      </c>
      <c r="Y17623" t="s">
        <v>53099</v>
      </c>
    </row>
    <row r="17624" spans="1:25" x14ac:dyDescent="0.25">
      <c r="A17624" t="str">
        <f>"193866390171"</f>
        <v>193866390171</v>
      </c>
      <c r="B17624" t="s">
        <v>117</v>
      </c>
      <c r="C17624" t="s">
        <v>873</v>
      </c>
      <c r="D17624" t="s">
        <v>873</v>
      </c>
      <c r="F17624" t="s">
        <v>1</v>
      </c>
      <c r="G17624" t="s">
        <v>52955</v>
      </c>
      <c r="H17624" t="s">
        <v>58383</v>
      </c>
      <c r="Y17624" t="s">
        <v>58384</v>
      </c>
    </row>
    <row r="17625" spans="1:25" x14ac:dyDescent="0.25">
      <c r="A17625" t="str">
        <f>"193918021487"</f>
        <v>193918021487</v>
      </c>
      <c r="B17625" t="s">
        <v>96</v>
      </c>
      <c r="C17625" t="s">
        <v>893</v>
      </c>
      <c r="D17625" t="s">
        <v>58385</v>
      </c>
      <c r="F17625" t="s">
        <v>1</v>
      </c>
      <c r="G17625" t="s">
        <v>52955</v>
      </c>
      <c r="H17625" t="s">
        <v>54185</v>
      </c>
      <c r="Y17625" t="s">
        <v>58386</v>
      </c>
    </row>
    <row r="17626" spans="1:25" x14ac:dyDescent="0.25">
      <c r="A17626" t="str">
        <f>"193921221695"</f>
        <v>193921221695</v>
      </c>
      <c r="B17626" t="s">
        <v>7312</v>
      </c>
      <c r="C17626" t="s">
        <v>9849</v>
      </c>
      <c r="D17626" t="s">
        <v>23589</v>
      </c>
      <c r="F17626" t="s">
        <v>1</v>
      </c>
      <c r="G17626" t="s">
        <v>52955</v>
      </c>
      <c r="H17626" t="s">
        <v>53072</v>
      </c>
      <c r="Y17626" t="s">
        <v>58387</v>
      </c>
    </row>
    <row r="17627" spans="1:25" x14ac:dyDescent="0.25">
      <c r="A17627" t="str">
        <f>"194028747212"</f>
        <v>194028747212</v>
      </c>
      <c r="B17627" t="s">
        <v>348</v>
      </c>
      <c r="C17627" t="s">
        <v>4366</v>
      </c>
      <c r="D17627" t="s">
        <v>53768</v>
      </c>
      <c r="E17627">
        <v>425009</v>
      </c>
      <c r="F17627" t="s">
        <v>1</v>
      </c>
      <c r="G17627" t="s">
        <v>52955</v>
      </c>
      <c r="H17627" t="s">
        <v>54824</v>
      </c>
      <c r="J17627" t="s">
        <v>58388</v>
      </c>
      <c r="Y17627" t="s">
        <v>58389</v>
      </c>
    </row>
    <row r="17628" spans="1:25" x14ac:dyDescent="0.25">
      <c r="A17628" t="str">
        <f>"194033770040"</f>
        <v>194033770040</v>
      </c>
      <c r="B17628" t="s">
        <v>67</v>
      </c>
      <c r="C17628" t="s">
        <v>269</v>
      </c>
      <c r="D17628" t="s">
        <v>2</v>
      </c>
      <c r="F17628" t="s">
        <v>1</v>
      </c>
      <c r="G17628" t="s">
        <v>52955</v>
      </c>
      <c r="H17628" t="s">
        <v>54042</v>
      </c>
      <c r="P17628" t="s">
        <v>330</v>
      </c>
      <c r="Y17628" t="s">
        <v>58390</v>
      </c>
    </row>
    <row r="17629" spans="1:25" x14ac:dyDescent="0.25">
      <c r="A17629" t="str">
        <f>"194297011005"</f>
        <v>194297011005</v>
      </c>
      <c r="B17629" t="s">
        <v>160</v>
      </c>
      <c r="C17629" t="s">
        <v>14673</v>
      </c>
      <c r="D17629" t="s">
        <v>18250</v>
      </c>
      <c r="F17629" t="s">
        <v>1</v>
      </c>
      <c r="G17629" t="s">
        <v>52955</v>
      </c>
      <c r="H17629" t="s">
        <v>55243</v>
      </c>
      <c r="Y17629" t="s">
        <v>58391</v>
      </c>
    </row>
    <row r="17630" spans="1:25" x14ac:dyDescent="0.25">
      <c r="A17630" t="str">
        <f>"194445898163"</f>
        <v>194445898163</v>
      </c>
      <c r="B17630" t="s">
        <v>18</v>
      </c>
      <c r="C17630" t="s">
        <v>58396</v>
      </c>
      <c r="D17630" t="s">
        <v>58392</v>
      </c>
      <c r="E17630">
        <v>425000</v>
      </c>
      <c r="F17630" t="s">
        <v>1</v>
      </c>
      <c r="G17630" t="s">
        <v>52955</v>
      </c>
      <c r="H17630" t="s">
        <v>58393</v>
      </c>
      <c r="I17630" t="s">
        <v>54612</v>
      </c>
      <c r="L17630" t="s">
        <v>58394</v>
      </c>
      <c r="M17630" t="s">
        <v>58395</v>
      </c>
      <c r="P17630" t="s">
        <v>20</v>
      </c>
      <c r="Q17630" t="s">
        <v>58397</v>
      </c>
      <c r="U17630" t="s">
        <v>58398</v>
      </c>
      <c r="V17630" t="s">
        <v>58399</v>
      </c>
      <c r="Y17630" t="s">
        <v>58400</v>
      </c>
    </row>
    <row r="17631" spans="1:25" x14ac:dyDescent="0.25">
      <c r="A17631" t="str">
        <f>"194564300607"</f>
        <v>194564300607</v>
      </c>
      <c r="B17631" t="s">
        <v>1078</v>
      </c>
      <c r="C17631" t="s">
        <v>30785</v>
      </c>
      <c r="D17631" t="s">
        <v>56268</v>
      </c>
      <c r="E17631">
        <v>425008</v>
      </c>
      <c r="F17631" t="s">
        <v>1</v>
      </c>
      <c r="G17631" t="s">
        <v>52955</v>
      </c>
      <c r="H17631" t="s">
        <v>53554</v>
      </c>
      <c r="Y17631" t="s">
        <v>58401</v>
      </c>
    </row>
    <row r="17632" spans="1:25" x14ac:dyDescent="0.25">
      <c r="A17632" t="str">
        <f>"194713157166"</f>
        <v>194713157166</v>
      </c>
      <c r="B17632" t="s">
        <v>738</v>
      </c>
      <c r="C17632" t="s">
        <v>32344</v>
      </c>
      <c r="D17632" t="s">
        <v>58402</v>
      </c>
      <c r="E17632">
        <v>425001</v>
      </c>
      <c r="F17632" t="s">
        <v>1</v>
      </c>
      <c r="G17632" t="s">
        <v>52955</v>
      </c>
      <c r="H17632" t="s">
        <v>56121</v>
      </c>
      <c r="J17632" t="s">
        <v>56046</v>
      </c>
      <c r="P17632" t="s">
        <v>1464</v>
      </c>
      <c r="Y17632" t="s">
        <v>58403</v>
      </c>
    </row>
    <row r="17633" spans="1:25" x14ac:dyDescent="0.25">
      <c r="A17633" t="str">
        <f>"194718640503"</f>
        <v>194718640503</v>
      </c>
      <c r="B17633" t="s">
        <v>32</v>
      </c>
      <c r="C17633" t="s">
        <v>40</v>
      </c>
      <c r="D17633" t="s">
        <v>58404</v>
      </c>
      <c r="E17633">
        <v>425008</v>
      </c>
      <c r="F17633" t="s">
        <v>1</v>
      </c>
      <c r="G17633" t="s">
        <v>52955</v>
      </c>
      <c r="H17633" t="s">
        <v>53554</v>
      </c>
      <c r="Y17633" t="s">
        <v>58405</v>
      </c>
    </row>
    <row r="17634" spans="1:25" x14ac:dyDescent="0.25">
      <c r="A17634" t="str">
        <f>"194826433405"</f>
        <v>194826433405</v>
      </c>
      <c r="B17634" t="s">
        <v>18</v>
      </c>
      <c r="C17634" t="s">
        <v>58406</v>
      </c>
      <c r="D17634" t="s">
        <v>46593</v>
      </c>
      <c r="E17634">
        <v>425011</v>
      </c>
      <c r="F17634" t="s">
        <v>1</v>
      </c>
      <c r="G17634" t="s">
        <v>52955</v>
      </c>
      <c r="H17634" t="s">
        <v>53507</v>
      </c>
      <c r="P17634" t="s">
        <v>56647</v>
      </c>
      <c r="Y17634" t="s">
        <v>58407</v>
      </c>
    </row>
    <row r="17635" spans="1:25" x14ac:dyDescent="0.25">
      <c r="A17635" t="str">
        <f>"194849961892"</f>
        <v>194849961892</v>
      </c>
      <c r="B17635" t="s">
        <v>1475</v>
      </c>
      <c r="C17635" t="s">
        <v>4005</v>
      </c>
      <c r="D17635" t="s">
        <v>4221</v>
      </c>
      <c r="F17635" t="s">
        <v>1</v>
      </c>
      <c r="G17635" t="s">
        <v>52955</v>
      </c>
      <c r="H17635" t="s">
        <v>58408</v>
      </c>
      <c r="P17635" t="s">
        <v>9840</v>
      </c>
      <c r="Y17635" t="s">
        <v>58409</v>
      </c>
    </row>
    <row r="17636" spans="1:25" x14ac:dyDescent="0.25">
      <c r="A17636" t="str">
        <f>"195104840004"</f>
        <v>195104840004</v>
      </c>
      <c r="B17636" t="s">
        <v>930</v>
      </c>
      <c r="C17636" t="s">
        <v>27395</v>
      </c>
      <c r="D17636" t="s">
        <v>38757</v>
      </c>
      <c r="F17636" t="s">
        <v>1</v>
      </c>
      <c r="G17636" t="s">
        <v>52955</v>
      </c>
      <c r="H17636" t="s">
        <v>53404</v>
      </c>
      <c r="Y17636" t="s">
        <v>53547</v>
      </c>
    </row>
    <row r="17637" spans="1:25" x14ac:dyDescent="0.25">
      <c r="A17637" t="str">
        <f>"195499867128"</f>
        <v>195499867128</v>
      </c>
      <c r="B17637" t="s">
        <v>574</v>
      </c>
      <c r="C17637" t="s">
        <v>646</v>
      </c>
      <c r="D17637" t="s">
        <v>58410</v>
      </c>
      <c r="E17637">
        <v>425003</v>
      </c>
      <c r="F17637" t="s">
        <v>1</v>
      </c>
      <c r="G17637" t="s">
        <v>52955</v>
      </c>
      <c r="H17637" t="s">
        <v>56543</v>
      </c>
      <c r="Y17637" t="s">
        <v>58411</v>
      </c>
    </row>
    <row r="17638" spans="1:25" x14ac:dyDescent="0.25">
      <c r="A17638" t="str">
        <f>"195977701982"</f>
        <v>195977701982</v>
      </c>
      <c r="B17638" t="s">
        <v>117</v>
      </c>
      <c r="C17638" t="s">
        <v>873</v>
      </c>
      <c r="D17638" t="s">
        <v>873</v>
      </c>
      <c r="F17638" t="s">
        <v>1</v>
      </c>
      <c r="G17638" t="s">
        <v>52955</v>
      </c>
      <c r="H17638" t="s">
        <v>55878</v>
      </c>
      <c r="Y17638" t="s">
        <v>58412</v>
      </c>
    </row>
    <row r="17639" spans="1:25" x14ac:dyDescent="0.25">
      <c r="A17639" t="str">
        <f>"196012461052"</f>
        <v>196012461052</v>
      </c>
      <c r="B17639" t="s">
        <v>35713</v>
      </c>
      <c r="C17639" t="s">
        <v>35714</v>
      </c>
      <c r="D17639" t="s">
        <v>58413</v>
      </c>
      <c r="F17639" t="s">
        <v>1</v>
      </c>
      <c r="G17639" t="s">
        <v>52955</v>
      </c>
      <c r="H17639" t="s">
        <v>55594</v>
      </c>
      <c r="Y17639" t="s">
        <v>58414</v>
      </c>
    </row>
    <row r="17640" spans="1:25" x14ac:dyDescent="0.25">
      <c r="A17640" t="str">
        <f>"196156834188"</f>
        <v>196156834188</v>
      </c>
      <c r="B17640" t="s">
        <v>18</v>
      </c>
      <c r="C17640" t="s">
        <v>13796</v>
      </c>
      <c r="D17640" t="s">
        <v>53548</v>
      </c>
      <c r="F17640" t="s">
        <v>1</v>
      </c>
      <c r="G17640" t="s">
        <v>52955</v>
      </c>
      <c r="H17640" t="s">
        <v>54847</v>
      </c>
      <c r="Y17640" t="s">
        <v>54849</v>
      </c>
    </row>
    <row r="17641" spans="1:25" x14ac:dyDescent="0.25">
      <c r="A17641" t="str">
        <f>"196235471319"</f>
        <v>196235471319</v>
      </c>
      <c r="B17641" t="s">
        <v>574</v>
      </c>
      <c r="C17641" t="s">
        <v>58418</v>
      </c>
      <c r="D17641" t="s">
        <v>58415</v>
      </c>
      <c r="E17641">
        <v>425000</v>
      </c>
      <c r="F17641" t="s">
        <v>1</v>
      </c>
      <c r="G17641" t="s">
        <v>52955</v>
      </c>
      <c r="H17641" t="s">
        <v>58416</v>
      </c>
      <c r="J17641" t="s">
        <v>58417</v>
      </c>
      <c r="P17641" t="s">
        <v>216</v>
      </c>
      <c r="Y17641" t="s">
        <v>58419</v>
      </c>
    </row>
    <row r="17642" spans="1:25" x14ac:dyDescent="0.25">
      <c r="A17642" t="str">
        <f>"196570614288"</f>
        <v>196570614288</v>
      </c>
      <c r="B17642" t="s">
        <v>1544</v>
      </c>
      <c r="C17642" t="s">
        <v>7974</v>
      </c>
      <c r="D17642" t="s">
        <v>24306</v>
      </c>
      <c r="F17642" t="s">
        <v>1</v>
      </c>
      <c r="G17642" t="s">
        <v>52955</v>
      </c>
      <c r="H17642" t="s">
        <v>53198</v>
      </c>
      <c r="Y17642" t="s">
        <v>58420</v>
      </c>
    </row>
    <row r="17643" spans="1:25" x14ac:dyDescent="0.25">
      <c r="A17643" t="str">
        <f>"196720431538"</f>
        <v>196720431538</v>
      </c>
      <c r="B17643" t="s">
        <v>1053</v>
      </c>
      <c r="C17643" t="s">
        <v>1927</v>
      </c>
      <c r="D17643" t="s">
        <v>58421</v>
      </c>
      <c r="E17643">
        <v>425003</v>
      </c>
      <c r="F17643" t="s">
        <v>1</v>
      </c>
      <c r="G17643" t="s">
        <v>52955</v>
      </c>
      <c r="H17643" t="s">
        <v>55414</v>
      </c>
      <c r="Y17643" t="s">
        <v>58422</v>
      </c>
    </row>
    <row r="17644" spans="1:25" x14ac:dyDescent="0.25">
      <c r="A17644" t="str">
        <f>"197515685948"</f>
        <v>197515685948</v>
      </c>
      <c r="B17644" t="s">
        <v>930</v>
      </c>
      <c r="C17644" t="s">
        <v>1096</v>
      </c>
      <c r="D17644" t="s">
        <v>58423</v>
      </c>
      <c r="F17644" t="s">
        <v>1</v>
      </c>
      <c r="G17644" t="s">
        <v>52955</v>
      </c>
      <c r="H17644" t="s">
        <v>56382</v>
      </c>
      <c r="J17644" t="s">
        <v>58424</v>
      </c>
      <c r="L17644" t="s">
        <v>58425</v>
      </c>
      <c r="M17644" t="s">
        <v>58426</v>
      </c>
      <c r="P17644" t="s">
        <v>46836</v>
      </c>
      <c r="Q17644" t="s">
        <v>58427</v>
      </c>
      <c r="Y17644" t="s">
        <v>58428</v>
      </c>
    </row>
    <row r="17645" spans="1:25" x14ac:dyDescent="0.25">
      <c r="A17645" t="str">
        <f>"197556353665"</f>
        <v>197556353665</v>
      </c>
      <c r="B17645" t="s">
        <v>117</v>
      </c>
      <c r="C17645" t="s">
        <v>873</v>
      </c>
      <c r="D17645" t="s">
        <v>873</v>
      </c>
      <c r="F17645" t="s">
        <v>1</v>
      </c>
      <c r="G17645" t="s">
        <v>52955</v>
      </c>
      <c r="H17645" t="s">
        <v>55858</v>
      </c>
      <c r="Y17645" t="s">
        <v>58429</v>
      </c>
    </row>
    <row r="17646" spans="1:25" x14ac:dyDescent="0.25">
      <c r="A17646" t="str">
        <f>"197720179549"</f>
        <v>197720179549</v>
      </c>
      <c r="B17646" t="s">
        <v>88</v>
      </c>
      <c r="C17646" t="s">
        <v>55145</v>
      </c>
      <c r="D17646" t="s">
        <v>14804</v>
      </c>
      <c r="F17646" t="s">
        <v>1</v>
      </c>
      <c r="G17646" t="s">
        <v>52955</v>
      </c>
      <c r="H17646" t="s">
        <v>53198</v>
      </c>
      <c r="Y17646" t="s">
        <v>58430</v>
      </c>
    </row>
    <row r="17647" spans="1:25" x14ac:dyDescent="0.25">
      <c r="A17647" t="str">
        <f>"197865235969"</f>
        <v>197865235969</v>
      </c>
      <c r="B17647" t="s">
        <v>1053</v>
      </c>
      <c r="C17647" t="s">
        <v>58432</v>
      </c>
      <c r="D17647" t="s">
        <v>54856</v>
      </c>
      <c r="E17647">
        <v>425001</v>
      </c>
      <c r="F17647" t="s">
        <v>1</v>
      </c>
      <c r="G17647" t="s">
        <v>52955</v>
      </c>
      <c r="H17647" t="s">
        <v>53185</v>
      </c>
      <c r="I17647" t="s">
        <v>58431</v>
      </c>
      <c r="L17647" t="s">
        <v>54858</v>
      </c>
      <c r="M17647" t="s">
        <v>54859</v>
      </c>
      <c r="Y17647" t="s">
        <v>53189</v>
      </c>
    </row>
    <row r="17648" spans="1:25" x14ac:dyDescent="0.25">
      <c r="A17648" t="str">
        <f>"197897684466"</f>
        <v>197897684466</v>
      </c>
      <c r="B17648" t="s">
        <v>1573</v>
      </c>
      <c r="C17648" t="s">
        <v>1817</v>
      </c>
      <c r="D17648" t="s">
        <v>24505</v>
      </c>
      <c r="E17648">
        <v>425005</v>
      </c>
      <c r="F17648" t="s">
        <v>1</v>
      </c>
      <c r="G17648" t="s">
        <v>52955</v>
      </c>
      <c r="H17648" t="s">
        <v>53443</v>
      </c>
      <c r="P17648" t="s">
        <v>5396</v>
      </c>
      <c r="Y17648" t="s">
        <v>58433</v>
      </c>
    </row>
    <row r="17649" spans="1:25" x14ac:dyDescent="0.25">
      <c r="A17649" t="str">
        <f>"198090611251"</f>
        <v>198090611251</v>
      </c>
      <c r="B17649" t="s">
        <v>574</v>
      </c>
      <c r="C17649" t="s">
        <v>646</v>
      </c>
      <c r="D17649" t="s">
        <v>58434</v>
      </c>
      <c r="F17649" t="s">
        <v>1</v>
      </c>
      <c r="G17649" t="s">
        <v>52955</v>
      </c>
      <c r="H17649" t="s">
        <v>58435</v>
      </c>
      <c r="Y17649" t="s">
        <v>58436</v>
      </c>
    </row>
    <row r="17650" spans="1:25" x14ac:dyDescent="0.25">
      <c r="A17650" t="str">
        <f>"198240347971"</f>
        <v>198240347971</v>
      </c>
      <c r="B17650" t="s">
        <v>2062</v>
      </c>
      <c r="C17650" t="s">
        <v>3293</v>
      </c>
      <c r="D17650" t="s">
        <v>58437</v>
      </c>
      <c r="E17650">
        <v>425000</v>
      </c>
      <c r="F17650" t="s">
        <v>1</v>
      </c>
      <c r="G17650" t="s">
        <v>52955</v>
      </c>
      <c r="H17650" t="s">
        <v>57552</v>
      </c>
      <c r="L17650" t="s">
        <v>58438</v>
      </c>
      <c r="Y17650" t="s">
        <v>58439</v>
      </c>
    </row>
    <row r="17651" spans="1:25" x14ac:dyDescent="0.25">
      <c r="A17651" t="str">
        <f>"198252530346"</f>
        <v>198252530346</v>
      </c>
      <c r="B17651" t="s">
        <v>469</v>
      </c>
      <c r="C17651" t="s">
        <v>58441</v>
      </c>
      <c r="D17651" t="s">
        <v>55460</v>
      </c>
      <c r="F17651" t="s">
        <v>1</v>
      </c>
      <c r="G17651" t="s">
        <v>52955</v>
      </c>
      <c r="H17651" t="s">
        <v>55669</v>
      </c>
      <c r="J17651" t="s">
        <v>58440</v>
      </c>
      <c r="P17651" t="s">
        <v>9840</v>
      </c>
      <c r="Y17651" t="s">
        <v>58442</v>
      </c>
    </row>
    <row r="17652" spans="1:25" x14ac:dyDescent="0.25">
      <c r="A17652" t="str">
        <f>"198380180092"</f>
        <v>198380180092</v>
      </c>
      <c r="B17652" t="s">
        <v>388</v>
      </c>
      <c r="C17652" t="s">
        <v>9224</v>
      </c>
      <c r="D17652" t="s">
        <v>57412</v>
      </c>
      <c r="E17652">
        <v>425011</v>
      </c>
      <c r="F17652" t="s">
        <v>1</v>
      </c>
      <c r="G17652" t="s">
        <v>52955</v>
      </c>
      <c r="H17652" t="s">
        <v>53155</v>
      </c>
      <c r="Y17652" t="s">
        <v>58443</v>
      </c>
    </row>
    <row r="17653" spans="1:25" x14ac:dyDescent="0.25">
      <c r="A17653" t="str">
        <f>"198589860386"</f>
        <v>198589860386</v>
      </c>
      <c r="B17653" t="s">
        <v>930</v>
      </c>
      <c r="C17653" t="s">
        <v>10263</v>
      </c>
      <c r="D17653" t="s">
        <v>21753</v>
      </c>
      <c r="F17653" t="s">
        <v>1</v>
      </c>
      <c r="G17653" t="s">
        <v>52955</v>
      </c>
      <c r="H17653" t="s">
        <v>58444</v>
      </c>
      <c r="J17653" t="s">
        <v>56086</v>
      </c>
      <c r="P17653" t="s">
        <v>410</v>
      </c>
      <c r="Y17653" t="s">
        <v>58445</v>
      </c>
    </row>
    <row r="17654" spans="1:25" x14ac:dyDescent="0.25">
      <c r="A17654" t="str">
        <f>"199167716415"</f>
        <v>199167716415</v>
      </c>
      <c r="B17654" t="s">
        <v>456</v>
      </c>
      <c r="C17654" t="s">
        <v>1522</v>
      </c>
      <c r="D17654" t="s">
        <v>58446</v>
      </c>
      <c r="E17654">
        <v>425000</v>
      </c>
      <c r="F17654" t="s">
        <v>1</v>
      </c>
      <c r="G17654" t="s">
        <v>52955</v>
      </c>
      <c r="H17654" t="s">
        <v>53460</v>
      </c>
      <c r="I17654" t="s">
        <v>36907</v>
      </c>
      <c r="L17654" t="s">
        <v>36908</v>
      </c>
      <c r="M17654" t="s">
        <v>58447</v>
      </c>
      <c r="P17654" t="s">
        <v>2951</v>
      </c>
      <c r="Q17654" t="s">
        <v>36910</v>
      </c>
      <c r="T17654" t="s">
        <v>58448</v>
      </c>
      <c r="U17654" t="s">
        <v>58449</v>
      </c>
      <c r="V17654" t="s">
        <v>36913</v>
      </c>
      <c r="Y17654" t="s">
        <v>53463</v>
      </c>
    </row>
    <row r="17655" spans="1:25" x14ac:dyDescent="0.25">
      <c r="A17655" t="str">
        <f>"199197705316"</f>
        <v>199197705316</v>
      </c>
      <c r="B17655" t="s">
        <v>930</v>
      </c>
      <c r="C17655" t="s">
        <v>28791</v>
      </c>
      <c r="D17655" t="s">
        <v>927</v>
      </c>
      <c r="F17655" t="s">
        <v>1</v>
      </c>
      <c r="G17655" t="s">
        <v>52955</v>
      </c>
      <c r="H17655" t="s">
        <v>58450</v>
      </c>
      <c r="J17655" t="s">
        <v>58451</v>
      </c>
      <c r="P17655" t="s">
        <v>216</v>
      </c>
      <c r="Y17655" t="s">
        <v>58452</v>
      </c>
    </row>
    <row r="17656" spans="1:25" x14ac:dyDescent="0.25">
      <c r="A17656" t="str">
        <f>"199223569102"</f>
        <v>199223569102</v>
      </c>
      <c r="B17656" t="s">
        <v>519</v>
      </c>
      <c r="C17656" t="s">
        <v>27829</v>
      </c>
      <c r="D17656" t="s">
        <v>42005</v>
      </c>
      <c r="E17656">
        <v>425011</v>
      </c>
      <c r="F17656" t="s">
        <v>1</v>
      </c>
      <c r="G17656" t="s">
        <v>52955</v>
      </c>
      <c r="H17656" t="s">
        <v>53155</v>
      </c>
      <c r="Y17656" t="s">
        <v>58453</v>
      </c>
    </row>
    <row r="17657" spans="1:25" x14ac:dyDescent="0.25">
      <c r="A17657" t="str">
        <f>"199308149631"</f>
        <v>199308149631</v>
      </c>
      <c r="B17657" t="s">
        <v>88</v>
      </c>
      <c r="C17657" t="s">
        <v>19306</v>
      </c>
      <c r="D17657" t="s">
        <v>39644</v>
      </c>
      <c r="E17657">
        <v>425000</v>
      </c>
      <c r="F17657" t="s">
        <v>1</v>
      </c>
      <c r="G17657" t="s">
        <v>52955</v>
      </c>
      <c r="H17657" t="s">
        <v>54254</v>
      </c>
      <c r="P17657" t="s">
        <v>410</v>
      </c>
      <c r="Y17657" t="s">
        <v>58454</v>
      </c>
    </row>
    <row r="17658" spans="1:25" x14ac:dyDescent="0.25">
      <c r="A17658" t="str">
        <f>"200257055608"</f>
        <v>200257055608</v>
      </c>
      <c r="B17658" t="s">
        <v>10383</v>
      </c>
      <c r="C17658" t="s">
        <v>24146</v>
      </c>
      <c r="D17658" t="s">
        <v>24146</v>
      </c>
      <c r="F17658" t="s">
        <v>1</v>
      </c>
      <c r="G17658" t="s">
        <v>52955</v>
      </c>
      <c r="H17658" t="s">
        <v>58455</v>
      </c>
      <c r="Y17658" t="s">
        <v>58456</v>
      </c>
    </row>
    <row r="17659" spans="1:25" x14ac:dyDescent="0.25">
      <c r="A17659" t="str">
        <f>"200353124166"</f>
        <v>200353124166</v>
      </c>
      <c r="B17659" t="s">
        <v>117</v>
      </c>
      <c r="C17659" t="s">
        <v>873</v>
      </c>
      <c r="D17659" t="s">
        <v>873</v>
      </c>
      <c r="F17659" t="s">
        <v>1</v>
      </c>
      <c r="G17659" t="s">
        <v>52955</v>
      </c>
      <c r="H17659" t="s">
        <v>55724</v>
      </c>
      <c r="Y17659" t="s">
        <v>58457</v>
      </c>
    </row>
    <row r="17660" spans="1:25" x14ac:dyDescent="0.25">
      <c r="A17660" t="str">
        <f>"200516765329"</f>
        <v>200516765329</v>
      </c>
      <c r="B17660" t="s">
        <v>738</v>
      </c>
      <c r="C17660" t="s">
        <v>58460</v>
      </c>
      <c r="D17660" t="s">
        <v>58458</v>
      </c>
      <c r="E17660">
        <v>425000</v>
      </c>
      <c r="F17660" t="s">
        <v>1</v>
      </c>
      <c r="G17660" t="s">
        <v>52955</v>
      </c>
      <c r="H17660" t="s">
        <v>53202</v>
      </c>
      <c r="J17660" t="s">
        <v>58459</v>
      </c>
      <c r="P17660" t="s">
        <v>1404</v>
      </c>
      <c r="Q17660" t="s">
        <v>58461</v>
      </c>
      <c r="Y17660" t="s">
        <v>58462</v>
      </c>
    </row>
    <row r="17661" spans="1:25" x14ac:dyDescent="0.25">
      <c r="A17661" t="str">
        <f>"200531862941"</f>
        <v>200531862941</v>
      </c>
      <c r="B17661" t="s">
        <v>233</v>
      </c>
      <c r="C17661" t="s">
        <v>42063</v>
      </c>
      <c r="D17661" t="s">
        <v>58463</v>
      </c>
      <c r="E17661">
        <v>425000</v>
      </c>
      <c r="F17661" t="s">
        <v>1</v>
      </c>
      <c r="G17661" t="s">
        <v>52955</v>
      </c>
      <c r="H17661" t="s">
        <v>55409</v>
      </c>
      <c r="Y17661" t="s">
        <v>58464</v>
      </c>
    </row>
    <row r="17662" spans="1:25" x14ac:dyDescent="0.25">
      <c r="A17662" t="str">
        <f>"200715744600"</f>
        <v>200715744600</v>
      </c>
      <c r="B17662" t="s">
        <v>1552</v>
      </c>
      <c r="C17662" t="s">
        <v>1962</v>
      </c>
      <c r="D17662" t="s">
        <v>58465</v>
      </c>
      <c r="E17662">
        <v>425000</v>
      </c>
      <c r="F17662" t="s">
        <v>1</v>
      </c>
      <c r="G17662" t="s">
        <v>52955</v>
      </c>
      <c r="H17662" t="s">
        <v>54089</v>
      </c>
      <c r="Y17662" t="s">
        <v>58466</v>
      </c>
    </row>
    <row r="17663" spans="1:25" x14ac:dyDescent="0.25">
      <c r="A17663" t="str">
        <f>"201244340481"</f>
        <v>201244340481</v>
      </c>
      <c r="B17663" t="s">
        <v>117</v>
      </c>
      <c r="C17663" t="s">
        <v>6850</v>
      </c>
      <c r="D17663" t="s">
        <v>56302</v>
      </c>
      <c r="F17663" t="s">
        <v>1</v>
      </c>
      <c r="G17663" t="s">
        <v>52955</v>
      </c>
      <c r="H17663" t="s">
        <v>58467</v>
      </c>
      <c r="Y17663" t="s">
        <v>58468</v>
      </c>
    </row>
    <row r="17664" spans="1:25" x14ac:dyDescent="0.25">
      <c r="A17664" t="str">
        <f>"201345701689"</f>
        <v>201345701689</v>
      </c>
      <c r="B17664" t="s">
        <v>1222</v>
      </c>
      <c r="C17664" t="s">
        <v>58471</v>
      </c>
      <c r="D17664" t="s">
        <v>58469</v>
      </c>
      <c r="E17664">
        <v>425011</v>
      </c>
      <c r="F17664" t="s">
        <v>1</v>
      </c>
      <c r="G17664" t="s">
        <v>52955</v>
      </c>
      <c r="H17664" t="s">
        <v>57931</v>
      </c>
      <c r="J17664" t="s">
        <v>58470</v>
      </c>
      <c r="P17664" t="s">
        <v>58472</v>
      </c>
      <c r="Y17664" t="s">
        <v>58473</v>
      </c>
    </row>
    <row r="17665" spans="1:25" x14ac:dyDescent="0.25">
      <c r="A17665" t="str">
        <f>"201626670234"</f>
        <v>201626670234</v>
      </c>
      <c r="B17665" t="s">
        <v>2055</v>
      </c>
      <c r="C17665" t="s">
        <v>2623</v>
      </c>
      <c r="D17665" t="s">
        <v>58474</v>
      </c>
      <c r="E17665">
        <v>425000</v>
      </c>
      <c r="F17665" t="s">
        <v>1</v>
      </c>
      <c r="G17665" t="s">
        <v>52955</v>
      </c>
      <c r="H17665" t="s">
        <v>52972</v>
      </c>
      <c r="I17665" t="s">
        <v>58475</v>
      </c>
      <c r="L17665" t="s">
        <v>58476</v>
      </c>
      <c r="M17665" t="s">
        <v>58477</v>
      </c>
      <c r="P17665" t="s">
        <v>20</v>
      </c>
      <c r="V17665" t="s">
        <v>58478</v>
      </c>
      <c r="Y17665" t="s">
        <v>58203</v>
      </c>
    </row>
    <row r="17666" spans="1:25" x14ac:dyDescent="0.25">
      <c r="A17666" t="str">
        <f>"201764011705"</f>
        <v>201764011705</v>
      </c>
      <c r="B17666" t="s">
        <v>2104</v>
      </c>
      <c r="C17666" t="s">
        <v>21175</v>
      </c>
      <c r="D17666" t="s">
        <v>58479</v>
      </c>
      <c r="F17666" t="s">
        <v>1</v>
      </c>
      <c r="G17666" t="s">
        <v>52955</v>
      </c>
      <c r="H17666" t="s">
        <v>54348</v>
      </c>
      <c r="Y17666" t="s">
        <v>58480</v>
      </c>
    </row>
    <row r="17667" spans="1:25" x14ac:dyDescent="0.25">
      <c r="A17667" t="str">
        <f>"201985488691"</f>
        <v>201985488691</v>
      </c>
      <c r="B17667" t="s">
        <v>930</v>
      </c>
      <c r="C17667" t="s">
        <v>1940</v>
      </c>
      <c r="D17667" t="s">
        <v>58481</v>
      </c>
      <c r="E17667">
        <v>425003</v>
      </c>
      <c r="F17667" t="s">
        <v>1</v>
      </c>
      <c r="G17667" t="s">
        <v>52955</v>
      </c>
      <c r="H17667" t="s">
        <v>58482</v>
      </c>
      <c r="J17667" t="s">
        <v>58483</v>
      </c>
      <c r="P17667" t="s">
        <v>330</v>
      </c>
      <c r="Y17667" t="s">
        <v>58484</v>
      </c>
    </row>
    <row r="17668" spans="1:25" x14ac:dyDescent="0.25">
      <c r="A17668" t="str">
        <f>"202068031088"</f>
        <v>202068031088</v>
      </c>
      <c r="B17668" t="s">
        <v>738</v>
      </c>
      <c r="C17668" t="s">
        <v>739</v>
      </c>
      <c r="D17668" t="s">
        <v>58485</v>
      </c>
      <c r="F17668" t="s">
        <v>1</v>
      </c>
      <c r="G17668" t="s">
        <v>52955</v>
      </c>
      <c r="H17668" t="s">
        <v>58486</v>
      </c>
      <c r="Y17668" t="s">
        <v>58487</v>
      </c>
    </row>
    <row r="17669" spans="1:25" x14ac:dyDescent="0.25">
      <c r="A17669" t="str">
        <f>"202267408059"</f>
        <v>202267408059</v>
      </c>
      <c r="B17669" t="s">
        <v>530</v>
      </c>
      <c r="C17669" t="s">
        <v>23950</v>
      </c>
      <c r="D17669" t="s">
        <v>23950</v>
      </c>
      <c r="F17669" t="s">
        <v>1</v>
      </c>
      <c r="G17669" t="s">
        <v>52955</v>
      </c>
      <c r="H17669" t="s">
        <v>55903</v>
      </c>
      <c r="Y17669" t="s">
        <v>58488</v>
      </c>
    </row>
    <row r="17670" spans="1:25" x14ac:dyDescent="0.25">
      <c r="A17670" t="str">
        <f>"202635445576"</f>
        <v>202635445576</v>
      </c>
      <c r="B17670" t="s">
        <v>25</v>
      </c>
      <c r="C17670" t="s">
        <v>24938</v>
      </c>
      <c r="D17670" t="s">
        <v>58489</v>
      </c>
      <c r="E17670">
        <v>425005</v>
      </c>
      <c r="F17670" t="s">
        <v>1</v>
      </c>
      <c r="G17670" t="s">
        <v>52955</v>
      </c>
      <c r="H17670" t="s">
        <v>54351</v>
      </c>
      <c r="J17670" t="s">
        <v>58490</v>
      </c>
      <c r="L17670" t="s">
        <v>58491</v>
      </c>
      <c r="M17670" t="s">
        <v>58492</v>
      </c>
      <c r="P17670" t="s">
        <v>27</v>
      </c>
      <c r="Y17670" t="s">
        <v>58493</v>
      </c>
    </row>
    <row r="17671" spans="1:25" x14ac:dyDescent="0.25">
      <c r="A17671" t="str">
        <f>"202639270550"</f>
        <v>202639270550</v>
      </c>
      <c r="B17671" t="s">
        <v>32</v>
      </c>
      <c r="C17671" t="s">
        <v>40</v>
      </c>
      <c r="D17671" t="s">
        <v>58494</v>
      </c>
      <c r="E17671">
        <v>425011</v>
      </c>
      <c r="F17671" t="s">
        <v>1</v>
      </c>
      <c r="G17671" t="s">
        <v>52955</v>
      </c>
      <c r="H17671" t="s">
        <v>58495</v>
      </c>
      <c r="J17671" t="s">
        <v>58496</v>
      </c>
      <c r="P17671" t="s">
        <v>410</v>
      </c>
      <c r="Y17671" t="s">
        <v>58497</v>
      </c>
    </row>
    <row r="17672" spans="1:25" x14ac:dyDescent="0.25">
      <c r="A17672" t="str">
        <f>"202648276638"</f>
        <v>202648276638</v>
      </c>
      <c r="B17672" t="s">
        <v>25664</v>
      </c>
      <c r="C17672" t="s">
        <v>6901</v>
      </c>
      <c r="D17672" t="s">
        <v>6901</v>
      </c>
      <c r="F17672" t="s">
        <v>1</v>
      </c>
      <c r="G17672" t="s">
        <v>52955</v>
      </c>
      <c r="H17672" t="s">
        <v>55903</v>
      </c>
      <c r="Y17672" t="s">
        <v>58498</v>
      </c>
    </row>
    <row r="17673" spans="1:25" x14ac:dyDescent="0.25">
      <c r="A17673" t="str">
        <f>"202953262289"</f>
        <v>202953262289</v>
      </c>
      <c r="B17673" t="s">
        <v>88</v>
      </c>
      <c r="C17673" t="s">
        <v>10367</v>
      </c>
      <c r="D17673" t="s">
        <v>58499</v>
      </c>
      <c r="E17673">
        <v>425008</v>
      </c>
      <c r="F17673" t="s">
        <v>1</v>
      </c>
      <c r="G17673" t="s">
        <v>52955</v>
      </c>
      <c r="H17673" t="s">
        <v>53554</v>
      </c>
      <c r="Y17673" t="s">
        <v>58500</v>
      </c>
    </row>
    <row r="17674" spans="1:25" x14ac:dyDescent="0.25">
      <c r="A17674" t="str">
        <f>"203552593403"</f>
        <v>203552593403</v>
      </c>
      <c r="B17674" t="s">
        <v>18</v>
      </c>
      <c r="C17674" t="s">
        <v>2593</v>
      </c>
      <c r="D17674" t="s">
        <v>49223</v>
      </c>
      <c r="E17674">
        <v>425011</v>
      </c>
      <c r="F17674" t="s">
        <v>1</v>
      </c>
      <c r="G17674" t="s">
        <v>52955</v>
      </c>
      <c r="H17674" t="s">
        <v>55025</v>
      </c>
      <c r="J17674" t="s">
        <v>58501</v>
      </c>
      <c r="Y17674" t="s">
        <v>53726</v>
      </c>
    </row>
    <row r="17675" spans="1:25" x14ac:dyDescent="0.25">
      <c r="A17675" t="str">
        <f>"204192054800"</f>
        <v>204192054800</v>
      </c>
      <c r="B17675" t="s">
        <v>1152</v>
      </c>
      <c r="C17675" t="s">
        <v>1152</v>
      </c>
      <c r="D17675" t="s">
        <v>51054</v>
      </c>
      <c r="F17675" t="s">
        <v>1</v>
      </c>
      <c r="G17675" t="s">
        <v>52955</v>
      </c>
      <c r="H17675" t="s">
        <v>55362</v>
      </c>
      <c r="Y17675" t="s">
        <v>58502</v>
      </c>
    </row>
    <row r="17676" spans="1:25" x14ac:dyDescent="0.25">
      <c r="A17676" t="str">
        <f>"204281462624"</f>
        <v>204281462624</v>
      </c>
      <c r="B17676" t="s">
        <v>18</v>
      </c>
      <c r="C17676" t="s">
        <v>2171</v>
      </c>
      <c r="D17676" t="s">
        <v>58503</v>
      </c>
      <c r="E17676">
        <v>425011</v>
      </c>
      <c r="F17676" t="s">
        <v>1</v>
      </c>
      <c r="G17676" t="s">
        <v>52955</v>
      </c>
      <c r="H17676" t="s">
        <v>53155</v>
      </c>
      <c r="Y17676" t="s">
        <v>58504</v>
      </c>
    </row>
    <row r="17677" spans="1:25" x14ac:dyDescent="0.25">
      <c r="A17677" t="str">
        <f>"204302745765"</f>
        <v>204302745765</v>
      </c>
      <c r="B17677" t="s">
        <v>574</v>
      </c>
      <c r="C17677" t="s">
        <v>646</v>
      </c>
      <c r="D17677" t="s">
        <v>4221</v>
      </c>
      <c r="E17677">
        <v>425000</v>
      </c>
      <c r="F17677" t="s">
        <v>1</v>
      </c>
      <c r="G17677" t="s">
        <v>52955</v>
      </c>
      <c r="H17677" t="s">
        <v>57943</v>
      </c>
      <c r="P17677" t="s">
        <v>35692</v>
      </c>
      <c r="Y17677" t="s">
        <v>58505</v>
      </c>
    </row>
    <row r="17678" spans="1:25" x14ac:dyDescent="0.25">
      <c r="A17678" t="str">
        <f>"204375683676"</f>
        <v>204375683676</v>
      </c>
      <c r="B17678" t="s">
        <v>233</v>
      </c>
      <c r="C17678" t="s">
        <v>14003</v>
      </c>
      <c r="D17678" t="s">
        <v>15012</v>
      </c>
      <c r="E17678">
        <v>425005</v>
      </c>
      <c r="F17678" t="s">
        <v>1</v>
      </c>
      <c r="G17678" t="s">
        <v>52955</v>
      </c>
      <c r="H17678" t="s">
        <v>54351</v>
      </c>
      <c r="Y17678" t="s">
        <v>58506</v>
      </c>
    </row>
    <row r="17679" spans="1:25" x14ac:dyDescent="0.25">
      <c r="A17679" t="str">
        <f>"204396370102"</f>
        <v>204396370102</v>
      </c>
      <c r="B17679" t="s">
        <v>352</v>
      </c>
      <c r="C17679" t="s">
        <v>58507</v>
      </c>
      <c r="D17679" t="s">
        <v>10197</v>
      </c>
      <c r="E17679">
        <v>425001</v>
      </c>
      <c r="F17679" t="s">
        <v>1</v>
      </c>
      <c r="G17679" t="s">
        <v>52955</v>
      </c>
      <c r="H17679" t="s">
        <v>53433</v>
      </c>
      <c r="Y17679" t="s">
        <v>58508</v>
      </c>
    </row>
    <row r="17680" spans="1:25" x14ac:dyDescent="0.25">
      <c r="A17680" t="str">
        <f>"204696088495"</f>
        <v>204696088495</v>
      </c>
      <c r="B17680" t="s">
        <v>430</v>
      </c>
      <c r="C17680" t="s">
        <v>58510</v>
      </c>
      <c r="D17680" t="s">
        <v>57455</v>
      </c>
      <c r="E17680">
        <v>425000</v>
      </c>
      <c r="F17680" t="s">
        <v>1</v>
      </c>
      <c r="G17680" t="s">
        <v>52955</v>
      </c>
      <c r="H17680" t="s">
        <v>55982</v>
      </c>
      <c r="J17680" t="s">
        <v>58509</v>
      </c>
      <c r="P17680" t="s">
        <v>362</v>
      </c>
      <c r="V17680" t="s">
        <v>58511</v>
      </c>
      <c r="Y17680" t="s">
        <v>58512</v>
      </c>
    </row>
    <row r="17681" spans="1:25" x14ac:dyDescent="0.25">
      <c r="A17681" t="str">
        <f>"204963374436"</f>
        <v>204963374436</v>
      </c>
      <c r="B17681" t="s">
        <v>48</v>
      </c>
      <c r="C17681" t="s">
        <v>16070</v>
      </c>
      <c r="D17681" t="s">
        <v>58513</v>
      </c>
      <c r="E17681">
        <v>425003</v>
      </c>
      <c r="F17681" t="s">
        <v>1</v>
      </c>
      <c r="G17681" t="s">
        <v>52955</v>
      </c>
      <c r="H17681" t="s">
        <v>53392</v>
      </c>
      <c r="Y17681" t="s">
        <v>58514</v>
      </c>
    </row>
    <row r="17682" spans="1:25" x14ac:dyDescent="0.25">
      <c r="A17682" t="str">
        <f>"205280088875"</f>
        <v>205280088875</v>
      </c>
      <c r="B17682" t="s">
        <v>1323</v>
      </c>
      <c r="C17682" t="s">
        <v>1324</v>
      </c>
      <c r="D17682" t="s">
        <v>58515</v>
      </c>
      <c r="F17682" t="s">
        <v>1</v>
      </c>
      <c r="G17682" t="s">
        <v>52955</v>
      </c>
      <c r="H17682" t="s">
        <v>58516</v>
      </c>
      <c r="I17682" t="s">
        <v>58517</v>
      </c>
      <c r="P17682" t="s">
        <v>51546</v>
      </c>
      <c r="Y17682" t="s">
        <v>58518</v>
      </c>
    </row>
    <row r="17683" spans="1:25" x14ac:dyDescent="0.25">
      <c r="A17683" t="str">
        <f>"205678458129"</f>
        <v>205678458129</v>
      </c>
      <c r="B17683" t="s">
        <v>469</v>
      </c>
      <c r="C17683" t="s">
        <v>47545</v>
      </c>
      <c r="D17683" t="s">
        <v>58519</v>
      </c>
      <c r="F17683" t="s">
        <v>1</v>
      </c>
      <c r="G17683" t="s">
        <v>52955</v>
      </c>
      <c r="H17683" t="s">
        <v>52989</v>
      </c>
      <c r="J17683" t="s">
        <v>58520</v>
      </c>
      <c r="Y17683" t="s">
        <v>53039</v>
      </c>
    </row>
    <row r="17684" spans="1:25" x14ac:dyDescent="0.25">
      <c r="A17684" t="str">
        <f>"205800293544"</f>
        <v>205800293544</v>
      </c>
      <c r="B17684" t="s">
        <v>18</v>
      </c>
      <c r="C17684" t="s">
        <v>58522</v>
      </c>
      <c r="D17684" t="s">
        <v>58521</v>
      </c>
      <c r="E17684">
        <v>425009</v>
      </c>
      <c r="F17684" t="s">
        <v>1</v>
      </c>
      <c r="G17684" t="s">
        <v>52955</v>
      </c>
      <c r="H17684" t="s">
        <v>55434</v>
      </c>
      <c r="Y17684" t="s">
        <v>58523</v>
      </c>
    </row>
    <row r="17685" spans="1:25" x14ac:dyDescent="0.25">
      <c r="A17685" t="str">
        <f>"205941710796"</f>
        <v>205941710796</v>
      </c>
      <c r="B17685" t="s">
        <v>290</v>
      </c>
      <c r="C17685" t="s">
        <v>290</v>
      </c>
      <c r="D17685" t="s">
        <v>25268</v>
      </c>
      <c r="E17685">
        <v>425000</v>
      </c>
      <c r="F17685" t="s">
        <v>1</v>
      </c>
      <c r="G17685" t="s">
        <v>52955</v>
      </c>
      <c r="H17685" t="s">
        <v>56534</v>
      </c>
      <c r="Y17685" t="s">
        <v>58524</v>
      </c>
    </row>
    <row r="17686" spans="1:25" x14ac:dyDescent="0.25">
      <c r="A17686" t="str">
        <f>"206168485823"</f>
        <v>206168485823</v>
      </c>
      <c r="B17686" t="s">
        <v>1152</v>
      </c>
      <c r="C17686" t="s">
        <v>1153</v>
      </c>
      <c r="D17686" t="s">
        <v>10280</v>
      </c>
      <c r="E17686">
        <v>425005</v>
      </c>
      <c r="F17686" t="s">
        <v>1</v>
      </c>
      <c r="G17686" t="s">
        <v>52955</v>
      </c>
      <c r="H17686" t="s">
        <v>55148</v>
      </c>
      <c r="I17686" t="s">
        <v>22092</v>
      </c>
      <c r="M17686" t="s">
        <v>10284</v>
      </c>
      <c r="Q17686" t="s">
        <v>10286</v>
      </c>
      <c r="R17686" t="s">
        <v>10287</v>
      </c>
      <c r="S17686" t="s">
        <v>10288</v>
      </c>
      <c r="T17686" t="s">
        <v>10289</v>
      </c>
      <c r="U17686" t="s">
        <v>10290</v>
      </c>
      <c r="V17686" t="s">
        <v>10291</v>
      </c>
      <c r="Y17686" t="s">
        <v>55612</v>
      </c>
    </row>
    <row r="17687" spans="1:25" x14ac:dyDescent="0.25">
      <c r="A17687" t="str">
        <f>"206249705031"</f>
        <v>206249705031</v>
      </c>
      <c r="B17687" t="s">
        <v>117</v>
      </c>
      <c r="C17687" t="s">
        <v>873</v>
      </c>
      <c r="D17687" t="s">
        <v>873</v>
      </c>
      <c r="E17687">
        <v>425009</v>
      </c>
      <c r="F17687" t="s">
        <v>1</v>
      </c>
      <c r="G17687" t="s">
        <v>52955</v>
      </c>
      <c r="H17687" t="s">
        <v>57544</v>
      </c>
      <c r="Y17687" t="s">
        <v>58525</v>
      </c>
    </row>
    <row r="17688" spans="1:25" x14ac:dyDescent="0.25">
      <c r="A17688" t="str">
        <f>"206562945006"</f>
        <v>206562945006</v>
      </c>
      <c r="B17688" t="s">
        <v>624</v>
      </c>
      <c r="C17688" t="s">
        <v>52125</v>
      </c>
      <c r="D17688" t="s">
        <v>50933</v>
      </c>
      <c r="E17688">
        <v>425008</v>
      </c>
      <c r="F17688" t="s">
        <v>1</v>
      </c>
      <c r="G17688" t="s">
        <v>52955</v>
      </c>
      <c r="H17688" t="s">
        <v>53617</v>
      </c>
      <c r="Y17688" t="s">
        <v>58526</v>
      </c>
    </row>
    <row r="17689" spans="1:25" x14ac:dyDescent="0.25">
      <c r="A17689" t="str">
        <f>"206864557433"</f>
        <v>206864557433</v>
      </c>
      <c r="B17689" t="s">
        <v>574</v>
      </c>
      <c r="C17689" t="s">
        <v>646</v>
      </c>
      <c r="D17689" t="s">
        <v>35690</v>
      </c>
      <c r="F17689" t="s">
        <v>1</v>
      </c>
      <c r="G17689" t="s">
        <v>52955</v>
      </c>
      <c r="H17689" t="s">
        <v>58527</v>
      </c>
      <c r="J17689" t="s">
        <v>58528</v>
      </c>
      <c r="P17689" t="s">
        <v>58529</v>
      </c>
      <c r="Y17689" t="s">
        <v>58530</v>
      </c>
    </row>
    <row r="17690" spans="1:25" x14ac:dyDescent="0.25">
      <c r="A17690" t="str">
        <f>"207746066019"</f>
        <v>207746066019</v>
      </c>
      <c r="B17690" t="s">
        <v>88</v>
      </c>
      <c r="C17690" t="s">
        <v>8056</v>
      </c>
      <c r="D17690" t="s">
        <v>58531</v>
      </c>
      <c r="E17690">
        <v>425011</v>
      </c>
      <c r="F17690" t="s">
        <v>1</v>
      </c>
      <c r="G17690" t="s">
        <v>52955</v>
      </c>
      <c r="H17690" t="s">
        <v>54118</v>
      </c>
      <c r="J17690" t="s">
        <v>58532</v>
      </c>
      <c r="P17690" t="s">
        <v>133</v>
      </c>
      <c r="Y17690" t="s">
        <v>58533</v>
      </c>
    </row>
    <row r="17691" spans="1:25" x14ac:dyDescent="0.25">
      <c r="A17691" t="str">
        <f>"207918011896"</f>
        <v>207918011896</v>
      </c>
      <c r="B17691" t="s">
        <v>574</v>
      </c>
      <c r="C17691" t="s">
        <v>646</v>
      </c>
      <c r="D17691" t="s">
        <v>4221</v>
      </c>
      <c r="E17691">
        <v>425008</v>
      </c>
      <c r="F17691" t="s">
        <v>1</v>
      </c>
      <c r="G17691" t="s">
        <v>52955</v>
      </c>
      <c r="H17691" t="s">
        <v>55417</v>
      </c>
      <c r="Y17691" t="s">
        <v>58534</v>
      </c>
    </row>
    <row r="17692" spans="1:25" x14ac:dyDescent="0.25">
      <c r="A17692" t="str">
        <f>"208156160501"</f>
        <v>208156160501</v>
      </c>
      <c r="B17692" t="s">
        <v>1343</v>
      </c>
      <c r="C17692" t="s">
        <v>7789</v>
      </c>
      <c r="D17692" t="s">
        <v>17329</v>
      </c>
      <c r="E17692">
        <v>425000</v>
      </c>
      <c r="F17692" t="s">
        <v>1</v>
      </c>
      <c r="G17692" t="s">
        <v>52955</v>
      </c>
      <c r="H17692" t="s">
        <v>54369</v>
      </c>
      <c r="Y17692" t="s">
        <v>58535</v>
      </c>
    </row>
    <row r="17693" spans="1:25" x14ac:dyDescent="0.25">
      <c r="A17693" t="str">
        <f>"208275877807"</f>
        <v>208275877807</v>
      </c>
      <c r="B17693" t="s">
        <v>930</v>
      </c>
      <c r="C17693" t="s">
        <v>58539</v>
      </c>
      <c r="D17693" t="s">
        <v>58536</v>
      </c>
      <c r="F17693" t="s">
        <v>1</v>
      </c>
      <c r="G17693" t="s">
        <v>52955</v>
      </c>
      <c r="H17693" t="s">
        <v>58537</v>
      </c>
      <c r="J17693" t="s">
        <v>58538</v>
      </c>
      <c r="P17693" t="s">
        <v>312</v>
      </c>
      <c r="Q17693" t="s">
        <v>58540</v>
      </c>
      <c r="V17693" t="s">
        <v>58541</v>
      </c>
      <c r="Y17693" t="s">
        <v>58542</v>
      </c>
    </row>
    <row r="17694" spans="1:25" x14ac:dyDescent="0.25">
      <c r="A17694" t="str">
        <f>"208545373037"</f>
        <v>208545373037</v>
      </c>
      <c r="B17694" t="s">
        <v>32</v>
      </c>
      <c r="C17694" t="s">
        <v>40</v>
      </c>
      <c r="D17694" t="s">
        <v>58543</v>
      </c>
      <c r="E17694">
        <v>425005</v>
      </c>
      <c r="F17694" t="s">
        <v>1</v>
      </c>
      <c r="G17694" t="s">
        <v>52955</v>
      </c>
      <c r="H17694" t="s">
        <v>55678</v>
      </c>
      <c r="Y17694" t="s">
        <v>58544</v>
      </c>
    </row>
    <row r="17695" spans="1:25" x14ac:dyDescent="0.25">
      <c r="A17695" t="str">
        <f>"208584704166"</f>
        <v>208584704166</v>
      </c>
      <c r="B17695" t="s">
        <v>1475</v>
      </c>
      <c r="C17695" t="s">
        <v>1476</v>
      </c>
      <c r="D17695" t="s">
        <v>58545</v>
      </c>
      <c r="E17695">
        <v>425009</v>
      </c>
      <c r="F17695" t="s">
        <v>1</v>
      </c>
      <c r="G17695" t="s">
        <v>52955</v>
      </c>
      <c r="H17695" t="s">
        <v>55921</v>
      </c>
      <c r="P17695" t="s">
        <v>60</v>
      </c>
      <c r="Y17695" t="s">
        <v>58546</v>
      </c>
    </row>
    <row r="17696" spans="1:25" x14ac:dyDescent="0.25">
      <c r="A17696" t="str">
        <f>"208684337285"</f>
        <v>208684337285</v>
      </c>
      <c r="B17696" t="s">
        <v>888</v>
      </c>
      <c r="C17696" t="s">
        <v>4712</v>
      </c>
      <c r="D17696" t="s">
        <v>58547</v>
      </c>
      <c r="F17696" t="s">
        <v>1</v>
      </c>
      <c r="G17696" t="s">
        <v>52955</v>
      </c>
      <c r="H17696" t="s">
        <v>53404</v>
      </c>
      <c r="Y17696" t="s">
        <v>58548</v>
      </c>
    </row>
    <row r="17697" spans="1:25" x14ac:dyDescent="0.25">
      <c r="A17697" t="str">
        <f>"208750149324"</f>
        <v>208750149324</v>
      </c>
      <c r="B17697" t="s">
        <v>25</v>
      </c>
      <c r="C17697" t="s">
        <v>4458</v>
      </c>
      <c r="D17697" t="s">
        <v>58549</v>
      </c>
      <c r="F17697" t="s">
        <v>1</v>
      </c>
      <c r="G17697" t="s">
        <v>52955</v>
      </c>
      <c r="H17697" t="s">
        <v>56667</v>
      </c>
      <c r="Y17697" t="s">
        <v>58550</v>
      </c>
    </row>
    <row r="17698" spans="1:25" x14ac:dyDescent="0.25">
      <c r="A17698" t="str">
        <f>"209247273871"</f>
        <v>209247273871</v>
      </c>
      <c r="B17698" t="s">
        <v>13560</v>
      </c>
      <c r="C17698" t="s">
        <v>19433</v>
      </c>
      <c r="D17698" t="s">
        <v>58551</v>
      </c>
      <c r="E17698">
        <v>425000</v>
      </c>
      <c r="F17698" t="s">
        <v>1</v>
      </c>
      <c r="G17698" t="s">
        <v>52955</v>
      </c>
      <c r="H17698" t="s">
        <v>53343</v>
      </c>
      <c r="I17698" t="s">
        <v>58552</v>
      </c>
      <c r="P17698" t="s">
        <v>20</v>
      </c>
      <c r="Y17698" t="s">
        <v>58553</v>
      </c>
    </row>
    <row r="17699" spans="1:25" x14ac:dyDescent="0.25">
      <c r="A17699" t="str">
        <f>"209284846445"</f>
        <v>209284846445</v>
      </c>
      <c r="B17699" t="s">
        <v>1152</v>
      </c>
      <c r="C17699" t="s">
        <v>1152</v>
      </c>
      <c r="D17699" t="s">
        <v>58554</v>
      </c>
      <c r="E17699">
        <v>425000</v>
      </c>
      <c r="F17699" t="s">
        <v>1</v>
      </c>
      <c r="G17699" t="s">
        <v>52955</v>
      </c>
      <c r="H17699" t="s">
        <v>58555</v>
      </c>
      <c r="I17699" t="s">
        <v>58556</v>
      </c>
      <c r="K17699" t="s">
        <v>58557</v>
      </c>
      <c r="P17699" t="s">
        <v>20</v>
      </c>
      <c r="Y17699" t="s">
        <v>58558</v>
      </c>
    </row>
    <row r="17700" spans="1:25" x14ac:dyDescent="0.25">
      <c r="A17700" t="str">
        <f>"209285672208"</f>
        <v>209285672208</v>
      </c>
      <c r="B17700" t="s">
        <v>3652</v>
      </c>
      <c r="C17700" t="s">
        <v>3685</v>
      </c>
      <c r="D17700" t="s">
        <v>58559</v>
      </c>
      <c r="F17700" t="s">
        <v>1</v>
      </c>
      <c r="G17700" t="s">
        <v>52955</v>
      </c>
      <c r="H17700" t="s">
        <v>55808</v>
      </c>
      <c r="Y17700" t="s">
        <v>58560</v>
      </c>
    </row>
    <row r="17701" spans="1:25" x14ac:dyDescent="0.25">
      <c r="A17701" t="str">
        <f>"209686326098"</f>
        <v>209686326098</v>
      </c>
      <c r="B17701" t="s">
        <v>123</v>
      </c>
      <c r="C17701" t="s">
        <v>18438</v>
      </c>
      <c r="D17701" t="s">
        <v>58561</v>
      </c>
      <c r="F17701" t="s">
        <v>1</v>
      </c>
      <c r="G17701" t="s">
        <v>52955</v>
      </c>
      <c r="H17701" t="s">
        <v>55122</v>
      </c>
      <c r="I17701" t="s">
        <v>58562</v>
      </c>
      <c r="J17701" t="s">
        <v>58563</v>
      </c>
      <c r="L17701" t="s">
        <v>58564</v>
      </c>
      <c r="M17701" t="s">
        <v>58565</v>
      </c>
      <c r="P17701" t="s">
        <v>6236</v>
      </c>
      <c r="Q17701" t="s">
        <v>58566</v>
      </c>
      <c r="Y17701" t="s">
        <v>58567</v>
      </c>
    </row>
    <row r="17702" spans="1:25" x14ac:dyDescent="0.25">
      <c r="A17702" t="str">
        <f>"209713878013"</f>
        <v>209713878013</v>
      </c>
      <c r="B17702" t="s">
        <v>1617</v>
      </c>
      <c r="C17702" t="s">
        <v>1618</v>
      </c>
      <c r="D17702" t="s">
        <v>32692</v>
      </c>
      <c r="E17702">
        <v>425000</v>
      </c>
      <c r="F17702" t="s">
        <v>1</v>
      </c>
      <c r="G17702" t="s">
        <v>52955</v>
      </c>
      <c r="H17702" t="s">
        <v>55351</v>
      </c>
      <c r="Y17702" t="s">
        <v>58568</v>
      </c>
    </row>
    <row r="17703" spans="1:25" x14ac:dyDescent="0.25">
      <c r="A17703" t="str">
        <f>"209730193924"</f>
        <v>209730193924</v>
      </c>
      <c r="B17703" t="s">
        <v>67</v>
      </c>
      <c r="C17703" t="s">
        <v>832</v>
      </c>
      <c r="D17703" t="s">
        <v>1147</v>
      </c>
      <c r="F17703" t="s">
        <v>1</v>
      </c>
      <c r="G17703" t="s">
        <v>52955</v>
      </c>
      <c r="H17703" t="s">
        <v>55520</v>
      </c>
      <c r="Y17703" t="s">
        <v>58569</v>
      </c>
    </row>
    <row r="17704" spans="1:25" x14ac:dyDescent="0.25">
      <c r="A17704" t="str">
        <f>"210080034523"</f>
        <v>210080034523</v>
      </c>
      <c r="B17704" t="s">
        <v>2104</v>
      </c>
      <c r="C17704" t="s">
        <v>2105</v>
      </c>
      <c r="D17704" t="s">
        <v>24033</v>
      </c>
      <c r="E17704">
        <v>425005</v>
      </c>
      <c r="F17704" t="s">
        <v>1</v>
      </c>
      <c r="G17704" t="s">
        <v>52955</v>
      </c>
      <c r="H17704" t="s">
        <v>55280</v>
      </c>
      <c r="Y17704" t="s">
        <v>58570</v>
      </c>
    </row>
    <row r="17705" spans="1:25" x14ac:dyDescent="0.25">
      <c r="A17705" t="str">
        <f>"210118142653"</f>
        <v>210118142653</v>
      </c>
      <c r="B17705" t="s">
        <v>1352</v>
      </c>
      <c r="C17705" t="s">
        <v>11624</v>
      </c>
      <c r="D17705" t="s">
        <v>58571</v>
      </c>
      <c r="E17705">
        <v>425000</v>
      </c>
      <c r="F17705" t="s">
        <v>1</v>
      </c>
      <c r="G17705" t="s">
        <v>52955</v>
      </c>
      <c r="H17705" t="s">
        <v>53066</v>
      </c>
      <c r="Y17705" t="s">
        <v>58572</v>
      </c>
    </row>
    <row r="17706" spans="1:25" x14ac:dyDescent="0.25">
      <c r="A17706" t="str">
        <f>"210169466289"</f>
        <v>210169466289</v>
      </c>
      <c r="B17706" t="s">
        <v>530</v>
      </c>
      <c r="C17706" t="s">
        <v>23950</v>
      </c>
      <c r="D17706" t="s">
        <v>23950</v>
      </c>
      <c r="F17706" t="s">
        <v>1</v>
      </c>
      <c r="G17706" t="s">
        <v>52955</v>
      </c>
      <c r="H17706" t="s">
        <v>55903</v>
      </c>
      <c r="Y17706" t="s">
        <v>58573</v>
      </c>
    </row>
    <row r="17707" spans="1:25" x14ac:dyDescent="0.25">
      <c r="A17707" t="str">
        <f>"211212438280"</f>
        <v>211212438280</v>
      </c>
      <c r="B17707" t="s">
        <v>96</v>
      </c>
      <c r="C17707" t="s">
        <v>27219</v>
      </c>
      <c r="D17707" t="s">
        <v>58574</v>
      </c>
      <c r="E17707">
        <v>425008</v>
      </c>
      <c r="F17707" t="s">
        <v>1</v>
      </c>
      <c r="G17707" t="s">
        <v>52955</v>
      </c>
      <c r="H17707" t="s">
        <v>53857</v>
      </c>
      <c r="Y17707" t="s">
        <v>58575</v>
      </c>
    </row>
    <row r="17708" spans="1:25" x14ac:dyDescent="0.25">
      <c r="A17708" t="str">
        <f>"211375540802"</f>
        <v>211375540802</v>
      </c>
      <c r="B17708" t="s">
        <v>574</v>
      </c>
      <c r="C17708" t="s">
        <v>21020</v>
      </c>
      <c r="D17708" t="s">
        <v>58576</v>
      </c>
      <c r="E17708">
        <v>425001</v>
      </c>
      <c r="F17708" t="s">
        <v>1</v>
      </c>
      <c r="G17708" t="s">
        <v>52955</v>
      </c>
      <c r="H17708" t="s">
        <v>56121</v>
      </c>
      <c r="Y17708" t="s">
        <v>58577</v>
      </c>
    </row>
    <row r="17709" spans="1:25" x14ac:dyDescent="0.25">
      <c r="A17709" t="str">
        <f>"211406392095"</f>
        <v>211406392095</v>
      </c>
      <c r="B17709" t="s">
        <v>1352</v>
      </c>
      <c r="C17709" t="s">
        <v>1353</v>
      </c>
      <c r="D17709" t="s">
        <v>22566</v>
      </c>
      <c r="E17709">
        <v>425009</v>
      </c>
      <c r="F17709" t="s">
        <v>1</v>
      </c>
      <c r="G17709" t="s">
        <v>52955</v>
      </c>
      <c r="H17709" t="s">
        <v>55390</v>
      </c>
      <c r="Y17709" t="s">
        <v>58578</v>
      </c>
    </row>
    <row r="17710" spans="1:25" x14ac:dyDescent="0.25">
      <c r="A17710" t="str">
        <f>"211414028050"</f>
        <v>211414028050</v>
      </c>
      <c r="B17710" t="s">
        <v>379</v>
      </c>
      <c r="C17710" t="s">
        <v>766</v>
      </c>
      <c r="D17710" t="s">
        <v>48471</v>
      </c>
      <c r="F17710" t="s">
        <v>1</v>
      </c>
      <c r="G17710" t="s">
        <v>52955</v>
      </c>
      <c r="H17710" t="s">
        <v>53198</v>
      </c>
      <c r="Y17710" t="s">
        <v>58579</v>
      </c>
    </row>
    <row r="17711" spans="1:25" x14ac:dyDescent="0.25">
      <c r="A17711" t="str">
        <f>"211423581834"</f>
        <v>211423581834</v>
      </c>
      <c r="B17711" t="s">
        <v>96</v>
      </c>
      <c r="C17711" t="s">
        <v>893</v>
      </c>
      <c r="D17711" t="s">
        <v>58580</v>
      </c>
      <c r="F17711" t="s">
        <v>1</v>
      </c>
      <c r="G17711" t="s">
        <v>52955</v>
      </c>
      <c r="H17711" t="s">
        <v>53198</v>
      </c>
      <c r="P17711" t="s">
        <v>133</v>
      </c>
      <c r="Y17711" t="s">
        <v>58581</v>
      </c>
    </row>
    <row r="17712" spans="1:25" x14ac:dyDescent="0.25">
      <c r="A17712" t="str">
        <f>"211715327549"</f>
        <v>211715327549</v>
      </c>
      <c r="B17712" t="s">
        <v>18</v>
      </c>
      <c r="C17712" t="s">
        <v>28324</v>
      </c>
      <c r="D17712" t="s">
        <v>58582</v>
      </c>
      <c r="F17712" t="s">
        <v>1</v>
      </c>
      <c r="G17712" t="s">
        <v>52955</v>
      </c>
      <c r="H17712" t="s">
        <v>57449</v>
      </c>
      <c r="J17712" t="s">
        <v>58583</v>
      </c>
      <c r="L17712" t="s">
        <v>58584</v>
      </c>
      <c r="P17712" t="s">
        <v>133</v>
      </c>
      <c r="Q17712" t="s">
        <v>58585</v>
      </c>
      <c r="V17712" t="s">
        <v>58586</v>
      </c>
      <c r="Y17712" t="s">
        <v>58587</v>
      </c>
    </row>
    <row r="17713" spans="1:25" x14ac:dyDescent="0.25">
      <c r="A17713" t="str">
        <f>"211890901814"</f>
        <v>211890901814</v>
      </c>
      <c r="B17713" t="s">
        <v>348</v>
      </c>
      <c r="C17713" t="s">
        <v>4366</v>
      </c>
      <c r="D17713" t="s">
        <v>348</v>
      </c>
      <c r="E17713">
        <v>425011</v>
      </c>
      <c r="F17713" t="s">
        <v>1</v>
      </c>
      <c r="G17713" t="s">
        <v>52955</v>
      </c>
      <c r="H17713" t="s">
        <v>54593</v>
      </c>
      <c r="Y17713" t="s">
        <v>58588</v>
      </c>
    </row>
    <row r="17714" spans="1:25" x14ac:dyDescent="0.25">
      <c r="A17714" t="str">
        <f>"211906056794"</f>
        <v>211906056794</v>
      </c>
      <c r="B17714" t="s">
        <v>574</v>
      </c>
      <c r="C17714" t="s">
        <v>646</v>
      </c>
      <c r="D17714" t="s">
        <v>4221</v>
      </c>
      <c r="E17714">
        <v>425009</v>
      </c>
      <c r="F17714" t="s">
        <v>1</v>
      </c>
      <c r="G17714" t="s">
        <v>52955</v>
      </c>
      <c r="H17714" t="s">
        <v>56411</v>
      </c>
      <c r="Y17714" t="s">
        <v>58589</v>
      </c>
    </row>
    <row r="17715" spans="1:25" x14ac:dyDescent="0.25">
      <c r="A17715" t="str">
        <f>"212169588718"</f>
        <v>212169588718</v>
      </c>
      <c r="B17715" t="s">
        <v>1611</v>
      </c>
      <c r="C17715" t="s">
        <v>26250</v>
      </c>
      <c r="D17715" t="s">
        <v>58590</v>
      </c>
      <c r="E17715">
        <v>425000</v>
      </c>
      <c r="F17715" t="s">
        <v>1</v>
      </c>
      <c r="G17715" t="s">
        <v>52955</v>
      </c>
      <c r="H17715" t="s">
        <v>58077</v>
      </c>
      <c r="I17715" t="s">
        <v>58591</v>
      </c>
      <c r="M17715" t="s">
        <v>58592</v>
      </c>
      <c r="P17715" t="s">
        <v>330</v>
      </c>
      <c r="Y17715" t="s">
        <v>58593</v>
      </c>
    </row>
    <row r="17716" spans="1:25" x14ac:dyDescent="0.25">
      <c r="A17716" t="str">
        <f>"212709908674"</f>
        <v>212709908674</v>
      </c>
      <c r="B17716" t="s">
        <v>482</v>
      </c>
      <c r="C17716" t="s">
        <v>3055</v>
      </c>
      <c r="D17716" t="s">
        <v>58594</v>
      </c>
      <c r="E17716">
        <v>425009</v>
      </c>
      <c r="F17716" t="s">
        <v>1</v>
      </c>
      <c r="G17716" t="s">
        <v>52955</v>
      </c>
      <c r="H17716" t="s">
        <v>58595</v>
      </c>
      <c r="Y17716" t="s">
        <v>58596</v>
      </c>
    </row>
    <row r="17717" spans="1:25" x14ac:dyDescent="0.25">
      <c r="A17717" t="str">
        <f>"212835666120"</f>
        <v>212835666120</v>
      </c>
      <c r="B17717" t="s">
        <v>530</v>
      </c>
      <c r="C17717" t="s">
        <v>23950</v>
      </c>
      <c r="D17717" t="s">
        <v>23950</v>
      </c>
      <c r="F17717" t="s">
        <v>1</v>
      </c>
      <c r="G17717" t="s">
        <v>52955</v>
      </c>
      <c r="H17717" t="s">
        <v>58597</v>
      </c>
      <c r="Y17717" t="s">
        <v>58598</v>
      </c>
    </row>
    <row r="17718" spans="1:25" x14ac:dyDescent="0.25">
      <c r="A17718" t="str">
        <f>"212919361952"</f>
        <v>212919361952</v>
      </c>
      <c r="B17718" t="s">
        <v>18</v>
      </c>
      <c r="C17718" t="s">
        <v>58603</v>
      </c>
      <c r="D17718" t="s">
        <v>58599</v>
      </c>
      <c r="E17718">
        <v>425008</v>
      </c>
      <c r="F17718" t="s">
        <v>1</v>
      </c>
      <c r="G17718" t="s">
        <v>52955</v>
      </c>
      <c r="H17718" t="s">
        <v>53614</v>
      </c>
      <c r="I17718" t="s">
        <v>58600</v>
      </c>
      <c r="L17718" t="s">
        <v>58601</v>
      </c>
      <c r="M17718" t="s">
        <v>58602</v>
      </c>
      <c r="P17718" t="s">
        <v>152</v>
      </c>
      <c r="Y17718" t="s">
        <v>53616</v>
      </c>
    </row>
    <row r="17719" spans="1:25" x14ac:dyDescent="0.25">
      <c r="A17719" t="str">
        <f>"213007054186"</f>
        <v>213007054186</v>
      </c>
      <c r="B17719" t="s">
        <v>2104</v>
      </c>
      <c r="C17719" t="s">
        <v>2105</v>
      </c>
      <c r="D17719" t="s">
        <v>58604</v>
      </c>
      <c r="E17719">
        <v>425000</v>
      </c>
      <c r="F17719" t="s">
        <v>1</v>
      </c>
      <c r="G17719" t="s">
        <v>52955</v>
      </c>
      <c r="H17719" t="s">
        <v>58605</v>
      </c>
      <c r="Y17719" t="s">
        <v>58606</v>
      </c>
    </row>
    <row r="17720" spans="1:25" x14ac:dyDescent="0.25">
      <c r="A17720" t="str">
        <f>"213255207148"</f>
        <v>213255207148</v>
      </c>
      <c r="B17720" t="s">
        <v>379</v>
      </c>
      <c r="C17720" t="s">
        <v>53607</v>
      </c>
      <c r="D17720" t="s">
        <v>4852</v>
      </c>
      <c r="E17720">
        <v>425008</v>
      </c>
      <c r="F17720" t="s">
        <v>1</v>
      </c>
      <c r="G17720" t="s">
        <v>52955</v>
      </c>
      <c r="H17720" t="s">
        <v>53617</v>
      </c>
      <c r="P17720" t="s">
        <v>330</v>
      </c>
      <c r="Y17720" t="s">
        <v>58607</v>
      </c>
    </row>
    <row r="17721" spans="1:25" x14ac:dyDescent="0.25">
      <c r="A17721" t="str">
        <f>"213316686815"</f>
        <v>213316686815</v>
      </c>
      <c r="B17721" t="s">
        <v>18</v>
      </c>
      <c r="C17721" t="s">
        <v>58612</v>
      </c>
      <c r="D17721" t="s">
        <v>17020</v>
      </c>
      <c r="F17721" t="s">
        <v>1</v>
      </c>
      <c r="G17721" t="s">
        <v>52955</v>
      </c>
      <c r="H17721" t="s">
        <v>53871</v>
      </c>
      <c r="I17721" t="s">
        <v>58608</v>
      </c>
      <c r="J17721" t="s">
        <v>58609</v>
      </c>
      <c r="L17721" t="s">
        <v>58610</v>
      </c>
      <c r="M17721" t="s">
        <v>58611</v>
      </c>
      <c r="P17721" t="s">
        <v>20</v>
      </c>
      <c r="V17721" t="s">
        <v>58613</v>
      </c>
      <c r="Y17721" t="s">
        <v>58614</v>
      </c>
    </row>
    <row r="17722" spans="1:25" x14ac:dyDescent="0.25">
      <c r="A17722" t="str">
        <f>"213566867778"</f>
        <v>213566867778</v>
      </c>
      <c r="B17722" t="s">
        <v>574</v>
      </c>
      <c r="C17722" t="s">
        <v>26901</v>
      </c>
      <c r="D17722" t="s">
        <v>11854</v>
      </c>
      <c r="F17722" t="s">
        <v>1</v>
      </c>
      <c r="G17722" t="s">
        <v>52955</v>
      </c>
      <c r="H17722" t="s">
        <v>56111</v>
      </c>
      <c r="Y17722" t="s">
        <v>58615</v>
      </c>
    </row>
    <row r="17723" spans="1:25" x14ac:dyDescent="0.25">
      <c r="A17723" t="str">
        <f>"213730877164"</f>
        <v>213730877164</v>
      </c>
      <c r="B17723" t="s">
        <v>110</v>
      </c>
      <c r="C17723" t="s">
        <v>36297</v>
      </c>
      <c r="D17723" t="s">
        <v>58616</v>
      </c>
      <c r="F17723" t="s">
        <v>1</v>
      </c>
      <c r="G17723" t="s">
        <v>52955</v>
      </c>
      <c r="H17723" t="s">
        <v>53211</v>
      </c>
      <c r="P17723" t="s">
        <v>27</v>
      </c>
      <c r="Y17723" t="s">
        <v>53759</v>
      </c>
    </row>
    <row r="17724" spans="1:25" x14ac:dyDescent="0.25">
      <c r="A17724" t="str">
        <f>"213770333895"</f>
        <v>213770333895</v>
      </c>
      <c r="B17724" t="s">
        <v>530</v>
      </c>
      <c r="C17724" t="s">
        <v>23950</v>
      </c>
      <c r="D17724" t="s">
        <v>23950</v>
      </c>
      <c r="E17724">
        <v>425005</v>
      </c>
      <c r="F17724" t="s">
        <v>1</v>
      </c>
      <c r="G17724" t="s">
        <v>52955</v>
      </c>
      <c r="H17724" t="s">
        <v>58617</v>
      </c>
      <c r="Y17724" t="s">
        <v>58618</v>
      </c>
    </row>
    <row r="17725" spans="1:25" x14ac:dyDescent="0.25">
      <c r="A17725" t="str">
        <f>"213930001830"</f>
        <v>213930001830</v>
      </c>
      <c r="B17725" t="s">
        <v>1152</v>
      </c>
      <c r="C17725" t="s">
        <v>58620</v>
      </c>
      <c r="D17725" t="s">
        <v>58619</v>
      </c>
      <c r="E17725">
        <v>425008</v>
      </c>
      <c r="F17725" t="s">
        <v>1</v>
      </c>
      <c r="G17725" t="s">
        <v>52955</v>
      </c>
      <c r="H17725" t="s">
        <v>53554</v>
      </c>
      <c r="Y17725" t="s">
        <v>58621</v>
      </c>
    </row>
    <row r="17726" spans="1:25" x14ac:dyDescent="0.25">
      <c r="A17726" t="str">
        <f>"214160877005"</f>
        <v>214160877005</v>
      </c>
      <c r="B17726" t="s">
        <v>841</v>
      </c>
      <c r="C17726" t="s">
        <v>7300</v>
      </c>
      <c r="D17726" t="s">
        <v>31187</v>
      </c>
      <c r="E17726">
        <v>425000</v>
      </c>
      <c r="F17726" t="s">
        <v>1</v>
      </c>
      <c r="G17726" t="s">
        <v>52955</v>
      </c>
      <c r="H17726" t="s">
        <v>58304</v>
      </c>
      <c r="I17726" t="s">
        <v>58622</v>
      </c>
      <c r="J17726" t="s">
        <v>54229</v>
      </c>
      <c r="M17726" t="s">
        <v>58623</v>
      </c>
      <c r="P17726" t="s">
        <v>1433</v>
      </c>
      <c r="Y17726" t="s">
        <v>58624</v>
      </c>
    </row>
    <row r="17727" spans="1:25" x14ac:dyDescent="0.25">
      <c r="A17727" t="str">
        <f>"214234975493"</f>
        <v>214234975493</v>
      </c>
      <c r="B17727" t="s">
        <v>1315</v>
      </c>
      <c r="C17727" t="s">
        <v>14108</v>
      </c>
      <c r="D17727" t="s">
        <v>58625</v>
      </c>
      <c r="E17727">
        <v>425003</v>
      </c>
      <c r="F17727" t="s">
        <v>1</v>
      </c>
      <c r="G17727" t="s">
        <v>52955</v>
      </c>
      <c r="H17727" t="s">
        <v>58626</v>
      </c>
      <c r="J17727" t="s">
        <v>58627</v>
      </c>
      <c r="M17727" t="s">
        <v>58628</v>
      </c>
      <c r="P17727" t="s">
        <v>10285</v>
      </c>
      <c r="Y17727" t="s">
        <v>58629</v>
      </c>
    </row>
    <row r="17728" spans="1:25" x14ac:dyDescent="0.25">
      <c r="A17728" t="str">
        <f>"214315756227"</f>
        <v>214315756227</v>
      </c>
      <c r="B17728" t="s">
        <v>930</v>
      </c>
      <c r="C17728" t="s">
        <v>20607</v>
      </c>
      <c r="D17728" t="s">
        <v>58630</v>
      </c>
      <c r="E17728">
        <v>425011</v>
      </c>
      <c r="F17728" t="s">
        <v>1</v>
      </c>
      <c r="G17728" t="s">
        <v>52955</v>
      </c>
      <c r="H17728" t="s">
        <v>58631</v>
      </c>
      <c r="Y17728" t="s">
        <v>58632</v>
      </c>
    </row>
    <row r="17729" spans="1:25" x14ac:dyDescent="0.25">
      <c r="A17729" t="str">
        <f>"214770852816"</f>
        <v>214770852816</v>
      </c>
      <c r="B17729" t="s">
        <v>574</v>
      </c>
      <c r="C17729" t="s">
        <v>14652</v>
      </c>
      <c r="D17729" t="s">
        <v>58633</v>
      </c>
      <c r="F17729" t="s">
        <v>1</v>
      </c>
      <c r="G17729" t="s">
        <v>52955</v>
      </c>
      <c r="H17729" t="s">
        <v>53417</v>
      </c>
      <c r="Y17729" t="s">
        <v>58634</v>
      </c>
    </row>
    <row r="17730" spans="1:25" x14ac:dyDescent="0.25">
      <c r="A17730" t="str">
        <f>"215062950182"</f>
        <v>215062950182</v>
      </c>
      <c r="B17730" t="s">
        <v>290</v>
      </c>
      <c r="C17730" t="s">
        <v>2737</v>
      </c>
      <c r="D17730" t="s">
        <v>32629</v>
      </c>
      <c r="E17730">
        <v>425000</v>
      </c>
      <c r="F17730" t="s">
        <v>1</v>
      </c>
      <c r="G17730" t="s">
        <v>52955</v>
      </c>
      <c r="H17730" t="s">
        <v>57092</v>
      </c>
      <c r="J17730" t="s">
        <v>58635</v>
      </c>
      <c r="P17730" t="s">
        <v>6950</v>
      </c>
      <c r="Y17730" t="s">
        <v>58636</v>
      </c>
    </row>
    <row r="17731" spans="1:25" x14ac:dyDescent="0.25">
      <c r="A17731" t="str">
        <f>"215081774460"</f>
        <v>215081774460</v>
      </c>
      <c r="B17731" t="s">
        <v>96</v>
      </c>
      <c r="C17731" t="s">
        <v>507</v>
      </c>
      <c r="D17731" t="s">
        <v>8943</v>
      </c>
      <c r="E17731">
        <v>425000</v>
      </c>
      <c r="F17731" t="s">
        <v>1</v>
      </c>
      <c r="G17731" t="s">
        <v>52955</v>
      </c>
      <c r="H17731" t="s">
        <v>58637</v>
      </c>
      <c r="Y17731" t="s">
        <v>58638</v>
      </c>
    </row>
    <row r="17732" spans="1:25" x14ac:dyDescent="0.25">
      <c r="A17732" t="str">
        <f>"215137439702"</f>
        <v>215137439702</v>
      </c>
      <c r="B17732" t="s">
        <v>2104</v>
      </c>
      <c r="C17732" t="s">
        <v>2105</v>
      </c>
      <c r="D17732" t="s">
        <v>32026</v>
      </c>
      <c r="E17732">
        <v>425009</v>
      </c>
      <c r="F17732" t="s">
        <v>1</v>
      </c>
      <c r="G17732" t="s">
        <v>52955</v>
      </c>
      <c r="H17732" t="s">
        <v>54824</v>
      </c>
      <c r="P17732" t="s">
        <v>1306</v>
      </c>
      <c r="Y17732" t="s">
        <v>58639</v>
      </c>
    </row>
    <row r="17733" spans="1:25" x14ac:dyDescent="0.25">
      <c r="A17733" t="str">
        <f>"215280721363"</f>
        <v>215280721363</v>
      </c>
      <c r="B17733" t="s">
        <v>930</v>
      </c>
      <c r="C17733" t="s">
        <v>927</v>
      </c>
      <c r="D17733" t="s">
        <v>927</v>
      </c>
      <c r="F17733" t="s">
        <v>1</v>
      </c>
      <c r="G17733" t="s">
        <v>52955</v>
      </c>
      <c r="H17733" t="s">
        <v>58042</v>
      </c>
      <c r="J17733" t="s">
        <v>58640</v>
      </c>
      <c r="P17733" t="s">
        <v>1027</v>
      </c>
      <c r="Y17733" t="s">
        <v>58641</v>
      </c>
    </row>
    <row r="17734" spans="1:25" x14ac:dyDescent="0.25">
      <c r="A17734" t="str">
        <f>"215337157510"</f>
        <v>215337157510</v>
      </c>
      <c r="B17734" t="s">
        <v>290</v>
      </c>
      <c r="C17734" t="s">
        <v>11603</v>
      </c>
      <c r="D17734" t="s">
        <v>58642</v>
      </c>
      <c r="F17734" t="s">
        <v>1</v>
      </c>
      <c r="G17734" t="s">
        <v>52955</v>
      </c>
      <c r="H17734" t="s">
        <v>55928</v>
      </c>
      <c r="Y17734" t="s">
        <v>58643</v>
      </c>
    </row>
    <row r="17735" spans="1:25" x14ac:dyDescent="0.25">
      <c r="A17735" t="str">
        <f>"215565385705"</f>
        <v>215565385705</v>
      </c>
      <c r="B17735" t="s">
        <v>7</v>
      </c>
      <c r="C17735" t="s">
        <v>58644</v>
      </c>
      <c r="D17735" t="s">
        <v>1781</v>
      </c>
      <c r="E17735">
        <v>425011</v>
      </c>
      <c r="F17735" t="s">
        <v>1</v>
      </c>
      <c r="G17735" t="s">
        <v>52955</v>
      </c>
      <c r="H17735" t="s">
        <v>54593</v>
      </c>
      <c r="Y17735" t="s">
        <v>58645</v>
      </c>
    </row>
    <row r="17736" spans="1:25" x14ac:dyDescent="0.25">
      <c r="A17736" t="str">
        <f>"215814747503"</f>
        <v>215814747503</v>
      </c>
      <c r="B17736" t="s">
        <v>430</v>
      </c>
      <c r="C17736" t="s">
        <v>16178</v>
      </c>
      <c r="D17736" t="s">
        <v>2613</v>
      </c>
      <c r="E17736">
        <v>425009</v>
      </c>
      <c r="F17736" t="s">
        <v>1</v>
      </c>
      <c r="G17736" t="s">
        <v>52955</v>
      </c>
      <c r="H17736" t="s">
        <v>56411</v>
      </c>
      <c r="P17736" t="s">
        <v>410</v>
      </c>
      <c r="Y17736" t="s">
        <v>58646</v>
      </c>
    </row>
    <row r="17737" spans="1:25" x14ac:dyDescent="0.25">
      <c r="A17737" t="str">
        <f>"215987401216"</f>
        <v>215987401216</v>
      </c>
      <c r="B17737" t="s">
        <v>3008</v>
      </c>
      <c r="C17737" t="s">
        <v>15744</v>
      </c>
      <c r="D17737" t="s">
        <v>58647</v>
      </c>
      <c r="F17737" t="s">
        <v>1</v>
      </c>
      <c r="G17737" t="s">
        <v>52955</v>
      </c>
      <c r="H17737" t="s">
        <v>53198</v>
      </c>
      <c r="Y17737" t="s">
        <v>58648</v>
      </c>
    </row>
    <row r="17738" spans="1:25" x14ac:dyDescent="0.25">
      <c r="A17738" t="str">
        <f>"216093289093"</f>
        <v>216093289093</v>
      </c>
      <c r="B17738" t="s">
        <v>574</v>
      </c>
      <c r="C17738" t="s">
        <v>646</v>
      </c>
      <c r="D17738" t="s">
        <v>58649</v>
      </c>
      <c r="F17738" t="s">
        <v>1</v>
      </c>
      <c r="G17738" t="s">
        <v>52955</v>
      </c>
      <c r="H17738" t="s">
        <v>53435</v>
      </c>
      <c r="Y17738" t="s">
        <v>54849</v>
      </c>
    </row>
    <row r="17739" spans="1:25" x14ac:dyDescent="0.25">
      <c r="A17739" t="str">
        <f>"216179794369"</f>
        <v>216179794369</v>
      </c>
      <c r="B17739" t="s">
        <v>574</v>
      </c>
      <c r="C17739" t="s">
        <v>646</v>
      </c>
      <c r="D17739" t="s">
        <v>4221</v>
      </c>
      <c r="F17739" t="s">
        <v>1</v>
      </c>
      <c r="G17739" t="s">
        <v>52955</v>
      </c>
      <c r="H17739" t="s">
        <v>58212</v>
      </c>
      <c r="Y17739" t="s">
        <v>58650</v>
      </c>
    </row>
    <row r="17740" spans="1:25" x14ac:dyDescent="0.25">
      <c r="A17740" t="str">
        <f>"216549575379"</f>
        <v>216549575379</v>
      </c>
      <c r="B17740" t="s">
        <v>4888</v>
      </c>
      <c r="C17740" t="s">
        <v>58651</v>
      </c>
      <c r="D17740" t="s">
        <v>56865</v>
      </c>
      <c r="F17740" t="s">
        <v>1</v>
      </c>
      <c r="G17740" t="s">
        <v>52955</v>
      </c>
      <c r="H17740" t="s">
        <v>55974</v>
      </c>
      <c r="J17740" t="s">
        <v>56866</v>
      </c>
      <c r="L17740" t="s">
        <v>56867</v>
      </c>
      <c r="M17740" t="s">
        <v>57868</v>
      </c>
      <c r="Y17740" t="s">
        <v>58652</v>
      </c>
    </row>
    <row r="17741" spans="1:25" x14ac:dyDescent="0.25">
      <c r="A17741" t="str">
        <f>"216664782950"</f>
        <v>216664782950</v>
      </c>
      <c r="B17741" t="s">
        <v>2601</v>
      </c>
      <c r="C17741" t="s">
        <v>58654</v>
      </c>
      <c r="D17741" t="s">
        <v>58653</v>
      </c>
      <c r="F17741" t="s">
        <v>1</v>
      </c>
      <c r="G17741" t="s">
        <v>52955</v>
      </c>
      <c r="H17741" t="s">
        <v>55928</v>
      </c>
      <c r="Y17741" t="s">
        <v>58655</v>
      </c>
    </row>
    <row r="17742" spans="1:25" x14ac:dyDescent="0.25">
      <c r="A17742" t="str">
        <f>"216673294827"</f>
        <v>216673294827</v>
      </c>
      <c r="B17742" t="s">
        <v>319</v>
      </c>
      <c r="C17742" t="s">
        <v>320</v>
      </c>
      <c r="D17742" t="s">
        <v>17887</v>
      </c>
      <c r="F17742" t="s">
        <v>1</v>
      </c>
      <c r="G17742" t="s">
        <v>52955</v>
      </c>
      <c r="H17742" t="s">
        <v>55928</v>
      </c>
      <c r="J17742" t="s">
        <v>17889</v>
      </c>
      <c r="P17742" t="s">
        <v>216</v>
      </c>
      <c r="Y17742" t="s">
        <v>55931</v>
      </c>
    </row>
    <row r="17743" spans="1:25" x14ac:dyDescent="0.25">
      <c r="A17743" t="str">
        <f>"216757249934"</f>
        <v>216757249934</v>
      </c>
      <c r="B17743" t="s">
        <v>574</v>
      </c>
      <c r="C17743" t="s">
        <v>646</v>
      </c>
      <c r="D17743" t="s">
        <v>13519</v>
      </c>
      <c r="E17743">
        <v>425000</v>
      </c>
      <c r="F17743" t="s">
        <v>1</v>
      </c>
      <c r="G17743" t="s">
        <v>52955</v>
      </c>
      <c r="H17743" t="s">
        <v>53549</v>
      </c>
      <c r="Y17743" t="s">
        <v>58656</v>
      </c>
    </row>
    <row r="17744" spans="1:25" x14ac:dyDescent="0.25">
      <c r="A17744" t="str">
        <f>"216901709469"</f>
        <v>216901709469</v>
      </c>
      <c r="B17744" t="s">
        <v>2790</v>
      </c>
      <c r="C17744" t="s">
        <v>3528</v>
      </c>
      <c r="D17744" t="s">
        <v>58657</v>
      </c>
      <c r="E17744">
        <v>425005</v>
      </c>
      <c r="F17744" t="s">
        <v>1</v>
      </c>
      <c r="G17744" t="s">
        <v>52955</v>
      </c>
      <c r="H17744" t="s">
        <v>58658</v>
      </c>
      <c r="I17744" t="s">
        <v>58659</v>
      </c>
      <c r="J17744" t="s">
        <v>58660</v>
      </c>
      <c r="L17744" t="s">
        <v>58661</v>
      </c>
      <c r="M17744" t="s">
        <v>58662</v>
      </c>
      <c r="P17744" t="s">
        <v>58663</v>
      </c>
      <c r="Y17744" t="s">
        <v>58664</v>
      </c>
    </row>
    <row r="17745" spans="1:25" x14ac:dyDescent="0.25">
      <c r="A17745" t="str">
        <f>"217543973474"</f>
        <v>217543973474</v>
      </c>
      <c r="B17745" t="s">
        <v>1475</v>
      </c>
      <c r="C17745" t="s">
        <v>1476</v>
      </c>
      <c r="D17745" t="s">
        <v>58665</v>
      </c>
      <c r="E17745">
        <v>425011</v>
      </c>
      <c r="F17745" t="s">
        <v>1</v>
      </c>
      <c r="G17745" t="s">
        <v>52955</v>
      </c>
      <c r="H17745" t="s">
        <v>53523</v>
      </c>
      <c r="Y17745" t="s">
        <v>58666</v>
      </c>
    </row>
    <row r="17746" spans="1:25" x14ac:dyDescent="0.25">
      <c r="A17746" t="str">
        <f>"217810735789"</f>
        <v>217810735789</v>
      </c>
      <c r="B17746" t="s">
        <v>176</v>
      </c>
      <c r="C17746" t="s">
        <v>279</v>
      </c>
      <c r="D17746" t="s">
        <v>58667</v>
      </c>
      <c r="E17746">
        <v>425000</v>
      </c>
      <c r="F17746" t="s">
        <v>1</v>
      </c>
      <c r="G17746" t="s">
        <v>52955</v>
      </c>
      <c r="H17746" t="s">
        <v>54152</v>
      </c>
      <c r="Y17746" t="s">
        <v>58668</v>
      </c>
    </row>
    <row r="17747" spans="1:25" x14ac:dyDescent="0.25">
      <c r="A17747" t="str">
        <f>"218060296754"</f>
        <v>218060296754</v>
      </c>
      <c r="B17747" t="s">
        <v>930</v>
      </c>
      <c r="C17747" t="s">
        <v>927</v>
      </c>
      <c r="D17747" t="s">
        <v>927</v>
      </c>
      <c r="F17747" t="s">
        <v>1</v>
      </c>
      <c r="G17747" t="s">
        <v>52955</v>
      </c>
      <c r="H17747" t="s">
        <v>58444</v>
      </c>
      <c r="Y17747" t="s">
        <v>58669</v>
      </c>
    </row>
    <row r="17748" spans="1:25" x14ac:dyDescent="0.25">
      <c r="A17748" t="str">
        <f>"218480287833"</f>
        <v>218480287833</v>
      </c>
      <c r="B17748" t="s">
        <v>930</v>
      </c>
      <c r="C17748" t="s">
        <v>2543</v>
      </c>
      <c r="D17748" t="s">
        <v>1094</v>
      </c>
      <c r="E17748">
        <v>425000</v>
      </c>
      <c r="F17748" t="s">
        <v>1</v>
      </c>
      <c r="G17748" t="s">
        <v>52955</v>
      </c>
      <c r="H17748" t="s">
        <v>58670</v>
      </c>
      <c r="J17748" t="s">
        <v>58671</v>
      </c>
      <c r="P17748" t="s">
        <v>34</v>
      </c>
      <c r="Y17748" t="s">
        <v>58672</v>
      </c>
    </row>
    <row r="17749" spans="1:25" x14ac:dyDescent="0.25">
      <c r="A17749" t="str">
        <f>"218600821620"</f>
        <v>218600821620</v>
      </c>
      <c r="B17749" t="s">
        <v>32</v>
      </c>
      <c r="C17749" t="s">
        <v>182</v>
      </c>
      <c r="D17749" t="s">
        <v>58673</v>
      </c>
      <c r="E17749">
        <v>425009</v>
      </c>
      <c r="F17749" t="s">
        <v>1</v>
      </c>
      <c r="G17749" t="s">
        <v>52955</v>
      </c>
      <c r="H17749" t="s">
        <v>55434</v>
      </c>
      <c r="J17749" t="s">
        <v>58674</v>
      </c>
      <c r="P17749" t="s">
        <v>14279</v>
      </c>
      <c r="Y17749" t="s">
        <v>58675</v>
      </c>
    </row>
    <row r="17750" spans="1:25" x14ac:dyDescent="0.25">
      <c r="A17750" t="str">
        <f>"218662218715"</f>
        <v>218662218715</v>
      </c>
      <c r="B17750" t="s">
        <v>797</v>
      </c>
      <c r="C17750" t="s">
        <v>5123</v>
      </c>
      <c r="D17750" t="s">
        <v>6246</v>
      </c>
      <c r="F17750" t="s">
        <v>1</v>
      </c>
      <c r="G17750" t="s">
        <v>52955</v>
      </c>
      <c r="H17750" t="s">
        <v>53198</v>
      </c>
      <c r="Y17750" t="s">
        <v>58676</v>
      </c>
    </row>
    <row r="17751" spans="1:25" x14ac:dyDescent="0.25">
      <c r="A17751" t="str">
        <f>"218822472534"</f>
        <v>218822472534</v>
      </c>
      <c r="B17751" t="s">
        <v>348</v>
      </c>
      <c r="C17751" t="s">
        <v>58681</v>
      </c>
      <c r="D17751" t="s">
        <v>58677</v>
      </c>
      <c r="E17751">
        <v>425000</v>
      </c>
      <c r="F17751" t="s">
        <v>1</v>
      </c>
      <c r="G17751" t="s">
        <v>52955</v>
      </c>
      <c r="H17751" t="s">
        <v>58678</v>
      </c>
      <c r="J17751" t="s">
        <v>58679</v>
      </c>
      <c r="M17751" t="s">
        <v>58680</v>
      </c>
      <c r="Y17751" t="s">
        <v>58682</v>
      </c>
    </row>
    <row r="17752" spans="1:25" x14ac:dyDescent="0.25">
      <c r="A17752" t="str">
        <f>"218840077758"</f>
        <v>218840077758</v>
      </c>
      <c r="B17752" t="s">
        <v>574</v>
      </c>
      <c r="C17752" t="s">
        <v>646</v>
      </c>
      <c r="D17752" t="s">
        <v>58683</v>
      </c>
      <c r="E17752">
        <v>425009</v>
      </c>
      <c r="F17752" t="s">
        <v>1</v>
      </c>
      <c r="G17752" t="s">
        <v>52955</v>
      </c>
      <c r="H17752" t="s">
        <v>55371</v>
      </c>
      <c r="P17752" t="s">
        <v>2457</v>
      </c>
      <c r="Y17752" t="s">
        <v>58684</v>
      </c>
    </row>
    <row r="17753" spans="1:25" x14ac:dyDescent="0.25">
      <c r="A17753" t="str">
        <f>"218872020756"</f>
        <v>218872020756</v>
      </c>
      <c r="B17753" t="s">
        <v>2104</v>
      </c>
      <c r="C17753" t="s">
        <v>13387</v>
      </c>
      <c r="D17753" t="s">
        <v>58685</v>
      </c>
      <c r="F17753" t="s">
        <v>1</v>
      </c>
      <c r="G17753" t="s">
        <v>52955</v>
      </c>
      <c r="H17753" t="s">
        <v>55608</v>
      </c>
      <c r="Y17753" t="s">
        <v>58686</v>
      </c>
    </row>
    <row r="17754" spans="1:25" x14ac:dyDescent="0.25">
      <c r="A17754" t="str">
        <f>"219345281138"</f>
        <v>219345281138</v>
      </c>
      <c r="B17754" t="s">
        <v>703</v>
      </c>
      <c r="C17754" t="s">
        <v>2129</v>
      </c>
      <c r="D17754" t="s">
        <v>35042</v>
      </c>
      <c r="F17754" t="s">
        <v>1</v>
      </c>
      <c r="G17754" t="s">
        <v>52955</v>
      </c>
      <c r="H17754" t="s">
        <v>55808</v>
      </c>
      <c r="J17754" t="s">
        <v>58687</v>
      </c>
      <c r="P17754" t="s">
        <v>152</v>
      </c>
      <c r="Y17754" t="s">
        <v>58688</v>
      </c>
    </row>
    <row r="17755" spans="1:25" x14ac:dyDescent="0.25">
      <c r="A17755" t="str">
        <f>"219637117742"</f>
        <v>219637117742</v>
      </c>
      <c r="B17755" t="s">
        <v>530</v>
      </c>
      <c r="C17755" t="s">
        <v>23950</v>
      </c>
      <c r="D17755" t="s">
        <v>23950</v>
      </c>
      <c r="E17755">
        <v>425000</v>
      </c>
      <c r="F17755" t="s">
        <v>1</v>
      </c>
      <c r="G17755" t="s">
        <v>52955</v>
      </c>
      <c r="H17755" t="s">
        <v>54932</v>
      </c>
      <c r="Y17755" t="s">
        <v>58689</v>
      </c>
    </row>
    <row r="17756" spans="1:25" x14ac:dyDescent="0.25">
      <c r="A17756" t="str">
        <f>"219836822594"</f>
        <v>219836822594</v>
      </c>
      <c r="B17756" t="s">
        <v>1046</v>
      </c>
      <c r="C17756" t="s">
        <v>4959</v>
      </c>
      <c r="D17756" t="s">
        <v>7501</v>
      </c>
      <c r="E17756">
        <v>425005</v>
      </c>
      <c r="F17756" t="s">
        <v>1</v>
      </c>
      <c r="G17756" t="s">
        <v>52955</v>
      </c>
      <c r="H17756" t="s">
        <v>58690</v>
      </c>
      <c r="P17756" t="s">
        <v>58691</v>
      </c>
      <c r="Y17756" t="s">
        <v>58692</v>
      </c>
    </row>
    <row r="17757" spans="1:25" x14ac:dyDescent="0.25">
      <c r="A17757" t="str">
        <f>"219964847591"</f>
        <v>219964847591</v>
      </c>
      <c r="B17757" t="s">
        <v>930</v>
      </c>
      <c r="C17757" t="s">
        <v>9679</v>
      </c>
      <c r="D17757" t="s">
        <v>1094</v>
      </c>
      <c r="F17757" t="s">
        <v>1</v>
      </c>
      <c r="G17757" t="s">
        <v>52955</v>
      </c>
      <c r="H17757" t="s">
        <v>56085</v>
      </c>
      <c r="Y17757" t="s">
        <v>58693</v>
      </c>
    </row>
    <row r="17758" spans="1:25" x14ac:dyDescent="0.25">
      <c r="A17758" t="str">
        <f>"220239892011"</f>
        <v>220239892011</v>
      </c>
      <c r="B17758" t="s">
        <v>18</v>
      </c>
      <c r="C17758" t="s">
        <v>15135</v>
      </c>
      <c r="D17758" t="s">
        <v>16023</v>
      </c>
      <c r="F17758" t="s">
        <v>1</v>
      </c>
      <c r="G17758" t="s">
        <v>52955</v>
      </c>
      <c r="H17758" t="s">
        <v>53198</v>
      </c>
      <c r="Y17758" t="s">
        <v>58694</v>
      </c>
    </row>
    <row r="17759" spans="1:25" x14ac:dyDescent="0.25">
      <c r="A17759" t="str">
        <f>"220301179883"</f>
        <v>220301179883</v>
      </c>
      <c r="B17759" t="s">
        <v>2818</v>
      </c>
      <c r="C17759" t="s">
        <v>6466</v>
      </c>
      <c r="D17759" t="s">
        <v>6466</v>
      </c>
      <c r="F17759" t="s">
        <v>1</v>
      </c>
      <c r="G17759" t="s">
        <v>52955</v>
      </c>
      <c r="H17759" t="s">
        <v>53198</v>
      </c>
      <c r="J17759" t="s">
        <v>58695</v>
      </c>
      <c r="P17759" t="s">
        <v>340</v>
      </c>
      <c r="Q17759" t="s">
        <v>58696</v>
      </c>
      <c r="Y17759" t="s">
        <v>58697</v>
      </c>
    </row>
    <row r="17760" spans="1:25" x14ac:dyDescent="0.25">
      <c r="A17760" t="str">
        <f>"220545756129"</f>
        <v>220545756129</v>
      </c>
      <c r="B17760" t="s">
        <v>18</v>
      </c>
      <c r="C17760" t="s">
        <v>58703</v>
      </c>
      <c r="D17760" t="s">
        <v>58698</v>
      </c>
      <c r="F17760" t="s">
        <v>1</v>
      </c>
      <c r="G17760" t="s">
        <v>52955</v>
      </c>
      <c r="H17760" t="s">
        <v>58255</v>
      </c>
      <c r="I17760" t="s">
        <v>58699</v>
      </c>
      <c r="J17760" t="s">
        <v>58700</v>
      </c>
      <c r="L17760" t="s">
        <v>58701</v>
      </c>
      <c r="M17760" t="s">
        <v>58702</v>
      </c>
      <c r="P17760" t="s">
        <v>10133</v>
      </c>
      <c r="V17760" t="s">
        <v>58704</v>
      </c>
      <c r="Y17760" t="s">
        <v>58258</v>
      </c>
    </row>
    <row r="17761" spans="1:25" x14ac:dyDescent="0.25">
      <c r="A17761" t="str">
        <f>"220892065404"</f>
        <v>220892065404</v>
      </c>
      <c r="B17761" t="s">
        <v>530</v>
      </c>
      <c r="C17761" t="s">
        <v>23950</v>
      </c>
      <c r="D17761" t="s">
        <v>23950</v>
      </c>
      <c r="E17761">
        <v>425000</v>
      </c>
      <c r="F17761" t="s">
        <v>1</v>
      </c>
      <c r="G17761" t="s">
        <v>52955</v>
      </c>
      <c r="H17761" t="s">
        <v>55165</v>
      </c>
      <c r="Y17761" t="s">
        <v>58705</v>
      </c>
    </row>
    <row r="17762" spans="1:25" x14ac:dyDescent="0.25">
      <c r="A17762" t="str">
        <f>"220901486160"</f>
        <v>220901486160</v>
      </c>
      <c r="B17762" t="s">
        <v>8011</v>
      </c>
      <c r="C17762" t="s">
        <v>24988</v>
      </c>
      <c r="D17762" t="s">
        <v>58706</v>
      </c>
      <c r="F17762" t="s">
        <v>1</v>
      </c>
      <c r="G17762" t="s">
        <v>52955</v>
      </c>
      <c r="H17762" t="s">
        <v>58408</v>
      </c>
      <c r="P17762" t="s">
        <v>9840</v>
      </c>
      <c r="Y17762" t="s">
        <v>58707</v>
      </c>
    </row>
    <row r="17763" spans="1:25" x14ac:dyDescent="0.25">
      <c r="A17763" t="str">
        <f>"220904438896"</f>
        <v>220904438896</v>
      </c>
      <c r="B17763" t="s">
        <v>3700</v>
      </c>
      <c r="C17763" t="s">
        <v>4023</v>
      </c>
      <c r="D17763" t="s">
        <v>13082</v>
      </c>
      <c r="F17763" t="s">
        <v>1</v>
      </c>
      <c r="G17763" t="s">
        <v>52955</v>
      </c>
      <c r="H17763" t="s">
        <v>53072</v>
      </c>
      <c r="Y17763" t="s">
        <v>58708</v>
      </c>
    </row>
    <row r="17764" spans="1:25" x14ac:dyDescent="0.25">
      <c r="A17764" t="str">
        <f>"221013098124"</f>
        <v>221013098124</v>
      </c>
      <c r="B17764" t="s">
        <v>3652</v>
      </c>
      <c r="C17764" t="s">
        <v>14101</v>
      </c>
      <c r="D17764" t="s">
        <v>32365</v>
      </c>
      <c r="E17764">
        <v>425000</v>
      </c>
      <c r="F17764" t="s">
        <v>1</v>
      </c>
      <c r="G17764" t="s">
        <v>52955</v>
      </c>
      <c r="H17764" t="s">
        <v>52985</v>
      </c>
      <c r="J17764" t="s">
        <v>58709</v>
      </c>
      <c r="P17764" t="s">
        <v>27</v>
      </c>
      <c r="Y17764" t="s">
        <v>55947</v>
      </c>
    </row>
    <row r="17765" spans="1:25" x14ac:dyDescent="0.25">
      <c r="A17765" t="str">
        <f>"221029693609"</f>
        <v>221029693609</v>
      </c>
      <c r="B17765" t="s">
        <v>348</v>
      </c>
      <c r="C17765" t="s">
        <v>50978</v>
      </c>
      <c r="D17765" t="s">
        <v>1340</v>
      </c>
      <c r="F17765" t="s">
        <v>1</v>
      </c>
      <c r="G17765" t="s">
        <v>52955</v>
      </c>
      <c r="H17765" t="s">
        <v>54042</v>
      </c>
      <c r="P17765" t="s">
        <v>133</v>
      </c>
      <c r="Y17765" t="s">
        <v>58710</v>
      </c>
    </row>
    <row r="17766" spans="1:25" x14ac:dyDescent="0.25">
      <c r="A17766" t="str">
        <f>"221165081835"</f>
        <v>221165081835</v>
      </c>
      <c r="B17766" t="s">
        <v>18</v>
      </c>
      <c r="C17766" t="s">
        <v>12289</v>
      </c>
      <c r="D17766" t="s">
        <v>53708</v>
      </c>
      <c r="E17766">
        <v>425000</v>
      </c>
      <c r="F17766" t="s">
        <v>1</v>
      </c>
      <c r="G17766" t="s">
        <v>52955</v>
      </c>
      <c r="H17766" t="s">
        <v>53911</v>
      </c>
      <c r="M17766" t="s">
        <v>53711</v>
      </c>
      <c r="Y17766" t="s">
        <v>54660</v>
      </c>
    </row>
    <row r="17767" spans="1:25" x14ac:dyDescent="0.25">
      <c r="A17767" t="str">
        <f>"221249215563"</f>
        <v>221249215563</v>
      </c>
      <c r="B17767" t="s">
        <v>1475</v>
      </c>
      <c r="C17767" t="s">
        <v>1476</v>
      </c>
      <c r="D17767" t="s">
        <v>51855</v>
      </c>
      <c r="E17767">
        <v>425008</v>
      </c>
      <c r="F17767" t="s">
        <v>1</v>
      </c>
      <c r="G17767" t="s">
        <v>52955</v>
      </c>
      <c r="H17767" t="s">
        <v>53857</v>
      </c>
      <c r="P17767" t="s">
        <v>2050</v>
      </c>
      <c r="Y17767" t="s">
        <v>58711</v>
      </c>
    </row>
    <row r="17768" spans="1:25" x14ac:dyDescent="0.25">
      <c r="A17768" t="str">
        <f>"221595201254"</f>
        <v>221595201254</v>
      </c>
      <c r="B17768" t="s">
        <v>574</v>
      </c>
      <c r="C17768" t="s">
        <v>24952</v>
      </c>
      <c r="D17768" t="s">
        <v>24951</v>
      </c>
      <c r="E17768">
        <v>425009</v>
      </c>
      <c r="F17768" t="s">
        <v>1</v>
      </c>
      <c r="G17768" t="s">
        <v>52955</v>
      </c>
      <c r="H17768" t="s">
        <v>54824</v>
      </c>
      <c r="M17768" t="s">
        <v>37319</v>
      </c>
      <c r="Q17768" t="s">
        <v>49365</v>
      </c>
      <c r="Y17768" t="s">
        <v>58712</v>
      </c>
    </row>
    <row r="17769" spans="1:25" x14ac:dyDescent="0.25">
      <c r="A17769" t="str">
        <f>"221671135130"</f>
        <v>221671135130</v>
      </c>
      <c r="B17769" t="s">
        <v>397</v>
      </c>
      <c r="C17769" t="s">
        <v>58714</v>
      </c>
      <c r="D17769" t="s">
        <v>58713</v>
      </c>
      <c r="F17769" t="s">
        <v>1</v>
      </c>
      <c r="G17769" t="s">
        <v>52955</v>
      </c>
      <c r="H17769" t="s">
        <v>53215</v>
      </c>
      <c r="Y17769" t="s">
        <v>58715</v>
      </c>
    </row>
    <row r="17770" spans="1:25" x14ac:dyDescent="0.25">
      <c r="A17770" t="str">
        <f>"221680391150"</f>
        <v>221680391150</v>
      </c>
      <c r="B17770" t="s">
        <v>10383</v>
      </c>
      <c r="C17770" t="s">
        <v>24146</v>
      </c>
      <c r="D17770" t="s">
        <v>24146</v>
      </c>
      <c r="F17770" t="s">
        <v>1</v>
      </c>
      <c r="G17770" t="s">
        <v>52955</v>
      </c>
      <c r="H17770" t="s">
        <v>55243</v>
      </c>
      <c r="Y17770" t="s">
        <v>58716</v>
      </c>
    </row>
    <row r="17771" spans="1:25" x14ac:dyDescent="0.25">
      <c r="A17771" t="str">
        <f>"222003072273"</f>
        <v>222003072273</v>
      </c>
      <c r="B17771" t="s">
        <v>80</v>
      </c>
      <c r="C17771" t="s">
        <v>2071</v>
      </c>
      <c r="D17771" t="s">
        <v>49059</v>
      </c>
      <c r="F17771" t="s">
        <v>1</v>
      </c>
      <c r="G17771" t="s">
        <v>52955</v>
      </c>
      <c r="H17771" t="s">
        <v>56437</v>
      </c>
      <c r="Y17771" t="s">
        <v>58717</v>
      </c>
    </row>
    <row r="17772" spans="1:25" x14ac:dyDescent="0.25">
      <c r="A17772" t="str">
        <f>"222028017223"</f>
        <v>222028017223</v>
      </c>
      <c r="B17772" t="s">
        <v>32</v>
      </c>
      <c r="C17772" t="s">
        <v>182</v>
      </c>
      <c r="D17772" t="s">
        <v>58718</v>
      </c>
      <c r="F17772" t="s">
        <v>1</v>
      </c>
      <c r="G17772" t="s">
        <v>52955</v>
      </c>
      <c r="H17772" t="s">
        <v>54589</v>
      </c>
      <c r="Y17772" t="s">
        <v>58719</v>
      </c>
    </row>
    <row r="17773" spans="1:25" x14ac:dyDescent="0.25">
      <c r="A17773" t="str">
        <f>"222321670484"</f>
        <v>222321670484</v>
      </c>
      <c r="B17773" t="s">
        <v>1323</v>
      </c>
      <c r="C17773" t="s">
        <v>1324</v>
      </c>
      <c r="D17773" t="s">
        <v>58720</v>
      </c>
      <c r="E17773">
        <v>425000</v>
      </c>
      <c r="F17773" t="s">
        <v>1</v>
      </c>
      <c r="G17773" t="s">
        <v>52955</v>
      </c>
      <c r="H17773" t="s">
        <v>58721</v>
      </c>
      <c r="Y17773" t="s">
        <v>58722</v>
      </c>
    </row>
    <row r="17774" spans="1:25" x14ac:dyDescent="0.25">
      <c r="A17774" t="str">
        <f>"222376331474"</f>
        <v>222376331474</v>
      </c>
      <c r="B17774" t="s">
        <v>654</v>
      </c>
      <c r="C17774" t="s">
        <v>11963</v>
      </c>
      <c r="D17774" t="s">
        <v>11433</v>
      </c>
      <c r="E17774">
        <v>425001</v>
      </c>
      <c r="F17774" t="s">
        <v>1</v>
      </c>
      <c r="G17774" t="s">
        <v>52955</v>
      </c>
      <c r="H17774" t="s">
        <v>53232</v>
      </c>
      <c r="Y17774" t="s">
        <v>58723</v>
      </c>
    </row>
    <row r="17775" spans="1:25" x14ac:dyDescent="0.25">
      <c r="A17775" t="str">
        <f>"222949496672"</f>
        <v>222949496672</v>
      </c>
      <c r="B17775" t="s">
        <v>2104</v>
      </c>
      <c r="C17775" t="s">
        <v>2105</v>
      </c>
      <c r="D17775" t="s">
        <v>58724</v>
      </c>
      <c r="E17775">
        <v>425000</v>
      </c>
      <c r="F17775" t="s">
        <v>1</v>
      </c>
      <c r="G17775" t="s">
        <v>52955</v>
      </c>
      <c r="H17775" t="s">
        <v>56049</v>
      </c>
      <c r="L17775" t="s">
        <v>28709</v>
      </c>
      <c r="P17775" t="s">
        <v>1505</v>
      </c>
      <c r="Q17775" t="s">
        <v>28711</v>
      </c>
      <c r="Y17775" t="s">
        <v>58725</v>
      </c>
    </row>
    <row r="17776" spans="1:25" x14ac:dyDescent="0.25">
      <c r="A17776" t="str">
        <f>"223121362453"</f>
        <v>223121362453</v>
      </c>
      <c r="B17776" t="s">
        <v>1046</v>
      </c>
      <c r="C17776" t="s">
        <v>2695</v>
      </c>
      <c r="D17776" t="s">
        <v>2695</v>
      </c>
      <c r="F17776" t="s">
        <v>1</v>
      </c>
      <c r="G17776" t="s">
        <v>52955</v>
      </c>
      <c r="H17776" t="s">
        <v>58726</v>
      </c>
      <c r="J17776" t="s">
        <v>58727</v>
      </c>
      <c r="P17776" t="s">
        <v>330</v>
      </c>
      <c r="Y17776" t="s">
        <v>53384</v>
      </c>
    </row>
    <row r="17777" spans="1:25" x14ac:dyDescent="0.25">
      <c r="A17777" t="str">
        <f>"223139459543"</f>
        <v>223139459543</v>
      </c>
      <c r="B17777" t="s">
        <v>930</v>
      </c>
      <c r="C17777" t="s">
        <v>927</v>
      </c>
      <c r="D17777" t="s">
        <v>58728</v>
      </c>
      <c r="F17777" t="s">
        <v>1</v>
      </c>
      <c r="G17777" t="s">
        <v>52955</v>
      </c>
      <c r="H17777" t="s">
        <v>58383</v>
      </c>
      <c r="Y17777" t="s">
        <v>58729</v>
      </c>
    </row>
    <row r="17778" spans="1:25" x14ac:dyDescent="0.25">
      <c r="A17778" t="str">
        <f>"223333943267"</f>
        <v>223333943267</v>
      </c>
      <c r="B17778" t="s">
        <v>1268</v>
      </c>
      <c r="C17778" t="s">
        <v>1269</v>
      </c>
      <c r="D17778" t="s">
        <v>1269</v>
      </c>
      <c r="E17778">
        <v>425009</v>
      </c>
      <c r="F17778" t="s">
        <v>1</v>
      </c>
      <c r="G17778" t="s">
        <v>52955</v>
      </c>
      <c r="H17778" t="s">
        <v>58730</v>
      </c>
      <c r="P17778" t="s">
        <v>21688</v>
      </c>
      <c r="Y17778" t="s">
        <v>58731</v>
      </c>
    </row>
    <row r="17779" spans="1:25" x14ac:dyDescent="0.25">
      <c r="A17779" t="str">
        <f>"223498190000"</f>
        <v>223498190000</v>
      </c>
      <c r="B17779" t="s">
        <v>1152</v>
      </c>
      <c r="C17779" t="s">
        <v>1152</v>
      </c>
      <c r="D17779" t="s">
        <v>1152</v>
      </c>
      <c r="E17779">
        <v>425001</v>
      </c>
      <c r="F17779" t="s">
        <v>1</v>
      </c>
      <c r="G17779" t="s">
        <v>52955</v>
      </c>
      <c r="H17779" t="s">
        <v>58732</v>
      </c>
      <c r="Y17779" t="s">
        <v>58733</v>
      </c>
    </row>
    <row r="17780" spans="1:25" x14ac:dyDescent="0.25">
      <c r="A17780" t="str">
        <f>"223820043122"</f>
        <v>223820043122</v>
      </c>
      <c r="B17780" t="s">
        <v>1343</v>
      </c>
      <c r="C17780" t="s">
        <v>5308</v>
      </c>
      <c r="D17780" t="s">
        <v>28775</v>
      </c>
      <c r="F17780" t="s">
        <v>1</v>
      </c>
      <c r="G17780" t="s">
        <v>52955</v>
      </c>
      <c r="H17780" t="s">
        <v>53198</v>
      </c>
      <c r="Y17780" t="s">
        <v>58734</v>
      </c>
    </row>
    <row r="17781" spans="1:25" x14ac:dyDescent="0.25">
      <c r="A17781" t="str">
        <f>"223865137104"</f>
        <v>223865137104</v>
      </c>
      <c r="B17781" t="s">
        <v>96</v>
      </c>
      <c r="C17781" t="s">
        <v>24042</v>
      </c>
      <c r="D17781" t="s">
        <v>24127</v>
      </c>
      <c r="E17781">
        <v>425000</v>
      </c>
      <c r="F17781" t="s">
        <v>1</v>
      </c>
      <c r="G17781" t="s">
        <v>52955</v>
      </c>
      <c r="H17781" t="s">
        <v>55115</v>
      </c>
      <c r="Y17781" t="s">
        <v>58735</v>
      </c>
    </row>
    <row r="17782" spans="1:25" x14ac:dyDescent="0.25">
      <c r="A17782" t="str">
        <f>"223922895568"</f>
        <v>223922895568</v>
      </c>
      <c r="B17782" t="s">
        <v>1182</v>
      </c>
      <c r="C17782" t="s">
        <v>6011</v>
      </c>
      <c r="D17782" t="s">
        <v>58736</v>
      </c>
      <c r="F17782" t="s">
        <v>1</v>
      </c>
      <c r="G17782" t="s">
        <v>52955</v>
      </c>
      <c r="H17782" t="s">
        <v>55608</v>
      </c>
      <c r="Y17782" t="s">
        <v>58737</v>
      </c>
    </row>
    <row r="17783" spans="1:25" x14ac:dyDescent="0.25">
      <c r="A17783" t="str">
        <f>"224118513595"</f>
        <v>224118513595</v>
      </c>
      <c r="B17783" t="s">
        <v>25</v>
      </c>
      <c r="C17783" t="s">
        <v>59</v>
      </c>
      <c r="D17783" t="s">
        <v>57083</v>
      </c>
      <c r="E17783">
        <v>425000</v>
      </c>
      <c r="F17783" t="s">
        <v>1</v>
      </c>
      <c r="G17783" t="s">
        <v>52955</v>
      </c>
      <c r="H17783" t="s">
        <v>53783</v>
      </c>
      <c r="Y17783" t="s">
        <v>58738</v>
      </c>
    </row>
    <row r="17784" spans="1:25" x14ac:dyDescent="0.25">
      <c r="A17784" t="str">
        <f>"224172999536"</f>
        <v>224172999536</v>
      </c>
      <c r="B17784" t="s">
        <v>530</v>
      </c>
      <c r="C17784" t="s">
        <v>23950</v>
      </c>
      <c r="D17784" t="s">
        <v>23950</v>
      </c>
      <c r="F17784" t="s">
        <v>1</v>
      </c>
      <c r="G17784" t="s">
        <v>52955</v>
      </c>
      <c r="H17784" t="s">
        <v>58739</v>
      </c>
      <c r="Y17784" t="s">
        <v>58740</v>
      </c>
    </row>
    <row r="17785" spans="1:25" x14ac:dyDescent="0.25">
      <c r="A17785" t="str">
        <f>"224212007665"</f>
        <v>224212007665</v>
      </c>
      <c r="B17785" t="s">
        <v>930</v>
      </c>
      <c r="C17785" t="s">
        <v>6070</v>
      </c>
      <c r="D17785" t="s">
        <v>58741</v>
      </c>
      <c r="E17785">
        <v>425000</v>
      </c>
      <c r="F17785" t="s">
        <v>1</v>
      </c>
      <c r="G17785" t="s">
        <v>52955</v>
      </c>
      <c r="H17785" t="s">
        <v>58742</v>
      </c>
      <c r="J17785" t="s">
        <v>50965</v>
      </c>
      <c r="P17785" t="s">
        <v>330</v>
      </c>
      <c r="Y17785" t="s">
        <v>58743</v>
      </c>
    </row>
    <row r="17786" spans="1:25" x14ac:dyDescent="0.25">
      <c r="A17786" t="str">
        <f>"224230415702"</f>
        <v>224230415702</v>
      </c>
      <c r="B17786" t="s">
        <v>574</v>
      </c>
      <c r="C17786" t="s">
        <v>23462</v>
      </c>
      <c r="D17786" t="s">
        <v>27898</v>
      </c>
      <c r="E17786">
        <v>425009</v>
      </c>
      <c r="F17786" t="s">
        <v>1</v>
      </c>
      <c r="G17786" t="s">
        <v>52955</v>
      </c>
      <c r="H17786" t="s">
        <v>55282</v>
      </c>
      <c r="Y17786" t="s">
        <v>58744</v>
      </c>
    </row>
    <row r="17787" spans="1:25" x14ac:dyDescent="0.25">
      <c r="A17787" t="str">
        <f>"224251508789"</f>
        <v>224251508789</v>
      </c>
      <c r="B17787" t="s">
        <v>224</v>
      </c>
      <c r="C17787" t="s">
        <v>4139</v>
      </c>
      <c r="D17787" t="s">
        <v>7406</v>
      </c>
      <c r="E17787">
        <v>425000</v>
      </c>
      <c r="F17787" t="s">
        <v>1</v>
      </c>
      <c r="G17787" t="s">
        <v>52955</v>
      </c>
      <c r="H17787" t="s">
        <v>58745</v>
      </c>
      <c r="I17787" t="s">
        <v>53046</v>
      </c>
      <c r="L17787" t="s">
        <v>8818</v>
      </c>
      <c r="Y17787" t="s">
        <v>58746</v>
      </c>
    </row>
    <row r="17788" spans="1:25" x14ac:dyDescent="0.25">
      <c r="A17788" t="str">
        <f>"224381302909"</f>
        <v>224381302909</v>
      </c>
      <c r="B17788" t="s">
        <v>96</v>
      </c>
      <c r="C17788" t="s">
        <v>893</v>
      </c>
      <c r="D17788" t="s">
        <v>58747</v>
      </c>
      <c r="F17788" t="s">
        <v>1</v>
      </c>
      <c r="G17788" t="s">
        <v>52955</v>
      </c>
      <c r="H17788" t="s">
        <v>53072</v>
      </c>
      <c r="Y17788" t="s">
        <v>58748</v>
      </c>
    </row>
    <row r="17789" spans="1:25" x14ac:dyDescent="0.25">
      <c r="A17789" t="str">
        <f>"224528596986"</f>
        <v>224528596986</v>
      </c>
      <c r="B17789" t="s">
        <v>1475</v>
      </c>
      <c r="C17789" t="s">
        <v>1476</v>
      </c>
      <c r="D17789" t="s">
        <v>1476</v>
      </c>
      <c r="E17789">
        <v>425011</v>
      </c>
      <c r="F17789" t="s">
        <v>1</v>
      </c>
      <c r="G17789" t="s">
        <v>52955</v>
      </c>
      <c r="H17789" t="s">
        <v>55025</v>
      </c>
      <c r="Y17789" t="s">
        <v>58749</v>
      </c>
    </row>
    <row r="17790" spans="1:25" x14ac:dyDescent="0.25">
      <c r="A17790" t="str">
        <f>"224777654624"</f>
        <v>224777654624</v>
      </c>
      <c r="B17790" t="s">
        <v>18</v>
      </c>
      <c r="C17790" t="s">
        <v>57298</v>
      </c>
      <c r="D17790" t="s">
        <v>58750</v>
      </c>
      <c r="F17790" t="s">
        <v>1</v>
      </c>
      <c r="G17790" t="s">
        <v>52955</v>
      </c>
      <c r="H17790" t="s">
        <v>54589</v>
      </c>
      <c r="Y17790" t="s">
        <v>58751</v>
      </c>
    </row>
    <row r="17791" spans="1:25" x14ac:dyDescent="0.25">
      <c r="A17791" t="str">
        <f>"224843847039"</f>
        <v>224843847039</v>
      </c>
      <c r="B17791" t="s">
        <v>96</v>
      </c>
      <c r="C17791" t="s">
        <v>893</v>
      </c>
      <c r="D17791" t="s">
        <v>25839</v>
      </c>
      <c r="E17791">
        <v>425000</v>
      </c>
      <c r="F17791" t="s">
        <v>1</v>
      </c>
      <c r="G17791" t="s">
        <v>52955</v>
      </c>
      <c r="H17791" t="s">
        <v>54582</v>
      </c>
      <c r="Y17791" t="s">
        <v>58752</v>
      </c>
    </row>
    <row r="17792" spans="1:25" x14ac:dyDescent="0.25">
      <c r="A17792" t="str">
        <f>"224878475021"</f>
        <v>224878475021</v>
      </c>
      <c r="B17792" t="s">
        <v>379</v>
      </c>
      <c r="C17792" t="s">
        <v>766</v>
      </c>
      <c r="D17792" t="s">
        <v>58753</v>
      </c>
      <c r="F17792" t="s">
        <v>1</v>
      </c>
      <c r="G17792" t="s">
        <v>52955</v>
      </c>
      <c r="H17792" t="s">
        <v>53211</v>
      </c>
      <c r="Y17792" t="s">
        <v>58754</v>
      </c>
    </row>
    <row r="17793" spans="1:25" x14ac:dyDescent="0.25">
      <c r="A17793" t="str">
        <f>"225117759692"</f>
        <v>225117759692</v>
      </c>
      <c r="B17793" t="s">
        <v>2846</v>
      </c>
      <c r="C17793" t="s">
        <v>11032</v>
      </c>
      <c r="D17793" t="s">
        <v>58755</v>
      </c>
      <c r="F17793" t="s">
        <v>1</v>
      </c>
      <c r="G17793" t="s">
        <v>52955</v>
      </c>
      <c r="H17793" t="s">
        <v>55928</v>
      </c>
      <c r="P17793" t="s">
        <v>58756</v>
      </c>
      <c r="Y17793" t="s">
        <v>58757</v>
      </c>
    </row>
    <row r="17794" spans="1:25" x14ac:dyDescent="0.25">
      <c r="A17794" t="str">
        <f>"225161424142"</f>
        <v>225161424142</v>
      </c>
      <c r="B17794" t="s">
        <v>574</v>
      </c>
      <c r="C17794" t="s">
        <v>646</v>
      </c>
      <c r="D17794" t="s">
        <v>4221</v>
      </c>
      <c r="E17794">
        <v>425005</v>
      </c>
      <c r="F17794" t="s">
        <v>1</v>
      </c>
      <c r="G17794" t="s">
        <v>52955</v>
      </c>
      <c r="H17794" t="s">
        <v>56259</v>
      </c>
      <c r="Y17794" t="s">
        <v>58758</v>
      </c>
    </row>
    <row r="17795" spans="1:25" x14ac:dyDescent="0.25">
      <c r="A17795" t="str">
        <f>"225478121687"</f>
        <v>225478121687</v>
      </c>
      <c r="B17795" t="s">
        <v>530</v>
      </c>
      <c r="C17795" t="s">
        <v>23950</v>
      </c>
      <c r="D17795" t="s">
        <v>23950</v>
      </c>
      <c r="F17795" t="s">
        <v>1</v>
      </c>
      <c r="G17795" t="s">
        <v>52955</v>
      </c>
      <c r="H17795" t="s">
        <v>55903</v>
      </c>
      <c r="Y17795" t="s">
        <v>58759</v>
      </c>
    </row>
    <row r="17796" spans="1:25" x14ac:dyDescent="0.25">
      <c r="A17796" t="str">
        <f>"225552033733"</f>
        <v>225552033733</v>
      </c>
      <c r="B17796" t="s">
        <v>18</v>
      </c>
      <c r="C17796" t="s">
        <v>959</v>
      </c>
      <c r="D17796" t="s">
        <v>55930</v>
      </c>
      <c r="F17796" t="s">
        <v>1</v>
      </c>
      <c r="G17796" t="s">
        <v>52955</v>
      </c>
      <c r="H17796" t="s">
        <v>53435</v>
      </c>
      <c r="Y17796" t="s">
        <v>58760</v>
      </c>
    </row>
    <row r="17797" spans="1:25" x14ac:dyDescent="0.25">
      <c r="A17797" t="str">
        <f>"225586774229"</f>
        <v>225586774229</v>
      </c>
      <c r="B17797" t="s">
        <v>96</v>
      </c>
      <c r="C17797" t="s">
        <v>695</v>
      </c>
      <c r="D17797" t="s">
        <v>12083</v>
      </c>
      <c r="F17797" t="s">
        <v>1</v>
      </c>
      <c r="G17797" t="s">
        <v>52955</v>
      </c>
      <c r="H17797" t="s">
        <v>55362</v>
      </c>
      <c r="Y17797" t="s">
        <v>58761</v>
      </c>
    </row>
    <row r="17798" spans="1:25" x14ac:dyDescent="0.25">
      <c r="A17798" t="str">
        <f>"225751722370"</f>
        <v>225751722370</v>
      </c>
      <c r="B17798" t="s">
        <v>3544</v>
      </c>
      <c r="C17798" t="s">
        <v>11303</v>
      </c>
      <c r="D17798" t="s">
        <v>58762</v>
      </c>
      <c r="E17798">
        <v>425000</v>
      </c>
      <c r="F17798" t="s">
        <v>1</v>
      </c>
      <c r="G17798" t="s">
        <v>52955</v>
      </c>
      <c r="H17798" t="s">
        <v>52980</v>
      </c>
      <c r="Y17798" t="s">
        <v>58763</v>
      </c>
    </row>
    <row r="17799" spans="1:25" x14ac:dyDescent="0.25">
      <c r="A17799" t="str">
        <f>"226197109501"</f>
        <v>226197109501</v>
      </c>
      <c r="B17799" t="s">
        <v>96</v>
      </c>
      <c r="C17799" t="s">
        <v>49740</v>
      </c>
      <c r="D17799" t="s">
        <v>7130</v>
      </c>
      <c r="F17799" t="s">
        <v>1</v>
      </c>
      <c r="G17799" t="s">
        <v>52955</v>
      </c>
      <c r="H17799" t="s">
        <v>55795</v>
      </c>
      <c r="Y17799" t="s">
        <v>58764</v>
      </c>
    </row>
    <row r="17800" spans="1:25" x14ac:dyDescent="0.25">
      <c r="A17800" t="str">
        <f>"226237426363"</f>
        <v>226237426363</v>
      </c>
      <c r="B17800" t="s">
        <v>10383</v>
      </c>
      <c r="C17800" t="s">
        <v>24146</v>
      </c>
      <c r="D17800" t="s">
        <v>24146</v>
      </c>
      <c r="F17800" t="s">
        <v>1</v>
      </c>
      <c r="G17800" t="s">
        <v>52955</v>
      </c>
      <c r="H17800" t="s">
        <v>55878</v>
      </c>
      <c r="Y17800" t="s">
        <v>58765</v>
      </c>
    </row>
    <row r="17801" spans="1:25" x14ac:dyDescent="0.25">
      <c r="A17801" t="str">
        <f>"226275601636"</f>
        <v>226275601636</v>
      </c>
      <c r="B17801" t="s">
        <v>1552</v>
      </c>
      <c r="C17801" t="s">
        <v>1552</v>
      </c>
      <c r="D17801" t="s">
        <v>58766</v>
      </c>
      <c r="E17801">
        <v>425005</v>
      </c>
      <c r="F17801" t="s">
        <v>1</v>
      </c>
      <c r="G17801" t="s">
        <v>52955</v>
      </c>
      <c r="H17801" t="s">
        <v>58767</v>
      </c>
      <c r="Y17801" t="s">
        <v>58768</v>
      </c>
    </row>
    <row r="17802" spans="1:25" x14ac:dyDescent="0.25">
      <c r="A17802" t="str">
        <f>"226487851365"</f>
        <v>226487851365</v>
      </c>
      <c r="B17802" t="s">
        <v>930</v>
      </c>
      <c r="C17802" t="s">
        <v>927</v>
      </c>
      <c r="D17802" t="s">
        <v>1094</v>
      </c>
      <c r="F17802" t="s">
        <v>1</v>
      </c>
      <c r="G17802" t="s">
        <v>52955</v>
      </c>
      <c r="H17802" t="s">
        <v>56024</v>
      </c>
      <c r="Y17802" t="s">
        <v>58769</v>
      </c>
    </row>
    <row r="17803" spans="1:25" x14ac:dyDescent="0.25">
      <c r="A17803" t="str">
        <f>"226489431482"</f>
        <v>226489431482</v>
      </c>
      <c r="B17803" t="s">
        <v>397</v>
      </c>
      <c r="C17803" t="s">
        <v>1432</v>
      </c>
      <c r="D17803" t="s">
        <v>7223</v>
      </c>
      <c r="E17803">
        <v>425001</v>
      </c>
      <c r="F17803" t="s">
        <v>1</v>
      </c>
      <c r="G17803" t="s">
        <v>52955</v>
      </c>
      <c r="H17803" t="s">
        <v>53056</v>
      </c>
      <c r="Y17803" t="s">
        <v>58770</v>
      </c>
    </row>
    <row r="17804" spans="1:25" x14ac:dyDescent="0.25">
      <c r="A17804" t="str">
        <f>"226498467844"</f>
        <v>226498467844</v>
      </c>
      <c r="B17804" t="s">
        <v>417</v>
      </c>
      <c r="C17804" t="s">
        <v>418</v>
      </c>
      <c r="D17804" t="s">
        <v>33396</v>
      </c>
      <c r="F17804" t="s">
        <v>1</v>
      </c>
      <c r="G17804" t="s">
        <v>52955</v>
      </c>
      <c r="H17804" t="s">
        <v>53941</v>
      </c>
      <c r="I17804" t="s">
        <v>58771</v>
      </c>
      <c r="P17804" t="s">
        <v>1071</v>
      </c>
      <c r="Y17804" t="s">
        <v>58772</v>
      </c>
    </row>
    <row r="17805" spans="1:25" x14ac:dyDescent="0.25">
      <c r="A17805" t="str">
        <f>"226529316159"</f>
        <v>226529316159</v>
      </c>
      <c r="B17805" t="s">
        <v>1611</v>
      </c>
      <c r="C17805" t="s">
        <v>58776</v>
      </c>
      <c r="D17805" t="s">
        <v>58773</v>
      </c>
      <c r="F17805" t="s">
        <v>1</v>
      </c>
      <c r="G17805" t="s">
        <v>52955</v>
      </c>
      <c r="H17805" t="s">
        <v>58774</v>
      </c>
      <c r="I17805" t="s">
        <v>54066</v>
      </c>
      <c r="M17805" t="s">
        <v>58775</v>
      </c>
      <c r="P17805" t="s">
        <v>55394</v>
      </c>
      <c r="Y17805" t="s">
        <v>54068</v>
      </c>
    </row>
    <row r="17806" spans="1:25" x14ac:dyDescent="0.25">
      <c r="A17806" t="str">
        <f>"226601147255"</f>
        <v>226601147255</v>
      </c>
      <c r="B17806" t="s">
        <v>888</v>
      </c>
      <c r="C17806" t="s">
        <v>888</v>
      </c>
      <c r="D17806" t="s">
        <v>22429</v>
      </c>
      <c r="E17806">
        <v>425001</v>
      </c>
      <c r="F17806" t="s">
        <v>1</v>
      </c>
      <c r="G17806" t="s">
        <v>52955</v>
      </c>
      <c r="H17806" t="s">
        <v>53465</v>
      </c>
      <c r="Y17806" t="s">
        <v>58777</v>
      </c>
    </row>
    <row r="17807" spans="1:25" x14ac:dyDescent="0.25">
      <c r="A17807" t="str">
        <f>"226610374625"</f>
        <v>226610374625</v>
      </c>
      <c r="B17807" t="s">
        <v>290</v>
      </c>
      <c r="C17807" t="s">
        <v>290</v>
      </c>
      <c r="D17807" t="s">
        <v>58778</v>
      </c>
      <c r="F17807" t="s">
        <v>1</v>
      </c>
      <c r="G17807" t="s">
        <v>52955</v>
      </c>
      <c r="H17807" t="s">
        <v>54480</v>
      </c>
      <c r="Y17807" t="s">
        <v>58779</v>
      </c>
    </row>
    <row r="17808" spans="1:25" x14ac:dyDescent="0.25">
      <c r="A17808" t="str">
        <f>"226746753773"</f>
        <v>226746753773</v>
      </c>
      <c r="B17808" t="s">
        <v>1343</v>
      </c>
      <c r="C17808" t="s">
        <v>5308</v>
      </c>
      <c r="D17808" t="s">
        <v>58780</v>
      </c>
      <c r="E17808">
        <v>425000</v>
      </c>
      <c r="F17808" t="s">
        <v>1</v>
      </c>
      <c r="G17808" t="s">
        <v>52955</v>
      </c>
      <c r="H17808" t="s">
        <v>54582</v>
      </c>
      <c r="Y17808" t="s">
        <v>58781</v>
      </c>
    </row>
    <row r="17809" spans="1:25" x14ac:dyDescent="0.25">
      <c r="A17809" t="str">
        <f>"227031841269"</f>
        <v>227031841269</v>
      </c>
      <c r="B17809" t="s">
        <v>462</v>
      </c>
      <c r="C17809" t="s">
        <v>1140</v>
      </c>
      <c r="D17809" t="s">
        <v>58782</v>
      </c>
      <c r="E17809">
        <v>425000</v>
      </c>
      <c r="F17809" t="s">
        <v>1</v>
      </c>
      <c r="G17809" t="s">
        <v>52955</v>
      </c>
      <c r="H17809" t="s">
        <v>53311</v>
      </c>
      <c r="Y17809" t="s">
        <v>58783</v>
      </c>
    </row>
    <row r="17810" spans="1:25" x14ac:dyDescent="0.25">
      <c r="A17810" t="str">
        <f>"227035796336"</f>
        <v>227035796336</v>
      </c>
      <c r="B17810" t="s">
        <v>160</v>
      </c>
      <c r="C17810" t="s">
        <v>1666</v>
      </c>
      <c r="D17810" t="s">
        <v>28800</v>
      </c>
      <c r="E17810">
        <v>425000</v>
      </c>
      <c r="F17810" t="s">
        <v>1</v>
      </c>
      <c r="G17810" t="s">
        <v>52955</v>
      </c>
      <c r="H17810" t="s">
        <v>52998</v>
      </c>
      <c r="J17810" t="s">
        <v>58784</v>
      </c>
      <c r="L17810" t="s">
        <v>15713</v>
      </c>
      <c r="M17810" t="s">
        <v>15714</v>
      </c>
      <c r="P17810" t="s">
        <v>20</v>
      </c>
      <c r="Y17810" t="s">
        <v>53003</v>
      </c>
    </row>
    <row r="17811" spans="1:25" x14ac:dyDescent="0.25">
      <c r="A17811" t="str">
        <f>"227042131444"</f>
        <v>227042131444</v>
      </c>
      <c r="B17811" t="s">
        <v>2601</v>
      </c>
      <c r="C17811" t="s">
        <v>24678</v>
      </c>
      <c r="D17811" t="s">
        <v>58785</v>
      </c>
      <c r="E17811">
        <v>425011</v>
      </c>
      <c r="F17811" t="s">
        <v>1</v>
      </c>
      <c r="G17811" t="s">
        <v>52955</v>
      </c>
      <c r="H17811" t="s">
        <v>53976</v>
      </c>
      <c r="J17811" t="s">
        <v>58786</v>
      </c>
      <c r="P17811" t="s">
        <v>1941</v>
      </c>
      <c r="Y17811" t="s">
        <v>53979</v>
      </c>
    </row>
    <row r="17812" spans="1:25" x14ac:dyDescent="0.25">
      <c r="A17812" t="str">
        <f>"227213196791"</f>
        <v>227213196791</v>
      </c>
      <c r="B17812" t="s">
        <v>1343</v>
      </c>
      <c r="C17812" t="s">
        <v>5308</v>
      </c>
      <c r="D17812" t="s">
        <v>26352</v>
      </c>
      <c r="F17812" t="s">
        <v>1</v>
      </c>
      <c r="G17812" t="s">
        <v>52955</v>
      </c>
      <c r="H17812" t="s">
        <v>53198</v>
      </c>
      <c r="Y17812" t="s">
        <v>58787</v>
      </c>
    </row>
    <row r="17813" spans="1:25" x14ac:dyDescent="0.25">
      <c r="A17813" t="str">
        <f>"227430257223"</f>
        <v>227430257223</v>
      </c>
      <c r="B17813" t="s">
        <v>32</v>
      </c>
      <c r="C17813" t="s">
        <v>777</v>
      </c>
      <c r="D17813" t="s">
        <v>20718</v>
      </c>
      <c r="E17813">
        <v>425000</v>
      </c>
      <c r="F17813" t="s">
        <v>1</v>
      </c>
      <c r="G17813" t="s">
        <v>52955</v>
      </c>
      <c r="H17813" t="s">
        <v>58050</v>
      </c>
      <c r="J17813" t="s">
        <v>58788</v>
      </c>
      <c r="P17813" t="s">
        <v>2050</v>
      </c>
      <c r="Q17813" t="s">
        <v>58789</v>
      </c>
      <c r="Y17813" t="s">
        <v>58790</v>
      </c>
    </row>
    <row r="17814" spans="1:25" x14ac:dyDescent="0.25">
      <c r="A17814" t="str">
        <f>"227463311193"</f>
        <v>227463311193</v>
      </c>
      <c r="B17814" t="s">
        <v>654</v>
      </c>
      <c r="C17814" t="s">
        <v>14448</v>
      </c>
      <c r="D17814" t="s">
        <v>38751</v>
      </c>
      <c r="E17814">
        <v>425005</v>
      </c>
      <c r="F17814" t="s">
        <v>1</v>
      </c>
      <c r="G17814" t="s">
        <v>52955</v>
      </c>
      <c r="H17814" t="s">
        <v>55473</v>
      </c>
      <c r="Y17814" t="s">
        <v>58791</v>
      </c>
    </row>
    <row r="17815" spans="1:25" x14ac:dyDescent="0.25">
      <c r="A17815" t="str">
        <f>"227566390543"</f>
        <v>227566390543</v>
      </c>
      <c r="B17815" t="s">
        <v>530</v>
      </c>
      <c r="C17815" t="s">
        <v>23950</v>
      </c>
      <c r="D17815" t="s">
        <v>23950</v>
      </c>
      <c r="F17815" t="s">
        <v>1</v>
      </c>
      <c r="G17815" t="s">
        <v>52955</v>
      </c>
      <c r="H17815" t="s">
        <v>58272</v>
      </c>
      <c r="Y17815" t="s">
        <v>58792</v>
      </c>
    </row>
    <row r="17816" spans="1:25" x14ac:dyDescent="0.25">
      <c r="A17816" t="str">
        <f>"227635948858"</f>
        <v>227635948858</v>
      </c>
      <c r="B17816" t="s">
        <v>319</v>
      </c>
      <c r="C17816" t="s">
        <v>320</v>
      </c>
      <c r="D17816" t="s">
        <v>58793</v>
      </c>
      <c r="E17816">
        <v>425001</v>
      </c>
      <c r="F17816" t="s">
        <v>1</v>
      </c>
      <c r="G17816" t="s">
        <v>52955</v>
      </c>
      <c r="H17816" t="s">
        <v>53992</v>
      </c>
      <c r="L17816" t="s">
        <v>11137</v>
      </c>
      <c r="P17816" t="s">
        <v>2457</v>
      </c>
      <c r="Y17816" t="s">
        <v>58794</v>
      </c>
    </row>
    <row r="17817" spans="1:25" x14ac:dyDescent="0.25">
      <c r="A17817" t="str">
        <f>"227743377215"</f>
        <v>227743377215</v>
      </c>
      <c r="B17817" t="s">
        <v>2104</v>
      </c>
      <c r="C17817" t="s">
        <v>2105</v>
      </c>
      <c r="D17817" t="s">
        <v>24033</v>
      </c>
      <c r="F17817" t="s">
        <v>1</v>
      </c>
      <c r="G17817" t="s">
        <v>52955</v>
      </c>
      <c r="H17817" t="s">
        <v>55928</v>
      </c>
      <c r="L17817" t="s">
        <v>28709</v>
      </c>
      <c r="Q17817" t="s">
        <v>28711</v>
      </c>
      <c r="Y17817" t="s">
        <v>58795</v>
      </c>
    </row>
    <row r="17818" spans="1:25" x14ac:dyDescent="0.25">
      <c r="A17818" t="str">
        <f>"227815853244"</f>
        <v>227815853244</v>
      </c>
      <c r="B17818" t="s">
        <v>96</v>
      </c>
      <c r="C17818" t="s">
        <v>24401</v>
      </c>
      <c r="D17818" t="s">
        <v>24401</v>
      </c>
      <c r="E17818">
        <v>425000</v>
      </c>
      <c r="F17818" t="s">
        <v>1</v>
      </c>
      <c r="G17818" t="s">
        <v>52955</v>
      </c>
      <c r="H17818" t="s">
        <v>58796</v>
      </c>
      <c r="Y17818" t="s">
        <v>58797</v>
      </c>
    </row>
    <row r="17819" spans="1:25" x14ac:dyDescent="0.25">
      <c r="A17819" t="str">
        <f>"227851858135"</f>
        <v>227851858135</v>
      </c>
      <c r="B17819" t="s">
        <v>1552</v>
      </c>
      <c r="C17819" t="s">
        <v>33823</v>
      </c>
      <c r="D17819" t="s">
        <v>58798</v>
      </c>
      <c r="F17819" t="s">
        <v>1</v>
      </c>
      <c r="G17819" t="s">
        <v>52955</v>
      </c>
      <c r="H17819" t="s">
        <v>58799</v>
      </c>
      <c r="Y17819" t="s">
        <v>58800</v>
      </c>
    </row>
    <row r="17820" spans="1:25" x14ac:dyDescent="0.25">
      <c r="A17820" t="str">
        <f>"227865607334"</f>
        <v>227865607334</v>
      </c>
      <c r="B17820" t="s">
        <v>2818</v>
      </c>
      <c r="C17820" t="s">
        <v>6466</v>
      </c>
      <c r="D17820" t="s">
        <v>6466</v>
      </c>
      <c r="E17820">
        <v>425000</v>
      </c>
      <c r="F17820" t="s">
        <v>1</v>
      </c>
      <c r="G17820" t="s">
        <v>52955</v>
      </c>
      <c r="H17820" t="s">
        <v>58801</v>
      </c>
      <c r="Y17820" t="s">
        <v>58802</v>
      </c>
    </row>
    <row r="17821" spans="1:25" x14ac:dyDescent="0.25">
      <c r="A17821" t="str">
        <f>"228443873440"</f>
        <v>228443873440</v>
      </c>
      <c r="B17821" t="s">
        <v>738</v>
      </c>
      <c r="C17821" t="s">
        <v>37303</v>
      </c>
      <c r="D17821" t="s">
        <v>21703</v>
      </c>
      <c r="F17821" t="s">
        <v>1</v>
      </c>
      <c r="G17821" t="s">
        <v>52955</v>
      </c>
      <c r="H17821" t="s">
        <v>53417</v>
      </c>
      <c r="J17821" t="s">
        <v>21704</v>
      </c>
      <c r="L17821" t="s">
        <v>21705</v>
      </c>
      <c r="M17821" t="s">
        <v>21706</v>
      </c>
      <c r="P17821" t="s">
        <v>4671</v>
      </c>
      <c r="Q17821" t="s">
        <v>21708</v>
      </c>
      <c r="S17821" t="s">
        <v>21709</v>
      </c>
      <c r="V17821" t="s">
        <v>21711</v>
      </c>
      <c r="Y17821" t="s">
        <v>58803</v>
      </c>
    </row>
    <row r="17822" spans="1:25" x14ac:dyDescent="0.25">
      <c r="A17822" t="str">
        <f>"229184599404"</f>
        <v>229184599404</v>
      </c>
      <c r="B17822" t="s">
        <v>1078</v>
      </c>
      <c r="C17822" t="s">
        <v>4259</v>
      </c>
      <c r="D17822" t="s">
        <v>5120</v>
      </c>
      <c r="F17822" t="s">
        <v>1</v>
      </c>
      <c r="G17822" t="s">
        <v>52955</v>
      </c>
      <c r="H17822" t="s">
        <v>54589</v>
      </c>
      <c r="P17822" t="s">
        <v>260</v>
      </c>
      <c r="Y17822" t="s">
        <v>58804</v>
      </c>
    </row>
    <row r="17823" spans="1:25" x14ac:dyDescent="0.25">
      <c r="A17823" t="str">
        <f>"229517804500"</f>
        <v>229517804500</v>
      </c>
      <c r="B17823" t="s">
        <v>574</v>
      </c>
      <c r="C17823" t="s">
        <v>646</v>
      </c>
      <c r="D17823" t="s">
        <v>4269</v>
      </c>
      <c r="E17823">
        <v>425009</v>
      </c>
      <c r="F17823" t="s">
        <v>1</v>
      </c>
      <c r="G17823" t="s">
        <v>52955</v>
      </c>
      <c r="H17823" t="s">
        <v>55652</v>
      </c>
      <c r="P17823" t="s">
        <v>330</v>
      </c>
      <c r="Y17823" t="s">
        <v>58805</v>
      </c>
    </row>
    <row r="17824" spans="1:25" x14ac:dyDescent="0.25">
      <c r="A17824" t="str">
        <f>"229568099759"</f>
        <v>229568099759</v>
      </c>
      <c r="B17824" t="s">
        <v>290</v>
      </c>
      <c r="C17824" t="s">
        <v>16376</v>
      </c>
      <c r="D17824" t="s">
        <v>58806</v>
      </c>
      <c r="E17824">
        <v>425011</v>
      </c>
      <c r="F17824" t="s">
        <v>1</v>
      </c>
      <c r="G17824" t="s">
        <v>52955</v>
      </c>
      <c r="H17824" t="s">
        <v>53927</v>
      </c>
      <c r="Y17824" t="s">
        <v>58807</v>
      </c>
    </row>
    <row r="17825" spans="1:25" x14ac:dyDescent="0.25">
      <c r="A17825" t="str">
        <f>"229725609027"</f>
        <v>229725609027</v>
      </c>
      <c r="B17825" t="s">
        <v>930</v>
      </c>
      <c r="C17825" t="s">
        <v>58810</v>
      </c>
      <c r="D17825" t="s">
        <v>58808</v>
      </c>
      <c r="E17825">
        <v>425000</v>
      </c>
      <c r="F17825" t="s">
        <v>1</v>
      </c>
      <c r="G17825" t="s">
        <v>52955</v>
      </c>
      <c r="H17825" t="s">
        <v>55741</v>
      </c>
      <c r="J17825" t="s">
        <v>58809</v>
      </c>
      <c r="Y17825" t="s">
        <v>58811</v>
      </c>
    </row>
    <row r="17826" spans="1:25" x14ac:dyDescent="0.25">
      <c r="A17826" t="str">
        <f>"229815947480"</f>
        <v>229815947480</v>
      </c>
      <c r="B17826" t="s">
        <v>348</v>
      </c>
      <c r="C17826" t="s">
        <v>4366</v>
      </c>
      <c r="D17826" t="s">
        <v>58812</v>
      </c>
      <c r="E17826">
        <v>425003</v>
      </c>
      <c r="F17826" t="s">
        <v>1</v>
      </c>
      <c r="G17826" t="s">
        <v>52955</v>
      </c>
      <c r="H17826" t="s">
        <v>53010</v>
      </c>
      <c r="Y17826" t="s">
        <v>53273</v>
      </c>
    </row>
    <row r="17827" spans="1:25" x14ac:dyDescent="0.25">
      <c r="A17827" t="str">
        <f>"230122943620"</f>
        <v>230122943620</v>
      </c>
      <c r="B17827" t="s">
        <v>32</v>
      </c>
      <c r="C17827" t="s">
        <v>182</v>
      </c>
      <c r="D17827" t="s">
        <v>3493</v>
      </c>
      <c r="F17827" t="s">
        <v>1</v>
      </c>
      <c r="G17827" t="s">
        <v>52955</v>
      </c>
      <c r="H17827" t="s">
        <v>53198</v>
      </c>
      <c r="Y17827" t="s">
        <v>58813</v>
      </c>
    </row>
    <row r="17828" spans="1:25" x14ac:dyDescent="0.25">
      <c r="A17828" t="str">
        <f>"230178178878"</f>
        <v>230178178878</v>
      </c>
      <c r="B17828" t="s">
        <v>3700</v>
      </c>
      <c r="C17828" t="s">
        <v>4023</v>
      </c>
      <c r="D17828" t="s">
        <v>4023</v>
      </c>
      <c r="E17828">
        <v>425008</v>
      </c>
      <c r="F17828" t="s">
        <v>1</v>
      </c>
      <c r="G17828" t="s">
        <v>52955</v>
      </c>
      <c r="H17828" t="s">
        <v>53617</v>
      </c>
      <c r="Y17828" t="s">
        <v>58814</v>
      </c>
    </row>
    <row r="17829" spans="1:25" x14ac:dyDescent="0.25">
      <c r="A17829" t="str">
        <f>"230419949129"</f>
        <v>230419949129</v>
      </c>
      <c r="B17829" t="s">
        <v>348</v>
      </c>
      <c r="C17829" t="s">
        <v>58815</v>
      </c>
      <c r="D17829" t="s">
        <v>4535</v>
      </c>
      <c r="F17829" t="s">
        <v>1</v>
      </c>
      <c r="G17829" t="s">
        <v>52955</v>
      </c>
      <c r="H17829" t="s">
        <v>54801</v>
      </c>
      <c r="Y17829" t="s">
        <v>54806</v>
      </c>
    </row>
    <row r="17830" spans="1:25" x14ac:dyDescent="0.25">
      <c r="A17830" t="str">
        <f>"230425004672"</f>
        <v>230425004672</v>
      </c>
      <c r="B17830" t="s">
        <v>1046</v>
      </c>
      <c r="C17830" t="s">
        <v>22946</v>
      </c>
      <c r="D17830" t="s">
        <v>22946</v>
      </c>
      <c r="E17830">
        <v>425000</v>
      </c>
      <c r="F17830" t="s">
        <v>1</v>
      </c>
      <c r="G17830" t="s">
        <v>52955</v>
      </c>
      <c r="H17830" t="s">
        <v>53068</v>
      </c>
      <c r="Y17830" t="s">
        <v>58816</v>
      </c>
    </row>
    <row r="17831" spans="1:25" x14ac:dyDescent="0.25">
      <c r="A17831" t="str">
        <f>"230465484779"</f>
        <v>230465484779</v>
      </c>
      <c r="B17831" t="s">
        <v>574</v>
      </c>
      <c r="C17831" t="s">
        <v>3332</v>
      </c>
      <c r="D17831" t="s">
        <v>4221</v>
      </c>
      <c r="E17831">
        <v>425001</v>
      </c>
      <c r="F17831" t="s">
        <v>1</v>
      </c>
      <c r="G17831" t="s">
        <v>52955</v>
      </c>
      <c r="H17831" t="s">
        <v>58817</v>
      </c>
      <c r="Y17831" t="s">
        <v>58818</v>
      </c>
    </row>
    <row r="17832" spans="1:25" x14ac:dyDescent="0.25">
      <c r="A17832" t="str">
        <f>"230633772601"</f>
        <v>230633772601</v>
      </c>
      <c r="B17832" t="s">
        <v>1544</v>
      </c>
      <c r="C17832" t="s">
        <v>24552</v>
      </c>
      <c r="D17832" t="s">
        <v>58819</v>
      </c>
      <c r="E17832">
        <v>425000</v>
      </c>
      <c r="F17832" t="s">
        <v>1</v>
      </c>
      <c r="G17832" t="s">
        <v>52955</v>
      </c>
      <c r="H17832" t="s">
        <v>53220</v>
      </c>
      <c r="Y17832" t="s">
        <v>58820</v>
      </c>
    </row>
    <row r="17833" spans="1:25" x14ac:dyDescent="0.25">
      <c r="A17833" t="str">
        <f>"230809243587"</f>
        <v>230809243587</v>
      </c>
      <c r="B17833" t="s">
        <v>574</v>
      </c>
      <c r="C17833" t="s">
        <v>646</v>
      </c>
      <c r="D17833" t="s">
        <v>58821</v>
      </c>
      <c r="F17833" t="s">
        <v>1</v>
      </c>
      <c r="G17833" t="s">
        <v>52955</v>
      </c>
      <c r="H17833" t="s">
        <v>53404</v>
      </c>
      <c r="Y17833" t="s">
        <v>58822</v>
      </c>
    </row>
    <row r="17834" spans="1:25" x14ac:dyDescent="0.25">
      <c r="A17834" t="str">
        <f>"230950532148"</f>
        <v>230950532148</v>
      </c>
      <c r="B17834" t="s">
        <v>738</v>
      </c>
      <c r="C17834" t="s">
        <v>35568</v>
      </c>
      <c r="D17834" t="s">
        <v>58823</v>
      </c>
      <c r="F17834" t="s">
        <v>1</v>
      </c>
      <c r="G17834" t="s">
        <v>52955</v>
      </c>
      <c r="H17834" t="s">
        <v>53243</v>
      </c>
      <c r="Y17834" t="s">
        <v>58824</v>
      </c>
    </row>
    <row r="17835" spans="1:25" x14ac:dyDescent="0.25">
      <c r="A17835" t="str">
        <f>"231175208245"</f>
        <v>231175208245</v>
      </c>
      <c r="B17835" t="s">
        <v>24468</v>
      </c>
      <c r="C17835" t="s">
        <v>24469</v>
      </c>
      <c r="D17835" t="s">
        <v>58825</v>
      </c>
      <c r="E17835">
        <v>425000</v>
      </c>
      <c r="F17835" t="s">
        <v>1</v>
      </c>
      <c r="G17835" t="s">
        <v>52955</v>
      </c>
      <c r="H17835" t="s">
        <v>55251</v>
      </c>
      <c r="Y17835" t="s">
        <v>58826</v>
      </c>
    </row>
    <row r="17836" spans="1:25" x14ac:dyDescent="0.25">
      <c r="A17836" t="str">
        <f>"231409184343"</f>
        <v>231409184343</v>
      </c>
      <c r="B17836" t="s">
        <v>18</v>
      </c>
      <c r="C17836" t="s">
        <v>56247</v>
      </c>
      <c r="D17836" t="s">
        <v>58827</v>
      </c>
      <c r="E17836">
        <v>425000</v>
      </c>
      <c r="F17836" t="s">
        <v>1</v>
      </c>
      <c r="G17836" t="s">
        <v>52955</v>
      </c>
      <c r="H17836" t="s">
        <v>55708</v>
      </c>
      <c r="Y17836" t="s">
        <v>58828</v>
      </c>
    </row>
    <row r="17837" spans="1:25" x14ac:dyDescent="0.25">
      <c r="A17837" t="str">
        <f>"231421923321"</f>
        <v>231421923321</v>
      </c>
      <c r="B17837" t="s">
        <v>88</v>
      </c>
      <c r="C17837" t="s">
        <v>6066</v>
      </c>
      <c r="D17837" t="s">
        <v>22553</v>
      </c>
      <c r="F17837" t="s">
        <v>1</v>
      </c>
      <c r="G17837" t="s">
        <v>52955</v>
      </c>
      <c r="H17837" t="s">
        <v>55992</v>
      </c>
      <c r="P17837" t="s">
        <v>2050</v>
      </c>
      <c r="Y17837" t="s">
        <v>58829</v>
      </c>
    </row>
    <row r="17838" spans="1:25" x14ac:dyDescent="0.25">
      <c r="A17838" t="str">
        <f>"231462179286"</f>
        <v>231462179286</v>
      </c>
      <c r="B17838" t="s">
        <v>204</v>
      </c>
      <c r="C17838" t="s">
        <v>25704</v>
      </c>
      <c r="D17838" t="s">
        <v>44666</v>
      </c>
      <c r="F17838" t="s">
        <v>1</v>
      </c>
      <c r="G17838" t="s">
        <v>52955</v>
      </c>
      <c r="H17838" t="s">
        <v>53198</v>
      </c>
      <c r="Y17838" t="s">
        <v>58830</v>
      </c>
    </row>
    <row r="17839" spans="1:25" x14ac:dyDescent="0.25">
      <c r="A17839" t="str">
        <f>"231517081222"</f>
        <v>231517081222</v>
      </c>
      <c r="B17839" t="s">
        <v>797</v>
      </c>
      <c r="C17839" t="s">
        <v>5123</v>
      </c>
      <c r="D17839" t="s">
        <v>58831</v>
      </c>
      <c r="F17839" t="s">
        <v>1</v>
      </c>
      <c r="G17839" t="s">
        <v>52955</v>
      </c>
      <c r="H17839" t="s">
        <v>53198</v>
      </c>
      <c r="Y17839" t="s">
        <v>58832</v>
      </c>
    </row>
    <row r="17840" spans="1:25" x14ac:dyDescent="0.25">
      <c r="A17840" t="str">
        <f>"231583274753"</f>
        <v>231583274753</v>
      </c>
      <c r="B17840" t="s">
        <v>7849</v>
      </c>
      <c r="C17840" t="s">
        <v>35647</v>
      </c>
      <c r="D17840" t="s">
        <v>58755</v>
      </c>
      <c r="F17840" t="s">
        <v>1</v>
      </c>
      <c r="G17840" t="s">
        <v>52955</v>
      </c>
      <c r="H17840" t="s">
        <v>55928</v>
      </c>
      <c r="Y17840" t="s">
        <v>58136</v>
      </c>
    </row>
    <row r="17841" spans="1:25" x14ac:dyDescent="0.25">
      <c r="A17841" t="str">
        <f>"231885479829"</f>
        <v>231885479829</v>
      </c>
      <c r="B17841" t="s">
        <v>32</v>
      </c>
      <c r="C17841" t="s">
        <v>182</v>
      </c>
      <c r="D17841" t="s">
        <v>58833</v>
      </c>
      <c r="F17841" t="s">
        <v>1</v>
      </c>
      <c r="G17841" t="s">
        <v>52955</v>
      </c>
      <c r="H17841" t="s">
        <v>58834</v>
      </c>
      <c r="Y17841" t="s">
        <v>58835</v>
      </c>
    </row>
    <row r="17842" spans="1:25" x14ac:dyDescent="0.25">
      <c r="A17842" t="str">
        <f>"231914347690"</f>
        <v>231914347690</v>
      </c>
      <c r="B17842" t="s">
        <v>574</v>
      </c>
      <c r="C17842" t="s">
        <v>14269</v>
      </c>
      <c r="D17842" t="s">
        <v>58836</v>
      </c>
      <c r="E17842">
        <v>425000</v>
      </c>
      <c r="F17842" t="s">
        <v>1</v>
      </c>
      <c r="G17842" t="s">
        <v>52955</v>
      </c>
      <c r="H17842" t="s">
        <v>53907</v>
      </c>
      <c r="Y17842" t="s">
        <v>58837</v>
      </c>
    </row>
    <row r="17843" spans="1:25" x14ac:dyDescent="0.25">
      <c r="A17843" t="str">
        <f>"231921224096"</f>
        <v>231921224096</v>
      </c>
      <c r="B17843" t="s">
        <v>530</v>
      </c>
      <c r="C17843" t="s">
        <v>23950</v>
      </c>
      <c r="D17843" t="s">
        <v>23950</v>
      </c>
      <c r="E17843">
        <v>425005</v>
      </c>
      <c r="F17843" t="s">
        <v>1</v>
      </c>
      <c r="G17843" t="s">
        <v>52955</v>
      </c>
      <c r="H17843" t="s">
        <v>55280</v>
      </c>
      <c r="Y17843" t="s">
        <v>58838</v>
      </c>
    </row>
    <row r="17844" spans="1:25" x14ac:dyDescent="0.25">
      <c r="A17844" t="str">
        <f>"232018686344"</f>
        <v>232018686344</v>
      </c>
      <c r="B17844" t="s">
        <v>96</v>
      </c>
      <c r="C17844" t="s">
        <v>695</v>
      </c>
      <c r="D17844" t="s">
        <v>52349</v>
      </c>
      <c r="E17844">
        <v>425008</v>
      </c>
      <c r="F17844" t="s">
        <v>1</v>
      </c>
      <c r="G17844" t="s">
        <v>52955</v>
      </c>
      <c r="H17844" t="s">
        <v>53533</v>
      </c>
      <c r="Y17844" t="s">
        <v>58839</v>
      </c>
    </row>
    <row r="17845" spans="1:25" x14ac:dyDescent="0.25">
      <c r="A17845" t="str">
        <f>"232462050232"</f>
        <v>232462050232</v>
      </c>
      <c r="B17845" t="s">
        <v>88</v>
      </c>
      <c r="C17845" t="s">
        <v>6066</v>
      </c>
      <c r="D17845" t="s">
        <v>6066</v>
      </c>
      <c r="E17845">
        <v>425008</v>
      </c>
      <c r="F17845" t="s">
        <v>1</v>
      </c>
      <c r="G17845" t="s">
        <v>52955</v>
      </c>
      <c r="H17845" t="s">
        <v>55156</v>
      </c>
      <c r="Y17845" t="s">
        <v>58840</v>
      </c>
    </row>
    <row r="17846" spans="1:25" x14ac:dyDescent="0.25">
      <c r="A17846" t="str">
        <f>"232572444842"</f>
        <v>232572444842</v>
      </c>
      <c r="B17846" t="s">
        <v>1152</v>
      </c>
      <c r="C17846" t="s">
        <v>10452</v>
      </c>
      <c r="D17846" t="s">
        <v>1507</v>
      </c>
      <c r="E17846">
        <v>425001</v>
      </c>
      <c r="F17846" t="s">
        <v>1</v>
      </c>
      <c r="G17846" t="s">
        <v>52955</v>
      </c>
      <c r="H17846" t="s">
        <v>53433</v>
      </c>
      <c r="Y17846" t="s">
        <v>58841</v>
      </c>
    </row>
    <row r="17847" spans="1:25" x14ac:dyDescent="0.25">
      <c r="A17847" t="str">
        <f>"232881877467"</f>
        <v>232881877467</v>
      </c>
      <c r="B17847" t="s">
        <v>530</v>
      </c>
      <c r="C17847" t="s">
        <v>23950</v>
      </c>
      <c r="D17847" t="s">
        <v>23950</v>
      </c>
      <c r="F17847" t="s">
        <v>1</v>
      </c>
      <c r="G17847" t="s">
        <v>52955</v>
      </c>
      <c r="H17847" t="s">
        <v>55316</v>
      </c>
      <c r="Y17847" t="s">
        <v>58842</v>
      </c>
    </row>
    <row r="17848" spans="1:25" x14ac:dyDescent="0.25">
      <c r="A17848" t="str">
        <f>"233092721847"</f>
        <v>233092721847</v>
      </c>
      <c r="B17848" t="s">
        <v>1343</v>
      </c>
      <c r="C17848" t="s">
        <v>29280</v>
      </c>
      <c r="D17848" t="s">
        <v>54246</v>
      </c>
      <c r="F17848" t="s">
        <v>1</v>
      </c>
      <c r="G17848" t="s">
        <v>52955</v>
      </c>
      <c r="H17848" t="s">
        <v>54042</v>
      </c>
      <c r="J17848" t="s">
        <v>54247</v>
      </c>
      <c r="P17848" t="s">
        <v>133</v>
      </c>
      <c r="Y17848" t="s">
        <v>54044</v>
      </c>
    </row>
    <row r="17849" spans="1:25" x14ac:dyDescent="0.25">
      <c r="A17849" t="str">
        <f>"233435322187"</f>
        <v>233435322187</v>
      </c>
      <c r="B17849" t="s">
        <v>18</v>
      </c>
      <c r="C17849" t="s">
        <v>4522</v>
      </c>
      <c r="D17849" t="s">
        <v>42904</v>
      </c>
      <c r="E17849">
        <v>425008</v>
      </c>
      <c r="F17849" t="s">
        <v>1</v>
      </c>
      <c r="G17849" t="s">
        <v>52955</v>
      </c>
      <c r="H17849" t="s">
        <v>53554</v>
      </c>
      <c r="Y17849" t="s">
        <v>58843</v>
      </c>
    </row>
    <row r="17850" spans="1:25" x14ac:dyDescent="0.25">
      <c r="A17850" t="str">
        <f>"233511279383"</f>
        <v>233511279383</v>
      </c>
      <c r="B17850" t="s">
        <v>160</v>
      </c>
      <c r="C17850" t="s">
        <v>1666</v>
      </c>
      <c r="D17850" t="s">
        <v>58844</v>
      </c>
      <c r="E17850">
        <v>425005</v>
      </c>
      <c r="F17850" t="s">
        <v>1</v>
      </c>
      <c r="G17850" t="s">
        <v>52955</v>
      </c>
      <c r="H17850" t="s">
        <v>53443</v>
      </c>
      <c r="Y17850" t="s">
        <v>58845</v>
      </c>
    </row>
    <row r="17851" spans="1:25" x14ac:dyDescent="0.25">
      <c r="A17851" t="str">
        <f>"233746392225"</f>
        <v>233746392225</v>
      </c>
      <c r="B17851" t="s">
        <v>1343</v>
      </c>
      <c r="C17851" t="s">
        <v>5308</v>
      </c>
      <c r="D17851" t="s">
        <v>58846</v>
      </c>
      <c r="F17851" t="s">
        <v>1</v>
      </c>
      <c r="G17851" t="s">
        <v>52955</v>
      </c>
      <c r="H17851" t="s">
        <v>53198</v>
      </c>
      <c r="Y17851" t="s">
        <v>58847</v>
      </c>
    </row>
    <row r="17852" spans="1:25" x14ac:dyDescent="0.25">
      <c r="A17852" t="str">
        <f>"233760639603"</f>
        <v>233760639603</v>
      </c>
      <c r="B17852" t="s">
        <v>803</v>
      </c>
      <c r="C17852" t="s">
        <v>4941</v>
      </c>
      <c r="D17852" t="s">
        <v>4941</v>
      </c>
      <c r="F17852" t="s">
        <v>1</v>
      </c>
      <c r="G17852" t="s">
        <v>52955</v>
      </c>
      <c r="H17852" t="s">
        <v>53198</v>
      </c>
      <c r="Y17852" t="s">
        <v>58848</v>
      </c>
    </row>
    <row r="17853" spans="1:25" x14ac:dyDescent="0.25">
      <c r="A17853" t="str">
        <f>"234084848625"</f>
        <v>234084848625</v>
      </c>
      <c r="B17853" t="s">
        <v>117</v>
      </c>
      <c r="C17853" t="s">
        <v>873</v>
      </c>
      <c r="D17853" t="s">
        <v>873</v>
      </c>
      <c r="E17853">
        <v>425009</v>
      </c>
      <c r="F17853" t="s">
        <v>1</v>
      </c>
      <c r="G17853" t="s">
        <v>52955</v>
      </c>
      <c r="H17853" t="s">
        <v>58849</v>
      </c>
      <c r="Y17853" t="s">
        <v>58850</v>
      </c>
    </row>
    <row r="17854" spans="1:25" x14ac:dyDescent="0.25">
      <c r="A17854" t="str">
        <f>"234282193560"</f>
        <v>234282193560</v>
      </c>
      <c r="B17854" t="s">
        <v>574</v>
      </c>
      <c r="C17854" t="s">
        <v>14652</v>
      </c>
      <c r="D17854" t="s">
        <v>691</v>
      </c>
      <c r="F17854" t="s">
        <v>1</v>
      </c>
      <c r="G17854" t="s">
        <v>52955</v>
      </c>
      <c r="H17854" t="s">
        <v>55928</v>
      </c>
      <c r="J17854" t="s">
        <v>58851</v>
      </c>
      <c r="P17854" t="s">
        <v>216</v>
      </c>
      <c r="Y17854" t="s">
        <v>58852</v>
      </c>
    </row>
    <row r="17855" spans="1:25" x14ac:dyDescent="0.25">
      <c r="A17855" t="str">
        <f>"234677480206"</f>
        <v>234677480206</v>
      </c>
      <c r="B17855" t="s">
        <v>1152</v>
      </c>
      <c r="C17855" t="s">
        <v>1385</v>
      </c>
      <c r="D17855" t="s">
        <v>58853</v>
      </c>
      <c r="E17855">
        <v>425001</v>
      </c>
      <c r="F17855" t="s">
        <v>1</v>
      </c>
      <c r="G17855" t="s">
        <v>52955</v>
      </c>
      <c r="H17855" t="s">
        <v>57216</v>
      </c>
      <c r="Y17855" t="s">
        <v>58854</v>
      </c>
    </row>
    <row r="17856" spans="1:25" x14ac:dyDescent="0.25">
      <c r="A17856" t="str">
        <f>"234844551877"</f>
        <v>234844551877</v>
      </c>
      <c r="B17856" t="s">
        <v>574</v>
      </c>
      <c r="C17856" t="s">
        <v>8884</v>
      </c>
      <c r="D17856" t="s">
        <v>8880</v>
      </c>
      <c r="E17856">
        <v>425008</v>
      </c>
      <c r="F17856" t="s">
        <v>1</v>
      </c>
      <c r="G17856" t="s">
        <v>52955</v>
      </c>
      <c r="H17856" t="s">
        <v>58855</v>
      </c>
      <c r="J17856" t="s">
        <v>58856</v>
      </c>
      <c r="L17856" t="s">
        <v>26240</v>
      </c>
      <c r="M17856" t="s">
        <v>58857</v>
      </c>
      <c r="P17856" t="s">
        <v>58858</v>
      </c>
      <c r="Q17856" t="s">
        <v>8886</v>
      </c>
      <c r="T17856" t="s">
        <v>8887</v>
      </c>
      <c r="V17856" t="s">
        <v>8888</v>
      </c>
      <c r="Y17856" t="s">
        <v>58859</v>
      </c>
    </row>
    <row r="17857" spans="1:25" x14ac:dyDescent="0.25">
      <c r="A17857" t="str">
        <f>"235149737757"</f>
        <v>235149737757</v>
      </c>
      <c r="B17857" t="s">
        <v>1343</v>
      </c>
      <c r="C17857" t="s">
        <v>13544</v>
      </c>
      <c r="D17857" t="s">
        <v>58860</v>
      </c>
      <c r="E17857">
        <v>425009</v>
      </c>
      <c r="F17857" t="s">
        <v>1</v>
      </c>
      <c r="G17857" t="s">
        <v>52955</v>
      </c>
      <c r="H17857" t="s">
        <v>55921</v>
      </c>
      <c r="Y17857" t="s">
        <v>58861</v>
      </c>
    </row>
    <row r="17858" spans="1:25" x14ac:dyDescent="0.25">
      <c r="A17858" t="str">
        <f>"235159724266"</f>
        <v>235159724266</v>
      </c>
      <c r="B17858" t="s">
        <v>96</v>
      </c>
      <c r="C17858" t="s">
        <v>507</v>
      </c>
      <c r="D17858" t="s">
        <v>8943</v>
      </c>
      <c r="E17858">
        <v>425011</v>
      </c>
      <c r="F17858" t="s">
        <v>1</v>
      </c>
      <c r="G17858" t="s">
        <v>52955</v>
      </c>
      <c r="H17858" t="s">
        <v>53976</v>
      </c>
      <c r="Y17858" t="s">
        <v>58862</v>
      </c>
    </row>
    <row r="17859" spans="1:25" x14ac:dyDescent="0.25">
      <c r="A17859" t="str">
        <f>"235946154526"</f>
        <v>235946154526</v>
      </c>
      <c r="B17859" t="s">
        <v>574</v>
      </c>
      <c r="C17859" t="s">
        <v>26901</v>
      </c>
      <c r="D17859" t="s">
        <v>11854</v>
      </c>
      <c r="E17859">
        <v>425000</v>
      </c>
      <c r="F17859" t="s">
        <v>1</v>
      </c>
      <c r="G17859" t="s">
        <v>52955</v>
      </c>
      <c r="H17859" t="s">
        <v>53853</v>
      </c>
      <c r="Y17859" t="s">
        <v>58863</v>
      </c>
    </row>
    <row r="17860" spans="1:25" x14ac:dyDescent="0.25">
      <c r="A17860" t="str">
        <f>"236194942871"</f>
        <v>236194942871</v>
      </c>
      <c r="B17860" t="s">
        <v>379</v>
      </c>
      <c r="C17860" t="s">
        <v>766</v>
      </c>
      <c r="D17860" t="s">
        <v>58864</v>
      </c>
      <c r="E17860">
        <v>425011</v>
      </c>
      <c r="F17860" t="s">
        <v>1</v>
      </c>
      <c r="G17860" t="s">
        <v>52955</v>
      </c>
      <c r="H17860" t="s">
        <v>53155</v>
      </c>
      <c r="I17860" t="s">
        <v>58865</v>
      </c>
      <c r="J17860" t="s">
        <v>58866</v>
      </c>
      <c r="L17860" t="s">
        <v>58867</v>
      </c>
      <c r="M17860" t="s">
        <v>58868</v>
      </c>
      <c r="P17860" t="s">
        <v>58869</v>
      </c>
      <c r="Q17860" t="s">
        <v>58870</v>
      </c>
      <c r="Y17860" t="s">
        <v>54523</v>
      </c>
    </row>
    <row r="17861" spans="1:25" x14ac:dyDescent="0.25">
      <c r="A17861" t="str">
        <f>"236245534155"</f>
        <v>236245534155</v>
      </c>
      <c r="B17861" t="s">
        <v>687</v>
      </c>
      <c r="C17861" t="s">
        <v>49963</v>
      </c>
      <c r="D17861" t="s">
        <v>58871</v>
      </c>
      <c r="E17861">
        <v>425008</v>
      </c>
      <c r="F17861" t="s">
        <v>1</v>
      </c>
      <c r="G17861" t="s">
        <v>52955</v>
      </c>
      <c r="H17861" t="s">
        <v>53554</v>
      </c>
      <c r="Y17861" t="s">
        <v>54319</v>
      </c>
    </row>
    <row r="17862" spans="1:25" x14ac:dyDescent="0.25">
      <c r="A17862" t="str">
        <f>"236544383078"</f>
        <v>236544383078</v>
      </c>
      <c r="B17862" t="s">
        <v>1343</v>
      </c>
      <c r="C17862" t="s">
        <v>5308</v>
      </c>
      <c r="D17862" t="s">
        <v>17329</v>
      </c>
      <c r="E17862">
        <v>425000</v>
      </c>
      <c r="F17862" t="s">
        <v>1</v>
      </c>
      <c r="G17862" t="s">
        <v>52955</v>
      </c>
      <c r="H17862" t="s">
        <v>55115</v>
      </c>
      <c r="Y17862" t="s">
        <v>58872</v>
      </c>
    </row>
    <row r="17863" spans="1:25" x14ac:dyDescent="0.25">
      <c r="A17863" t="str">
        <f>"236811567334"</f>
        <v>236811567334</v>
      </c>
      <c r="B17863" t="s">
        <v>117</v>
      </c>
      <c r="C17863" t="s">
        <v>118</v>
      </c>
      <c r="D17863" t="s">
        <v>118</v>
      </c>
      <c r="F17863" t="s">
        <v>1</v>
      </c>
      <c r="G17863" t="s">
        <v>52955</v>
      </c>
      <c r="H17863" t="s">
        <v>55243</v>
      </c>
      <c r="Y17863" t="s">
        <v>58873</v>
      </c>
    </row>
    <row r="17864" spans="1:25" x14ac:dyDescent="0.25">
      <c r="A17864" t="str">
        <f>"236824721044"</f>
        <v>236824721044</v>
      </c>
      <c r="B17864" t="s">
        <v>1078</v>
      </c>
      <c r="C17864" t="s">
        <v>12091</v>
      </c>
      <c r="D17864" t="s">
        <v>58874</v>
      </c>
      <c r="E17864">
        <v>425008</v>
      </c>
      <c r="F17864" t="s">
        <v>1</v>
      </c>
      <c r="G17864" t="s">
        <v>52955</v>
      </c>
      <c r="H17864" t="s">
        <v>54382</v>
      </c>
      <c r="Y17864" t="s">
        <v>58875</v>
      </c>
    </row>
    <row r="17865" spans="1:25" x14ac:dyDescent="0.25">
      <c r="A17865" t="str">
        <f>"236846044709"</f>
        <v>236846044709</v>
      </c>
      <c r="B17865" t="s">
        <v>2104</v>
      </c>
      <c r="C17865" t="s">
        <v>2105</v>
      </c>
      <c r="D17865" t="s">
        <v>57121</v>
      </c>
      <c r="E17865">
        <v>425008</v>
      </c>
      <c r="F17865" t="s">
        <v>1</v>
      </c>
      <c r="G17865" t="s">
        <v>52955</v>
      </c>
      <c r="H17865" t="s">
        <v>53193</v>
      </c>
      <c r="Y17865" t="s">
        <v>58876</v>
      </c>
    </row>
    <row r="17866" spans="1:25" x14ac:dyDescent="0.25">
      <c r="A17866" t="str">
        <f>"237191403811"</f>
        <v>237191403811</v>
      </c>
      <c r="B17866" t="s">
        <v>379</v>
      </c>
      <c r="C17866" t="s">
        <v>380</v>
      </c>
      <c r="D17866" t="s">
        <v>8393</v>
      </c>
      <c r="E17866">
        <v>425000</v>
      </c>
      <c r="F17866" t="s">
        <v>1</v>
      </c>
      <c r="G17866" t="s">
        <v>52955</v>
      </c>
      <c r="H17866" t="s">
        <v>54616</v>
      </c>
      <c r="I17866" t="s">
        <v>58877</v>
      </c>
      <c r="L17866" t="s">
        <v>8395</v>
      </c>
      <c r="M17866" t="s">
        <v>8396</v>
      </c>
      <c r="P17866" t="s">
        <v>152</v>
      </c>
      <c r="Q17866" t="s">
        <v>8412</v>
      </c>
      <c r="R17866" t="s">
        <v>8399</v>
      </c>
      <c r="S17866" t="s">
        <v>8400</v>
      </c>
      <c r="T17866" t="s">
        <v>8401</v>
      </c>
      <c r="Y17866" t="s">
        <v>54619</v>
      </c>
    </row>
    <row r="17867" spans="1:25" x14ac:dyDescent="0.25">
      <c r="A17867" t="str">
        <f>"237217655418"</f>
        <v>237217655418</v>
      </c>
      <c r="B17867" t="s">
        <v>117</v>
      </c>
      <c r="C17867" t="s">
        <v>118</v>
      </c>
      <c r="D17867" t="s">
        <v>55420</v>
      </c>
      <c r="F17867" t="s">
        <v>1</v>
      </c>
      <c r="G17867" t="s">
        <v>52955</v>
      </c>
      <c r="H17867" t="s">
        <v>56382</v>
      </c>
      <c r="Y17867" t="s">
        <v>58878</v>
      </c>
    </row>
    <row r="17868" spans="1:25" x14ac:dyDescent="0.25">
      <c r="A17868" t="str">
        <f>"237411018531"</f>
        <v>237411018531</v>
      </c>
      <c r="B17868" t="s">
        <v>117</v>
      </c>
      <c r="C17868" t="s">
        <v>873</v>
      </c>
      <c r="D17868" t="s">
        <v>873</v>
      </c>
      <c r="F17868" t="s">
        <v>1</v>
      </c>
      <c r="G17868" t="s">
        <v>52955</v>
      </c>
      <c r="H17868" t="s">
        <v>55974</v>
      </c>
      <c r="Y17868" t="s">
        <v>58879</v>
      </c>
    </row>
    <row r="17869" spans="1:25" x14ac:dyDescent="0.25">
      <c r="A17869" t="str">
        <f>"237572380032"</f>
        <v>237572380032</v>
      </c>
      <c r="B17869" t="s">
        <v>160</v>
      </c>
      <c r="C17869" t="s">
        <v>14673</v>
      </c>
      <c r="D17869" t="s">
        <v>14667</v>
      </c>
      <c r="F17869" t="s">
        <v>1</v>
      </c>
      <c r="G17869" t="s">
        <v>52955</v>
      </c>
      <c r="H17869" t="s">
        <v>56437</v>
      </c>
      <c r="Y17869" t="s">
        <v>58880</v>
      </c>
    </row>
    <row r="17870" spans="1:25" x14ac:dyDescent="0.25">
      <c r="A17870" t="str">
        <f>"237591413570"</f>
        <v>237591413570</v>
      </c>
      <c r="B17870" t="s">
        <v>18</v>
      </c>
      <c r="C17870" t="s">
        <v>21839</v>
      </c>
      <c r="D17870" t="s">
        <v>39242</v>
      </c>
      <c r="E17870">
        <v>425011</v>
      </c>
      <c r="F17870" t="s">
        <v>1</v>
      </c>
      <c r="G17870" t="s">
        <v>52955</v>
      </c>
      <c r="H17870" t="s">
        <v>53927</v>
      </c>
      <c r="Y17870" t="s">
        <v>58881</v>
      </c>
    </row>
    <row r="17871" spans="1:25" x14ac:dyDescent="0.25">
      <c r="A17871" t="str">
        <f>"237916741042"</f>
        <v>237916741042</v>
      </c>
      <c r="B17871" t="s">
        <v>574</v>
      </c>
      <c r="C17871" t="s">
        <v>14652</v>
      </c>
      <c r="D17871" t="s">
        <v>691</v>
      </c>
      <c r="E17871">
        <v>425001</v>
      </c>
      <c r="F17871" t="s">
        <v>1</v>
      </c>
      <c r="G17871" t="s">
        <v>52955</v>
      </c>
      <c r="H17871" t="s">
        <v>53465</v>
      </c>
      <c r="J17871" t="s">
        <v>58851</v>
      </c>
      <c r="P17871" t="s">
        <v>98</v>
      </c>
      <c r="Y17871" t="s">
        <v>58882</v>
      </c>
    </row>
    <row r="17872" spans="1:25" x14ac:dyDescent="0.25">
      <c r="A17872" t="str">
        <f>"238218211017"</f>
        <v>238218211017</v>
      </c>
      <c r="B17872" t="s">
        <v>1544</v>
      </c>
      <c r="C17872" t="s">
        <v>7974</v>
      </c>
      <c r="D17872" t="s">
        <v>25268</v>
      </c>
      <c r="E17872">
        <v>425008</v>
      </c>
      <c r="F17872" t="s">
        <v>1</v>
      </c>
      <c r="G17872" t="s">
        <v>52955</v>
      </c>
      <c r="H17872" t="s">
        <v>55417</v>
      </c>
      <c r="Y17872" t="s">
        <v>58883</v>
      </c>
    </row>
    <row r="17873" spans="1:25" x14ac:dyDescent="0.25">
      <c r="A17873" t="str">
        <f>"238368995045"</f>
        <v>238368995045</v>
      </c>
      <c r="B17873" t="s">
        <v>530</v>
      </c>
      <c r="C17873" t="s">
        <v>23950</v>
      </c>
      <c r="D17873" t="s">
        <v>23950</v>
      </c>
      <c r="F17873" t="s">
        <v>1</v>
      </c>
      <c r="G17873" t="s">
        <v>52955</v>
      </c>
      <c r="H17873" t="s">
        <v>55700</v>
      </c>
      <c r="Y17873" t="s">
        <v>58884</v>
      </c>
    </row>
    <row r="17874" spans="1:25" x14ac:dyDescent="0.25">
      <c r="A17874" t="str">
        <f>"238533565073"</f>
        <v>238533565073</v>
      </c>
      <c r="B17874" t="s">
        <v>1343</v>
      </c>
      <c r="C17874" t="s">
        <v>5308</v>
      </c>
      <c r="D17874" t="s">
        <v>17329</v>
      </c>
      <c r="E17874">
        <v>425008</v>
      </c>
      <c r="F17874" t="s">
        <v>1</v>
      </c>
      <c r="G17874" t="s">
        <v>52955</v>
      </c>
      <c r="H17874" t="s">
        <v>54382</v>
      </c>
      <c r="Y17874" t="s">
        <v>58885</v>
      </c>
    </row>
    <row r="17875" spans="1:25" x14ac:dyDescent="0.25">
      <c r="A17875" t="str">
        <f>"238683472108"</f>
        <v>238683472108</v>
      </c>
      <c r="B17875" t="s">
        <v>96</v>
      </c>
      <c r="C17875" t="s">
        <v>893</v>
      </c>
      <c r="D17875" t="s">
        <v>25155</v>
      </c>
      <c r="F17875" t="s">
        <v>1</v>
      </c>
      <c r="G17875" t="s">
        <v>52955</v>
      </c>
      <c r="H17875" t="s">
        <v>53198</v>
      </c>
      <c r="Y17875" t="s">
        <v>58886</v>
      </c>
    </row>
    <row r="17876" spans="1:25" x14ac:dyDescent="0.25">
      <c r="A17876" t="str">
        <f>"238853297952"</f>
        <v>238853297952</v>
      </c>
      <c r="B17876" t="s">
        <v>738</v>
      </c>
      <c r="C17876" t="s">
        <v>10857</v>
      </c>
      <c r="D17876" t="s">
        <v>57191</v>
      </c>
      <c r="F17876" t="s">
        <v>1</v>
      </c>
      <c r="G17876" t="s">
        <v>52955</v>
      </c>
      <c r="H17876" t="s">
        <v>55514</v>
      </c>
      <c r="I17876" t="s">
        <v>30108</v>
      </c>
      <c r="L17876" t="s">
        <v>30109</v>
      </c>
      <c r="M17876" t="s">
        <v>58887</v>
      </c>
      <c r="P17876" t="s">
        <v>330</v>
      </c>
      <c r="Q17876" t="s">
        <v>30111</v>
      </c>
      <c r="Y17876" t="s">
        <v>57537</v>
      </c>
    </row>
    <row r="17877" spans="1:25" x14ac:dyDescent="0.25">
      <c r="A17877" t="str">
        <f>"238953709476"</f>
        <v>238953709476</v>
      </c>
      <c r="B17877" t="s">
        <v>1315</v>
      </c>
      <c r="C17877" t="s">
        <v>4274</v>
      </c>
      <c r="D17877" t="s">
        <v>58888</v>
      </c>
      <c r="E17877">
        <v>425000</v>
      </c>
      <c r="F17877" t="s">
        <v>1</v>
      </c>
      <c r="G17877" t="s">
        <v>52955</v>
      </c>
      <c r="H17877" t="s">
        <v>58889</v>
      </c>
      <c r="Y17877" t="s">
        <v>58890</v>
      </c>
    </row>
    <row r="17878" spans="1:25" x14ac:dyDescent="0.25">
      <c r="A17878" t="str">
        <f>"239335553286"</f>
        <v>239335553286</v>
      </c>
      <c r="B17878" t="s">
        <v>1343</v>
      </c>
      <c r="C17878" t="s">
        <v>13544</v>
      </c>
      <c r="D17878" t="s">
        <v>58891</v>
      </c>
      <c r="F17878" t="s">
        <v>1</v>
      </c>
      <c r="G17878" t="s">
        <v>52955</v>
      </c>
      <c r="H17878" t="s">
        <v>58892</v>
      </c>
      <c r="Y17878" t="s">
        <v>58893</v>
      </c>
    </row>
    <row r="17879" spans="1:25" x14ac:dyDescent="0.25">
      <c r="A17879" t="str">
        <f>"239560188518"</f>
        <v>239560188518</v>
      </c>
      <c r="B17879" t="s">
        <v>25</v>
      </c>
      <c r="C17879" t="s">
        <v>53756</v>
      </c>
      <c r="D17879" t="s">
        <v>58894</v>
      </c>
      <c r="E17879">
        <v>425000</v>
      </c>
      <c r="F17879" t="s">
        <v>1</v>
      </c>
      <c r="G17879" t="s">
        <v>52955</v>
      </c>
      <c r="H17879" t="s">
        <v>52998</v>
      </c>
      <c r="I17879" t="s">
        <v>53850</v>
      </c>
      <c r="J17879" t="s">
        <v>58895</v>
      </c>
      <c r="Y17879" t="s">
        <v>58896</v>
      </c>
    </row>
    <row r="17880" spans="1:25" x14ac:dyDescent="0.25">
      <c r="A17880" t="str">
        <f>"239660561636"</f>
        <v>239660561636</v>
      </c>
      <c r="B17880" t="s">
        <v>738</v>
      </c>
      <c r="C17880" t="s">
        <v>58901</v>
      </c>
      <c r="D17880" t="s">
        <v>58897</v>
      </c>
      <c r="E17880">
        <v>425000</v>
      </c>
      <c r="F17880" t="s">
        <v>1</v>
      </c>
      <c r="G17880" t="s">
        <v>52955</v>
      </c>
      <c r="H17880" t="s">
        <v>53639</v>
      </c>
      <c r="I17880" t="s">
        <v>58898</v>
      </c>
      <c r="L17880" t="s">
        <v>58899</v>
      </c>
      <c r="M17880" t="s">
        <v>58900</v>
      </c>
      <c r="P17880" t="s">
        <v>2738</v>
      </c>
      <c r="Y17880" t="s">
        <v>53642</v>
      </c>
    </row>
    <row r="17881" spans="1:25" x14ac:dyDescent="0.25">
      <c r="A17881" t="str">
        <f>"240129728727"</f>
        <v>240129728727</v>
      </c>
      <c r="B17881" t="s">
        <v>888</v>
      </c>
      <c r="C17881" t="s">
        <v>888</v>
      </c>
      <c r="D17881" t="s">
        <v>58902</v>
      </c>
      <c r="F17881" t="s">
        <v>1</v>
      </c>
      <c r="G17881" t="s">
        <v>52955</v>
      </c>
      <c r="H17881" t="s">
        <v>56432</v>
      </c>
      <c r="I17881" t="s">
        <v>56433</v>
      </c>
      <c r="P17881" t="s">
        <v>37661</v>
      </c>
      <c r="Y17881" t="s">
        <v>58903</v>
      </c>
    </row>
    <row r="17882" spans="1:25" x14ac:dyDescent="0.25">
      <c r="A17882" t="str">
        <f>"240239986375"</f>
        <v>240239986375</v>
      </c>
      <c r="B17882" t="s">
        <v>930</v>
      </c>
      <c r="C17882" t="s">
        <v>1096</v>
      </c>
      <c r="D17882" t="s">
        <v>1094</v>
      </c>
      <c r="F17882" t="s">
        <v>1</v>
      </c>
      <c r="G17882" t="s">
        <v>52955</v>
      </c>
      <c r="H17882" t="s">
        <v>55903</v>
      </c>
      <c r="Y17882" t="s">
        <v>58904</v>
      </c>
    </row>
    <row r="17883" spans="1:25" x14ac:dyDescent="0.25">
      <c r="A17883" t="str">
        <f>"240518059562"</f>
        <v>240518059562</v>
      </c>
      <c r="B17883" t="s">
        <v>10986</v>
      </c>
      <c r="C17883" t="s">
        <v>23436</v>
      </c>
      <c r="D17883" t="s">
        <v>51294</v>
      </c>
      <c r="E17883">
        <v>425000</v>
      </c>
      <c r="F17883" t="s">
        <v>1</v>
      </c>
      <c r="G17883" t="s">
        <v>52955</v>
      </c>
      <c r="H17883" t="s">
        <v>53460</v>
      </c>
      <c r="Y17883" t="s">
        <v>53463</v>
      </c>
    </row>
    <row r="17884" spans="1:25" x14ac:dyDescent="0.25">
      <c r="A17884" t="str">
        <f>"240521026190"</f>
        <v>240521026190</v>
      </c>
      <c r="B17884" t="s">
        <v>930</v>
      </c>
      <c r="C17884" t="s">
        <v>11882</v>
      </c>
      <c r="D17884" t="s">
        <v>1094</v>
      </c>
      <c r="F17884" t="s">
        <v>1</v>
      </c>
      <c r="G17884" t="s">
        <v>52955</v>
      </c>
      <c r="H17884" t="s">
        <v>56432</v>
      </c>
      <c r="P17884" t="s">
        <v>799</v>
      </c>
      <c r="Y17884" t="s">
        <v>58905</v>
      </c>
    </row>
    <row r="17885" spans="1:25" x14ac:dyDescent="0.25">
      <c r="A17885" t="str">
        <f>"240823148969"</f>
        <v>240823148969</v>
      </c>
      <c r="B17885" t="s">
        <v>3544</v>
      </c>
      <c r="C17885" t="s">
        <v>11303</v>
      </c>
      <c r="D17885" t="s">
        <v>58906</v>
      </c>
      <c r="E17885">
        <v>425000</v>
      </c>
      <c r="F17885" t="s">
        <v>1</v>
      </c>
      <c r="G17885" t="s">
        <v>52955</v>
      </c>
      <c r="H17885" t="s">
        <v>53783</v>
      </c>
      <c r="Y17885" t="s">
        <v>58907</v>
      </c>
    </row>
    <row r="17886" spans="1:25" x14ac:dyDescent="0.25">
      <c r="A17886" t="str">
        <f>"241129287008"</f>
        <v>241129287008</v>
      </c>
      <c r="B17886" t="s">
        <v>2104</v>
      </c>
      <c r="C17886" t="s">
        <v>25543</v>
      </c>
      <c r="D17886" t="s">
        <v>58908</v>
      </c>
      <c r="E17886">
        <v>425001</v>
      </c>
      <c r="F17886" t="s">
        <v>1</v>
      </c>
      <c r="G17886" t="s">
        <v>52955</v>
      </c>
      <c r="H17886" t="s">
        <v>58732</v>
      </c>
      <c r="Y17886" t="s">
        <v>58909</v>
      </c>
    </row>
    <row r="17887" spans="1:25" x14ac:dyDescent="0.25">
      <c r="A17887" t="str">
        <f>"241462825573"</f>
        <v>241462825573</v>
      </c>
      <c r="B17887" t="s">
        <v>88</v>
      </c>
      <c r="C17887" t="s">
        <v>6066</v>
      </c>
      <c r="D17887" t="s">
        <v>3198</v>
      </c>
      <c r="F17887" t="s">
        <v>1</v>
      </c>
      <c r="G17887" t="s">
        <v>52955</v>
      </c>
      <c r="H17887" t="s">
        <v>53215</v>
      </c>
      <c r="Y17887" t="s">
        <v>58910</v>
      </c>
    </row>
    <row r="17888" spans="1:25" x14ac:dyDescent="0.25">
      <c r="A17888" t="str">
        <f>"241494268135"</f>
        <v>241494268135</v>
      </c>
      <c r="B17888" t="s">
        <v>574</v>
      </c>
      <c r="C17888" t="s">
        <v>646</v>
      </c>
      <c r="D17888" t="s">
        <v>23756</v>
      </c>
      <c r="E17888">
        <v>425001</v>
      </c>
      <c r="F17888" t="s">
        <v>1</v>
      </c>
      <c r="G17888" t="s">
        <v>52955</v>
      </c>
      <c r="H17888" t="s">
        <v>53985</v>
      </c>
      <c r="Y17888" t="s">
        <v>58911</v>
      </c>
    </row>
    <row r="17889" spans="1:25" x14ac:dyDescent="0.25">
      <c r="A17889" t="str">
        <f>"241698107273"</f>
        <v>241698107273</v>
      </c>
      <c r="B17889" t="s">
        <v>530</v>
      </c>
      <c r="C17889" t="s">
        <v>10576</v>
      </c>
      <c r="D17889" t="s">
        <v>55178</v>
      </c>
      <c r="F17889" t="s">
        <v>1</v>
      </c>
      <c r="G17889" t="s">
        <v>52955</v>
      </c>
      <c r="H17889" t="s">
        <v>58912</v>
      </c>
      <c r="Y17889" t="s">
        <v>58913</v>
      </c>
    </row>
    <row r="17890" spans="1:25" x14ac:dyDescent="0.25">
      <c r="A17890" t="str">
        <f>"242096226255"</f>
        <v>242096226255</v>
      </c>
      <c r="B17890" t="s">
        <v>1617</v>
      </c>
      <c r="C17890" t="s">
        <v>21001</v>
      </c>
      <c r="D17890" t="s">
        <v>20999</v>
      </c>
      <c r="F17890" t="s">
        <v>1</v>
      </c>
      <c r="G17890" t="s">
        <v>52955</v>
      </c>
      <c r="H17890" t="s">
        <v>54589</v>
      </c>
      <c r="Y17890" t="s">
        <v>58914</v>
      </c>
    </row>
    <row r="17891" spans="1:25" x14ac:dyDescent="0.25">
      <c r="A17891" t="str">
        <f>"242212859001"</f>
        <v>242212859001</v>
      </c>
      <c r="B17891" t="s">
        <v>379</v>
      </c>
      <c r="C17891" t="s">
        <v>766</v>
      </c>
      <c r="D17891" t="s">
        <v>58915</v>
      </c>
      <c r="F17891" t="s">
        <v>1</v>
      </c>
      <c r="G17891" t="s">
        <v>52955</v>
      </c>
      <c r="H17891" t="s">
        <v>53198</v>
      </c>
      <c r="Y17891" t="s">
        <v>58916</v>
      </c>
    </row>
    <row r="17892" spans="1:25" x14ac:dyDescent="0.25">
      <c r="A17892" t="str">
        <f>"242479359598"</f>
        <v>242479359598</v>
      </c>
      <c r="B17892" t="s">
        <v>188</v>
      </c>
      <c r="C17892" t="s">
        <v>8311</v>
      </c>
      <c r="D17892" t="s">
        <v>20330</v>
      </c>
      <c r="E17892">
        <v>425000</v>
      </c>
      <c r="F17892" t="s">
        <v>1</v>
      </c>
      <c r="G17892" t="s">
        <v>52955</v>
      </c>
      <c r="H17892" t="s">
        <v>53783</v>
      </c>
      <c r="Y17892" t="s">
        <v>58917</v>
      </c>
    </row>
    <row r="17893" spans="1:25" x14ac:dyDescent="0.25">
      <c r="A17893" t="str">
        <f>"242540486854"</f>
        <v>242540486854</v>
      </c>
      <c r="B17893" t="s">
        <v>1352</v>
      </c>
      <c r="C17893" t="s">
        <v>11624</v>
      </c>
      <c r="D17893" t="s">
        <v>58918</v>
      </c>
      <c r="E17893">
        <v>425000</v>
      </c>
      <c r="F17893" t="s">
        <v>1</v>
      </c>
      <c r="G17893" t="s">
        <v>52955</v>
      </c>
      <c r="H17893" t="s">
        <v>54582</v>
      </c>
      <c r="J17893" t="s">
        <v>58919</v>
      </c>
      <c r="P17893" t="s">
        <v>362</v>
      </c>
      <c r="Q17893" t="s">
        <v>58920</v>
      </c>
      <c r="V17893" t="s">
        <v>58921</v>
      </c>
      <c r="Y17893" t="s">
        <v>58922</v>
      </c>
    </row>
    <row r="17894" spans="1:25" x14ac:dyDescent="0.25">
      <c r="A17894" t="str">
        <f>"242594880330"</f>
        <v>242594880330</v>
      </c>
      <c r="B17894" t="s">
        <v>462</v>
      </c>
      <c r="C17894" t="s">
        <v>48641</v>
      </c>
      <c r="D17894" t="s">
        <v>58923</v>
      </c>
      <c r="E17894">
        <v>425011</v>
      </c>
      <c r="F17894" t="s">
        <v>1</v>
      </c>
      <c r="G17894" t="s">
        <v>52955</v>
      </c>
      <c r="H17894" t="s">
        <v>53457</v>
      </c>
      <c r="Y17894" t="s">
        <v>57000</v>
      </c>
    </row>
    <row r="17895" spans="1:25" x14ac:dyDescent="0.25">
      <c r="A17895" t="str">
        <f>"242715594499"</f>
        <v>242715594499</v>
      </c>
      <c r="B17895" t="s">
        <v>1053</v>
      </c>
      <c r="C17895" t="s">
        <v>58924</v>
      </c>
      <c r="D17895" t="s">
        <v>19484</v>
      </c>
      <c r="F17895" t="s">
        <v>1</v>
      </c>
      <c r="G17895" t="s">
        <v>52955</v>
      </c>
      <c r="H17895" t="s">
        <v>54425</v>
      </c>
      <c r="J17895" t="s">
        <v>19485</v>
      </c>
      <c r="L17895" t="s">
        <v>19486</v>
      </c>
      <c r="M17895" t="s">
        <v>19487</v>
      </c>
      <c r="Y17895" t="s">
        <v>56939</v>
      </c>
    </row>
    <row r="17896" spans="1:25" x14ac:dyDescent="0.25">
      <c r="A17896" t="str">
        <f>"243014371277"</f>
        <v>243014371277</v>
      </c>
      <c r="B17896" t="s">
        <v>18</v>
      </c>
      <c r="C17896" t="s">
        <v>4522</v>
      </c>
      <c r="D17896" t="s">
        <v>58925</v>
      </c>
      <c r="F17896" t="s">
        <v>1</v>
      </c>
      <c r="G17896" t="s">
        <v>52955</v>
      </c>
      <c r="H17896" t="s">
        <v>53435</v>
      </c>
      <c r="Y17896" t="s">
        <v>54849</v>
      </c>
    </row>
    <row r="17897" spans="1:25" x14ac:dyDescent="0.25">
      <c r="A17897" t="str">
        <f>"243781533396"</f>
        <v>243781533396</v>
      </c>
      <c r="B17897" t="s">
        <v>1544</v>
      </c>
      <c r="C17897" t="s">
        <v>3596</v>
      </c>
      <c r="D17897" t="s">
        <v>3596</v>
      </c>
      <c r="F17897" t="s">
        <v>1</v>
      </c>
      <c r="G17897" t="s">
        <v>52955</v>
      </c>
      <c r="H17897" t="s">
        <v>53592</v>
      </c>
      <c r="Y17897" t="s">
        <v>58926</v>
      </c>
    </row>
    <row r="17898" spans="1:25" x14ac:dyDescent="0.25">
      <c r="A17898" t="str">
        <f>"243912493589"</f>
        <v>243912493589</v>
      </c>
      <c r="B17898" t="s">
        <v>96</v>
      </c>
      <c r="C17898" t="s">
        <v>893</v>
      </c>
      <c r="D17898" t="s">
        <v>58927</v>
      </c>
      <c r="F17898" t="s">
        <v>1</v>
      </c>
      <c r="G17898" t="s">
        <v>52955</v>
      </c>
      <c r="H17898" t="s">
        <v>53198</v>
      </c>
      <c r="Y17898" t="s">
        <v>58928</v>
      </c>
    </row>
    <row r="17899" spans="1:25" x14ac:dyDescent="0.25">
      <c r="A17899" t="str">
        <f>"243970946674"</f>
        <v>243970946674</v>
      </c>
      <c r="B17899" t="s">
        <v>574</v>
      </c>
      <c r="C17899" t="s">
        <v>24405</v>
      </c>
      <c r="D17899" t="s">
        <v>33144</v>
      </c>
      <c r="F17899" t="s">
        <v>1</v>
      </c>
      <c r="G17899" t="s">
        <v>52955</v>
      </c>
      <c r="H17899" t="s">
        <v>56502</v>
      </c>
      <c r="Y17899" t="s">
        <v>58929</v>
      </c>
    </row>
    <row r="17900" spans="1:25" x14ac:dyDescent="0.25">
      <c r="A17900" t="str">
        <f>"244347699509"</f>
        <v>244347699509</v>
      </c>
      <c r="B17900" t="s">
        <v>348</v>
      </c>
      <c r="C17900" t="s">
        <v>58931</v>
      </c>
      <c r="D17900" t="s">
        <v>20891</v>
      </c>
      <c r="F17900" t="s">
        <v>1</v>
      </c>
      <c r="G17900" t="s">
        <v>52955</v>
      </c>
      <c r="H17900" t="s">
        <v>55928</v>
      </c>
      <c r="J17900" t="s">
        <v>58930</v>
      </c>
      <c r="P17900" t="s">
        <v>133</v>
      </c>
      <c r="Y17900" t="s">
        <v>58932</v>
      </c>
    </row>
    <row r="17901" spans="1:25" x14ac:dyDescent="0.25">
      <c r="A17901" t="str">
        <f>"244364199950"</f>
        <v>244364199950</v>
      </c>
      <c r="B17901" t="s">
        <v>1061</v>
      </c>
      <c r="C17901" t="s">
        <v>26953</v>
      </c>
      <c r="D17901" t="s">
        <v>54051</v>
      </c>
      <c r="F17901" t="s">
        <v>1</v>
      </c>
      <c r="G17901" t="s">
        <v>52955</v>
      </c>
      <c r="H17901" t="s">
        <v>56261</v>
      </c>
      <c r="Y17901" t="s">
        <v>58933</v>
      </c>
    </row>
    <row r="17902" spans="1:25" x14ac:dyDescent="0.25">
      <c r="A17902" t="str">
        <f>"244416775321"</f>
        <v>244416775321</v>
      </c>
      <c r="B17902" t="s">
        <v>88</v>
      </c>
      <c r="C17902" t="s">
        <v>58934</v>
      </c>
      <c r="D17902" t="s">
        <v>36950</v>
      </c>
      <c r="E17902">
        <v>425009</v>
      </c>
      <c r="F17902" t="s">
        <v>1</v>
      </c>
      <c r="G17902" t="s">
        <v>52955</v>
      </c>
      <c r="H17902" t="s">
        <v>54824</v>
      </c>
      <c r="Y17902" t="s">
        <v>58935</v>
      </c>
    </row>
    <row r="17903" spans="1:25" x14ac:dyDescent="0.25">
      <c r="A17903" t="str">
        <f>"244440475321"</f>
        <v>244440475321</v>
      </c>
      <c r="B17903" t="s">
        <v>1315</v>
      </c>
      <c r="C17903" t="s">
        <v>58938</v>
      </c>
      <c r="D17903" t="s">
        <v>58936</v>
      </c>
      <c r="E17903">
        <v>425000</v>
      </c>
      <c r="F17903" t="s">
        <v>1</v>
      </c>
      <c r="G17903" t="s">
        <v>52955</v>
      </c>
      <c r="H17903" t="s">
        <v>52985</v>
      </c>
      <c r="J17903" t="s">
        <v>58937</v>
      </c>
      <c r="P17903" t="s">
        <v>55946</v>
      </c>
      <c r="Y17903" t="s">
        <v>55947</v>
      </c>
    </row>
    <row r="17904" spans="1:25" x14ac:dyDescent="0.25">
      <c r="A17904" t="str">
        <f>"244476103666"</f>
        <v>244476103666</v>
      </c>
      <c r="B17904" t="s">
        <v>290</v>
      </c>
      <c r="C17904" t="s">
        <v>16376</v>
      </c>
      <c r="D17904" t="s">
        <v>16376</v>
      </c>
      <c r="E17904">
        <v>425000</v>
      </c>
      <c r="F17904" t="s">
        <v>1</v>
      </c>
      <c r="G17904" t="s">
        <v>52955</v>
      </c>
      <c r="H17904" t="s">
        <v>53202</v>
      </c>
      <c r="Y17904" t="s">
        <v>58939</v>
      </c>
    </row>
    <row r="17905" spans="1:25" x14ac:dyDescent="0.25">
      <c r="A17905" t="str">
        <f>"244544394238"</f>
        <v>244544394238</v>
      </c>
      <c r="B17905" t="s">
        <v>110</v>
      </c>
      <c r="C17905" t="s">
        <v>58943</v>
      </c>
      <c r="D17905" t="s">
        <v>58940</v>
      </c>
      <c r="E17905">
        <v>425000</v>
      </c>
      <c r="F17905" t="s">
        <v>1</v>
      </c>
      <c r="G17905" t="s">
        <v>52955</v>
      </c>
      <c r="H17905" t="s">
        <v>53903</v>
      </c>
      <c r="J17905" t="s">
        <v>58941</v>
      </c>
      <c r="M17905" t="s">
        <v>58942</v>
      </c>
      <c r="P17905" t="s">
        <v>58944</v>
      </c>
      <c r="Y17905" t="s">
        <v>58945</v>
      </c>
    </row>
    <row r="17906" spans="1:25" x14ac:dyDescent="0.25">
      <c r="A17906" t="str">
        <f>"245009272361"</f>
        <v>245009272361</v>
      </c>
      <c r="B17906" t="s">
        <v>1611</v>
      </c>
      <c r="C17906" t="s">
        <v>6872</v>
      </c>
      <c r="D17906" t="s">
        <v>58946</v>
      </c>
      <c r="E17906">
        <v>425000</v>
      </c>
      <c r="F17906" t="s">
        <v>1</v>
      </c>
      <c r="G17906" t="s">
        <v>52955</v>
      </c>
      <c r="H17906" t="s">
        <v>54772</v>
      </c>
      <c r="Y17906" t="s">
        <v>58947</v>
      </c>
    </row>
    <row r="17907" spans="1:25" x14ac:dyDescent="0.25">
      <c r="A17907" t="str">
        <f>"245080528523"</f>
        <v>245080528523</v>
      </c>
      <c r="B17907" t="s">
        <v>290</v>
      </c>
      <c r="C17907" t="s">
        <v>290</v>
      </c>
      <c r="D17907" t="s">
        <v>58948</v>
      </c>
      <c r="E17907">
        <v>425000</v>
      </c>
      <c r="F17907" t="s">
        <v>1</v>
      </c>
      <c r="G17907" t="s">
        <v>52955</v>
      </c>
      <c r="H17907" t="s">
        <v>54021</v>
      </c>
      <c r="Y17907" t="s">
        <v>58949</v>
      </c>
    </row>
    <row r="17908" spans="1:25" x14ac:dyDescent="0.25">
      <c r="A17908" t="str">
        <f>"245151194132"</f>
        <v>245151194132</v>
      </c>
      <c r="B17908" t="s">
        <v>738</v>
      </c>
      <c r="C17908" t="s">
        <v>739</v>
      </c>
      <c r="D17908" t="s">
        <v>32797</v>
      </c>
      <c r="E17908">
        <v>425008</v>
      </c>
      <c r="F17908" t="s">
        <v>1</v>
      </c>
      <c r="G17908" t="s">
        <v>52955</v>
      </c>
      <c r="H17908" t="s">
        <v>53857</v>
      </c>
      <c r="Y17908" t="s">
        <v>58950</v>
      </c>
    </row>
    <row r="17909" spans="1:25" x14ac:dyDescent="0.25">
      <c r="A17909" t="str">
        <f>"245567710951"</f>
        <v>245567710951</v>
      </c>
      <c r="B17909" t="s">
        <v>1061</v>
      </c>
      <c r="C17909" t="s">
        <v>26953</v>
      </c>
      <c r="D17909" t="s">
        <v>58951</v>
      </c>
      <c r="F17909" t="s">
        <v>1</v>
      </c>
      <c r="G17909" t="s">
        <v>52955</v>
      </c>
      <c r="H17909" t="s">
        <v>58952</v>
      </c>
      <c r="Y17909" t="s">
        <v>58953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yamap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Smith</dc:creator>
  <cp:lastModifiedBy>Smith</cp:lastModifiedBy>
  <dcterms:created xsi:type="dcterms:W3CDTF">2021-06-02T10:18:50Z</dcterms:created>
  <dcterms:modified xsi:type="dcterms:W3CDTF">2022-05-27T02:30:10Z</dcterms:modified>
</cp:coreProperties>
</file>